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\\jaincord\E\G41436\Mandeep\"/>
    </mc:Choice>
  </mc:AlternateContent>
  <xr:revisionPtr revIDLastSave="0" documentId="13_ncr:1_{53DEE7B7-03EA-4AD8-B445-3765E4F8076C}" xr6:coauthVersionLast="47" xr6:coauthVersionMax="47" xr10:uidLastSave="{00000000-0000-0000-0000-000000000000}"/>
  <bookViews>
    <workbookView xWindow="-120" yWindow="-120" windowWidth="20730" windowHeight="11160" firstSheet="284" activeTab="289" xr2:uid="{00000000-000D-0000-FFFF-FFFF00000000}"/>
  </bookViews>
  <sheets>
    <sheet name="01.04.2023" sheetId="296" r:id="rId1"/>
    <sheet name="03.04.2023" sheetId="297" r:id="rId2"/>
    <sheet name="04.04.2023" sheetId="298" r:id="rId3"/>
    <sheet name="05.04.2023" sheetId="299" r:id="rId4"/>
    <sheet name="06.04.2023" sheetId="300" r:id="rId5"/>
    <sheet name="07.04.2023" sheetId="301" r:id="rId6"/>
    <sheet name="08.04.2023" sheetId="302" r:id="rId7"/>
    <sheet name="10.04.2023" sheetId="303" r:id="rId8"/>
    <sheet name="11.04.2023" sheetId="304" r:id="rId9"/>
    <sheet name="12.04.2023" sheetId="305" r:id="rId10"/>
    <sheet name="13.04.2023" sheetId="306" r:id="rId11"/>
    <sheet name="14.04.2023" sheetId="307" r:id="rId12"/>
    <sheet name="15.04.2023" sheetId="308" r:id="rId13"/>
    <sheet name="17.04.2023" sheetId="309" r:id="rId14"/>
    <sheet name="18.04.2023" sheetId="310" r:id="rId15"/>
    <sheet name="19.04.2023" sheetId="311" r:id="rId16"/>
    <sheet name="20.04.2023" sheetId="312" r:id="rId17"/>
    <sheet name="21.04.2023" sheetId="313" r:id="rId18"/>
    <sheet name="22.04.2023" sheetId="314" r:id="rId19"/>
    <sheet name="24.04.2023" sheetId="315" r:id="rId20"/>
    <sheet name="03.05.2023" sheetId="316" r:id="rId21"/>
    <sheet name="04.05.2023" sheetId="317" r:id="rId22"/>
    <sheet name="05.05.2023" sheetId="318" r:id="rId23"/>
    <sheet name="06.05.2023" sheetId="319" r:id="rId24"/>
    <sheet name="08.05.2023" sheetId="320" r:id="rId25"/>
    <sheet name="09.05.2023" sheetId="321" r:id="rId26"/>
    <sheet name="10.05.2023" sheetId="322" r:id="rId27"/>
    <sheet name="11.05.2023" sheetId="323" r:id="rId28"/>
    <sheet name="12.05.2023" sheetId="324" r:id="rId29"/>
    <sheet name="13.05.2023" sheetId="325" r:id="rId30"/>
    <sheet name="15.05.2023" sheetId="326" r:id="rId31"/>
    <sheet name="16.05.2023" sheetId="327" r:id="rId32"/>
    <sheet name="17.05.2023" sheetId="328" r:id="rId33"/>
    <sheet name="18.05.2023" sheetId="329" r:id="rId34"/>
    <sheet name="19.05.2023" sheetId="330" r:id="rId35"/>
    <sheet name="20.05.2023" sheetId="331" r:id="rId36"/>
    <sheet name="22.05.2023" sheetId="332" r:id="rId37"/>
    <sheet name="23.05.2023" sheetId="333" r:id="rId38"/>
    <sheet name="24.05.2023" sheetId="334" r:id="rId39"/>
    <sheet name="25.05.2023" sheetId="335" r:id="rId40"/>
    <sheet name="26.05.2023" sheetId="336" r:id="rId41"/>
    <sheet name="27.05.2023" sheetId="337" r:id="rId42"/>
    <sheet name="29.05.2023" sheetId="338" r:id="rId43"/>
    <sheet name="30.05.2023" sheetId="339" r:id="rId44"/>
    <sheet name="31.05.2023" sheetId="340" r:id="rId45"/>
    <sheet name="01.06.2023" sheetId="341" r:id="rId46"/>
    <sheet name="02.06.2023" sheetId="342" r:id="rId47"/>
    <sheet name="03.06.2023" sheetId="343" r:id="rId48"/>
    <sheet name="05.06.2023" sheetId="344" r:id="rId49"/>
    <sheet name="06.06.2023" sheetId="345" r:id="rId50"/>
    <sheet name="07.06.2023" sheetId="346" r:id="rId51"/>
    <sheet name="08.06.2023" sheetId="347" r:id="rId52"/>
    <sheet name="09.06.2023" sheetId="348" r:id="rId53"/>
    <sheet name="10.06.2023" sheetId="349" r:id="rId54"/>
    <sheet name="12.06.2023" sheetId="350" r:id="rId55"/>
    <sheet name="13.06.2023" sheetId="351" r:id="rId56"/>
    <sheet name="14.06.2023" sheetId="352" r:id="rId57"/>
    <sheet name="15.06.2023" sheetId="353" r:id="rId58"/>
    <sheet name="16.06.2023" sheetId="354" r:id="rId59"/>
    <sheet name="17.06.2023" sheetId="355" r:id="rId60"/>
    <sheet name="19.06.2023" sheetId="356" r:id="rId61"/>
    <sheet name="20.06.2023" sheetId="357" r:id="rId62"/>
    <sheet name="21.06.2023" sheetId="358" r:id="rId63"/>
    <sheet name="22.06.2023" sheetId="359" r:id="rId64"/>
    <sheet name="23.06.2023" sheetId="360" r:id="rId65"/>
    <sheet name="24.06.2023" sheetId="361" r:id="rId66"/>
    <sheet name="26.06.2023" sheetId="362" r:id="rId67"/>
    <sheet name="27.06.2023" sheetId="363" r:id="rId68"/>
    <sheet name="28.06.2023" sheetId="364" r:id="rId69"/>
    <sheet name="29.06.2023" sheetId="365" r:id="rId70"/>
    <sheet name="30.06.2023" sheetId="366" r:id="rId71"/>
    <sheet name="01.07.2023" sheetId="368" r:id="rId72"/>
    <sheet name="03.07.2023" sheetId="369" r:id="rId73"/>
    <sheet name="04.07.2023" sheetId="370" r:id="rId74"/>
    <sheet name="05.07.2023" sheetId="373" r:id="rId75"/>
    <sheet name="06.07.2023" sheetId="374" r:id="rId76"/>
    <sheet name="07.07.2023" sheetId="375" r:id="rId77"/>
    <sheet name="08.07.2023" sheetId="376" r:id="rId78"/>
    <sheet name="10.07.2023" sheetId="377" r:id="rId79"/>
    <sheet name="11.07.2023" sheetId="378" r:id="rId80"/>
    <sheet name="12.07.2023" sheetId="379" r:id="rId81"/>
    <sheet name="13.07.2023" sheetId="380" r:id="rId82"/>
    <sheet name="14.07.2023" sheetId="381" r:id="rId83"/>
    <sheet name="15.07.2023" sheetId="382" r:id="rId84"/>
    <sheet name="17.07.2023" sheetId="383" r:id="rId85"/>
    <sheet name="18.07.2023" sheetId="384" r:id="rId86"/>
    <sheet name="19.07.2023" sheetId="385" r:id="rId87"/>
    <sheet name="20.07.2023" sheetId="386" r:id="rId88"/>
    <sheet name="21.07.2023" sheetId="387" r:id="rId89"/>
    <sheet name="22.07.2023" sheetId="388" r:id="rId90"/>
    <sheet name="24.07.2023" sheetId="389" r:id="rId91"/>
    <sheet name="25.07.2023" sheetId="390" r:id="rId92"/>
    <sheet name="26.07.2023" sheetId="391" r:id="rId93"/>
    <sheet name="27.07.2023" sheetId="392" r:id="rId94"/>
    <sheet name="28.07.2023" sheetId="393" r:id="rId95"/>
    <sheet name="29.07.2023" sheetId="394" r:id="rId96"/>
    <sheet name="31.07.2023" sheetId="395" r:id="rId97"/>
    <sheet name="01.08.2023" sheetId="396" r:id="rId98"/>
    <sheet name="02.08.2023" sheetId="397" r:id="rId99"/>
    <sheet name="03.08.2023" sheetId="398" r:id="rId100"/>
    <sheet name="04.08.2023" sheetId="399" r:id="rId101"/>
    <sheet name="05.08.2023" sheetId="400" r:id="rId102"/>
    <sheet name="07.08.2023" sheetId="401" r:id="rId103"/>
    <sheet name="08.08.2023" sheetId="402" r:id="rId104"/>
    <sheet name="09.08.2023" sheetId="403" r:id="rId105"/>
    <sheet name="10.08.2023" sheetId="404" r:id="rId106"/>
    <sheet name="11.08.2023" sheetId="405" r:id="rId107"/>
    <sheet name="12.08.2023" sheetId="406" r:id="rId108"/>
    <sheet name="14.08.2023" sheetId="407" r:id="rId109"/>
    <sheet name="16.08.2023" sheetId="408" r:id="rId110"/>
    <sheet name="17.08.2023" sheetId="409" r:id="rId111"/>
    <sheet name="18.08.2023" sheetId="410" r:id="rId112"/>
    <sheet name="19.08.2023" sheetId="411" r:id="rId113"/>
    <sheet name="21.08.2023" sheetId="412" r:id="rId114"/>
    <sheet name="22.08.2023" sheetId="413" r:id="rId115"/>
    <sheet name="23.08.2023" sheetId="414" r:id="rId116"/>
    <sheet name="24.08.2023" sheetId="415" r:id="rId117"/>
    <sheet name="25.08.2023" sheetId="416" r:id="rId118"/>
    <sheet name="26.08.2023" sheetId="417" r:id="rId119"/>
    <sheet name="28.08.2023" sheetId="418" r:id="rId120"/>
    <sheet name="29.08.2023" sheetId="419" r:id="rId121"/>
    <sheet name="31.08-2023" sheetId="420" r:id="rId122"/>
    <sheet name="01.09.2023" sheetId="421" r:id="rId123"/>
    <sheet name="02.09.2023" sheetId="422" r:id="rId124"/>
    <sheet name="04.09.2023" sheetId="423" r:id="rId125"/>
    <sheet name="05.09.2023" sheetId="424" r:id="rId126"/>
    <sheet name="06.09.2023" sheetId="425" r:id="rId127"/>
    <sheet name="08.09.2023" sheetId="426" r:id="rId128"/>
    <sheet name="09.09.2023" sheetId="427" r:id="rId129"/>
    <sheet name="11.09.2023" sheetId="428" r:id="rId130"/>
    <sheet name="12.09.2023" sheetId="429" r:id="rId131"/>
    <sheet name="13.09.2023" sheetId="430" r:id="rId132"/>
    <sheet name="14.09.2023" sheetId="431" r:id="rId133"/>
    <sheet name="15.09.2023" sheetId="432" r:id="rId134"/>
    <sheet name="16.09.2023" sheetId="433" r:id="rId135"/>
    <sheet name="18.09.2023" sheetId="434" r:id="rId136"/>
    <sheet name="19.09.2023" sheetId="435" r:id="rId137"/>
    <sheet name="20.09.2023" sheetId="436" r:id="rId138"/>
    <sheet name="21.09.2023" sheetId="437" r:id="rId139"/>
    <sheet name="23..09.2023" sheetId="438" r:id="rId140"/>
    <sheet name="25.09.2023" sheetId="439" r:id="rId141"/>
    <sheet name="26.09.2023" sheetId="440" r:id="rId142"/>
    <sheet name="27.09.2023" sheetId="441" r:id="rId143"/>
    <sheet name="28.09.2023" sheetId="442" r:id="rId144"/>
    <sheet name="29.09.2023" sheetId="443" r:id="rId145"/>
    <sheet name="30.09.2023" sheetId="444" r:id="rId146"/>
    <sheet name="03.10.2023" sheetId="445" r:id="rId147"/>
    <sheet name="04.10.2023" sheetId="446" r:id="rId148"/>
    <sheet name="05.10.2023" sheetId="447" r:id="rId149"/>
    <sheet name="06.10.2023" sheetId="448" r:id="rId150"/>
    <sheet name="07.10.2023" sheetId="449" r:id="rId151"/>
    <sheet name="09.10.2023" sheetId="450" r:id="rId152"/>
    <sheet name="10.10.2023" sheetId="451" r:id="rId153"/>
    <sheet name="11.10.2023" sheetId="452" r:id="rId154"/>
    <sheet name="12.10.2023" sheetId="453" r:id="rId155"/>
    <sheet name="13.10.2023" sheetId="454" r:id="rId156"/>
    <sheet name="14.10.2023" sheetId="455" r:id="rId157"/>
    <sheet name="16.10.2023" sheetId="456" r:id="rId158"/>
    <sheet name="17.10.2023" sheetId="457" r:id="rId159"/>
    <sheet name="18.10.2023" sheetId="458" r:id="rId160"/>
    <sheet name="19.10.2023" sheetId="459" r:id="rId161"/>
    <sheet name="20.10.2023" sheetId="460" r:id="rId162"/>
    <sheet name="21.10.2023" sheetId="461" r:id="rId163"/>
    <sheet name="23.10.2023" sheetId="462" r:id="rId164"/>
    <sheet name="25.10.2023" sheetId="463" r:id="rId165"/>
    <sheet name="26.10.2023" sheetId="464" r:id="rId166"/>
    <sheet name="27.10.2023" sheetId="465" r:id="rId167"/>
    <sheet name="28.10.2023" sheetId="466" r:id="rId168"/>
    <sheet name="30.10.2023" sheetId="467" r:id="rId169"/>
    <sheet name="31.10.2023" sheetId="468" r:id="rId170"/>
    <sheet name="01.11.2023" sheetId="469" r:id="rId171"/>
    <sheet name="02.11.2023" sheetId="470" r:id="rId172"/>
    <sheet name="03.11.2023" sheetId="471" r:id="rId173"/>
    <sheet name="04.11.2023" sheetId="472" r:id="rId174"/>
    <sheet name="06.11.2023" sheetId="473" r:id="rId175"/>
    <sheet name="08.11.2023" sheetId="474" r:id="rId176"/>
    <sheet name="09.11.2023" sheetId="475" r:id="rId177"/>
    <sheet name="15.11.2023" sheetId="476" r:id="rId178"/>
    <sheet name="16.11.2023" sheetId="477" r:id="rId179"/>
    <sheet name="17.11.2023" sheetId="478" r:id="rId180"/>
    <sheet name="18.11.2023" sheetId="479" r:id="rId181"/>
    <sheet name="20.11.2023" sheetId="480" r:id="rId182"/>
    <sheet name="21.11.2023" sheetId="481" r:id="rId183"/>
    <sheet name="22.11.2023" sheetId="482" r:id="rId184"/>
    <sheet name="23.11.2023" sheetId="483" r:id="rId185"/>
    <sheet name="24.11.2023" sheetId="484" r:id="rId186"/>
    <sheet name="25.11.2023" sheetId="485" r:id="rId187"/>
    <sheet name="27.11.2023" sheetId="486" r:id="rId188"/>
    <sheet name="28.11.2023" sheetId="487" r:id="rId189"/>
    <sheet name="29.11.2023" sheetId="488" r:id="rId190"/>
    <sheet name="30.11.2023" sheetId="489" r:id="rId191"/>
    <sheet name="01.12.2023" sheetId="490" r:id="rId192"/>
    <sheet name="02.12.2023" sheetId="491" r:id="rId193"/>
    <sheet name="04.12.2023" sheetId="492" r:id="rId194"/>
    <sheet name="05.12.2023" sheetId="493" r:id="rId195"/>
    <sheet name="06.12.2023" sheetId="494" r:id="rId196"/>
    <sheet name="07.12.2023" sheetId="495" r:id="rId197"/>
    <sheet name="08.12.2023" sheetId="496" r:id="rId198"/>
    <sheet name="09-12-2023" sheetId="498" r:id="rId199"/>
    <sheet name="11-12-2023" sheetId="499" r:id="rId200"/>
    <sheet name="12.12.2023" sheetId="500" r:id="rId201"/>
    <sheet name="13.12.2023" sheetId="501" r:id="rId202"/>
    <sheet name="14.12.2023" sheetId="502" r:id="rId203"/>
    <sheet name="15.12.2023" sheetId="503" r:id="rId204"/>
    <sheet name="16.12.2023" sheetId="504" r:id="rId205"/>
    <sheet name="19.12.2023" sheetId="505" r:id="rId206"/>
    <sheet name="20.12.2023" sheetId="506" r:id="rId207"/>
    <sheet name="21.12.2023" sheetId="507" r:id="rId208"/>
    <sheet name="22.12.2023" sheetId="508" r:id="rId209"/>
    <sheet name="23.12.2023" sheetId="509" r:id="rId210"/>
    <sheet name="25.12.2023" sheetId="510" r:id="rId211"/>
    <sheet name="26.12.2023" sheetId="511" r:id="rId212"/>
    <sheet name="27.12.2023" sheetId="512" r:id="rId213"/>
    <sheet name="28.12.2023" sheetId="513" r:id="rId214"/>
    <sheet name="29.12.2023" sheetId="514" r:id="rId215"/>
    <sheet name="30.12.2023" sheetId="515" r:id="rId216"/>
    <sheet name="02.01.2024" sheetId="516" r:id="rId217"/>
    <sheet name="03.01.2024" sheetId="517" r:id="rId218"/>
    <sheet name="04.01.2024" sheetId="518" r:id="rId219"/>
    <sheet name="05.01.2024" sheetId="519" r:id="rId220"/>
    <sheet name="06.01.2024" sheetId="520" r:id="rId221"/>
    <sheet name="08.01.2024" sheetId="521" r:id="rId222"/>
    <sheet name="09.01.2024" sheetId="522" r:id="rId223"/>
    <sheet name="10.01.2024" sheetId="523" r:id="rId224"/>
    <sheet name="11.01.2024" sheetId="524" r:id="rId225"/>
    <sheet name="12.01.2024" sheetId="525" r:id="rId226"/>
    <sheet name="13.01.2024" sheetId="526" r:id="rId227"/>
    <sheet name="15.01.2024" sheetId="527" r:id="rId228"/>
    <sheet name="16.01.2024" sheetId="528" r:id="rId229"/>
    <sheet name="17.01.2024" sheetId="529" r:id="rId230"/>
    <sheet name="18.01.2024" sheetId="530" r:id="rId231"/>
    <sheet name="19.01.2024" sheetId="531" r:id="rId232"/>
    <sheet name="20.01.2024" sheetId="532" r:id="rId233"/>
    <sheet name="22.01.2024" sheetId="533" r:id="rId234"/>
    <sheet name="23.01.2024" sheetId="534" r:id="rId235"/>
    <sheet name="24.01.2024" sheetId="535" r:id="rId236"/>
    <sheet name="25.01.2024" sheetId="536" r:id="rId237"/>
    <sheet name="27.01.2024" sheetId="537" r:id="rId238"/>
    <sheet name="29.01.2024" sheetId="538" r:id="rId239"/>
    <sheet name="30.01.2024" sheetId="539" r:id="rId240"/>
    <sheet name="31.01.2024" sheetId="540" r:id="rId241"/>
    <sheet name="01.02.2024" sheetId="541" r:id="rId242"/>
    <sheet name="02.02.2024" sheetId="542" r:id="rId243"/>
    <sheet name="03.02.2024" sheetId="543" r:id="rId244"/>
    <sheet name="05.02.2024" sheetId="544" r:id="rId245"/>
    <sheet name="06.02.2024" sheetId="545" r:id="rId246"/>
    <sheet name="07.02.2024" sheetId="546" r:id="rId247"/>
    <sheet name="08.02.2024" sheetId="547" r:id="rId248"/>
    <sheet name="09.02.2024" sheetId="548" r:id="rId249"/>
    <sheet name="10.02.2024" sheetId="549" r:id="rId250"/>
    <sheet name="12.02.2024" sheetId="550" r:id="rId251"/>
    <sheet name="13.02.2024" sheetId="551" r:id="rId252"/>
    <sheet name="14.02.2024" sheetId="552" r:id="rId253"/>
    <sheet name="15.02.2024" sheetId="553" r:id="rId254"/>
    <sheet name="16.02.2024" sheetId="554" r:id="rId255"/>
    <sheet name="17.02.2024" sheetId="555" r:id="rId256"/>
    <sheet name="19.02.2024" sheetId="556" r:id="rId257"/>
    <sheet name="20.02.2024" sheetId="557" r:id="rId258"/>
    <sheet name="21.02.2024" sheetId="558" r:id="rId259"/>
    <sheet name="22.02.2024" sheetId="559" r:id="rId260"/>
    <sheet name="23.02.2024" sheetId="560" r:id="rId261"/>
    <sheet name="24.02.2024" sheetId="561" r:id="rId262"/>
    <sheet name="26.02.2024" sheetId="562" r:id="rId263"/>
    <sheet name="27.02.2024" sheetId="563" r:id="rId264"/>
    <sheet name="28.02.2024" sheetId="564" r:id="rId265"/>
    <sheet name="29.02.2024" sheetId="565" r:id="rId266"/>
    <sheet name="01.03.2024" sheetId="566" r:id="rId267"/>
    <sheet name="02.03.2024" sheetId="567" r:id="rId268"/>
    <sheet name="04.03.2024" sheetId="568" r:id="rId269"/>
    <sheet name="05.03.2024" sheetId="569" r:id="rId270"/>
    <sheet name="06.03.2024" sheetId="570" r:id="rId271"/>
    <sheet name="07.03.2024" sheetId="571" r:id="rId272"/>
    <sheet name="08.03.2024" sheetId="572" r:id="rId273"/>
    <sheet name="09.03.2024" sheetId="573" r:id="rId274"/>
    <sheet name="11.03.2024" sheetId="574" r:id="rId275"/>
    <sheet name="12.03.2024" sheetId="575" r:id="rId276"/>
    <sheet name="13.03.2024" sheetId="576" r:id="rId277"/>
    <sheet name="14.03.2024" sheetId="577" r:id="rId278"/>
    <sheet name="15.03.2024" sheetId="578" r:id="rId279"/>
    <sheet name="18.03.2024" sheetId="579" r:id="rId280"/>
    <sheet name="19.03.2024" sheetId="580" r:id="rId281"/>
    <sheet name="20.03.2024" sheetId="581" r:id="rId282"/>
    <sheet name="21.03.2024" sheetId="582" r:id="rId283"/>
    <sheet name="23.03.2024" sheetId="583" r:id="rId284"/>
    <sheet name="26.03.2024" sheetId="584" r:id="rId285"/>
    <sheet name="27.03.2024" sheetId="585" r:id="rId286"/>
    <sheet name="28.03.2024" sheetId="586" r:id="rId287"/>
    <sheet name="29.03.2024" sheetId="587" r:id="rId288"/>
    <sheet name="30.03.2024" sheetId="588" r:id="rId289"/>
    <sheet name="01.04.2024" sheetId="589" r:id="rId290"/>
    <sheet name="Sheet3" sheetId="497" r:id="rId291"/>
  </sheets>
  <definedNames>
    <definedName name="_xlnm._FilterDatabase" localSheetId="290" hidden="1">Sheet3!$I$1:$L$74</definedName>
  </definedNames>
  <calcPr calcId="18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78" i="589" l="1"/>
  <c r="F30" i="589" l="1"/>
  <c r="E19" i="589"/>
  <c r="E162" i="589" l="1"/>
  <c r="D162" i="589"/>
  <c r="E155" i="589"/>
  <c r="E157" i="589" s="1"/>
  <c r="D155" i="589"/>
  <c r="D157" i="589" s="1"/>
  <c r="C155" i="589"/>
  <c r="F154" i="589"/>
  <c r="C154" i="589"/>
  <c r="C157" i="589" s="1"/>
  <c r="F153" i="589"/>
  <c r="C153" i="589"/>
  <c r="D149" i="589"/>
  <c r="D88" i="589" s="1"/>
  <c r="D89" i="589" s="1"/>
  <c r="M99" i="589"/>
  <c r="L99" i="589"/>
  <c r="K99" i="589"/>
  <c r="F99" i="589"/>
  <c r="E99" i="589"/>
  <c r="D99" i="589"/>
  <c r="N98" i="589"/>
  <c r="I98" i="589"/>
  <c r="F98" i="589"/>
  <c r="E98" i="589"/>
  <c r="D98" i="589"/>
  <c r="N97" i="589"/>
  <c r="C97" i="589"/>
  <c r="N96" i="589"/>
  <c r="K94" i="589"/>
  <c r="D93" i="589"/>
  <c r="D95" i="589" s="1"/>
  <c r="J84" i="589"/>
  <c r="K83" i="589" s="1"/>
  <c r="E81" i="589"/>
  <c r="E80" i="589"/>
  <c r="P78" i="589"/>
  <c r="E78" i="589"/>
  <c r="J35" i="589"/>
  <c r="J37" i="589" s="1"/>
  <c r="K33" i="589"/>
  <c r="E32" i="589"/>
  <c r="E30" i="589"/>
  <c r="E31" i="589" s="1"/>
  <c r="K31" i="589" s="1"/>
  <c r="J22" i="589"/>
  <c r="J24" i="589" s="1"/>
  <c r="E34" i="589" s="1"/>
  <c r="F19" i="589"/>
  <c r="E20" i="589" s="1"/>
  <c r="K7" i="589"/>
  <c r="F6" i="589"/>
  <c r="E6" i="589"/>
  <c r="D156" i="588"/>
  <c r="D95" i="588" s="1"/>
  <c r="D96" i="588" s="1"/>
  <c r="F16" i="588"/>
  <c r="E169" i="588"/>
  <c r="D169" i="588"/>
  <c r="E162" i="588"/>
  <c r="E164" i="588" s="1"/>
  <c r="D162" i="588"/>
  <c r="D164" i="588" s="1"/>
  <c r="C162" i="588"/>
  <c r="F161" i="588"/>
  <c r="C161" i="588"/>
  <c r="C164" i="588" s="1"/>
  <c r="F160" i="588"/>
  <c r="C160" i="588"/>
  <c r="M106" i="588"/>
  <c r="L106" i="588"/>
  <c r="K106" i="588"/>
  <c r="F106" i="588"/>
  <c r="E106" i="588"/>
  <c r="D106" i="588"/>
  <c r="N105" i="588"/>
  <c r="I105" i="588"/>
  <c r="F105" i="588"/>
  <c r="E105" i="588"/>
  <c r="D105" i="588"/>
  <c r="N104" i="588"/>
  <c r="C104" i="588"/>
  <c r="N103" i="588"/>
  <c r="K101" i="588"/>
  <c r="D100" i="588"/>
  <c r="D102" i="588" s="1"/>
  <c r="J91" i="588"/>
  <c r="K90" i="588" s="1"/>
  <c r="E88" i="588"/>
  <c r="E87" i="588"/>
  <c r="P85" i="588"/>
  <c r="F85" i="588"/>
  <c r="E85" i="588"/>
  <c r="J49" i="588"/>
  <c r="J51" i="588" s="1"/>
  <c r="K47" i="588"/>
  <c r="E46" i="588"/>
  <c r="F44" i="588"/>
  <c r="E44" i="588"/>
  <c r="J19" i="588"/>
  <c r="J21" i="588" s="1"/>
  <c r="E48" i="588" s="1"/>
  <c r="E16" i="588"/>
  <c r="K7" i="588"/>
  <c r="F6" i="588"/>
  <c r="E6" i="588"/>
  <c r="J34" i="587"/>
  <c r="E79" i="587"/>
  <c r="G98" i="589" l="1"/>
  <c r="H98" i="589" s="1"/>
  <c r="F155" i="589"/>
  <c r="F157" i="589" s="1"/>
  <c r="E79" i="589"/>
  <c r="L78" i="589" s="1"/>
  <c r="E7" i="589"/>
  <c r="E33" i="589"/>
  <c r="G99" i="589"/>
  <c r="H99" i="589" s="1"/>
  <c r="E83" i="589"/>
  <c r="N99" i="589"/>
  <c r="E7" i="588"/>
  <c r="E90" i="588"/>
  <c r="F162" i="588"/>
  <c r="F164" i="588" s="1"/>
  <c r="G106" i="588"/>
  <c r="H106" i="588" s="1"/>
  <c r="N106" i="588"/>
  <c r="G105" i="588"/>
  <c r="H105" i="588" s="1"/>
  <c r="E45" i="588"/>
  <c r="K45" i="588" s="1"/>
  <c r="E17" i="588"/>
  <c r="E86" i="588"/>
  <c r="L85" i="588" s="1"/>
  <c r="F13" i="587"/>
  <c r="E155" i="587"/>
  <c r="D155" i="587"/>
  <c r="E148" i="587"/>
  <c r="E150" i="587" s="1"/>
  <c r="D148" i="587"/>
  <c r="D150" i="587" s="1"/>
  <c r="C148" i="587"/>
  <c r="F147" i="587"/>
  <c r="C147" i="587"/>
  <c r="C150" i="587" s="1"/>
  <c r="F146" i="587"/>
  <c r="C146" i="587"/>
  <c r="D142" i="587"/>
  <c r="D86" i="587" s="1"/>
  <c r="D87" i="587" s="1"/>
  <c r="M97" i="587"/>
  <c r="L97" i="587"/>
  <c r="K97" i="587"/>
  <c r="F97" i="587"/>
  <c r="E97" i="587"/>
  <c r="D97" i="587"/>
  <c r="N96" i="587"/>
  <c r="I96" i="587"/>
  <c r="F96" i="587"/>
  <c r="E96" i="587"/>
  <c r="D96" i="587"/>
  <c r="N95" i="587"/>
  <c r="C95" i="587"/>
  <c r="N94" i="587"/>
  <c r="K92" i="587"/>
  <c r="D91" i="587"/>
  <c r="D93" i="587" s="1"/>
  <c r="J82" i="587"/>
  <c r="K81" i="587" s="1"/>
  <c r="E78" i="587"/>
  <c r="P76" i="587"/>
  <c r="F76" i="587"/>
  <c r="E76" i="587"/>
  <c r="J36" i="587"/>
  <c r="K32" i="587"/>
  <c r="E31" i="587"/>
  <c r="F29" i="587"/>
  <c r="E29" i="587"/>
  <c r="J16" i="587"/>
  <c r="J18" i="587" s="1"/>
  <c r="E33" i="587" s="1"/>
  <c r="E13" i="587"/>
  <c r="K7" i="587"/>
  <c r="F6" i="587"/>
  <c r="E6" i="587"/>
  <c r="J46" i="586"/>
  <c r="E92" i="586"/>
  <c r="J48" i="586"/>
  <c r="E82" i="589" l="1"/>
  <c r="F148" i="587"/>
  <c r="F150" i="587" s="1"/>
  <c r="E47" i="588"/>
  <c r="E89" i="588"/>
  <c r="E7" i="587"/>
  <c r="G97" i="587"/>
  <c r="H97" i="587" s="1"/>
  <c r="N97" i="587"/>
  <c r="G96" i="587"/>
  <c r="H96" i="587" s="1"/>
  <c r="E14" i="587"/>
  <c r="E30" i="587"/>
  <c r="K30" i="587" s="1"/>
  <c r="E81" i="587"/>
  <c r="E77" i="587"/>
  <c r="L76" i="587" s="1"/>
  <c r="E168" i="586"/>
  <c r="D168" i="586"/>
  <c r="E161" i="586"/>
  <c r="E163" i="586" s="1"/>
  <c r="D161" i="586"/>
  <c r="D163" i="586" s="1"/>
  <c r="C161" i="586"/>
  <c r="F160" i="586"/>
  <c r="C160" i="586"/>
  <c r="C163" i="586" s="1"/>
  <c r="F159" i="586"/>
  <c r="C159" i="586"/>
  <c r="D155" i="586"/>
  <c r="D99" i="586" s="1"/>
  <c r="D100" i="586" s="1"/>
  <c r="M110" i="586"/>
  <c r="L110" i="586"/>
  <c r="K110" i="586"/>
  <c r="F110" i="586"/>
  <c r="E110" i="586"/>
  <c r="D110" i="586"/>
  <c r="N109" i="586"/>
  <c r="I109" i="586"/>
  <c r="F109" i="586"/>
  <c r="E109" i="586"/>
  <c r="D109" i="586"/>
  <c r="N108" i="586"/>
  <c r="C108" i="586"/>
  <c r="N107" i="586"/>
  <c r="K105" i="586"/>
  <c r="D104" i="586"/>
  <c r="D106" i="586" s="1"/>
  <c r="J95" i="586"/>
  <c r="K94" i="586" s="1"/>
  <c r="E91" i="586"/>
  <c r="P89" i="586"/>
  <c r="F89" i="586"/>
  <c r="E89" i="586"/>
  <c r="J50" i="586"/>
  <c r="K46" i="586"/>
  <c r="E45" i="586"/>
  <c r="F43" i="586"/>
  <c r="E43" i="586"/>
  <c r="J36" i="586"/>
  <c r="J38" i="586" s="1"/>
  <c r="E47" i="586" s="1"/>
  <c r="F33" i="586"/>
  <c r="E33" i="586"/>
  <c r="K7" i="586"/>
  <c r="F6" i="586"/>
  <c r="E6" i="586"/>
  <c r="D129" i="585"/>
  <c r="D131" i="585" s="1"/>
  <c r="E33" i="585"/>
  <c r="F33" i="585"/>
  <c r="E94" i="586" l="1"/>
  <c r="E80" i="587"/>
  <c r="E32" i="587"/>
  <c r="F161" i="586"/>
  <c r="F163" i="586" s="1"/>
  <c r="E44" i="586"/>
  <c r="K44" i="586" s="1"/>
  <c r="E90" i="586"/>
  <c r="L89" i="586" s="1"/>
  <c r="G109" i="586"/>
  <c r="H109" i="586" s="1"/>
  <c r="E7" i="586"/>
  <c r="N110" i="586"/>
  <c r="G110" i="586"/>
  <c r="H110" i="586" s="1"/>
  <c r="E34" i="586"/>
  <c r="E136" i="585"/>
  <c r="D136" i="585"/>
  <c r="E129" i="585"/>
  <c r="E131" i="585" s="1"/>
  <c r="C129" i="585"/>
  <c r="F128" i="585"/>
  <c r="C128" i="585"/>
  <c r="C131" i="585" s="1"/>
  <c r="F127" i="585"/>
  <c r="C127" i="585"/>
  <c r="D123" i="585"/>
  <c r="D67" i="585" s="1"/>
  <c r="D68" i="585" s="1"/>
  <c r="M78" i="585"/>
  <c r="L78" i="585"/>
  <c r="K78" i="585"/>
  <c r="F78" i="585"/>
  <c r="E78" i="585"/>
  <c r="D78" i="585"/>
  <c r="N77" i="585"/>
  <c r="I77" i="585"/>
  <c r="F77" i="585"/>
  <c r="E77" i="585"/>
  <c r="D77" i="585"/>
  <c r="N76" i="585"/>
  <c r="C76" i="585"/>
  <c r="N75" i="585"/>
  <c r="K73" i="585"/>
  <c r="D72" i="585"/>
  <c r="D74" i="585" s="1"/>
  <c r="J63" i="585"/>
  <c r="K62" i="585" s="1"/>
  <c r="E60" i="585"/>
  <c r="E59" i="585"/>
  <c r="P57" i="585"/>
  <c r="F57" i="585"/>
  <c r="E57" i="585"/>
  <c r="J38" i="585"/>
  <c r="J40" i="585" s="1"/>
  <c r="K36" i="585"/>
  <c r="E35" i="585"/>
  <c r="J26" i="585"/>
  <c r="J28" i="585" s="1"/>
  <c r="E37" i="585" s="1"/>
  <c r="E23" i="585"/>
  <c r="F23" i="585"/>
  <c r="K7" i="585"/>
  <c r="F6" i="585"/>
  <c r="E6" i="585"/>
  <c r="D117" i="584"/>
  <c r="D61" i="584" s="1"/>
  <c r="D62" i="584" s="1"/>
  <c r="E22" i="584"/>
  <c r="F15" i="584"/>
  <c r="F16" i="584" s="1"/>
  <c r="E130" i="584"/>
  <c r="D130" i="584"/>
  <c r="E123" i="584"/>
  <c r="E125" i="584" s="1"/>
  <c r="D123" i="584"/>
  <c r="D125" i="584" s="1"/>
  <c r="C123" i="584"/>
  <c r="F122" i="584"/>
  <c r="C122" i="584"/>
  <c r="C125" i="584" s="1"/>
  <c r="F121" i="584"/>
  <c r="C121" i="584"/>
  <c r="M72" i="584"/>
  <c r="L72" i="584"/>
  <c r="K72" i="584"/>
  <c r="F72" i="584"/>
  <c r="E72" i="584"/>
  <c r="D72" i="584"/>
  <c r="N71" i="584"/>
  <c r="I71" i="584"/>
  <c r="F71" i="584"/>
  <c r="E71" i="584"/>
  <c r="D71" i="584"/>
  <c r="N70" i="584"/>
  <c r="C70" i="584"/>
  <c r="N69" i="584"/>
  <c r="K67" i="584"/>
  <c r="D66" i="584"/>
  <c r="D68" i="584" s="1"/>
  <c r="J57" i="584"/>
  <c r="K56" i="584" s="1"/>
  <c r="E54" i="584"/>
  <c r="E53" i="584"/>
  <c r="P51" i="584"/>
  <c r="F51" i="584"/>
  <c r="E51" i="584"/>
  <c r="J27" i="584"/>
  <c r="J29" i="584" s="1"/>
  <c r="K25" i="584"/>
  <c r="E24" i="584"/>
  <c r="F22" i="584"/>
  <c r="J19" i="584"/>
  <c r="J21" i="584" s="1"/>
  <c r="E26" i="584" s="1"/>
  <c r="E16" i="584"/>
  <c r="K7" i="584"/>
  <c r="F6" i="584"/>
  <c r="E6" i="584"/>
  <c r="D198" i="583"/>
  <c r="D147" i="583" s="1"/>
  <c r="D148" i="583" s="1"/>
  <c r="K3" i="497"/>
  <c r="L3" i="497"/>
  <c r="K4" i="497"/>
  <c r="J3" i="497" s="1"/>
  <c r="L4" i="497"/>
  <c r="K5" i="497"/>
  <c r="J4" i="497" s="1"/>
  <c r="L5" i="497"/>
  <c r="K6" i="497"/>
  <c r="J5" i="497" s="1"/>
  <c r="L6" i="497"/>
  <c r="K7" i="497"/>
  <c r="J6" i="497" s="1"/>
  <c r="L7" i="497"/>
  <c r="K8" i="497"/>
  <c r="J7" i="497" s="1"/>
  <c r="L8" i="497"/>
  <c r="K28" i="497"/>
  <c r="L28" i="497"/>
  <c r="K9" i="497"/>
  <c r="L9" i="497"/>
  <c r="K10" i="497"/>
  <c r="J9" i="497" s="1"/>
  <c r="L10" i="497"/>
  <c r="K29" i="497"/>
  <c r="L29" i="497"/>
  <c r="K11" i="497"/>
  <c r="L11" i="497"/>
  <c r="K12" i="497"/>
  <c r="J11" i="497" s="1"/>
  <c r="L12" i="497"/>
  <c r="K30" i="497"/>
  <c r="L30" i="497"/>
  <c r="K13" i="497"/>
  <c r="L13" i="497"/>
  <c r="K31" i="497"/>
  <c r="J30" i="497" s="1"/>
  <c r="L31" i="497"/>
  <c r="K32" i="497"/>
  <c r="J31" i="497" s="1"/>
  <c r="L32" i="497"/>
  <c r="K14" i="497"/>
  <c r="L14" i="497"/>
  <c r="K33" i="497"/>
  <c r="J32" i="497" s="1"/>
  <c r="L33" i="497"/>
  <c r="K34" i="497"/>
  <c r="J33" i="497" s="1"/>
  <c r="L34" i="497"/>
  <c r="K15" i="497"/>
  <c r="L15" i="497"/>
  <c r="K35" i="497"/>
  <c r="J34" i="497" s="1"/>
  <c r="L35" i="497"/>
  <c r="K36" i="497"/>
  <c r="J35" i="497" s="1"/>
  <c r="L36" i="497"/>
  <c r="K37" i="497"/>
  <c r="J36" i="497" s="1"/>
  <c r="L37" i="497"/>
  <c r="K38" i="497"/>
  <c r="J37" i="497" s="1"/>
  <c r="L38" i="497"/>
  <c r="K39" i="497"/>
  <c r="J38" i="497" s="1"/>
  <c r="L39" i="497"/>
  <c r="K40" i="497"/>
  <c r="J39" i="497" s="1"/>
  <c r="L40" i="497"/>
  <c r="K41" i="497"/>
  <c r="J40" i="497" s="1"/>
  <c r="L41" i="497"/>
  <c r="K16" i="497"/>
  <c r="L16" i="497"/>
  <c r="K17" i="497"/>
  <c r="J16" i="497" s="1"/>
  <c r="L17" i="497"/>
  <c r="K18" i="497"/>
  <c r="J17" i="497" s="1"/>
  <c r="L18" i="497"/>
  <c r="K19" i="497"/>
  <c r="J18" i="497" s="1"/>
  <c r="L19" i="497"/>
  <c r="K20" i="497"/>
  <c r="J19" i="497" s="1"/>
  <c r="L20" i="497"/>
  <c r="K21" i="497"/>
  <c r="J20" i="497" s="1"/>
  <c r="L21" i="497"/>
  <c r="K22" i="497"/>
  <c r="J21" i="497" s="1"/>
  <c r="L22" i="497"/>
  <c r="K23" i="497"/>
  <c r="J22" i="497" s="1"/>
  <c r="L23" i="497"/>
  <c r="K24" i="497"/>
  <c r="J23" i="497" s="1"/>
  <c r="L24" i="497"/>
  <c r="K25" i="497"/>
  <c r="J24" i="497" s="1"/>
  <c r="L25" i="497"/>
  <c r="K26" i="497"/>
  <c r="J25" i="497" s="1"/>
  <c r="L26" i="497"/>
  <c r="K27" i="497"/>
  <c r="J26" i="497" s="1"/>
  <c r="L27" i="497"/>
  <c r="K42" i="497"/>
  <c r="J41" i="497" s="1"/>
  <c r="L42" i="497"/>
  <c r="K43" i="497"/>
  <c r="J42" i="497" s="1"/>
  <c r="L43" i="497"/>
  <c r="K44" i="497"/>
  <c r="J43" i="497" s="1"/>
  <c r="L44" i="497"/>
  <c r="K45" i="497"/>
  <c r="J44" i="497" s="1"/>
  <c r="L45" i="497"/>
  <c r="K46" i="497"/>
  <c r="J45" i="497" s="1"/>
  <c r="L46" i="497"/>
  <c r="K47" i="497"/>
  <c r="J46" i="497" s="1"/>
  <c r="L47" i="497"/>
  <c r="K48" i="497"/>
  <c r="J47" i="497" s="1"/>
  <c r="L48" i="497"/>
  <c r="K49" i="497"/>
  <c r="J48" i="497" s="1"/>
  <c r="L49" i="497"/>
  <c r="K50" i="497"/>
  <c r="J49" i="497" s="1"/>
  <c r="L50" i="497"/>
  <c r="K51" i="497"/>
  <c r="J50" i="497" s="1"/>
  <c r="L51" i="497"/>
  <c r="K52" i="497"/>
  <c r="J51" i="497" s="1"/>
  <c r="L52" i="497"/>
  <c r="K53" i="497"/>
  <c r="J52" i="497" s="1"/>
  <c r="L53" i="497"/>
  <c r="K54" i="497"/>
  <c r="J53" i="497" s="1"/>
  <c r="L54" i="497"/>
  <c r="K55" i="497"/>
  <c r="J54" i="497" s="1"/>
  <c r="L55" i="497"/>
  <c r="K56" i="497"/>
  <c r="J55" i="497" s="1"/>
  <c r="L56" i="497"/>
  <c r="K57" i="497"/>
  <c r="J56" i="497" s="1"/>
  <c r="L57" i="497"/>
  <c r="K58" i="497"/>
  <c r="J57" i="497" s="1"/>
  <c r="L58" i="497"/>
  <c r="K59" i="497"/>
  <c r="J58" i="497" s="1"/>
  <c r="L59" i="497"/>
  <c r="K60" i="497"/>
  <c r="J59" i="497" s="1"/>
  <c r="L60" i="497"/>
  <c r="K61" i="497"/>
  <c r="J60" i="497" s="1"/>
  <c r="L61" i="497"/>
  <c r="K62" i="497"/>
  <c r="J61" i="497" s="1"/>
  <c r="L62" i="497"/>
  <c r="K63" i="497"/>
  <c r="J62" i="497" s="1"/>
  <c r="L63" i="497"/>
  <c r="K64" i="497"/>
  <c r="J63" i="497" s="1"/>
  <c r="L64" i="497"/>
  <c r="K65" i="497"/>
  <c r="J64" i="497" s="1"/>
  <c r="L65" i="497"/>
  <c r="K66" i="497"/>
  <c r="J65" i="497" s="1"/>
  <c r="L66" i="497"/>
  <c r="K67" i="497"/>
  <c r="J66" i="497" s="1"/>
  <c r="L67" i="497"/>
  <c r="K68" i="497"/>
  <c r="J67" i="497" s="1"/>
  <c r="L68" i="497"/>
  <c r="K69" i="497"/>
  <c r="J68" i="497" s="1"/>
  <c r="L69" i="497"/>
  <c r="K70" i="497"/>
  <c r="J69" i="497" s="1"/>
  <c r="L70" i="497"/>
  <c r="K71" i="497"/>
  <c r="J70" i="497" s="1"/>
  <c r="L71" i="497"/>
  <c r="K72" i="497"/>
  <c r="J71" i="497" s="1"/>
  <c r="L72" i="497"/>
  <c r="K73" i="497"/>
  <c r="J72" i="497" s="1"/>
  <c r="L73" i="497"/>
  <c r="J74" i="497"/>
  <c r="K74" i="497"/>
  <c r="J73" i="497" s="1"/>
  <c r="L74" i="497"/>
  <c r="L2" i="497"/>
  <c r="K2" i="497"/>
  <c r="E211" i="583"/>
  <c r="D211" i="583"/>
  <c r="E204" i="583"/>
  <c r="E206" i="583" s="1"/>
  <c r="D204" i="583"/>
  <c r="D206" i="583" s="1"/>
  <c r="C204" i="583"/>
  <c r="F203" i="583"/>
  <c r="C203" i="583"/>
  <c r="C206" i="583" s="1"/>
  <c r="F202" i="583"/>
  <c r="C202" i="583"/>
  <c r="M158" i="583"/>
  <c r="L158" i="583"/>
  <c r="K158" i="583"/>
  <c r="F158" i="583"/>
  <c r="E158" i="583"/>
  <c r="D158" i="583"/>
  <c r="N157" i="583"/>
  <c r="I157" i="583"/>
  <c r="F157" i="583"/>
  <c r="E157" i="583"/>
  <c r="D157" i="583"/>
  <c r="N156" i="583"/>
  <c r="C156" i="583"/>
  <c r="N155" i="583"/>
  <c r="K153" i="583"/>
  <c r="D152" i="583"/>
  <c r="D154" i="583" s="1"/>
  <c r="J143" i="583"/>
  <c r="K142" i="583" s="1"/>
  <c r="E140" i="583"/>
  <c r="E139" i="583"/>
  <c r="P137" i="583"/>
  <c r="F137" i="583"/>
  <c r="E137" i="583"/>
  <c r="J62" i="583"/>
  <c r="J64" i="583" s="1"/>
  <c r="K60" i="583"/>
  <c r="E59" i="583"/>
  <c r="F57" i="583"/>
  <c r="E57" i="583"/>
  <c r="J19" i="583"/>
  <c r="J21" i="583" s="1"/>
  <c r="E61" i="583" s="1"/>
  <c r="F16" i="583"/>
  <c r="E16" i="583"/>
  <c r="K7" i="583"/>
  <c r="F6" i="583"/>
  <c r="E6" i="583"/>
  <c r="D153" i="582"/>
  <c r="D104" i="582" s="1"/>
  <c r="D105" i="582" s="1"/>
  <c r="E80" i="582"/>
  <c r="E94" i="582" s="1"/>
  <c r="F94" i="582"/>
  <c r="P94" i="582"/>
  <c r="K7" i="582"/>
  <c r="E54" i="582"/>
  <c r="F54" i="582"/>
  <c r="F27" i="582"/>
  <c r="E27" i="582"/>
  <c r="F6" i="582"/>
  <c r="E166" i="582"/>
  <c r="D166" i="582"/>
  <c r="E159" i="582"/>
  <c r="E161" i="582" s="1"/>
  <c r="D159" i="582"/>
  <c r="D161" i="582" s="1"/>
  <c r="C159" i="582"/>
  <c r="F158" i="582"/>
  <c r="C158" i="582"/>
  <c r="C161" i="582" s="1"/>
  <c r="F157" i="582"/>
  <c r="C157" i="582"/>
  <c r="M115" i="582"/>
  <c r="L115" i="582"/>
  <c r="K115" i="582"/>
  <c r="F115" i="582"/>
  <c r="E115" i="582"/>
  <c r="D115" i="582"/>
  <c r="N114" i="582"/>
  <c r="I114" i="582"/>
  <c r="F114" i="582"/>
  <c r="E114" i="582"/>
  <c r="D114" i="582"/>
  <c r="N113" i="582"/>
  <c r="C113" i="582"/>
  <c r="N112" i="582"/>
  <c r="K110" i="582"/>
  <c r="D109" i="582"/>
  <c r="D111" i="582" s="1"/>
  <c r="J100" i="582"/>
  <c r="K99" i="582" s="1"/>
  <c r="E97" i="582"/>
  <c r="E96" i="582"/>
  <c r="J59" i="582"/>
  <c r="J61" i="582" s="1"/>
  <c r="K57" i="582"/>
  <c r="E56" i="582"/>
  <c r="J30" i="582"/>
  <c r="J32" i="582" s="1"/>
  <c r="E58" i="582" s="1"/>
  <c r="E6" i="582"/>
  <c r="D173" i="581"/>
  <c r="E115" i="581"/>
  <c r="F115" i="581"/>
  <c r="E117" i="581"/>
  <c r="E118" i="581"/>
  <c r="F38" i="581"/>
  <c r="E38" i="581"/>
  <c r="E62" i="585" l="1"/>
  <c r="E46" i="586"/>
  <c r="E93" i="586"/>
  <c r="E56" i="584"/>
  <c r="E34" i="585"/>
  <c r="K34" i="585" s="1"/>
  <c r="E7" i="585"/>
  <c r="E58" i="585"/>
  <c r="L57" i="585" s="1"/>
  <c r="N78" i="585"/>
  <c r="G77" i="585"/>
  <c r="H77" i="585" s="1"/>
  <c r="G78" i="585"/>
  <c r="H78" i="585" s="1"/>
  <c r="F129" i="585"/>
  <c r="F131" i="585" s="1"/>
  <c r="E24" i="585"/>
  <c r="F123" i="584"/>
  <c r="F125" i="584" s="1"/>
  <c r="E7" i="584"/>
  <c r="N72" i="584"/>
  <c r="G71" i="584"/>
  <c r="H71" i="584" s="1"/>
  <c r="G72" i="584"/>
  <c r="H72" i="584" s="1"/>
  <c r="E23" i="584"/>
  <c r="K23" i="584" s="1"/>
  <c r="E52" i="584"/>
  <c r="L51" i="584" s="1"/>
  <c r="E17" i="584"/>
  <c r="J28" i="497"/>
  <c r="G157" i="583"/>
  <c r="H157" i="583" s="1"/>
  <c r="J10" i="497"/>
  <c r="F204" i="583"/>
  <c r="F206" i="583" s="1"/>
  <c r="G158" i="583"/>
  <c r="H158" i="583" s="1"/>
  <c r="E17" i="583"/>
  <c r="N158" i="583"/>
  <c r="E7" i="583"/>
  <c r="E58" i="583"/>
  <c r="E60" i="583" s="1"/>
  <c r="E142" i="583"/>
  <c r="J12" i="497"/>
  <c r="J8" i="497"/>
  <c r="J15" i="497"/>
  <c r="J14" i="497"/>
  <c r="J13" i="497"/>
  <c r="J27" i="497"/>
  <c r="J29" i="497"/>
  <c r="E138" i="583"/>
  <c r="L137" i="583" s="1"/>
  <c r="J2" i="497"/>
  <c r="E28" i="582"/>
  <c r="G115" i="582"/>
  <c r="H115" i="582" s="1"/>
  <c r="G114" i="582"/>
  <c r="H114" i="582" s="1"/>
  <c r="E95" i="582"/>
  <c r="L94" i="582" s="1"/>
  <c r="E99" i="582"/>
  <c r="N115" i="582"/>
  <c r="E7" i="582"/>
  <c r="E55" i="582"/>
  <c r="E57" i="582" s="1"/>
  <c r="F159" i="582"/>
  <c r="F161" i="582" s="1"/>
  <c r="E116" i="581"/>
  <c r="E119" i="581" s="1"/>
  <c r="E36" i="585" l="1"/>
  <c r="E61" i="585"/>
  <c r="E55" i="584"/>
  <c r="E25" i="584"/>
  <c r="K58" i="583"/>
  <c r="E141" i="583"/>
  <c r="E98" i="582"/>
  <c r="K55" i="582"/>
  <c r="E186" i="581"/>
  <c r="D186" i="581"/>
  <c r="E179" i="581"/>
  <c r="E181" i="581" s="1"/>
  <c r="D179" i="581"/>
  <c r="D181" i="581" s="1"/>
  <c r="C179" i="581"/>
  <c r="F178" i="581"/>
  <c r="C178" i="581"/>
  <c r="C181" i="581" s="1"/>
  <c r="F177" i="581"/>
  <c r="C177" i="581"/>
  <c r="D125" i="581"/>
  <c r="D126" i="581" s="1"/>
  <c r="M136" i="581"/>
  <c r="L136" i="581"/>
  <c r="K136" i="581"/>
  <c r="F136" i="581"/>
  <c r="E136" i="581"/>
  <c r="D136" i="581"/>
  <c r="N135" i="581"/>
  <c r="I135" i="581"/>
  <c r="F135" i="581"/>
  <c r="E135" i="581"/>
  <c r="D135" i="581"/>
  <c r="N134" i="581"/>
  <c r="C134" i="581"/>
  <c r="N133" i="581"/>
  <c r="K131" i="581"/>
  <c r="D130" i="581"/>
  <c r="D132" i="581" s="1"/>
  <c r="J121" i="581"/>
  <c r="K120" i="581" s="1"/>
  <c r="J43" i="581"/>
  <c r="J45" i="581" s="1"/>
  <c r="E120" i="581" s="1"/>
  <c r="K41" i="581"/>
  <c r="E40" i="581"/>
  <c r="J17" i="581"/>
  <c r="J19" i="581" s="1"/>
  <c r="E42" i="581" s="1"/>
  <c r="F14" i="581"/>
  <c r="E14" i="581"/>
  <c r="K8" i="581"/>
  <c r="F7" i="581"/>
  <c r="E7" i="581"/>
  <c r="F7" i="580"/>
  <c r="D139" i="580"/>
  <c r="E84" i="580"/>
  <c r="E35" i="580"/>
  <c r="G136" i="581" l="1"/>
  <c r="H136" i="581" s="1"/>
  <c r="E39" i="581"/>
  <c r="K39" i="581" s="1"/>
  <c r="G135" i="581"/>
  <c r="H135" i="581" s="1"/>
  <c r="N136" i="581"/>
  <c r="F179" i="581"/>
  <c r="F181" i="581" s="1"/>
  <c r="E15" i="581"/>
  <c r="E8" i="581"/>
  <c r="L115" i="581"/>
  <c r="E26" i="580"/>
  <c r="F20" i="580"/>
  <c r="E152" i="580"/>
  <c r="D152" i="580"/>
  <c r="E145" i="580"/>
  <c r="E147" i="580" s="1"/>
  <c r="D145" i="580"/>
  <c r="D147" i="580" s="1"/>
  <c r="C145" i="580"/>
  <c r="F144" i="580"/>
  <c r="C144" i="580"/>
  <c r="C147" i="580" s="1"/>
  <c r="F143" i="580"/>
  <c r="C143" i="580"/>
  <c r="M103" i="580"/>
  <c r="L103" i="580"/>
  <c r="K103" i="580"/>
  <c r="F103" i="580"/>
  <c r="E103" i="580"/>
  <c r="D103" i="580"/>
  <c r="N102" i="580"/>
  <c r="I102" i="580"/>
  <c r="F102" i="580"/>
  <c r="E102" i="580"/>
  <c r="D102" i="580"/>
  <c r="N101" i="580"/>
  <c r="C101" i="580"/>
  <c r="N100" i="580"/>
  <c r="K98" i="580"/>
  <c r="D97" i="580"/>
  <c r="D99" i="580" s="1"/>
  <c r="D92" i="580"/>
  <c r="D93" i="580" s="1"/>
  <c r="J88" i="580"/>
  <c r="K87" i="580" s="1"/>
  <c r="E85" i="580"/>
  <c r="F82" i="580"/>
  <c r="E82" i="580"/>
  <c r="J31" i="580"/>
  <c r="J33" i="580" s="1"/>
  <c r="E87" i="580" s="1"/>
  <c r="K29" i="580"/>
  <c r="E28" i="580"/>
  <c r="F26" i="580"/>
  <c r="J23" i="580"/>
  <c r="J25" i="580" s="1"/>
  <c r="E30" i="580" s="1"/>
  <c r="E20" i="580"/>
  <c r="K8" i="580"/>
  <c r="E7" i="580"/>
  <c r="D189" i="579"/>
  <c r="F69" i="579"/>
  <c r="E69" i="579"/>
  <c r="E41" i="581" l="1"/>
  <c r="E8" i="580"/>
  <c r="E27" i="580"/>
  <c r="E29" i="580" s="1"/>
  <c r="G102" i="580"/>
  <c r="H102" i="580" s="1"/>
  <c r="G103" i="580"/>
  <c r="H103" i="580" s="1"/>
  <c r="E83" i="580"/>
  <c r="L82" i="580" s="1"/>
  <c r="N103" i="580"/>
  <c r="E21" i="580"/>
  <c r="F145" i="580"/>
  <c r="F147" i="580" s="1"/>
  <c r="E138" i="579"/>
  <c r="F138" i="579"/>
  <c r="E141" i="579"/>
  <c r="K27" i="580" l="1"/>
  <c r="E86" i="580"/>
  <c r="E139" i="579"/>
  <c r="E142" i="579" l="1"/>
  <c r="L138" i="579"/>
  <c r="E19" i="579" l="1"/>
  <c r="F7" i="579"/>
  <c r="E202" i="579"/>
  <c r="D202" i="579"/>
  <c r="E195" i="579"/>
  <c r="E197" i="579" s="1"/>
  <c r="D195" i="579"/>
  <c r="D197" i="579" s="1"/>
  <c r="C195" i="579"/>
  <c r="F194" i="579"/>
  <c r="C194" i="579"/>
  <c r="C197" i="579" s="1"/>
  <c r="F193" i="579"/>
  <c r="C193" i="579"/>
  <c r="D148" i="579"/>
  <c r="D149" i="579" s="1"/>
  <c r="M159" i="579"/>
  <c r="L159" i="579"/>
  <c r="K159" i="579"/>
  <c r="F159" i="579"/>
  <c r="E159" i="579"/>
  <c r="D159" i="579"/>
  <c r="N158" i="579"/>
  <c r="I158" i="579"/>
  <c r="F158" i="579"/>
  <c r="E158" i="579"/>
  <c r="D158" i="579"/>
  <c r="N157" i="579"/>
  <c r="C157" i="579"/>
  <c r="N156" i="579"/>
  <c r="K154" i="579"/>
  <c r="D153" i="579"/>
  <c r="D155" i="579" s="1"/>
  <c r="J144" i="579"/>
  <c r="K143" i="579" s="1"/>
  <c r="J74" i="579"/>
  <c r="K72" i="579"/>
  <c r="E71" i="579"/>
  <c r="J22" i="579"/>
  <c r="J24" i="579" s="1"/>
  <c r="E73" i="579" s="1"/>
  <c r="F19" i="579"/>
  <c r="K8" i="579"/>
  <c r="E7" i="579"/>
  <c r="D118" i="578"/>
  <c r="D85" i="578" s="1"/>
  <c r="D86" i="578" s="1"/>
  <c r="F12" i="578"/>
  <c r="F6" i="578"/>
  <c r="E131" i="578"/>
  <c r="D131" i="578"/>
  <c r="E124" i="578"/>
  <c r="E126" i="578" s="1"/>
  <c r="D124" i="578"/>
  <c r="D126" i="578" s="1"/>
  <c r="C124" i="578"/>
  <c r="F123" i="578"/>
  <c r="C123" i="578"/>
  <c r="C126" i="578" s="1"/>
  <c r="F122" i="578"/>
  <c r="C122" i="578"/>
  <c r="M96" i="578"/>
  <c r="L96" i="578"/>
  <c r="K96" i="578"/>
  <c r="F96" i="578"/>
  <c r="E96" i="578"/>
  <c r="D96" i="578"/>
  <c r="N95" i="578"/>
  <c r="I95" i="578"/>
  <c r="F95" i="578"/>
  <c r="E95" i="578"/>
  <c r="D95" i="578"/>
  <c r="N94" i="578"/>
  <c r="C94" i="578"/>
  <c r="N93" i="578"/>
  <c r="K91" i="578"/>
  <c r="D90" i="578"/>
  <c r="D92" i="578" s="1"/>
  <c r="J81" i="578"/>
  <c r="K80" i="578" s="1"/>
  <c r="E78" i="578"/>
  <c r="F75" i="578"/>
  <c r="E75" i="578"/>
  <c r="J40" i="578"/>
  <c r="J42" i="578" s="1"/>
  <c r="E80" i="578" s="1"/>
  <c r="K38" i="578"/>
  <c r="E37" i="578"/>
  <c r="F35" i="578"/>
  <c r="E35" i="578"/>
  <c r="J15" i="578"/>
  <c r="J17" i="578" s="1"/>
  <c r="E39" i="578" s="1"/>
  <c r="E12" i="578"/>
  <c r="K7" i="578"/>
  <c r="E6" i="578"/>
  <c r="D100" i="577"/>
  <c r="D71" i="577" s="1"/>
  <c r="D72" i="577" s="1"/>
  <c r="F15" i="577"/>
  <c r="E113" i="577"/>
  <c r="D113" i="577"/>
  <c r="E106" i="577"/>
  <c r="E108" i="577" s="1"/>
  <c r="D106" i="577"/>
  <c r="D108" i="577" s="1"/>
  <c r="C106" i="577"/>
  <c r="F105" i="577"/>
  <c r="C105" i="577"/>
  <c r="C108" i="577" s="1"/>
  <c r="F104" i="577"/>
  <c r="C104" i="577"/>
  <c r="M82" i="577"/>
  <c r="L82" i="577"/>
  <c r="K82" i="577"/>
  <c r="F82" i="577"/>
  <c r="E82" i="577"/>
  <c r="D82" i="577"/>
  <c r="N81" i="577"/>
  <c r="I81" i="577"/>
  <c r="F81" i="577"/>
  <c r="E81" i="577"/>
  <c r="D81" i="577"/>
  <c r="N80" i="577"/>
  <c r="C80" i="577"/>
  <c r="N79" i="577"/>
  <c r="K77" i="577"/>
  <c r="D76" i="577"/>
  <c r="D78" i="577" s="1"/>
  <c r="J67" i="577"/>
  <c r="K66" i="577" s="1"/>
  <c r="E64" i="577"/>
  <c r="F61" i="577"/>
  <c r="E61" i="577"/>
  <c r="J33" i="577"/>
  <c r="J35" i="577" s="1"/>
  <c r="E66" i="577" s="1"/>
  <c r="K31" i="577"/>
  <c r="E30" i="577"/>
  <c r="F28" i="577"/>
  <c r="E28" i="577"/>
  <c r="J18" i="577"/>
  <c r="J20" i="577" s="1"/>
  <c r="E32" i="577" s="1"/>
  <c r="E15" i="577"/>
  <c r="K9" i="577"/>
  <c r="F8" i="577"/>
  <c r="E8" i="577"/>
  <c r="F8" i="576"/>
  <c r="D116" i="576"/>
  <c r="E45" i="576"/>
  <c r="J76" i="579" l="1"/>
  <c r="E143" i="579" s="1"/>
  <c r="F195" i="579"/>
  <c r="F197" i="579" s="1"/>
  <c r="E70" i="579"/>
  <c r="E72" i="579" s="1"/>
  <c r="G159" i="579"/>
  <c r="H159" i="579" s="1"/>
  <c r="N159" i="579"/>
  <c r="G158" i="579"/>
  <c r="H158" i="579" s="1"/>
  <c r="E20" i="579"/>
  <c r="E8" i="579"/>
  <c r="E76" i="578"/>
  <c r="L75" i="578" s="1"/>
  <c r="F124" i="578"/>
  <c r="F126" i="578" s="1"/>
  <c r="N96" i="578"/>
  <c r="G95" i="578"/>
  <c r="H95" i="578" s="1"/>
  <c r="G96" i="578"/>
  <c r="H96" i="578" s="1"/>
  <c r="E13" i="578"/>
  <c r="E36" i="578"/>
  <c r="E38" i="578" s="1"/>
  <c r="E7" i="578"/>
  <c r="E29" i="577"/>
  <c r="E31" i="577" s="1"/>
  <c r="F106" i="577"/>
  <c r="F108" i="577" s="1"/>
  <c r="E62" i="577"/>
  <c r="L61" i="577" s="1"/>
  <c r="G82" i="577"/>
  <c r="H82" i="577" s="1"/>
  <c r="G81" i="577"/>
  <c r="H81" i="577" s="1"/>
  <c r="E16" i="577"/>
  <c r="N82" i="577"/>
  <c r="E9" i="577"/>
  <c r="F14" i="576"/>
  <c r="E8" i="576"/>
  <c r="E129" i="576"/>
  <c r="D129" i="576"/>
  <c r="E122" i="576"/>
  <c r="E124" i="576" s="1"/>
  <c r="D122" i="576"/>
  <c r="D124" i="576" s="1"/>
  <c r="C122" i="576"/>
  <c r="F121" i="576"/>
  <c r="C121" i="576"/>
  <c r="C124" i="576" s="1"/>
  <c r="F120" i="576"/>
  <c r="C120" i="576"/>
  <c r="M99" i="576"/>
  <c r="L99" i="576"/>
  <c r="K99" i="576"/>
  <c r="F99" i="576"/>
  <c r="E99" i="576"/>
  <c r="D99" i="576"/>
  <c r="N98" i="576"/>
  <c r="I98" i="576"/>
  <c r="F98" i="576"/>
  <c r="E98" i="576"/>
  <c r="D98" i="576"/>
  <c r="N97" i="576"/>
  <c r="C97" i="576"/>
  <c r="N96" i="576"/>
  <c r="K94" i="576"/>
  <c r="D93" i="576"/>
  <c r="D95" i="576" s="1"/>
  <c r="D88" i="576"/>
  <c r="D89" i="576" s="1"/>
  <c r="J84" i="576"/>
  <c r="K83" i="576" s="1"/>
  <c r="E81" i="576"/>
  <c r="F78" i="576"/>
  <c r="E78" i="576"/>
  <c r="J50" i="576"/>
  <c r="J52" i="576" s="1"/>
  <c r="E83" i="576" s="1"/>
  <c r="K48" i="576"/>
  <c r="E47" i="576"/>
  <c r="F45" i="576"/>
  <c r="J17" i="576"/>
  <c r="J19" i="576" s="1"/>
  <c r="E49" i="576" s="1"/>
  <c r="E14" i="576"/>
  <c r="K9" i="576"/>
  <c r="E41" i="575"/>
  <c r="E62" i="575"/>
  <c r="J35" i="575"/>
  <c r="E65" i="577" l="1"/>
  <c r="E15" i="576"/>
  <c r="K70" i="579"/>
  <c r="K29" i="577"/>
  <c r="E79" i="578"/>
  <c r="K36" i="578"/>
  <c r="E9" i="576"/>
  <c r="E79" i="576"/>
  <c r="L78" i="576" s="1"/>
  <c r="F122" i="576"/>
  <c r="F124" i="576" s="1"/>
  <c r="G99" i="576"/>
  <c r="H99" i="576" s="1"/>
  <c r="G98" i="576"/>
  <c r="H98" i="576" s="1"/>
  <c r="N99" i="576"/>
  <c r="E46" i="576"/>
  <c r="E48" i="576" s="1"/>
  <c r="E107" i="575"/>
  <c r="D107" i="575"/>
  <c r="E100" i="575"/>
  <c r="E102" i="575" s="1"/>
  <c r="D100" i="575"/>
  <c r="D102" i="575" s="1"/>
  <c r="C100" i="575"/>
  <c r="F99" i="575"/>
  <c r="C99" i="575"/>
  <c r="C102" i="575" s="1"/>
  <c r="F98" i="575"/>
  <c r="C98" i="575"/>
  <c r="D94" i="575"/>
  <c r="D69" i="575" s="1"/>
  <c r="D70" i="575" s="1"/>
  <c r="M80" i="575"/>
  <c r="L80" i="575"/>
  <c r="K80" i="575"/>
  <c r="F80" i="575"/>
  <c r="E80" i="575"/>
  <c r="D80" i="575"/>
  <c r="N79" i="575"/>
  <c r="I79" i="575"/>
  <c r="F79" i="575"/>
  <c r="E79" i="575"/>
  <c r="D79" i="575"/>
  <c r="N78" i="575"/>
  <c r="C78" i="575"/>
  <c r="N77" i="575"/>
  <c r="K75" i="575"/>
  <c r="D74" i="575"/>
  <c r="D76" i="575" s="1"/>
  <c r="J65" i="575"/>
  <c r="K64" i="575" s="1"/>
  <c r="F59" i="575"/>
  <c r="E59" i="575"/>
  <c r="J37" i="575"/>
  <c r="E64" i="575" s="1"/>
  <c r="K33" i="575"/>
  <c r="E32" i="575"/>
  <c r="F30" i="575"/>
  <c r="E30" i="575"/>
  <c r="J17" i="575"/>
  <c r="J19" i="575" s="1"/>
  <c r="E34" i="575" s="1"/>
  <c r="F14" i="575"/>
  <c r="E14" i="575"/>
  <c r="K7" i="575"/>
  <c r="F6" i="575"/>
  <c r="E6" i="575"/>
  <c r="D114" i="574"/>
  <c r="D89" i="574" s="1"/>
  <c r="D90" i="574" s="1"/>
  <c r="E29" i="574"/>
  <c r="E16" i="574"/>
  <c r="E127" i="574"/>
  <c r="D127" i="574"/>
  <c r="E120" i="574"/>
  <c r="E122" i="574" s="1"/>
  <c r="D120" i="574"/>
  <c r="D122" i="574" s="1"/>
  <c r="C120" i="574"/>
  <c r="F119" i="574"/>
  <c r="C119" i="574"/>
  <c r="C122" i="574" s="1"/>
  <c r="F118" i="574"/>
  <c r="C118" i="574"/>
  <c r="M100" i="574"/>
  <c r="L100" i="574"/>
  <c r="K100" i="574"/>
  <c r="F100" i="574"/>
  <c r="E100" i="574"/>
  <c r="D100" i="574"/>
  <c r="N99" i="574"/>
  <c r="I99" i="574"/>
  <c r="F99" i="574"/>
  <c r="E99" i="574"/>
  <c r="D99" i="574"/>
  <c r="N98" i="574"/>
  <c r="C98" i="574"/>
  <c r="N97" i="574"/>
  <c r="K95" i="574"/>
  <c r="D94" i="574"/>
  <c r="D96" i="574" s="1"/>
  <c r="J85" i="574"/>
  <c r="K84" i="574" s="1"/>
  <c r="E82" i="574"/>
  <c r="F79" i="574"/>
  <c r="E79" i="574"/>
  <c r="J34" i="574"/>
  <c r="J36" i="574" s="1"/>
  <c r="E84" i="574" s="1"/>
  <c r="K32" i="574"/>
  <c r="E31" i="574"/>
  <c r="F29" i="574"/>
  <c r="J19" i="574"/>
  <c r="J21" i="574" s="1"/>
  <c r="E33" i="574" s="1"/>
  <c r="F16" i="574"/>
  <c r="K7" i="574"/>
  <c r="F6" i="574"/>
  <c r="E6" i="574"/>
  <c r="D85" i="573"/>
  <c r="E82" i="576" l="1"/>
  <c r="K46" i="576"/>
  <c r="F100" i="575"/>
  <c r="F102" i="575" s="1"/>
  <c r="G80" i="575"/>
  <c r="H80" i="575" s="1"/>
  <c r="E60" i="575"/>
  <c r="L59" i="575" s="1"/>
  <c r="G79" i="575"/>
  <c r="H79" i="575" s="1"/>
  <c r="N80" i="575"/>
  <c r="E31" i="575"/>
  <c r="E33" i="575" s="1"/>
  <c r="E7" i="575"/>
  <c r="E15" i="575"/>
  <c r="F120" i="574"/>
  <c r="F122" i="574" s="1"/>
  <c r="E80" i="574"/>
  <c r="L79" i="574" s="1"/>
  <c r="E7" i="574"/>
  <c r="G100" i="574"/>
  <c r="H100" i="574" s="1"/>
  <c r="G99" i="574"/>
  <c r="H99" i="574" s="1"/>
  <c r="N100" i="574"/>
  <c r="E30" i="574"/>
  <c r="E32" i="574" s="1"/>
  <c r="E17" i="574"/>
  <c r="F32" i="573"/>
  <c r="E98" i="573"/>
  <c r="D98" i="573"/>
  <c r="E91" i="573"/>
  <c r="E93" i="573" s="1"/>
  <c r="D91" i="573"/>
  <c r="D93" i="573" s="1"/>
  <c r="C91" i="573"/>
  <c r="F90" i="573"/>
  <c r="C90" i="573"/>
  <c r="C93" i="573" s="1"/>
  <c r="F89" i="573"/>
  <c r="C89" i="573"/>
  <c r="M75" i="573"/>
  <c r="L75" i="573"/>
  <c r="K75" i="573"/>
  <c r="F75" i="573"/>
  <c r="E75" i="573"/>
  <c r="D75" i="573"/>
  <c r="N74" i="573"/>
  <c r="I74" i="573"/>
  <c r="F74" i="573"/>
  <c r="E74" i="573"/>
  <c r="D74" i="573"/>
  <c r="N73" i="573"/>
  <c r="C73" i="573"/>
  <c r="N72" i="573"/>
  <c r="K70" i="573"/>
  <c r="D69" i="573"/>
  <c r="D71" i="573" s="1"/>
  <c r="D64" i="573"/>
  <c r="D65" i="573" s="1"/>
  <c r="J60" i="573"/>
  <c r="K59" i="573" s="1"/>
  <c r="E57" i="573"/>
  <c r="F54" i="573"/>
  <c r="E54" i="573"/>
  <c r="J45" i="573"/>
  <c r="J47" i="573" s="1"/>
  <c r="E59" i="573" s="1"/>
  <c r="K43" i="573"/>
  <c r="E42" i="573"/>
  <c r="F40" i="573"/>
  <c r="E40" i="573"/>
  <c r="J35" i="573"/>
  <c r="J37" i="573" s="1"/>
  <c r="E44" i="573" s="1"/>
  <c r="E32" i="573"/>
  <c r="K7" i="573"/>
  <c r="F6" i="573"/>
  <c r="E6" i="573"/>
  <c r="D107" i="572"/>
  <c r="E13" i="572"/>
  <c r="F6" i="572"/>
  <c r="E120" i="572"/>
  <c r="D120" i="572"/>
  <c r="E113" i="572"/>
  <c r="E115" i="572" s="1"/>
  <c r="D113" i="572"/>
  <c r="D115" i="572" s="1"/>
  <c r="C113" i="572"/>
  <c r="F112" i="572"/>
  <c r="C112" i="572"/>
  <c r="C115" i="572" s="1"/>
  <c r="F111" i="572"/>
  <c r="C111" i="572"/>
  <c r="M98" i="572"/>
  <c r="L98" i="572"/>
  <c r="K98" i="572"/>
  <c r="F98" i="572"/>
  <c r="E98" i="572"/>
  <c r="D98" i="572"/>
  <c r="N97" i="572"/>
  <c r="I97" i="572"/>
  <c r="F97" i="572"/>
  <c r="E97" i="572"/>
  <c r="D97" i="572"/>
  <c r="N96" i="572"/>
  <c r="C96" i="572"/>
  <c r="N95" i="572"/>
  <c r="K93" i="572"/>
  <c r="D92" i="572"/>
  <c r="D94" i="572" s="1"/>
  <c r="D87" i="572"/>
  <c r="D88" i="572" s="1"/>
  <c r="J83" i="572"/>
  <c r="K82" i="572" s="1"/>
  <c r="E80" i="572"/>
  <c r="F77" i="572"/>
  <c r="E77" i="572"/>
  <c r="J52" i="572"/>
  <c r="J54" i="572" s="1"/>
  <c r="E82" i="572" s="1"/>
  <c r="K50" i="572"/>
  <c r="E49" i="572"/>
  <c r="F47" i="572"/>
  <c r="E47" i="572"/>
  <c r="J16" i="572"/>
  <c r="J18" i="572" s="1"/>
  <c r="E51" i="572" s="1"/>
  <c r="F13" i="572"/>
  <c r="K7" i="572"/>
  <c r="E6" i="572"/>
  <c r="D89" i="571"/>
  <c r="D70" i="571" s="1"/>
  <c r="D71" i="571" s="1"/>
  <c r="F7" i="571"/>
  <c r="E102" i="571"/>
  <c r="D102" i="571"/>
  <c r="E95" i="571"/>
  <c r="E97" i="571" s="1"/>
  <c r="D95" i="571"/>
  <c r="D97" i="571" s="1"/>
  <c r="C95" i="571"/>
  <c r="F94" i="571"/>
  <c r="C94" i="571"/>
  <c r="C97" i="571" s="1"/>
  <c r="F93" i="571"/>
  <c r="C93" i="571"/>
  <c r="M81" i="571"/>
  <c r="L81" i="571"/>
  <c r="K81" i="571"/>
  <c r="F81" i="571"/>
  <c r="E81" i="571"/>
  <c r="D81" i="571"/>
  <c r="N80" i="571"/>
  <c r="I80" i="571"/>
  <c r="F80" i="571"/>
  <c r="E80" i="571"/>
  <c r="D80" i="571"/>
  <c r="N79" i="571"/>
  <c r="C79" i="571"/>
  <c r="N78" i="571"/>
  <c r="K76" i="571"/>
  <c r="D75" i="571"/>
  <c r="D77" i="571" s="1"/>
  <c r="J66" i="571"/>
  <c r="K65" i="571" s="1"/>
  <c r="E63" i="571"/>
  <c r="F60" i="571"/>
  <c r="E60" i="571"/>
  <c r="J37" i="571"/>
  <c r="J39" i="571" s="1"/>
  <c r="E65" i="571" s="1"/>
  <c r="K35" i="571"/>
  <c r="E34" i="571"/>
  <c r="F32" i="571"/>
  <c r="E32" i="571"/>
  <c r="J26" i="571"/>
  <c r="J28" i="571" s="1"/>
  <c r="E36" i="571" s="1"/>
  <c r="F23" i="571"/>
  <c r="E23" i="571"/>
  <c r="K8" i="571"/>
  <c r="E7" i="571"/>
  <c r="E30" i="570"/>
  <c r="E105" i="570"/>
  <c r="D105" i="570"/>
  <c r="E98" i="570"/>
  <c r="E100" i="570" s="1"/>
  <c r="D98" i="570"/>
  <c r="D100" i="570" s="1"/>
  <c r="C98" i="570"/>
  <c r="F97" i="570"/>
  <c r="C97" i="570"/>
  <c r="C100" i="570" s="1"/>
  <c r="F96" i="570"/>
  <c r="C96" i="570"/>
  <c r="D92" i="570"/>
  <c r="D74" i="570" s="1"/>
  <c r="D75" i="570" s="1"/>
  <c r="M85" i="570"/>
  <c r="L85" i="570"/>
  <c r="K85" i="570"/>
  <c r="F85" i="570"/>
  <c r="E85" i="570"/>
  <c r="D85" i="570"/>
  <c r="N84" i="570"/>
  <c r="I84" i="570"/>
  <c r="F84" i="570"/>
  <c r="E84" i="570"/>
  <c r="D84" i="570"/>
  <c r="N83" i="570"/>
  <c r="C83" i="570"/>
  <c r="N82" i="570"/>
  <c r="K80" i="570"/>
  <c r="D79" i="570"/>
  <c r="D81" i="570" s="1"/>
  <c r="J70" i="570"/>
  <c r="K69" i="570" s="1"/>
  <c r="E67" i="570"/>
  <c r="F64" i="570"/>
  <c r="E64" i="570"/>
  <c r="J35" i="570"/>
  <c r="J37" i="570" s="1"/>
  <c r="E69" i="570" s="1"/>
  <c r="K33" i="570"/>
  <c r="E32" i="570"/>
  <c r="F30" i="570"/>
  <c r="J20" i="570"/>
  <c r="J22" i="570" s="1"/>
  <c r="E34" i="570" s="1"/>
  <c r="F17" i="570"/>
  <c r="E17" i="570"/>
  <c r="K7" i="570"/>
  <c r="F6" i="570"/>
  <c r="E6" i="570"/>
  <c r="C107" i="569"/>
  <c r="F31" i="569"/>
  <c r="E7" i="569"/>
  <c r="E114" i="569"/>
  <c r="D114" i="569"/>
  <c r="E107" i="569"/>
  <c r="E109" i="569" s="1"/>
  <c r="D107" i="569"/>
  <c r="D109" i="569" s="1"/>
  <c r="F106" i="569"/>
  <c r="C106" i="569"/>
  <c r="C109" i="569" s="1"/>
  <c r="F105" i="569"/>
  <c r="C105" i="569"/>
  <c r="D101" i="569"/>
  <c r="D84" i="569" s="1"/>
  <c r="D85" i="569" s="1"/>
  <c r="M95" i="569"/>
  <c r="L95" i="569"/>
  <c r="K95" i="569"/>
  <c r="F95" i="569"/>
  <c r="E95" i="569"/>
  <c r="D95" i="569"/>
  <c r="N94" i="569"/>
  <c r="I94" i="569"/>
  <c r="F94" i="569"/>
  <c r="E94" i="569"/>
  <c r="D94" i="569"/>
  <c r="N93" i="569"/>
  <c r="C93" i="569"/>
  <c r="N92" i="569"/>
  <c r="K90" i="569"/>
  <c r="D89" i="569"/>
  <c r="D91" i="569" s="1"/>
  <c r="J80" i="569"/>
  <c r="K79" i="569" s="1"/>
  <c r="E77" i="569"/>
  <c r="F74" i="569"/>
  <c r="E74" i="569"/>
  <c r="J36" i="569"/>
  <c r="J38" i="569" s="1"/>
  <c r="E79" i="569" s="1"/>
  <c r="K34" i="569"/>
  <c r="E33" i="569"/>
  <c r="E31" i="569"/>
  <c r="J25" i="569"/>
  <c r="J27" i="569" s="1"/>
  <c r="E35" i="569" s="1"/>
  <c r="F22" i="569"/>
  <c r="E22" i="569"/>
  <c r="K8" i="569"/>
  <c r="F7" i="569"/>
  <c r="C101" i="568"/>
  <c r="C113" i="568"/>
  <c r="E122" i="568"/>
  <c r="D122" i="568"/>
  <c r="E115" i="568"/>
  <c r="E117" i="568" s="1"/>
  <c r="D115" i="568"/>
  <c r="D117" i="568" s="1"/>
  <c r="C115" i="568"/>
  <c r="F114" i="568"/>
  <c r="C114" i="568"/>
  <c r="C117" i="568" s="1"/>
  <c r="F113" i="568"/>
  <c r="D109" i="568"/>
  <c r="D92" i="568" s="1"/>
  <c r="D93" i="568" s="1"/>
  <c r="M103" i="568"/>
  <c r="L103" i="568"/>
  <c r="K103" i="568"/>
  <c r="F103" i="568"/>
  <c r="E103" i="568"/>
  <c r="D103" i="568"/>
  <c r="N102" i="568"/>
  <c r="I102" i="568"/>
  <c r="F102" i="568"/>
  <c r="E102" i="568"/>
  <c r="D102" i="568"/>
  <c r="N101" i="568"/>
  <c r="N100" i="568"/>
  <c r="K98" i="568"/>
  <c r="D97" i="568"/>
  <c r="D99" i="568" s="1"/>
  <c r="J88" i="568"/>
  <c r="K87" i="568" s="1"/>
  <c r="E85" i="568"/>
  <c r="F82" i="568"/>
  <c r="E82" i="568"/>
  <c r="J41" i="568"/>
  <c r="J43" i="568" s="1"/>
  <c r="E87" i="568" s="1"/>
  <c r="K39" i="568"/>
  <c r="E38" i="568"/>
  <c r="F36" i="568"/>
  <c r="E36" i="568"/>
  <c r="J32" i="568"/>
  <c r="J34" i="568" s="1"/>
  <c r="E40" i="568" s="1"/>
  <c r="F29" i="568"/>
  <c r="E29" i="568"/>
  <c r="K7" i="568"/>
  <c r="F6" i="568"/>
  <c r="E6" i="568"/>
  <c r="K106" i="567"/>
  <c r="D116" i="567"/>
  <c r="D100" i="567" s="1"/>
  <c r="D101" i="567" s="1"/>
  <c r="F27" i="567"/>
  <c r="E129" i="567"/>
  <c r="D129" i="567"/>
  <c r="E122" i="567"/>
  <c r="E124" i="567" s="1"/>
  <c r="D122" i="567"/>
  <c r="D124" i="567" s="1"/>
  <c r="C122" i="567"/>
  <c r="F121" i="567"/>
  <c r="C121" i="567"/>
  <c r="C124" i="567" s="1"/>
  <c r="F120" i="567"/>
  <c r="C120" i="567"/>
  <c r="M111" i="567"/>
  <c r="L111" i="567"/>
  <c r="K111" i="567"/>
  <c r="F111" i="567"/>
  <c r="E111" i="567"/>
  <c r="D111" i="567"/>
  <c r="N110" i="567"/>
  <c r="I110" i="567"/>
  <c r="F110" i="567"/>
  <c r="E110" i="567"/>
  <c r="D110" i="567"/>
  <c r="N109" i="567"/>
  <c r="C109" i="567"/>
  <c r="N108" i="567"/>
  <c r="D105" i="567"/>
  <c r="D107" i="567" s="1"/>
  <c r="J96" i="567"/>
  <c r="K95" i="567" s="1"/>
  <c r="E93" i="567"/>
  <c r="F90" i="567"/>
  <c r="E90" i="567"/>
  <c r="J40" i="567"/>
  <c r="J42" i="567" s="1"/>
  <c r="E95" i="567" s="1"/>
  <c r="K38" i="567"/>
  <c r="E37" i="567"/>
  <c r="E35" i="567"/>
  <c r="F35" i="567"/>
  <c r="J30" i="567"/>
  <c r="J32" i="567" s="1"/>
  <c r="E39" i="567" s="1"/>
  <c r="E27" i="567"/>
  <c r="K7" i="567"/>
  <c r="F6" i="567"/>
  <c r="E6" i="567"/>
  <c r="D91" i="566"/>
  <c r="E65" i="566"/>
  <c r="F65" i="566"/>
  <c r="K31" i="575" l="1"/>
  <c r="E63" i="575"/>
  <c r="E83" i="574"/>
  <c r="K30" i="574"/>
  <c r="F91" i="573"/>
  <c r="F93" i="573" s="1"/>
  <c r="G75" i="573"/>
  <c r="H75" i="573" s="1"/>
  <c r="E33" i="573"/>
  <c r="G74" i="573"/>
  <c r="H74" i="573" s="1"/>
  <c r="N75" i="573"/>
  <c r="E7" i="573"/>
  <c r="E55" i="573"/>
  <c r="L54" i="573" s="1"/>
  <c r="E41" i="573"/>
  <c r="E43" i="573" s="1"/>
  <c r="F113" i="572"/>
  <c r="F115" i="572" s="1"/>
  <c r="E78" i="572"/>
  <c r="L77" i="572" s="1"/>
  <c r="E48" i="572"/>
  <c r="E50" i="572" s="1"/>
  <c r="N98" i="572"/>
  <c r="G97" i="572"/>
  <c r="H97" i="572" s="1"/>
  <c r="G98" i="572"/>
  <c r="H98" i="572" s="1"/>
  <c r="E14" i="572"/>
  <c r="E7" i="572"/>
  <c r="F95" i="571"/>
  <c r="F97" i="571" s="1"/>
  <c r="E33" i="571"/>
  <c r="E35" i="571" s="1"/>
  <c r="E61" i="571"/>
  <c r="L60" i="571" s="1"/>
  <c r="N81" i="571"/>
  <c r="G80" i="571"/>
  <c r="H80" i="571" s="1"/>
  <c r="G81" i="571"/>
  <c r="H81" i="571" s="1"/>
  <c r="E8" i="571"/>
  <c r="E24" i="571"/>
  <c r="F98" i="570"/>
  <c r="F100" i="570" s="1"/>
  <c r="G85" i="570"/>
  <c r="H85" i="570" s="1"/>
  <c r="E65" i="570"/>
  <c r="L64" i="570" s="1"/>
  <c r="G84" i="570"/>
  <c r="H84" i="570" s="1"/>
  <c r="N85" i="570"/>
  <c r="E31" i="570"/>
  <c r="E33" i="570" s="1"/>
  <c r="E18" i="570"/>
  <c r="E7" i="570"/>
  <c r="E75" i="569"/>
  <c r="L74" i="569" s="1"/>
  <c r="E32" i="569"/>
  <c r="E34" i="569" s="1"/>
  <c r="F107" i="569"/>
  <c r="F109" i="569" s="1"/>
  <c r="N95" i="569"/>
  <c r="G94" i="569"/>
  <c r="H94" i="569" s="1"/>
  <c r="G95" i="569"/>
  <c r="H95" i="569" s="1"/>
  <c r="E23" i="569"/>
  <c r="E8" i="569"/>
  <c r="G103" i="568"/>
  <c r="H103" i="568" s="1"/>
  <c r="F115" i="568"/>
  <c r="F117" i="568" s="1"/>
  <c r="E83" i="568"/>
  <c r="L82" i="568" s="1"/>
  <c r="E37" i="568"/>
  <c r="E39" i="568" s="1"/>
  <c r="N103" i="568"/>
  <c r="G102" i="568"/>
  <c r="H102" i="568" s="1"/>
  <c r="E7" i="568"/>
  <c r="E30" i="568"/>
  <c r="F122" i="567"/>
  <c r="F124" i="567" s="1"/>
  <c r="G111" i="567"/>
  <c r="H111" i="567" s="1"/>
  <c r="E7" i="567"/>
  <c r="E91" i="567"/>
  <c r="L90" i="567" s="1"/>
  <c r="E36" i="567"/>
  <c r="K36" i="567" s="1"/>
  <c r="E28" i="567"/>
  <c r="G110" i="567"/>
  <c r="H110" i="567" s="1"/>
  <c r="N111" i="567"/>
  <c r="F24" i="566"/>
  <c r="F32" i="566" s="1"/>
  <c r="E7" i="566"/>
  <c r="E104" i="566"/>
  <c r="D104" i="566"/>
  <c r="E97" i="566"/>
  <c r="E99" i="566" s="1"/>
  <c r="D97" i="566"/>
  <c r="D99" i="566" s="1"/>
  <c r="C97" i="566"/>
  <c r="F96" i="566"/>
  <c r="C96" i="566"/>
  <c r="C99" i="566" s="1"/>
  <c r="F95" i="566"/>
  <c r="C95" i="566"/>
  <c r="M86" i="566"/>
  <c r="L86" i="566"/>
  <c r="K86" i="566"/>
  <c r="F86" i="566"/>
  <c r="E86" i="566"/>
  <c r="D86" i="566"/>
  <c r="N85" i="566"/>
  <c r="I85" i="566"/>
  <c r="F85" i="566"/>
  <c r="E85" i="566"/>
  <c r="D85" i="566"/>
  <c r="N84" i="566"/>
  <c r="C84" i="566"/>
  <c r="N83" i="566"/>
  <c r="K81" i="566"/>
  <c r="D80" i="566"/>
  <c r="D82" i="566" s="1"/>
  <c r="D75" i="566"/>
  <c r="D76" i="566" s="1"/>
  <c r="J71" i="566"/>
  <c r="K70" i="566" s="1"/>
  <c r="E68" i="566"/>
  <c r="J37" i="566"/>
  <c r="J39" i="566" s="1"/>
  <c r="E70" i="566" s="1"/>
  <c r="K35" i="566"/>
  <c r="E34" i="566"/>
  <c r="E32" i="566"/>
  <c r="J17" i="566"/>
  <c r="J19" i="566" s="1"/>
  <c r="E36" i="566" s="1"/>
  <c r="F14" i="566"/>
  <c r="E14" i="566"/>
  <c r="K8" i="566"/>
  <c r="F7" i="566"/>
  <c r="D137" i="565"/>
  <c r="E73" i="565"/>
  <c r="E76" i="565"/>
  <c r="E58" i="573" l="1"/>
  <c r="K41" i="573"/>
  <c r="E81" i="572"/>
  <c r="K48" i="572"/>
  <c r="K33" i="571"/>
  <c r="E64" i="571"/>
  <c r="E68" i="570"/>
  <c r="K31" i="570"/>
  <c r="K32" i="569"/>
  <c r="E78" i="569"/>
  <c r="E86" i="568"/>
  <c r="K37" i="568"/>
  <c r="E94" i="567"/>
  <c r="E38" i="567"/>
  <c r="E8" i="566"/>
  <c r="E33" i="566"/>
  <c r="E35" i="566" s="1"/>
  <c r="G85" i="566"/>
  <c r="H85" i="566" s="1"/>
  <c r="G86" i="566"/>
  <c r="H86" i="566" s="1"/>
  <c r="E66" i="566"/>
  <c r="L65" i="566" s="1"/>
  <c r="N86" i="566"/>
  <c r="E15" i="566"/>
  <c r="F97" i="566"/>
  <c r="F99" i="566" s="1"/>
  <c r="E150" i="565"/>
  <c r="D150" i="565"/>
  <c r="E143" i="565"/>
  <c r="E145" i="565" s="1"/>
  <c r="D143" i="565"/>
  <c r="D145" i="565" s="1"/>
  <c r="C143" i="565"/>
  <c r="F142" i="565"/>
  <c r="C142" i="565"/>
  <c r="C145" i="565" s="1"/>
  <c r="F141" i="565"/>
  <c r="C141" i="565"/>
  <c r="D83" i="565"/>
  <c r="D84" i="565" s="1"/>
  <c r="M94" i="565"/>
  <c r="L94" i="565"/>
  <c r="K94" i="565"/>
  <c r="F94" i="565"/>
  <c r="E94" i="565"/>
  <c r="D94" i="565"/>
  <c r="N93" i="565"/>
  <c r="I93" i="565"/>
  <c r="F93" i="565"/>
  <c r="E93" i="565"/>
  <c r="D93" i="565"/>
  <c r="N92" i="565"/>
  <c r="C92" i="565"/>
  <c r="N91" i="565"/>
  <c r="K89" i="565"/>
  <c r="D88" i="565"/>
  <c r="D90" i="565" s="1"/>
  <c r="J79" i="565"/>
  <c r="K78" i="565" s="1"/>
  <c r="F73" i="565"/>
  <c r="E74" i="565" s="1"/>
  <c r="E77" i="565" s="1"/>
  <c r="J47" i="565"/>
  <c r="J49" i="565" s="1"/>
  <c r="E78" i="565" s="1"/>
  <c r="K45" i="565"/>
  <c r="E44" i="565"/>
  <c r="F42" i="565"/>
  <c r="E42" i="565"/>
  <c r="J32" i="565"/>
  <c r="J34" i="565" s="1"/>
  <c r="E46" i="565" s="1"/>
  <c r="F29" i="565"/>
  <c r="E29" i="565"/>
  <c r="K7" i="565"/>
  <c r="F6" i="565"/>
  <c r="E6" i="565"/>
  <c r="D131" i="564"/>
  <c r="D80" i="564" s="1"/>
  <c r="D81" i="564" s="1"/>
  <c r="E32" i="564"/>
  <c r="E144" i="564"/>
  <c r="D144" i="564"/>
  <c r="E137" i="564"/>
  <c r="E139" i="564" s="1"/>
  <c r="D137" i="564"/>
  <c r="D139" i="564" s="1"/>
  <c r="C137" i="564"/>
  <c r="F136" i="564"/>
  <c r="C136" i="564"/>
  <c r="C139" i="564" s="1"/>
  <c r="F135" i="564"/>
  <c r="C135" i="564"/>
  <c r="M91" i="564"/>
  <c r="L91" i="564"/>
  <c r="K91" i="564"/>
  <c r="F91" i="564"/>
  <c r="E91" i="564"/>
  <c r="D91" i="564"/>
  <c r="N90" i="564"/>
  <c r="I90" i="564"/>
  <c r="F90" i="564"/>
  <c r="E90" i="564"/>
  <c r="D90" i="564"/>
  <c r="N89" i="564"/>
  <c r="C89" i="564"/>
  <c r="N88" i="564"/>
  <c r="K86" i="564"/>
  <c r="D85" i="564"/>
  <c r="D87" i="564" s="1"/>
  <c r="J76" i="564"/>
  <c r="K75" i="564" s="1"/>
  <c r="E73" i="564"/>
  <c r="F70" i="564"/>
  <c r="E70" i="564"/>
  <c r="J37" i="564"/>
  <c r="J39" i="564" s="1"/>
  <c r="E75" i="564" s="1"/>
  <c r="K35" i="564"/>
  <c r="E34" i="564"/>
  <c r="F32" i="564"/>
  <c r="J26" i="564"/>
  <c r="J28" i="564" s="1"/>
  <c r="E36" i="564" s="1"/>
  <c r="F23" i="564"/>
  <c r="E23" i="564"/>
  <c r="K7" i="564"/>
  <c r="F6" i="564"/>
  <c r="E6" i="564"/>
  <c r="E140" i="563"/>
  <c r="D140" i="563"/>
  <c r="E133" i="563"/>
  <c r="E135" i="563" s="1"/>
  <c r="D133" i="563"/>
  <c r="D135" i="563" s="1"/>
  <c r="C133" i="563"/>
  <c r="F132" i="563"/>
  <c r="C132" i="563"/>
  <c r="C135" i="563" s="1"/>
  <c r="F131" i="563"/>
  <c r="C131" i="563"/>
  <c r="D127" i="563"/>
  <c r="D80" i="563" s="1"/>
  <c r="D81" i="563" s="1"/>
  <c r="M91" i="563"/>
  <c r="L91" i="563"/>
  <c r="K91" i="563"/>
  <c r="F91" i="563"/>
  <c r="E91" i="563"/>
  <c r="D91" i="563"/>
  <c r="N90" i="563"/>
  <c r="I90" i="563"/>
  <c r="F90" i="563"/>
  <c r="E90" i="563"/>
  <c r="D90" i="563"/>
  <c r="N89" i="563"/>
  <c r="C89" i="563"/>
  <c r="N88" i="563"/>
  <c r="K86" i="563"/>
  <c r="D85" i="563"/>
  <c r="D87" i="563" s="1"/>
  <c r="J76" i="563"/>
  <c r="K75" i="563" s="1"/>
  <c r="E73" i="563"/>
  <c r="F70" i="563"/>
  <c r="E70" i="563"/>
  <c r="J37" i="563"/>
  <c r="J39" i="563" s="1"/>
  <c r="E75" i="563" s="1"/>
  <c r="K35" i="563"/>
  <c r="E34" i="563"/>
  <c r="F32" i="563"/>
  <c r="E32" i="563"/>
  <c r="J28" i="563"/>
  <c r="J30" i="563" s="1"/>
  <c r="E36" i="563" s="1"/>
  <c r="F25" i="563"/>
  <c r="E25" i="563"/>
  <c r="K7" i="563"/>
  <c r="F6" i="563"/>
  <c r="E6" i="563"/>
  <c r="D131" i="562"/>
  <c r="E77" i="562"/>
  <c r="J35" i="562"/>
  <c r="K33" i="566" l="1"/>
  <c r="E69" i="566"/>
  <c r="E43" i="565"/>
  <c r="K43" i="565" s="1"/>
  <c r="G94" i="565"/>
  <c r="H94" i="565" s="1"/>
  <c r="N94" i="565"/>
  <c r="E30" i="565"/>
  <c r="E45" i="565"/>
  <c r="E7" i="565"/>
  <c r="F143" i="565"/>
  <c r="F145" i="565" s="1"/>
  <c r="L73" i="565"/>
  <c r="G93" i="565"/>
  <c r="H93" i="565" s="1"/>
  <c r="G91" i="564"/>
  <c r="H91" i="564" s="1"/>
  <c r="F137" i="564"/>
  <c r="F139" i="564" s="1"/>
  <c r="E71" i="564"/>
  <c r="L70" i="564" s="1"/>
  <c r="N91" i="564"/>
  <c r="E33" i="564"/>
  <c r="E35" i="564" s="1"/>
  <c r="G90" i="564"/>
  <c r="H90" i="564" s="1"/>
  <c r="E7" i="564"/>
  <c r="E24" i="564"/>
  <c r="F133" i="563"/>
  <c r="F135" i="563" s="1"/>
  <c r="G91" i="563"/>
  <c r="H91" i="563" s="1"/>
  <c r="E71" i="563"/>
  <c r="L70" i="563" s="1"/>
  <c r="E7" i="563"/>
  <c r="N91" i="563"/>
  <c r="G90" i="563"/>
  <c r="H90" i="563" s="1"/>
  <c r="E33" i="563"/>
  <c r="K33" i="563" s="1"/>
  <c r="E26" i="563"/>
  <c r="E144" i="562"/>
  <c r="D144" i="562"/>
  <c r="E137" i="562"/>
  <c r="E139" i="562" s="1"/>
  <c r="D137" i="562"/>
  <c r="D139" i="562" s="1"/>
  <c r="C137" i="562"/>
  <c r="F136" i="562"/>
  <c r="C136" i="562"/>
  <c r="C139" i="562" s="1"/>
  <c r="F135" i="562"/>
  <c r="C135" i="562"/>
  <c r="D84" i="562"/>
  <c r="D85" i="562" s="1"/>
  <c r="M95" i="562"/>
  <c r="L95" i="562"/>
  <c r="K95" i="562"/>
  <c r="F95" i="562"/>
  <c r="E95" i="562"/>
  <c r="D95" i="562"/>
  <c r="N94" i="562"/>
  <c r="I94" i="562"/>
  <c r="F94" i="562"/>
  <c r="E94" i="562"/>
  <c r="D94" i="562"/>
  <c r="N93" i="562"/>
  <c r="C93" i="562"/>
  <c r="N92" i="562"/>
  <c r="K90" i="562"/>
  <c r="D89" i="562"/>
  <c r="D91" i="562" s="1"/>
  <c r="J80" i="562"/>
  <c r="K79" i="562" s="1"/>
  <c r="F74" i="562"/>
  <c r="E74" i="562"/>
  <c r="J37" i="562"/>
  <c r="E79" i="562" s="1"/>
  <c r="K33" i="562"/>
  <c r="E32" i="562"/>
  <c r="F30" i="562"/>
  <c r="E30" i="562"/>
  <c r="J17" i="562"/>
  <c r="J19" i="562" s="1"/>
  <c r="E34" i="562" s="1"/>
  <c r="F14" i="562"/>
  <c r="E14" i="562"/>
  <c r="K7" i="562"/>
  <c r="F6" i="562"/>
  <c r="E6" i="562"/>
  <c r="D155" i="561"/>
  <c r="D109" i="561" s="1"/>
  <c r="D110" i="561" s="1"/>
  <c r="E168" i="561"/>
  <c r="D168" i="561"/>
  <c r="E161" i="561"/>
  <c r="E163" i="561" s="1"/>
  <c r="D161" i="561"/>
  <c r="D163" i="561" s="1"/>
  <c r="C161" i="561"/>
  <c r="F160" i="561"/>
  <c r="C160" i="561"/>
  <c r="C163" i="561" s="1"/>
  <c r="F159" i="561"/>
  <c r="C159" i="561"/>
  <c r="M120" i="561"/>
  <c r="L120" i="561"/>
  <c r="K120" i="561"/>
  <c r="F120" i="561"/>
  <c r="E120" i="561"/>
  <c r="D120" i="561"/>
  <c r="N119" i="561"/>
  <c r="I119" i="561"/>
  <c r="F119" i="561"/>
  <c r="E119" i="561"/>
  <c r="D119" i="561"/>
  <c r="N118" i="561"/>
  <c r="C118" i="561"/>
  <c r="N117" i="561"/>
  <c r="K115" i="561"/>
  <c r="D114" i="561"/>
  <c r="D116" i="561" s="1"/>
  <c r="J105" i="561"/>
  <c r="K104" i="561" s="1"/>
  <c r="E102" i="561"/>
  <c r="F99" i="561"/>
  <c r="E99" i="561"/>
  <c r="J30" i="561"/>
  <c r="J32" i="561" s="1"/>
  <c r="E104" i="561" s="1"/>
  <c r="K28" i="561"/>
  <c r="E27" i="561"/>
  <c r="F25" i="561"/>
  <c r="E25" i="561"/>
  <c r="J16" i="561"/>
  <c r="J18" i="561" s="1"/>
  <c r="E29" i="561" s="1"/>
  <c r="F13" i="561"/>
  <c r="E13" i="561"/>
  <c r="K7" i="561"/>
  <c r="F6" i="561"/>
  <c r="E6" i="561"/>
  <c r="D201" i="560"/>
  <c r="D158" i="560" s="1"/>
  <c r="D159" i="560" s="1"/>
  <c r="F31" i="560"/>
  <c r="F34" i="560" s="1"/>
  <c r="F22" i="560"/>
  <c r="E214" i="560"/>
  <c r="D214" i="560"/>
  <c r="E207" i="560"/>
  <c r="E209" i="560" s="1"/>
  <c r="D207" i="560"/>
  <c r="D209" i="560" s="1"/>
  <c r="C207" i="560"/>
  <c r="F206" i="560"/>
  <c r="C206" i="560"/>
  <c r="C209" i="560" s="1"/>
  <c r="F205" i="560"/>
  <c r="C205" i="560"/>
  <c r="M169" i="560"/>
  <c r="L169" i="560"/>
  <c r="K169" i="560"/>
  <c r="F169" i="560"/>
  <c r="E169" i="560"/>
  <c r="D169" i="560"/>
  <c r="N168" i="560"/>
  <c r="I168" i="560"/>
  <c r="F168" i="560"/>
  <c r="E168" i="560"/>
  <c r="D168" i="560"/>
  <c r="N167" i="560"/>
  <c r="C167" i="560"/>
  <c r="N166" i="560"/>
  <c r="K164" i="560"/>
  <c r="D163" i="560"/>
  <c r="D165" i="560" s="1"/>
  <c r="J154" i="560"/>
  <c r="K153" i="560" s="1"/>
  <c r="E151" i="560"/>
  <c r="F148" i="560"/>
  <c r="E148" i="560"/>
  <c r="J39" i="560"/>
  <c r="J41" i="560" s="1"/>
  <c r="E153" i="560" s="1"/>
  <c r="K37" i="560"/>
  <c r="E36" i="560"/>
  <c r="E34" i="560"/>
  <c r="J25" i="560"/>
  <c r="J27" i="560" s="1"/>
  <c r="E38" i="560" s="1"/>
  <c r="E22" i="560"/>
  <c r="K7" i="560"/>
  <c r="F6" i="560"/>
  <c r="E6" i="560"/>
  <c r="F30" i="559"/>
  <c r="F6" i="559"/>
  <c r="E166" i="559"/>
  <c r="D166" i="559"/>
  <c r="E159" i="559"/>
  <c r="E161" i="559" s="1"/>
  <c r="D159" i="559"/>
  <c r="D161" i="559" s="1"/>
  <c r="C159" i="559"/>
  <c r="F158" i="559"/>
  <c r="C158" i="559"/>
  <c r="C161" i="559" s="1"/>
  <c r="F157" i="559"/>
  <c r="C157" i="559"/>
  <c r="D153" i="559"/>
  <c r="D117" i="559" s="1"/>
  <c r="D118" i="559" s="1"/>
  <c r="M128" i="559"/>
  <c r="L128" i="559"/>
  <c r="K128" i="559"/>
  <c r="F128" i="559"/>
  <c r="E128" i="559"/>
  <c r="D128" i="559"/>
  <c r="N127" i="559"/>
  <c r="I127" i="559"/>
  <c r="F127" i="559"/>
  <c r="E127" i="559"/>
  <c r="D127" i="559"/>
  <c r="N126" i="559"/>
  <c r="C126" i="559"/>
  <c r="N125" i="559"/>
  <c r="K123" i="559"/>
  <c r="D122" i="559"/>
  <c r="D124" i="559" s="1"/>
  <c r="J113" i="559"/>
  <c r="K112" i="559" s="1"/>
  <c r="E110" i="559"/>
  <c r="F107" i="559"/>
  <c r="E107" i="559"/>
  <c r="J35" i="559"/>
  <c r="J37" i="559" s="1"/>
  <c r="E112" i="559" s="1"/>
  <c r="K33" i="559"/>
  <c r="E32" i="559"/>
  <c r="E30" i="559"/>
  <c r="J22" i="559"/>
  <c r="J24" i="559" s="1"/>
  <c r="E34" i="559" s="1"/>
  <c r="F19" i="559"/>
  <c r="E19" i="559"/>
  <c r="K7" i="559"/>
  <c r="E6" i="559"/>
  <c r="J96" i="558"/>
  <c r="J71" i="557"/>
  <c r="J72" i="557" s="1"/>
  <c r="D136" i="558"/>
  <c r="E8" i="558"/>
  <c r="F8" i="558"/>
  <c r="E40" i="558"/>
  <c r="E90" i="558"/>
  <c r="F90" i="558"/>
  <c r="F40" i="558"/>
  <c r="E93" i="558"/>
  <c r="J54" i="558"/>
  <c r="E74" i="564" l="1"/>
  <c r="K33" i="564"/>
  <c r="E74" i="563"/>
  <c r="E35" i="563"/>
  <c r="E14" i="561"/>
  <c r="N95" i="562"/>
  <c r="G94" i="562"/>
  <c r="H94" i="562" s="1"/>
  <c r="G95" i="562"/>
  <c r="H95" i="562" s="1"/>
  <c r="F137" i="562"/>
  <c r="F139" i="562" s="1"/>
  <c r="E75" i="562"/>
  <c r="L74" i="562" s="1"/>
  <c r="E31" i="562"/>
  <c r="E33" i="562" s="1"/>
  <c r="E7" i="562"/>
  <c r="E15" i="562"/>
  <c r="F161" i="561"/>
  <c r="F163" i="561" s="1"/>
  <c r="G120" i="561"/>
  <c r="H120" i="561" s="1"/>
  <c r="E100" i="561"/>
  <c r="L99" i="561" s="1"/>
  <c r="E26" i="561"/>
  <c r="E28" i="561" s="1"/>
  <c r="N120" i="561"/>
  <c r="G119" i="561"/>
  <c r="H119" i="561" s="1"/>
  <c r="E7" i="561"/>
  <c r="E149" i="560"/>
  <c r="L148" i="560" s="1"/>
  <c r="E7" i="560"/>
  <c r="F207" i="560"/>
  <c r="F209" i="560" s="1"/>
  <c r="N169" i="560"/>
  <c r="G168" i="560"/>
  <c r="H168" i="560" s="1"/>
  <c r="G169" i="560"/>
  <c r="H169" i="560" s="1"/>
  <c r="E35" i="560"/>
  <c r="E37" i="560" s="1"/>
  <c r="E23" i="560"/>
  <c r="E108" i="559"/>
  <c r="L107" i="559" s="1"/>
  <c r="E31" i="559"/>
  <c r="E33" i="559" s="1"/>
  <c r="G128" i="559"/>
  <c r="H128" i="559" s="1"/>
  <c r="F159" i="559"/>
  <c r="F161" i="559" s="1"/>
  <c r="G127" i="559"/>
  <c r="H127" i="559" s="1"/>
  <c r="E20" i="559"/>
  <c r="N128" i="559"/>
  <c r="E7" i="559"/>
  <c r="E41" i="558"/>
  <c r="E9" i="558"/>
  <c r="E91" i="558"/>
  <c r="E94" i="558" s="1"/>
  <c r="E78" i="562" l="1"/>
  <c r="K31" i="562"/>
  <c r="E103" i="561"/>
  <c r="K26" i="561"/>
  <c r="E152" i="560"/>
  <c r="K35" i="560"/>
  <c r="E111" i="559"/>
  <c r="K31" i="559"/>
  <c r="E149" i="558"/>
  <c r="D149" i="558"/>
  <c r="E142" i="558"/>
  <c r="E144" i="558" s="1"/>
  <c r="D142" i="558"/>
  <c r="D144" i="558" s="1"/>
  <c r="C142" i="558"/>
  <c r="F141" i="558"/>
  <c r="C141" i="558"/>
  <c r="C144" i="558" s="1"/>
  <c r="F140" i="558"/>
  <c r="C140" i="558"/>
  <c r="M111" i="558"/>
  <c r="L111" i="558"/>
  <c r="K111" i="558"/>
  <c r="F111" i="558"/>
  <c r="E111" i="558"/>
  <c r="D111" i="558"/>
  <c r="N110" i="558"/>
  <c r="I110" i="558"/>
  <c r="F110" i="558"/>
  <c r="E110" i="558"/>
  <c r="D110" i="558"/>
  <c r="N109" i="558"/>
  <c r="C109" i="558"/>
  <c r="N108" i="558"/>
  <c r="K106" i="558"/>
  <c r="D105" i="558"/>
  <c r="D107" i="558" s="1"/>
  <c r="D100" i="558"/>
  <c r="D101" i="558" s="1"/>
  <c r="K95" i="558"/>
  <c r="J56" i="558"/>
  <c r="E95" i="558" s="1"/>
  <c r="K52" i="558"/>
  <c r="E51" i="558"/>
  <c r="F49" i="558"/>
  <c r="E49" i="558"/>
  <c r="J43" i="558"/>
  <c r="J45" i="558" s="1"/>
  <c r="E53" i="558" s="1"/>
  <c r="K9" i="558"/>
  <c r="D107" i="557"/>
  <c r="E69" i="557"/>
  <c r="J35" i="557"/>
  <c r="G110" i="558" l="1"/>
  <c r="H110" i="558" s="1"/>
  <c r="N111" i="558"/>
  <c r="F142" i="558"/>
  <c r="F144" i="558" s="1"/>
  <c r="G111" i="558"/>
  <c r="H111" i="558" s="1"/>
  <c r="E50" i="558"/>
  <c r="E52" i="558" s="1"/>
  <c r="L90" i="558"/>
  <c r="E120" i="557"/>
  <c r="D120" i="557"/>
  <c r="E113" i="557"/>
  <c r="E115" i="557" s="1"/>
  <c r="D113" i="557"/>
  <c r="D115" i="557" s="1"/>
  <c r="C113" i="557"/>
  <c r="F112" i="557"/>
  <c r="C112" i="557"/>
  <c r="C115" i="557" s="1"/>
  <c r="F111" i="557"/>
  <c r="C111" i="557"/>
  <c r="D76" i="557"/>
  <c r="D77" i="557" s="1"/>
  <c r="M87" i="557"/>
  <c r="L87" i="557"/>
  <c r="K87" i="557"/>
  <c r="F87" i="557"/>
  <c r="E87" i="557"/>
  <c r="D87" i="557"/>
  <c r="N86" i="557"/>
  <c r="I86" i="557"/>
  <c r="F86" i="557"/>
  <c r="E86" i="557"/>
  <c r="D86" i="557"/>
  <c r="N85" i="557"/>
  <c r="C85" i="557"/>
  <c r="N84" i="557"/>
  <c r="K82" i="557"/>
  <c r="D81" i="557"/>
  <c r="D83" i="557" s="1"/>
  <c r="K71" i="557"/>
  <c r="F66" i="557"/>
  <c r="E66" i="557"/>
  <c r="J37" i="557"/>
  <c r="E71" i="557" s="1"/>
  <c r="K33" i="557"/>
  <c r="E32" i="557"/>
  <c r="F30" i="557"/>
  <c r="E30" i="557"/>
  <c r="J9" i="557"/>
  <c r="J11" i="557" s="1"/>
  <c r="E34" i="557" s="1"/>
  <c r="K7" i="557"/>
  <c r="F6" i="557"/>
  <c r="E6" i="557"/>
  <c r="D82" i="556"/>
  <c r="D53" i="556" s="1"/>
  <c r="D54" i="556" s="1"/>
  <c r="F17" i="556"/>
  <c r="E17" i="556"/>
  <c r="E95" i="556"/>
  <c r="D95" i="556"/>
  <c r="E88" i="556"/>
  <c r="E90" i="556" s="1"/>
  <c r="D88" i="556"/>
  <c r="D90" i="556" s="1"/>
  <c r="C88" i="556"/>
  <c r="F87" i="556"/>
  <c r="C87" i="556"/>
  <c r="C90" i="556" s="1"/>
  <c r="F86" i="556"/>
  <c r="C86" i="556"/>
  <c r="M64" i="556"/>
  <c r="L64" i="556"/>
  <c r="K64" i="556"/>
  <c r="F64" i="556"/>
  <c r="E64" i="556"/>
  <c r="D64" i="556"/>
  <c r="N63" i="556"/>
  <c r="I63" i="556"/>
  <c r="F63" i="556"/>
  <c r="E63" i="556"/>
  <c r="D63" i="556"/>
  <c r="N62" i="556"/>
  <c r="C62" i="556"/>
  <c r="N61" i="556"/>
  <c r="K59" i="556"/>
  <c r="D58" i="556"/>
  <c r="D60" i="556" s="1"/>
  <c r="J49" i="556"/>
  <c r="K48" i="556" s="1"/>
  <c r="E46" i="556"/>
  <c r="F43" i="556"/>
  <c r="E43" i="556"/>
  <c r="J22" i="556"/>
  <c r="J24" i="556" s="1"/>
  <c r="E48" i="556" s="1"/>
  <c r="K20" i="556"/>
  <c r="E19" i="556"/>
  <c r="J9" i="556"/>
  <c r="J11" i="556" s="1"/>
  <c r="E21" i="556" s="1"/>
  <c r="K7" i="556"/>
  <c r="F6" i="556"/>
  <c r="E6" i="556"/>
  <c r="D84" i="555"/>
  <c r="D56" i="555" s="1"/>
  <c r="D57" i="555" s="1"/>
  <c r="F46" i="555"/>
  <c r="E46" i="555"/>
  <c r="N15" i="497"/>
  <c r="N7" i="497"/>
  <c r="K15" i="555"/>
  <c r="E97" i="555"/>
  <c r="D97" i="555"/>
  <c r="E90" i="555"/>
  <c r="E92" i="555" s="1"/>
  <c r="D90" i="555"/>
  <c r="D92" i="555" s="1"/>
  <c r="C90" i="555"/>
  <c r="F89" i="555"/>
  <c r="C89" i="555"/>
  <c r="C92" i="555" s="1"/>
  <c r="F88" i="555"/>
  <c r="C88" i="555"/>
  <c r="M67" i="555"/>
  <c r="L67" i="555"/>
  <c r="K67" i="555"/>
  <c r="F67" i="555"/>
  <c r="E67" i="555"/>
  <c r="D67" i="555"/>
  <c r="N66" i="555"/>
  <c r="I66" i="555"/>
  <c r="F66" i="555"/>
  <c r="E66" i="555"/>
  <c r="D66" i="555"/>
  <c r="N65" i="555"/>
  <c r="C65" i="555"/>
  <c r="N64" i="555"/>
  <c r="K62" i="555"/>
  <c r="D61" i="555"/>
  <c r="D63" i="555" s="1"/>
  <c r="J52" i="555"/>
  <c r="K51" i="555" s="1"/>
  <c r="E49" i="555"/>
  <c r="J17" i="555"/>
  <c r="J19" i="555" s="1"/>
  <c r="E51" i="555" s="1"/>
  <c r="E14" i="555"/>
  <c r="F12" i="555"/>
  <c r="E12" i="555"/>
  <c r="J9" i="555"/>
  <c r="J11" i="555" s="1"/>
  <c r="E16" i="555" s="1"/>
  <c r="K7" i="555"/>
  <c r="F6" i="555"/>
  <c r="E6" i="555"/>
  <c r="D94" i="554"/>
  <c r="D69" i="554" s="1"/>
  <c r="D70" i="554" s="1"/>
  <c r="E107" i="554"/>
  <c r="D107" i="554"/>
  <c r="E100" i="554"/>
  <c r="E102" i="554" s="1"/>
  <c r="D100" i="554"/>
  <c r="D102" i="554" s="1"/>
  <c r="C100" i="554"/>
  <c r="F99" i="554"/>
  <c r="C99" i="554"/>
  <c r="C102" i="554" s="1"/>
  <c r="F98" i="554"/>
  <c r="C98" i="554"/>
  <c r="M80" i="554"/>
  <c r="L80" i="554"/>
  <c r="K80" i="554"/>
  <c r="F80" i="554"/>
  <c r="E80" i="554"/>
  <c r="D80" i="554"/>
  <c r="N79" i="554"/>
  <c r="I79" i="554"/>
  <c r="F79" i="554"/>
  <c r="E79" i="554"/>
  <c r="D79" i="554"/>
  <c r="N78" i="554"/>
  <c r="C78" i="554"/>
  <c r="N77" i="554"/>
  <c r="K75" i="554"/>
  <c r="D74" i="554"/>
  <c r="D76" i="554" s="1"/>
  <c r="J65" i="554"/>
  <c r="K64" i="554" s="1"/>
  <c r="E62" i="554"/>
  <c r="F59" i="554"/>
  <c r="E59" i="554"/>
  <c r="J20" i="554"/>
  <c r="J22" i="554" s="1"/>
  <c r="E64" i="554" s="1"/>
  <c r="K18" i="554"/>
  <c r="E17" i="554"/>
  <c r="F15" i="554"/>
  <c r="E15" i="554"/>
  <c r="J9" i="554"/>
  <c r="J11" i="554" s="1"/>
  <c r="E19" i="554" s="1"/>
  <c r="K7" i="554"/>
  <c r="F6" i="554"/>
  <c r="E6" i="554"/>
  <c r="D110" i="553"/>
  <c r="D88" i="553" s="1"/>
  <c r="D89" i="553" s="1"/>
  <c r="F14" i="553"/>
  <c r="E14" i="553"/>
  <c r="E123" i="553"/>
  <c r="D123" i="553"/>
  <c r="E116" i="553"/>
  <c r="E118" i="553" s="1"/>
  <c r="D116" i="553"/>
  <c r="D118" i="553" s="1"/>
  <c r="C116" i="553"/>
  <c r="F115" i="553"/>
  <c r="C115" i="553"/>
  <c r="C118" i="553" s="1"/>
  <c r="F114" i="553"/>
  <c r="C114" i="553"/>
  <c r="M99" i="553"/>
  <c r="L99" i="553"/>
  <c r="K99" i="553"/>
  <c r="F99" i="553"/>
  <c r="E99" i="553"/>
  <c r="D99" i="553"/>
  <c r="N98" i="553"/>
  <c r="I98" i="553"/>
  <c r="F98" i="553"/>
  <c r="E98" i="553"/>
  <c r="D98" i="553"/>
  <c r="N97" i="553"/>
  <c r="C97" i="553"/>
  <c r="N96" i="553"/>
  <c r="K94" i="553"/>
  <c r="D93" i="553"/>
  <c r="D95" i="553" s="1"/>
  <c r="J84" i="553"/>
  <c r="K83" i="553" s="1"/>
  <c r="E81" i="553"/>
  <c r="F78" i="553"/>
  <c r="E78" i="553"/>
  <c r="J19" i="553"/>
  <c r="J21" i="553" s="1"/>
  <c r="E83" i="553" s="1"/>
  <c r="K17" i="553"/>
  <c r="E16" i="553"/>
  <c r="J9" i="553"/>
  <c r="J11" i="553" s="1"/>
  <c r="E18" i="553" s="1"/>
  <c r="K7" i="553"/>
  <c r="F6" i="553"/>
  <c r="E6" i="553"/>
  <c r="E80" i="552"/>
  <c r="D80" i="552"/>
  <c r="E73" i="552"/>
  <c r="E75" i="552" s="1"/>
  <c r="D73" i="552"/>
  <c r="D75" i="552" s="1"/>
  <c r="C73" i="552"/>
  <c r="F72" i="552"/>
  <c r="C72" i="552"/>
  <c r="C75" i="552" s="1"/>
  <c r="F71" i="552"/>
  <c r="C71" i="552"/>
  <c r="D67" i="552"/>
  <c r="D46" i="552" s="1"/>
  <c r="D47" i="552" s="1"/>
  <c r="M57" i="552"/>
  <c r="L57" i="552"/>
  <c r="K57" i="552"/>
  <c r="F57" i="552"/>
  <c r="E57" i="552"/>
  <c r="D57" i="552"/>
  <c r="N56" i="552"/>
  <c r="I56" i="552"/>
  <c r="F56" i="552"/>
  <c r="E56" i="552"/>
  <c r="D56" i="552"/>
  <c r="N55" i="552"/>
  <c r="C55" i="552"/>
  <c r="N54" i="552"/>
  <c r="K52" i="552"/>
  <c r="D51" i="552"/>
  <c r="D53" i="552" s="1"/>
  <c r="J42" i="552"/>
  <c r="K41" i="552" s="1"/>
  <c r="E39" i="552"/>
  <c r="F36" i="552"/>
  <c r="E36" i="552"/>
  <c r="J19" i="552"/>
  <c r="J21" i="552" s="1"/>
  <c r="E41" i="552" s="1"/>
  <c r="K17" i="552"/>
  <c r="E15" i="552"/>
  <c r="F13" i="552"/>
  <c r="E13" i="552"/>
  <c r="J9" i="552"/>
  <c r="J11" i="552" s="1"/>
  <c r="E17" i="552" s="1"/>
  <c r="K7" i="552"/>
  <c r="F6" i="552"/>
  <c r="E6" i="552"/>
  <c r="E48" i="551"/>
  <c r="J22" i="551"/>
  <c r="E45" i="551"/>
  <c r="F45" i="551"/>
  <c r="K50" i="558" l="1"/>
  <c r="G87" i="557"/>
  <c r="H87" i="557" s="1"/>
  <c r="F113" i="557"/>
  <c r="F115" i="557" s="1"/>
  <c r="E67" i="557"/>
  <c r="L66" i="557" s="1"/>
  <c r="N87" i="557"/>
  <c r="G86" i="557"/>
  <c r="H86" i="557" s="1"/>
  <c r="E31" i="557"/>
  <c r="E33" i="557" s="1"/>
  <c r="E7" i="557"/>
  <c r="E7" i="556"/>
  <c r="G64" i="556"/>
  <c r="H64" i="556" s="1"/>
  <c r="F88" i="556"/>
  <c r="F90" i="556" s="1"/>
  <c r="N64" i="556"/>
  <c r="G63" i="556"/>
  <c r="H63" i="556" s="1"/>
  <c r="E44" i="556"/>
  <c r="L43" i="556" s="1"/>
  <c r="E18" i="556"/>
  <c r="E20" i="556" s="1"/>
  <c r="G67" i="555"/>
  <c r="H67" i="555" s="1"/>
  <c r="F90" i="555"/>
  <c r="F92" i="555" s="1"/>
  <c r="E47" i="555"/>
  <c r="L46" i="555" s="1"/>
  <c r="E13" i="555"/>
  <c r="E15" i="555" s="1"/>
  <c r="N67" i="555"/>
  <c r="G66" i="555"/>
  <c r="H66" i="555" s="1"/>
  <c r="E7" i="555"/>
  <c r="E60" i="554"/>
  <c r="L59" i="554" s="1"/>
  <c r="E7" i="554"/>
  <c r="F100" i="554"/>
  <c r="F102" i="554" s="1"/>
  <c r="N80" i="554"/>
  <c r="G79" i="554"/>
  <c r="H79" i="554" s="1"/>
  <c r="G80" i="554"/>
  <c r="H80" i="554" s="1"/>
  <c r="E16" i="554"/>
  <c r="K16" i="554" s="1"/>
  <c r="E46" i="551"/>
  <c r="E7" i="553"/>
  <c r="E15" i="553"/>
  <c r="K15" i="553" s="1"/>
  <c r="N99" i="553"/>
  <c r="G98" i="553"/>
  <c r="H98" i="553" s="1"/>
  <c r="G99" i="553"/>
  <c r="H99" i="553" s="1"/>
  <c r="F116" i="553"/>
  <c r="F118" i="553" s="1"/>
  <c r="E79" i="553"/>
  <c r="L78" i="553" s="1"/>
  <c r="F73" i="552"/>
  <c r="F75" i="552" s="1"/>
  <c r="E37" i="552"/>
  <c r="L36" i="552" s="1"/>
  <c r="E7" i="552"/>
  <c r="N57" i="552"/>
  <c r="G56" i="552"/>
  <c r="H56" i="552" s="1"/>
  <c r="E14" i="552"/>
  <c r="E16" i="552" s="1"/>
  <c r="G57" i="552"/>
  <c r="H57" i="552" s="1"/>
  <c r="E7" i="551"/>
  <c r="E89" i="551"/>
  <c r="D89" i="551"/>
  <c r="E82" i="551"/>
  <c r="E84" i="551" s="1"/>
  <c r="D82" i="551"/>
  <c r="D84" i="551" s="1"/>
  <c r="C82" i="551"/>
  <c r="F81" i="551"/>
  <c r="C81" i="551"/>
  <c r="C84" i="551" s="1"/>
  <c r="F80" i="551"/>
  <c r="C80" i="551"/>
  <c r="D76" i="551"/>
  <c r="D55" i="551" s="1"/>
  <c r="D56" i="551" s="1"/>
  <c r="M66" i="551"/>
  <c r="L66" i="551"/>
  <c r="K66" i="551"/>
  <c r="F66" i="551"/>
  <c r="E66" i="551"/>
  <c r="D66" i="551"/>
  <c r="N65" i="551"/>
  <c r="I65" i="551"/>
  <c r="F65" i="551"/>
  <c r="E65" i="551"/>
  <c r="D65" i="551"/>
  <c r="N64" i="551"/>
  <c r="C64" i="551"/>
  <c r="N63" i="551"/>
  <c r="K61" i="551"/>
  <c r="D60" i="551"/>
  <c r="D62" i="551" s="1"/>
  <c r="J51" i="551"/>
  <c r="K50" i="551" s="1"/>
  <c r="J24" i="551"/>
  <c r="E50" i="551" s="1"/>
  <c r="K20" i="551"/>
  <c r="E18" i="551"/>
  <c r="F16" i="551"/>
  <c r="E16" i="551"/>
  <c r="J10" i="551"/>
  <c r="J12" i="551" s="1"/>
  <c r="E20" i="551" s="1"/>
  <c r="K8" i="551"/>
  <c r="F7" i="551"/>
  <c r="E33" i="550"/>
  <c r="E44" i="550" s="1"/>
  <c r="D75" i="550"/>
  <c r="D54" i="550" s="1"/>
  <c r="D55" i="550" s="1"/>
  <c r="E88" i="550"/>
  <c r="D88" i="550"/>
  <c r="E81" i="550"/>
  <c r="E83" i="550" s="1"/>
  <c r="D81" i="550"/>
  <c r="D83" i="550" s="1"/>
  <c r="C81" i="550"/>
  <c r="F80" i="550"/>
  <c r="C80" i="550"/>
  <c r="C83" i="550" s="1"/>
  <c r="F79" i="550"/>
  <c r="C79" i="550"/>
  <c r="M65" i="550"/>
  <c r="L65" i="550"/>
  <c r="K65" i="550"/>
  <c r="F65" i="550"/>
  <c r="E65" i="550"/>
  <c r="D65" i="550"/>
  <c r="N64" i="550"/>
  <c r="I64" i="550"/>
  <c r="F64" i="550"/>
  <c r="E64" i="550"/>
  <c r="D64" i="550"/>
  <c r="N63" i="550"/>
  <c r="C63" i="550"/>
  <c r="N62" i="550"/>
  <c r="K60" i="550"/>
  <c r="D59" i="550"/>
  <c r="D61" i="550" s="1"/>
  <c r="J50" i="550"/>
  <c r="K49" i="550" s="1"/>
  <c r="E47" i="550"/>
  <c r="F44" i="550"/>
  <c r="J23" i="550"/>
  <c r="J25" i="550" s="1"/>
  <c r="E49" i="550" s="1"/>
  <c r="K21" i="550"/>
  <c r="E19" i="550"/>
  <c r="F17" i="550"/>
  <c r="E17" i="550"/>
  <c r="J9" i="550"/>
  <c r="J11" i="550" s="1"/>
  <c r="E21" i="550" s="1"/>
  <c r="K7" i="550"/>
  <c r="F6" i="550"/>
  <c r="E6" i="550"/>
  <c r="E57" i="549"/>
  <c r="F57" i="549"/>
  <c r="E60" i="549"/>
  <c r="E70" i="557" l="1"/>
  <c r="K31" i="557"/>
  <c r="E47" i="556"/>
  <c r="K18" i="556"/>
  <c r="E50" i="555"/>
  <c r="K13" i="555"/>
  <c r="E63" i="554"/>
  <c r="E18" i="554"/>
  <c r="E17" i="553"/>
  <c r="E82" i="553"/>
  <c r="E40" i="552"/>
  <c r="K15" i="552"/>
  <c r="G65" i="551"/>
  <c r="H65" i="551" s="1"/>
  <c r="G66" i="551"/>
  <c r="H66" i="551" s="1"/>
  <c r="L45" i="551"/>
  <c r="E8" i="551"/>
  <c r="N66" i="551"/>
  <c r="E17" i="551"/>
  <c r="E19" i="551" s="1"/>
  <c r="F82" i="551"/>
  <c r="F84" i="551" s="1"/>
  <c r="E49" i="551"/>
  <c r="E58" i="549"/>
  <c r="E7" i="550"/>
  <c r="F81" i="550"/>
  <c r="F83" i="550" s="1"/>
  <c r="E45" i="550"/>
  <c r="L44" i="550" s="1"/>
  <c r="N65" i="550"/>
  <c r="G64" i="550"/>
  <c r="H64" i="550" s="1"/>
  <c r="E18" i="550"/>
  <c r="E20" i="550" s="1"/>
  <c r="G65" i="550"/>
  <c r="H65" i="550" s="1"/>
  <c r="E100" i="549"/>
  <c r="D100" i="549"/>
  <c r="E93" i="549"/>
  <c r="E95" i="549" s="1"/>
  <c r="D93" i="549"/>
  <c r="D95" i="549" s="1"/>
  <c r="C93" i="549"/>
  <c r="F92" i="549"/>
  <c r="C92" i="549"/>
  <c r="C95" i="549" s="1"/>
  <c r="F91" i="549"/>
  <c r="C91" i="549"/>
  <c r="D87" i="549"/>
  <c r="D67" i="549" s="1"/>
  <c r="D68" i="549" s="1"/>
  <c r="M78" i="549"/>
  <c r="L78" i="549"/>
  <c r="K78" i="549"/>
  <c r="F78" i="549"/>
  <c r="E78" i="549"/>
  <c r="D78" i="549"/>
  <c r="N77" i="549"/>
  <c r="I77" i="549"/>
  <c r="F77" i="549"/>
  <c r="E77" i="549"/>
  <c r="D77" i="549"/>
  <c r="N76" i="549"/>
  <c r="C76" i="549"/>
  <c r="N75" i="549"/>
  <c r="K73" i="549"/>
  <c r="D72" i="549"/>
  <c r="D74" i="549" s="1"/>
  <c r="J62" i="549"/>
  <c r="J63" i="549" s="1"/>
  <c r="K62" i="549" s="1"/>
  <c r="J26" i="549"/>
  <c r="J28" i="549" s="1"/>
  <c r="E62" i="549" s="1"/>
  <c r="K24" i="549"/>
  <c r="E22" i="549"/>
  <c r="F20" i="549"/>
  <c r="E20" i="549"/>
  <c r="J9" i="549"/>
  <c r="J11" i="549" s="1"/>
  <c r="E24" i="549" s="1"/>
  <c r="K7" i="549"/>
  <c r="F6" i="549"/>
  <c r="E6" i="549"/>
  <c r="F100" i="548"/>
  <c r="F6" i="548"/>
  <c r="E109" i="548"/>
  <c r="D109" i="548"/>
  <c r="E102" i="548"/>
  <c r="E104" i="548" s="1"/>
  <c r="D102" i="548"/>
  <c r="D104" i="548" s="1"/>
  <c r="C102" i="548"/>
  <c r="F101" i="548"/>
  <c r="C101" i="548"/>
  <c r="C104" i="548" s="1"/>
  <c r="C100" i="548"/>
  <c r="D96" i="548"/>
  <c r="D76" i="548" s="1"/>
  <c r="D77" i="548" s="1"/>
  <c r="M87" i="548"/>
  <c r="L87" i="548"/>
  <c r="K87" i="548"/>
  <c r="F87" i="548"/>
  <c r="E87" i="548"/>
  <c r="D87" i="548"/>
  <c r="N86" i="548"/>
  <c r="I86" i="548"/>
  <c r="F86" i="548"/>
  <c r="E86" i="548"/>
  <c r="D86" i="548"/>
  <c r="N85" i="548"/>
  <c r="C85" i="548"/>
  <c r="N84" i="548"/>
  <c r="K82" i="548"/>
  <c r="D81" i="548"/>
  <c r="D83" i="548" s="1"/>
  <c r="J71" i="548"/>
  <c r="J72" i="548" s="1"/>
  <c r="K71" i="548" s="1"/>
  <c r="E69" i="548"/>
  <c r="F66" i="548"/>
  <c r="E66" i="548"/>
  <c r="J38" i="548"/>
  <c r="J40" i="548" s="1"/>
  <c r="E71" i="548" s="1"/>
  <c r="K36" i="548"/>
  <c r="E34" i="548"/>
  <c r="F32" i="548"/>
  <c r="E32" i="548"/>
  <c r="J9" i="548"/>
  <c r="J11" i="548" s="1"/>
  <c r="E36" i="548" s="1"/>
  <c r="K7" i="548"/>
  <c r="E6" i="548"/>
  <c r="D92" i="547"/>
  <c r="F96" i="547"/>
  <c r="E65" i="547"/>
  <c r="J31" i="547"/>
  <c r="K18" i="551" l="1"/>
  <c r="K19" i="550"/>
  <c r="E48" i="550"/>
  <c r="E21" i="549"/>
  <c r="E23" i="549" s="1"/>
  <c r="E7" i="549"/>
  <c r="L57" i="549"/>
  <c r="N78" i="549"/>
  <c r="G77" i="549"/>
  <c r="H77" i="549" s="1"/>
  <c r="G78" i="549"/>
  <c r="H78" i="549" s="1"/>
  <c r="F93" i="549"/>
  <c r="F95" i="549" s="1"/>
  <c r="E7" i="548"/>
  <c r="F102" i="548"/>
  <c r="F104" i="548" s="1"/>
  <c r="E67" i="548"/>
  <c r="E70" i="548" s="1"/>
  <c r="N87" i="548"/>
  <c r="G86" i="548"/>
  <c r="H86" i="548" s="1"/>
  <c r="G87" i="548"/>
  <c r="H87" i="548" s="1"/>
  <c r="E33" i="548"/>
  <c r="E35" i="548" s="1"/>
  <c r="F25" i="547"/>
  <c r="E25" i="547"/>
  <c r="E105" i="547"/>
  <c r="D105" i="547"/>
  <c r="E98" i="547"/>
  <c r="E100" i="547" s="1"/>
  <c r="D98" i="547"/>
  <c r="D100" i="547" s="1"/>
  <c r="C98" i="547"/>
  <c r="F97" i="547"/>
  <c r="C97" i="547"/>
  <c r="C100" i="547" s="1"/>
  <c r="C96" i="547"/>
  <c r="M83" i="547"/>
  <c r="L83" i="547"/>
  <c r="K83" i="547"/>
  <c r="F83" i="547"/>
  <c r="E83" i="547"/>
  <c r="D83" i="547"/>
  <c r="N82" i="547"/>
  <c r="I82" i="547"/>
  <c r="F82" i="547"/>
  <c r="E82" i="547"/>
  <c r="D82" i="547"/>
  <c r="N81" i="547"/>
  <c r="C81" i="547"/>
  <c r="N80" i="547"/>
  <c r="K78" i="547"/>
  <c r="D77" i="547"/>
  <c r="D79" i="547" s="1"/>
  <c r="D72" i="547"/>
  <c r="D73" i="547" s="1"/>
  <c r="J67" i="547"/>
  <c r="J68" i="547" s="1"/>
  <c r="K67" i="547" s="1"/>
  <c r="F62" i="547"/>
  <c r="E62" i="547"/>
  <c r="J33" i="547"/>
  <c r="E67" i="547" s="1"/>
  <c r="K29" i="547"/>
  <c r="E27" i="547"/>
  <c r="J10" i="547"/>
  <c r="J12" i="547" s="1"/>
  <c r="E29" i="547" s="1"/>
  <c r="K8" i="547"/>
  <c r="F7" i="547"/>
  <c r="E7" i="547"/>
  <c r="D81" i="546"/>
  <c r="E52" i="546"/>
  <c r="F52" i="546"/>
  <c r="J57" i="546"/>
  <c r="J58" i="546" s="1"/>
  <c r="D67" i="546"/>
  <c r="D69" i="546" s="1"/>
  <c r="C71" i="546"/>
  <c r="D72" i="546"/>
  <c r="E72" i="546"/>
  <c r="F72" i="546"/>
  <c r="I72" i="546"/>
  <c r="D73" i="546"/>
  <c r="E73" i="546"/>
  <c r="F73" i="546"/>
  <c r="E61" i="549" l="1"/>
  <c r="K22" i="549"/>
  <c r="L66" i="548"/>
  <c r="K34" i="548"/>
  <c r="G83" i="547"/>
  <c r="H83" i="547" s="1"/>
  <c r="F98" i="547"/>
  <c r="F100" i="547" s="1"/>
  <c r="N83" i="547"/>
  <c r="G82" i="547"/>
  <c r="H82" i="547" s="1"/>
  <c r="E63" i="547"/>
  <c r="L62" i="547" s="1"/>
  <c r="E26" i="547"/>
  <c r="E28" i="547" s="1"/>
  <c r="E8" i="547"/>
  <c r="G72" i="546"/>
  <c r="H72" i="546" s="1"/>
  <c r="E53" i="546"/>
  <c r="E56" i="546" s="1"/>
  <c r="G73" i="546"/>
  <c r="H73" i="546" s="1"/>
  <c r="E66" i="547" l="1"/>
  <c r="K27" i="547"/>
  <c r="F7" i="546"/>
  <c r="E94" i="546"/>
  <c r="D94" i="546"/>
  <c r="E87" i="546"/>
  <c r="E89" i="546" s="1"/>
  <c r="D87" i="546"/>
  <c r="D89" i="546" s="1"/>
  <c r="C87" i="546"/>
  <c r="F86" i="546"/>
  <c r="C86" i="546"/>
  <c r="C89" i="546" s="1"/>
  <c r="F85" i="546"/>
  <c r="C85" i="546"/>
  <c r="D62" i="546"/>
  <c r="D63" i="546" s="1"/>
  <c r="M73" i="546"/>
  <c r="L73" i="546"/>
  <c r="K73" i="546"/>
  <c r="N72" i="546"/>
  <c r="N71" i="546"/>
  <c r="N70" i="546"/>
  <c r="K68" i="546"/>
  <c r="K57" i="546"/>
  <c r="J21" i="546"/>
  <c r="E57" i="546" s="1"/>
  <c r="K17" i="546"/>
  <c r="E15" i="546"/>
  <c r="F13" i="546"/>
  <c r="E13" i="546"/>
  <c r="J10" i="546"/>
  <c r="J12" i="546" s="1"/>
  <c r="E17" i="546" s="1"/>
  <c r="K8" i="546"/>
  <c r="E7" i="546"/>
  <c r="J56" i="545"/>
  <c r="D79" i="545"/>
  <c r="E51" i="545"/>
  <c r="F51" i="545"/>
  <c r="F87" i="546" l="1"/>
  <c r="F89" i="546" s="1"/>
  <c r="N73" i="546"/>
  <c r="E8" i="546"/>
  <c r="E14" i="546"/>
  <c r="K15" i="546" s="1"/>
  <c r="L52" i="546"/>
  <c r="E12" i="545"/>
  <c r="E92" i="545"/>
  <c r="D92" i="545"/>
  <c r="E85" i="545"/>
  <c r="E87" i="545" s="1"/>
  <c r="D85" i="545"/>
  <c r="D87" i="545" s="1"/>
  <c r="C85" i="545"/>
  <c r="F84" i="545"/>
  <c r="C84" i="545"/>
  <c r="C87" i="545" s="1"/>
  <c r="F83" i="545"/>
  <c r="C83" i="545"/>
  <c r="M72" i="545"/>
  <c r="L72" i="545"/>
  <c r="K72" i="545"/>
  <c r="F72" i="545"/>
  <c r="E72" i="545"/>
  <c r="D72" i="545"/>
  <c r="N71" i="545"/>
  <c r="I71" i="545"/>
  <c r="F71" i="545"/>
  <c r="E71" i="545"/>
  <c r="D71" i="545"/>
  <c r="N70" i="545"/>
  <c r="C70" i="545"/>
  <c r="N69" i="545"/>
  <c r="K67" i="545"/>
  <c r="D66" i="545"/>
  <c r="D68" i="545" s="1"/>
  <c r="D61" i="545"/>
  <c r="D62" i="545" s="1"/>
  <c r="J57" i="545"/>
  <c r="K56" i="545" s="1"/>
  <c r="J20" i="545"/>
  <c r="E56" i="545" s="1"/>
  <c r="K16" i="545"/>
  <c r="E14" i="545"/>
  <c r="F12" i="545"/>
  <c r="J9" i="545"/>
  <c r="J11" i="545" s="1"/>
  <c r="E16" i="545" s="1"/>
  <c r="K7" i="545"/>
  <c r="F6" i="545"/>
  <c r="E6" i="545"/>
  <c r="E91" i="544"/>
  <c r="D91" i="544"/>
  <c r="E84" i="544"/>
  <c r="E86" i="544" s="1"/>
  <c r="D84" i="544"/>
  <c r="D86" i="544" s="1"/>
  <c r="C84" i="544"/>
  <c r="F83" i="544"/>
  <c r="C83" i="544"/>
  <c r="C86" i="544" s="1"/>
  <c r="F82" i="544"/>
  <c r="C82" i="544"/>
  <c r="D78" i="544"/>
  <c r="D61" i="544" s="1"/>
  <c r="D62" i="544" s="1"/>
  <c r="M72" i="544"/>
  <c r="L72" i="544"/>
  <c r="K72" i="544"/>
  <c r="F72" i="544"/>
  <c r="E72" i="544"/>
  <c r="D72" i="544"/>
  <c r="N71" i="544"/>
  <c r="I71" i="544"/>
  <c r="F71" i="544"/>
  <c r="E71" i="544"/>
  <c r="D71" i="544"/>
  <c r="N70" i="544"/>
  <c r="C70" i="544"/>
  <c r="N69" i="544"/>
  <c r="K67" i="544"/>
  <c r="D66" i="544"/>
  <c r="D68" i="544" s="1"/>
  <c r="J57" i="544"/>
  <c r="K56" i="544" s="1"/>
  <c r="F51" i="544"/>
  <c r="E51" i="544"/>
  <c r="J22" i="544"/>
  <c r="E56" i="544" s="1"/>
  <c r="K18" i="544"/>
  <c r="E16" i="544"/>
  <c r="F14" i="544"/>
  <c r="E14" i="544"/>
  <c r="J9" i="544"/>
  <c r="J11" i="544" s="1"/>
  <c r="E18" i="544" s="1"/>
  <c r="K7" i="544"/>
  <c r="F6" i="544"/>
  <c r="E6" i="544"/>
  <c r="C111" i="543"/>
  <c r="C109" i="543"/>
  <c r="E118" i="543"/>
  <c r="D118" i="543"/>
  <c r="E111" i="543"/>
  <c r="E113" i="543" s="1"/>
  <c r="D111" i="543"/>
  <c r="D113" i="543" s="1"/>
  <c r="F110" i="543"/>
  <c r="C110" i="543"/>
  <c r="C113" i="543" s="1"/>
  <c r="F109" i="543"/>
  <c r="D105" i="543"/>
  <c r="D88" i="543" s="1"/>
  <c r="D89" i="543" s="1"/>
  <c r="M99" i="543"/>
  <c r="L99" i="543"/>
  <c r="K99" i="543"/>
  <c r="F99" i="543"/>
  <c r="E99" i="543"/>
  <c r="D99" i="543"/>
  <c r="N98" i="543"/>
  <c r="I98" i="543"/>
  <c r="F98" i="543"/>
  <c r="E98" i="543"/>
  <c r="D98" i="543"/>
  <c r="N97" i="543"/>
  <c r="C97" i="543"/>
  <c r="N96" i="543"/>
  <c r="K94" i="543"/>
  <c r="D93" i="543"/>
  <c r="D95" i="543" s="1"/>
  <c r="J84" i="543"/>
  <c r="K83" i="543" s="1"/>
  <c r="F78" i="543"/>
  <c r="E78" i="543"/>
  <c r="J22" i="543"/>
  <c r="E83" i="543" s="1"/>
  <c r="K18" i="543"/>
  <c r="E16" i="543"/>
  <c r="F14" i="543"/>
  <c r="E14" i="543"/>
  <c r="J9" i="543"/>
  <c r="J11" i="543" s="1"/>
  <c r="E18" i="543" s="1"/>
  <c r="K7" i="543"/>
  <c r="F6" i="543"/>
  <c r="E6" i="543"/>
  <c r="E59" i="542"/>
  <c r="I59" i="542"/>
  <c r="K55" i="542"/>
  <c r="C58" i="542"/>
  <c r="D66" i="542"/>
  <c r="D49" i="542" s="1"/>
  <c r="D50" i="542" s="1"/>
  <c r="F6" i="542"/>
  <c r="E79" i="542"/>
  <c r="D79" i="542"/>
  <c r="E72" i="542"/>
  <c r="E74" i="542" s="1"/>
  <c r="D72" i="542"/>
  <c r="D74" i="542" s="1"/>
  <c r="C72" i="542"/>
  <c r="F71" i="542"/>
  <c r="C71" i="542"/>
  <c r="C74" i="542" s="1"/>
  <c r="F70" i="542"/>
  <c r="C70" i="542"/>
  <c r="M60" i="542"/>
  <c r="L60" i="542"/>
  <c r="K60" i="542"/>
  <c r="F60" i="542"/>
  <c r="E60" i="542"/>
  <c r="D60" i="542"/>
  <c r="N59" i="542"/>
  <c r="F59" i="542"/>
  <c r="D59" i="542"/>
  <c r="N58" i="542"/>
  <c r="N57" i="542"/>
  <c r="D54" i="542"/>
  <c r="D56" i="542" s="1"/>
  <c r="J45" i="542"/>
  <c r="K44" i="542" s="1"/>
  <c r="F39" i="542"/>
  <c r="E39" i="542"/>
  <c r="J26" i="542"/>
  <c r="E44" i="542" s="1"/>
  <c r="K22" i="542"/>
  <c r="E20" i="542"/>
  <c r="F18" i="542"/>
  <c r="E18" i="542"/>
  <c r="J9" i="542"/>
  <c r="J11" i="542" s="1"/>
  <c r="E22" i="542" s="1"/>
  <c r="K7" i="542"/>
  <c r="E6" i="542"/>
  <c r="E8" i="541"/>
  <c r="F8" i="541"/>
  <c r="E65" i="541"/>
  <c r="F65" i="541"/>
  <c r="E16" i="546" l="1"/>
  <c r="F85" i="545"/>
  <c r="F87" i="545" s="1"/>
  <c r="E7" i="545"/>
  <c r="G72" i="545"/>
  <c r="H72" i="545" s="1"/>
  <c r="N72" i="545"/>
  <c r="G71" i="545"/>
  <c r="H71" i="545" s="1"/>
  <c r="E52" i="545"/>
  <c r="L51" i="545" s="1"/>
  <c r="E13" i="545"/>
  <c r="K14" i="545" s="1"/>
  <c r="E7" i="544"/>
  <c r="E52" i="544"/>
  <c r="L51" i="544" s="1"/>
  <c r="N72" i="544"/>
  <c r="G71" i="544"/>
  <c r="H71" i="544" s="1"/>
  <c r="G72" i="544"/>
  <c r="H72" i="544" s="1"/>
  <c r="F84" i="544"/>
  <c r="F86" i="544" s="1"/>
  <c r="E15" i="544"/>
  <c r="E17" i="544" s="1"/>
  <c r="G99" i="543"/>
  <c r="H99" i="543" s="1"/>
  <c r="E7" i="543"/>
  <c r="E79" i="543"/>
  <c r="L78" i="543" s="1"/>
  <c r="G98" i="543"/>
  <c r="H98" i="543" s="1"/>
  <c r="E15" i="543"/>
  <c r="K16" i="543" s="1"/>
  <c r="N99" i="543"/>
  <c r="F111" i="543"/>
  <c r="F113" i="543" s="1"/>
  <c r="F72" i="542"/>
  <c r="F74" i="542" s="1"/>
  <c r="E40" i="542"/>
  <c r="E43" i="542" s="1"/>
  <c r="G59" i="542"/>
  <c r="H59" i="542" s="1"/>
  <c r="G60" i="542"/>
  <c r="H60" i="542" s="1"/>
  <c r="N60" i="542"/>
  <c r="E19" i="542"/>
  <c r="K20" i="542" s="1"/>
  <c r="E7" i="542"/>
  <c r="E66" i="541"/>
  <c r="E69" i="541" s="1"/>
  <c r="E15" i="545" l="1"/>
  <c r="E55" i="545"/>
  <c r="K16" i="544"/>
  <c r="E55" i="544"/>
  <c r="E82" i="543"/>
  <c r="E17" i="543"/>
  <c r="L39" i="542"/>
  <c r="E21" i="542"/>
  <c r="E104" i="541"/>
  <c r="D104" i="541"/>
  <c r="E97" i="541"/>
  <c r="E99" i="541" s="1"/>
  <c r="D97" i="541"/>
  <c r="D99" i="541" s="1"/>
  <c r="C97" i="541"/>
  <c r="F96" i="541"/>
  <c r="C96" i="541"/>
  <c r="C99" i="541" s="1"/>
  <c r="F95" i="541"/>
  <c r="C95" i="541"/>
  <c r="M86" i="541"/>
  <c r="L86" i="541"/>
  <c r="K86" i="541"/>
  <c r="F86" i="541"/>
  <c r="E86" i="541"/>
  <c r="D86" i="541"/>
  <c r="N85" i="541"/>
  <c r="F85" i="541"/>
  <c r="E85" i="541"/>
  <c r="D85" i="541"/>
  <c r="N84" i="541"/>
  <c r="C84" i="541"/>
  <c r="N83" i="541"/>
  <c r="K81" i="541"/>
  <c r="D80" i="541"/>
  <c r="D82" i="541" s="1"/>
  <c r="J71" i="541"/>
  <c r="K70" i="541" s="1"/>
  <c r="J25" i="541"/>
  <c r="E70" i="541" s="1"/>
  <c r="K21" i="541"/>
  <c r="E19" i="541"/>
  <c r="F17" i="541"/>
  <c r="E17" i="541"/>
  <c r="J11" i="541"/>
  <c r="J13" i="541" s="1"/>
  <c r="E21" i="541" s="1"/>
  <c r="K9" i="541"/>
  <c r="D117" i="540"/>
  <c r="D118" i="540" s="1"/>
  <c r="D66" i="540" s="1"/>
  <c r="D67" i="540" s="1"/>
  <c r="E131" i="540"/>
  <c r="D131" i="540"/>
  <c r="E124" i="540"/>
  <c r="E126" i="540" s="1"/>
  <c r="D124" i="540"/>
  <c r="D126" i="540" s="1"/>
  <c r="C124" i="540"/>
  <c r="F123" i="540"/>
  <c r="C123" i="540"/>
  <c r="C126" i="540" s="1"/>
  <c r="F122" i="540"/>
  <c r="C122" i="540"/>
  <c r="M77" i="540"/>
  <c r="L77" i="540"/>
  <c r="K77" i="540"/>
  <c r="F77" i="540"/>
  <c r="E77" i="540"/>
  <c r="D77" i="540"/>
  <c r="N76" i="540"/>
  <c r="F76" i="540"/>
  <c r="E76" i="540"/>
  <c r="D76" i="540"/>
  <c r="N75" i="540"/>
  <c r="C75" i="540"/>
  <c r="N74" i="540"/>
  <c r="K72" i="540"/>
  <c r="D71" i="540"/>
  <c r="D73" i="540" s="1"/>
  <c r="J62" i="540"/>
  <c r="K61" i="540" s="1"/>
  <c r="F56" i="540"/>
  <c r="E56" i="540"/>
  <c r="J22" i="540"/>
  <c r="E61" i="540" s="1"/>
  <c r="K18" i="540"/>
  <c r="E16" i="540"/>
  <c r="F14" i="540"/>
  <c r="E14" i="540"/>
  <c r="J9" i="540"/>
  <c r="J11" i="540" s="1"/>
  <c r="E18" i="540" s="1"/>
  <c r="K7" i="540"/>
  <c r="F6" i="540"/>
  <c r="E6" i="540"/>
  <c r="F15" i="539"/>
  <c r="E113" i="539"/>
  <c r="D113" i="539"/>
  <c r="E106" i="539"/>
  <c r="E108" i="539" s="1"/>
  <c r="D106" i="539"/>
  <c r="D108" i="539" s="1"/>
  <c r="C106" i="539"/>
  <c r="F105" i="539"/>
  <c r="C105" i="539"/>
  <c r="C108" i="539" s="1"/>
  <c r="F104" i="539"/>
  <c r="C104" i="539"/>
  <c r="D100" i="539"/>
  <c r="D53" i="539" s="1"/>
  <c r="D54" i="539" s="1"/>
  <c r="M64" i="539"/>
  <c r="L64" i="539"/>
  <c r="K64" i="539"/>
  <c r="F64" i="539"/>
  <c r="E64" i="539"/>
  <c r="D64" i="539"/>
  <c r="N63" i="539"/>
  <c r="F63" i="539"/>
  <c r="E63" i="539"/>
  <c r="D63" i="539"/>
  <c r="N62" i="539"/>
  <c r="C62" i="539"/>
  <c r="N61" i="539"/>
  <c r="K59" i="539"/>
  <c r="D58" i="539"/>
  <c r="D60" i="539" s="1"/>
  <c r="J49" i="539"/>
  <c r="K48" i="539" s="1"/>
  <c r="F43" i="539"/>
  <c r="J23" i="539"/>
  <c r="E48" i="539" s="1"/>
  <c r="K19" i="539"/>
  <c r="E17" i="539"/>
  <c r="E15" i="539"/>
  <c r="J9" i="539"/>
  <c r="J11" i="539" s="1"/>
  <c r="E19" i="539" s="1"/>
  <c r="K7" i="539"/>
  <c r="F6" i="539"/>
  <c r="E6" i="539"/>
  <c r="D112" i="538"/>
  <c r="E36" i="538"/>
  <c r="E34" i="538"/>
  <c r="E39" i="538"/>
  <c r="E37" i="538"/>
  <c r="D91" i="541" l="1"/>
  <c r="G86" i="541"/>
  <c r="H86" i="541" s="1"/>
  <c r="F97" i="541"/>
  <c r="F99" i="541" s="1"/>
  <c r="E9" i="541"/>
  <c r="N86" i="541"/>
  <c r="G85" i="541"/>
  <c r="H85" i="541" s="1"/>
  <c r="L65" i="541"/>
  <c r="E18" i="541"/>
  <c r="K19" i="541" s="1"/>
  <c r="E7" i="540"/>
  <c r="E57" i="540"/>
  <c r="E60" i="540" s="1"/>
  <c r="N77" i="540"/>
  <c r="G76" i="540"/>
  <c r="H76" i="540" s="1"/>
  <c r="F124" i="540"/>
  <c r="F126" i="540" s="1"/>
  <c r="G77" i="540"/>
  <c r="H77" i="540" s="1"/>
  <c r="E15" i="540"/>
  <c r="E17" i="540" s="1"/>
  <c r="F106" i="539"/>
  <c r="F108" i="539" s="1"/>
  <c r="G63" i="539"/>
  <c r="H63" i="539" s="1"/>
  <c r="G64" i="539"/>
  <c r="H64" i="539" s="1"/>
  <c r="N64" i="539"/>
  <c r="E7" i="539"/>
  <c r="E43" i="539"/>
  <c r="E44" i="539" s="1"/>
  <c r="E47" i="539" s="1"/>
  <c r="E16" i="539"/>
  <c r="E18" i="539" s="1"/>
  <c r="E14" i="538"/>
  <c r="E125" i="538"/>
  <c r="D125" i="538"/>
  <c r="E118" i="538"/>
  <c r="E120" i="538" s="1"/>
  <c r="D118" i="538"/>
  <c r="D120" i="538" s="1"/>
  <c r="C118" i="538"/>
  <c r="F117" i="538"/>
  <c r="C117" i="538"/>
  <c r="C120" i="538" s="1"/>
  <c r="F116" i="538"/>
  <c r="C116" i="538"/>
  <c r="M76" i="538"/>
  <c r="L76" i="538"/>
  <c r="K76" i="538"/>
  <c r="F76" i="538"/>
  <c r="E76" i="538"/>
  <c r="D76" i="538"/>
  <c r="N75" i="538"/>
  <c r="F75" i="538"/>
  <c r="E75" i="538"/>
  <c r="D75" i="538"/>
  <c r="N74" i="538"/>
  <c r="C74" i="538"/>
  <c r="N73" i="538"/>
  <c r="K71" i="538"/>
  <c r="D70" i="538"/>
  <c r="D72" i="538" s="1"/>
  <c r="D65" i="538"/>
  <c r="D66" i="538" s="1"/>
  <c r="J61" i="538"/>
  <c r="K60" i="538" s="1"/>
  <c r="F55" i="538"/>
  <c r="E55" i="538"/>
  <c r="J22" i="538"/>
  <c r="E60" i="538" s="1"/>
  <c r="K18" i="538"/>
  <c r="E16" i="538"/>
  <c r="F14" i="538"/>
  <c r="J9" i="538"/>
  <c r="J11" i="538" s="1"/>
  <c r="E18" i="538" s="1"/>
  <c r="K7" i="538"/>
  <c r="F6" i="538"/>
  <c r="E6" i="538"/>
  <c r="D99" i="537"/>
  <c r="D53" i="537" s="1"/>
  <c r="D54" i="537" s="1"/>
  <c r="E112" i="537"/>
  <c r="D112" i="537"/>
  <c r="E105" i="537"/>
  <c r="E107" i="537" s="1"/>
  <c r="D105" i="537"/>
  <c r="D107" i="537" s="1"/>
  <c r="C105" i="537"/>
  <c r="F104" i="537"/>
  <c r="C104" i="537"/>
  <c r="C107" i="537" s="1"/>
  <c r="F103" i="537"/>
  <c r="C103" i="537"/>
  <c r="M64" i="537"/>
  <c r="L64" i="537"/>
  <c r="K64" i="537"/>
  <c r="F64" i="537"/>
  <c r="E64" i="537"/>
  <c r="D64" i="537"/>
  <c r="N63" i="537"/>
  <c r="F63" i="537"/>
  <c r="E63" i="537"/>
  <c r="D63" i="537"/>
  <c r="N62" i="537"/>
  <c r="C62" i="537"/>
  <c r="N61" i="537"/>
  <c r="K59" i="537"/>
  <c r="D58" i="537"/>
  <c r="D60" i="537" s="1"/>
  <c r="J49" i="537"/>
  <c r="K48" i="537" s="1"/>
  <c r="F43" i="537"/>
  <c r="E43" i="537"/>
  <c r="J21" i="537"/>
  <c r="E48" i="537" s="1"/>
  <c r="K17" i="537"/>
  <c r="E15" i="537"/>
  <c r="F13" i="537"/>
  <c r="E13" i="537"/>
  <c r="J9" i="537"/>
  <c r="J11" i="537" s="1"/>
  <c r="E17" i="537" s="1"/>
  <c r="K7" i="537"/>
  <c r="F6" i="537"/>
  <c r="E6" i="537"/>
  <c r="D110" i="536"/>
  <c r="D65" i="536" s="1"/>
  <c r="D66" i="536" s="1"/>
  <c r="E123" i="536"/>
  <c r="D123" i="536"/>
  <c r="E116" i="536"/>
  <c r="E118" i="536" s="1"/>
  <c r="D116" i="536"/>
  <c r="D118" i="536" s="1"/>
  <c r="C116" i="536"/>
  <c r="F115" i="536"/>
  <c r="C115" i="536"/>
  <c r="C118" i="536" s="1"/>
  <c r="F114" i="536"/>
  <c r="C114" i="536"/>
  <c r="M76" i="536"/>
  <c r="L76" i="536"/>
  <c r="K76" i="536"/>
  <c r="F76" i="536"/>
  <c r="E76" i="536"/>
  <c r="D76" i="536"/>
  <c r="N75" i="536"/>
  <c r="F75" i="536"/>
  <c r="E75" i="536"/>
  <c r="D75" i="536"/>
  <c r="N74" i="536"/>
  <c r="C74" i="536"/>
  <c r="N73" i="536"/>
  <c r="K71" i="536"/>
  <c r="D70" i="536"/>
  <c r="D72" i="536" s="1"/>
  <c r="J61" i="536"/>
  <c r="K60" i="536" s="1"/>
  <c r="E55" i="536"/>
  <c r="F55" i="536"/>
  <c r="J41" i="536"/>
  <c r="E60" i="536" s="1"/>
  <c r="K37" i="536"/>
  <c r="E35" i="536"/>
  <c r="F33" i="536"/>
  <c r="E33" i="536"/>
  <c r="J9" i="536"/>
  <c r="J11" i="536" s="1"/>
  <c r="E37" i="536" s="1"/>
  <c r="K7" i="536"/>
  <c r="F6" i="536"/>
  <c r="E6" i="536"/>
  <c r="F41" i="535"/>
  <c r="F70" i="535" s="1"/>
  <c r="E70" i="535"/>
  <c r="D75" i="541" l="1"/>
  <c r="D76" i="541" s="1"/>
  <c r="E20" i="541"/>
  <c r="K16" i="540"/>
  <c r="L56" i="540"/>
  <c r="L43" i="539"/>
  <c r="K17" i="539"/>
  <c r="F118" i="538"/>
  <c r="F120" i="538" s="1"/>
  <c r="G75" i="538"/>
  <c r="H75" i="538" s="1"/>
  <c r="G76" i="538"/>
  <c r="H76" i="538" s="1"/>
  <c r="N76" i="538"/>
  <c r="E56" i="538"/>
  <c r="L55" i="538" s="1"/>
  <c r="E7" i="538"/>
  <c r="E15" i="538"/>
  <c r="E17" i="538" s="1"/>
  <c r="G63" i="537"/>
  <c r="H63" i="537" s="1"/>
  <c r="G64" i="537"/>
  <c r="H64" i="537" s="1"/>
  <c r="F105" i="537"/>
  <c r="F107" i="537" s="1"/>
  <c r="N64" i="537"/>
  <c r="E44" i="537"/>
  <c r="E47" i="537" s="1"/>
  <c r="E7" i="537"/>
  <c r="E14" i="537"/>
  <c r="E16" i="537" s="1"/>
  <c r="F116" i="536"/>
  <c r="F118" i="536" s="1"/>
  <c r="E7" i="536"/>
  <c r="G75" i="536"/>
  <c r="H75" i="536" s="1"/>
  <c r="G76" i="536"/>
  <c r="H76" i="536" s="1"/>
  <c r="N76" i="536"/>
  <c r="E56" i="536"/>
  <c r="E59" i="536" s="1"/>
  <c r="E34" i="536"/>
  <c r="K35" i="536" s="1"/>
  <c r="E71" i="535"/>
  <c r="E59" i="538" l="1"/>
  <c r="K16" i="538"/>
  <c r="L43" i="537"/>
  <c r="K15" i="537"/>
  <c r="L55" i="536"/>
  <c r="E36" i="536"/>
  <c r="E134" i="535"/>
  <c r="D134" i="535"/>
  <c r="E127" i="535"/>
  <c r="E129" i="535" s="1"/>
  <c r="D127" i="535"/>
  <c r="D129" i="535" s="1"/>
  <c r="C127" i="535"/>
  <c r="F126" i="535"/>
  <c r="C126" i="535"/>
  <c r="C129" i="535" s="1"/>
  <c r="F125" i="535"/>
  <c r="C125" i="535"/>
  <c r="D121" i="535"/>
  <c r="D80" i="535" s="1"/>
  <c r="D81" i="535" s="1"/>
  <c r="M91" i="535"/>
  <c r="L91" i="535"/>
  <c r="K91" i="535"/>
  <c r="F91" i="535"/>
  <c r="E91" i="535"/>
  <c r="D91" i="535"/>
  <c r="N90" i="535"/>
  <c r="F90" i="535"/>
  <c r="E90" i="535"/>
  <c r="D90" i="535"/>
  <c r="N89" i="535"/>
  <c r="C89" i="535"/>
  <c r="N88" i="535"/>
  <c r="K86" i="535"/>
  <c r="D85" i="535"/>
  <c r="D87" i="535" s="1"/>
  <c r="J76" i="535"/>
  <c r="K75" i="535" s="1"/>
  <c r="J25" i="535"/>
  <c r="E75" i="535" s="1"/>
  <c r="K21" i="535"/>
  <c r="E19" i="535"/>
  <c r="F17" i="535"/>
  <c r="E17" i="535"/>
  <c r="J9" i="535"/>
  <c r="J11" i="535" s="1"/>
  <c r="E21" i="535" s="1"/>
  <c r="K7" i="535"/>
  <c r="F6" i="535"/>
  <c r="E6" i="535"/>
  <c r="D107" i="534"/>
  <c r="D66" i="534" s="1"/>
  <c r="D67" i="534" s="1"/>
  <c r="E120" i="534"/>
  <c r="D120" i="534"/>
  <c r="E113" i="534"/>
  <c r="E115" i="534" s="1"/>
  <c r="D113" i="534"/>
  <c r="D115" i="534" s="1"/>
  <c r="C113" i="534"/>
  <c r="F112" i="534"/>
  <c r="C112" i="534"/>
  <c r="C115" i="534" s="1"/>
  <c r="F111" i="534"/>
  <c r="C111" i="534"/>
  <c r="M77" i="534"/>
  <c r="L77" i="534"/>
  <c r="K77" i="534"/>
  <c r="F77" i="534"/>
  <c r="E77" i="534"/>
  <c r="D77" i="534"/>
  <c r="N76" i="534"/>
  <c r="F76" i="534"/>
  <c r="E76" i="534"/>
  <c r="D76" i="534"/>
  <c r="N75" i="534"/>
  <c r="C75" i="534"/>
  <c r="N74" i="534"/>
  <c r="K72" i="534"/>
  <c r="D71" i="534"/>
  <c r="D73" i="534" s="1"/>
  <c r="J62" i="534"/>
  <c r="K61" i="534" s="1"/>
  <c r="F56" i="534"/>
  <c r="E56" i="534"/>
  <c r="J28" i="534"/>
  <c r="E61" i="534" s="1"/>
  <c r="K24" i="534"/>
  <c r="E22" i="534"/>
  <c r="F20" i="534"/>
  <c r="E20" i="534"/>
  <c r="J9" i="534"/>
  <c r="J11" i="534" s="1"/>
  <c r="E24" i="534" s="1"/>
  <c r="K7" i="534"/>
  <c r="F6" i="534"/>
  <c r="E6" i="534"/>
  <c r="D98" i="533"/>
  <c r="D60" i="533" s="1"/>
  <c r="D61" i="533" s="1"/>
  <c r="F25" i="533"/>
  <c r="E25" i="533"/>
  <c r="E111" i="533"/>
  <c r="D111" i="533"/>
  <c r="E104" i="533"/>
  <c r="E106" i="533" s="1"/>
  <c r="D104" i="533"/>
  <c r="D106" i="533" s="1"/>
  <c r="C104" i="533"/>
  <c r="F103" i="533"/>
  <c r="C103" i="533"/>
  <c r="C106" i="533" s="1"/>
  <c r="F102" i="533"/>
  <c r="C102" i="533"/>
  <c r="M71" i="533"/>
  <c r="L71" i="533"/>
  <c r="K71" i="533"/>
  <c r="F71" i="533"/>
  <c r="E71" i="533"/>
  <c r="D71" i="533"/>
  <c r="N70" i="533"/>
  <c r="F70" i="533"/>
  <c r="E70" i="533"/>
  <c r="D70" i="533"/>
  <c r="N69" i="533"/>
  <c r="C69" i="533"/>
  <c r="N68" i="533"/>
  <c r="K66" i="533"/>
  <c r="D65" i="533"/>
  <c r="D67" i="533" s="1"/>
  <c r="J56" i="533"/>
  <c r="K55" i="533" s="1"/>
  <c r="E50" i="533"/>
  <c r="F50" i="533"/>
  <c r="J33" i="533"/>
  <c r="E55" i="533" s="1"/>
  <c r="K29" i="533"/>
  <c r="E27" i="533"/>
  <c r="J9" i="533"/>
  <c r="J11" i="533" s="1"/>
  <c r="E29" i="533" s="1"/>
  <c r="K7" i="533"/>
  <c r="F6" i="533"/>
  <c r="E6" i="533"/>
  <c r="D100" i="532"/>
  <c r="F51" i="532"/>
  <c r="E23" i="532"/>
  <c r="G90" i="535" l="1"/>
  <c r="H90" i="535" s="1"/>
  <c r="G91" i="535"/>
  <c r="H91" i="535" s="1"/>
  <c r="F127" i="535"/>
  <c r="F129" i="535" s="1"/>
  <c r="N91" i="535"/>
  <c r="E74" i="535"/>
  <c r="E7" i="535"/>
  <c r="E18" i="535"/>
  <c r="E20" i="535" s="1"/>
  <c r="G76" i="534"/>
  <c r="H76" i="534" s="1"/>
  <c r="G77" i="534"/>
  <c r="H77" i="534" s="1"/>
  <c r="F113" i="534"/>
  <c r="F115" i="534" s="1"/>
  <c r="E7" i="534"/>
  <c r="N77" i="534"/>
  <c r="E21" i="534"/>
  <c r="E23" i="534" s="1"/>
  <c r="E57" i="534"/>
  <c r="E60" i="534" s="1"/>
  <c r="F104" i="533"/>
  <c r="F106" i="533" s="1"/>
  <c r="E7" i="533"/>
  <c r="N71" i="533"/>
  <c r="E26" i="533"/>
  <c r="E28" i="533" s="1"/>
  <c r="G70" i="533"/>
  <c r="H70" i="533" s="1"/>
  <c r="G71" i="533"/>
  <c r="H71" i="533" s="1"/>
  <c r="E51" i="533"/>
  <c r="L50" i="533" s="1"/>
  <c r="E12" i="532"/>
  <c r="E113" i="532"/>
  <c r="D113" i="532"/>
  <c r="E106" i="532"/>
  <c r="E108" i="532" s="1"/>
  <c r="D106" i="532"/>
  <c r="D108" i="532" s="1"/>
  <c r="C106" i="532"/>
  <c r="F105" i="532"/>
  <c r="C105" i="532"/>
  <c r="C108" i="532" s="1"/>
  <c r="F104" i="532"/>
  <c r="C104" i="532"/>
  <c r="M74" i="532"/>
  <c r="L74" i="532"/>
  <c r="K74" i="532"/>
  <c r="F74" i="532"/>
  <c r="E74" i="532"/>
  <c r="D74" i="532"/>
  <c r="N73" i="532"/>
  <c r="F73" i="532"/>
  <c r="E73" i="532"/>
  <c r="D73" i="532"/>
  <c r="N72" i="532"/>
  <c r="C72" i="532"/>
  <c r="N71" i="532"/>
  <c r="K69" i="532"/>
  <c r="D68" i="532"/>
  <c r="D70" i="532" s="1"/>
  <c r="D63" i="532"/>
  <c r="D64" i="532" s="1"/>
  <c r="J59" i="532"/>
  <c r="K58" i="532" s="1"/>
  <c r="F53" i="532"/>
  <c r="E53" i="532"/>
  <c r="J20" i="532"/>
  <c r="E58" i="532" s="1"/>
  <c r="K16" i="532"/>
  <c r="E14" i="532"/>
  <c r="F12" i="532"/>
  <c r="J9" i="532"/>
  <c r="J11" i="532" s="1"/>
  <c r="E16" i="532" s="1"/>
  <c r="K7" i="532"/>
  <c r="F6" i="532"/>
  <c r="E6" i="532"/>
  <c r="D120" i="531"/>
  <c r="D84" i="531" s="1"/>
  <c r="D85" i="531" s="1"/>
  <c r="E133" i="531"/>
  <c r="D133" i="531"/>
  <c r="E126" i="531"/>
  <c r="E128" i="531" s="1"/>
  <c r="D126" i="531"/>
  <c r="D128" i="531" s="1"/>
  <c r="C126" i="531"/>
  <c r="F125" i="531"/>
  <c r="C125" i="531"/>
  <c r="C128" i="531" s="1"/>
  <c r="F124" i="531"/>
  <c r="C124" i="531"/>
  <c r="M95" i="531"/>
  <c r="L95" i="531"/>
  <c r="K95" i="531"/>
  <c r="F95" i="531"/>
  <c r="E95" i="531"/>
  <c r="D95" i="531"/>
  <c r="N94" i="531"/>
  <c r="F94" i="531"/>
  <c r="E94" i="531"/>
  <c r="D94" i="531"/>
  <c r="N93" i="531"/>
  <c r="C93" i="531"/>
  <c r="N92" i="531"/>
  <c r="K90" i="531"/>
  <c r="D89" i="531"/>
  <c r="D91" i="531" s="1"/>
  <c r="J80" i="531"/>
  <c r="K79" i="531" s="1"/>
  <c r="F74" i="531"/>
  <c r="E74" i="531"/>
  <c r="J31" i="531"/>
  <c r="E79" i="531" s="1"/>
  <c r="K27" i="531"/>
  <c r="E25" i="531"/>
  <c r="F23" i="531"/>
  <c r="E23" i="531"/>
  <c r="J9" i="531"/>
  <c r="J11" i="531" s="1"/>
  <c r="E27" i="531" s="1"/>
  <c r="K7" i="531"/>
  <c r="F6" i="531"/>
  <c r="E6" i="531"/>
  <c r="D105" i="530"/>
  <c r="F31" i="530"/>
  <c r="E31" i="530"/>
  <c r="L70" i="535" l="1"/>
  <c r="K19" i="535"/>
  <c r="K22" i="534"/>
  <c r="L56" i="534"/>
  <c r="E54" i="533"/>
  <c r="K27" i="533"/>
  <c r="F106" i="532"/>
  <c r="F108" i="532" s="1"/>
  <c r="G73" i="532"/>
  <c r="H73" i="532" s="1"/>
  <c r="G74" i="532"/>
  <c r="H74" i="532" s="1"/>
  <c r="N74" i="532"/>
  <c r="E54" i="532"/>
  <c r="L53" i="532" s="1"/>
  <c r="E7" i="532"/>
  <c r="E13" i="532"/>
  <c r="E15" i="532" s="1"/>
  <c r="E7" i="531"/>
  <c r="E75" i="531"/>
  <c r="E78" i="531" s="1"/>
  <c r="N95" i="531"/>
  <c r="G94" i="531"/>
  <c r="H94" i="531" s="1"/>
  <c r="F126" i="531"/>
  <c r="F128" i="531" s="1"/>
  <c r="G95" i="531"/>
  <c r="H95" i="531" s="1"/>
  <c r="E24" i="531"/>
  <c r="K25" i="531" s="1"/>
  <c r="F6" i="530"/>
  <c r="E118" i="530"/>
  <c r="D118" i="530"/>
  <c r="E111" i="530"/>
  <c r="E113" i="530" s="1"/>
  <c r="D111" i="530"/>
  <c r="D113" i="530" s="1"/>
  <c r="C111" i="530"/>
  <c r="F110" i="530"/>
  <c r="C110" i="530"/>
  <c r="C113" i="530" s="1"/>
  <c r="F109" i="530"/>
  <c r="C109" i="530"/>
  <c r="M81" i="530"/>
  <c r="L81" i="530"/>
  <c r="K81" i="530"/>
  <c r="F81" i="530"/>
  <c r="E81" i="530"/>
  <c r="D81" i="530"/>
  <c r="N80" i="530"/>
  <c r="F80" i="530"/>
  <c r="E80" i="530"/>
  <c r="D80" i="530"/>
  <c r="N79" i="530"/>
  <c r="C79" i="530"/>
  <c r="N78" i="530"/>
  <c r="K76" i="530"/>
  <c r="D75" i="530"/>
  <c r="D77" i="530" s="1"/>
  <c r="D70" i="530"/>
  <c r="D71" i="530" s="1"/>
  <c r="J66" i="530"/>
  <c r="K65" i="530" s="1"/>
  <c r="F60" i="530"/>
  <c r="E60" i="530"/>
  <c r="J39" i="530"/>
  <c r="E65" i="530" s="1"/>
  <c r="K35" i="530"/>
  <c r="E33" i="530"/>
  <c r="J9" i="530"/>
  <c r="J11" i="530" s="1"/>
  <c r="E35" i="530" s="1"/>
  <c r="K7" i="530"/>
  <c r="E6" i="530"/>
  <c r="D104" i="529"/>
  <c r="E61" i="529"/>
  <c r="F61" i="529"/>
  <c r="E57" i="532" l="1"/>
  <c r="K14" i="532"/>
  <c r="L74" i="531"/>
  <c r="E26" i="531"/>
  <c r="F111" i="530"/>
  <c r="F113" i="530" s="1"/>
  <c r="N81" i="530"/>
  <c r="E61" i="530"/>
  <c r="L60" i="530" s="1"/>
  <c r="G80" i="530"/>
  <c r="H80" i="530" s="1"/>
  <c r="G81" i="530"/>
  <c r="H81" i="530" s="1"/>
  <c r="E32" i="530"/>
  <c r="K33" i="530" s="1"/>
  <c r="E7" i="530"/>
  <c r="E62" i="529"/>
  <c r="E64" i="530" l="1"/>
  <c r="E34" i="530"/>
  <c r="F7" i="529"/>
  <c r="E117" i="529"/>
  <c r="D117" i="529"/>
  <c r="E110" i="529"/>
  <c r="E112" i="529" s="1"/>
  <c r="D110" i="529"/>
  <c r="D112" i="529" s="1"/>
  <c r="C110" i="529"/>
  <c r="F109" i="529"/>
  <c r="C109" i="529"/>
  <c r="C112" i="529" s="1"/>
  <c r="F108" i="529"/>
  <c r="C108" i="529"/>
  <c r="M82" i="529"/>
  <c r="L82" i="529"/>
  <c r="K82" i="529"/>
  <c r="F82" i="529"/>
  <c r="E82" i="529"/>
  <c r="D82" i="529"/>
  <c r="N81" i="529"/>
  <c r="F81" i="529"/>
  <c r="E81" i="529"/>
  <c r="D81" i="529"/>
  <c r="N80" i="529"/>
  <c r="C80" i="529"/>
  <c r="N79" i="529"/>
  <c r="K77" i="529"/>
  <c r="D76" i="529"/>
  <c r="D78" i="529" s="1"/>
  <c r="D71" i="529"/>
  <c r="D72" i="529" s="1"/>
  <c r="J67" i="529"/>
  <c r="K66" i="529" s="1"/>
  <c r="J21" i="529"/>
  <c r="E66" i="529" s="1"/>
  <c r="K17" i="529"/>
  <c r="E15" i="529"/>
  <c r="F13" i="529"/>
  <c r="E13" i="529"/>
  <c r="J10" i="529"/>
  <c r="J12" i="529" s="1"/>
  <c r="E17" i="529" s="1"/>
  <c r="K8" i="529"/>
  <c r="E7" i="529"/>
  <c r="D90" i="528"/>
  <c r="D59" i="528" s="1"/>
  <c r="D60" i="528" s="1"/>
  <c r="E12" i="528"/>
  <c r="E103" i="528"/>
  <c r="D103" i="528"/>
  <c r="E96" i="528"/>
  <c r="E98" i="528" s="1"/>
  <c r="D96" i="528"/>
  <c r="D98" i="528" s="1"/>
  <c r="C96" i="528"/>
  <c r="F95" i="528"/>
  <c r="C95" i="528"/>
  <c r="C98" i="528" s="1"/>
  <c r="F94" i="528"/>
  <c r="C94" i="528"/>
  <c r="M70" i="528"/>
  <c r="L70" i="528"/>
  <c r="K70" i="528"/>
  <c r="F70" i="528"/>
  <c r="E70" i="528"/>
  <c r="D70" i="528"/>
  <c r="N69" i="528"/>
  <c r="F69" i="528"/>
  <c r="E69" i="528"/>
  <c r="D69" i="528"/>
  <c r="N68" i="528"/>
  <c r="C68" i="528"/>
  <c r="N67" i="528"/>
  <c r="K65" i="528"/>
  <c r="D63" i="528"/>
  <c r="D64" i="528" s="1"/>
  <c r="D66" i="528" s="1"/>
  <c r="J55" i="528"/>
  <c r="K54" i="528" s="1"/>
  <c r="F49" i="528"/>
  <c r="E49" i="528"/>
  <c r="J20" i="528"/>
  <c r="E54" i="528" s="1"/>
  <c r="K16" i="528"/>
  <c r="E14" i="528"/>
  <c r="F12" i="528"/>
  <c r="J9" i="528"/>
  <c r="J11" i="528" s="1"/>
  <c r="E16" i="528" s="1"/>
  <c r="K7" i="528"/>
  <c r="E6" i="528"/>
  <c r="F6" i="528" s="1"/>
  <c r="E7" i="528" s="1"/>
  <c r="E94" i="527"/>
  <c r="D94" i="527"/>
  <c r="E87" i="527"/>
  <c r="E89" i="527" s="1"/>
  <c r="D87" i="527"/>
  <c r="D89" i="527" s="1"/>
  <c r="C87" i="527"/>
  <c r="F86" i="527"/>
  <c r="C86" i="527"/>
  <c r="C89" i="527" s="1"/>
  <c r="F85" i="527"/>
  <c r="C85" i="527"/>
  <c r="D81" i="527"/>
  <c r="D51" i="527" s="1"/>
  <c r="D52" i="527" s="1"/>
  <c r="M62" i="527"/>
  <c r="L62" i="527"/>
  <c r="K62" i="527"/>
  <c r="F62" i="527"/>
  <c r="E62" i="527"/>
  <c r="D62" i="527"/>
  <c r="N61" i="527"/>
  <c r="F61" i="527"/>
  <c r="E61" i="527"/>
  <c r="D61" i="527"/>
  <c r="N60" i="527"/>
  <c r="C60" i="527"/>
  <c r="N59" i="527"/>
  <c r="K57" i="527"/>
  <c r="D55" i="527"/>
  <c r="D56" i="527" s="1"/>
  <c r="D58" i="527" s="1"/>
  <c r="J47" i="527"/>
  <c r="K46" i="527" s="1"/>
  <c r="F41" i="527"/>
  <c r="E41" i="527"/>
  <c r="J21" i="527"/>
  <c r="E46" i="527" s="1"/>
  <c r="K17" i="527"/>
  <c r="E15" i="527"/>
  <c r="F13" i="527"/>
  <c r="E13" i="527"/>
  <c r="J9" i="527"/>
  <c r="J11" i="527" s="1"/>
  <c r="E17" i="527" s="1"/>
  <c r="K7" i="527"/>
  <c r="E6" i="527"/>
  <c r="F6" i="527" s="1"/>
  <c r="E7" i="527" s="1"/>
  <c r="D72" i="526"/>
  <c r="D73" i="526" s="1"/>
  <c r="D75" i="526" s="1"/>
  <c r="D98" i="526"/>
  <c r="D68" i="526" s="1"/>
  <c r="D69" i="526" s="1"/>
  <c r="F15" i="526"/>
  <c r="E15" i="526"/>
  <c r="E111" i="526"/>
  <c r="D111" i="526"/>
  <c r="E104" i="526"/>
  <c r="E106" i="526" s="1"/>
  <c r="D104" i="526"/>
  <c r="D106" i="526" s="1"/>
  <c r="C104" i="526"/>
  <c r="F103" i="526"/>
  <c r="C103" i="526"/>
  <c r="C106" i="526" s="1"/>
  <c r="F102" i="526"/>
  <c r="C102" i="526"/>
  <c r="M79" i="526"/>
  <c r="L79" i="526"/>
  <c r="K79" i="526"/>
  <c r="F79" i="526"/>
  <c r="E79" i="526"/>
  <c r="D79" i="526"/>
  <c r="N78" i="526"/>
  <c r="F78" i="526"/>
  <c r="E78" i="526"/>
  <c r="D78" i="526"/>
  <c r="N77" i="526"/>
  <c r="C77" i="526"/>
  <c r="N76" i="526"/>
  <c r="K74" i="526"/>
  <c r="J64" i="526"/>
  <c r="K63" i="526" s="1"/>
  <c r="F58" i="526"/>
  <c r="E58" i="526"/>
  <c r="J23" i="526"/>
  <c r="E63" i="526" s="1"/>
  <c r="K19" i="526"/>
  <c r="E17" i="526"/>
  <c r="J9" i="526"/>
  <c r="J11" i="526" s="1"/>
  <c r="E19" i="526" s="1"/>
  <c r="K7" i="526"/>
  <c r="E6" i="526"/>
  <c r="F6" i="526" s="1"/>
  <c r="E7" i="526" s="1"/>
  <c r="D70" i="525"/>
  <c r="D41" i="525" s="1"/>
  <c r="D42" i="525" s="1"/>
  <c r="E12" i="525"/>
  <c r="E83" i="525"/>
  <c r="D83" i="525"/>
  <c r="E76" i="525"/>
  <c r="E78" i="525" s="1"/>
  <c r="D76" i="525"/>
  <c r="D78" i="525" s="1"/>
  <c r="C76" i="525"/>
  <c r="F75" i="525"/>
  <c r="C75" i="525"/>
  <c r="C78" i="525" s="1"/>
  <c r="F74" i="525"/>
  <c r="C74" i="525"/>
  <c r="M52" i="525"/>
  <c r="L52" i="525"/>
  <c r="K52" i="525"/>
  <c r="F52" i="525"/>
  <c r="E52" i="525"/>
  <c r="D52" i="525"/>
  <c r="N51" i="525"/>
  <c r="F51" i="525"/>
  <c r="E51" i="525"/>
  <c r="D51" i="525"/>
  <c r="N50" i="525"/>
  <c r="C50" i="525"/>
  <c r="N49" i="525"/>
  <c r="K47" i="525"/>
  <c r="D46" i="525"/>
  <c r="D48" i="525" s="1"/>
  <c r="J37" i="525"/>
  <c r="K36" i="525" s="1"/>
  <c r="F31" i="525"/>
  <c r="E31" i="525"/>
  <c r="J20" i="525"/>
  <c r="E36" i="525" s="1"/>
  <c r="K16" i="525"/>
  <c r="E14" i="525"/>
  <c r="F12" i="525"/>
  <c r="J9" i="525"/>
  <c r="J11" i="525" s="1"/>
  <c r="E16" i="525" s="1"/>
  <c r="K7" i="525"/>
  <c r="E6" i="525"/>
  <c r="F6" i="525" s="1"/>
  <c r="E7" i="525" s="1"/>
  <c r="E101" i="524"/>
  <c r="D101" i="524"/>
  <c r="E94" i="524"/>
  <c r="E96" i="524" s="1"/>
  <c r="D94" i="524"/>
  <c r="D96" i="524" s="1"/>
  <c r="C94" i="524"/>
  <c r="F93" i="524"/>
  <c r="C93" i="524"/>
  <c r="C96" i="524" s="1"/>
  <c r="F92" i="524"/>
  <c r="C92" i="524"/>
  <c r="D88" i="524"/>
  <c r="D61" i="524" s="1"/>
  <c r="D62" i="524" s="1"/>
  <c r="M72" i="524"/>
  <c r="L72" i="524"/>
  <c r="K72" i="524"/>
  <c r="F72" i="524"/>
  <c r="E72" i="524"/>
  <c r="D72" i="524"/>
  <c r="N71" i="524"/>
  <c r="F71" i="524"/>
  <c r="E71" i="524"/>
  <c r="D71" i="524"/>
  <c r="N70" i="524"/>
  <c r="C70" i="524"/>
  <c r="N69" i="524"/>
  <c r="K67" i="524"/>
  <c r="D66" i="524"/>
  <c r="D68" i="524" s="1"/>
  <c r="J57" i="524"/>
  <c r="K56" i="524" s="1"/>
  <c r="F51" i="524"/>
  <c r="E51" i="524"/>
  <c r="J21" i="524"/>
  <c r="E56" i="524" s="1"/>
  <c r="K17" i="524"/>
  <c r="E15" i="524"/>
  <c r="F13" i="524"/>
  <c r="E13" i="524"/>
  <c r="J9" i="524"/>
  <c r="J11" i="524" s="1"/>
  <c r="E17" i="524" s="1"/>
  <c r="K7" i="524"/>
  <c r="E6" i="524"/>
  <c r="F6" i="524" s="1"/>
  <c r="E7" i="524" s="1"/>
  <c r="D108" i="523"/>
  <c r="E71" i="523"/>
  <c r="F71" i="523"/>
  <c r="F110" i="529" l="1"/>
  <c r="F112" i="529" s="1"/>
  <c r="G81" i="529"/>
  <c r="H81" i="529" s="1"/>
  <c r="G82" i="529"/>
  <c r="H82" i="529" s="1"/>
  <c r="N82" i="529"/>
  <c r="L61" i="529"/>
  <c r="E8" i="529"/>
  <c r="E14" i="529"/>
  <c r="K15" i="529" s="1"/>
  <c r="G69" i="528"/>
  <c r="H69" i="528" s="1"/>
  <c r="G70" i="528"/>
  <c r="H70" i="528" s="1"/>
  <c r="F96" i="528"/>
  <c r="F98" i="528" s="1"/>
  <c r="N70" i="528"/>
  <c r="E50" i="528"/>
  <c r="L49" i="528" s="1"/>
  <c r="E13" i="528"/>
  <c r="E15" i="528" s="1"/>
  <c r="F87" i="527"/>
  <c r="F89" i="527" s="1"/>
  <c r="N62" i="527"/>
  <c r="E42" i="527"/>
  <c r="L41" i="527" s="1"/>
  <c r="G61" i="527"/>
  <c r="H61" i="527" s="1"/>
  <c r="G62" i="527"/>
  <c r="H62" i="527" s="1"/>
  <c r="E14" i="527"/>
  <c r="K15" i="527" s="1"/>
  <c r="E13" i="525"/>
  <c r="E15" i="525" s="1"/>
  <c r="F104" i="526"/>
  <c r="F106" i="526" s="1"/>
  <c r="G78" i="526"/>
  <c r="H78" i="526" s="1"/>
  <c r="G79" i="526"/>
  <c r="H79" i="526" s="1"/>
  <c r="N79" i="526"/>
  <c r="E59" i="526"/>
  <c r="L58" i="526" s="1"/>
  <c r="E16" i="526"/>
  <c r="K17" i="526" s="1"/>
  <c r="F76" i="525"/>
  <c r="F78" i="525" s="1"/>
  <c r="E32" i="525"/>
  <c r="L31" i="525" s="1"/>
  <c r="G51" i="525"/>
  <c r="H51" i="525" s="1"/>
  <c r="G52" i="525"/>
  <c r="H52" i="525" s="1"/>
  <c r="N52" i="525"/>
  <c r="K14" i="525"/>
  <c r="E52" i="524"/>
  <c r="E55" i="524" s="1"/>
  <c r="E14" i="524"/>
  <c r="E16" i="524" s="1"/>
  <c r="N72" i="524"/>
  <c r="G71" i="524"/>
  <c r="H71" i="524" s="1"/>
  <c r="F94" i="524"/>
  <c r="F96" i="524" s="1"/>
  <c r="G72" i="524"/>
  <c r="H72" i="524" s="1"/>
  <c r="E72" i="523"/>
  <c r="K14" i="528" l="1"/>
  <c r="E65" i="529"/>
  <c r="E16" i="529"/>
  <c r="K15" i="524"/>
  <c r="E53" i="528"/>
  <c r="E35" i="525"/>
  <c r="E45" i="527"/>
  <c r="E16" i="527"/>
  <c r="E62" i="526"/>
  <c r="E18" i="526"/>
  <c r="L51" i="524"/>
  <c r="E121" i="523"/>
  <c r="D121" i="523"/>
  <c r="E114" i="523"/>
  <c r="E116" i="523" s="1"/>
  <c r="D114" i="523"/>
  <c r="D116" i="523" s="1"/>
  <c r="C114" i="523"/>
  <c r="F113" i="523"/>
  <c r="C113" i="523"/>
  <c r="C116" i="523" s="1"/>
  <c r="F112" i="523"/>
  <c r="C112" i="523"/>
  <c r="M92" i="523"/>
  <c r="L92" i="523"/>
  <c r="K92" i="523"/>
  <c r="F92" i="523"/>
  <c r="E92" i="523"/>
  <c r="D92" i="523"/>
  <c r="N91" i="523"/>
  <c r="F91" i="523"/>
  <c r="E91" i="523"/>
  <c r="D91" i="523"/>
  <c r="N90" i="523"/>
  <c r="C90" i="523"/>
  <c r="N89" i="523"/>
  <c r="K87" i="523"/>
  <c r="D86" i="523"/>
  <c r="D88" i="523" s="1"/>
  <c r="D81" i="523"/>
  <c r="D82" i="523" s="1"/>
  <c r="J77" i="523"/>
  <c r="K76" i="523" s="1"/>
  <c r="J23" i="523"/>
  <c r="E76" i="523" s="1"/>
  <c r="K19" i="523"/>
  <c r="E17" i="523"/>
  <c r="F15" i="523"/>
  <c r="E15" i="523"/>
  <c r="J9" i="523"/>
  <c r="J11" i="523" s="1"/>
  <c r="E19" i="523" s="1"/>
  <c r="K7" i="523"/>
  <c r="E6" i="523"/>
  <c r="F6" i="523" s="1"/>
  <c r="E7" i="523" s="1"/>
  <c r="D98" i="522"/>
  <c r="E63" i="522"/>
  <c r="F63" i="522"/>
  <c r="F114" i="523" l="1"/>
  <c r="F116" i="523" s="1"/>
  <c r="G91" i="523"/>
  <c r="H91" i="523" s="1"/>
  <c r="G92" i="523"/>
  <c r="H92" i="523" s="1"/>
  <c r="N92" i="523"/>
  <c r="L71" i="523"/>
  <c r="E16" i="523"/>
  <c r="E18" i="523" s="1"/>
  <c r="E64" i="522"/>
  <c r="E75" i="523" l="1"/>
  <c r="K17" i="523"/>
  <c r="E111" i="522"/>
  <c r="D111" i="522"/>
  <c r="E104" i="522"/>
  <c r="E106" i="522" s="1"/>
  <c r="D104" i="522"/>
  <c r="D106" i="522" s="1"/>
  <c r="C104" i="522"/>
  <c r="F103" i="522"/>
  <c r="C103" i="522"/>
  <c r="C106" i="522" s="1"/>
  <c r="F102" i="522"/>
  <c r="C102" i="522"/>
  <c r="D73" i="522"/>
  <c r="D74" i="522" s="1"/>
  <c r="M84" i="522"/>
  <c r="L84" i="522"/>
  <c r="K84" i="522"/>
  <c r="F84" i="522"/>
  <c r="E84" i="522"/>
  <c r="D84" i="522"/>
  <c r="N83" i="522"/>
  <c r="F83" i="522"/>
  <c r="E83" i="522"/>
  <c r="D83" i="522"/>
  <c r="N82" i="522"/>
  <c r="C82" i="522"/>
  <c r="N81" i="522"/>
  <c r="K79" i="522"/>
  <c r="D78" i="522"/>
  <c r="D80" i="522" s="1"/>
  <c r="J69" i="522"/>
  <c r="K68" i="522" s="1"/>
  <c r="J33" i="522"/>
  <c r="E68" i="522" s="1"/>
  <c r="K29" i="522"/>
  <c r="E27" i="522"/>
  <c r="F25" i="522"/>
  <c r="E25" i="522"/>
  <c r="J9" i="522"/>
  <c r="J11" i="522" s="1"/>
  <c r="E29" i="522" s="1"/>
  <c r="K7" i="522"/>
  <c r="E6" i="522"/>
  <c r="F6" i="522" s="1"/>
  <c r="E7" i="522" s="1"/>
  <c r="D90" i="521"/>
  <c r="D66" i="521" s="1"/>
  <c r="D67" i="521" s="1"/>
  <c r="E20" i="521"/>
  <c r="E103" i="521"/>
  <c r="D103" i="521"/>
  <c r="E96" i="521"/>
  <c r="E98" i="521" s="1"/>
  <c r="D96" i="521"/>
  <c r="D98" i="521" s="1"/>
  <c r="C96" i="521"/>
  <c r="F95" i="521"/>
  <c r="C95" i="521"/>
  <c r="C98" i="521" s="1"/>
  <c r="F94" i="521"/>
  <c r="C94" i="521"/>
  <c r="M77" i="521"/>
  <c r="L77" i="521"/>
  <c r="K77" i="521"/>
  <c r="F77" i="521"/>
  <c r="E77" i="521"/>
  <c r="D77" i="521"/>
  <c r="N76" i="521"/>
  <c r="F76" i="521"/>
  <c r="E76" i="521"/>
  <c r="D76" i="521"/>
  <c r="N75" i="521"/>
  <c r="C75" i="521"/>
  <c r="N74" i="521"/>
  <c r="K72" i="521"/>
  <c r="D71" i="521"/>
  <c r="D73" i="521" s="1"/>
  <c r="J62" i="521"/>
  <c r="K61" i="521" s="1"/>
  <c r="F56" i="521"/>
  <c r="E56" i="521"/>
  <c r="J28" i="521"/>
  <c r="E61" i="521" s="1"/>
  <c r="K24" i="521"/>
  <c r="E22" i="521"/>
  <c r="F20" i="521"/>
  <c r="J9" i="521"/>
  <c r="J11" i="521" s="1"/>
  <c r="E24" i="521" s="1"/>
  <c r="K7" i="521"/>
  <c r="E6" i="521"/>
  <c r="F6" i="521" s="1"/>
  <c r="E70" i="520"/>
  <c r="F7" i="520"/>
  <c r="E116" i="520"/>
  <c r="D116" i="520"/>
  <c r="E109" i="520"/>
  <c r="E111" i="520" s="1"/>
  <c r="D109" i="520"/>
  <c r="D111" i="520" s="1"/>
  <c r="C109" i="520"/>
  <c r="F108" i="520"/>
  <c r="C108" i="520"/>
  <c r="C111" i="520" s="1"/>
  <c r="F107" i="520"/>
  <c r="C107" i="520"/>
  <c r="D103" i="520"/>
  <c r="D80" i="520" s="1"/>
  <c r="D81" i="520" s="1"/>
  <c r="M91" i="520"/>
  <c r="L91" i="520"/>
  <c r="K91" i="520"/>
  <c r="F91" i="520"/>
  <c r="E91" i="520"/>
  <c r="D91" i="520"/>
  <c r="N90" i="520"/>
  <c r="F90" i="520"/>
  <c r="E90" i="520"/>
  <c r="D90" i="520"/>
  <c r="N89" i="520"/>
  <c r="C89" i="520"/>
  <c r="N88" i="520"/>
  <c r="K86" i="520"/>
  <c r="D85" i="520"/>
  <c r="D87" i="520" s="1"/>
  <c r="J76" i="520"/>
  <c r="K75" i="520" s="1"/>
  <c r="F70" i="520"/>
  <c r="J39" i="520"/>
  <c r="E75" i="520" s="1"/>
  <c r="K35" i="520"/>
  <c r="E33" i="520"/>
  <c r="F31" i="520"/>
  <c r="E31" i="520"/>
  <c r="J10" i="520"/>
  <c r="J12" i="520" s="1"/>
  <c r="E35" i="520" s="1"/>
  <c r="K8" i="520"/>
  <c r="E7" i="520"/>
  <c r="D92" i="519"/>
  <c r="D69" i="519" s="1"/>
  <c r="D70" i="519" s="1"/>
  <c r="E7" i="519"/>
  <c r="E105" i="519"/>
  <c r="D105" i="519"/>
  <c r="E98" i="519"/>
  <c r="E100" i="519" s="1"/>
  <c r="D98" i="519"/>
  <c r="D100" i="519" s="1"/>
  <c r="C98" i="519"/>
  <c r="F97" i="519"/>
  <c r="C97" i="519"/>
  <c r="C100" i="519" s="1"/>
  <c r="F96" i="519"/>
  <c r="C96" i="519"/>
  <c r="M80" i="519"/>
  <c r="L80" i="519"/>
  <c r="K80" i="519"/>
  <c r="F80" i="519"/>
  <c r="E80" i="519"/>
  <c r="D80" i="519"/>
  <c r="N79" i="519"/>
  <c r="F79" i="519"/>
  <c r="E79" i="519"/>
  <c r="D79" i="519"/>
  <c r="N78" i="519"/>
  <c r="C78" i="519"/>
  <c r="N77" i="519"/>
  <c r="K75" i="519"/>
  <c r="D74" i="519"/>
  <c r="D76" i="519" s="1"/>
  <c r="J65" i="519"/>
  <c r="K64" i="519" s="1"/>
  <c r="F59" i="519"/>
  <c r="E59" i="519"/>
  <c r="J23" i="519"/>
  <c r="E64" i="519" s="1"/>
  <c r="K19" i="519"/>
  <c r="E17" i="519"/>
  <c r="F15" i="519"/>
  <c r="E15" i="519"/>
  <c r="J10" i="519"/>
  <c r="J12" i="519" s="1"/>
  <c r="E19" i="519" s="1"/>
  <c r="K8" i="519"/>
  <c r="F7" i="519"/>
  <c r="D97" i="518"/>
  <c r="E65" i="518"/>
  <c r="F65" i="518"/>
  <c r="G83" i="522" l="1"/>
  <c r="H83" i="522" s="1"/>
  <c r="G84" i="522"/>
  <c r="H84" i="522" s="1"/>
  <c r="F104" i="522"/>
  <c r="F106" i="522" s="1"/>
  <c r="N84" i="522"/>
  <c r="L63" i="522"/>
  <c r="E26" i="522"/>
  <c r="E28" i="522" s="1"/>
  <c r="F96" i="521"/>
  <c r="F98" i="521" s="1"/>
  <c r="N77" i="521"/>
  <c r="E57" i="521"/>
  <c r="E60" i="521" s="1"/>
  <c r="E21" i="521"/>
  <c r="K22" i="521" s="1"/>
  <c r="G76" i="521"/>
  <c r="H76" i="521" s="1"/>
  <c r="G77" i="521"/>
  <c r="H77" i="521" s="1"/>
  <c r="E7" i="521"/>
  <c r="E8" i="520"/>
  <c r="G90" i="520"/>
  <c r="H90" i="520" s="1"/>
  <c r="E71" i="520"/>
  <c r="E74" i="520" s="1"/>
  <c r="E32" i="520"/>
  <c r="E34" i="520" s="1"/>
  <c r="N91" i="520"/>
  <c r="G91" i="520"/>
  <c r="H91" i="520" s="1"/>
  <c r="F109" i="520"/>
  <c r="F111" i="520" s="1"/>
  <c r="F98" i="519"/>
  <c r="F100" i="519" s="1"/>
  <c r="N80" i="519"/>
  <c r="E60" i="519"/>
  <c r="E63" i="519" s="1"/>
  <c r="E8" i="519"/>
  <c r="E16" i="519"/>
  <c r="E18" i="519" s="1"/>
  <c r="G79" i="519"/>
  <c r="H79" i="519" s="1"/>
  <c r="G80" i="519"/>
  <c r="H80" i="519" s="1"/>
  <c r="E66" i="518"/>
  <c r="E67" i="522" l="1"/>
  <c r="K27" i="522"/>
  <c r="L56" i="521"/>
  <c r="E23" i="521"/>
  <c r="L70" i="520"/>
  <c r="K33" i="520"/>
  <c r="L59" i="519"/>
  <c r="K17" i="519"/>
  <c r="E14" i="518"/>
  <c r="E110" i="518"/>
  <c r="D110" i="518"/>
  <c r="E103" i="518"/>
  <c r="E105" i="518" s="1"/>
  <c r="D103" i="518"/>
  <c r="D105" i="518" s="1"/>
  <c r="C103" i="518"/>
  <c r="F102" i="518"/>
  <c r="C102" i="518"/>
  <c r="C105" i="518" s="1"/>
  <c r="F101" i="518"/>
  <c r="C101" i="518"/>
  <c r="D75" i="518"/>
  <c r="D76" i="518" s="1"/>
  <c r="M86" i="518"/>
  <c r="L86" i="518"/>
  <c r="K86" i="518"/>
  <c r="F86" i="518"/>
  <c r="E86" i="518"/>
  <c r="D86" i="518"/>
  <c r="N85" i="518"/>
  <c r="F85" i="518"/>
  <c r="E85" i="518"/>
  <c r="D85" i="518"/>
  <c r="N84" i="518"/>
  <c r="C84" i="518"/>
  <c r="N83" i="518"/>
  <c r="K81" i="518"/>
  <c r="D80" i="518"/>
  <c r="D82" i="518" s="1"/>
  <c r="J71" i="518"/>
  <c r="K70" i="518" s="1"/>
  <c r="J22" i="518"/>
  <c r="E70" i="518" s="1"/>
  <c r="K18" i="518"/>
  <c r="E16" i="518"/>
  <c r="F14" i="518"/>
  <c r="J9" i="518"/>
  <c r="J11" i="518" s="1"/>
  <c r="E18" i="518" s="1"/>
  <c r="K7" i="518"/>
  <c r="F6" i="518"/>
  <c r="E6" i="518"/>
  <c r="C77" i="517"/>
  <c r="K74" i="517"/>
  <c r="D72" i="517"/>
  <c r="D87" i="517"/>
  <c r="E93" i="517"/>
  <c r="E95" i="517" s="1"/>
  <c r="D93" i="517"/>
  <c r="D95" i="517" s="1"/>
  <c r="C93" i="517"/>
  <c r="C91" i="517"/>
  <c r="E58" i="517"/>
  <c r="F103" i="518" l="1"/>
  <c r="F105" i="518" s="1"/>
  <c r="N86" i="518"/>
  <c r="L65" i="518"/>
  <c r="E7" i="518"/>
  <c r="G85" i="518"/>
  <c r="H85" i="518" s="1"/>
  <c r="G86" i="518"/>
  <c r="H86" i="518" s="1"/>
  <c r="E15" i="518"/>
  <c r="E17" i="518" s="1"/>
  <c r="E100" i="517"/>
  <c r="D100" i="517"/>
  <c r="F92" i="517"/>
  <c r="C92" i="517"/>
  <c r="C95" i="517" s="1"/>
  <c r="F91" i="517"/>
  <c r="M79" i="517"/>
  <c r="L79" i="517"/>
  <c r="K79" i="517"/>
  <c r="F79" i="517"/>
  <c r="E79" i="517"/>
  <c r="D79" i="517"/>
  <c r="N78" i="517"/>
  <c r="F78" i="517"/>
  <c r="E78" i="517"/>
  <c r="D78" i="517"/>
  <c r="N77" i="517"/>
  <c r="N76" i="517"/>
  <c r="D73" i="517"/>
  <c r="D75" i="517" s="1"/>
  <c r="D68" i="517"/>
  <c r="D69" i="517" s="1"/>
  <c r="J64" i="517"/>
  <c r="K63" i="517" s="1"/>
  <c r="E61" i="517"/>
  <c r="F58" i="517"/>
  <c r="E59" i="517" s="1"/>
  <c r="J19" i="517"/>
  <c r="J21" i="517" s="1"/>
  <c r="E63" i="517" s="1"/>
  <c r="K17" i="517"/>
  <c r="E15" i="517"/>
  <c r="F13" i="517"/>
  <c r="E13" i="517"/>
  <c r="J9" i="517"/>
  <c r="J11" i="517" s="1"/>
  <c r="E17" i="517" s="1"/>
  <c r="K7" i="517"/>
  <c r="F6" i="517"/>
  <c r="E6" i="517"/>
  <c r="D116" i="516"/>
  <c r="F46" i="516"/>
  <c r="E69" i="518" l="1"/>
  <c r="K16" i="518"/>
  <c r="G78" i="517"/>
  <c r="H78" i="517" s="1"/>
  <c r="G79" i="517"/>
  <c r="H79" i="517" s="1"/>
  <c r="F93" i="517"/>
  <c r="F95" i="517" s="1"/>
  <c r="E7" i="517"/>
  <c r="N79" i="517"/>
  <c r="E14" i="517"/>
  <c r="E16" i="517" s="1"/>
  <c r="L58" i="517"/>
  <c r="E62" i="517"/>
  <c r="E129" i="516"/>
  <c r="D129" i="516"/>
  <c r="E122" i="516"/>
  <c r="E124" i="516" s="1"/>
  <c r="D122" i="516"/>
  <c r="D124" i="516" s="1"/>
  <c r="C122" i="516"/>
  <c r="F121" i="516"/>
  <c r="C121" i="516"/>
  <c r="C124" i="516" s="1"/>
  <c r="F120" i="516"/>
  <c r="C120" i="516"/>
  <c r="D99" i="516"/>
  <c r="D100" i="516" s="1"/>
  <c r="M110" i="516"/>
  <c r="L110" i="516"/>
  <c r="K110" i="516"/>
  <c r="F110" i="516"/>
  <c r="E110" i="516"/>
  <c r="D110" i="516"/>
  <c r="N109" i="516"/>
  <c r="F109" i="516"/>
  <c r="E109" i="516"/>
  <c r="D109" i="516"/>
  <c r="N108" i="516"/>
  <c r="C108" i="516"/>
  <c r="N107" i="516"/>
  <c r="K105" i="516"/>
  <c r="D104" i="516"/>
  <c r="D106" i="516" s="1"/>
  <c r="J95" i="516"/>
  <c r="K94" i="516" s="1"/>
  <c r="E92" i="516"/>
  <c r="E89" i="516"/>
  <c r="J25" i="516"/>
  <c r="J27" i="516" s="1"/>
  <c r="E94" i="516" s="1"/>
  <c r="K23" i="516"/>
  <c r="E21" i="516"/>
  <c r="F19" i="516"/>
  <c r="E19" i="516"/>
  <c r="J9" i="516"/>
  <c r="J11" i="516" s="1"/>
  <c r="E23" i="516" s="1"/>
  <c r="K7" i="516"/>
  <c r="F6" i="516"/>
  <c r="E6" i="516"/>
  <c r="D122" i="515"/>
  <c r="D70" i="515" s="1"/>
  <c r="D71" i="515" s="1"/>
  <c r="F46" i="515"/>
  <c r="F59" i="515"/>
  <c r="F15" i="515"/>
  <c r="E135" i="515"/>
  <c r="D135" i="515"/>
  <c r="E128" i="515"/>
  <c r="E130" i="515" s="1"/>
  <c r="D128" i="515"/>
  <c r="D130" i="515" s="1"/>
  <c r="C128" i="515"/>
  <c r="F127" i="515"/>
  <c r="C127" i="515"/>
  <c r="C130" i="515" s="1"/>
  <c r="F126" i="515"/>
  <c r="C126" i="515"/>
  <c r="M81" i="515"/>
  <c r="L81" i="515"/>
  <c r="K81" i="515"/>
  <c r="F81" i="515"/>
  <c r="E81" i="515"/>
  <c r="D81" i="515"/>
  <c r="N80" i="515"/>
  <c r="F80" i="515"/>
  <c r="E80" i="515"/>
  <c r="D80" i="515"/>
  <c r="N79" i="515"/>
  <c r="C79" i="515"/>
  <c r="N78" i="515"/>
  <c r="K76" i="515"/>
  <c r="D75" i="515"/>
  <c r="D77" i="515" s="1"/>
  <c r="J65" i="515"/>
  <c r="J66" i="515" s="1"/>
  <c r="K65" i="515" s="1"/>
  <c r="E63" i="515"/>
  <c r="E60" i="515"/>
  <c r="J21" i="515"/>
  <c r="J23" i="515" s="1"/>
  <c r="E65" i="515" s="1"/>
  <c r="K19" i="515"/>
  <c r="E17" i="515"/>
  <c r="E15" i="515"/>
  <c r="J9" i="515"/>
  <c r="J11" i="515" s="1"/>
  <c r="E19" i="515" s="1"/>
  <c r="K7" i="515"/>
  <c r="F6" i="515"/>
  <c r="E6" i="515"/>
  <c r="J38" i="514"/>
  <c r="E68" i="514"/>
  <c r="K15" i="517" l="1"/>
  <c r="G109" i="516"/>
  <c r="H109" i="516" s="1"/>
  <c r="G110" i="516"/>
  <c r="H110" i="516" s="1"/>
  <c r="F122" i="516"/>
  <c r="F124" i="516" s="1"/>
  <c r="N110" i="516"/>
  <c r="E7" i="516"/>
  <c r="F89" i="516"/>
  <c r="E90" i="516" s="1"/>
  <c r="L89" i="516" s="1"/>
  <c r="E20" i="516"/>
  <c r="K21" i="516" s="1"/>
  <c r="F60" i="515"/>
  <c r="E61" i="515" s="1"/>
  <c r="L60" i="515" s="1"/>
  <c r="N81" i="515"/>
  <c r="G81" i="515"/>
  <c r="H81" i="515" s="1"/>
  <c r="E7" i="515"/>
  <c r="E16" i="515"/>
  <c r="E18" i="515" s="1"/>
  <c r="G80" i="515"/>
  <c r="H80" i="515" s="1"/>
  <c r="F128" i="515"/>
  <c r="F130" i="515" s="1"/>
  <c r="E139" i="514"/>
  <c r="D139" i="514"/>
  <c r="E132" i="514"/>
  <c r="E134" i="514" s="1"/>
  <c r="C132" i="514"/>
  <c r="D132" i="514"/>
  <c r="D134" i="514" s="1"/>
  <c r="C131" i="514"/>
  <c r="C134" i="514" s="1"/>
  <c r="F130" i="514"/>
  <c r="C130" i="514"/>
  <c r="D126" i="514"/>
  <c r="D75" i="514" s="1"/>
  <c r="D76" i="514" s="1"/>
  <c r="M86" i="514"/>
  <c r="L86" i="514"/>
  <c r="K86" i="514"/>
  <c r="F86" i="514"/>
  <c r="E86" i="514"/>
  <c r="D86" i="514"/>
  <c r="N85" i="514"/>
  <c r="F85" i="514"/>
  <c r="E85" i="514"/>
  <c r="D85" i="514"/>
  <c r="N84" i="514"/>
  <c r="C84" i="514"/>
  <c r="N83" i="514"/>
  <c r="K81" i="514"/>
  <c r="D80" i="514"/>
  <c r="D82" i="514" s="1"/>
  <c r="J70" i="514"/>
  <c r="J71" i="514" s="1"/>
  <c r="K70" i="514" s="1"/>
  <c r="F65" i="514"/>
  <c r="E65" i="514"/>
  <c r="J40" i="514"/>
  <c r="E70" i="514" s="1"/>
  <c r="K36" i="514"/>
  <c r="E34" i="514"/>
  <c r="F32" i="514"/>
  <c r="E32" i="514"/>
  <c r="J9" i="514"/>
  <c r="J11" i="514" s="1"/>
  <c r="E36" i="514" s="1"/>
  <c r="K7" i="514"/>
  <c r="F6" i="514"/>
  <c r="E6" i="514"/>
  <c r="D120" i="513"/>
  <c r="D121" i="513" s="1"/>
  <c r="D123" i="513" s="1"/>
  <c r="J59" i="513"/>
  <c r="J60" i="513" s="1"/>
  <c r="K59" i="513" s="1"/>
  <c r="D115" i="513"/>
  <c r="D64" i="513" s="1"/>
  <c r="D65" i="513" s="1"/>
  <c r="E128" i="513"/>
  <c r="D128" i="513"/>
  <c r="E121" i="513"/>
  <c r="E123" i="513" s="1"/>
  <c r="C121" i="513"/>
  <c r="C120" i="513"/>
  <c r="C123" i="513" s="1"/>
  <c r="F119" i="513"/>
  <c r="C119" i="513"/>
  <c r="M75" i="513"/>
  <c r="L75" i="513"/>
  <c r="K75" i="513"/>
  <c r="F75" i="513"/>
  <c r="E75" i="513"/>
  <c r="D75" i="513"/>
  <c r="N74" i="513"/>
  <c r="F74" i="513"/>
  <c r="E74" i="513"/>
  <c r="D74" i="513"/>
  <c r="N73" i="513"/>
  <c r="C73" i="513"/>
  <c r="N72" i="513"/>
  <c r="K70" i="513"/>
  <c r="D69" i="513"/>
  <c r="D71" i="513" s="1"/>
  <c r="E57" i="513"/>
  <c r="F54" i="513"/>
  <c r="E54" i="513"/>
  <c r="J20" i="513"/>
  <c r="J22" i="513" s="1"/>
  <c r="E59" i="513" s="1"/>
  <c r="K18" i="513"/>
  <c r="E16" i="513"/>
  <c r="F14" i="513"/>
  <c r="E14" i="513"/>
  <c r="J9" i="513"/>
  <c r="J11" i="513" s="1"/>
  <c r="E18" i="513" s="1"/>
  <c r="K7" i="513"/>
  <c r="F6" i="513"/>
  <c r="E6" i="513"/>
  <c r="D114" i="512"/>
  <c r="D66" i="512" s="1"/>
  <c r="D67" i="512" s="1"/>
  <c r="E127" i="512"/>
  <c r="D127" i="512"/>
  <c r="E120" i="512"/>
  <c r="E122" i="512" s="1"/>
  <c r="D120" i="512"/>
  <c r="D122" i="512" s="1"/>
  <c r="C120" i="512"/>
  <c r="F119" i="512"/>
  <c r="C119" i="512"/>
  <c r="C122" i="512" s="1"/>
  <c r="F118" i="512"/>
  <c r="C118" i="512"/>
  <c r="M77" i="512"/>
  <c r="L77" i="512"/>
  <c r="K77" i="512"/>
  <c r="F77" i="512"/>
  <c r="E77" i="512"/>
  <c r="D77" i="512"/>
  <c r="N76" i="512"/>
  <c r="F76" i="512"/>
  <c r="E76" i="512"/>
  <c r="D76" i="512"/>
  <c r="N75" i="512"/>
  <c r="C75" i="512"/>
  <c r="N74" i="512"/>
  <c r="K72" i="512"/>
  <c r="D71" i="512"/>
  <c r="D73" i="512" s="1"/>
  <c r="J62" i="512"/>
  <c r="K61" i="512" s="1"/>
  <c r="E59" i="512"/>
  <c r="F56" i="512"/>
  <c r="E56" i="512"/>
  <c r="J25" i="512"/>
  <c r="J27" i="512" s="1"/>
  <c r="E61" i="512" s="1"/>
  <c r="K23" i="512"/>
  <c r="E21" i="512"/>
  <c r="F19" i="512"/>
  <c r="E19" i="512"/>
  <c r="J9" i="512"/>
  <c r="J11" i="512" s="1"/>
  <c r="E23" i="512" s="1"/>
  <c r="K7" i="512"/>
  <c r="F6" i="512"/>
  <c r="E6" i="512"/>
  <c r="D140" i="511"/>
  <c r="D95" i="511" s="1"/>
  <c r="D96" i="511" s="1"/>
  <c r="J17" i="511"/>
  <c r="E12" i="511"/>
  <c r="E15" i="511" s="1"/>
  <c r="E153" i="511"/>
  <c r="D153" i="511"/>
  <c r="E146" i="511"/>
  <c r="E148" i="511" s="1"/>
  <c r="D146" i="511"/>
  <c r="D148" i="511" s="1"/>
  <c r="C146" i="511"/>
  <c r="F145" i="511"/>
  <c r="C145" i="511"/>
  <c r="C148" i="511" s="1"/>
  <c r="F144" i="511"/>
  <c r="C144" i="511"/>
  <c r="M106" i="511"/>
  <c r="L106" i="511"/>
  <c r="K106" i="511"/>
  <c r="F106" i="511"/>
  <c r="E106" i="511"/>
  <c r="D106" i="511"/>
  <c r="N105" i="511"/>
  <c r="F105" i="511"/>
  <c r="E105" i="511"/>
  <c r="D105" i="511"/>
  <c r="N104" i="511"/>
  <c r="C104" i="511"/>
  <c r="N103" i="511"/>
  <c r="K101" i="511"/>
  <c r="D100" i="511"/>
  <c r="D102" i="511" s="1"/>
  <c r="J91" i="511"/>
  <c r="K90" i="511" s="1"/>
  <c r="E88" i="511"/>
  <c r="F85" i="511"/>
  <c r="E85" i="511"/>
  <c r="J21" i="511"/>
  <c r="J23" i="511" s="1"/>
  <c r="E90" i="511" s="1"/>
  <c r="K19" i="511"/>
  <c r="E17" i="511"/>
  <c r="F15" i="511"/>
  <c r="J9" i="511"/>
  <c r="J11" i="511" s="1"/>
  <c r="E19" i="511" s="1"/>
  <c r="K7" i="511"/>
  <c r="F6" i="511"/>
  <c r="E6" i="511"/>
  <c r="F26" i="510"/>
  <c r="E113" i="510"/>
  <c r="D113" i="510"/>
  <c r="E106" i="510"/>
  <c r="E108" i="510" s="1"/>
  <c r="D106" i="510"/>
  <c r="D108" i="510" s="1"/>
  <c r="C106" i="510"/>
  <c r="F105" i="510"/>
  <c r="C105" i="510"/>
  <c r="C108" i="510" s="1"/>
  <c r="F104" i="510"/>
  <c r="C104" i="510"/>
  <c r="D100" i="510"/>
  <c r="D56" i="510" s="1"/>
  <c r="D57" i="510" s="1"/>
  <c r="M67" i="510"/>
  <c r="L67" i="510"/>
  <c r="K67" i="510"/>
  <c r="F67" i="510"/>
  <c r="E67" i="510"/>
  <c r="D67" i="510"/>
  <c r="N66" i="510"/>
  <c r="F66" i="510"/>
  <c r="E66" i="510"/>
  <c r="D66" i="510"/>
  <c r="N65" i="510"/>
  <c r="C65" i="510"/>
  <c r="N64" i="510"/>
  <c r="K62" i="510"/>
  <c r="D61" i="510"/>
  <c r="D63" i="510" s="1"/>
  <c r="J52" i="510"/>
  <c r="K51" i="510" s="1"/>
  <c r="E49" i="510"/>
  <c r="F46" i="510"/>
  <c r="E46" i="510"/>
  <c r="J32" i="510"/>
  <c r="J34" i="510" s="1"/>
  <c r="E51" i="510" s="1"/>
  <c r="K30" i="510"/>
  <c r="E28" i="510"/>
  <c r="E26" i="510"/>
  <c r="J9" i="510"/>
  <c r="J11" i="510" s="1"/>
  <c r="E30" i="510" s="1"/>
  <c r="K7" i="510"/>
  <c r="F6" i="510"/>
  <c r="E6" i="510"/>
  <c r="E13" i="509"/>
  <c r="F13" i="509"/>
  <c r="E100" i="509"/>
  <c r="D100" i="509"/>
  <c r="E93" i="509"/>
  <c r="E95" i="509" s="1"/>
  <c r="D93" i="509"/>
  <c r="D95" i="509" s="1"/>
  <c r="C93" i="509"/>
  <c r="F92" i="509"/>
  <c r="C92" i="509"/>
  <c r="C95" i="509" s="1"/>
  <c r="F91" i="509"/>
  <c r="C91" i="509"/>
  <c r="D87" i="509"/>
  <c r="D43" i="509" s="1"/>
  <c r="D44" i="509" s="1"/>
  <c r="M54" i="509"/>
  <c r="L54" i="509"/>
  <c r="K54" i="509"/>
  <c r="F54" i="509"/>
  <c r="E54" i="509"/>
  <c r="D54" i="509"/>
  <c r="N53" i="509"/>
  <c r="F53" i="509"/>
  <c r="E53" i="509"/>
  <c r="D53" i="509"/>
  <c r="N52" i="509"/>
  <c r="C52" i="509"/>
  <c r="N51" i="509"/>
  <c r="K49" i="509"/>
  <c r="D48" i="509"/>
  <c r="D50" i="509" s="1"/>
  <c r="J39" i="509"/>
  <c r="K38" i="509" s="1"/>
  <c r="E36" i="509"/>
  <c r="F33" i="509"/>
  <c r="E33" i="509"/>
  <c r="J19" i="509"/>
  <c r="J21" i="509" s="1"/>
  <c r="E38" i="509" s="1"/>
  <c r="K17" i="509"/>
  <c r="E15" i="509"/>
  <c r="J9" i="509"/>
  <c r="J11" i="509" s="1"/>
  <c r="E17" i="509" s="1"/>
  <c r="K7" i="509"/>
  <c r="F6" i="509"/>
  <c r="E6" i="509"/>
  <c r="E93" i="516" l="1"/>
  <c r="E22" i="516"/>
  <c r="F120" i="513"/>
  <c r="F121" i="513" s="1"/>
  <c r="F123" i="513" s="1"/>
  <c r="E64" i="515"/>
  <c r="K17" i="515"/>
  <c r="G86" i="514"/>
  <c r="H86" i="514" s="1"/>
  <c r="E66" i="514"/>
  <c r="L65" i="514" s="1"/>
  <c r="G85" i="514"/>
  <c r="H85" i="514" s="1"/>
  <c r="E7" i="514"/>
  <c r="E33" i="514"/>
  <c r="E35" i="514" s="1"/>
  <c r="N86" i="514"/>
  <c r="F131" i="514"/>
  <c r="F132" i="514" s="1"/>
  <c r="F134" i="514" s="1"/>
  <c r="E7" i="513"/>
  <c r="N75" i="513"/>
  <c r="E55" i="513"/>
  <c r="L54" i="513" s="1"/>
  <c r="G74" i="513"/>
  <c r="H74" i="513" s="1"/>
  <c r="G75" i="513"/>
  <c r="H75" i="513" s="1"/>
  <c r="E15" i="513"/>
  <c r="E17" i="513" s="1"/>
  <c r="F120" i="512"/>
  <c r="F122" i="512" s="1"/>
  <c r="E57" i="512"/>
  <c r="L56" i="512" s="1"/>
  <c r="N77" i="512"/>
  <c r="E7" i="512"/>
  <c r="G76" i="512"/>
  <c r="H76" i="512" s="1"/>
  <c r="G77" i="512"/>
  <c r="H77" i="512" s="1"/>
  <c r="E20" i="512"/>
  <c r="E22" i="512" s="1"/>
  <c r="E7" i="511"/>
  <c r="E86" i="511"/>
  <c r="L85" i="511" s="1"/>
  <c r="N106" i="511"/>
  <c r="G105" i="511"/>
  <c r="H105" i="511" s="1"/>
  <c r="G106" i="511"/>
  <c r="H106" i="511" s="1"/>
  <c r="F146" i="511"/>
  <c r="F148" i="511" s="1"/>
  <c r="E16" i="511"/>
  <c r="E18" i="511" s="1"/>
  <c r="E7" i="510"/>
  <c r="E14" i="509"/>
  <c r="E16" i="509" s="1"/>
  <c r="F106" i="510"/>
  <c r="F108" i="510" s="1"/>
  <c r="E47" i="510"/>
  <c r="L46" i="510" s="1"/>
  <c r="N67" i="510"/>
  <c r="G66" i="510"/>
  <c r="H66" i="510" s="1"/>
  <c r="G67" i="510"/>
  <c r="H67" i="510" s="1"/>
  <c r="E27" i="510"/>
  <c r="K28" i="510" s="1"/>
  <c r="E7" i="509"/>
  <c r="N54" i="509"/>
  <c r="F93" i="509"/>
  <c r="F95" i="509" s="1"/>
  <c r="E34" i="509"/>
  <c r="L33" i="509" s="1"/>
  <c r="G53" i="509"/>
  <c r="H53" i="509" s="1"/>
  <c r="G54" i="509"/>
  <c r="H54" i="509" s="1"/>
  <c r="D95" i="508"/>
  <c r="D51" i="508" s="1"/>
  <c r="D52" i="508" s="1"/>
  <c r="F6" i="508"/>
  <c r="E108" i="508"/>
  <c r="D108" i="508"/>
  <c r="E101" i="508"/>
  <c r="E103" i="508" s="1"/>
  <c r="D101" i="508"/>
  <c r="D103" i="508" s="1"/>
  <c r="C101" i="508"/>
  <c r="F100" i="508"/>
  <c r="C100" i="508"/>
  <c r="C103" i="508" s="1"/>
  <c r="F99" i="508"/>
  <c r="C99" i="508"/>
  <c r="M62" i="508"/>
  <c r="L62" i="508"/>
  <c r="K62" i="508"/>
  <c r="F62" i="508"/>
  <c r="E62" i="508"/>
  <c r="D62" i="508"/>
  <c r="N61" i="508"/>
  <c r="F61" i="508"/>
  <c r="E61" i="508"/>
  <c r="D61" i="508"/>
  <c r="N60" i="508"/>
  <c r="C60" i="508"/>
  <c r="N59" i="508"/>
  <c r="K57" i="508"/>
  <c r="D56" i="508"/>
  <c r="D58" i="508" s="1"/>
  <c r="J47" i="508"/>
  <c r="K46" i="508" s="1"/>
  <c r="E44" i="508"/>
  <c r="F41" i="508"/>
  <c r="E41" i="508"/>
  <c r="J21" i="508"/>
  <c r="J23" i="508" s="1"/>
  <c r="E46" i="508" s="1"/>
  <c r="K19" i="508"/>
  <c r="E17" i="508"/>
  <c r="F15" i="508"/>
  <c r="E15" i="508"/>
  <c r="J9" i="508"/>
  <c r="J11" i="508" s="1"/>
  <c r="E19" i="508" s="1"/>
  <c r="K7" i="508"/>
  <c r="E6" i="508"/>
  <c r="D107" i="507"/>
  <c r="D67" i="507" s="1"/>
  <c r="D68" i="507" s="1"/>
  <c r="F7" i="507"/>
  <c r="E120" i="507"/>
  <c r="D120" i="507"/>
  <c r="E113" i="507"/>
  <c r="E115" i="507" s="1"/>
  <c r="D113" i="507"/>
  <c r="D115" i="507" s="1"/>
  <c r="C113" i="507"/>
  <c r="F112" i="507"/>
  <c r="C112" i="507"/>
  <c r="C115" i="507" s="1"/>
  <c r="F111" i="507"/>
  <c r="C111" i="507"/>
  <c r="M78" i="507"/>
  <c r="L78" i="507"/>
  <c r="K78" i="507"/>
  <c r="F78" i="507"/>
  <c r="E78" i="507"/>
  <c r="D78" i="507"/>
  <c r="N77" i="507"/>
  <c r="F77" i="507"/>
  <c r="E77" i="507"/>
  <c r="D77" i="507"/>
  <c r="N76" i="507"/>
  <c r="C76" i="507"/>
  <c r="N75" i="507"/>
  <c r="K73" i="507"/>
  <c r="D72" i="507"/>
  <c r="D74" i="507" s="1"/>
  <c r="J63" i="507"/>
  <c r="K62" i="507" s="1"/>
  <c r="E60" i="507"/>
  <c r="F57" i="507"/>
  <c r="E57" i="507"/>
  <c r="J34" i="507"/>
  <c r="J36" i="507" s="1"/>
  <c r="E62" i="507" s="1"/>
  <c r="K32" i="507"/>
  <c r="E30" i="507"/>
  <c r="F28" i="507"/>
  <c r="E28" i="507"/>
  <c r="J10" i="507"/>
  <c r="J12" i="507" s="1"/>
  <c r="E32" i="507" s="1"/>
  <c r="K8" i="507"/>
  <c r="E7" i="507"/>
  <c r="D92" i="506"/>
  <c r="E12" i="506"/>
  <c r="E43" i="506"/>
  <c r="F43" i="506"/>
  <c r="E58" i="513" l="1"/>
  <c r="E69" i="514"/>
  <c r="K34" i="514"/>
  <c r="K16" i="513"/>
  <c r="K15" i="509"/>
  <c r="E60" i="512"/>
  <c r="K21" i="512"/>
  <c r="K17" i="511"/>
  <c r="E89" i="511"/>
  <c r="E50" i="510"/>
  <c r="E29" i="510"/>
  <c r="E37" i="509"/>
  <c r="E8" i="507"/>
  <c r="F101" i="508"/>
  <c r="F103" i="508" s="1"/>
  <c r="E42" i="508"/>
  <c r="L41" i="508" s="1"/>
  <c r="E16" i="508"/>
  <c r="K17" i="508" s="1"/>
  <c r="G62" i="508"/>
  <c r="H62" i="508" s="1"/>
  <c r="G61" i="508"/>
  <c r="H61" i="508" s="1"/>
  <c r="E7" i="508"/>
  <c r="N62" i="508"/>
  <c r="N78" i="507"/>
  <c r="F113" i="507"/>
  <c r="F115" i="507" s="1"/>
  <c r="G78" i="507"/>
  <c r="H78" i="507" s="1"/>
  <c r="G77" i="507"/>
  <c r="H77" i="507" s="1"/>
  <c r="E58" i="507"/>
  <c r="L57" i="507" s="1"/>
  <c r="E29" i="507"/>
  <c r="E105" i="506"/>
  <c r="D105" i="506"/>
  <c r="E98" i="506"/>
  <c r="E100" i="506" s="1"/>
  <c r="D98" i="506"/>
  <c r="D100" i="506" s="1"/>
  <c r="C98" i="506"/>
  <c r="F97" i="506"/>
  <c r="C97" i="506"/>
  <c r="C100" i="506" s="1"/>
  <c r="F96" i="506"/>
  <c r="C96" i="506"/>
  <c r="D53" i="506"/>
  <c r="D54" i="506" s="1"/>
  <c r="M64" i="506"/>
  <c r="L64" i="506"/>
  <c r="K64" i="506"/>
  <c r="F64" i="506"/>
  <c r="E64" i="506"/>
  <c r="D64" i="506"/>
  <c r="N63" i="506"/>
  <c r="F63" i="506"/>
  <c r="E63" i="506"/>
  <c r="D63" i="506"/>
  <c r="N62" i="506"/>
  <c r="C62" i="506"/>
  <c r="N61" i="506"/>
  <c r="K59" i="506"/>
  <c r="D58" i="506"/>
  <c r="D60" i="506" s="1"/>
  <c r="J49" i="506"/>
  <c r="K48" i="506" s="1"/>
  <c r="E46" i="506"/>
  <c r="J21" i="506"/>
  <c r="J23" i="506" s="1"/>
  <c r="E48" i="506" s="1"/>
  <c r="K19" i="506"/>
  <c r="E17" i="506"/>
  <c r="F15" i="506"/>
  <c r="E15" i="506"/>
  <c r="J9" i="506"/>
  <c r="J11" i="506" s="1"/>
  <c r="E19" i="506" s="1"/>
  <c r="K7" i="506"/>
  <c r="F6" i="506"/>
  <c r="E6" i="506"/>
  <c r="D105" i="505"/>
  <c r="E18" i="508" l="1"/>
  <c r="E45" i="508"/>
  <c r="E61" i="507"/>
  <c r="K30" i="507"/>
  <c r="E31" i="507"/>
  <c r="N64" i="506"/>
  <c r="E44" i="506"/>
  <c r="L43" i="506" s="1"/>
  <c r="G63" i="506"/>
  <c r="H63" i="506" s="1"/>
  <c r="E7" i="506"/>
  <c r="F98" i="506"/>
  <c r="F100" i="506" s="1"/>
  <c r="G64" i="506"/>
  <c r="H64" i="506" s="1"/>
  <c r="E16" i="506"/>
  <c r="K17" i="506" s="1"/>
  <c r="E118" i="505"/>
  <c r="D118" i="505"/>
  <c r="E111" i="505"/>
  <c r="E113" i="505" s="1"/>
  <c r="D111" i="505"/>
  <c r="D113" i="505" s="1"/>
  <c r="C111" i="505"/>
  <c r="F110" i="505"/>
  <c r="C110" i="505"/>
  <c r="C113" i="505" s="1"/>
  <c r="F109" i="505"/>
  <c r="C109" i="505"/>
  <c r="D68" i="505"/>
  <c r="D69" i="505" s="1"/>
  <c r="M79" i="505"/>
  <c r="L79" i="505"/>
  <c r="K79" i="505"/>
  <c r="F79" i="505"/>
  <c r="E79" i="505"/>
  <c r="D79" i="505"/>
  <c r="N78" i="505"/>
  <c r="F78" i="505"/>
  <c r="E78" i="505"/>
  <c r="D78" i="505"/>
  <c r="N77" i="505"/>
  <c r="C77" i="505"/>
  <c r="N76" i="505"/>
  <c r="K74" i="505"/>
  <c r="D73" i="505"/>
  <c r="D75" i="505" s="1"/>
  <c r="J64" i="505"/>
  <c r="K63" i="505" s="1"/>
  <c r="E61" i="505"/>
  <c r="E58" i="505"/>
  <c r="F58" i="505"/>
  <c r="J36" i="505"/>
  <c r="J38" i="505" s="1"/>
  <c r="E63" i="505" s="1"/>
  <c r="K34" i="505"/>
  <c r="E32" i="505"/>
  <c r="F30" i="505"/>
  <c r="E30" i="505"/>
  <c r="J9" i="505"/>
  <c r="J11" i="505" s="1"/>
  <c r="E34" i="505" s="1"/>
  <c r="K7" i="505"/>
  <c r="F6" i="505"/>
  <c r="E6" i="505"/>
  <c r="F42" i="504"/>
  <c r="E47" i="506" l="1"/>
  <c r="E18" i="506"/>
  <c r="F111" i="505"/>
  <c r="F113" i="505" s="1"/>
  <c r="N79" i="505"/>
  <c r="E59" i="505"/>
  <c r="L58" i="505" s="1"/>
  <c r="E7" i="505"/>
  <c r="G78" i="505"/>
  <c r="H78" i="505" s="1"/>
  <c r="G79" i="505"/>
  <c r="H79" i="505" s="1"/>
  <c r="E31" i="505"/>
  <c r="E33" i="505" s="1"/>
  <c r="F6" i="504"/>
  <c r="E94" i="504"/>
  <c r="D94" i="504"/>
  <c r="E87" i="504"/>
  <c r="E89" i="504" s="1"/>
  <c r="D87" i="504"/>
  <c r="D89" i="504" s="1"/>
  <c r="C87" i="504"/>
  <c r="F86" i="504"/>
  <c r="C86" i="504"/>
  <c r="C89" i="504" s="1"/>
  <c r="F85" i="504"/>
  <c r="C85" i="504"/>
  <c r="D81" i="504"/>
  <c r="D55" i="504" s="1"/>
  <c r="D56" i="504" s="1"/>
  <c r="M66" i="504"/>
  <c r="L66" i="504"/>
  <c r="K66" i="504"/>
  <c r="F66" i="504"/>
  <c r="E66" i="504"/>
  <c r="D66" i="504"/>
  <c r="N65" i="504"/>
  <c r="F65" i="504"/>
  <c r="E65" i="504"/>
  <c r="D65" i="504"/>
  <c r="N64" i="504"/>
  <c r="C64" i="504"/>
  <c r="N63" i="504"/>
  <c r="K61" i="504"/>
  <c r="D60" i="504"/>
  <c r="D62" i="504" s="1"/>
  <c r="J51" i="504"/>
  <c r="K50" i="504" s="1"/>
  <c r="E48" i="504"/>
  <c r="F45" i="504"/>
  <c r="E45" i="504"/>
  <c r="J26" i="504"/>
  <c r="J28" i="504" s="1"/>
  <c r="E50" i="504" s="1"/>
  <c r="K24" i="504"/>
  <c r="E22" i="504"/>
  <c r="F20" i="504"/>
  <c r="E20" i="504"/>
  <c r="J9" i="504"/>
  <c r="J11" i="504" s="1"/>
  <c r="E24" i="504" s="1"/>
  <c r="K7" i="504"/>
  <c r="E6" i="504"/>
  <c r="D94" i="503"/>
  <c r="D68" i="503" s="1"/>
  <c r="D69" i="503" s="1"/>
  <c r="E107" i="503"/>
  <c r="D107" i="503"/>
  <c r="E100" i="503"/>
  <c r="E102" i="503" s="1"/>
  <c r="D100" i="503"/>
  <c r="D102" i="503" s="1"/>
  <c r="C100" i="503"/>
  <c r="F99" i="503"/>
  <c r="C99" i="503"/>
  <c r="C102" i="503" s="1"/>
  <c r="F98" i="503"/>
  <c r="C98" i="503"/>
  <c r="M79" i="503"/>
  <c r="L79" i="503"/>
  <c r="K79" i="503"/>
  <c r="F79" i="503"/>
  <c r="E79" i="503"/>
  <c r="D79" i="503"/>
  <c r="N78" i="503"/>
  <c r="F78" i="503"/>
  <c r="E78" i="503"/>
  <c r="D78" i="503"/>
  <c r="N77" i="503"/>
  <c r="C77" i="503"/>
  <c r="N76" i="503"/>
  <c r="K74" i="503"/>
  <c r="D73" i="503"/>
  <c r="D75" i="503" s="1"/>
  <c r="J64" i="503"/>
  <c r="K63" i="503" s="1"/>
  <c r="E61" i="503"/>
  <c r="E58" i="503"/>
  <c r="F58" i="503"/>
  <c r="J28" i="503"/>
  <c r="J30" i="503" s="1"/>
  <c r="E63" i="503" s="1"/>
  <c r="K26" i="503"/>
  <c r="E24" i="503"/>
  <c r="F22" i="503"/>
  <c r="E22" i="503"/>
  <c r="J10" i="503"/>
  <c r="J12" i="503" s="1"/>
  <c r="E26" i="503" s="1"/>
  <c r="K8" i="503"/>
  <c r="F7" i="503"/>
  <c r="E7" i="503"/>
  <c r="F54" i="502"/>
  <c r="F84" i="502" s="1"/>
  <c r="E8" i="502"/>
  <c r="F8" i="502"/>
  <c r="E132" i="502"/>
  <c r="D132" i="502"/>
  <c r="E125" i="502"/>
  <c r="E127" i="502" s="1"/>
  <c r="D125" i="502"/>
  <c r="D127" i="502" s="1"/>
  <c r="C125" i="502"/>
  <c r="F124" i="502"/>
  <c r="C124" i="502"/>
  <c r="C127" i="502" s="1"/>
  <c r="F123" i="502"/>
  <c r="C123" i="502"/>
  <c r="D119" i="502"/>
  <c r="D94" i="502" s="1"/>
  <c r="D95" i="502" s="1"/>
  <c r="M105" i="502"/>
  <c r="L105" i="502"/>
  <c r="K105" i="502"/>
  <c r="F105" i="502"/>
  <c r="E105" i="502"/>
  <c r="D105" i="502"/>
  <c r="N104" i="502"/>
  <c r="F104" i="502"/>
  <c r="E104" i="502"/>
  <c r="D104" i="502"/>
  <c r="N103" i="502"/>
  <c r="C103" i="502"/>
  <c r="N102" i="502"/>
  <c r="K100" i="502"/>
  <c r="D99" i="502"/>
  <c r="D101" i="502" s="1"/>
  <c r="J90" i="502"/>
  <c r="K89" i="502" s="1"/>
  <c r="E87" i="502"/>
  <c r="E84" i="502"/>
  <c r="J29" i="502"/>
  <c r="J31" i="502" s="1"/>
  <c r="K27" i="502"/>
  <c r="E25" i="502"/>
  <c r="F23" i="502"/>
  <c r="E23" i="502"/>
  <c r="J11" i="502"/>
  <c r="J13" i="502" s="1"/>
  <c r="E27" i="502" s="1"/>
  <c r="K9" i="502"/>
  <c r="D84" i="501"/>
  <c r="E51" i="501"/>
  <c r="F87" i="504" l="1"/>
  <c r="F89" i="504" s="1"/>
  <c r="E9" i="502"/>
  <c r="E62" i="505"/>
  <c r="K32" i="505"/>
  <c r="N66" i="504"/>
  <c r="E46" i="504"/>
  <c r="L45" i="504" s="1"/>
  <c r="E7" i="504"/>
  <c r="E21" i="504"/>
  <c r="K22" i="504" s="1"/>
  <c r="G65" i="504"/>
  <c r="H65" i="504" s="1"/>
  <c r="G66" i="504"/>
  <c r="H66" i="504" s="1"/>
  <c r="E23" i="503"/>
  <c r="E25" i="503" s="1"/>
  <c r="G78" i="503"/>
  <c r="H78" i="503" s="1"/>
  <c r="G79" i="503"/>
  <c r="H79" i="503" s="1"/>
  <c r="F100" i="503"/>
  <c r="F102" i="503" s="1"/>
  <c r="E59" i="503"/>
  <c r="L58" i="503" s="1"/>
  <c r="N79" i="503"/>
  <c r="E8" i="503"/>
  <c r="G105" i="502"/>
  <c r="H105" i="502" s="1"/>
  <c r="F125" i="502"/>
  <c r="F127" i="502" s="1"/>
  <c r="E89" i="502"/>
  <c r="E85" i="502"/>
  <c r="L84" i="502" s="1"/>
  <c r="N105" i="502"/>
  <c r="G104" i="502"/>
  <c r="H104" i="502" s="1"/>
  <c r="E24" i="502"/>
  <c r="K25" i="502" s="1"/>
  <c r="E97" i="501"/>
  <c r="D97" i="501"/>
  <c r="E90" i="501"/>
  <c r="E92" i="501" s="1"/>
  <c r="D90" i="501"/>
  <c r="D92" i="501" s="1"/>
  <c r="C90" i="501"/>
  <c r="F89" i="501"/>
  <c r="C89" i="501"/>
  <c r="C92" i="501" s="1"/>
  <c r="F88" i="501"/>
  <c r="C88" i="501"/>
  <c r="D59" i="501"/>
  <c r="D60" i="501" s="1"/>
  <c r="M70" i="501"/>
  <c r="L70" i="501"/>
  <c r="K70" i="501"/>
  <c r="F70" i="501"/>
  <c r="E70" i="501"/>
  <c r="D70" i="501"/>
  <c r="N69" i="501"/>
  <c r="F69" i="501"/>
  <c r="E69" i="501"/>
  <c r="D69" i="501"/>
  <c r="N68" i="501"/>
  <c r="C68" i="501"/>
  <c r="N67" i="501"/>
  <c r="K65" i="501"/>
  <c r="D64" i="501"/>
  <c r="D66" i="501" s="1"/>
  <c r="J55" i="501"/>
  <c r="K54" i="501" s="1"/>
  <c r="E52" i="501"/>
  <c r="F49" i="501"/>
  <c r="E49" i="501"/>
  <c r="J28" i="501"/>
  <c r="J30" i="501" s="1"/>
  <c r="E54" i="501" s="1"/>
  <c r="K26" i="501"/>
  <c r="E24" i="501"/>
  <c r="F22" i="501"/>
  <c r="E22" i="501"/>
  <c r="J9" i="501"/>
  <c r="J11" i="501" s="1"/>
  <c r="E26" i="501" s="1"/>
  <c r="K7" i="501"/>
  <c r="F6" i="501"/>
  <c r="E6" i="501"/>
  <c r="D80" i="500"/>
  <c r="D57" i="500" s="1"/>
  <c r="D58" i="500" s="1"/>
  <c r="F18" i="500"/>
  <c r="E8" i="500"/>
  <c r="E93" i="500"/>
  <c r="D93" i="500"/>
  <c r="E86" i="500"/>
  <c r="E88" i="500" s="1"/>
  <c r="D86" i="500"/>
  <c r="D88" i="500" s="1"/>
  <c r="C86" i="500"/>
  <c r="F85" i="500"/>
  <c r="C85" i="500"/>
  <c r="C88" i="500" s="1"/>
  <c r="F84" i="500"/>
  <c r="C84" i="500"/>
  <c r="M68" i="500"/>
  <c r="L68" i="500"/>
  <c r="K68" i="500"/>
  <c r="F68" i="500"/>
  <c r="E68" i="500"/>
  <c r="D68" i="500"/>
  <c r="N67" i="500"/>
  <c r="F67" i="500"/>
  <c r="E67" i="500"/>
  <c r="D67" i="500"/>
  <c r="N66" i="500"/>
  <c r="C66" i="500"/>
  <c r="N65" i="500"/>
  <c r="K63" i="500"/>
  <c r="D62" i="500"/>
  <c r="D64" i="500" s="1"/>
  <c r="J53" i="500"/>
  <c r="K52" i="500" s="1"/>
  <c r="E50" i="500"/>
  <c r="F47" i="500"/>
  <c r="E47" i="500"/>
  <c r="J24" i="500"/>
  <c r="J26" i="500" s="1"/>
  <c r="E52" i="500" s="1"/>
  <c r="K22" i="500"/>
  <c r="E20" i="500"/>
  <c r="E18" i="500"/>
  <c r="J11" i="500"/>
  <c r="J13" i="500" s="1"/>
  <c r="E22" i="500" s="1"/>
  <c r="K9" i="500"/>
  <c r="F8" i="500"/>
  <c r="K79" i="499"/>
  <c r="C82" i="499"/>
  <c r="F83" i="499"/>
  <c r="F84" i="499"/>
  <c r="E84" i="499"/>
  <c r="E83" i="499"/>
  <c r="D83" i="499"/>
  <c r="D84" i="499"/>
  <c r="L84" i="499"/>
  <c r="M84" i="499"/>
  <c r="K84" i="499"/>
  <c r="C99" i="499"/>
  <c r="D95" i="499"/>
  <c r="D73" i="499" s="1"/>
  <c r="D74" i="499" s="1"/>
  <c r="F19" i="499"/>
  <c r="E19" i="499"/>
  <c r="E108" i="499"/>
  <c r="D108" i="499"/>
  <c r="E101" i="499"/>
  <c r="E103" i="499" s="1"/>
  <c r="D101" i="499"/>
  <c r="D103" i="499" s="1"/>
  <c r="C101" i="499"/>
  <c r="F100" i="499"/>
  <c r="C100" i="499"/>
  <c r="C103" i="499" s="1"/>
  <c r="F99" i="499"/>
  <c r="N81" i="499"/>
  <c r="N83" i="499"/>
  <c r="N82" i="499"/>
  <c r="D78" i="499"/>
  <c r="D80" i="499" s="1"/>
  <c r="J69" i="499"/>
  <c r="K68" i="499" s="1"/>
  <c r="E66" i="499"/>
  <c r="F63" i="499"/>
  <c r="E63" i="499"/>
  <c r="J25" i="499"/>
  <c r="J27" i="499" s="1"/>
  <c r="E68" i="499" s="1"/>
  <c r="K23" i="499"/>
  <c r="E21" i="499"/>
  <c r="J9" i="499"/>
  <c r="J11" i="499" s="1"/>
  <c r="E23" i="499" s="1"/>
  <c r="K7" i="499"/>
  <c r="F6" i="499"/>
  <c r="E6" i="499"/>
  <c r="E91" i="498"/>
  <c r="D91" i="498"/>
  <c r="E84" i="498"/>
  <c r="E86" i="498" s="1"/>
  <c r="D84" i="498"/>
  <c r="D86" i="498" s="1"/>
  <c r="C84" i="498"/>
  <c r="F83" i="498"/>
  <c r="C83" i="498"/>
  <c r="C86" i="498" s="1"/>
  <c r="F82" i="498"/>
  <c r="C82" i="498"/>
  <c r="D78" i="498"/>
  <c r="D58" i="498" s="1"/>
  <c r="D59" i="498" s="1"/>
  <c r="L69" i="498"/>
  <c r="K69" i="498"/>
  <c r="J69" i="498"/>
  <c r="E69" i="498"/>
  <c r="D69" i="498"/>
  <c r="M68" i="498"/>
  <c r="E68" i="498"/>
  <c r="D68" i="498"/>
  <c r="M67" i="498"/>
  <c r="C67" i="498"/>
  <c r="M66" i="498"/>
  <c r="D63" i="498"/>
  <c r="D65" i="498" s="1"/>
  <c r="I54" i="498"/>
  <c r="J53" i="498" s="1"/>
  <c r="E51" i="498"/>
  <c r="F48" i="498"/>
  <c r="E48" i="498"/>
  <c r="I19" i="498"/>
  <c r="I21" i="498" s="1"/>
  <c r="E53" i="498" s="1"/>
  <c r="J17" i="498"/>
  <c r="E15" i="498"/>
  <c r="F13" i="498"/>
  <c r="E13" i="498"/>
  <c r="I9" i="498"/>
  <c r="I11" i="498" s="1"/>
  <c r="E17" i="498" s="1"/>
  <c r="J7" i="498"/>
  <c r="F6" i="498"/>
  <c r="E6" i="498"/>
  <c r="E62" i="503" l="1"/>
  <c r="E49" i="504"/>
  <c r="E23" i="504"/>
  <c r="K24" i="503"/>
  <c r="E88" i="502"/>
  <c r="E26" i="502"/>
  <c r="F90" i="501"/>
  <c r="F92" i="501" s="1"/>
  <c r="E7" i="501"/>
  <c r="E50" i="501"/>
  <c r="L49" i="501" s="1"/>
  <c r="N70" i="501"/>
  <c r="E23" i="501"/>
  <c r="E25" i="501" s="1"/>
  <c r="G69" i="501"/>
  <c r="H69" i="501" s="1"/>
  <c r="G70" i="501"/>
  <c r="H70" i="501" s="1"/>
  <c r="G84" i="499"/>
  <c r="H84" i="499" s="1"/>
  <c r="G83" i="499"/>
  <c r="H83" i="499" s="1"/>
  <c r="N68" i="500"/>
  <c r="E48" i="500"/>
  <c r="L47" i="500" s="1"/>
  <c r="E19" i="500"/>
  <c r="K20" i="500" s="1"/>
  <c r="G67" i="500"/>
  <c r="H67" i="500" s="1"/>
  <c r="G68" i="500"/>
  <c r="H68" i="500" s="1"/>
  <c r="E9" i="500"/>
  <c r="F86" i="500"/>
  <c r="F88" i="500" s="1"/>
  <c r="N84" i="499"/>
  <c r="E64" i="499"/>
  <c r="L63" i="499" s="1"/>
  <c r="E7" i="499"/>
  <c r="F101" i="499"/>
  <c r="F103" i="499" s="1"/>
  <c r="E20" i="499"/>
  <c r="E22" i="499" s="1"/>
  <c r="F68" i="498"/>
  <c r="G68" i="498" s="1"/>
  <c r="F69" i="498"/>
  <c r="G69" i="498" s="1"/>
  <c r="E7" i="498"/>
  <c r="E49" i="498"/>
  <c r="K48" i="498" s="1"/>
  <c r="M69" i="498"/>
  <c r="F84" i="498"/>
  <c r="F86" i="498" s="1"/>
  <c r="E14" i="498"/>
  <c r="J15" i="498" s="1"/>
  <c r="E53" i="501" l="1"/>
  <c r="K24" i="501"/>
  <c r="E51" i="500"/>
  <c r="E21" i="500"/>
  <c r="E67" i="499"/>
  <c r="K21" i="499"/>
  <c r="E52" i="498"/>
  <c r="E16" i="498"/>
  <c r="F6" i="496"/>
  <c r="E93" i="496"/>
  <c r="D93" i="496"/>
  <c r="E86" i="496"/>
  <c r="E88" i="496" s="1"/>
  <c r="D86" i="496"/>
  <c r="D88" i="496" s="1"/>
  <c r="C86" i="496"/>
  <c r="F85" i="496"/>
  <c r="C85" i="496"/>
  <c r="C88" i="496" s="1"/>
  <c r="F84" i="496"/>
  <c r="C84" i="496"/>
  <c r="D80" i="496"/>
  <c r="D61" i="496" s="1"/>
  <c r="D62" i="496" s="1"/>
  <c r="L72" i="496"/>
  <c r="K72" i="496"/>
  <c r="J72" i="496"/>
  <c r="E72" i="496"/>
  <c r="D72" i="496"/>
  <c r="M71" i="496"/>
  <c r="E71" i="496"/>
  <c r="D71" i="496"/>
  <c r="M70" i="496"/>
  <c r="C70" i="496"/>
  <c r="M69" i="496"/>
  <c r="D66" i="496"/>
  <c r="D68" i="496" s="1"/>
  <c r="I57" i="496"/>
  <c r="J56" i="496" s="1"/>
  <c r="E54" i="496"/>
  <c r="F51" i="496"/>
  <c r="E51" i="496"/>
  <c r="I21" i="496"/>
  <c r="I23" i="496" s="1"/>
  <c r="E56" i="496" s="1"/>
  <c r="J19" i="496"/>
  <c r="E17" i="496"/>
  <c r="F15" i="496"/>
  <c r="E15" i="496"/>
  <c r="I9" i="496"/>
  <c r="I11" i="496" s="1"/>
  <c r="E19" i="496" s="1"/>
  <c r="J7" i="496"/>
  <c r="E6" i="496"/>
  <c r="D104" i="495"/>
  <c r="F75" i="495"/>
  <c r="E75" i="495"/>
  <c r="F72" i="496" l="1"/>
  <c r="G72" i="496" s="1"/>
  <c r="F71" i="496"/>
  <c r="G71" i="496" s="1"/>
  <c r="F86" i="496"/>
  <c r="F88" i="496" s="1"/>
  <c r="E52" i="496"/>
  <c r="K51" i="496" s="1"/>
  <c r="E16" i="496"/>
  <c r="E18" i="496" s="1"/>
  <c r="E7" i="496"/>
  <c r="M72" i="496"/>
  <c r="E76" i="495"/>
  <c r="E55" i="496" l="1"/>
  <c r="J17" i="496"/>
  <c r="E24" i="495"/>
  <c r="F24" i="495"/>
  <c r="F7" i="495"/>
  <c r="E7" i="495"/>
  <c r="E117" i="495"/>
  <c r="D117" i="495"/>
  <c r="E110" i="495"/>
  <c r="E112" i="495" s="1"/>
  <c r="D110" i="495"/>
  <c r="D112" i="495" s="1"/>
  <c r="C110" i="495"/>
  <c r="F109" i="495"/>
  <c r="C109" i="495"/>
  <c r="C112" i="495" s="1"/>
  <c r="F108" i="495"/>
  <c r="C108" i="495"/>
  <c r="D85" i="495"/>
  <c r="D86" i="495" s="1"/>
  <c r="L96" i="495"/>
  <c r="K96" i="495"/>
  <c r="J96" i="495"/>
  <c r="E96" i="495"/>
  <c r="D96" i="495"/>
  <c r="M95" i="495"/>
  <c r="E95" i="495"/>
  <c r="D95" i="495"/>
  <c r="M94" i="495"/>
  <c r="C94" i="495"/>
  <c r="M93" i="495"/>
  <c r="D90" i="495"/>
  <c r="D92" i="495" s="1"/>
  <c r="I81" i="495"/>
  <c r="J80" i="495" s="1"/>
  <c r="E78" i="495"/>
  <c r="I30" i="495"/>
  <c r="I32" i="495" s="1"/>
  <c r="E80" i="495" s="1"/>
  <c r="J28" i="495"/>
  <c r="E26" i="495"/>
  <c r="I10" i="495"/>
  <c r="I12" i="495" s="1"/>
  <c r="E28" i="495" s="1"/>
  <c r="J8" i="495"/>
  <c r="D90" i="494"/>
  <c r="D73" i="494" s="1"/>
  <c r="D74" i="494" s="1"/>
  <c r="F63" i="494"/>
  <c r="E63" i="494"/>
  <c r="E17" i="494"/>
  <c r="F17" i="494"/>
  <c r="E103" i="494"/>
  <c r="D103" i="494"/>
  <c r="E96" i="494"/>
  <c r="E98" i="494" s="1"/>
  <c r="D96" i="494"/>
  <c r="D98" i="494" s="1"/>
  <c r="C96" i="494"/>
  <c r="F95" i="494"/>
  <c r="C95" i="494"/>
  <c r="C98" i="494" s="1"/>
  <c r="F94" i="494"/>
  <c r="C94" i="494"/>
  <c r="L84" i="494"/>
  <c r="K84" i="494"/>
  <c r="J84" i="494"/>
  <c r="E84" i="494"/>
  <c r="D84" i="494"/>
  <c r="M83" i="494"/>
  <c r="E83" i="494"/>
  <c r="D83" i="494"/>
  <c r="M82" i="494"/>
  <c r="C82" i="494"/>
  <c r="M81" i="494"/>
  <c r="D78" i="494"/>
  <c r="D80" i="494" s="1"/>
  <c r="I69" i="494"/>
  <c r="J68" i="494" s="1"/>
  <c r="E66" i="494"/>
  <c r="I23" i="494"/>
  <c r="I25" i="494" s="1"/>
  <c r="E68" i="494" s="1"/>
  <c r="J21" i="494"/>
  <c r="E19" i="494"/>
  <c r="I10" i="494"/>
  <c r="I12" i="494" s="1"/>
  <c r="E21" i="494" s="1"/>
  <c r="J8" i="494"/>
  <c r="F7" i="494"/>
  <c r="E7" i="494"/>
  <c r="E103" i="493"/>
  <c r="D103" i="493"/>
  <c r="E96" i="493"/>
  <c r="E98" i="493" s="1"/>
  <c r="D96" i="493"/>
  <c r="D98" i="493" s="1"/>
  <c r="C96" i="493"/>
  <c r="F95" i="493"/>
  <c r="C95" i="493"/>
  <c r="C98" i="493" s="1"/>
  <c r="F94" i="493"/>
  <c r="C94" i="493"/>
  <c r="D90" i="493"/>
  <c r="D74" i="493" s="1"/>
  <c r="D75" i="493" s="1"/>
  <c r="L85" i="493"/>
  <c r="K85" i="493"/>
  <c r="J85" i="493"/>
  <c r="E85" i="493"/>
  <c r="D85" i="493"/>
  <c r="M84" i="493"/>
  <c r="E84" i="493"/>
  <c r="D84" i="493"/>
  <c r="M83" i="493"/>
  <c r="C83" i="493"/>
  <c r="M82" i="493"/>
  <c r="D79" i="493"/>
  <c r="D81" i="493" s="1"/>
  <c r="I70" i="493"/>
  <c r="J69" i="493" s="1"/>
  <c r="E67" i="493"/>
  <c r="F64" i="493"/>
  <c r="E64" i="493"/>
  <c r="I38" i="493"/>
  <c r="I40" i="493" s="1"/>
  <c r="E69" i="493" s="1"/>
  <c r="J36" i="493"/>
  <c r="E34" i="493"/>
  <c r="F32" i="493"/>
  <c r="E32" i="493"/>
  <c r="I9" i="493"/>
  <c r="I11" i="493" s="1"/>
  <c r="E36" i="493" s="1"/>
  <c r="J7" i="493"/>
  <c r="F6" i="493"/>
  <c r="E6" i="493"/>
  <c r="C99" i="492"/>
  <c r="C101" i="492"/>
  <c r="E108" i="492"/>
  <c r="D108" i="492"/>
  <c r="E101" i="492"/>
  <c r="E103" i="492" s="1"/>
  <c r="D101" i="492"/>
  <c r="D103" i="492" s="1"/>
  <c r="F100" i="492"/>
  <c r="C100" i="492"/>
  <c r="C103" i="492" s="1"/>
  <c r="F99" i="492"/>
  <c r="D95" i="492"/>
  <c r="D79" i="492" s="1"/>
  <c r="D80" i="492" s="1"/>
  <c r="L90" i="492"/>
  <c r="K90" i="492"/>
  <c r="J90" i="492"/>
  <c r="E90" i="492"/>
  <c r="D90" i="492"/>
  <c r="M89" i="492"/>
  <c r="E89" i="492"/>
  <c r="D89" i="492"/>
  <c r="M88" i="492"/>
  <c r="C88" i="492"/>
  <c r="M87" i="492"/>
  <c r="D84" i="492"/>
  <c r="D86" i="492" s="1"/>
  <c r="I75" i="492"/>
  <c r="J74" i="492" s="1"/>
  <c r="E72" i="492"/>
  <c r="F69" i="492"/>
  <c r="E69" i="492"/>
  <c r="I21" i="492"/>
  <c r="I23" i="492" s="1"/>
  <c r="E74" i="492" s="1"/>
  <c r="J19" i="492"/>
  <c r="E17" i="492"/>
  <c r="F15" i="492"/>
  <c r="E15" i="492"/>
  <c r="I9" i="492"/>
  <c r="I11" i="492" s="1"/>
  <c r="E19" i="492" s="1"/>
  <c r="J7" i="492"/>
  <c r="F6" i="492"/>
  <c r="E6" i="492"/>
  <c r="F38" i="491"/>
  <c r="F96" i="495" l="1"/>
  <c r="G96" i="495" s="1"/>
  <c r="E25" i="495"/>
  <c r="J26" i="495" s="1"/>
  <c r="F95" i="495"/>
  <c r="G95" i="495" s="1"/>
  <c r="K75" i="495"/>
  <c r="F110" i="495"/>
  <c r="F112" i="495" s="1"/>
  <c r="M96" i="495"/>
  <c r="E8" i="495"/>
  <c r="F83" i="494"/>
  <c r="G83" i="494" s="1"/>
  <c r="F96" i="494"/>
  <c r="F98" i="494" s="1"/>
  <c r="E8" i="494"/>
  <c r="E18" i="494"/>
  <c r="J19" i="494" s="1"/>
  <c r="M84" i="494"/>
  <c r="E64" i="494"/>
  <c r="K63" i="494" s="1"/>
  <c r="F84" i="494"/>
  <c r="G84" i="494" s="1"/>
  <c r="F84" i="493"/>
  <c r="G84" i="493" s="1"/>
  <c r="F85" i="493"/>
  <c r="G85" i="493" s="1"/>
  <c r="E65" i="493"/>
  <c r="K64" i="493" s="1"/>
  <c r="E7" i="493"/>
  <c r="M85" i="493"/>
  <c r="F96" i="493"/>
  <c r="F98" i="493" s="1"/>
  <c r="E33" i="493"/>
  <c r="E35" i="493" s="1"/>
  <c r="F89" i="492"/>
  <c r="G89" i="492" s="1"/>
  <c r="E7" i="492"/>
  <c r="E70" i="492"/>
  <c r="K69" i="492" s="1"/>
  <c r="F101" i="492"/>
  <c r="F103" i="492" s="1"/>
  <c r="F90" i="492"/>
  <c r="G90" i="492" s="1"/>
  <c r="M90" i="492"/>
  <c r="E16" i="492"/>
  <c r="J17" i="492" s="1"/>
  <c r="E6" i="491"/>
  <c r="E95" i="491"/>
  <c r="D95" i="491"/>
  <c r="E88" i="491"/>
  <c r="E90" i="491" s="1"/>
  <c r="D88" i="491"/>
  <c r="D90" i="491" s="1"/>
  <c r="C88" i="491"/>
  <c r="F87" i="491"/>
  <c r="C87" i="491"/>
  <c r="C90" i="491" s="1"/>
  <c r="F86" i="491"/>
  <c r="C86" i="491"/>
  <c r="D82" i="491"/>
  <c r="D66" i="491" s="1"/>
  <c r="D67" i="491" s="1"/>
  <c r="L77" i="491"/>
  <c r="K77" i="491"/>
  <c r="J77" i="491"/>
  <c r="E77" i="491"/>
  <c r="D77" i="491"/>
  <c r="M76" i="491"/>
  <c r="E76" i="491"/>
  <c r="D76" i="491"/>
  <c r="M75" i="491"/>
  <c r="C75" i="491"/>
  <c r="M74" i="491"/>
  <c r="D71" i="491"/>
  <c r="D73" i="491" s="1"/>
  <c r="I62" i="491"/>
  <c r="J61" i="491" s="1"/>
  <c r="E59" i="491"/>
  <c r="F56" i="491"/>
  <c r="E56" i="491"/>
  <c r="I22" i="491"/>
  <c r="I24" i="491" s="1"/>
  <c r="E61" i="491" s="1"/>
  <c r="J20" i="491"/>
  <c r="E18" i="491"/>
  <c r="F16" i="491"/>
  <c r="E16" i="491"/>
  <c r="I9" i="491"/>
  <c r="I11" i="491" s="1"/>
  <c r="E20" i="491" s="1"/>
  <c r="J7" i="491"/>
  <c r="F6" i="491"/>
  <c r="E7" i="490"/>
  <c r="E107" i="490"/>
  <c r="D107" i="490"/>
  <c r="E100" i="490"/>
  <c r="E102" i="490" s="1"/>
  <c r="D100" i="490"/>
  <c r="D102" i="490" s="1"/>
  <c r="C100" i="490"/>
  <c r="F99" i="490"/>
  <c r="C99" i="490"/>
  <c r="C102" i="490" s="1"/>
  <c r="F98" i="490"/>
  <c r="C98" i="490"/>
  <c r="D94" i="490"/>
  <c r="D78" i="490" s="1"/>
  <c r="D79" i="490" s="1"/>
  <c r="L89" i="490"/>
  <c r="K89" i="490"/>
  <c r="J89" i="490"/>
  <c r="E89" i="490"/>
  <c r="D89" i="490"/>
  <c r="M88" i="490"/>
  <c r="E88" i="490"/>
  <c r="D88" i="490"/>
  <c r="M87" i="490"/>
  <c r="C87" i="490"/>
  <c r="M86" i="490"/>
  <c r="D83" i="490"/>
  <c r="D85" i="490" s="1"/>
  <c r="I74" i="490"/>
  <c r="J73" i="490" s="1"/>
  <c r="E71" i="490"/>
  <c r="F68" i="490"/>
  <c r="E68" i="490"/>
  <c r="I28" i="490"/>
  <c r="I30" i="490" s="1"/>
  <c r="E73" i="490" s="1"/>
  <c r="J26" i="490"/>
  <c r="E24" i="490"/>
  <c r="F22" i="490"/>
  <c r="E22" i="490"/>
  <c r="I10" i="490"/>
  <c r="I12" i="490" s="1"/>
  <c r="E26" i="490" s="1"/>
  <c r="J8" i="490"/>
  <c r="F7" i="490"/>
  <c r="E99" i="489"/>
  <c r="D99" i="489"/>
  <c r="E92" i="489"/>
  <c r="E94" i="489" s="1"/>
  <c r="D92" i="489"/>
  <c r="D94" i="489" s="1"/>
  <c r="C92" i="489"/>
  <c r="F91" i="489"/>
  <c r="C91" i="489"/>
  <c r="C94" i="489" s="1"/>
  <c r="F90" i="489"/>
  <c r="C90" i="489"/>
  <c r="D75" i="489"/>
  <c r="D86" i="489" s="1"/>
  <c r="D53" i="489" s="1"/>
  <c r="D54" i="489" s="1"/>
  <c r="L64" i="489"/>
  <c r="K64" i="489"/>
  <c r="J64" i="489"/>
  <c r="E64" i="489"/>
  <c r="D64" i="489"/>
  <c r="M63" i="489"/>
  <c r="E63" i="489"/>
  <c r="D63" i="489"/>
  <c r="M62" i="489"/>
  <c r="C62" i="489"/>
  <c r="M61" i="489"/>
  <c r="D57" i="489"/>
  <c r="D58" i="489" s="1"/>
  <c r="D60" i="489" s="1"/>
  <c r="I49" i="489"/>
  <c r="J48" i="489" s="1"/>
  <c r="E46" i="489"/>
  <c r="F43" i="489"/>
  <c r="E43" i="489"/>
  <c r="I22" i="489"/>
  <c r="I24" i="489" s="1"/>
  <c r="E48" i="489" s="1"/>
  <c r="J20" i="489"/>
  <c r="E18" i="489"/>
  <c r="F16" i="489"/>
  <c r="E16" i="489"/>
  <c r="I9" i="489"/>
  <c r="I11" i="489" s="1"/>
  <c r="E20" i="489" s="1"/>
  <c r="J7" i="489"/>
  <c r="F6" i="489"/>
  <c r="E6" i="489"/>
  <c r="I74" i="488"/>
  <c r="I77" i="488" s="1"/>
  <c r="J76" i="488" s="1"/>
  <c r="D85" i="488"/>
  <c r="D86" i="488" s="1"/>
  <c r="D88" i="488" s="1"/>
  <c r="E18" i="488"/>
  <c r="F18" i="488"/>
  <c r="E127" i="488"/>
  <c r="D127" i="488"/>
  <c r="E120" i="488"/>
  <c r="E122" i="488" s="1"/>
  <c r="D120" i="488"/>
  <c r="D122" i="488" s="1"/>
  <c r="C120" i="488"/>
  <c r="F119" i="488"/>
  <c r="C119" i="488"/>
  <c r="C122" i="488" s="1"/>
  <c r="F118" i="488"/>
  <c r="C118" i="488"/>
  <c r="D103" i="488"/>
  <c r="D114" i="488" s="1"/>
  <c r="D81" i="488" s="1"/>
  <c r="D82" i="488" s="1"/>
  <c r="L92" i="488"/>
  <c r="K92" i="488"/>
  <c r="J92" i="488"/>
  <c r="E92" i="488"/>
  <c r="D92" i="488"/>
  <c r="M91" i="488"/>
  <c r="E91" i="488"/>
  <c r="D91" i="488"/>
  <c r="M90" i="488"/>
  <c r="C90" i="488"/>
  <c r="M89" i="488"/>
  <c r="E74" i="488"/>
  <c r="F71" i="488"/>
  <c r="E71" i="488"/>
  <c r="I24" i="488"/>
  <c r="I26" i="488" s="1"/>
  <c r="E76" i="488" s="1"/>
  <c r="J22" i="488"/>
  <c r="E20" i="488"/>
  <c r="I9" i="488"/>
  <c r="I11" i="488" s="1"/>
  <c r="E22" i="488" s="1"/>
  <c r="J7" i="488"/>
  <c r="F6" i="488"/>
  <c r="E6" i="488"/>
  <c r="J7" i="487"/>
  <c r="D69" i="487"/>
  <c r="E58" i="487"/>
  <c r="I18" i="487"/>
  <c r="E27" i="495" l="1"/>
  <c r="E79" i="495"/>
  <c r="E20" i="494"/>
  <c r="E67" i="494"/>
  <c r="E68" i="493"/>
  <c r="J34" i="493"/>
  <c r="E7" i="489"/>
  <c r="E17" i="489"/>
  <c r="J18" i="489" s="1"/>
  <c r="F64" i="489"/>
  <c r="G64" i="489" s="1"/>
  <c r="E73" i="492"/>
  <c r="E18" i="492"/>
  <c r="M89" i="490"/>
  <c r="E17" i="491"/>
  <c r="E19" i="491" s="1"/>
  <c r="E57" i="491"/>
  <c r="K56" i="491" s="1"/>
  <c r="F88" i="491"/>
  <c r="F90" i="491" s="1"/>
  <c r="F76" i="491"/>
  <c r="G76" i="491" s="1"/>
  <c r="F77" i="491"/>
  <c r="G77" i="491" s="1"/>
  <c r="M77" i="491"/>
  <c r="E7" i="491"/>
  <c r="F88" i="490"/>
  <c r="G88" i="490" s="1"/>
  <c r="F100" i="490"/>
  <c r="F102" i="490" s="1"/>
  <c r="F89" i="490"/>
  <c r="G89" i="490" s="1"/>
  <c r="E8" i="490"/>
  <c r="E69" i="490"/>
  <c r="K68" i="490" s="1"/>
  <c r="E23" i="490"/>
  <c r="E25" i="490" s="1"/>
  <c r="F92" i="489"/>
  <c r="F94" i="489" s="1"/>
  <c r="E44" i="489"/>
  <c r="K43" i="489" s="1"/>
  <c r="M64" i="489"/>
  <c r="F63" i="489"/>
  <c r="G63" i="489" s="1"/>
  <c r="E7" i="488"/>
  <c r="M92" i="488"/>
  <c r="F91" i="488"/>
  <c r="G91" i="488" s="1"/>
  <c r="F92" i="488"/>
  <c r="G92" i="488" s="1"/>
  <c r="E19" i="488"/>
  <c r="E21" i="488" s="1"/>
  <c r="E72" i="488"/>
  <c r="K71" i="488" s="1"/>
  <c r="F120" i="488"/>
  <c r="F122" i="488" s="1"/>
  <c r="E111" i="487"/>
  <c r="D111" i="487"/>
  <c r="E104" i="487"/>
  <c r="E106" i="487" s="1"/>
  <c r="D104" i="487"/>
  <c r="D106" i="487" s="1"/>
  <c r="C104" i="487"/>
  <c r="F103" i="487"/>
  <c r="C103" i="487"/>
  <c r="C106" i="487" s="1"/>
  <c r="F102" i="487"/>
  <c r="C102" i="487"/>
  <c r="D87" i="487"/>
  <c r="L76" i="487"/>
  <c r="K76" i="487"/>
  <c r="J76" i="487"/>
  <c r="E76" i="487"/>
  <c r="D76" i="487"/>
  <c r="M75" i="487"/>
  <c r="E75" i="487"/>
  <c r="D75" i="487"/>
  <c r="M74" i="487"/>
  <c r="C74" i="487"/>
  <c r="M73" i="487"/>
  <c r="D70" i="487"/>
  <c r="D72" i="487" s="1"/>
  <c r="I61" i="487"/>
  <c r="J60" i="487" s="1"/>
  <c r="F55" i="487"/>
  <c r="E55" i="487"/>
  <c r="I20" i="487"/>
  <c r="E60" i="487" s="1"/>
  <c r="J16" i="487"/>
  <c r="E14" i="487"/>
  <c r="F12" i="487"/>
  <c r="E12" i="487"/>
  <c r="I9" i="487"/>
  <c r="I11" i="487" s="1"/>
  <c r="E16" i="487" s="1"/>
  <c r="F6" i="487"/>
  <c r="E6" i="487"/>
  <c r="E65" i="486"/>
  <c r="D65" i="486"/>
  <c r="E98" i="486"/>
  <c r="D98" i="486"/>
  <c r="E91" i="486"/>
  <c r="E93" i="486" s="1"/>
  <c r="D91" i="486"/>
  <c r="D93" i="486" s="1"/>
  <c r="C91" i="486"/>
  <c r="F90" i="486"/>
  <c r="C90" i="486"/>
  <c r="C93" i="486" s="1"/>
  <c r="F89" i="486"/>
  <c r="C89" i="486"/>
  <c r="D77" i="486"/>
  <c r="D85" i="486" s="1"/>
  <c r="D55" i="486" s="1"/>
  <c r="D56" i="486" s="1"/>
  <c r="L66" i="486"/>
  <c r="K66" i="486"/>
  <c r="J66" i="486"/>
  <c r="E66" i="486"/>
  <c r="D66" i="486"/>
  <c r="M65" i="486"/>
  <c r="M64" i="486"/>
  <c r="C64" i="486"/>
  <c r="M63" i="486"/>
  <c r="D60" i="486"/>
  <c r="D62" i="486" s="1"/>
  <c r="I51" i="486"/>
  <c r="J50" i="486" s="1"/>
  <c r="E48" i="486"/>
  <c r="F45" i="486"/>
  <c r="E45" i="486"/>
  <c r="I18" i="486"/>
  <c r="I20" i="486" s="1"/>
  <c r="E50" i="486" s="1"/>
  <c r="J16" i="486"/>
  <c r="E14" i="486"/>
  <c r="F12" i="486"/>
  <c r="E12" i="486"/>
  <c r="I9" i="486"/>
  <c r="I11" i="486" s="1"/>
  <c r="E16" i="486" s="1"/>
  <c r="F6" i="486"/>
  <c r="E6" i="486"/>
  <c r="E51" i="485"/>
  <c r="F51" i="485"/>
  <c r="F65" i="486" l="1"/>
  <c r="G65" i="486" s="1"/>
  <c r="E19" i="489"/>
  <c r="J18" i="491"/>
  <c r="E60" i="491"/>
  <c r="J24" i="490"/>
  <c r="E72" i="490"/>
  <c r="E47" i="489"/>
  <c r="D98" i="487"/>
  <c r="D65" i="487" s="1"/>
  <c r="D66" i="487" s="1"/>
  <c r="J20" i="488"/>
  <c r="E75" i="488"/>
  <c r="E13" i="487"/>
  <c r="E15" i="487" s="1"/>
  <c r="M76" i="487"/>
  <c r="F75" i="487"/>
  <c r="G75" i="487" s="1"/>
  <c r="E7" i="487"/>
  <c r="F104" i="487"/>
  <c r="F106" i="487" s="1"/>
  <c r="F76" i="487"/>
  <c r="G76" i="487" s="1"/>
  <c r="E56" i="487"/>
  <c r="K55" i="487" s="1"/>
  <c r="E13" i="486"/>
  <c r="E15" i="486" s="1"/>
  <c r="E46" i="486"/>
  <c r="E49" i="486" s="1"/>
  <c r="M66" i="486"/>
  <c r="E7" i="486"/>
  <c r="F91" i="486"/>
  <c r="F93" i="486" s="1"/>
  <c r="F66" i="486"/>
  <c r="G66" i="486" s="1"/>
  <c r="E52" i="485"/>
  <c r="J14" i="487" l="1"/>
  <c r="J14" i="486"/>
  <c r="E59" i="487"/>
  <c r="K45" i="486"/>
  <c r="E104" i="485"/>
  <c r="D104" i="485"/>
  <c r="E97" i="485"/>
  <c r="E99" i="485" s="1"/>
  <c r="D97" i="485"/>
  <c r="D99" i="485" s="1"/>
  <c r="C97" i="485"/>
  <c r="F96" i="485"/>
  <c r="C96" i="485"/>
  <c r="C99" i="485" s="1"/>
  <c r="F95" i="485"/>
  <c r="C95" i="485"/>
  <c r="D83" i="485"/>
  <c r="D91" i="485" s="1"/>
  <c r="D61" i="485" s="1"/>
  <c r="D62" i="485" s="1"/>
  <c r="L72" i="485"/>
  <c r="K72" i="485"/>
  <c r="J72" i="485"/>
  <c r="E72" i="485"/>
  <c r="D72" i="485"/>
  <c r="M71" i="485"/>
  <c r="E71" i="485"/>
  <c r="D71" i="485"/>
  <c r="M70" i="485"/>
  <c r="C70" i="485"/>
  <c r="M69" i="485"/>
  <c r="D66" i="485"/>
  <c r="D68" i="485" s="1"/>
  <c r="I57" i="485"/>
  <c r="J56" i="485" s="1"/>
  <c r="E54" i="485"/>
  <c r="I18" i="485"/>
  <c r="I20" i="485" s="1"/>
  <c r="E56" i="485" s="1"/>
  <c r="J16" i="485"/>
  <c r="E14" i="485"/>
  <c r="F12" i="485"/>
  <c r="E12" i="485"/>
  <c r="I9" i="485"/>
  <c r="I11" i="485" s="1"/>
  <c r="E16" i="485" s="1"/>
  <c r="F6" i="485"/>
  <c r="E6" i="485"/>
  <c r="E51" i="484"/>
  <c r="F51" i="484"/>
  <c r="F72" i="485" l="1"/>
  <c r="G72" i="485" s="1"/>
  <c r="K51" i="485"/>
  <c r="F97" i="485"/>
  <c r="F99" i="485" s="1"/>
  <c r="E7" i="485"/>
  <c r="M72" i="485"/>
  <c r="F71" i="485"/>
  <c r="G71" i="485" s="1"/>
  <c r="E13" i="485"/>
  <c r="J14" i="485" s="1"/>
  <c r="E55" i="485"/>
  <c r="E104" i="484"/>
  <c r="D104" i="484"/>
  <c r="E97" i="484"/>
  <c r="E99" i="484" s="1"/>
  <c r="D97" i="484"/>
  <c r="D99" i="484" s="1"/>
  <c r="C97" i="484"/>
  <c r="F96" i="484"/>
  <c r="C96" i="484"/>
  <c r="C99" i="484" s="1"/>
  <c r="F95" i="484"/>
  <c r="C95" i="484"/>
  <c r="D83" i="484"/>
  <c r="L72" i="484"/>
  <c r="K72" i="484"/>
  <c r="J72" i="484"/>
  <c r="E72" i="484"/>
  <c r="D72" i="484"/>
  <c r="M71" i="484"/>
  <c r="E71" i="484"/>
  <c r="D71" i="484"/>
  <c r="M70" i="484"/>
  <c r="C70" i="484"/>
  <c r="M69" i="484"/>
  <c r="D65" i="484"/>
  <c r="D66" i="484" s="1"/>
  <c r="D68" i="484" s="1"/>
  <c r="I57" i="484"/>
  <c r="J56" i="484" s="1"/>
  <c r="E54" i="484"/>
  <c r="I22" i="484"/>
  <c r="I24" i="484" s="1"/>
  <c r="E56" i="484" s="1"/>
  <c r="J20" i="484"/>
  <c r="E18" i="484"/>
  <c r="F16" i="484"/>
  <c r="E16" i="484"/>
  <c r="I9" i="484"/>
  <c r="I11" i="484" s="1"/>
  <c r="E20" i="484" s="1"/>
  <c r="F6" i="484"/>
  <c r="E6" i="484"/>
  <c r="D65" i="483"/>
  <c r="E54" i="483"/>
  <c r="I23" i="483"/>
  <c r="D91" i="484" l="1"/>
  <c r="D61" i="484" s="1"/>
  <c r="D62" i="484" s="1"/>
  <c r="E15" i="485"/>
  <c r="M72" i="484"/>
  <c r="E7" i="484"/>
  <c r="F71" i="484"/>
  <c r="G71" i="484" s="1"/>
  <c r="F72" i="484"/>
  <c r="G72" i="484" s="1"/>
  <c r="E52" i="484"/>
  <c r="K51" i="484" s="1"/>
  <c r="F97" i="484"/>
  <c r="F99" i="484" s="1"/>
  <c r="E17" i="484"/>
  <c r="J18" i="484" s="1"/>
  <c r="E14" i="483"/>
  <c r="E17" i="483" s="1"/>
  <c r="E103" i="483"/>
  <c r="D103" i="483"/>
  <c r="E96" i="483"/>
  <c r="E98" i="483" s="1"/>
  <c r="D96" i="483"/>
  <c r="D98" i="483" s="1"/>
  <c r="C96" i="483"/>
  <c r="F95" i="483"/>
  <c r="C95" i="483"/>
  <c r="C98" i="483" s="1"/>
  <c r="F94" i="483"/>
  <c r="C94" i="483"/>
  <c r="D83" i="483"/>
  <c r="L72" i="483"/>
  <c r="K72" i="483"/>
  <c r="J72" i="483"/>
  <c r="E72" i="483"/>
  <c r="D72" i="483"/>
  <c r="M71" i="483"/>
  <c r="E71" i="483"/>
  <c r="D71" i="483"/>
  <c r="M70" i="483"/>
  <c r="C70" i="483"/>
  <c r="M69" i="483"/>
  <c r="D66" i="483"/>
  <c r="D68" i="483" s="1"/>
  <c r="I57" i="483"/>
  <c r="J56" i="483" s="1"/>
  <c r="F51" i="483"/>
  <c r="E51" i="483"/>
  <c r="I25" i="483"/>
  <c r="E56" i="483" s="1"/>
  <c r="J21" i="483"/>
  <c r="E19" i="483"/>
  <c r="F17" i="483"/>
  <c r="I9" i="483"/>
  <c r="I11" i="483" s="1"/>
  <c r="E21" i="483" s="1"/>
  <c r="F6" i="483"/>
  <c r="E6" i="483"/>
  <c r="E70" i="482"/>
  <c r="I30" i="482"/>
  <c r="D90" i="483" l="1"/>
  <c r="D61" i="483" s="1"/>
  <c r="D62" i="483" s="1"/>
  <c r="E55" i="484"/>
  <c r="E19" i="484"/>
  <c r="F96" i="483"/>
  <c r="F98" i="483" s="1"/>
  <c r="E7" i="483"/>
  <c r="F72" i="483"/>
  <c r="G72" i="483" s="1"/>
  <c r="F71" i="483"/>
  <c r="G71" i="483" s="1"/>
  <c r="E52" i="483"/>
  <c r="K51" i="483" s="1"/>
  <c r="M72" i="483"/>
  <c r="E18" i="483"/>
  <c r="E20" i="483" s="1"/>
  <c r="E116" i="482"/>
  <c r="D116" i="482"/>
  <c r="E109" i="482"/>
  <c r="E111" i="482" s="1"/>
  <c r="D109" i="482"/>
  <c r="D111" i="482" s="1"/>
  <c r="C109" i="482"/>
  <c r="F108" i="482"/>
  <c r="C108" i="482"/>
  <c r="C111" i="482" s="1"/>
  <c r="F107" i="482"/>
  <c r="C107" i="482"/>
  <c r="D99" i="482"/>
  <c r="D103" i="482" s="1"/>
  <c r="D77" i="482" s="1"/>
  <c r="D78" i="482" s="1"/>
  <c r="L88" i="482"/>
  <c r="K88" i="482"/>
  <c r="J88" i="482"/>
  <c r="E88" i="482"/>
  <c r="D88" i="482"/>
  <c r="M87" i="482"/>
  <c r="E87" i="482"/>
  <c r="D87" i="482"/>
  <c r="M86" i="482"/>
  <c r="C86" i="482"/>
  <c r="M85" i="482"/>
  <c r="D82" i="482"/>
  <c r="D84" i="482" s="1"/>
  <c r="I73" i="482"/>
  <c r="J72" i="482" s="1"/>
  <c r="F67" i="482"/>
  <c r="E67" i="482"/>
  <c r="I32" i="482"/>
  <c r="E72" i="482" s="1"/>
  <c r="J28" i="482"/>
  <c r="E26" i="482"/>
  <c r="F24" i="482"/>
  <c r="E24" i="482"/>
  <c r="I9" i="482"/>
  <c r="I11" i="482" s="1"/>
  <c r="E28" i="482" s="1"/>
  <c r="F6" i="482"/>
  <c r="E6" i="482"/>
  <c r="E48" i="481"/>
  <c r="E75" i="481" s="1"/>
  <c r="F49" i="481"/>
  <c r="F75" i="481" s="1"/>
  <c r="E30" i="481"/>
  <c r="F30" i="481"/>
  <c r="F6" i="481"/>
  <c r="E124" i="481"/>
  <c r="D124" i="481"/>
  <c r="E117" i="481"/>
  <c r="E119" i="481" s="1"/>
  <c r="D117" i="481"/>
  <c r="D119" i="481" s="1"/>
  <c r="C117" i="481"/>
  <c r="F116" i="481"/>
  <c r="C116" i="481"/>
  <c r="C119" i="481" s="1"/>
  <c r="F115" i="481"/>
  <c r="C115" i="481"/>
  <c r="D107" i="481"/>
  <c r="D111" i="481" s="1"/>
  <c r="D85" i="481" s="1"/>
  <c r="D86" i="481" s="1"/>
  <c r="L96" i="481"/>
  <c r="K96" i="481"/>
  <c r="J96" i="481"/>
  <c r="E96" i="481"/>
  <c r="D96" i="481"/>
  <c r="M95" i="481"/>
  <c r="E95" i="481"/>
  <c r="D95" i="481"/>
  <c r="M94" i="481"/>
  <c r="C94" i="481"/>
  <c r="M93" i="481"/>
  <c r="D90" i="481"/>
  <c r="D92" i="481" s="1"/>
  <c r="I81" i="481"/>
  <c r="J80" i="481" s="1"/>
  <c r="E78" i="481"/>
  <c r="I36" i="481"/>
  <c r="J34" i="481"/>
  <c r="E32" i="481"/>
  <c r="I9" i="481"/>
  <c r="I11" i="481" s="1"/>
  <c r="E34" i="481" s="1"/>
  <c r="E6" i="481"/>
  <c r="F7" i="480"/>
  <c r="E112" i="480"/>
  <c r="D112" i="480"/>
  <c r="E105" i="480"/>
  <c r="E107" i="480" s="1"/>
  <c r="D105" i="480"/>
  <c r="D107" i="480" s="1"/>
  <c r="C105" i="480"/>
  <c r="F104" i="480"/>
  <c r="C104" i="480"/>
  <c r="C107" i="480" s="1"/>
  <c r="F103" i="480"/>
  <c r="C103" i="480"/>
  <c r="D95" i="480"/>
  <c r="D99" i="480" s="1"/>
  <c r="L84" i="480"/>
  <c r="J84" i="480"/>
  <c r="D84" i="480"/>
  <c r="K84" i="480"/>
  <c r="E83" i="480"/>
  <c r="D83" i="480"/>
  <c r="M82" i="480"/>
  <c r="C82" i="480"/>
  <c r="M81" i="480"/>
  <c r="D78" i="480"/>
  <c r="D80" i="480" s="1"/>
  <c r="I69" i="480"/>
  <c r="J68" i="480" s="1"/>
  <c r="E66" i="480"/>
  <c r="F63" i="480"/>
  <c r="E63" i="480"/>
  <c r="I30" i="480"/>
  <c r="I32" i="480" s="1"/>
  <c r="E68" i="480" s="1"/>
  <c r="J28" i="480"/>
  <c r="E26" i="480"/>
  <c r="F24" i="480"/>
  <c r="E24" i="480"/>
  <c r="I10" i="480"/>
  <c r="I12" i="480" s="1"/>
  <c r="E28" i="480" s="1"/>
  <c r="E7" i="480"/>
  <c r="F6" i="479"/>
  <c r="E113" i="479"/>
  <c r="D113" i="479"/>
  <c r="E106" i="479"/>
  <c r="E108" i="479" s="1"/>
  <c r="D106" i="479"/>
  <c r="D108" i="479" s="1"/>
  <c r="C106" i="479"/>
  <c r="F105" i="479"/>
  <c r="C105" i="479"/>
  <c r="C108" i="479" s="1"/>
  <c r="F104" i="479"/>
  <c r="C104" i="479"/>
  <c r="D97" i="479"/>
  <c r="D100" i="479" s="1"/>
  <c r="D75" i="479" s="1"/>
  <c r="D76" i="479" s="1"/>
  <c r="L86" i="479"/>
  <c r="J86" i="479"/>
  <c r="D86" i="479"/>
  <c r="K85" i="479"/>
  <c r="M85" i="479" s="1"/>
  <c r="E85" i="479"/>
  <c r="D85" i="479"/>
  <c r="M84" i="479"/>
  <c r="C84" i="479"/>
  <c r="M83" i="479"/>
  <c r="D80" i="479"/>
  <c r="D82" i="479" s="1"/>
  <c r="I71" i="479"/>
  <c r="J70" i="479" s="1"/>
  <c r="E68" i="479"/>
  <c r="F65" i="479"/>
  <c r="E65" i="479"/>
  <c r="I28" i="479"/>
  <c r="I30" i="479" s="1"/>
  <c r="E70" i="479" s="1"/>
  <c r="J26" i="479"/>
  <c r="E24" i="479"/>
  <c r="F22" i="479"/>
  <c r="E22" i="479"/>
  <c r="I9" i="479"/>
  <c r="I11" i="479" s="1"/>
  <c r="E26" i="479" s="1"/>
  <c r="E6" i="479"/>
  <c r="F8" i="478"/>
  <c r="F26" i="478"/>
  <c r="E26" i="478"/>
  <c r="E111" i="478"/>
  <c r="D111" i="478"/>
  <c r="E104" i="478"/>
  <c r="E106" i="478" s="1"/>
  <c r="D104" i="478"/>
  <c r="D106" i="478" s="1"/>
  <c r="C104" i="478"/>
  <c r="F103" i="478"/>
  <c r="C103" i="478"/>
  <c r="C106" i="478" s="1"/>
  <c r="F102" i="478"/>
  <c r="C102" i="478"/>
  <c r="D95" i="478"/>
  <c r="D98" i="478" s="1"/>
  <c r="D73" i="478" s="1"/>
  <c r="D74" i="478" s="1"/>
  <c r="L84" i="478"/>
  <c r="J84" i="478"/>
  <c r="D84" i="478"/>
  <c r="K83" i="478"/>
  <c r="K84" i="478" s="1"/>
  <c r="E83" i="478"/>
  <c r="D83" i="478"/>
  <c r="M82" i="478"/>
  <c r="C82" i="478"/>
  <c r="M81" i="478"/>
  <c r="D78" i="478"/>
  <c r="D80" i="478" s="1"/>
  <c r="I69" i="478"/>
  <c r="J68" i="478" s="1"/>
  <c r="E66" i="478"/>
  <c r="F63" i="478"/>
  <c r="E63" i="478"/>
  <c r="I32" i="478"/>
  <c r="I34" i="478" s="1"/>
  <c r="E68" i="478" s="1"/>
  <c r="J30" i="478"/>
  <c r="E28" i="478"/>
  <c r="I11" i="478"/>
  <c r="I13" i="478" s="1"/>
  <c r="E30" i="478" s="1"/>
  <c r="E8" i="478"/>
  <c r="E48" i="477"/>
  <c r="I20" i="477"/>
  <c r="E55" i="483" l="1"/>
  <c r="J19" i="483"/>
  <c r="F87" i="482"/>
  <c r="G87" i="482" s="1"/>
  <c r="F109" i="482"/>
  <c r="F111" i="482" s="1"/>
  <c r="F88" i="482"/>
  <c r="G88" i="482" s="1"/>
  <c r="E68" i="482"/>
  <c r="K67" i="482" s="1"/>
  <c r="E7" i="482"/>
  <c r="M88" i="482"/>
  <c r="E25" i="482"/>
  <c r="J26" i="482" s="1"/>
  <c r="E76" i="481"/>
  <c r="K75" i="481" s="1"/>
  <c r="I38" i="481"/>
  <c r="E80" i="481" s="1"/>
  <c r="E31" i="481"/>
  <c r="E33" i="481" s="1"/>
  <c r="E7" i="481"/>
  <c r="F96" i="481"/>
  <c r="G96" i="481" s="1"/>
  <c r="M96" i="481"/>
  <c r="F95" i="481"/>
  <c r="G95" i="481" s="1"/>
  <c r="F117" i="481"/>
  <c r="F119" i="481" s="1"/>
  <c r="D73" i="480"/>
  <c r="D74" i="480" s="1"/>
  <c r="F105" i="480"/>
  <c r="F107" i="480" s="1"/>
  <c r="E25" i="480"/>
  <c r="E27" i="480" s="1"/>
  <c r="E8" i="480"/>
  <c r="E64" i="480"/>
  <c r="K63" i="480" s="1"/>
  <c r="F83" i="480"/>
  <c r="G83" i="480" s="1"/>
  <c r="M83" i="480"/>
  <c r="M84" i="480" s="1"/>
  <c r="E84" i="480"/>
  <c r="F84" i="480" s="1"/>
  <c r="G84" i="480" s="1"/>
  <c r="F106" i="479"/>
  <c r="F108" i="479" s="1"/>
  <c r="E23" i="479"/>
  <c r="E25" i="479" s="1"/>
  <c r="F85" i="479"/>
  <c r="G85" i="479" s="1"/>
  <c r="E66" i="479"/>
  <c r="K65" i="479" s="1"/>
  <c r="M86" i="479"/>
  <c r="E7" i="479"/>
  <c r="E86" i="479"/>
  <c r="F86" i="479" s="1"/>
  <c r="G86" i="479" s="1"/>
  <c r="K86" i="479"/>
  <c r="E64" i="478"/>
  <c r="K63" i="478" s="1"/>
  <c r="F83" i="478"/>
  <c r="G83" i="478" s="1"/>
  <c r="F104" i="478"/>
  <c r="F106" i="478" s="1"/>
  <c r="E84" i="478"/>
  <c r="F84" i="478" s="1"/>
  <c r="G84" i="478" s="1"/>
  <c r="M83" i="478"/>
  <c r="M84" i="478" s="1"/>
  <c r="E9" i="478"/>
  <c r="E27" i="478"/>
  <c r="J28" i="478" s="1"/>
  <c r="E14" i="477"/>
  <c r="E93" i="477"/>
  <c r="D93" i="477"/>
  <c r="E86" i="477"/>
  <c r="E88" i="477" s="1"/>
  <c r="D86" i="477"/>
  <c r="D88" i="477" s="1"/>
  <c r="C86" i="477"/>
  <c r="F85" i="477"/>
  <c r="C85" i="477"/>
  <c r="C88" i="477" s="1"/>
  <c r="F84" i="477"/>
  <c r="C84" i="477"/>
  <c r="D77" i="477"/>
  <c r="D80" i="477" s="1"/>
  <c r="D55" i="477" s="1"/>
  <c r="D56" i="477" s="1"/>
  <c r="J66" i="477"/>
  <c r="K65" i="477"/>
  <c r="K66" i="477" s="1"/>
  <c r="E65" i="477"/>
  <c r="D65" i="477"/>
  <c r="M64" i="477"/>
  <c r="C64" i="477"/>
  <c r="M63" i="477"/>
  <c r="D60" i="477"/>
  <c r="D62" i="477" s="1"/>
  <c r="I51" i="477"/>
  <c r="J50" i="477" s="1"/>
  <c r="F45" i="477"/>
  <c r="E45" i="477"/>
  <c r="I22" i="477"/>
  <c r="E50" i="477" s="1"/>
  <c r="J18" i="477"/>
  <c r="E16" i="477"/>
  <c r="F14" i="477"/>
  <c r="I11" i="477"/>
  <c r="I13" i="477" s="1"/>
  <c r="E18" i="477" s="1"/>
  <c r="F8" i="477"/>
  <c r="E8" i="477"/>
  <c r="D99" i="476"/>
  <c r="D100" i="476" s="1"/>
  <c r="D102" i="476" s="1"/>
  <c r="D117" i="476"/>
  <c r="D120" i="476" s="1"/>
  <c r="L105" i="476"/>
  <c r="L106" i="476" s="1"/>
  <c r="K105" i="476"/>
  <c r="E21" i="476"/>
  <c r="E133" i="476"/>
  <c r="D133" i="476"/>
  <c r="E126" i="476"/>
  <c r="E128" i="476" s="1"/>
  <c r="D126" i="476"/>
  <c r="D128" i="476" s="1"/>
  <c r="C126" i="476"/>
  <c r="F125" i="476"/>
  <c r="C125" i="476"/>
  <c r="C128" i="476" s="1"/>
  <c r="F124" i="476"/>
  <c r="C124" i="476"/>
  <c r="J106" i="476"/>
  <c r="E105" i="476"/>
  <c r="D105" i="476"/>
  <c r="M104" i="476"/>
  <c r="C104" i="476"/>
  <c r="M103" i="476"/>
  <c r="I91" i="476"/>
  <c r="J90" i="476" s="1"/>
  <c r="E88" i="476"/>
  <c r="F85" i="476"/>
  <c r="E85" i="476"/>
  <c r="I27" i="476"/>
  <c r="I29" i="476" s="1"/>
  <c r="E90" i="476" s="1"/>
  <c r="J25" i="476"/>
  <c r="E23" i="476"/>
  <c r="I10" i="476"/>
  <c r="I12" i="476" s="1"/>
  <c r="E25" i="476" s="1"/>
  <c r="F7" i="476"/>
  <c r="E7" i="476"/>
  <c r="D73" i="475"/>
  <c r="D74" i="475" s="1"/>
  <c r="D76" i="475" s="1"/>
  <c r="I65" i="475"/>
  <c r="J64" i="475" s="1"/>
  <c r="D91" i="475"/>
  <c r="D69" i="475" s="1"/>
  <c r="D70" i="475" s="1"/>
  <c r="E104" i="475"/>
  <c r="D104" i="475"/>
  <c r="E97" i="475"/>
  <c r="E99" i="475" s="1"/>
  <c r="C97" i="475"/>
  <c r="F96" i="475"/>
  <c r="C96" i="475"/>
  <c r="C99" i="475" s="1"/>
  <c r="C95" i="475"/>
  <c r="L80" i="475"/>
  <c r="K80" i="475"/>
  <c r="J80" i="475"/>
  <c r="E80" i="475"/>
  <c r="D80" i="475"/>
  <c r="M79" i="475"/>
  <c r="E79" i="475"/>
  <c r="D79" i="475"/>
  <c r="M78" i="475"/>
  <c r="C78" i="475"/>
  <c r="M77" i="475"/>
  <c r="E62" i="475"/>
  <c r="F59" i="475"/>
  <c r="E59" i="475"/>
  <c r="I21" i="475"/>
  <c r="I23" i="475" s="1"/>
  <c r="E64" i="475" s="1"/>
  <c r="J19" i="475"/>
  <c r="E17" i="475"/>
  <c r="F15" i="475"/>
  <c r="E15" i="475"/>
  <c r="I10" i="475"/>
  <c r="I12" i="475" s="1"/>
  <c r="E19" i="475" s="1"/>
  <c r="F7" i="475"/>
  <c r="E7" i="475"/>
  <c r="D172" i="474"/>
  <c r="D171" i="474"/>
  <c r="C171" i="474"/>
  <c r="F83" i="474"/>
  <c r="E81" i="474"/>
  <c r="E140" i="474"/>
  <c r="I46" i="474"/>
  <c r="F86" i="477" l="1"/>
  <c r="F88" i="477" s="1"/>
  <c r="E71" i="482"/>
  <c r="E27" i="482"/>
  <c r="J32" i="481"/>
  <c r="E79" i="481"/>
  <c r="E67" i="480"/>
  <c r="J26" i="480"/>
  <c r="J24" i="479"/>
  <c r="E69" i="479"/>
  <c r="E67" i="478"/>
  <c r="E29" i="478"/>
  <c r="E46" i="477"/>
  <c r="K45" i="477" s="1"/>
  <c r="M65" i="477"/>
  <c r="M66" i="477" s="1"/>
  <c r="E15" i="477"/>
  <c r="E17" i="477" s="1"/>
  <c r="F65" i="477"/>
  <c r="G65" i="477" s="1"/>
  <c r="E9" i="477"/>
  <c r="L66" i="477"/>
  <c r="D66" i="477"/>
  <c r="E66" i="477"/>
  <c r="D95" i="476"/>
  <c r="D96" i="476" s="1"/>
  <c r="M105" i="476"/>
  <c r="M106" i="476" s="1"/>
  <c r="D106" i="476"/>
  <c r="E106" i="476"/>
  <c r="K106" i="476"/>
  <c r="F21" i="476"/>
  <c r="E22" i="476" s="1"/>
  <c r="E24" i="476" s="1"/>
  <c r="E86" i="476"/>
  <c r="K85" i="476" s="1"/>
  <c r="F126" i="476"/>
  <c r="F128" i="476" s="1"/>
  <c r="F105" i="476"/>
  <c r="G105" i="476" s="1"/>
  <c r="E8" i="476"/>
  <c r="M80" i="475"/>
  <c r="D97" i="475"/>
  <c r="D99" i="475" s="1"/>
  <c r="F80" i="475"/>
  <c r="G80" i="475" s="1"/>
  <c r="F95" i="475"/>
  <c r="F97" i="475" s="1"/>
  <c r="F99" i="475" s="1"/>
  <c r="F79" i="475"/>
  <c r="G79" i="475" s="1"/>
  <c r="E16" i="475"/>
  <c r="E18" i="475" s="1"/>
  <c r="E8" i="475"/>
  <c r="E60" i="475"/>
  <c r="K59" i="475" s="1"/>
  <c r="E180" i="474"/>
  <c r="D180" i="474"/>
  <c r="E173" i="474"/>
  <c r="E175" i="474" s="1"/>
  <c r="D173" i="474"/>
  <c r="D175" i="474" s="1"/>
  <c r="C173" i="474"/>
  <c r="F172" i="474"/>
  <c r="C172" i="474"/>
  <c r="C175" i="474" s="1"/>
  <c r="F171" i="474"/>
  <c r="D167" i="474"/>
  <c r="D147" i="474" s="1"/>
  <c r="D148" i="474" s="1"/>
  <c r="L158" i="474"/>
  <c r="K158" i="474"/>
  <c r="J158" i="474"/>
  <c r="E158" i="474"/>
  <c r="D158" i="474"/>
  <c r="M157" i="474"/>
  <c r="E157" i="474"/>
  <c r="D157" i="474"/>
  <c r="M156" i="474"/>
  <c r="C156" i="474"/>
  <c r="M155" i="474"/>
  <c r="D152" i="474"/>
  <c r="D154" i="474" s="1"/>
  <c r="I143" i="474"/>
  <c r="J142" i="474" s="1"/>
  <c r="E137" i="474"/>
  <c r="F137" i="474"/>
  <c r="I48" i="474"/>
  <c r="E142" i="474" s="1"/>
  <c r="J44" i="474"/>
  <c r="E42" i="474"/>
  <c r="F40" i="474"/>
  <c r="E40" i="474"/>
  <c r="I10" i="474"/>
  <c r="I12" i="474" s="1"/>
  <c r="E44" i="474" s="1"/>
  <c r="F7" i="474"/>
  <c r="E7" i="474"/>
  <c r="E104" i="473"/>
  <c r="D104" i="473"/>
  <c r="F51" i="473"/>
  <c r="E49" i="477" l="1"/>
  <c r="J16" i="477"/>
  <c r="F66" i="477"/>
  <c r="G66" i="477" s="1"/>
  <c r="F106" i="476"/>
  <c r="G106" i="476" s="1"/>
  <c r="E89" i="476"/>
  <c r="J23" i="476"/>
  <c r="J17" i="475"/>
  <c r="E63" i="475"/>
  <c r="F157" i="474"/>
  <c r="G157" i="474" s="1"/>
  <c r="F173" i="474"/>
  <c r="F175" i="474" s="1"/>
  <c r="E8" i="474"/>
  <c r="M158" i="474"/>
  <c r="E41" i="474"/>
  <c r="J42" i="474" s="1"/>
  <c r="E138" i="474"/>
  <c r="K137" i="474" s="1"/>
  <c r="F158" i="474"/>
  <c r="G158" i="474" s="1"/>
  <c r="F8" i="473"/>
  <c r="E8" i="473"/>
  <c r="E97" i="473"/>
  <c r="E99" i="473" s="1"/>
  <c r="D97" i="473"/>
  <c r="D99" i="473" s="1"/>
  <c r="C97" i="473"/>
  <c r="F96" i="473"/>
  <c r="C96" i="473"/>
  <c r="C99" i="473" s="1"/>
  <c r="F95" i="473"/>
  <c r="C95" i="473"/>
  <c r="D91" i="473"/>
  <c r="D71" i="473" s="1"/>
  <c r="D72" i="473" s="1"/>
  <c r="L82" i="473"/>
  <c r="K82" i="473"/>
  <c r="J82" i="473"/>
  <c r="E82" i="473"/>
  <c r="D82" i="473"/>
  <c r="M81" i="473"/>
  <c r="E81" i="473"/>
  <c r="D81" i="473"/>
  <c r="M80" i="473"/>
  <c r="C80" i="473"/>
  <c r="M79" i="473"/>
  <c r="D76" i="473"/>
  <c r="D78" i="473" s="1"/>
  <c r="I67" i="473"/>
  <c r="J66" i="473" s="1"/>
  <c r="E64" i="473"/>
  <c r="F61" i="473"/>
  <c r="E61" i="473"/>
  <c r="I24" i="473"/>
  <c r="I26" i="473" s="1"/>
  <c r="E66" i="473" s="1"/>
  <c r="J22" i="473"/>
  <c r="E20" i="473"/>
  <c r="F18" i="473"/>
  <c r="E18" i="473"/>
  <c r="I11" i="473"/>
  <c r="I13" i="473" s="1"/>
  <c r="E22" i="473" s="1"/>
  <c r="D99" i="472"/>
  <c r="D79" i="472" s="1"/>
  <c r="D80" i="472" s="1"/>
  <c r="E105" i="472"/>
  <c r="E107" i="472" s="1"/>
  <c r="D105" i="472"/>
  <c r="D107" i="472" s="1"/>
  <c r="C105" i="472"/>
  <c r="F104" i="472"/>
  <c r="C104" i="472"/>
  <c r="C107" i="472" s="1"/>
  <c r="F103" i="472"/>
  <c r="C103" i="472"/>
  <c r="L90" i="472"/>
  <c r="K90" i="472"/>
  <c r="J90" i="472"/>
  <c r="E90" i="472"/>
  <c r="D90" i="472"/>
  <c r="M89" i="472"/>
  <c r="E89" i="472"/>
  <c r="D89" i="472"/>
  <c r="M88" i="472"/>
  <c r="C88" i="472"/>
  <c r="M87" i="472"/>
  <c r="D84" i="472"/>
  <c r="D86" i="472" s="1"/>
  <c r="I75" i="472"/>
  <c r="J74" i="472" s="1"/>
  <c r="E72" i="472"/>
  <c r="F69" i="472"/>
  <c r="E69" i="472"/>
  <c r="I20" i="472"/>
  <c r="I22" i="472" s="1"/>
  <c r="E74" i="472" s="1"/>
  <c r="J18" i="472"/>
  <c r="E16" i="472"/>
  <c r="F14" i="472"/>
  <c r="E14" i="472"/>
  <c r="I9" i="472"/>
  <c r="I11" i="472" s="1"/>
  <c r="E18" i="472" s="1"/>
  <c r="F6" i="472"/>
  <c r="E6" i="472"/>
  <c r="E43" i="474" l="1"/>
  <c r="E141" i="474"/>
  <c r="F82" i="473"/>
  <c r="G82" i="473" s="1"/>
  <c r="E19" i="473"/>
  <c r="J20" i="473" s="1"/>
  <c r="F81" i="473"/>
  <c r="G81" i="473" s="1"/>
  <c r="E9" i="473"/>
  <c r="E62" i="473"/>
  <c r="K61" i="473" s="1"/>
  <c r="M82" i="473"/>
  <c r="F97" i="473"/>
  <c r="F99" i="473" s="1"/>
  <c r="E7" i="472"/>
  <c r="F89" i="472"/>
  <c r="G89" i="472" s="1"/>
  <c r="E70" i="472"/>
  <c r="K69" i="472" s="1"/>
  <c r="M90" i="472"/>
  <c r="F105" i="472"/>
  <c r="F107" i="472" s="1"/>
  <c r="F90" i="472"/>
  <c r="G90" i="472" s="1"/>
  <c r="E15" i="472"/>
  <c r="E17" i="472" s="1"/>
  <c r="D99" i="471"/>
  <c r="D82" i="471" s="1"/>
  <c r="D83" i="471" s="1"/>
  <c r="C105" i="471"/>
  <c r="C104" i="471"/>
  <c r="C107" i="471" s="1"/>
  <c r="C103" i="471"/>
  <c r="E21" i="471"/>
  <c r="F21" i="471"/>
  <c r="E105" i="471"/>
  <c r="E107" i="471" s="1"/>
  <c r="D105" i="471"/>
  <c r="D107" i="471" s="1"/>
  <c r="F104" i="471"/>
  <c r="F103" i="471"/>
  <c r="L93" i="471"/>
  <c r="K93" i="471"/>
  <c r="J93" i="471"/>
  <c r="E93" i="471"/>
  <c r="D93" i="471"/>
  <c r="M92" i="471"/>
  <c r="E92" i="471"/>
  <c r="D92" i="471"/>
  <c r="M91" i="471"/>
  <c r="C91" i="471"/>
  <c r="M90" i="471"/>
  <c r="D87" i="471"/>
  <c r="D89" i="471" s="1"/>
  <c r="I78" i="471"/>
  <c r="J77" i="471" s="1"/>
  <c r="E75" i="471"/>
  <c r="F72" i="471"/>
  <c r="E72" i="471"/>
  <c r="I27" i="471"/>
  <c r="I29" i="471" s="1"/>
  <c r="E77" i="471" s="1"/>
  <c r="J25" i="471"/>
  <c r="E23" i="471"/>
  <c r="I9" i="471"/>
  <c r="I11" i="471" s="1"/>
  <c r="E25" i="471" s="1"/>
  <c r="F6" i="471"/>
  <c r="E6" i="471"/>
  <c r="F6" i="470"/>
  <c r="E105" i="470"/>
  <c r="E107" i="470" s="1"/>
  <c r="D105" i="470"/>
  <c r="D107" i="470" s="1"/>
  <c r="C105" i="470"/>
  <c r="F104" i="470"/>
  <c r="C104" i="470"/>
  <c r="C107" i="470" s="1"/>
  <c r="F103" i="470"/>
  <c r="C103" i="470"/>
  <c r="D99" i="470"/>
  <c r="D83" i="470" s="1"/>
  <c r="D84" i="470" s="1"/>
  <c r="L94" i="470"/>
  <c r="K94" i="470"/>
  <c r="J94" i="470"/>
  <c r="E94" i="470"/>
  <c r="D94" i="470"/>
  <c r="M93" i="470"/>
  <c r="E93" i="470"/>
  <c r="D93" i="470"/>
  <c r="M92" i="470"/>
  <c r="C92" i="470"/>
  <c r="M91" i="470"/>
  <c r="D88" i="470"/>
  <c r="D90" i="470" s="1"/>
  <c r="I79" i="470"/>
  <c r="J78" i="470" s="1"/>
  <c r="E76" i="470"/>
  <c r="F73" i="470"/>
  <c r="E73" i="470"/>
  <c r="I26" i="470"/>
  <c r="I28" i="470" s="1"/>
  <c r="E78" i="470" s="1"/>
  <c r="J24" i="470"/>
  <c r="E22" i="470"/>
  <c r="F20" i="470"/>
  <c r="E20" i="470"/>
  <c r="I9" i="470"/>
  <c r="I11" i="470" s="1"/>
  <c r="E24" i="470" s="1"/>
  <c r="E6" i="470"/>
  <c r="D90" i="469"/>
  <c r="D74" i="469" s="1"/>
  <c r="D75" i="469" s="1"/>
  <c r="F17" i="469"/>
  <c r="F7" i="469"/>
  <c r="E96" i="469"/>
  <c r="E98" i="469" s="1"/>
  <c r="D96" i="469"/>
  <c r="D98" i="469" s="1"/>
  <c r="C96" i="469"/>
  <c r="F95" i="469"/>
  <c r="C95" i="469"/>
  <c r="C98" i="469" s="1"/>
  <c r="F94" i="469"/>
  <c r="C94" i="469"/>
  <c r="L85" i="469"/>
  <c r="K85" i="469"/>
  <c r="J85" i="469"/>
  <c r="E85" i="469"/>
  <c r="D85" i="469"/>
  <c r="M84" i="469"/>
  <c r="E84" i="469"/>
  <c r="D84" i="469"/>
  <c r="M83" i="469"/>
  <c r="C83" i="469"/>
  <c r="M82" i="469"/>
  <c r="D79" i="469"/>
  <c r="D81" i="469" s="1"/>
  <c r="I70" i="469"/>
  <c r="J69" i="469" s="1"/>
  <c r="E67" i="469"/>
  <c r="F64" i="469"/>
  <c r="E64" i="469"/>
  <c r="I23" i="469"/>
  <c r="I25" i="469" s="1"/>
  <c r="E69" i="469" s="1"/>
  <c r="J21" i="469"/>
  <c r="E19" i="469"/>
  <c r="E17" i="469"/>
  <c r="I10" i="469"/>
  <c r="I12" i="469" s="1"/>
  <c r="E21" i="469" s="1"/>
  <c r="E7" i="469"/>
  <c r="E95" i="468"/>
  <c r="E97" i="468" s="1"/>
  <c r="D95" i="468"/>
  <c r="D97" i="468" s="1"/>
  <c r="C95" i="468"/>
  <c r="F94" i="468"/>
  <c r="C94" i="468"/>
  <c r="C97" i="468" s="1"/>
  <c r="F93" i="468"/>
  <c r="C93" i="468"/>
  <c r="D89" i="468"/>
  <c r="D52" i="468" s="1"/>
  <c r="D53" i="468" s="1"/>
  <c r="L63" i="468"/>
  <c r="K63" i="468"/>
  <c r="J63" i="468"/>
  <c r="E63" i="468"/>
  <c r="D63" i="468"/>
  <c r="M62" i="468"/>
  <c r="E62" i="468"/>
  <c r="D62" i="468"/>
  <c r="M61" i="468"/>
  <c r="C61" i="468"/>
  <c r="M60" i="468"/>
  <c r="D57" i="468"/>
  <c r="D59" i="468" s="1"/>
  <c r="I48" i="468"/>
  <c r="J47" i="468" s="1"/>
  <c r="E45" i="468"/>
  <c r="F42" i="468"/>
  <c r="E42" i="468"/>
  <c r="I23" i="468"/>
  <c r="I25" i="468" s="1"/>
  <c r="E47" i="468" s="1"/>
  <c r="J21" i="468"/>
  <c r="E19" i="468"/>
  <c r="F17" i="468"/>
  <c r="E17" i="468"/>
  <c r="I9" i="468"/>
  <c r="I11" i="468" s="1"/>
  <c r="E21" i="468" s="1"/>
  <c r="E6" i="468"/>
  <c r="E7" i="468" s="1"/>
  <c r="E109" i="467"/>
  <c r="E111" i="467" s="1"/>
  <c r="D109" i="467"/>
  <c r="D111" i="467" s="1"/>
  <c r="C109" i="467"/>
  <c r="F108" i="467"/>
  <c r="C108" i="467"/>
  <c r="C111" i="467" s="1"/>
  <c r="F107" i="467"/>
  <c r="C107" i="467"/>
  <c r="D103" i="467"/>
  <c r="D66" i="467" s="1"/>
  <c r="D67" i="467" s="1"/>
  <c r="L77" i="467"/>
  <c r="K77" i="467"/>
  <c r="J77" i="467"/>
  <c r="E77" i="467"/>
  <c r="D77" i="467"/>
  <c r="M76" i="467"/>
  <c r="E76" i="467"/>
  <c r="D76" i="467"/>
  <c r="M75" i="467"/>
  <c r="C75" i="467"/>
  <c r="M74" i="467"/>
  <c r="D71" i="467"/>
  <c r="D73" i="467" s="1"/>
  <c r="I62" i="467"/>
  <c r="J61" i="467" s="1"/>
  <c r="E59" i="467"/>
  <c r="F56" i="467"/>
  <c r="E56" i="467"/>
  <c r="I20" i="467"/>
  <c r="I22" i="467" s="1"/>
  <c r="E61" i="467" s="1"/>
  <c r="J18" i="467"/>
  <c r="E16" i="467"/>
  <c r="F14" i="467"/>
  <c r="E14" i="467"/>
  <c r="I9" i="467"/>
  <c r="I11" i="467" s="1"/>
  <c r="E18" i="467" s="1"/>
  <c r="E6" i="467"/>
  <c r="E7" i="467" s="1"/>
  <c r="E87" i="466"/>
  <c r="E89" i="466" s="1"/>
  <c r="D87" i="466"/>
  <c r="D89" i="466" s="1"/>
  <c r="C87" i="466"/>
  <c r="F86" i="466"/>
  <c r="C86" i="466"/>
  <c r="C89" i="466" s="1"/>
  <c r="F85" i="466"/>
  <c r="C85" i="466"/>
  <c r="D81" i="466"/>
  <c r="D44" i="466" s="1"/>
  <c r="D45" i="466" s="1"/>
  <c r="L55" i="466"/>
  <c r="K55" i="466"/>
  <c r="J55" i="466"/>
  <c r="E55" i="466"/>
  <c r="D55" i="466"/>
  <c r="M54" i="466"/>
  <c r="E54" i="466"/>
  <c r="D54" i="466"/>
  <c r="M53" i="466"/>
  <c r="C53" i="466"/>
  <c r="M52" i="466"/>
  <c r="D49" i="466"/>
  <c r="D51" i="466" s="1"/>
  <c r="I40" i="466"/>
  <c r="J39" i="466" s="1"/>
  <c r="E37" i="466"/>
  <c r="E34" i="466"/>
  <c r="F34" i="466"/>
  <c r="I23" i="466"/>
  <c r="I25" i="466" s="1"/>
  <c r="E39" i="466" s="1"/>
  <c r="J21" i="466"/>
  <c r="E19" i="466"/>
  <c r="F17" i="466"/>
  <c r="E17" i="466"/>
  <c r="I9" i="466"/>
  <c r="I11" i="466" s="1"/>
  <c r="E21" i="466" s="1"/>
  <c r="E6" i="466"/>
  <c r="D110" i="465"/>
  <c r="D73" i="465" s="1"/>
  <c r="D74" i="465" s="1"/>
  <c r="F44" i="465"/>
  <c r="F63" i="465" s="1"/>
  <c r="F7" i="465"/>
  <c r="E116" i="465"/>
  <c r="E118" i="465" s="1"/>
  <c r="D116" i="465"/>
  <c r="D118" i="465" s="1"/>
  <c r="C116" i="465"/>
  <c r="F115" i="465"/>
  <c r="C115" i="465"/>
  <c r="C118" i="465" s="1"/>
  <c r="F114" i="465"/>
  <c r="C114" i="465"/>
  <c r="L84" i="465"/>
  <c r="K84" i="465"/>
  <c r="J84" i="465"/>
  <c r="E84" i="465"/>
  <c r="D84" i="465"/>
  <c r="M83" i="465"/>
  <c r="E83" i="465"/>
  <c r="D83" i="465"/>
  <c r="M82" i="465"/>
  <c r="C82" i="465"/>
  <c r="M81" i="465"/>
  <c r="D78" i="465"/>
  <c r="D80" i="465" s="1"/>
  <c r="I69" i="465"/>
  <c r="J68" i="465" s="1"/>
  <c r="E66" i="465"/>
  <c r="E63" i="465"/>
  <c r="I22" i="465"/>
  <c r="I24" i="465" s="1"/>
  <c r="E68" i="465" s="1"/>
  <c r="J20" i="465"/>
  <c r="E18" i="465"/>
  <c r="F16" i="465"/>
  <c r="E16" i="465"/>
  <c r="I10" i="465"/>
  <c r="I12" i="465" s="1"/>
  <c r="E20" i="465" s="1"/>
  <c r="E7" i="465"/>
  <c r="D92" i="464"/>
  <c r="D56" i="464" s="1"/>
  <c r="D57" i="464" s="1"/>
  <c r="F16" i="464"/>
  <c r="E16" i="464"/>
  <c r="E7" i="464"/>
  <c r="E98" i="464"/>
  <c r="E100" i="464" s="1"/>
  <c r="D98" i="464"/>
  <c r="D100" i="464" s="1"/>
  <c r="C98" i="464"/>
  <c r="F97" i="464"/>
  <c r="C97" i="464"/>
  <c r="C100" i="464" s="1"/>
  <c r="F96" i="464"/>
  <c r="C96" i="464"/>
  <c r="L67" i="464"/>
  <c r="K67" i="464"/>
  <c r="J67" i="464"/>
  <c r="E67" i="464"/>
  <c r="D67" i="464"/>
  <c r="M66" i="464"/>
  <c r="E66" i="464"/>
  <c r="D66" i="464"/>
  <c r="M65" i="464"/>
  <c r="C65" i="464"/>
  <c r="M64" i="464"/>
  <c r="D61" i="464"/>
  <c r="D63" i="464" s="1"/>
  <c r="I52" i="464"/>
  <c r="J51" i="464" s="1"/>
  <c r="E49" i="464"/>
  <c r="F46" i="464"/>
  <c r="E46" i="464"/>
  <c r="I22" i="464"/>
  <c r="I24" i="464" s="1"/>
  <c r="E51" i="464" s="1"/>
  <c r="J20" i="464"/>
  <c r="E18" i="464"/>
  <c r="I10" i="464"/>
  <c r="I12" i="464" s="1"/>
  <c r="E20" i="464" s="1"/>
  <c r="F7" i="464"/>
  <c r="F14" i="463"/>
  <c r="E117" i="463"/>
  <c r="E119" i="463" s="1"/>
  <c r="D117" i="463"/>
  <c r="D119" i="463" s="1"/>
  <c r="C117" i="463"/>
  <c r="F116" i="463"/>
  <c r="C116" i="463"/>
  <c r="C119" i="463" s="1"/>
  <c r="F115" i="463"/>
  <c r="C115" i="463"/>
  <c r="D111" i="463"/>
  <c r="D75" i="463" s="1"/>
  <c r="D76" i="463" s="1"/>
  <c r="L86" i="463"/>
  <c r="K86" i="463"/>
  <c r="J86" i="463"/>
  <c r="E86" i="463"/>
  <c r="D86" i="463"/>
  <c r="M85" i="463"/>
  <c r="E85" i="463"/>
  <c r="D85" i="463"/>
  <c r="M84" i="463"/>
  <c r="C84" i="463"/>
  <c r="M83" i="463"/>
  <c r="D80" i="463"/>
  <c r="D82" i="463" s="1"/>
  <c r="I71" i="463"/>
  <c r="J70" i="463" s="1"/>
  <c r="E68" i="463"/>
  <c r="E65" i="463"/>
  <c r="F65" i="463"/>
  <c r="I20" i="463"/>
  <c r="I22" i="463" s="1"/>
  <c r="E70" i="463" s="1"/>
  <c r="J18" i="463"/>
  <c r="E16" i="463"/>
  <c r="E14" i="463"/>
  <c r="I9" i="463"/>
  <c r="I11" i="463" s="1"/>
  <c r="E18" i="463" s="1"/>
  <c r="F6" i="463"/>
  <c r="E6" i="463"/>
  <c r="F34" i="462"/>
  <c r="F68" i="462" s="1"/>
  <c r="E12" i="462"/>
  <c r="E114" i="462"/>
  <c r="E116" i="462" s="1"/>
  <c r="D114" i="462"/>
  <c r="D116" i="462" s="1"/>
  <c r="C114" i="462"/>
  <c r="F113" i="462"/>
  <c r="C113" i="462"/>
  <c r="C116" i="462" s="1"/>
  <c r="F112" i="462"/>
  <c r="C112" i="462"/>
  <c r="D108" i="462"/>
  <c r="D78" i="462" s="1"/>
  <c r="D79" i="462" s="1"/>
  <c r="L89" i="462"/>
  <c r="K89" i="462"/>
  <c r="J89" i="462"/>
  <c r="E89" i="462"/>
  <c r="D89" i="462"/>
  <c r="M88" i="462"/>
  <c r="E88" i="462"/>
  <c r="D88" i="462"/>
  <c r="M87" i="462"/>
  <c r="C87" i="462"/>
  <c r="M86" i="462"/>
  <c r="D83" i="462"/>
  <c r="D85" i="462" s="1"/>
  <c r="I74" i="462"/>
  <c r="J73" i="462" s="1"/>
  <c r="E71" i="462"/>
  <c r="E68" i="462"/>
  <c r="I18" i="462"/>
  <c r="I20" i="462" s="1"/>
  <c r="E73" i="462" s="1"/>
  <c r="J16" i="462"/>
  <c r="E14" i="462"/>
  <c r="F12" i="462"/>
  <c r="I9" i="462"/>
  <c r="I11" i="462" s="1"/>
  <c r="E16" i="462" s="1"/>
  <c r="F6" i="462"/>
  <c r="E6" i="462"/>
  <c r="D99" i="461"/>
  <c r="E73" i="472" l="1"/>
  <c r="E21" i="473"/>
  <c r="F54" i="466"/>
  <c r="G54" i="466" s="1"/>
  <c r="E65" i="473"/>
  <c r="J16" i="472"/>
  <c r="F93" i="471"/>
  <c r="G93" i="471" s="1"/>
  <c r="E7" i="471"/>
  <c r="M93" i="471"/>
  <c r="E73" i="471"/>
  <c r="K72" i="471" s="1"/>
  <c r="F92" i="471"/>
  <c r="G92" i="471" s="1"/>
  <c r="F105" i="471"/>
  <c r="F107" i="471" s="1"/>
  <c r="E22" i="471"/>
  <c r="E24" i="471" s="1"/>
  <c r="E7" i="470"/>
  <c r="E8" i="465"/>
  <c r="F93" i="470"/>
  <c r="G93" i="470" s="1"/>
  <c r="E21" i="470"/>
  <c r="E23" i="470" s="1"/>
  <c r="M94" i="470"/>
  <c r="F105" i="470"/>
  <c r="F107" i="470" s="1"/>
  <c r="E74" i="470"/>
  <c r="K73" i="470" s="1"/>
  <c r="F94" i="470"/>
  <c r="G94" i="470" s="1"/>
  <c r="M63" i="468"/>
  <c r="E8" i="469"/>
  <c r="F84" i="469"/>
  <c r="G84" i="469" s="1"/>
  <c r="E65" i="469"/>
  <c r="K64" i="469" s="1"/>
  <c r="M85" i="469"/>
  <c r="F96" i="469"/>
  <c r="F98" i="469" s="1"/>
  <c r="E18" i="469"/>
  <c r="J19" i="469" s="1"/>
  <c r="F85" i="469"/>
  <c r="G85" i="469" s="1"/>
  <c r="F84" i="465"/>
  <c r="G84" i="465" s="1"/>
  <c r="E43" i="468"/>
  <c r="K42" i="468" s="1"/>
  <c r="F62" i="468"/>
  <c r="G62" i="468" s="1"/>
  <c r="E18" i="468"/>
  <c r="E20" i="468" s="1"/>
  <c r="F95" i="468"/>
  <c r="F97" i="468" s="1"/>
  <c r="F63" i="468"/>
  <c r="G63" i="468" s="1"/>
  <c r="F77" i="467"/>
  <c r="G77" i="467" s="1"/>
  <c r="F76" i="467"/>
  <c r="G76" i="467" s="1"/>
  <c r="F109" i="467"/>
  <c r="F111" i="467" s="1"/>
  <c r="E57" i="467"/>
  <c r="K56" i="467" s="1"/>
  <c r="M77" i="467"/>
  <c r="E15" i="467"/>
  <c r="E17" i="467" s="1"/>
  <c r="F87" i="466"/>
  <c r="F89" i="466" s="1"/>
  <c r="E7" i="466"/>
  <c r="E35" i="466"/>
  <c r="K34" i="466" s="1"/>
  <c r="E18" i="466"/>
  <c r="J19" i="466" s="1"/>
  <c r="M55" i="466"/>
  <c r="F55" i="466"/>
  <c r="G55" i="466" s="1"/>
  <c r="F116" i="465"/>
  <c r="F118" i="465" s="1"/>
  <c r="E17" i="465"/>
  <c r="J18" i="465" s="1"/>
  <c r="F83" i="465"/>
  <c r="G83" i="465" s="1"/>
  <c r="E64" i="465"/>
  <c r="K63" i="465" s="1"/>
  <c r="M84" i="465"/>
  <c r="M67" i="464"/>
  <c r="E17" i="464"/>
  <c r="E19" i="464" s="1"/>
  <c r="E47" i="464"/>
  <c r="K46" i="464" s="1"/>
  <c r="F66" i="464"/>
  <c r="G66" i="464" s="1"/>
  <c r="E8" i="464"/>
  <c r="F98" i="464"/>
  <c r="F100" i="464" s="1"/>
  <c r="F67" i="464"/>
  <c r="G67" i="464" s="1"/>
  <c r="F85" i="463"/>
  <c r="G85" i="463" s="1"/>
  <c r="E66" i="463"/>
  <c r="K65" i="463" s="1"/>
  <c r="E7" i="463"/>
  <c r="F117" i="463"/>
  <c r="F119" i="463" s="1"/>
  <c r="F86" i="463"/>
  <c r="G86" i="463" s="1"/>
  <c r="M86" i="463"/>
  <c r="E15" i="463"/>
  <c r="J16" i="463" s="1"/>
  <c r="E7" i="462"/>
  <c r="E69" i="462"/>
  <c r="K68" i="462" s="1"/>
  <c r="F88" i="462"/>
  <c r="G88" i="462" s="1"/>
  <c r="F89" i="462"/>
  <c r="G89" i="462" s="1"/>
  <c r="M89" i="462"/>
  <c r="F114" i="462"/>
  <c r="F116" i="462" s="1"/>
  <c r="E13" i="462"/>
  <c r="J14" i="462" s="1"/>
  <c r="F49" i="461"/>
  <c r="F59" i="461" s="1"/>
  <c r="E105" i="461"/>
  <c r="E107" i="461" s="1"/>
  <c r="D105" i="461"/>
  <c r="D107" i="461" s="1"/>
  <c r="C105" i="461"/>
  <c r="F104" i="461"/>
  <c r="C104" i="461"/>
  <c r="C107" i="461" s="1"/>
  <c r="F103" i="461"/>
  <c r="C103" i="461"/>
  <c r="D69" i="461"/>
  <c r="D70" i="461" s="1"/>
  <c r="L80" i="461"/>
  <c r="K80" i="461"/>
  <c r="J80" i="461"/>
  <c r="E80" i="461"/>
  <c r="D80" i="461"/>
  <c r="M79" i="461"/>
  <c r="E79" i="461"/>
  <c r="D79" i="461"/>
  <c r="M78" i="461"/>
  <c r="C78" i="461"/>
  <c r="M77" i="461"/>
  <c r="D74" i="461"/>
  <c r="D76" i="461" s="1"/>
  <c r="I65" i="461"/>
  <c r="J64" i="461" s="1"/>
  <c r="E62" i="461"/>
  <c r="E59" i="461"/>
  <c r="I19" i="461"/>
  <c r="I21" i="461" s="1"/>
  <c r="E64" i="461" s="1"/>
  <c r="J17" i="461"/>
  <c r="E15" i="461"/>
  <c r="F13" i="461"/>
  <c r="E13" i="461"/>
  <c r="I9" i="461"/>
  <c r="I11" i="461" s="1"/>
  <c r="E17" i="461" s="1"/>
  <c r="F6" i="461"/>
  <c r="E6" i="461"/>
  <c r="D119" i="460"/>
  <c r="D90" i="460" s="1"/>
  <c r="D91" i="460" s="1"/>
  <c r="F17" i="460"/>
  <c r="E17" i="460"/>
  <c r="E125" i="460"/>
  <c r="E127" i="460" s="1"/>
  <c r="D125" i="460"/>
  <c r="D127" i="460" s="1"/>
  <c r="C125" i="460"/>
  <c r="F124" i="460"/>
  <c r="C124" i="460"/>
  <c r="C127" i="460" s="1"/>
  <c r="F123" i="460"/>
  <c r="C123" i="460"/>
  <c r="L101" i="460"/>
  <c r="K101" i="460"/>
  <c r="J101" i="460"/>
  <c r="E101" i="460"/>
  <c r="D101" i="460"/>
  <c r="M100" i="460"/>
  <c r="E100" i="460"/>
  <c r="D100" i="460"/>
  <c r="M99" i="460"/>
  <c r="C99" i="460"/>
  <c r="M98" i="460"/>
  <c r="D95" i="460"/>
  <c r="D97" i="460" s="1"/>
  <c r="I86" i="460"/>
  <c r="J85" i="460" s="1"/>
  <c r="E83" i="460"/>
  <c r="F80" i="460"/>
  <c r="E80" i="460"/>
  <c r="I23" i="460"/>
  <c r="I25" i="460" s="1"/>
  <c r="E85" i="460" s="1"/>
  <c r="J21" i="460"/>
  <c r="E19" i="460"/>
  <c r="I9" i="460"/>
  <c r="I11" i="460" s="1"/>
  <c r="E21" i="460" s="1"/>
  <c r="F6" i="460"/>
  <c r="E6" i="460"/>
  <c r="F6" i="459"/>
  <c r="F7" i="459" s="1"/>
  <c r="E7" i="459"/>
  <c r="D91" i="459"/>
  <c r="D66" i="459" s="1"/>
  <c r="D67" i="459" s="1"/>
  <c r="E97" i="459"/>
  <c r="E99" i="459" s="1"/>
  <c r="D97" i="459"/>
  <c r="D99" i="459" s="1"/>
  <c r="C97" i="459"/>
  <c r="F96" i="459"/>
  <c r="C96" i="459"/>
  <c r="C99" i="459" s="1"/>
  <c r="F95" i="459"/>
  <c r="C95" i="459"/>
  <c r="L77" i="459"/>
  <c r="K77" i="459"/>
  <c r="J77" i="459"/>
  <c r="E77" i="459"/>
  <c r="D77" i="459"/>
  <c r="M76" i="459"/>
  <c r="E76" i="459"/>
  <c r="D76" i="459"/>
  <c r="M75" i="459"/>
  <c r="C75" i="459"/>
  <c r="M74" i="459"/>
  <c r="D71" i="459"/>
  <c r="D73" i="459" s="1"/>
  <c r="I62" i="459"/>
  <c r="J61" i="459" s="1"/>
  <c r="E59" i="459"/>
  <c r="F56" i="459"/>
  <c r="E56" i="459"/>
  <c r="I24" i="459"/>
  <c r="I26" i="459" s="1"/>
  <c r="E61" i="459" s="1"/>
  <c r="J22" i="459"/>
  <c r="E20" i="459"/>
  <c r="F18" i="459"/>
  <c r="E18" i="459"/>
  <c r="I10" i="459"/>
  <c r="I12" i="459" s="1"/>
  <c r="E22" i="459" s="1"/>
  <c r="E107" i="458"/>
  <c r="E109" i="458" s="1"/>
  <c r="D107" i="458"/>
  <c r="D109" i="458" s="1"/>
  <c r="C107" i="458"/>
  <c r="F106" i="458"/>
  <c r="C106" i="458"/>
  <c r="C109" i="458" s="1"/>
  <c r="F105" i="458"/>
  <c r="C105" i="458"/>
  <c r="D101" i="458"/>
  <c r="D78" i="458" s="1"/>
  <c r="D79" i="458" s="1"/>
  <c r="L89" i="458"/>
  <c r="K89" i="458"/>
  <c r="J89" i="458"/>
  <c r="E89" i="458"/>
  <c r="D89" i="458"/>
  <c r="M88" i="458"/>
  <c r="E88" i="458"/>
  <c r="D88" i="458"/>
  <c r="M87" i="458"/>
  <c r="C87" i="458"/>
  <c r="M86" i="458"/>
  <c r="D83" i="458"/>
  <c r="D85" i="458" s="1"/>
  <c r="I74" i="458"/>
  <c r="J73" i="458" s="1"/>
  <c r="E71" i="458"/>
  <c r="F68" i="458"/>
  <c r="E68" i="458"/>
  <c r="I28" i="458"/>
  <c r="I30" i="458" s="1"/>
  <c r="E73" i="458" s="1"/>
  <c r="J26" i="458"/>
  <c r="E24" i="458"/>
  <c r="F22" i="458"/>
  <c r="E22" i="458"/>
  <c r="I9" i="458"/>
  <c r="I11" i="458" s="1"/>
  <c r="E26" i="458" s="1"/>
  <c r="F6" i="458"/>
  <c r="E6" i="458"/>
  <c r="I73" i="457"/>
  <c r="I74" i="457" s="1"/>
  <c r="J73" i="457" s="1"/>
  <c r="D101" i="457"/>
  <c r="D78" i="457" s="1"/>
  <c r="D79" i="457" s="1"/>
  <c r="I9" i="457"/>
  <c r="I11" i="457" s="1"/>
  <c r="E25" i="457" s="1"/>
  <c r="E23" i="457"/>
  <c r="E107" i="457"/>
  <c r="E109" i="457" s="1"/>
  <c r="D107" i="457"/>
  <c r="D109" i="457" s="1"/>
  <c r="C107" i="457"/>
  <c r="F106" i="457"/>
  <c r="C106" i="457"/>
  <c r="C109" i="457" s="1"/>
  <c r="F105" i="457"/>
  <c r="C105" i="457"/>
  <c r="L89" i="457"/>
  <c r="K89" i="457"/>
  <c r="J89" i="457"/>
  <c r="E89" i="457"/>
  <c r="D89" i="457"/>
  <c r="M88" i="457"/>
  <c r="E88" i="457"/>
  <c r="D88" i="457"/>
  <c r="M87" i="457"/>
  <c r="C87" i="457"/>
  <c r="M86" i="457"/>
  <c r="D83" i="457"/>
  <c r="D85" i="457" s="1"/>
  <c r="E71" i="457"/>
  <c r="F68" i="457"/>
  <c r="E68" i="457"/>
  <c r="I27" i="457"/>
  <c r="I29" i="457" s="1"/>
  <c r="E73" i="457" s="1"/>
  <c r="J25" i="457"/>
  <c r="F21" i="457"/>
  <c r="E21" i="457"/>
  <c r="F6" i="457"/>
  <c r="E6" i="457"/>
  <c r="E88" i="456"/>
  <c r="E90" i="456" s="1"/>
  <c r="D88" i="456"/>
  <c r="D90" i="456" s="1"/>
  <c r="C88" i="456"/>
  <c r="F87" i="456"/>
  <c r="C87" i="456"/>
  <c r="C90" i="456" s="1"/>
  <c r="F86" i="456"/>
  <c r="C86" i="456"/>
  <c r="D82" i="456"/>
  <c r="D60" i="456" s="1"/>
  <c r="D61" i="456" s="1"/>
  <c r="L71" i="456"/>
  <c r="K71" i="456"/>
  <c r="J71" i="456"/>
  <c r="E71" i="456"/>
  <c r="D71" i="456"/>
  <c r="M70" i="456"/>
  <c r="E70" i="456"/>
  <c r="D70" i="456"/>
  <c r="M69" i="456"/>
  <c r="C69" i="456"/>
  <c r="M68" i="456"/>
  <c r="D65" i="456"/>
  <c r="D67" i="456" s="1"/>
  <c r="I56" i="456"/>
  <c r="J55" i="456" s="1"/>
  <c r="E53" i="456"/>
  <c r="F50" i="456"/>
  <c r="E50" i="456"/>
  <c r="I32" i="456"/>
  <c r="I34" i="456" s="1"/>
  <c r="E55" i="456" s="1"/>
  <c r="J30" i="456"/>
  <c r="F26" i="456"/>
  <c r="E26" i="456"/>
  <c r="I11" i="456"/>
  <c r="E30" i="456" s="1"/>
  <c r="F6" i="456"/>
  <c r="E6" i="456"/>
  <c r="E69" i="455"/>
  <c r="E71" i="455" s="1"/>
  <c r="D69" i="455"/>
  <c r="D71" i="455" s="1"/>
  <c r="C69" i="455"/>
  <c r="F68" i="455"/>
  <c r="C68" i="455"/>
  <c r="C71" i="455" s="1"/>
  <c r="F67" i="455"/>
  <c r="C67" i="455"/>
  <c r="D63" i="455"/>
  <c r="D41" i="455" s="1"/>
  <c r="D42" i="455" s="1"/>
  <c r="L52" i="455"/>
  <c r="K52" i="455"/>
  <c r="J52" i="455"/>
  <c r="E52" i="455"/>
  <c r="D52" i="455"/>
  <c r="M51" i="455"/>
  <c r="E51" i="455"/>
  <c r="D51" i="455"/>
  <c r="M50" i="455"/>
  <c r="C50" i="455"/>
  <c r="M49" i="455"/>
  <c r="D46" i="455"/>
  <c r="D48" i="455" s="1"/>
  <c r="I37" i="455"/>
  <c r="J36" i="455" s="1"/>
  <c r="E34" i="455"/>
  <c r="F31" i="455"/>
  <c r="E31" i="455"/>
  <c r="I21" i="455"/>
  <c r="I23" i="455" s="1"/>
  <c r="E36" i="455" s="1"/>
  <c r="J19" i="455"/>
  <c r="F15" i="455"/>
  <c r="E15" i="455"/>
  <c r="I11" i="455"/>
  <c r="E19" i="455" s="1"/>
  <c r="F6" i="455"/>
  <c r="E6" i="455"/>
  <c r="D85" i="454"/>
  <c r="D63" i="454" s="1"/>
  <c r="D64" i="454" s="1"/>
  <c r="F6" i="454"/>
  <c r="E91" i="454"/>
  <c r="E93" i="454" s="1"/>
  <c r="D91" i="454"/>
  <c r="D93" i="454" s="1"/>
  <c r="C91" i="454"/>
  <c r="F90" i="454"/>
  <c r="C90" i="454"/>
  <c r="C93" i="454" s="1"/>
  <c r="F89" i="454"/>
  <c r="C89" i="454"/>
  <c r="L74" i="454"/>
  <c r="K74" i="454"/>
  <c r="J74" i="454"/>
  <c r="E74" i="454"/>
  <c r="D74" i="454"/>
  <c r="M73" i="454"/>
  <c r="E73" i="454"/>
  <c r="D73" i="454"/>
  <c r="M72" i="454"/>
  <c r="C72" i="454"/>
  <c r="M71" i="454"/>
  <c r="D68" i="454"/>
  <c r="D70" i="454" s="1"/>
  <c r="I59" i="454"/>
  <c r="J58" i="454" s="1"/>
  <c r="E56" i="454"/>
  <c r="F53" i="454"/>
  <c r="E53" i="454"/>
  <c r="I33" i="454"/>
  <c r="I35" i="454" s="1"/>
  <c r="E58" i="454" s="1"/>
  <c r="J31" i="454"/>
  <c r="F27" i="454"/>
  <c r="E27" i="454"/>
  <c r="I11" i="454"/>
  <c r="E31" i="454" s="1"/>
  <c r="E6" i="454"/>
  <c r="E29" i="453"/>
  <c r="E67" i="453" s="1"/>
  <c r="F20" i="453"/>
  <c r="E9" i="453"/>
  <c r="F9" i="453"/>
  <c r="E102" i="453"/>
  <c r="E104" i="453" s="1"/>
  <c r="D102" i="453"/>
  <c r="D104" i="453" s="1"/>
  <c r="C102" i="453"/>
  <c r="F101" i="453"/>
  <c r="C101" i="453"/>
  <c r="C104" i="453" s="1"/>
  <c r="F100" i="453"/>
  <c r="C100" i="453"/>
  <c r="D96" i="453"/>
  <c r="D77" i="453" s="1"/>
  <c r="D78" i="453" s="1"/>
  <c r="L88" i="453"/>
  <c r="K88" i="453"/>
  <c r="J88" i="453"/>
  <c r="E88" i="453"/>
  <c r="D88" i="453"/>
  <c r="M87" i="453"/>
  <c r="E87" i="453"/>
  <c r="D87" i="453"/>
  <c r="M86" i="453"/>
  <c r="C86" i="453"/>
  <c r="M85" i="453"/>
  <c r="D82" i="453"/>
  <c r="D84" i="453" s="1"/>
  <c r="I73" i="453"/>
  <c r="J72" i="453" s="1"/>
  <c r="E70" i="453"/>
  <c r="F67" i="453"/>
  <c r="I26" i="453"/>
  <c r="I28" i="453" s="1"/>
  <c r="E72" i="453" s="1"/>
  <c r="J24" i="453"/>
  <c r="E20" i="453"/>
  <c r="I14" i="453"/>
  <c r="E24" i="453" s="1"/>
  <c r="E118" i="452"/>
  <c r="E120" i="452" s="1"/>
  <c r="D118" i="452"/>
  <c r="D120" i="452" s="1"/>
  <c r="C118" i="452"/>
  <c r="F117" i="452"/>
  <c r="C117" i="452"/>
  <c r="C120" i="452" s="1"/>
  <c r="F116" i="452"/>
  <c r="C116" i="452"/>
  <c r="D112" i="452"/>
  <c r="D93" i="452" s="1"/>
  <c r="D94" i="452" s="1"/>
  <c r="L104" i="452"/>
  <c r="K104" i="452"/>
  <c r="J104" i="452"/>
  <c r="E104" i="452"/>
  <c r="D104" i="452"/>
  <c r="M103" i="452"/>
  <c r="E103" i="452"/>
  <c r="D103" i="452"/>
  <c r="M102" i="452"/>
  <c r="C102" i="452"/>
  <c r="M101" i="452"/>
  <c r="D98" i="452"/>
  <c r="D100" i="452" s="1"/>
  <c r="I89" i="452"/>
  <c r="J88" i="452" s="1"/>
  <c r="E86" i="452"/>
  <c r="F83" i="452"/>
  <c r="E83" i="452"/>
  <c r="I34" i="452"/>
  <c r="I36" i="452" s="1"/>
  <c r="E88" i="452" s="1"/>
  <c r="J32" i="452"/>
  <c r="F28" i="452"/>
  <c r="E28" i="452"/>
  <c r="I11" i="452"/>
  <c r="E32" i="452" s="1"/>
  <c r="F6" i="452"/>
  <c r="E6" i="452"/>
  <c r="D68" i="451"/>
  <c r="D69" i="451" s="1"/>
  <c r="D71" i="451" s="1"/>
  <c r="D83" i="451"/>
  <c r="D64" i="451" s="1"/>
  <c r="D65" i="451" s="1"/>
  <c r="F6" i="451"/>
  <c r="E89" i="451"/>
  <c r="E91" i="451" s="1"/>
  <c r="D89" i="451"/>
  <c r="D91" i="451" s="1"/>
  <c r="C89" i="451"/>
  <c r="F88" i="451"/>
  <c r="C88" i="451"/>
  <c r="C91" i="451" s="1"/>
  <c r="F87" i="451"/>
  <c r="C87" i="451"/>
  <c r="L75" i="451"/>
  <c r="K75" i="451"/>
  <c r="J75" i="451"/>
  <c r="E75" i="451"/>
  <c r="D75" i="451"/>
  <c r="M74" i="451"/>
  <c r="E74" i="451"/>
  <c r="D74" i="451"/>
  <c r="M73" i="451"/>
  <c r="C73" i="451"/>
  <c r="M72" i="451"/>
  <c r="I60" i="451"/>
  <c r="J59" i="451" s="1"/>
  <c r="E57" i="451"/>
  <c r="F54" i="451"/>
  <c r="E54" i="451"/>
  <c r="I20" i="451"/>
  <c r="I22" i="451" s="1"/>
  <c r="E59" i="451" s="1"/>
  <c r="J18" i="451"/>
  <c r="F14" i="451"/>
  <c r="E14" i="451"/>
  <c r="I11" i="451"/>
  <c r="E18" i="451" s="1"/>
  <c r="E6" i="451"/>
  <c r="I11" i="450"/>
  <c r="I12" i="450" s="1"/>
  <c r="E25" i="450" s="1"/>
  <c r="E7" i="450"/>
  <c r="E124" i="450"/>
  <c r="E126" i="450" s="1"/>
  <c r="D124" i="450"/>
  <c r="D126" i="450" s="1"/>
  <c r="C124" i="450"/>
  <c r="F123" i="450"/>
  <c r="C123" i="450"/>
  <c r="C126" i="450" s="1"/>
  <c r="F122" i="450"/>
  <c r="C122" i="450"/>
  <c r="D118" i="450"/>
  <c r="D100" i="450" s="1"/>
  <c r="D101" i="450" s="1"/>
  <c r="L111" i="450"/>
  <c r="K111" i="450"/>
  <c r="J111" i="450"/>
  <c r="E111" i="450"/>
  <c r="D111" i="450"/>
  <c r="M110" i="450"/>
  <c r="E110" i="450"/>
  <c r="D110" i="450"/>
  <c r="M109" i="450"/>
  <c r="C109" i="450"/>
  <c r="M108" i="450"/>
  <c r="D105" i="450"/>
  <c r="D107" i="450" s="1"/>
  <c r="I96" i="450"/>
  <c r="J95" i="450" s="1"/>
  <c r="E93" i="450"/>
  <c r="F90" i="450"/>
  <c r="E90" i="450"/>
  <c r="I27" i="450"/>
  <c r="I29" i="450" s="1"/>
  <c r="E95" i="450" s="1"/>
  <c r="J25" i="450"/>
  <c r="F21" i="450"/>
  <c r="E21" i="450"/>
  <c r="F7" i="450"/>
  <c r="I37" i="449"/>
  <c r="I39" i="449" s="1"/>
  <c r="E65" i="449" s="1"/>
  <c r="E63" i="449"/>
  <c r="F7" i="449"/>
  <c r="E94" i="449"/>
  <c r="E96" i="449" s="1"/>
  <c r="D94" i="449"/>
  <c r="D96" i="449" s="1"/>
  <c r="C94" i="449"/>
  <c r="F93" i="449"/>
  <c r="C93" i="449"/>
  <c r="C96" i="449" s="1"/>
  <c r="F92" i="449"/>
  <c r="C92" i="449"/>
  <c r="D88" i="449"/>
  <c r="D70" i="449" s="1"/>
  <c r="D71" i="449" s="1"/>
  <c r="L81" i="449"/>
  <c r="K81" i="449"/>
  <c r="J81" i="449"/>
  <c r="E81" i="449"/>
  <c r="D81" i="449"/>
  <c r="M80" i="449"/>
  <c r="E80" i="449"/>
  <c r="D80" i="449"/>
  <c r="M79" i="449"/>
  <c r="C79" i="449"/>
  <c r="M78" i="449"/>
  <c r="D74" i="449"/>
  <c r="D75" i="449" s="1"/>
  <c r="D77" i="449" s="1"/>
  <c r="I66" i="449"/>
  <c r="J65" i="449" s="1"/>
  <c r="F60" i="449"/>
  <c r="E60" i="449"/>
  <c r="J35" i="449"/>
  <c r="F31" i="449"/>
  <c r="E31" i="449"/>
  <c r="I12" i="449"/>
  <c r="E35" i="449" s="1"/>
  <c r="E7" i="449"/>
  <c r="E91" i="448"/>
  <c r="E93" i="448" s="1"/>
  <c r="D91" i="448"/>
  <c r="D93" i="448" s="1"/>
  <c r="C91" i="448"/>
  <c r="F90" i="448"/>
  <c r="C90" i="448"/>
  <c r="C93" i="448" s="1"/>
  <c r="F89" i="448"/>
  <c r="C89" i="448"/>
  <c r="D85" i="448"/>
  <c r="D67" i="448" s="1"/>
  <c r="D68" i="448" s="1"/>
  <c r="L78" i="448"/>
  <c r="K78" i="448"/>
  <c r="J78" i="448"/>
  <c r="E78" i="448"/>
  <c r="D78" i="448"/>
  <c r="M77" i="448"/>
  <c r="E77" i="448"/>
  <c r="D77" i="448"/>
  <c r="M76" i="448"/>
  <c r="C76" i="448"/>
  <c r="M75" i="448"/>
  <c r="D71" i="448"/>
  <c r="D72" i="448" s="1"/>
  <c r="D74" i="448" s="1"/>
  <c r="I63" i="448"/>
  <c r="J62" i="448" s="1"/>
  <c r="E60" i="448"/>
  <c r="F57" i="448"/>
  <c r="E57" i="448"/>
  <c r="I30" i="448"/>
  <c r="I32" i="448" s="1"/>
  <c r="E62" i="448" s="1"/>
  <c r="J28" i="448"/>
  <c r="F24" i="448"/>
  <c r="E24" i="448"/>
  <c r="I11" i="448"/>
  <c r="E28" i="448" s="1"/>
  <c r="F6" i="448"/>
  <c r="E6" i="448"/>
  <c r="D89" i="447"/>
  <c r="D90" i="447" s="1"/>
  <c r="D92" i="447" s="1"/>
  <c r="I75" i="446"/>
  <c r="J74" i="446" s="1"/>
  <c r="I81" i="447"/>
  <c r="J80" i="447" s="1"/>
  <c r="D103" i="447"/>
  <c r="D85" i="447" s="1"/>
  <c r="D86" i="447" s="1"/>
  <c r="E22" i="447"/>
  <c r="F22" i="447"/>
  <c r="E7" i="447"/>
  <c r="E109" i="447"/>
  <c r="E111" i="447" s="1"/>
  <c r="D109" i="447"/>
  <c r="D111" i="447" s="1"/>
  <c r="C109" i="447"/>
  <c r="F108" i="447"/>
  <c r="C108" i="447"/>
  <c r="C111" i="447" s="1"/>
  <c r="F107" i="447"/>
  <c r="C107" i="447"/>
  <c r="L96" i="447"/>
  <c r="K96" i="447"/>
  <c r="J96" i="447"/>
  <c r="E96" i="447"/>
  <c r="D96" i="447"/>
  <c r="M95" i="447"/>
  <c r="E95" i="447"/>
  <c r="D95" i="447"/>
  <c r="M94" i="447"/>
  <c r="C94" i="447"/>
  <c r="M93" i="447"/>
  <c r="E78" i="447"/>
  <c r="F75" i="447"/>
  <c r="E75" i="447"/>
  <c r="I28" i="447"/>
  <c r="I30" i="447" s="1"/>
  <c r="E80" i="447" s="1"/>
  <c r="J26" i="447"/>
  <c r="I12" i="447"/>
  <c r="E26" i="447" s="1"/>
  <c r="F7" i="447"/>
  <c r="E101" i="446"/>
  <c r="E103" i="446" s="1"/>
  <c r="D101" i="446"/>
  <c r="D103" i="446" s="1"/>
  <c r="C101" i="446"/>
  <c r="F100" i="446"/>
  <c r="C100" i="446"/>
  <c r="C103" i="446" s="1"/>
  <c r="F99" i="446"/>
  <c r="C99" i="446"/>
  <c r="D95" i="446"/>
  <c r="D79" i="446" s="1"/>
  <c r="D80" i="446" s="1"/>
  <c r="L90" i="446"/>
  <c r="K90" i="446"/>
  <c r="J90" i="446"/>
  <c r="E90" i="446"/>
  <c r="D90" i="446"/>
  <c r="M89" i="446"/>
  <c r="E89" i="446"/>
  <c r="D89" i="446"/>
  <c r="M88" i="446"/>
  <c r="C88" i="446"/>
  <c r="M87" i="446"/>
  <c r="D84" i="446"/>
  <c r="D86" i="446" s="1"/>
  <c r="E72" i="446"/>
  <c r="F69" i="446"/>
  <c r="E69" i="446"/>
  <c r="I22" i="446"/>
  <c r="I24" i="446" s="1"/>
  <c r="E74" i="446" s="1"/>
  <c r="J20" i="446"/>
  <c r="F16" i="446"/>
  <c r="E16" i="446"/>
  <c r="I11" i="446"/>
  <c r="E20" i="446" s="1"/>
  <c r="F6" i="446"/>
  <c r="E6" i="446"/>
  <c r="E112" i="445"/>
  <c r="E114" i="445" s="1"/>
  <c r="D112" i="445"/>
  <c r="D114" i="445" s="1"/>
  <c r="C112" i="445"/>
  <c r="C110" i="445"/>
  <c r="F111" i="445"/>
  <c r="C111" i="445"/>
  <c r="C114" i="445" s="1"/>
  <c r="F110" i="445"/>
  <c r="D106" i="445"/>
  <c r="D90" i="445" s="1"/>
  <c r="D91" i="445" s="1"/>
  <c r="L101" i="445"/>
  <c r="K101" i="445"/>
  <c r="J101" i="445"/>
  <c r="E101" i="445"/>
  <c r="D101" i="445"/>
  <c r="M100" i="445"/>
  <c r="E100" i="445"/>
  <c r="D100" i="445"/>
  <c r="M99" i="445"/>
  <c r="C99" i="445"/>
  <c r="M98" i="445"/>
  <c r="D95" i="445"/>
  <c r="D97" i="445" s="1"/>
  <c r="I86" i="445"/>
  <c r="E83" i="445"/>
  <c r="F80" i="445"/>
  <c r="E80" i="445"/>
  <c r="I22" i="445"/>
  <c r="I24" i="445" s="1"/>
  <c r="E85" i="445" s="1"/>
  <c r="J20" i="445"/>
  <c r="F16" i="445"/>
  <c r="E16" i="445"/>
  <c r="I11" i="445"/>
  <c r="E20" i="445" s="1"/>
  <c r="F6" i="445"/>
  <c r="E6" i="445"/>
  <c r="D124" i="444"/>
  <c r="D63" i="444" s="1"/>
  <c r="D64" i="444" s="1"/>
  <c r="J19" i="444"/>
  <c r="I21" i="444"/>
  <c r="I23" i="444" s="1"/>
  <c r="E58" i="444" s="1"/>
  <c r="E56" i="444"/>
  <c r="E130" i="444"/>
  <c r="E132" i="444" s="1"/>
  <c r="D130" i="444"/>
  <c r="D132" i="444" s="1"/>
  <c r="C130" i="444"/>
  <c r="F129" i="444"/>
  <c r="C129" i="444"/>
  <c r="C132" i="444" s="1"/>
  <c r="F128" i="444"/>
  <c r="C128" i="444"/>
  <c r="L74" i="444"/>
  <c r="K74" i="444"/>
  <c r="J74" i="444"/>
  <c r="E74" i="444"/>
  <c r="D74" i="444"/>
  <c r="M73" i="444"/>
  <c r="E73" i="444"/>
  <c r="D73" i="444"/>
  <c r="M72" i="444"/>
  <c r="C72" i="444"/>
  <c r="M71" i="444"/>
  <c r="D68" i="444"/>
  <c r="D70" i="444" s="1"/>
  <c r="I59" i="444"/>
  <c r="J58" i="444" s="1"/>
  <c r="F53" i="444"/>
  <c r="E53" i="444"/>
  <c r="F15" i="444"/>
  <c r="E15" i="444"/>
  <c r="I11" i="444"/>
  <c r="E19" i="444" s="1"/>
  <c r="F6" i="444"/>
  <c r="E6" i="444"/>
  <c r="D113" i="443"/>
  <c r="D57" i="443" s="1"/>
  <c r="D58" i="443" s="1"/>
  <c r="E13" i="443"/>
  <c r="E16" i="443" s="1"/>
  <c r="E119" i="443"/>
  <c r="E121" i="443" s="1"/>
  <c r="D119" i="443"/>
  <c r="D121" i="443" s="1"/>
  <c r="C119" i="443"/>
  <c r="F118" i="443"/>
  <c r="C118" i="443"/>
  <c r="C121" i="443" s="1"/>
  <c r="F117" i="443"/>
  <c r="C117" i="443"/>
  <c r="L68" i="443"/>
  <c r="K68" i="443"/>
  <c r="J68" i="443"/>
  <c r="E68" i="443"/>
  <c r="D68" i="443"/>
  <c r="M67" i="443"/>
  <c r="E67" i="443"/>
  <c r="D67" i="443"/>
  <c r="M66" i="443"/>
  <c r="C66" i="443"/>
  <c r="M65" i="443"/>
  <c r="D62" i="443"/>
  <c r="D64" i="443" s="1"/>
  <c r="I53" i="443"/>
  <c r="J52" i="443" s="1"/>
  <c r="F47" i="443"/>
  <c r="E47" i="443"/>
  <c r="I24" i="443"/>
  <c r="E52" i="443" s="1"/>
  <c r="J20" i="443"/>
  <c r="F16" i="443"/>
  <c r="I11" i="443"/>
  <c r="E20" i="443" s="1"/>
  <c r="F6" i="443"/>
  <c r="E6" i="443"/>
  <c r="J29" i="442"/>
  <c r="I10" i="442"/>
  <c r="I11" i="442" s="1"/>
  <c r="E29" i="442" s="1"/>
  <c r="E25" i="442"/>
  <c r="F25" i="442"/>
  <c r="E156" i="442"/>
  <c r="E158" i="442" s="1"/>
  <c r="D156" i="442"/>
  <c r="D158" i="442" s="1"/>
  <c r="C156" i="442"/>
  <c r="F155" i="442"/>
  <c r="C155" i="442"/>
  <c r="C158" i="442" s="1"/>
  <c r="F154" i="442"/>
  <c r="C154" i="442"/>
  <c r="D150" i="442"/>
  <c r="D97" i="442" s="1"/>
  <c r="D98" i="442" s="1"/>
  <c r="L108" i="442"/>
  <c r="K108" i="442"/>
  <c r="J108" i="442"/>
  <c r="E108" i="442"/>
  <c r="D108" i="442"/>
  <c r="M107" i="442"/>
  <c r="E107" i="442"/>
  <c r="D107" i="442"/>
  <c r="M106" i="442"/>
  <c r="C106" i="442"/>
  <c r="M105" i="442"/>
  <c r="D102" i="442"/>
  <c r="D104" i="442" s="1"/>
  <c r="I93" i="442"/>
  <c r="J92" i="442" s="1"/>
  <c r="F87" i="442"/>
  <c r="E87" i="442"/>
  <c r="I33" i="442"/>
  <c r="E92" i="442" s="1"/>
  <c r="F6" i="442"/>
  <c r="E6" i="442"/>
  <c r="D121" i="441"/>
  <c r="D68" i="441" s="1"/>
  <c r="D69" i="441" s="1"/>
  <c r="E127" i="441"/>
  <c r="E129" i="441" s="1"/>
  <c r="D127" i="441"/>
  <c r="D129" i="441" s="1"/>
  <c r="C127" i="441"/>
  <c r="F126" i="441"/>
  <c r="C126" i="441"/>
  <c r="C129" i="441" s="1"/>
  <c r="F125" i="441"/>
  <c r="C125" i="441"/>
  <c r="L79" i="441"/>
  <c r="K79" i="441"/>
  <c r="J79" i="441"/>
  <c r="E79" i="441"/>
  <c r="D79" i="441"/>
  <c r="M78" i="441"/>
  <c r="E78" i="441"/>
  <c r="D78" i="441"/>
  <c r="M77" i="441"/>
  <c r="C77" i="441"/>
  <c r="M76" i="441"/>
  <c r="D73" i="441"/>
  <c r="D75" i="441" s="1"/>
  <c r="I64" i="441"/>
  <c r="J63" i="441" s="1"/>
  <c r="F58" i="441"/>
  <c r="E58" i="441"/>
  <c r="I32" i="441"/>
  <c r="E63" i="441" s="1"/>
  <c r="J28" i="441"/>
  <c r="F24" i="441"/>
  <c r="E24" i="441"/>
  <c r="I11" i="441"/>
  <c r="E28" i="441" s="1"/>
  <c r="F6" i="441"/>
  <c r="E6" i="441"/>
  <c r="I38" i="440"/>
  <c r="J34" i="440"/>
  <c r="F6" i="440"/>
  <c r="E147" i="440"/>
  <c r="E149" i="440" s="1"/>
  <c r="D147" i="440"/>
  <c r="D149" i="440" s="1"/>
  <c r="C147" i="440"/>
  <c r="F146" i="440"/>
  <c r="C146" i="440"/>
  <c r="C149" i="440" s="1"/>
  <c r="F145" i="440"/>
  <c r="C145" i="440"/>
  <c r="D141" i="440"/>
  <c r="D91" i="440" s="1"/>
  <c r="D92" i="440" s="1"/>
  <c r="L102" i="440"/>
  <c r="K102" i="440"/>
  <c r="J102" i="440"/>
  <c r="E102" i="440"/>
  <c r="D102" i="440"/>
  <c r="M101" i="440"/>
  <c r="E101" i="440"/>
  <c r="D101" i="440"/>
  <c r="M100" i="440"/>
  <c r="C100" i="440"/>
  <c r="M99" i="440"/>
  <c r="D96" i="440"/>
  <c r="D98" i="440" s="1"/>
  <c r="I87" i="440"/>
  <c r="J86" i="440" s="1"/>
  <c r="F81" i="440"/>
  <c r="E81" i="440"/>
  <c r="F30" i="440"/>
  <c r="E30" i="440"/>
  <c r="I11" i="440"/>
  <c r="E34" i="440" s="1"/>
  <c r="E6" i="440"/>
  <c r="D149" i="439"/>
  <c r="D99" i="439" s="1"/>
  <c r="D100" i="439" s="1"/>
  <c r="E155" i="439"/>
  <c r="E157" i="439" s="1"/>
  <c r="D155" i="439"/>
  <c r="D157" i="439" s="1"/>
  <c r="C155" i="439"/>
  <c r="F154" i="439"/>
  <c r="C154" i="439"/>
  <c r="C157" i="439" s="1"/>
  <c r="F153" i="439"/>
  <c r="C153" i="439"/>
  <c r="L110" i="439"/>
  <c r="K110" i="439"/>
  <c r="J110" i="439"/>
  <c r="E110" i="439"/>
  <c r="D110" i="439"/>
  <c r="M109" i="439"/>
  <c r="E109" i="439"/>
  <c r="D109" i="439"/>
  <c r="M108" i="439"/>
  <c r="C108" i="439"/>
  <c r="M107" i="439"/>
  <c r="D104" i="439"/>
  <c r="D106" i="439" s="1"/>
  <c r="I95" i="439"/>
  <c r="J94" i="439" s="1"/>
  <c r="F89" i="439"/>
  <c r="E89" i="439"/>
  <c r="I45" i="439"/>
  <c r="F37" i="439"/>
  <c r="E37" i="439"/>
  <c r="I12" i="439"/>
  <c r="E41" i="439" s="1"/>
  <c r="F7" i="439"/>
  <c r="E7" i="439"/>
  <c r="D133" i="438"/>
  <c r="E76" i="471" l="1"/>
  <c r="E38" i="466"/>
  <c r="J23" i="471"/>
  <c r="J22" i="470"/>
  <c r="E77" i="470"/>
  <c r="E68" i="469"/>
  <c r="E20" i="469"/>
  <c r="J19" i="468"/>
  <c r="E46" i="468"/>
  <c r="E60" i="467"/>
  <c r="J16" i="467"/>
  <c r="E19" i="465"/>
  <c r="E50" i="464"/>
  <c r="E20" i="466"/>
  <c r="E67" i="465"/>
  <c r="J18" i="464"/>
  <c r="E69" i="463"/>
  <c r="E17" i="463"/>
  <c r="F88" i="458"/>
  <c r="G88" i="458" s="1"/>
  <c r="E72" i="462"/>
  <c r="E15" i="462"/>
  <c r="F89" i="458"/>
  <c r="G89" i="458" s="1"/>
  <c r="E8" i="459"/>
  <c r="F79" i="461"/>
  <c r="G79" i="461" s="1"/>
  <c r="E7" i="461"/>
  <c r="E60" i="461"/>
  <c r="K59" i="461" s="1"/>
  <c r="M80" i="461"/>
  <c r="F105" i="461"/>
  <c r="F107" i="461" s="1"/>
  <c r="F80" i="461"/>
  <c r="G80" i="461" s="1"/>
  <c r="E14" i="461"/>
  <c r="E16" i="461" s="1"/>
  <c r="E7" i="460"/>
  <c r="F100" i="460"/>
  <c r="G100" i="460" s="1"/>
  <c r="F125" i="460"/>
  <c r="F127" i="460" s="1"/>
  <c r="E81" i="460"/>
  <c r="K80" i="460" s="1"/>
  <c r="M101" i="460"/>
  <c r="E18" i="460"/>
  <c r="E20" i="460" s="1"/>
  <c r="F101" i="460"/>
  <c r="G101" i="460" s="1"/>
  <c r="F76" i="459"/>
  <c r="G76" i="459" s="1"/>
  <c r="M77" i="459"/>
  <c r="F97" i="459"/>
  <c r="F99" i="459" s="1"/>
  <c r="E57" i="459"/>
  <c r="K56" i="459" s="1"/>
  <c r="F77" i="459"/>
  <c r="G77" i="459" s="1"/>
  <c r="E19" i="459"/>
  <c r="J20" i="459" s="1"/>
  <c r="F107" i="458"/>
  <c r="F109" i="458" s="1"/>
  <c r="F88" i="457"/>
  <c r="G88" i="457" s="1"/>
  <c r="E7" i="458"/>
  <c r="E69" i="458"/>
  <c r="K68" i="458" s="1"/>
  <c r="M89" i="458"/>
  <c r="E23" i="458"/>
  <c r="J24" i="458" s="1"/>
  <c r="F107" i="457"/>
  <c r="F109" i="457" s="1"/>
  <c r="F89" i="457"/>
  <c r="G89" i="457" s="1"/>
  <c r="E69" i="457"/>
  <c r="K68" i="457" s="1"/>
  <c r="E7" i="457"/>
  <c r="M89" i="457"/>
  <c r="E22" i="457"/>
  <c r="J23" i="457" s="1"/>
  <c r="E72" i="457"/>
  <c r="F70" i="456"/>
  <c r="G70" i="456" s="1"/>
  <c r="F88" i="456"/>
  <c r="F90" i="456" s="1"/>
  <c r="E51" i="456"/>
  <c r="K50" i="456" s="1"/>
  <c r="E7" i="456"/>
  <c r="M71" i="456"/>
  <c r="F71" i="456"/>
  <c r="G71" i="456" s="1"/>
  <c r="E27" i="456"/>
  <c r="E29" i="456" s="1"/>
  <c r="F73" i="454"/>
  <c r="G73" i="454" s="1"/>
  <c r="F69" i="455"/>
  <c r="F71" i="455" s="1"/>
  <c r="F51" i="455"/>
  <c r="G51" i="455" s="1"/>
  <c r="E7" i="455"/>
  <c r="M52" i="455"/>
  <c r="E32" i="455"/>
  <c r="K31" i="455" s="1"/>
  <c r="F52" i="455"/>
  <c r="G52" i="455" s="1"/>
  <c r="E16" i="455"/>
  <c r="E18" i="455" s="1"/>
  <c r="E54" i="454"/>
  <c r="K53" i="454" s="1"/>
  <c r="E28" i="454"/>
  <c r="E30" i="454" s="1"/>
  <c r="M74" i="454"/>
  <c r="F91" i="454"/>
  <c r="F93" i="454" s="1"/>
  <c r="E7" i="454"/>
  <c r="F74" i="454"/>
  <c r="G74" i="454" s="1"/>
  <c r="E68" i="453"/>
  <c r="K67" i="453" s="1"/>
  <c r="F87" i="453"/>
  <c r="G87" i="453" s="1"/>
  <c r="F102" i="453"/>
  <c r="F104" i="453" s="1"/>
  <c r="E10" i="453"/>
  <c r="E21" i="453"/>
  <c r="J22" i="453" s="1"/>
  <c r="M88" i="453"/>
  <c r="F88" i="453"/>
  <c r="G88" i="453" s="1"/>
  <c r="F104" i="452"/>
  <c r="G104" i="452" s="1"/>
  <c r="E7" i="452"/>
  <c r="E84" i="452"/>
  <c r="K83" i="452" s="1"/>
  <c r="F103" i="452"/>
  <c r="G103" i="452" s="1"/>
  <c r="M104" i="452"/>
  <c r="F118" i="452"/>
  <c r="F120" i="452" s="1"/>
  <c r="E29" i="452"/>
  <c r="E31" i="452" s="1"/>
  <c r="F89" i="451"/>
  <c r="F91" i="451" s="1"/>
  <c r="E55" i="451"/>
  <c r="K54" i="451" s="1"/>
  <c r="F74" i="451"/>
  <c r="G74" i="451" s="1"/>
  <c r="E7" i="451"/>
  <c r="E15" i="451"/>
  <c r="E17" i="451" s="1"/>
  <c r="M75" i="451"/>
  <c r="F75" i="451"/>
  <c r="G75" i="451" s="1"/>
  <c r="E8" i="449"/>
  <c r="F81" i="449"/>
  <c r="G81" i="449" s="1"/>
  <c r="F110" i="450"/>
  <c r="G110" i="450" s="1"/>
  <c r="E8" i="450"/>
  <c r="F124" i="450"/>
  <c r="F126" i="450" s="1"/>
  <c r="F111" i="450"/>
  <c r="G111" i="450" s="1"/>
  <c r="E91" i="450"/>
  <c r="K90" i="450" s="1"/>
  <c r="M111" i="450"/>
  <c r="E22" i="450"/>
  <c r="J23" i="450" s="1"/>
  <c r="F90" i="446"/>
  <c r="G90" i="446" s="1"/>
  <c r="E61" i="449"/>
  <c r="K60" i="449" s="1"/>
  <c r="F80" i="449"/>
  <c r="G80" i="449" s="1"/>
  <c r="E32" i="449"/>
  <c r="J33" i="449" s="1"/>
  <c r="M81" i="449"/>
  <c r="F94" i="449"/>
  <c r="F96" i="449" s="1"/>
  <c r="F77" i="448"/>
  <c r="G77" i="448" s="1"/>
  <c r="E58" i="448"/>
  <c r="K57" i="448" s="1"/>
  <c r="E7" i="448"/>
  <c r="M78" i="448"/>
  <c r="F91" i="448"/>
  <c r="F93" i="448" s="1"/>
  <c r="E25" i="448"/>
  <c r="J26" i="448" s="1"/>
  <c r="F78" i="448"/>
  <c r="G78" i="448" s="1"/>
  <c r="E26" i="442"/>
  <c r="J27" i="442" s="1"/>
  <c r="E7" i="446"/>
  <c r="E23" i="447"/>
  <c r="E25" i="447" s="1"/>
  <c r="F95" i="447"/>
  <c r="G95" i="447" s="1"/>
  <c r="E8" i="447"/>
  <c r="E76" i="447"/>
  <c r="K75" i="447" s="1"/>
  <c r="M96" i="447"/>
  <c r="F109" i="447"/>
  <c r="F111" i="447" s="1"/>
  <c r="F96" i="447"/>
  <c r="G96" i="447" s="1"/>
  <c r="F89" i="446"/>
  <c r="G89" i="446" s="1"/>
  <c r="F101" i="446"/>
  <c r="F103" i="446" s="1"/>
  <c r="E70" i="446"/>
  <c r="K69" i="446" s="1"/>
  <c r="M90" i="446"/>
  <c r="E17" i="446"/>
  <c r="E19" i="446" s="1"/>
  <c r="F100" i="445"/>
  <c r="G100" i="445" s="1"/>
  <c r="E81" i="445"/>
  <c r="K80" i="445" s="1"/>
  <c r="E7" i="445"/>
  <c r="M101" i="445"/>
  <c r="F112" i="445"/>
  <c r="F114" i="445" s="1"/>
  <c r="F101" i="445"/>
  <c r="G101" i="445" s="1"/>
  <c r="E17" i="445"/>
  <c r="E19" i="445" s="1"/>
  <c r="E7" i="444"/>
  <c r="F73" i="444"/>
  <c r="G73" i="444" s="1"/>
  <c r="F74" i="444"/>
  <c r="G74" i="444" s="1"/>
  <c r="E54" i="444"/>
  <c r="K53" i="444" s="1"/>
  <c r="M74" i="444"/>
  <c r="F130" i="444"/>
  <c r="F132" i="444" s="1"/>
  <c r="E16" i="444"/>
  <c r="E18" i="444" s="1"/>
  <c r="F68" i="443"/>
  <c r="G68" i="443" s="1"/>
  <c r="F119" i="443"/>
  <c r="F121" i="443" s="1"/>
  <c r="F67" i="443"/>
  <c r="G67" i="443" s="1"/>
  <c r="E7" i="443"/>
  <c r="M68" i="443"/>
  <c r="E17" i="443"/>
  <c r="E19" i="443" s="1"/>
  <c r="E48" i="443"/>
  <c r="E51" i="443" s="1"/>
  <c r="E86" i="440"/>
  <c r="F102" i="440"/>
  <c r="G102" i="440" s="1"/>
  <c r="F108" i="442"/>
  <c r="G108" i="442" s="1"/>
  <c r="E7" i="442"/>
  <c r="F107" i="442"/>
  <c r="G107" i="442" s="1"/>
  <c r="F156" i="442"/>
  <c r="F158" i="442" s="1"/>
  <c r="E88" i="442"/>
  <c r="K87" i="442" s="1"/>
  <c r="M108" i="442"/>
  <c r="F78" i="441"/>
  <c r="G78" i="441" s="1"/>
  <c r="E7" i="441"/>
  <c r="E25" i="441"/>
  <c r="E27" i="441" s="1"/>
  <c r="F127" i="441"/>
  <c r="F129" i="441" s="1"/>
  <c r="E59" i="441"/>
  <c r="E62" i="441" s="1"/>
  <c r="M79" i="441"/>
  <c r="F79" i="441"/>
  <c r="G79" i="441" s="1"/>
  <c r="E31" i="440"/>
  <c r="J32" i="440" s="1"/>
  <c r="E82" i="440"/>
  <c r="K81" i="440" s="1"/>
  <c r="F101" i="440"/>
  <c r="G101" i="440" s="1"/>
  <c r="F147" i="440"/>
  <c r="F149" i="440" s="1"/>
  <c r="E7" i="440"/>
  <c r="M102" i="440"/>
  <c r="F109" i="439"/>
  <c r="G109" i="439" s="1"/>
  <c r="F110" i="439"/>
  <c r="G110" i="439" s="1"/>
  <c r="M110" i="439"/>
  <c r="F155" i="439"/>
  <c r="F157" i="439" s="1"/>
  <c r="E90" i="439"/>
  <c r="K89" i="439" s="1"/>
  <c r="E38" i="439"/>
  <c r="E40" i="439" s="1"/>
  <c r="E8" i="439"/>
  <c r="F72" i="438"/>
  <c r="F74" i="438" s="1"/>
  <c r="F18" i="438"/>
  <c r="F44" i="438" s="1"/>
  <c r="E16" i="438"/>
  <c r="E13" i="438"/>
  <c r="F7" i="438"/>
  <c r="E139" i="438"/>
  <c r="E141" i="438" s="1"/>
  <c r="D139" i="438"/>
  <c r="D141" i="438" s="1"/>
  <c r="C139" i="438"/>
  <c r="F138" i="438"/>
  <c r="C138" i="438"/>
  <c r="C141" i="438" s="1"/>
  <c r="F137" i="438"/>
  <c r="C137" i="438"/>
  <c r="D84" i="438"/>
  <c r="D85" i="438" s="1"/>
  <c r="L95" i="438"/>
  <c r="K95" i="438"/>
  <c r="J95" i="438"/>
  <c r="E95" i="438"/>
  <c r="D95" i="438"/>
  <c r="M94" i="438"/>
  <c r="E94" i="438"/>
  <c r="D94" i="438"/>
  <c r="M93" i="438"/>
  <c r="C93" i="438"/>
  <c r="M92" i="438"/>
  <c r="D89" i="438"/>
  <c r="D91" i="438" s="1"/>
  <c r="I80" i="438"/>
  <c r="J79" i="438" s="1"/>
  <c r="E74" i="438"/>
  <c r="I52" i="438"/>
  <c r="E79" i="438" s="1"/>
  <c r="I12" i="438"/>
  <c r="E48" i="438" s="1"/>
  <c r="E7" i="438"/>
  <c r="E13" i="437"/>
  <c r="E15" i="437" s="1"/>
  <c r="F15" i="437"/>
  <c r="E112" i="437"/>
  <c r="E114" i="437" s="1"/>
  <c r="D112" i="437"/>
  <c r="D114" i="437" s="1"/>
  <c r="C112" i="437"/>
  <c r="F111" i="437"/>
  <c r="C111" i="437"/>
  <c r="C114" i="437" s="1"/>
  <c r="F110" i="437"/>
  <c r="C110" i="437"/>
  <c r="D106" i="437"/>
  <c r="D61" i="437" s="1"/>
  <c r="D62" i="437" s="1"/>
  <c r="L72" i="437"/>
  <c r="K72" i="437"/>
  <c r="J72" i="437"/>
  <c r="E72" i="437"/>
  <c r="D72" i="437"/>
  <c r="M71" i="437"/>
  <c r="E71" i="437"/>
  <c r="D71" i="437"/>
  <c r="M70" i="437"/>
  <c r="C70" i="437"/>
  <c r="M69" i="437"/>
  <c r="D66" i="437"/>
  <c r="D68" i="437" s="1"/>
  <c r="I57" i="437"/>
  <c r="J56" i="437" s="1"/>
  <c r="E51" i="437"/>
  <c r="F51" i="437"/>
  <c r="I23" i="437"/>
  <c r="E56" i="437" s="1"/>
  <c r="I12" i="437"/>
  <c r="E19" i="437" s="1"/>
  <c r="F7" i="437"/>
  <c r="E7" i="437"/>
  <c r="E8" i="436"/>
  <c r="F8" i="436"/>
  <c r="F46" i="436"/>
  <c r="F58" i="436" s="1"/>
  <c r="D113" i="436"/>
  <c r="D68" i="436" s="1"/>
  <c r="D69" i="436" s="1"/>
  <c r="E119" i="436"/>
  <c r="E121" i="436" s="1"/>
  <c r="D119" i="436"/>
  <c r="D121" i="436" s="1"/>
  <c r="C119" i="436"/>
  <c r="F118" i="436"/>
  <c r="C118" i="436"/>
  <c r="C121" i="436" s="1"/>
  <c r="F117" i="436"/>
  <c r="C117" i="436"/>
  <c r="L79" i="436"/>
  <c r="K79" i="436"/>
  <c r="J79" i="436"/>
  <c r="E79" i="436"/>
  <c r="D79" i="436"/>
  <c r="M78" i="436"/>
  <c r="E78" i="436"/>
  <c r="D78" i="436"/>
  <c r="M77" i="436"/>
  <c r="C77" i="436"/>
  <c r="M76" i="436"/>
  <c r="D73" i="436"/>
  <c r="D75" i="436" s="1"/>
  <c r="I63" i="436"/>
  <c r="I64" i="436" s="1"/>
  <c r="J63" i="436" s="1"/>
  <c r="E58" i="436"/>
  <c r="I22" i="436"/>
  <c r="E63" i="436" s="1"/>
  <c r="F14" i="436"/>
  <c r="E14" i="436"/>
  <c r="I13" i="436"/>
  <c r="E18" i="436" s="1"/>
  <c r="F7" i="435"/>
  <c r="E25" i="435"/>
  <c r="F25" i="435"/>
  <c r="E102" i="435"/>
  <c r="E104" i="435" s="1"/>
  <c r="D102" i="435"/>
  <c r="D104" i="435" s="1"/>
  <c r="C102" i="435"/>
  <c r="F101" i="435"/>
  <c r="C101" i="435"/>
  <c r="C104" i="435" s="1"/>
  <c r="F100" i="435"/>
  <c r="C100" i="435"/>
  <c r="D96" i="435"/>
  <c r="D53" i="435" s="1"/>
  <c r="D54" i="435" s="1"/>
  <c r="L64" i="435"/>
  <c r="K64" i="435"/>
  <c r="J64" i="435"/>
  <c r="E64" i="435"/>
  <c r="D64" i="435"/>
  <c r="M63" i="435"/>
  <c r="E63" i="435"/>
  <c r="D63" i="435"/>
  <c r="M62" i="435"/>
  <c r="C62" i="435"/>
  <c r="M61" i="435"/>
  <c r="D58" i="435"/>
  <c r="D60" i="435" s="1"/>
  <c r="I48" i="435"/>
  <c r="I49" i="435" s="1"/>
  <c r="J48" i="435" s="1"/>
  <c r="F43" i="435"/>
  <c r="E43" i="435"/>
  <c r="I33" i="435"/>
  <c r="I12" i="435"/>
  <c r="E29" i="435" s="1"/>
  <c r="E7" i="435"/>
  <c r="D148" i="434"/>
  <c r="D105" i="434" s="1"/>
  <c r="D106" i="434" s="1"/>
  <c r="E154" i="434"/>
  <c r="E156" i="434" s="1"/>
  <c r="D154" i="434"/>
  <c r="D156" i="434" s="1"/>
  <c r="C154" i="434"/>
  <c r="F153" i="434"/>
  <c r="C153" i="434"/>
  <c r="C156" i="434" s="1"/>
  <c r="F152" i="434"/>
  <c r="C152" i="434"/>
  <c r="L116" i="434"/>
  <c r="K116" i="434"/>
  <c r="J116" i="434"/>
  <c r="E116" i="434"/>
  <c r="D116" i="434"/>
  <c r="M115" i="434"/>
  <c r="E115" i="434"/>
  <c r="D115" i="434"/>
  <c r="M114" i="434"/>
  <c r="C114" i="434"/>
  <c r="M113" i="434"/>
  <c r="D110" i="434"/>
  <c r="D112" i="434" s="1"/>
  <c r="I100" i="434"/>
  <c r="I101" i="434" s="1"/>
  <c r="J100" i="434" s="1"/>
  <c r="F95" i="434"/>
  <c r="E95" i="434"/>
  <c r="I46" i="434"/>
  <c r="E100" i="434" s="1"/>
  <c r="F38" i="434"/>
  <c r="E38" i="434"/>
  <c r="I11" i="434"/>
  <c r="E42" i="434" s="1"/>
  <c r="F6" i="434"/>
  <c r="E6" i="434"/>
  <c r="E79" i="393"/>
  <c r="I56" i="433"/>
  <c r="I57" i="433" s="1"/>
  <c r="J56" i="433" s="1"/>
  <c r="D102" i="433"/>
  <c r="D61" i="433" s="1"/>
  <c r="D62" i="433" s="1"/>
  <c r="E108" i="433"/>
  <c r="E110" i="433" s="1"/>
  <c r="D108" i="433"/>
  <c r="D110" i="433" s="1"/>
  <c r="C108" i="433"/>
  <c r="F107" i="433"/>
  <c r="C107" i="433"/>
  <c r="C110" i="433" s="1"/>
  <c r="F106" i="433"/>
  <c r="C106" i="433"/>
  <c r="L72" i="433"/>
  <c r="K72" i="433"/>
  <c r="J72" i="433"/>
  <c r="E72" i="433"/>
  <c r="D72" i="433"/>
  <c r="M71" i="433"/>
  <c r="E71" i="433"/>
  <c r="D71" i="433"/>
  <c r="M70" i="433"/>
  <c r="C70" i="433"/>
  <c r="M69" i="433"/>
  <c r="D66" i="433"/>
  <c r="D68" i="433" s="1"/>
  <c r="F51" i="433"/>
  <c r="E51" i="433"/>
  <c r="I21" i="433"/>
  <c r="F13" i="433"/>
  <c r="E13" i="433"/>
  <c r="I11" i="433"/>
  <c r="E17" i="433" s="1"/>
  <c r="F6" i="433"/>
  <c r="E6" i="433"/>
  <c r="D99" i="432"/>
  <c r="D62" i="432" s="1"/>
  <c r="D63" i="432" s="1"/>
  <c r="E105" i="432"/>
  <c r="E107" i="432" s="1"/>
  <c r="D105" i="432"/>
  <c r="D107" i="432" s="1"/>
  <c r="C105" i="432"/>
  <c r="F104" i="432"/>
  <c r="C104" i="432"/>
  <c r="C107" i="432" s="1"/>
  <c r="F103" i="432"/>
  <c r="C103" i="432"/>
  <c r="L73" i="432"/>
  <c r="K73" i="432"/>
  <c r="J73" i="432"/>
  <c r="E73" i="432"/>
  <c r="D73" i="432"/>
  <c r="M72" i="432"/>
  <c r="E72" i="432"/>
  <c r="D72" i="432"/>
  <c r="M71" i="432"/>
  <c r="C71" i="432"/>
  <c r="M70" i="432"/>
  <c r="D67" i="432"/>
  <c r="D69" i="432" s="1"/>
  <c r="I58" i="432"/>
  <c r="J57" i="432" s="1"/>
  <c r="F53" i="432"/>
  <c r="E53" i="432"/>
  <c r="I28" i="432"/>
  <c r="E57" i="432" s="1"/>
  <c r="F20" i="432"/>
  <c r="E20" i="432"/>
  <c r="I12" i="432"/>
  <c r="E24" i="432" s="1"/>
  <c r="F7" i="432"/>
  <c r="E7" i="432"/>
  <c r="D112" i="431"/>
  <c r="D77" i="431" s="1"/>
  <c r="D78" i="431" s="1"/>
  <c r="F21" i="431"/>
  <c r="E14" i="431"/>
  <c r="E21" i="431" s="1"/>
  <c r="E118" i="431"/>
  <c r="E120" i="431" s="1"/>
  <c r="D118" i="431"/>
  <c r="D120" i="431" s="1"/>
  <c r="C118" i="431"/>
  <c r="F117" i="431"/>
  <c r="C117" i="431"/>
  <c r="C120" i="431" s="1"/>
  <c r="F116" i="431"/>
  <c r="C116" i="431"/>
  <c r="L88" i="431"/>
  <c r="K88" i="431"/>
  <c r="J88" i="431"/>
  <c r="M87" i="431"/>
  <c r="M86" i="431"/>
  <c r="M85" i="431"/>
  <c r="E88" i="431"/>
  <c r="D88" i="431"/>
  <c r="E87" i="431"/>
  <c r="D87" i="431"/>
  <c r="C86" i="431"/>
  <c r="D82" i="431"/>
  <c r="D84" i="431" s="1"/>
  <c r="I73" i="431"/>
  <c r="J72" i="431" s="1"/>
  <c r="F68" i="431"/>
  <c r="E68" i="431"/>
  <c r="I29" i="431"/>
  <c r="E72" i="431" s="1"/>
  <c r="I12" i="431"/>
  <c r="E25" i="431" s="1"/>
  <c r="F7" i="431"/>
  <c r="E7" i="431"/>
  <c r="E91" i="430"/>
  <c r="E93" i="430" s="1"/>
  <c r="D91" i="430"/>
  <c r="D93" i="430" s="1"/>
  <c r="C91" i="430"/>
  <c r="F90" i="430"/>
  <c r="C90" i="430"/>
  <c r="C93" i="430" s="1"/>
  <c r="F89" i="430"/>
  <c r="C89" i="430"/>
  <c r="D85" i="430"/>
  <c r="D53" i="430" s="1"/>
  <c r="D54" i="430" s="1"/>
  <c r="L69" i="430"/>
  <c r="K69" i="430"/>
  <c r="J69" i="430"/>
  <c r="M68" i="430"/>
  <c r="M67" i="430"/>
  <c r="M66" i="430"/>
  <c r="E64" i="430"/>
  <c r="D64" i="430"/>
  <c r="E63" i="430"/>
  <c r="D63" i="430"/>
  <c r="C62" i="430"/>
  <c r="D58" i="430"/>
  <c r="D60" i="430" s="1"/>
  <c r="I46" i="430"/>
  <c r="I47" i="430" s="1"/>
  <c r="J46" i="430" s="1"/>
  <c r="F44" i="430"/>
  <c r="E44" i="430"/>
  <c r="I40" i="430"/>
  <c r="E48" i="430" s="1"/>
  <c r="F15" i="430"/>
  <c r="E15" i="430"/>
  <c r="I14" i="430"/>
  <c r="E19" i="430" s="1"/>
  <c r="F7" i="430"/>
  <c r="E7" i="430"/>
  <c r="I64" i="429"/>
  <c r="I65" i="429" s="1"/>
  <c r="J64" i="429" s="1"/>
  <c r="D105" i="429"/>
  <c r="D73" i="429" s="1"/>
  <c r="D74" i="429" s="1"/>
  <c r="E64" i="429"/>
  <c r="E8" i="429"/>
  <c r="F8" i="429"/>
  <c r="E111" i="429"/>
  <c r="E113" i="429" s="1"/>
  <c r="D111" i="429"/>
  <c r="D113" i="429" s="1"/>
  <c r="C111" i="429"/>
  <c r="F110" i="429"/>
  <c r="C110" i="429"/>
  <c r="C113" i="429" s="1"/>
  <c r="F109" i="429"/>
  <c r="C109" i="429"/>
  <c r="L87" i="429"/>
  <c r="K87" i="429"/>
  <c r="J87" i="429"/>
  <c r="M86" i="429"/>
  <c r="M85" i="429"/>
  <c r="E84" i="429"/>
  <c r="D84" i="429"/>
  <c r="M84" i="429"/>
  <c r="E83" i="429"/>
  <c r="D83" i="429"/>
  <c r="C82" i="429"/>
  <c r="D78" i="429"/>
  <c r="D80" i="429" s="1"/>
  <c r="I58" i="429"/>
  <c r="E68" i="429" s="1"/>
  <c r="F17" i="429"/>
  <c r="E17" i="429"/>
  <c r="I15" i="429"/>
  <c r="E21" i="429" s="1"/>
  <c r="D102" i="428"/>
  <c r="D71" i="428" s="1"/>
  <c r="D72" i="428" s="1"/>
  <c r="I14" i="428"/>
  <c r="E20" i="428" s="1"/>
  <c r="F7" i="428"/>
  <c r="E108" i="428"/>
  <c r="E110" i="428" s="1"/>
  <c r="D108" i="428"/>
  <c r="D110" i="428" s="1"/>
  <c r="C108" i="428"/>
  <c r="F107" i="428"/>
  <c r="C107" i="428"/>
  <c r="C110" i="428" s="1"/>
  <c r="F106" i="428"/>
  <c r="C106" i="428"/>
  <c r="L84" i="428"/>
  <c r="K84" i="428"/>
  <c r="J84" i="428"/>
  <c r="M83" i="428"/>
  <c r="M82" i="428"/>
  <c r="E82" i="428"/>
  <c r="D82" i="428"/>
  <c r="M81" i="428"/>
  <c r="E81" i="428"/>
  <c r="D81" i="428"/>
  <c r="C80" i="428"/>
  <c r="D76" i="428"/>
  <c r="D78" i="428" s="1"/>
  <c r="I62" i="428"/>
  <c r="J61" i="428" s="1"/>
  <c r="F62" i="428"/>
  <c r="E62" i="428"/>
  <c r="I55" i="428"/>
  <c r="E66" i="428" s="1"/>
  <c r="F16" i="428"/>
  <c r="E16" i="428"/>
  <c r="E7" i="428"/>
  <c r="I17" i="427"/>
  <c r="I38" i="427"/>
  <c r="J15" i="461" l="1"/>
  <c r="E63" i="461"/>
  <c r="E84" i="460"/>
  <c r="J19" i="460"/>
  <c r="E21" i="459"/>
  <c r="E60" i="459"/>
  <c r="E72" i="458"/>
  <c r="E25" i="458"/>
  <c r="E24" i="457"/>
  <c r="J28" i="456"/>
  <c r="E54" i="456"/>
  <c r="E35" i="455"/>
  <c r="J17" i="455"/>
  <c r="E57" i="454"/>
  <c r="J29" i="454"/>
  <c r="J16" i="451"/>
  <c r="E87" i="452"/>
  <c r="E23" i="453"/>
  <c r="E71" i="453"/>
  <c r="J30" i="452"/>
  <c r="E58" i="451"/>
  <c r="E94" i="450"/>
  <c r="E28" i="442"/>
  <c r="E24" i="450"/>
  <c r="E61" i="448"/>
  <c r="E64" i="449"/>
  <c r="E34" i="449"/>
  <c r="E27" i="448"/>
  <c r="J24" i="447"/>
  <c r="E79" i="447"/>
  <c r="E73" i="446"/>
  <c r="J18" i="446"/>
  <c r="E84" i="445"/>
  <c r="J18" i="445"/>
  <c r="E57" i="444"/>
  <c r="J17" i="444"/>
  <c r="J18" i="443"/>
  <c r="K47" i="443"/>
  <c r="E91" i="442"/>
  <c r="E33" i="440"/>
  <c r="J26" i="441"/>
  <c r="K58" i="441"/>
  <c r="E85" i="440"/>
  <c r="E93" i="439"/>
  <c r="J39" i="439"/>
  <c r="E44" i="438"/>
  <c r="E45" i="438" s="1"/>
  <c r="J46" i="438" s="1"/>
  <c r="F139" i="438"/>
  <c r="F141" i="438" s="1"/>
  <c r="F94" i="438"/>
  <c r="G94" i="438" s="1"/>
  <c r="E75" i="438"/>
  <c r="K74" i="438" s="1"/>
  <c r="E8" i="438"/>
  <c r="F95" i="438"/>
  <c r="G95" i="438" s="1"/>
  <c r="M95" i="438"/>
  <c r="F71" i="437"/>
  <c r="G71" i="437" s="1"/>
  <c r="E52" i="437"/>
  <c r="E55" i="437" s="1"/>
  <c r="E16" i="437"/>
  <c r="J17" i="437" s="1"/>
  <c r="M72" i="437"/>
  <c r="F112" i="437"/>
  <c r="F114" i="437" s="1"/>
  <c r="F72" i="437"/>
  <c r="G72" i="437" s="1"/>
  <c r="E8" i="437"/>
  <c r="E8" i="435"/>
  <c r="F78" i="436"/>
  <c r="G78" i="436" s="1"/>
  <c r="E26" i="435"/>
  <c r="E28" i="435" s="1"/>
  <c r="E9" i="436"/>
  <c r="E15" i="436"/>
  <c r="E17" i="436" s="1"/>
  <c r="F79" i="436"/>
  <c r="G79" i="436" s="1"/>
  <c r="E59" i="436"/>
  <c r="K58" i="436" s="1"/>
  <c r="M79" i="436"/>
  <c r="F119" i="436"/>
  <c r="F121" i="436" s="1"/>
  <c r="F63" i="435"/>
  <c r="G63" i="435" s="1"/>
  <c r="F102" i="435"/>
  <c r="F104" i="435" s="1"/>
  <c r="E44" i="435"/>
  <c r="E47" i="435" s="1"/>
  <c r="M64" i="435"/>
  <c r="F64" i="435"/>
  <c r="G64" i="435" s="1"/>
  <c r="F116" i="434"/>
  <c r="G116" i="434" s="1"/>
  <c r="F154" i="434"/>
  <c r="F156" i="434" s="1"/>
  <c r="E7" i="434"/>
  <c r="F115" i="434"/>
  <c r="G115" i="434" s="1"/>
  <c r="E96" i="434"/>
  <c r="E99" i="434" s="1"/>
  <c r="M116" i="434"/>
  <c r="E39" i="434"/>
  <c r="J40" i="434" s="1"/>
  <c r="F71" i="433"/>
  <c r="G71" i="433" s="1"/>
  <c r="E52" i="433"/>
  <c r="E55" i="433" s="1"/>
  <c r="F72" i="433"/>
  <c r="G72" i="433" s="1"/>
  <c r="E14" i="433"/>
  <c r="F108" i="433"/>
  <c r="F110" i="433" s="1"/>
  <c r="E7" i="433"/>
  <c r="M72" i="433"/>
  <c r="F72" i="432"/>
  <c r="G72" i="432" s="1"/>
  <c r="F105" i="432"/>
  <c r="F107" i="432" s="1"/>
  <c r="M73" i="432"/>
  <c r="F73" i="432"/>
  <c r="G73" i="432" s="1"/>
  <c r="E54" i="432"/>
  <c r="K53" i="432" s="1"/>
  <c r="E21" i="432"/>
  <c r="J22" i="432" s="1"/>
  <c r="E8" i="432"/>
  <c r="E69" i="431"/>
  <c r="K68" i="431" s="1"/>
  <c r="E8" i="431"/>
  <c r="E22" i="431"/>
  <c r="E24" i="431" s="1"/>
  <c r="F118" i="431"/>
  <c r="F120" i="431" s="1"/>
  <c r="F88" i="431"/>
  <c r="G88" i="431" s="1"/>
  <c r="F87" i="431"/>
  <c r="G87" i="431" s="1"/>
  <c r="M88" i="431"/>
  <c r="F64" i="430"/>
  <c r="G64" i="430" s="1"/>
  <c r="E45" i="430"/>
  <c r="K42" i="430" s="1"/>
  <c r="E8" i="430"/>
  <c r="E16" i="430"/>
  <c r="E18" i="430" s="1"/>
  <c r="F63" i="430"/>
  <c r="G63" i="430" s="1"/>
  <c r="M69" i="430"/>
  <c r="F91" i="430"/>
  <c r="F93" i="430" s="1"/>
  <c r="M87" i="429"/>
  <c r="E18" i="429"/>
  <c r="J19" i="429" s="1"/>
  <c r="F83" i="429"/>
  <c r="G83" i="429" s="1"/>
  <c r="F84" i="429"/>
  <c r="G84" i="429" s="1"/>
  <c r="F111" i="429"/>
  <c r="F113" i="429" s="1"/>
  <c r="E9" i="429"/>
  <c r="F81" i="428"/>
  <c r="G81" i="428" s="1"/>
  <c r="F82" i="428"/>
  <c r="G82" i="428" s="1"/>
  <c r="E63" i="428"/>
  <c r="E65" i="428" s="1"/>
  <c r="M84" i="428"/>
  <c r="F108" i="428"/>
  <c r="F110" i="428" s="1"/>
  <c r="E8" i="428"/>
  <c r="E17" i="428"/>
  <c r="E19" i="428" s="1"/>
  <c r="E87" i="427"/>
  <c r="E89" i="427" s="1"/>
  <c r="D87" i="427"/>
  <c r="D89" i="427" s="1"/>
  <c r="C87" i="427"/>
  <c r="F86" i="427"/>
  <c r="C86" i="427"/>
  <c r="C89" i="427" s="1"/>
  <c r="F85" i="427"/>
  <c r="C85" i="427"/>
  <c r="D81" i="427"/>
  <c r="D54" i="427" s="1"/>
  <c r="D55" i="427" s="1"/>
  <c r="E65" i="427"/>
  <c r="D65" i="427"/>
  <c r="E64" i="427"/>
  <c r="D64" i="427"/>
  <c r="L67" i="427"/>
  <c r="K67" i="427"/>
  <c r="J67" i="427"/>
  <c r="C63" i="427"/>
  <c r="M66" i="427"/>
  <c r="M65" i="427"/>
  <c r="M64" i="427"/>
  <c r="D59" i="427"/>
  <c r="D61" i="427" s="1"/>
  <c r="I45" i="427"/>
  <c r="J44" i="427" s="1"/>
  <c r="E45" i="427"/>
  <c r="E49" i="427"/>
  <c r="F45" i="427"/>
  <c r="F20" i="427"/>
  <c r="E24" i="427"/>
  <c r="E20" i="427"/>
  <c r="F6" i="427"/>
  <c r="E6" i="427"/>
  <c r="I27" i="426"/>
  <c r="E34" i="426" s="1"/>
  <c r="I89" i="426"/>
  <c r="I104" i="426"/>
  <c r="E110" i="426" s="1"/>
  <c r="E47" i="438" l="1"/>
  <c r="E78" i="438"/>
  <c r="K51" i="437"/>
  <c r="E18" i="437"/>
  <c r="J16" i="436"/>
  <c r="K16" i="436" s="1"/>
  <c r="E16" i="433"/>
  <c r="J15" i="433"/>
  <c r="E62" i="436"/>
  <c r="J27" i="435"/>
  <c r="K27" i="435" s="1"/>
  <c r="K43" i="435"/>
  <c r="E41" i="434"/>
  <c r="K95" i="434"/>
  <c r="K51" i="433"/>
  <c r="E56" i="432"/>
  <c r="E23" i="432"/>
  <c r="E71" i="431"/>
  <c r="J23" i="431"/>
  <c r="E47" i="430"/>
  <c r="J17" i="430"/>
  <c r="E20" i="429"/>
  <c r="K57" i="428"/>
  <c r="J18" i="428"/>
  <c r="F87" i="427"/>
  <c r="F89" i="427" s="1"/>
  <c r="E46" i="427"/>
  <c r="K40" i="427" s="1"/>
  <c r="E21" i="427"/>
  <c r="E23" i="427" s="1"/>
  <c r="M67" i="427"/>
  <c r="F64" i="427"/>
  <c r="G64" i="427" s="1"/>
  <c r="F65" i="427"/>
  <c r="G65" i="427" s="1"/>
  <c r="E7" i="427"/>
  <c r="D120" i="426"/>
  <c r="D122" i="426" s="1"/>
  <c r="D142" i="426"/>
  <c r="E48" i="427" l="1"/>
  <c r="J22" i="427"/>
  <c r="E15" i="426"/>
  <c r="E30" i="426" s="1"/>
  <c r="F79" i="426"/>
  <c r="F106" i="426" s="1"/>
  <c r="E148" i="426"/>
  <c r="E150" i="426" s="1"/>
  <c r="D148" i="426"/>
  <c r="D150" i="426" s="1"/>
  <c r="C148" i="426"/>
  <c r="F147" i="426"/>
  <c r="C147" i="426"/>
  <c r="C150" i="426" s="1"/>
  <c r="F146" i="426"/>
  <c r="C146" i="426"/>
  <c r="D115" i="426"/>
  <c r="D116" i="426" s="1"/>
  <c r="E126" i="426"/>
  <c r="D126" i="426"/>
  <c r="E125" i="426"/>
  <c r="D125" i="426"/>
  <c r="L124" i="426"/>
  <c r="K124" i="426"/>
  <c r="J124" i="426"/>
  <c r="C124" i="426"/>
  <c r="M123" i="426"/>
  <c r="M122" i="426"/>
  <c r="M121" i="426"/>
  <c r="I111" i="426"/>
  <c r="J110" i="426" s="1"/>
  <c r="E106" i="426"/>
  <c r="F30" i="426"/>
  <c r="F9" i="426"/>
  <c r="E9" i="426"/>
  <c r="D83" i="425"/>
  <c r="F148" i="426" l="1"/>
  <c r="F150" i="426" s="1"/>
  <c r="M124" i="426"/>
  <c r="F125" i="426"/>
  <c r="G125" i="426" s="1"/>
  <c r="E31" i="426"/>
  <c r="I32" i="426" s="1"/>
  <c r="E10" i="426"/>
  <c r="E107" i="426"/>
  <c r="E109" i="426" s="1"/>
  <c r="F126" i="426"/>
  <c r="G126" i="426" s="1"/>
  <c r="F18" i="425"/>
  <c r="K106" i="426" l="1"/>
  <c r="E33" i="426"/>
  <c r="F8" i="425"/>
  <c r="E89" i="425"/>
  <c r="E91" i="425" s="1"/>
  <c r="D89" i="425"/>
  <c r="D91" i="425" s="1"/>
  <c r="C89" i="425"/>
  <c r="F88" i="425"/>
  <c r="C88" i="425"/>
  <c r="C91" i="425" s="1"/>
  <c r="F87" i="425"/>
  <c r="C87" i="425"/>
  <c r="E71" i="425"/>
  <c r="D71" i="425"/>
  <c r="E70" i="425"/>
  <c r="D70" i="425"/>
  <c r="L69" i="425"/>
  <c r="K69" i="425"/>
  <c r="J69" i="425"/>
  <c r="C69" i="425"/>
  <c r="M68" i="425"/>
  <c r="M67" i="425"/>
  <c r="M66" i="425"/>
  <c r="D65" i="425"/>
  <c r="D67" i="425" s="1"/>
  <c r="D60" i="425"/>
  <c r="D61" i="425" s="1"/>
  <c r="I56" i="425"/>
  <c r="J55" i="425" s="1"/>
  <c r="E51" i="425"/>
  <c r="E18" i="425"/>
  <c r="E8" i="425"/>
  <c r="D98" i="424"/>
  <c r="F64" i="424"/>
  <c r="F83" i="424"/>
  <c r="D115" i="424"/>
  <c r="F51" i="425" l="1"/>
  <c r="E52" i="425" s="1"/>
  <c r="E54" i="425" s="1"/>
  <c r="F70" i="425"/>
  <c r="G70" i="425" s="1"/>
  <c r="E19" i="425"/>
  <c r="E21" i="425" s="1"/>
  <c r="M69" i="425"/>
  <c r="F71" i="425"/>
  <c r="G71" i="425" s="1"/>
  <c r="F89" i="425"/>
  <c r="F91" i="425" s="1"/>
  <c r="E9" i="425"/>
  <c r="F25" i="424"/>
  <c r="E25" i="424"/>
  <c r="F119" i="424"/>
  <c r="F120" i="424"/>
  <c r="E121" i="424"/>
  <c r="E123" i="424" s="1"/>
  <c r="D121" i="424"/>
  <c r="D123" i="424" s="1"/>
  <c r="C120" i="424"/>
  <c r="C123" i="424" s="1"/>
  <c r="C121" i="424"/>
  <c r="C119" i="424"/>
  <c r="D105" i="424"/>
  <c r="E105" i="424"/>
  <c r="D104" i="424"/>
  <c r="E104" i="424"/>
  <c r="M100" i="424"/>
  <c r="M101" i="424"/>
  <c r="M102" i="424"/>
  <c r="L103" i="424"/>
  <c r="K103" i="424"/>
  <c r="J103" i="424"/>
  <c r="C103" i="424"/>
  <c r="D99" i="424"/>
  <c r="D101" i="424" s="1"/>
  <c r="D94" i="424"/>
  <c r="D95" i="424" s="1"/>
  <c r="I90" i="424"/>
  <c r="J89" i="424" s="1"/>
  <c r="F85" i="424"/>
  <c r="E85" i="424"/>
  <c r="E7" i="424"/>
  <c r="F7" i="424"/>
  <c r="D96" i="423"/>
  <c r="D97" i="423" s="1"/>
  <c r="D99" i="423" s="1"/>
  <c r="D110" i="423"/>
  <c r="D92" i="423" s="1"/>
  <c r="D93" i="423" s="1"/>
  <c r="F114" i="423"/>
  <c r="F115" i="423"/>
  <c r="D116" i="423"/>
  <c r="D118" i="423" s="1"/>
  <c r="E116" i="423"/>
  <c r="E118" i="423" s="1"/>
  <c r="C116" i="423"/>
  <c r="C114" i="423"/>
  <c r="C115" i="423"/>
  <c r="C118" i="423" s="1"/>
  <c r="E103" i="423"/>
  <c r="D103" i="423"/>
  <c r="E102" i="423"/>
  <c r="D102" i="423"/>
  <c r="L101" i="423"/>
  <c r="K101" i="423"/>
  <c r="J101" i="423"/>
  <c r="C101" i="423"/>
  <c r="M100" i="423"/>
  <c r="M99" i="423"/>
  <c r="M98" i="423"/>
  <c r="I88" i="423"/>
  <c r="J87" i="423" s="1"/>
  <c r="F83" i="423"/>
  <c r="E83" i="423"/>
  <c r="F14" i="423"/>
  <c r="E14" i="423"/>
  <c r="F7" i="423"/>
  <c r="E7" i="423"/>
  <c r="D67" i="422"/>
  <c r="D50" i="422" s="1"/>
  <c r="D51" i="422" s="1"/>
  <c r="F18" i="422"/>
  <c r="E73" i="422"/>
  <c r="E75" i="422" s="1"/>
  <c r="D73" i="422"/>
  <c r="D75" i="422" s="1"/>
  <c r="C73" i="422"/>
  <c r="F72" i="422"/>
  <c r="C72" i="422"/>
  <c r="C75" i="422" s="1"/>
  <c r="F71" i="422"/>
  <c r="C71" i="422"/>
  <c r="E61" i="422"/>
  <c r="D61" i="422"/>
  <c r="E60" i="422"/>
  <c r="D60" i="422"/>
  <c r="L59" i="422"/>
  <c r="K59" i="422"/>
  <c r="J59" i="422"/>
  <c r="C59" i="422"/>
  <c r="M58" i="422"/>
  <c r="M57" i="422"/>
  <c r="M56" i="422"/>
  <c r="D55" i="422"/>
  <c r="D57" i="422" s="1"/>
  <c r="I46" i="422"/>
  <c r="J45" i="422" s="1"/>
  <c r="E41" i="422"/>
  <c r="F41" i="422"/>
  <c r="E18" i="422"/>
  <c r="F7" i="422"/>
  <c r="E7" i="422"/>
  <c r="F58" i="421"/>
  <c r="F73" i="421" s="1"/>
  <c r="E8" i="421"/>
  <c r="E104" i="421"/>
  <c r="E106" i="421" s="1"/>
  <c r="D104" i="421"/>
  <c r="D106" i="421" s="1"/>
  <c r="C104" i="421"/>
  <c r="F103" i="421"/>
  <c r="C103" i="421"/>
  <c r="C106" i="421" s="1"/>
  <c r="F102" i="421"/>
  <c r="C102" i="421"/>
  <c r="D98" i="421"/>
  <c r="D82" i="421" s="1"/>
  <c r="D83" i="421" s="1"/>
  <c r="E93" i="421"/>
  <c r="D93" i="421"/>
  <c r="E92" i="421"/>
  <c r="D92" i="421"/>
  <c r="L91" i="421"/>
  <c r="K91" i="421"/>
  <c r="J91" i="421"/>
  <c r="C91" i="421"/>
  <c r="M90" i="421"/>
  <c r="M89" i="421"/>
  <c r="M88" i="421"/>
  <c r="D87" i="421"/>
  <c r="D89" i="421" s="1"/>
  <c r="I78" i="421"/>
  <c r="J77" i="421" s="1"/>
  <c r="E73" i="421"/>
  <c r="F32" i="421"/>
  <c r="E32" i="421"/>
  <c r="F8" i="421"/>
  <c r="F22" i="420"/>
  <c r="F67" i="420" s="1"/>
  <c r="D80" i="420"/>
  <c r="D81" i="420" s="1"/>
  <c r="D83" i="420" s="1"/>
  <c r="E15" i="420"/>
  <c r="D121" i="420"/>
  <c r="D76" i="420" s="1"/>
  <c r="D77" i="420" s="1"/>
  <c r="E67" i="420"/>
  <c r="E127" i="420"/>
  <c r="E129" i="420" s="1"/>
  <c r="D127" i="420"/>
  <c r="D129" i="420" s="1"/>
  <c r="C127" i="420"/>
  <c r="F126" i="420"/>
  <c r="C126" i="420"/>
  <c r="C129" i="420" s="1"/>
  <c r="F125" i="420"/>
  <c r="C125" i="420"/>
  <c r="E87" i="420"/>
  <c r="D87" i="420"/>
  <c r="E86" i="420"/>
  <c r="D86" i="420"/>
  <c r="L85" i="420"/>
  <c r="K85" i="420"/>
  <c r="J85" i="420"/>
  <c r="C85" i="420"/>
  <c r="M84" i="420"/>
  <c r="M83" i="420"/>
  <c r="M82" i="420"/>
  <c r="I72" i="420"/>
  <c r="J71" i="420" s="1"/>
  <c r="F15" i="420"/>
  <c r="F6" i="420"/>
  <c r="E6" i="420"/>
  <c r="D90" i="419"/>
  <c r="D91" i="419" s="1"/>
  <c r="D93" i="419" s="1"/>
  <c r="E136" i="419"/>
  <c r="E138" i="419" s="1"/>
  <c r="D136" i="419"/>
  <c r="D138" i="419" s="1"/>
  <c r="C136" i="419"/>
  <c r="F135" i="419"/>
  <c r="C135" i="419"/>
  <c r="C138" i="419" s="1"/>
  <c r="F134" i="419"/>
  <c r="C134" i="419"/>
  <c r="D130" i="419"/>
  <c r="D86" i="419" s="1"/>
  <c r="D87" i="419" s="1"/>
  <c r="E97" i="419"/>
  <c r="E96" i="419"/>
  <c r="D96" i="419"/>
  <c r="K95" i="419"/>
  <c r="J95" i="419"/>
  <c r="C95" i="419"/>
  <c r="D97" i="419"/>
  <c r="M93" i="419"/>
  <c r="M92" i="419"/>
  <c r="I82" i="419"/>
  <c r="J81" i="419" s="1"/>
  <c r="F77" i="419"/>
  <c r="E77" i="419"/>
  <c r="F13" i="419"/>
  <c r="E13" i="419"/>
  <c r="F6" i="419"/>
  <c r="E6" i="419"/>
  <c r="D145" i="418"/>
  <c r="D103" i="418" s="1"/>
  <c r="D104" i="418" s="1"/>
  <c r="M94" i="419"/>
  <c r="L95" i="419"/>
  <c r="I30" i="417"/>
  <c r="E15" i="417"/>
  <c r="E151" i="418"/>
  <c r="E153" i="418" s="1"/>
  <c r="D151" i="418"/>
  <c r="D153" i="418" s="1"/>
  <c r="C151" i="418"/>
  <c r="F150" i="418"/>
  <c r="C150" i="418"/>
  <c r="C153" i="418" s="1"/>
  <c r="F149" i="418"/>
  <c r="C149" i="418"/>
  <c r="E114" i="418"/>
  <c r="E113" i="418"/>
  <c r="D113" i="418"/>
  <c r="K112" i="418"/>
  <c r="J112" i="418"/>
  <c r="C112" i="418"/>
  <c r="L111" i="418"/>
  <c r="M110" i="418"/>
  <c r="M109" i="418"/>
  <c r="D108" i="418"/>
  <c r="D110" i="418" s="1"/>
  <c r="I99" i="418"/>
  <c r="J98" i="418" s="1"/>
  <c r="F94" i="418"/>
  <c r="E94" i="418"/>
  <c r="F30" i="418"/>
  <c r="E30" i="418"/>
  <c r="F6" i="418"/>
  <c r="E6" i="418"/>
  <c r="D78" i="417"/>
  <c r="D39" i="417" s="1"/>
  <c r="D40" i="417" s="1"/>
  <c r="E84" i="417"/>
  <c r="E86" i="417" s="1"/>
  <c r="D84" i="417"/>
  <c r="D86" i="417" s="1"/>
  <c r="C84" i="417"/>
  <c r="F83" i="417"/>
  <c r="C83" i="417"/>
  <c r="C86" i="417" s="1"/>
  <c r="F82" i="417"/>
  <c r="C82" i="417"/>
  <c r="E50" i="417"/>
  <c r="E49" i="417"/>
  <c r="D49" i="417"/>
  <c r="K48" i="417"/>
  <c r="J48" i="417"/>
  <c r="C48" i="417"/>
  <c r="L47" i="417"/>
  <c r="M46" i="417"/>
  <c r="M45" i="417"/>
  <c r="D44" i="417"/>
  <c r="D46" i="417" s="1"/>
  <c r="I35" i="417"/>
  <c r="J34" i="417" s="1"/>
  <c r="F30" i="417"/>
  <c r="E30" i="417"/>
  <c r="F15" i="417"/>
  <c r="F6" i="417"/>
  <c r="E6" i="417"/>
  <c r="I62" i="416"/>
  <c r="I65" i="416" s="1"/>
  <c r="J64" i="416" s="1"/>
  <c r="E24" i="416"/>
  <c r="E113" i="416"/>
  <c r="E115" i="416" s="1"/>
  <c r="D113" i="416"/>
  <c r="D115" i="416" s="1"/>
  <c r="C113" i="416"/>
  <c r="F112" i="416"/>
  <c r="C112" i="416"/>
  <c r="C115" i="416" s="1"/>
  <c r="F111" i="416"/>
  <c r="C111" i="416"/>
  <c r="D107" i="416"/>
  <c r="D69" i="416" s="1"/>
  <c r="D70" i="416" s="1"/>
  <c r="E80" i="416"/>
  <c r="E79" i="416"/>
  <c r="D79" i="416"/>
  <c r="K78" i="416"/>
  <c r="J78" i="416"/>
  <c r="C78" i="416"/>
  <c r="L77" i="416"/>
  <c r="M77" i="416" s="1"/>
  <c r="M76" i="416"/>
  <c r="M75" i="416"/>
  <c r="D74" i="416"/>
  <c r="D76" i="416" s="1"/>
  <c r="F60" i="416"/>
  <c r="E60" i="416"/>
  <c r="F24" i="416"/>
  <c r="F6" i="416"/>
  <c r="E6" i="416"/>
  <c r="D94" i="415"/>
  <c r="D56" i="415" s="1"/>
  <c r="D57" i="415" s="1"/>
  <c r="E100" i="415"/>
  <c r="E102" i="415" s="1"/>
  <c r="D100" i="415"/>
  <c r="D102" i="415" s="1"/>
  <c r="C100" i="415"/>
  <c r="F99" i="415"/>
  <c r="C99" i="415"/>
  <c r="C102" i="415" s="1"/>
  <c r="F98" i="415"/>
  <c r="C98" i="415"/>
  <c r="E67" i="415"/>
  <c r="E66" i="415"/>
  <c r="D66" i="415"/>
  <c r="K65" i="415"/>
  <c r="J65" i="415"/>
  <c r="C65" i="415"/>
  <c r="L64" i="415"/>
  <c r="L65" i="415" s="1"/>
  <c r="M63" i="415"/>
  <c r="M62" i="415"/>
  <c r="D61" i="415"/>
  <c r="D63" i="415" s="1"/>
  <c r="I52" i="415"/>
  <c r="J51" i="415" s="1"/>
  <c r="F47" i="415"/>
  <c r="E47" i="415"/>
  <c r="F21" i="415"/>
  <c r="E21" i="415"/>
  <c r="F6" i="415"/>
  <c r="E6" i="415"/>
  <c r="D100" i="414"/>
  <c r="D65" i="414" s="1"/>
  <c r="D66" i="414" s="1"/>
  <c r="F51" i="414"/>
  <c r="F56" i="414" s="1"/>
  <c r="E106" i="414"/>
  <c r="E108" i="414" s="1"/>
  <c r="D106" i="414"/>
  <c r="D108" i="414" s="1"/>
  <c r="C106" i="414"/>
  <c r="F105" i="414"/>
  <c r="C105" i="414"/>
  <c r="C108" i="414" s="1"/>
  <c r="F104" i="414"/>
  <c r="C104" i="414"/>
  <c r="E75" i="414"/>
  <c r="D75" i="414"/>
  <c r="J74" i="414"/>
  <c r="C74" i="414"/>
  <c r="L73" i="414"/>
  <c r="D76" i="414" s="1"/>
  <c r="K74" i="414"/>
  <c r="M72" i="414"/>
  <c r="M71" i="414"/>
  <c r="D69" i="414"/>
  <c r="D70" i="414" s="1"/>
  <c r="D72" i="414" s="1"/>
  <c r="I61" i="414"/>
  <c r="J60" i="414" s="1"/>
  <c r="E56" i="414"/>
  <c r="F29" i="414"/>
  <c r="E29" i="414"/>
  <c r="F6" i="414"/>
  <c r="E6" i="414"/>
  <c r="D97" i="413"/>
  <c r="D98" i="413" s="1"/>
  <c r="D100" i="413" s="1"/>
  <c r="L101" i="413"/>
  <c r="K101" i="413"/>
  <c r="K102" i="413" s="1"/>
  <c r="D127" i="413"/>
  <c r="D93" i="413" s="1"/>
  <c r="D94" i="413" s="1"/>
  <c r="F81" i="413"/>
  <c r="F84" i="413" s="1"/>
  <c r="E133" i="413"/>
  <c r="E135" i="413" s="1"/>
  <c r="D133" i="413"/>
  <c r="D135" i="413" s="1"/>
  <c r="C133" i="413"/>
  <c r="F132" i="413"/>
  <c r="C132" i="413"/>
  <c r="C135" i="413" s="1"/>
  <c r="F131" i="413"/>
  <c r="C131" i="413"/>
  <c r="E103" i="413"/>
  <c r="D103" i="413"/>
  <c r="J102" i="413"/>
  <c r="C102" i="413"/>
  <c r="M100" i="413"/>
  <c r="M99" i="413"/>
  <c r="I89" i="413"/>
  <c r="J88" i="413" s="1"/>
  <c r="E84" i="413"/>
  <c r="F23" i="413"/>
  <c r="E23" i="413"/>
  <c r="F6" i="413"/>
  <c r="E6" i="413"/>
  <c r="K97" i="412"/>
  <c r="E100" i="412" s="1"/>
  <c r="D120" i="412"/>
  <c r="D89" i="412" s="1"/>
  <c r="D90" i="412" s="1"/>
  <c r="E49" i="412"/>
  <c r="F49" i="412"/>
  <c r="F80" i="412"/>
  <c r="E80" i="412"/>
  <c r="E126" i="412"/>
  <c r="E128" i="412" s="1"/>
  <c r="D126" i="412"/>
  <c r="D128" i="412" s="1"/>
  <c r="C126" i="412"/>
  <c r="F125" i="412"/>
  <c r="C125" i="412"/>
  <c r="C128" i="412" s="1"/>
  <c r="F124" i="412"/>
  <c r="C124" i="412"/>
  <c r="E99" i="412"/>
  <c r="D99" i="412"/>
  <c r="J98" i="412"/>
  <c r="C98" i="412"/>
  <c r="L97" i="412"/>
  <c r="L98" i="412" s="1"/>
  <c r="M96" i="412"/>
  <c r="M95" i="412"/>
  <c r="D93" i="412"/>
  <c r="D94" i="412" s="1"/>
  <c r="D96" i="412" s="1"/>
  <c r="I85" i="412"/>
  <c r="J84" i="412" s="1"/>
  <c r="E7" i="412"/>
  <c r="F7" i="412"/>
  <c r="F6" i="411"/>
  <c r="F7" i="411" s="1"/>
  <c r="E7" i="411"/>
  <c r="D88" i="411"/>
  <c r="D89" i="411" s="1"/>
  <c r="D91" i="411" s="1"/>
  <c r="L92" i="411"/>
  <c r="L93" i="411" s="1"/>
  <c r="K92" i="411"/>
  <c r="E95" i="411" s="1"/>
  <c r="F63" i="411"/>
  <c r="F75" i="411" s="1"/>
  <c r="E119" i="411"/>
  <c r="E121" i="411" s="1"/>
  <c r="D119" i="411"/>
  <c r="D121" i="411" s="1"/>
  <c r="C119" i="411"/>
  <c r="F118" i="411"/>
  <c r="C118" i="411"/>
  <c r="C121" i="411" s="1"/>
  <c r="F117" i="411"/>
  <c r="C117" i="411"/>
  <c r="D113" i="411"/>
  <c r="D84" i="411" s="1"/>
  <c r="D85" i="411" s="1"/>
  <c r="E94" i="411"/>
  <c r="D94" i="411"/>
  <c r="J93" i="411"/>
  <c r="C93" i="411"/>
  <c r="M91" i="411"/>
  <c r="M90" i="411"/>
  <c r="I80" i="411"/>
  <c r="J79" i="411" s="1"/>
  <c r="E75" i="411"/>
  <c r="F25" i="411"/>
  <c r="E25" i="411"/>
  <c r="E50" i="410"/>
  <c r="F50" i="410"/>
  <c r="E7" i="410"/>
  <c r="E95" i="410"/>
  <c r="E97" i="410" s="1"/>
  <c r="D95" i="410"/>
  <c r="D97" i="410" s="1"/>
  <c r="C95" i="410"/>
  <c r="F94" i="410"/>
  <c r="C94" i="410"/>
  <c r="C97" i="410" s="1"/>
  <c r="F93" i="410"/>
  <c r="C93" i="410"/>
  <c r="D89" i="410"/>
  <c r="D59" i="410" s="1"/>
  <c r="D60" i="410" s="1"/>
  <c r="E70" i="410"/>
  <c r="D70" i="410"/>
  <c r="E69" i="410"/>
  <c r="D69" i="410"/>
  <c r="L68" i="410"/>
  <c r="K68" i="410"/>
  <c r="J68" i="410"/>
  <c r="C68" i="410"/>
  <c r="M67" i="410"/>
  <c r="M66" i="410"/>
  <c r="M65" i="410"/>
  <c r="D64" i="410"/>
  <c r="D66" i="410" s="1"/>
  <c r="I55" i="410"/>
  <c r="J54" i="410" s="1"/>
  <c r="F16" i="410"/>
  <c r="E16" i="410"/>
  <c r="F7" i="410"/>
  <c r="D85" i="409"/>
  <c r="D56" i="409" s="1"/>
  <c r="D57" i="409" s="1"/>
  <c r="E76" i="414"/>
  <c r="E91" i="409"/>
  <c r="E93" i="409" s="1"/>
  <c r="D91" i="409"/>
  <c r="D93" i="409" s="1"/>
  <c r="C91" i="409"/>
  <c r="F90" i="409"/>
  <c r="C90" i="409"/>
  <c r="C93" i="409" s="1"/>
  <c r="F89" i="409"/>
  <c r="C89" i="409"/>
  <c r="E67" i="409"/>
  <c r="D67" i="409"/>
  <c r="E66" i="409"/>
  <c r="D66" i="409"/>
  <c r="L65" i="409"/>
  <c r="K65" i="409"/>
  <c r="J65" i="409"/>
  <c r="C65" i="409"/>
  <c r="M64" i="409"/>
  <c r="M63" i="409"/>
  <c r="M62" i="409"/>
  <c r="D61" i="409"/>
  <c r="D63" i="409" s="1"/>
  <c r="I52" i="409"/>
  <c r="J51" i="409" s="1"/>
  <c r="F47" i="409"/>
  <c r="E47" i="409"/>
  <c r="F17" i="409"/>
  <c r="E17" i="409"/>
  <c r="F6" i="409"/>
  <c r="E6" i="409"/>
  <c r="I67" i="408"/>
  <c r="J66" i="408" s="1"/>
  <c r="D99" i="408"/>
  <c r="D71" i="408" s="1"/>
  <c r="D72" i="408" s="1"/>
  <c r="F19" i="408"/>
  <c r="F103" i="408"/>
  <c r="F104" i="408"/>
  <c r="E105" i="408"/>
  <c r="E107" i="408" s="1"/>
  <c r="D105" i="408"/>
  <c r="D107" i="408" s="1"/>
  <c r="C104" i="408"/>
  <c r="C107" i="408" s="1"/>
  <c r="C105" i="408"/>
  <c r="C103" i="408"/>
  <c r="D82" i="408"/>
  <c r="E82" i="408"/>
  <c r="D81" i="408"/>
  <c r="E81" i="408"/>
  <c r="M77" i="408"/>
  <c r="M78" i="408"/>
  <c r="M79" i="408"/>
  <c r="L80" i="408"/>
  <c r="K80" i="408"/>
  <c r="J80" i="408"/>
  <c r="C80" i="408"/>
  <c r="D76" i="408"/>
  <c r="D78" i="408" s="1"/>
  <c r="F62" i="408"/>
  <c r="E62" i="408"/>
  <c r="E19" i="408"/>
  <c r="E6" i="408"/>
  <c r="F6" i="408"/>
  <c r="F106" i="407"/>
  <c r="F107" i="407"/>
  <c r="D108" i="407"/>
  <c r="D110" i="407" s="1"/>
  <c r="E108" i="407"/>
  <c r="E110" i="407" s="1"/>
  <c r="E67" i="407"/>
  <c r="F67" i="407"/>
  <c r="C107" i="407"/>
  <c r="C110" i="407" s="1"/>
  <c r="C108" i="407"/>
  <c r="C106" i="407"/>
  <c r="D102" i="407"/>
  <c r="D76" i="407" s="1"/>
  <c r="D77" i="407" s="1"/>
  <c r="D87" i="407"/>
  <c r="E87" i="407"/>
  <c r="D86" i="407"/>
  <c r="E86" i="407"/>
  <c r="M82" i="407"/>
  <c r="M83" i="407"/>
  <c r="M84" i="407"/>
  <c r="L85" i="407"/>
  <c r="K85" i="407"/>
  <c r="J85" i="407"/>
  <c r="C85" i="407"/>
  <c r="D81" i="407"/>
  <c r="D83" i="407" s="1"/>
  <c r="I72" i="407"/>
  <c r="J71" i="407" s="1"/>
  <c r="F18" i="407"/>
  <c r="E18" i="407"/>
  <c r="E6" i="407"/>
  <c r="F6" i="407"/>
  <c r="E96" i="406"/>
  <c r="E98" i="406" s="1"/>
  <c r="D96" i="406"/>
  <c r="D98" i="406" s="1"/>
  <c r="C96" i="406"/>
  <c r="F95" i="406"/>
  <c r="C95" i="406"/>
  <c r="C98" i="406" s="1"/>
  <c r="F94" i="406"/>
  <c r="C94" i="406"/>
  <c r="D90" i="406"/>
  <c r="D64" i="406" s="1"/>
  <c r="D65" i="406" s="1"/>
  <c r="E75" i="406"/>
  <c r="D75" i="406"/>
  <c r="E74" i="406"/>
  <c r="D74" i="406"/>
  <c r="L73" i="406"/>
  <c r="K73" i="406"/>
  <c r="J73" i="406"/>
  <c r="C73" i="406"/>
  <c r="M72" i="406"/>
  <c r="M71" i="406"/>
  <c r="M70" i="406"/>
  <c r="D69" i="406"/>
  <c r="D71" i="406" s="1"/>
  <c r="I60" i="406"/>
  <c r="J59" i="406" s="1"/>
  <c r="F55" i="406"/>
  <c r="E55" i="406"/>
  <c r="F14" i="406"/>
  <c r="E14" i="406"/>
  <c r="F6" i="406"/>
  <c r="E6" i="406"/>
  <c r="E7" i="405"/>
  <c r="E121" i="405"/>
  <c r="E123" i="405" s="1"/>
  <c r="D121" i="405"/>
  <c r="D123" i="405" s="1"/>
  <c r="C121" i="405"/>
  <c r="F120" i="405"/>
  <c r="C120" i="405"/>
  <c r="C123" i="405" s="1"/>
  <c r="F119" i="405"/>
  <c r="C119" i="405"/>
  <c r="D115" i="405"/>
  <c r="D89" i="405" s="1"/>
  <c r="D90" i="405" s="1"/>
  <c r="E100" i="405"/>
  <c r="D100" i="405"/>
  <c r="E99" i="405"/>
  <c r="D99" i="405"/>
  <c r="L98" i="405"/>
  <c r="K98" i="405"/>
  <c r="J98" i="405"/>
  <c r="C98" i="405"/>
  <c r="M97" i="405"/>
  <c r="M96" i="405"/>
  <c r="M95" i="405"/>
  <c r="D94" i="405"/>
  <c r="D96" i="405" s="1"/>
  <c r="I85" i="405"/>
  <c r="J84" i="405" s="1"/>
  <c r="F80" i="405"/>
  <c r="E80" i="405"/>
  <c r="F23" i="405"/>
  <c r="E23" i="405"/>
  <c r="F7" i="405"/>
  <c r="D113" i="404"/>
  <c r="D87" i="404" s="1"/>
  <c r="D88" i="404" s="1"/>
  <c r="E119" i="404"/>
  <c r="E121" i="404" s="1"/>
  <c r="D119" i="404"/>
  <c r="D121" i="404" s="1"/>
  <c r="C119" i="404"/>
  <c r="F118" i="404"/>
  <c r="C118" i="404"/>
  <c r="C121" i="404" s="1"/>
  <c r="F117" i="404"/>
  <c r="C117" i="404"/>
  <c r="E98" i="404"/>
  <c r="D98" i="404"/>
  <c r="E97" i="404"/>
  <c r="D97" i="404"/>
  <c r="L96" i="404"/>
  <c r="K96" i="404"/>
  <c r="J96" i="404"/>
  <c r="C96" i="404"/>
  <c r="M95" i="404"/>
  <c r="M94" i="404"/>
  <c r="M93" i="404"/>
  <c r="D92" i="404"/>
  <c r="D94" i="404" s="1"/>
  <c r="I83" i="404"/>
  <c r="J82" i="404" s="1"/>
  <c r="F78" i="404"/>
  <c r="E78" i="404"/>
  <c r="F14" i="404"/>
  <c r="E14" i="404"/>
  <c r="F6" i="404"/>
  <c r="E6" i="404"/>
  <c r="E57" i="403"/>
  <c r="F57" i="403"/>
  <c r="E12" i="403"/>
  <c r="E20" i="403" s="1"/>
  <c r="E97" i="403"/>
  <c r="E99" i="403" s="1"/>
  <c r="D97" i="403"/>
  <c r="D99" i="403" s="1"/>
  <c r="C97" i="403"/>
  <c r="F96" i="403"/>
  <c r="C96" i="403"/>
  <c r="C99" i="403" s="1"/>
  <c r="F95" i="403"/>
  <c r="C95" i="403"/>
  <c r="D91" i="403"/>
  <c r="D66" i="403" s="1"/>
  <c r="D67" i="403" s="1"/>
  <c r="E77" i="403"/>
  <c r="D77" i="403"/>
  <c r="E76" i="403"/>
  <c r="D76" i="403"/>
  <c r="L75" i="403"/>
  <c r="K75" i="403"/>
  <c r="J75" i="403"/>
  <c r="C75" i="403"/>
  <c r="M74" i="403"/>
  <c r="M73" i="403"/>
  <c r="M72" i="403"/>
  <c r="D70" i="403"/>
  <c r="D71" i="403" s="1"/>
  <c r="D73" i="403" s="1"/>
  <c r="I62" i="403"/>
  <c r="J61" i="403" s="1"/>
  <c r="F20" i="403"/>
  <c r="F6" i="403"/>
  <c r="E6" i="403"/>
  <c r="D86" i="402"/>
  <c r="D61" i="402" s="1"/>
  <c r="D62" i="402" s="1"/>
  <c r="E92" i="402"/>
  <c r="E94" i="402" s="1"/>
  <c r="D92" i="402"/>
  <c r="D94" i="402" s="1"/>
  <c r="C92" i="402"/>
  <c r="F91" i="402"/>
  <c r="C91" i="402"/>
  <c r="C94" i="402" s="1"/>
  <c r="F90" i="402"/>
  <c r="C90" i="402"/>
  <c r="E72" i="402"/>
  <c r="D72" i="402"/>
  <c r="E71" i="402"/>
  <c r="D71" i="402"/>
  <c r="L70" i="402"/>
  <c r="K70" i="402"/>
  <c r="J70" i="402"/>
  <c r="C70" i="402"/>
  <c r="M69" i="402"/>
  <c r="M68" i="402"/>
  <c r="M67" i="402"/>
  <c r="D65" i="402"/>
  <c r="D66" i="402" s="1"/>
  <c r="D68" i="402" s="1"/>
  <c r="I57" i="402"/>
  <c r="J56" i="402" s="1"/>
  <c r="F52" i="402"/>
  <c r="E52" i="402"/>
  <c r="F16" i="402"/>
  <c r="E16" i="402"/>
  <c r="F6" i="402"/>
  <c r="E6" i="402"/>
  <c r="D104" i="401"/>
  <c r="D105" i="401" s="1"/>
  <c r="D107" i="401" s="1"/>
  <c r="F6" i="401"/>
  <c r="F7" i="401" s="1"/>
  <c r="E130" i="401"/>
  <c r="E132" i="401" s="1"/>
  <c r="D130" i="401"/>
  <c r="D132" i="401" s="1"/>
  <c r="C130" i="401"/>
  <c r="F129" i="401"/>
  <c r="C129" i="401"/>
  <c r="C132" i="401" s="1"/>
  <c r="F128" i="401"/>
  <c r="C128" i="401"/>
  <c r="D124" i="401"/>
  <c r="D100" i="401" s="1"/>
  <c r="D101" i="401" s="1"/>
  <c r="E111" i="401"/>
  <c r="D111" i="401"/>
  <c r="E110" i="401"/>
  <c r="D110" i="401"/>
  <c r="L109" i="401"/>
  <c r="K109" i="401"/>
  <c r="J109" i="401"/>
  <c r="C109" i="401"/>
  <c r="M108" i="401"/>
  <c r="M107" i="401"/>
  <c r="M106" i="401"/>
  <c r="I96" i="401"/>
  <c r="J95" i="401" s="1"/>
  <c r="F91" i="401"/>
  <c r="E91" i="401"/>
  <c r="E37" i="401"/>
  <c r="F37" i="401"/>
  <c r="E7" i="401"/>
  <c r="D81" i="400"/>
  <c r="D57" i="400" s="1"/>
  <c r="D58" i="400" s="1"/>
  <c r="F14" i="400"/>
  <c r="F15" i="400" s="1"/>
  <c r="E7" i="400"/>
  <c r="E87" i="400"/>
  <c r="E89" i="400" s="1"/>
  <c r="D87" i="400"/>
  <c r="D89" i="400" s="1"/>
  <c r="C87" i="400"/>
  <c r="F86" i="400"/>
  <c r="C86" i="400"/>
  <c r="C89" i="400" s="1"/>
  <c r="F85" i="400"/>
  <c r="C85" i="400"/>
  <c r="E68" i="400"/>
  <c r="D68" i="400"/>
  <c r="E67" i="400"/>
  <c r="D67" i="400"/>
  <c r="L66" i="400"/>
  <c r="K66" i="400"/>
  <c r="J66" i="400"/>
  <c r="C66" i="400"/>
  <c r="M65" i="400"/>
  <c r="M64" i="400"/>
  <c r="M63" i="400"/>
  <c r="D62" i="400"/>
  <c r="D64" i="400" s="1"/>
  <c r="I53" i="400"/>
  <c r="J52" i="400" s="1"/>
  <c r="F48" i="400"/>
  <c r="E48" i="400"/>
  <c r="E15" i="400"/>
  <c r="F7" i="400"/>
  <c r="D72" i="399"/>
  <c r="D49" i="399" s="1"/>
  <c r="D50" i="399" s="1"/>
  <c r="E78" i="399"/>
  <c r="E80" i="399" s="1"/>
  <c r="D78" i="399"/>
  <c r="D80" i="399" s="1"/>
  <c r="C78" i="399"/>
  <c r="F77" i="399"/>
  <c r="C77" i="399"/>
  <c r="C80" i="399" s="1"/>
  <c r="F76" i="399"/>
  <c r="C76" i="399"/>
  <c r="E60" i="399"/>
  <c r="D60" i="399"/>
  <c r="E59" i="399"/>
  <c r="D59" i="399"/>
  <c r="L58" i="399"/>
  <c r="K58" i="399"/>
  <c r="J58" i="399"/>
  <c r="C58" i="399"/>
  <c r="M57" i="399"/>
  <c r="M56" i="399"/>
  <c r="M55" i="399"/>
  <c r="D54" i="399"/>
  <c r="D56" i="399" s="1"/>
  <c r="I45" i="399"/>
  <c r="J44" i="399" s="1"/>
  <c r="E40" i="399"/>
  <c r="F40" i="399"/>
  <c r="F19" i="399"/>
  <c r="E19" i="399"/>
  <c r="F6" i="399"/>
  <c r="E6" i="399"/>
  <c r="C125" i="398"/>
  <c r="E89" i="398"/>
  <c r="F54" i="398"/>
  <c r="F89" i="398" s="1"/>
  <c r="C123" i="398"/>
  <c r="E125" i="398"/>
  <c r="E127" i="398" s="1"/>
  <c r="D125" i="398"/>
  <c r="D127" i="398" s="1"/>
  <c r="F124" i="398"/>
  <c r="C124" i="398"/>
  <c r="C127" i="398" s="1"/>
  <c r="F123" i="398"/>
  <c r="D119" i="398"/>
  <c r="D98" i="398" s="1"/>
  <c r="D99" i="398" s="1"/>
  <c r="E109" i="398"/>
  <c r="D109" i="398"/>
  <c r="E108" i="398"/>
  <c r="D108" i="398"/>
  <c r="L107" i="398"/>
  <c r="K107" i="398"/>
  <c r="J107" i="398"/>
  <c r="C107" i="398"/>
  <c r="M106" i="398"/>
  <c r="M105" i="398"/>
  <c r="M104" i="398"/>
  <c r="D103" i="398"/>
  <c r="D105" i="398" s="1"/>
  <c r="I94" i="398"/>
  <c r="J93" i="398" s="1"/>
  <c r="E91" i="398"/>
  <c r="F32" i="398"/>
  <c r="E32" i="398"/>
  <c r="F6" i="398"/>
  <c r="E6" i="398"/>
  <c r="D91" i="397"/>
  <c r="D70" i="397" s="1"/>
  <c r="D71" i="397" s="1"/>
  <c r="E22" i="397"/>
  <c r="F22" i="397"/>
  <c r="E97" i="397"/>
  <c r="E99" i="397" s="1"/>
  <c r="D97" i="397"/>
  <c r="D99" i="397" s="1"/>
  <c r="C97" i="397"/>
  <c r="F96" i="397"/>
  <c r="C96" i="397"/>
  <c r="C99" i="397" s="1"/>
  <c r="F95" i="397"/>
  <c r="C95" i="397"/>
  <c r="E81" i="397"/>
  <c r="D81" i="397"/>
  <c r="E80" i="397"/>
  <c r="D80" i="397"/>
  <c r="L79" i="397"/>
  <c r="K79" i="397"/>
  <c r="J79" i="397"/>
  <c r="C79" i="397"/>
  <c r="M78" i="397"/>
  <c r="M77" i="397"/>
  <c r="M76" i="397"/>
  <c r="D75" i="397"/>
  <c r="D77" i="397" s="1"/>
  <c r="I66" i="397"/>
  <c r="J65" i="397" s="1"/>
  <c r="E63" i="397"/>
  <c r="F61" i="397"/>
  <c r="E61" i="397"/>
  <c r="F6" i="397"/>
  <c r="E6" i="397"/>
  <c r="E93" i="396"/>
  <c r="E95" i="396" s="1"/>
  <c r="D93" i="396"/>
  <c r="D95" i="396" s="1"/>
  <c r="C93" i="396"/>
  <c r="F92" i="396"/>
  <c r="C92" i="396"/>
  <c r="C95" i="396" s="1"/>
  <c r="F91" i="396"/>
  <c r="C91" i="396"/>
  <c r="D87" i="396"/>
  <c r="D71" i="396" s="1"/>
  <c r="D72" i="396" s="1"/>
  <c r="E82" i="396"/>
  <c r="D82" i="396"/>
  <c r="E81" i="396"/>
  <c r="D81" i="396"/>
  <c r="L80" i="396"/>
  <c r="K80" i="396"/>
  <c r="J80" i="396"/>
  <c r="C80" i="396"/>
  <c r="M79" i="396"/>
  <c r="M78" i="396"/>
  <c r="M77" i="396"/>
  <c r="D76" i="396"/>
  <c r="D78" i="396" s="1"/>
  <c r="I67" i="396"/>
  <c r="J66" i="396" s="1"/>
  <c r="E64" i="396"/>
  <c r="F62" i="396"/>
  <c r="E62" i="396"/>
  <c r="F20" i="396"/>
  <c r="E20" i="396"/>
  <c r="F6" i="396"/>
  <c r="E6" i="396"/>
  <c r="E151" i="395"/>
  <c r="E153" i="395" s="1"/>
  <c r="D151" i="395"/>
  <c r="D153" i="395" s="1"/>
  <c r="C151" i="395"/>
  <c r="F150" i="395"/>
  <c r="C150" i="395"/>
  <c r="C153" i="395" s="1"/>
  <c r="F149" i="395"/>
  <c r="C149" i="395"/>
  <c r="D89" i="395"/>
  <c r="D145" i="395" s="1"/>
  <c r="D70" i="395" s="1"/>
  <c r="D71" i="395" s="1"/>
  <c r="E81" i="395"/>
  <c r="D81" i="395"/>
  <c r="E80" i="395"/>
  <c r="D80" i="395"/>
  <c r="L79" i="395"/>
  <c r="K79" i="395"/>
  <c r="J79" i="395"/>
  <c r="C79" i="395"/>
  <c r="M78" i="395"/>
  <c r="M77" i="395"/>
  <c r="M76" i="395"/>
  <c r="D74" i="395"/>
  <c r="D75" i="395" s="1"/>
  <c r="D77" i="395" s="1"/>
  <c r="I66" i="395"/>
  <c r="J65" i="395" s="1"/>
  <c r="E63" i="395"/>
  <c r="F61" i="395"/>
  <c r="E61" i="395"/>
  <c r="F35" i="395"/>
  <c r="E35" i="395"/>
  <c r="F6" i="395"/>
  <c r="E6" i="395"/>
  <c r="D58" i="394"/>
  <c r="D59" i="394" s="1"/>
  <c r="D61" i="394" s="1"/>
  <c r="E47" i="394"/>
  <c r="E26" i="394"/>
  <c r="E134" i="394"/>
  <c r="E136" i="394" s="1"/>
  <c r="D134" i="394"/>
  <c r="D136" i="394" s="1"/>
  <c r="C134" i="394"/>
  <c r="F133" i="394"/>
  <c r="C133" i="394"/>
  <c r="C136" i="394" s="1"/>
  <c r="F132" i="394"/>
  <c r="C132" i="394"/>
  <c r="D73" i="394"/>
  <c r="D128" i="394" s="1"/>
  <c r="D54" i="394" s="1"/>
  <c r="D55" i="394" s="1"/>
  <c r="E65" i="394"/>
  <c r="D65" i="394"/>
  <c r="E64" i="394"/>
  <c r="D64" i="394"/>
  <c r="L63" i="394"/>
  <c r="K63" i="394"/>
  <c r="J63" i="394"/>
  <c r="C63" i="394"/>
  <c r="M62" i="394"/>
  <c r="M61" i="394"/>
  <c r="M60" i="394"/>
  <c r="I50" i="394"/>
  <c r="J49" i="394" s="1"/>
  <c r="F45" i="394"/>
  <c r="E45" i="394"/>
  <c r="F26" i="394"/>
  <c r="F6" i="394"/>
  <c r="E6" i="394"/>
  <c r="D90" i="393"/>
  <c r="D91" i="393" s="1"/>
  <c r="D93" i="393" s="1"/>
  <c r="E77" i="393"/>
  <c r="F77" i="393"/>
  <c r="F21" i="393"/>
  <c r="E165" i="393"/>
  <c r="E167" i="393" s="1"/>
  <c r="D165" i="393"/>
  <c r="D167" i="393" s="1"/>
  <c r="C165" i="393"/>
  <c r="F164" i="393"/>
  <c r="C164" i="393"/>
  <c r="C167" i="393" s="1"/>
  <c r="F163" i="393"/>
  <c r="C163" i="393"/>
  <c r="D105" i="393"/>
  <c r="D159" i="393" s="1"/>
  <c r="D86" i="393" s="1"/>
  <c r="D87" i="393" s="1"/>
  <c r="E97" i="393"/>
  <c r="D97" i="393"/>
  <c r="E96" i="393"/>
  <c r="D96" i="393"/>
  <c r="L95" i="393"/>
  <c r="K95" i="393"/>
  <c r="J95" i="393"/>
  <c r="C95" i="393"/>
  <c r="M94" i="393"/>
  <c r="M93" i="393"/>
  <c r="M92" i="393"/>
  <c r="I82" i="393"/>
  <c r="J81" i="393" s="1"/>
  <c r="E21" i="393"/>
  <c r="F6" i="393"/>
  <c r="E6" i="393"/>
  <c r="D96" i="392"/>
  <c r="D147" i="392" s="1"/>
  <c r="D77" i="392" s="1"/>
  <c r="D78" i="392" s="1"/>
  <c r="E70" i="392"/>
  <c r="F17" i="392"/>
  <c r="E153" i="392"/>
  <c r="E155" i="392" s="1"/>
  <c r="D153" i="392"/>
  <c r="D155" i="392" s="1"/>
  <c r="C153" i="392"/>
  <c r="F152" i="392"/>
  <c r="C152" i="392"/>
  <c r="C155" i="392" s="1"/>
  <c r="F151" i="392"/>
  <c r="C151" i="392"/>
  <c r="E88" i="392"/>
  <c r="D88" i="392"/>
  <c r="E87" i="392"/>
  <c r="D87" i="392"/>
  <c r="L86" i="392"/>
  <c r="K86" i="392"/>
  <c r="J86" i="392"/>
  <c r="C86" i="392"/>
  <c r="M85" i="392"/>
  <c r="M84" i="392"/>
  <c r="M83" i="392"/>
  <c r="D82" i="392"/>
  <c r="D84" i="392" s="1"/>
  <c r="I73" i="392"/>
  <c r="J72" i="392" s="1"/>
  <c r="F68" i="392"/>
  <c r="E68" i="392"/>
  <c r="E17" i="392"/>
  <c r="F6" i="392"/>
  <c r="E6" i="392"/>
  <c r="D78" i="391"/>
  <c r="D79" i="391" s="1"/>
  <c r="D81" i="391" s="1"/>
  <c r="D144" i="391"/>
  <c r="D74" i="391" s="1"/>
  <c r="D75" i="391" s="1"/>
  <c r="E67" i="391"/>
  <c r="F20" i="391"/>
  <c r="E150" i="391"/>
  <c r="E152" i="391" s="1"/>
  <c r="D150" i="391"/>
  <c r="D152" i="391" s="1"/>
  <c r="C150" i="391"/>
  <c r="F149" i="391"/>
  <c r="C149" i="391"/>
  <c r="C152" i="391" s="1"/>
  <c r="F148" i="391"/>
  <c r="C148" i="391"/>
  <c r="E85" i="391"/>
  <c r="D85" i="391"/>
  <c r="E84" i="391"/>
  <c r="D84" i="391"/>
  <c r="L83" i="391"/>
  <c r="K83" i="391"/>
  <c r="J83" i="391"/>
  <c r="C83" i="391"/>
  <c r="M82" i="391"/>
  <c r="M81" i="391"/>
  <c r="M80" i="391"/>
  <c r="I70" i="391"/>
  <c r="J69" i="391" s="1"/>
  <c r="F65" i="391"/>
  <c r="E65" i="391"/>
  <c r="E20" i="391"/>
  <c r="F6" i="391"/>
  <c r="E6" i="391"/>
  <c r="D151" i="390"/>
  <c r="D87" i="390" s="1"/>
  <c r="D88" i="390" s="1"/>
  <c r="E157" i="390"/>
  <c r="E159" i="390" s="1"/>
  <c r="D157" i="390"/>
  <c r="D159" i="390" s="1"/>
  <c r="C157" i="390"/>
  <c r="F156" i="390"/>
  <c r="C156" i="390"/>
  <c r="C159" i="390" s="1"/>
  <c r="F155" i="390"/>
  <c r="C155" i="390"/>
  <c r="E98" i="390"/>
  <c r="D98" i="390"/>
  <c r="E97" i="390"/>
  <c r="D97" i="390"/>
  <c r="L96" i="390"/>
  <c r="K96" i="390"/>
  <c r="J96" i="390"/>
  <c r="C96" i="390"/>
  <c r="M95" i="390"/>
  <c r="M94" i="390"/>
  <c r="M93" i="390"/>
  <c r="D91" i="390"/>
  <c r="D92" i="390" s="1"/>
  <c r="D94" i="390" s="1"/>
  <c r="I83" i="390"/>
  <c r="J82" i="390" s="1"/>
  <c r="E80" i="390"/>
  <c r="F78" i="390"/>
  <c r="E78" i="390"/>
  <c r="F22" i="390"/>
  <c r="E22" i="390"/>
  <c r="F6" i="390"/>
  <c r="E6" i="390"/>
  <c r="E19" i="389"/>
  <c r="E45" i="389"/>
  <c r="D117" i="389"/>
  <c r="D54" i="389" s="1"/>
  <c r="D55" i="389" s="1"/>
  <c r="E123" i="389"/>
  <c r="E125" i="389" s="1"/>
  <c r="D123" i="389"/>
  <c r="D125" i="389" s="1"/>
  <c r="C123" i="389"/>
  <c r="F122" i="389"/>
  <c r="C122" i="389"/>
  <c r="C125" i="389" s="1"/>
  <c r="F121" i="389"/>
  <c r="C121" i="389"/>
  <c r="E65" i="389"/>
  <c r="D65" i="389"/>
  <c r="E64" i="389"/>
  <c r="D64" i="389"/>
  <c r="L63" i="389"/>
  <c r="K63" i="389"/>
  <c r="J63" i="389"/>
  <c r="C63" i="389"/>
  <c r="M62" i="389"/>
  <c r="M61" i="389"/>
  <c r="M60" i="389"/>
  <c r="D58" i="389"/>
  <c r="D59" i="389" s="1"/>
  <c r="D61" i="389" s="1"/>
  <c r="I50" i="389"/>
  <c r="J49" i="389" s="1"/>
  <c r="E47" i="389"/>
  <c r="F45" i="389"/>
  <c r="F19" i="389"/>
  <c r="F6" i="389"/>
  <c r="E6" i="389"/>
  <c r="E36" i="388"/>
  <c r="D47" i="388"/>
  <c r="D48" i="388" s="1"/>
  <c r="D50" i="388" s="1"/>
  <c r="D105" i="388"/>
  <c r="D43" i="388" s="1"/>
  <c r="D44" i="388" s="1"/>
  <c r="E13" i="388"/>
  <c r="E34" i="388"/>
  <c r="F34" i="388"/>
  <c r="E111" i="388"/>
  <c r="E113" i="388" s="1"/>
  <c r="D111" i="388"/>
  <c r="D113" i="388" s="1"/>
  <c r="C111" i="388"/>
  <c r="F110" i="388"/>
  <c r="C110" i="388"/>
  <c r="C113" i="388" s="1"/>
  <c r="F109" i="388"/>
  <c r="C109" i="388"/>
  <c r="E54" i="388"/>
  <c r="D54" i="388"/>
  <c r="E53" i="388"/>
  <c r="D53" i="388"/>
  <c r="L52" i="388"/>
  <c r="K52" i="388"/>
  <c r="J52" i="388"/>
  <c r="C52" i="388"/>
  <c r="M51" i="388"/>
  <c r="M50" i="388"/>
  <c r="M49" i="388"/>
  <c r="I39" i="388"/>
  <c r="J38" i="388" s="1"/>
  <c r="F13" i="388"/>
  <c r="F6" i="388"/>
  <c r="E6" i="388"/>
  <c r="D60" i="387"/>
  <c r="D61" i="387" s="1"/>
  <c r="D63" i="387" s="1"/>
  <c r="D117" i="387"/>
  <c r="D56" i="387" s="1"/>
  <c r="D57" i="387" s="1"/>
  <c r="E47" i="387"/>
  <c r="F47" i="387"/>
  <c r="E123" i="387"/>
  <c r="E125" i="387" s="1"/>
  <c r="D123" i="387"/>
  <c r="D125" i="387" s="1"/>
  <c r="C123" i="387"/>
  <c r="F122" i="387"/>
  <c r="C122" i="387"/>
  <c r="C125" i="387" s="1"/>
  <c r="F121" i="387"/>
  <c r="C121" i="387"/>
  <c r="E67" i="387"/>
  <c r="D67" i="387"/>
  <c r="E66" i="387"/>
  <c r="D66" i="387"/>
  <c r="L65" i="387"/>
  <c r="K65" i="387"/>
  <c r="J65" i="387"/>
  <c r="C65" i="387"/>
  <c r="M64" i="387"/>
  <c r="M63" i="387"/>
  <c r="M62" i="387"/>
  <c r="I52" i="387"/>
  <c r="J51" i="387" s="1"/>
  <c r="E49" i="387"/>
  <c r="F16" i="387"/>
  <c r="E16" i="387"/>
  <c r="F6" i="387"/>
  <c r="E6" i="387"/>
  <c r="D64" i="386"/>
  <c r="D65" i="386" s="1"/>
  <c r="D67" i="386" s="1"/>
  <c r="D115" i="386"/>
  <c r="D60" i="386" s="1"/>
  <c r="D61" i="386" s="1"/>
  <c r="F6" i="386"/>
  <c r="F51" i="386"/>
  <c r="E51" i="386"/>
  <c r="E121" i="386"/>
  <c r="E123" i="386" s="1"/>
  <c r="D121" i="386"/>
  <c r="D123" i="386" s="1"/>
  <c r="C121" i="386"/>
  <c r="F120" i="386"/>
  <c r="C120" i="386"/>
  <c r="C123" i="386" s="1"/>
  <c r="F119" i="386"/>
  <c r="C119" i="386"/>
  <c r="E71" i="386"/>
  <c r="D71" i="386"/>
  <c r="E70" i="386"/>
  <c r="D70" i="386"/>
  <c r="L69" i="386"/>
  <c r="K69" i="386"/>
  <c r="J69" i="386"/>
  <c r="C69" i="386"/>
  <c r="M68" i="386"/>
  <c r="M67" i="386"/>
  <c r="M66" i="386"/>
  <c r="I56" i="386"/>
  <c r="J55" i="386" s="1"/>
  <c r="E53" i="386"/>
  <c r="F13" i="386"/>
  <c r="E13" i="386"/>
  <c r="E6" i="386"/>
  <c r="D68" i="385"/>
  <c r="D69" i="385" s="1"/>
  <c r="D71" i="385" s="1"/>
  <c r="E39" i="385"/>
  <c r="E55" i="385" s="1"/>
  <c r="D118" i="385"/>
  <c r="D64" i="385" s="1"/>
  <c r="D65" i="385" s="1"/>
  <c r="E57" i="385"/>
  <c r="F23" i="385"/>
  <c r="E23" i="385"/>
  <c r="F7" i="385"/>
  <c r="E124" i="385"/>
  <c r="E126" i="385" s="1"/>
  <c r="D124" i="385"/>
  <c r="D126" i="385" s="1"/>
  <c r="C124" i="385"/>
  <c r="F123" i="385"/>
  <c r="C123" i="385"/>
  <c r="C126" i="385" s="1"/>
  <c r="F122" i="385"/>
  <c r="C122" i="385"/>
  <c r="E75" i="385"/>
  <c r="D75" i="385"/>
  <c r="E74" i="385"/>
  <c r="D74" i="385"/>
  <c r="L73" i="385"/>
  <c r="K73" i="385"/>
  <c r="J73" i="385"/>
  <c r="C73" i="385"/>
  <c r="M72" i="385"/>
  <c r="M71" i="385"/>
  <c r="M70" i="385"/>
  <c r="I60" i="385"/>
  <c r="J59" i="385" s="1"/>
  <c r="F55" i="385"/>
  <c r="E7" i="385"/>
  <c r="D78" i="384"/>
  <c r="D79" i="384" s="1"/>
  <c r="D81" i="384" s="1"/>
  <c r="F40" i="384"/>
  <c r="F65" i="384" s="1"/>
  <c r="D126" i="384"/>
  <c r="D74" i="384" s="1"/>
  <c r="D75" i="384" s="1"/>
  <c r="E12" i="384"/>
  <c r="E132" i="384"/>
  <c r="E134" i="384" s="1"/>
  <c r="D132" i="384"/>
  <c r="D134" i="384" s="1"/>
  <c r="C132" i="384"/>
  <c r="F131" i="384"/>
  <c r="C131" i="384"/>
  <c r="C134" i="384" s="1"/>
  <c r="F130" i="384"/>
  <c r="C130" i="384"/>
  <c r="E85" i="384"/>
  <c r="D85" i="384"/>
  <c r="E84" i="384"/>
  <c r="D84" i="384"/>
  <c r="L83" i="384"/>
  <c r="K83" i="384"/>
  <c r="J83" i="384"/>
  <c r="C83" i="384"/>
  <c r="M82" i="384"/>
  <c r="M81" i="384"/>
  <c r="M80" i="384"/>
  <c r="I70" i="384"/>
  <c r="J69" i="384" s="1"/>
  <c r="E65" i="384"/>
  <c r="F12" i="384"/>
  <c r="F6" i="384"/>
  <c r="E6" i="384"/>
  <c r="D74" i="383"/>
  <c r="D75" i="383" s="1"/>
  <c r="D77" i="383" s="1"/>
  <c r="F61" i="383"/>
  <c r="E48" i="383"/>
  <c r="E61" i="383" s="1"/>
  <c r="D119" i="383"/>
  <c r="D70" i="383" s="1"/>
  <c r="D71" i="383" s="1"/>
  <c r="E21" i="383"/>
  <c r="E125" i="383"/>
  <c r="E127" i="383" s="1"/>
  <c r="D125" i="383"/>
  <c r="D127" i="383" s="1"/>
  <c r="C125" i="383"/>
  <c r="F124" i="383"/>
  <c r="C124" i="383"/>
  <c r="C127" i="383" s="1"/>
  <c r="F123" i="383"/>
  <c r="C123" i="383"/>
  <c r="E81" i="383"/>
  <c r="D81" i="383"/>
  <c r="E80" i="383"/>
  <c r="D80" i="383"/>
  <c r="L79" i="383"/>
  <c r="K79" i="383"/>
  <c r="J79" i="383"/>
  <c r="C79" i="383"/>
  <c r="M78" i="383"/>
  <c r="M77" i="383"/>
  <c r="M76" i="383"/>
  <c r="I66" i="383"/>
  <c r="J65" i="383" s="1"/>
  <c r="F21" i="383"/>
  <c r="F6" i="383"/>
  <c r="E6" i="383"/>
  <c r="D68" i="382"/>
  <c r="D69" i="382" s="1"/>
  <c r="D71" i="382" s="1"/>
  <c r="D112" i="382"/>
  <c r="D64" i="382" s="1"/>
  <c r="D65" i="382" s="1"/>
  <c r="E36" i="382"/>
  <c r="E55" i="382" s="1"/>
  <c r="E118" i="382"/>
  <c r="E120" i="382" s="1"/>
  <c r="D118" i="382"/>
  <c r="D120" i="382" s="1"/>
  <c r="C118" i="382"/>
  <c r="F117" i="382"/>
  <c r="C117" i="382"/>
  <c r="C120" i="382" s="1"/>
  <c r="F116" i="382"/>
  <c r="C116" i="382"/>
  <c r="E75" i="382"/>
  <c r="D75" i="382"/>
  <c r="E74" i="382"/>
  <c r="D74" i="382"/>
  <c r="L73" i="382"/>
  <c r="K73" i="382"/>
  <c r="J73" i="382"/>
  <c r="C73" i="382"/>
  <c r="M72" i="382"/>
  <c r="M71" i="382"/>
  <c r="M70" i="382"/>
  <c r="I60" i="382"/>
  <c r="J59" i="382" s="1"/>
  <c r="F55" i="382"/>
  <c r="F22" i="382"/>
  <c r="E22" i="382"/>
  <c r="F6" i="382"/>
  <c r="E6" i="382"/>
  <c r="D91" i="381"/>
  <c r="D92" i="381" s="1"/>
  <c r="D94" i="381" s="1"/>
  <c r="E78" i="381"/>
  <c r="F54" i="381"/>
  <c r="F78" i="381" s="1"/>
  <c r="D134" i="381"/>
  <c r="D87" i="381" s="1"/>
  <c r="D88" i="381" s="1"/>
  <c r="E140" i="381"/>
  <c r="E142" i="381" s="1"/>
  <c r="D140" i="381"/>
  <c r="D142" i="381" s="1"/>
  <c r="C140" i="381"/>
  <c r="F139" i="381"/>
  <c r="C139" i="381"/>
  <c r="C142" i="381" s="1"/>
  <c r="F138" i="381"/>
  <c r="C138" i="381"/>
  <c r="E98" i="381"/>
  <c r="D98" i="381"/>
  <c r="E97" i="381"/>
  <c r="D97" i="381"/>
  <c r="L96" i="381"/>
  <c r="K96" i="381"/>
  <c r="J96" i="381"/>
  <c r="C96" i="381"/>
  <c r="M95" i="381"/>
  <c r="M94" i="381"/>
  <c r="M93" i="381"/>
  <c r="I83" i="381"/>
  <c r="J82" i="381" s="1"/>
  <c r="F24" i="381"/>
  <c r="E24" i="381"/>
  <c r="F6" i="381"/>
  <c r="E6" i="381"/>
  <c r="D111" i="380"/>
  <c r="D65" i="380" s="1"/>
  <c r="D66" i="380" s="1"/>
  <c r="E117" i="380"/>
  <c r="E119" i="380" s="1"/>
  <c r="D117" i="380"/>
  <c r="D119" i="380" s="1"/>
  <c r="C117" i="380"/>
  <c r="F116" i="380"/>
  <c r="C116" i="380"/>
  <c r="C119" i="380" s="1"/>
  <c r="F115" i="380"/>
  <c r="C115" i="380"/>
  <c r="E76" i="380"/>
  <c r="D76" i="380"/>
  <c r="E75" i="380"/>
  <c r="D75" i="380"/>
  <c r="L74" i="380"/>
  <c r="K74" i="380"/>
  <c r="J74" i="380"/>
  <c r="C74" i="380"/>
  <c r="M73" i="380"/>
  <c r="M72" i="380"/>
  <c r="M71" i="380"/>
  <c r="D69" i="380"/>
  <c r="D70" i="380" s="1"/>
  <c r="D72" i="380" s="1"/>
  <c r="I61" i="380"/>
  <c r="J60" i="380" s="1"/>
  <c r="E56" i="380"/>
  <c r="F56" i="380"/>
  <c r="F22" i="380"/>
  <c r="E22" i="380"/>
  <c r="F6" i="380"/>
  <c r="E6" i="380"/>
  <c r="D70" i="379"/>
  <c r="D71" i="379" s="1"/>
  <c r="D73" i="379" s="1"/>
  <c r="D111" i="379"/>
  <c r="D66" i="379" s="1"/>
  <c r="D67" i="379" s="1"/>
  <c r="F37" i="379"/>
  <c r="F57" i="379" s="1"/>
  <c r="E117" i="379"/>
  <c r="E119" i="379" s="1"/>
  <c r="D117" i="379"/>
  <c r="D119" i="379" s="1"/>
  <c r="C117" i="379"/>
  <c r="F116" i="379"/>
  <c r="C116" i="379"/>
  <c r="C119" i="379" s="1"/>
  <c r="F115" i="379"/>
  <c r="C115" i="379"/>
  <c r="E77" i="379"/>
  <c r="D77" i="379"/>
  <c r="E76" i="379"/>
  <c r="D76" i="379"/>
  <c r="L75" i="379"/>
  <c r="K75" i="379"/>
  <c r="J75" i="379"/>
  <c r="C75" i="379"/>
  <c r="M74" i="379"/>
  <c r="M73" i="379"/>
  <c r="M72" i="379"/>
  <c r="I62" i="379"/>
  <c r="J61" i="379" s="1"/>
  <c r="E57" i="379"/>
  <c r="F17" i="379"/>
  <c r="E17" i="379"/>
  <c r="F6" i="379"/>
  <c r="E6" i="379"/>
  <c r="E12" i="378"/>
  <c r="E27" i="378" s="1"/>
  <c r="D103" i="378"/>
  <c r="D104" i="378" s="1"/>
  <c r="D106" i="378" s="1"/>
  <c r="E51" i="378"/>
  <c r="E90" i="378" s="1"/>
  <c r="D141" i="378"/>
  <c r="D99" i="378" s="1"/>
  <c r="D100" i="378" s="1"/>
  <c r="F59" i="378"/>
  <c r="F90" i="378" s="1"/>
  <c r="F27" i="378"/>
  <c r="E147" i="378"/>
  <c r="E149" i="378" s="1"/>
  <c r="D147" i="378"/>
  <c r="D149" i="378" s="1"/>
  <c r="C147" i="378"/>
  <c r="F146" i="378"/>
  <c r="C146" i="378"/>
  <c r="C149" i="378" s="1"/>
  <c r="F145" i="378"/>
  <c r="C145" i="378"/>
  <c r="E110" i="378"/>
  <c r="D110" i="378"/>
  <c r="E109" i="378"/>
  <c r="D109" i="378"/>
  <c r="L108" i="378"/>
  <c r="K108" i="378"/>
  <c r="J108" i="378"/>
  <c r="C108" i="378"/>
  <c r="M107" i="378"/>
  <c r="M106" i="378"/>
  <c r="M105" i="378"/>
  <c r="I95" i="378"/>
  <c r="J94" i="378" s="1"/>
  <c r="F6" i="378"/>
  <c r="E6" i="378"/>
  <c r="D93" i="377"/>
  <c r="D59" i="377" s="1"/>
  <c r="D60" i="377" s="1"/>
  <c r="E99" i="377"/>
  <c r="E101" i="377" s="1"/>
  <c r="D99" i="377"/>
  <c r="D101" i="377" s="1"/>
  <c r="C99" i="377"/>
  <c r="F98" i="377"/>
  <c r="C98" i="377"/>
  <c r="C101" i="377" s="1"/>
  <c r="F97" i="377"/>
  <c r="C97" i="377"/>
  <c r="E70" i="377"/>
  <c r="D70" i="377"/>
  <c r="E69" i="377"/>
  <c r="D69" i="377"/>
  <c r="L68" i="377"/>
  <c r="K68" i="377"/>
  <c r="J68" i="377"/>
  <c r="C68" i="377"/>
  <c r="M67" i="377"/>
  <c r="M66" i="377"/>
  <c r="M65" i="377"/>
  <c r="D63" i="377"/>
  <c r="D64" i="377" s="1"/>
  <c r="D66" i="377" s="1"/>
  <c r="I55" i="377"/>
  <c r="J54" i="377" s="1"/>
  <c r="F50" i="377"/>
  <c r="E50" i="377"/>
  <c r="F13" i="377"/>
  <c r="E13" i="377"/>
  <c r="F6" i="377"/>
  <c r="E6" i="377"/>
  <c r="F6" i="376"/>
  <c r="E105" i="376"/>
  <c r="E107" i="376" s="1"/>
  <c r="D105" i="376"/>
  <c r="D107" i="376" s="1"/>
  <c r="C105" i="376"/>
  <c r="F104" i="376"/>
  <c r="C104" i="376"/>
  <c r="C107" i="376" s="1"/>
  <c r="F103" i="376"/>
  <c r="C103" i="376"/>
  <c r="D99" i="376"/>
  <c r="D66" i="376" s="1"/>
  <c r="D67" i="376" s="1"/>
  <c r="E77" i="376"/>
  <c r="D77" i="376"/>
  <c r="E76" i="376"/>
  <c r="D76" i="376"/>
  <c r="L75" i="376"/>
  <c r="K75" i="376"/>
  <c r="J75" i="376"/>
  <c r="C75" i="376"/>
  <c r="M74" i="376"/>
  <c r="M73" i="376"/>
  <c r="M72" i="376"/>
  <c r="D70" i="376"/>
  <c r="D71" i="376" s="1"/>
  <c r="D73" i="376" s="1"/>
  <c r="I62" i="376"/>
  <c r="J61" i="376" s="1"/>
  <c r="F57" i="376"/>
  <c r="F25" i="376"/>
  <c r="E25" i="376"/>
  <c r="E6" i="376"/>
  <c r="E32" i="375"/>
  <c r="D80" i="375"/>
  <c r="D81" i="375" s="1"/>
  <c r="D83" i="375" s="1"/>
  <c r="E49" i="375"/>
  <c r="F54" i="375"/>
  <c r="F67" i="375" s="1"/>
  <c r="D109" i="375"/>
  <c r="D76" i="375" s="1"/>
  <c r="D77" i="375" s="1"/>
  <c r="E57" i="376"/>
  <c r="E26" i="375"/>
  <c r="F26" i="375"/>
  <c r="F7" i="375"/>
  <c r="E115" i="375"/>
  <c r="E117" i="375" s="1"/>
  <c r="D115" i="375"/>
  <c r="D117" i="375" s="1"/>
  <c r="C115" i="375"/>
  <c r="F114" i="375"/>
  <c r="C114" i="375"/>
  <c r="C117" i="375" s="1"/>
  <c r="F113" i="375"/>
  <c r="C113" i="375"/>
  <c r="E87" i="375"/>
  <c r="D87" i="375"/>
  <c r="E86" i="375"/>
  <c r="D86" i="375"/>
  <c r="L85" i="375"/>
  <c r="K85" i="375"/>
  <c r="J85" i="375"/>
  <c r="C85" i="375"/>
  <c r="M84" i="375"/>
  <c r="M83" i="375"/>
  <c r="M82" i="375"/>
  <c r="I72" i="375"/>
  <c r="J71" i="375" s="1"/>
  <c r="E7" i="375"/>
  <c r="D93" i="374"/>
  <c r="D95" i="374" s="1"/>
  <c r="E93" i="374"/>
  <c r="E95" i="374" s="1"/>
  <c r="E13" i="374"/>
  <c r="E7" i="374"/>
  <c r="C93" i="374"/>
  <c r="F92" i="374"/>
  <c r="C92" i="374"/>
  <c r="C95" i="374" s="1"/>
  <c r="F91" i="374"/>
  <c r="C91" i="374"/>
  <c r="D87" i="374"/>
  <c r="D60" i="374" s="1"/>
  <c r="D61" i="374" s="1"/>
  <c r="E71" i="374"/>
  <c r="D71" i="374"/>
  <c r="E70" i="374"/>
  <c r="D70" i="374"/>
  <c r="L69" i="374"/>
  <c r="K69" i="374"/>
  <c r="J69" i="374"/>
  <c r="C69" i="374"/>
  <c r="M68" i="374"/>
  <c r="M67" i="374"/>
  <c r="M66" i="374"/>
  <c r="D64" i="374"/>
  <c r="D65" i="374" s="1"/>
  <c r="D67" i="374" s="1"/>
  <c r="I56" i="374"/>
  <c r="J55" i="374" s="1"/>
  <c r="F51" i="374"/>
  <c r="E51" i="374"/>
  <c r="F13" i="374"/>
  <c r="F7" i="374"/>
  <c r="D67" i="373"/>
  <c r="D68" i="373" s="1"/>
  <c r="D70" i="373" s="1"/>
  <c r="E34" i="373"/>
  <c r="E54" i="373" s="1"/>
  <c r="F36" i="373"/>
  <c r="F52" i="373"/>
  <c r="D90" i="373"/>
  <c r="D63" i="373" s="1"/>
  <c r="D64" i="373" s="1"/>
  <c r="E96" i="373"/>
  <c r="E98" i="373" s="1"/>
  <c r="D96" i="373"/>
  <c r="D98" i="373" s="1"/>
  <c r="C96" i="373"/>
  <c r="F95" i="373"/>
  <c r="C95" i="373"/>
  <c r="C98" i="373" s="1"/>
  <c r="F94" i="373"/>
  <c r="C94" i="373"/>
  <c r="E74" i="373"/>
  <c r="D74" i="373"/>
  <c r="E73" i="373"/>
  <c r="D73" i="373"/>
  <c r="L72" i="373"/>
  <c r="K72" i="373"/>
  <c r="J72" i="373"/>
  <c r="C72" i="373"/>
  <c r="M71" i="373"/>
  <c r="M70" i="373"/>
  <c r="M69" i="373"/>
  <c r="I59" i="373"/>
  <c r="J58" i="373" s="1"/>
  <c r="F16" i="373"/>
  <c r="E16" i="373"/>
  <c r="F6" i="373"/>
  <c r="E6" i="373"/>
  <c r="D94" i="370"/>
  <c r="D68" i="370" s="1"/>
  <c r="D69" i="370" s="1"/>
  <c r="D72" i="370"/>
  <c r="D73" i="370" s="1"/>
  <c r="D75" i="370" s="1"/>
  <c r="E38" i="370"/>
  <c r="E59" i="370" s="1"/>
  <c r="E14" i="370"/>
  <c r="E100" i="370"/>
  <c r="E102" i="370" s="1"/>
  <c r="D100" i="370"/>
  <c r="D102" i="370" s="1"/>
  <c r="C100" i="370"/>
  <c r="F99" i="370"/>
  <c r="C99" i="370"/>
  <c r="C102" i="370" s="1"/>
  <c r="F98" i="370"/>
  <c r="C98" i="370"/>
  <c r="E79" i="370"/>
  <c r="D79" i="370"/>
  <c r="E78" i="370"/>
  <c r="D78" i="370"/>
  <c r="L77" i="370"/>
  <c r="K77" i="370"/>
  <c r="J77" i="370"/>
  <c r="C77" i="370"/>
  <c r="M76" i="370"/>
  <c r="M75" i="370"/>
  <c r="M74" i="370"/>
  <c r="I64" i="370"/>
  <c r="J63" i="370" s="1"/>
  <c r="F59" i="370"/>
  <c r="F14" i="370"/>
  <c r="F6" i="370"/>
  <c r="E6" i="370"/>
  <c r="D79" i="369"/>
  <c r="D80" i="369" s="1"/>
  <c r="D82" i="369" s="1"/>
  <c r="E66" i="369"/>
  <c r="F44" i="369"/>
  <c r="F66" i="369" s="1"/>
  <c r="D95" i="369"/>
  <c r="D75" i="369" s="1"/>
  <c r="D76" i="369" s="1"/>
  <c r="C101" i="369"/>
  <c r="C99" i="369"/>
  <c r="E20" i="369"/>
  <c r="F20" i="369"/>
  <c r="E101" i="369"/>
  <c r="E103" i="369" s="1"/>
  <c r="D101" i="369"/>
  <c r="D103" i="369" s="1"/>
  <c r="F100" i="369"/>
  <c r="C100" i="369"/>
  <c r="C103" i="369" s="1"/>
  <c r="F99" i="369"/>
  <c r="E86" i="369"/>
  <c r="D86" i="369"/>
  <c r="E85" i="369"/>
  <c r="D85" i="369"/>
  <c r="L84" i="369"/>
  <c r="K84" i="369"/>
  <c r="J84" i="369"/>
  <c r="C84" i="369"/>
  <c r="M83" i="369"/>
  <c r="M82" i="369"/>
  <c r="M81" i="369"/>
  <c r="I71" i="369"/>
  <c r="J70" i="369" s="1"/>
  <c r="F6" i="369"/>
  <c r="E6" i="369"/>
  <c r="D98" i="368"/>
  <c r="D99" i="368" s="1"/>
  <c r="D101" i="368" s="1"/>
  <c r="D110" i="368"/>
  <c r="D94" i="368" s="1"/>
  <c r="D95" i="368" s="1"/>
  <c r="E116" i="368"/>
  <c r="E118" i="368" s="1"/>
  <c r="D116" i="368"/>
  <c r="D118" i="368" s="1"/>
  <c r="C116" i="368"/>
  <c r="F115" i="368"/>
  <c r="C115" i="368"/>
  <c r="C118" i="368" s="1"/>
  <c r="F114" i="368"/>
  <c r="C114" i="368"/>
  <c r="E105" i="368"/>
  <c r="D105" i="368"/>
  <c r="E104" i="368"/>
  <c r="D104" i="368"/>
  <c r="L103" i="368"/>
  <c r="K103" i="368"/>
  <c r="J103" i="368"/>
  <c r="C103" i="368"/>
  <c r="M102" i="368"/>
  <c r="M101" i="368"/>
  <c r="M100" i="368"/>
  <c r="I90" i="368"/>
  <c r="J89" i="368" s="1"/>
  <c r="E85" i="368"/>
  <c r="F51" i="368"/>
  <c r="F85" i="368" s="1"/>
  <c r="F19" i="368"/>
  <c r="E19" i="368"/>
  <c r="F6" i="368"/>
  <c r="E6" i="368"/>
  <c r="D93" i="366"/>
  <c r="D94" i="366" s="1"/>
  <c r="D96" i="366" s="1"/>
  <c r="I84" i="366"/>
  <c r="I85" i="366" s="1"/>
  <c r="J84" i="366" s="1"/>
  <c r="E31" i="366"/>
  <c r="F7" i="366"/>
  <c r="E143" i="366"/>
  <c r="E145" i="366" s="1"/>
  <c r="D143" i="366"/>
  <c r="D145" i="366" s="1"/>
  <c r="C143" i="366"/>
  <c r="F142" i="366"/>
  <c r="C142" i="366"/>
  <c r="C145" i="366" s="1"/>
  <c r="F141" i="366"/>
  <c r="C141" i="366"/>
  <c r="D137" i="366"/>
  <c r="D89" i="366" s="1"/>
  <c r="D90" i="366" s="1"/>
  <c r="E100" i="366"/>
  <c r="D100" i="366"/>
  <c r="E99" i="366"/>
  <c r="D99" i="366"/>
  <c r="L98" i="366"/>
  <c r="K98" i="366"/>
  <c r="J98" i="366"/>
  <c r="C98" i="366"/>
  <c r="M97" i="366"/>
  <c r="M96" i="366"/>
  <c r="M95" i="366"/>
  <c r="E80" i="366"/>
  <c r="F80" i="366"/>
  <c r="F31" i="366"/>
  <c r="E7" i="366"/>
  <c r="D56" i="365"/>
  <c r="D57" i="365" s="1"/>
  <c r="D59" i="365" s="1"/>
  <c r="E43" i="365"/>
  <c r="F32" i="365"/>
  <c r="F43" i="365" s="1"/>
  <c r="E106" i="365"/>
  <c r="E108" i="365" s="1"/>
  <c r="D106" i="365"/>
  <c r="D108" i="365" s="1"/>
  <c r="C106" i="365"/>
  <c r="F105" i="365"/>
  <c r="C105" i="365"/>
  <c r="C108" i="365" s="1"/>
  <c r="F104" i="365"/>
  <c r="C104" i="365"/>
  <c r="D100" i="365"/>
  <c r="D52" i="365" s="1"/>
  <c r="D53" i="365" s="1"/>
  <c r="E63" i="365"/>
  <c r="D63" i="365"/>
  <c r="E62" i="365"/>
  <c r="D62" i="365"/>
  <c r="L61" i="365"/>
  <c r="K61" i="365"/>
  <c r="J61" i="365"/>
  <c r="C61" i="365"/>
  <c r="M60" i="365"/>
  <c r="M59" i="365"/>
  <c r="M58" i="365"/>
  <c r="I48" i="365"/>
  <c r="J47" i="365" s="1"/>
  <c r="F13" i="365"/>
  <c r="E13" i="365"/>
  <c r="F6" i="365"/>
  <c r="E6" i="365"/>
  <c r="D72" i="364"/>
  <c r="D73" i="364" s="1"/>
  <c r="D75" i="364" s="1"/>
  <c r="F51" i="364"/>
  <c r="F59" i="364" s="1"/>
  <c r="E122" i="364"/>
  <c r="E124" i="364" s="1"/>
  <c r="D122" i="364"/>
  <c r="D124" i="364" s="1"/>
  <c r="C122" i="364"/>
  <c r="F121" i="364"/>
  <c r="C121" i="364"/>
  <c r="C124" i="364" s="1"/>
  <c r="F120" i="364"/>
  <c r="C120" i="364"/>
  <c r="D116" i="364"/>
  <c r="D68" i="364" s="1"/>
  <c r="D69" i="364" s="1"/>
  <c r="E79" i="364"/>
  <c r="D79" i="364"/>
  <c r="E78" i="364"/>
  <c r="D78" i="364"/>
  <c r="L77" i="364"/>
  <c r="K77" i="364"/>
  <c r="J77" i="364"/>
  <c r="C77" i="364"/>
  <c r="M76" i="364"/>
  <c r="M75" i="364"/>
  <c r="M74" i="364"/>
  <c r="I64" i="364"/>
  <c r="J63" i="364" s="1"/>
  <c r="E59" i="364"/>
  <c r="F31" i="364"/>
  <c r="E31" i="364"/>
  <c r="F6" i="364"/>
  <c r="E6" i="364"/>
  <c r="D128" i="363"/>
  <c r="D80" i="363" s="1"/>
  <c r="D81" i="363" s="1"/>
  <c r="F43" i="363"/>
  <c r="F71" i="363" s="1"/>
  <c r="F15" i="363"/>
  <c r="E15" i="363"/>
  <c r="E134" i="363"/>
  <c r="E136" i="363" s="1"/>
  <c r="D134" i="363"/>
  <c r="D136" i="363" s="1"/>
  <c r="C134" i="363"/>
  <c r="F133" i="363"/>
  <c r="C133" i="363"/>
  <c r="C136" i="363" s="1"/>
  <c r="F132" i="363"/>
  <c r="C132" i="363"/>
  <c r="E91" i="363"/>
  <c r="D91" i="363"/>
  <c r="E90" i="363"/>
  <c r="D90" i="363"/>
  <c r="L89" i="363"/>
  <c r="K89" i="363"/>
  <c r="J89" i="363"/>
  <c r="C89" i="363"/>
  <c r="M88" i="363"/>
  <c r="M87" i="363"/>
  <c r="M86" i="363"/>
  <c r="D84" i="363"/>
  <c r="D85" i="363" s="1"/>
  <c r="D87" i="363" s="1"/>
  <c r="I76" i="363"/>
  <c r="J75" i="363" s="1"/>
  <c r="E71" i="363"/>
  <c r="F6" i="363"/>
  <c r="E6" i="363"/>
  <c r="D86" i="362"/>
  <c r="D87" i="362" s="1"/>
  <c r="D89" i="362" s="1"/>
  <c r="D129" i="362"/>
  <c r="D82" i="362" s="1"/>
  <c r="D83" i="362" s="1"/>
  <c r="F16" i="362"/>
  <c r="E135" i="362"/>
  <c r="E137" i="362" s="1"/>
  <c r="D135" i="362"/>
  <c r="D137" i="362" s="1"/>
  <c r="C135" i="362"/>
  <c r="F134" i="362"/>
  <c r="C134" i="362"/>
  <c r="C137" i="362" s="1"/>
  <c r="F133" i="362"/>
  <c r="C133" i="362"/>
  <c r="E93" i="362"/>
  <c r="E92" i="362"/>
  <c r="D92" i="362"/>
  <c r="K91" i="362"/>
  <c r="J91" i="362"/>
  <c r="C91" i="362"/>
  <c r="D93" i="362"/>
  <c r="M89" i="362"/>
  <c r="M88" i="362"/>
  <c r="I78" i="362"/>
  <c r="J77" i="362" s="1"/>
  <c r="F73" i="362"/>
  <c r="E73" i="362"/>
  <c r="E16" i="362"/>
  <c r="F6" i="362"/>
  <c r="E6" i="362"/>
  <c r="D61" i="361"/>
  <c r="D62" i="361" s="1"/>
  <c r="D64" i="361" s="1"/>
  <c r="L65" i="361"/>
  <c r="D68" i="361" s="1"/>
  <c r="M90" i="362"/>
  <c r="L91" i="362"/>
  <c r="E109" i="361"/>
  <c r="E111" i="361" s="1"/>
  <c r="D109" i="361"/>
  <c r="D111" i="361" s="1"/>
  <c r="C109" i="361"/>
  <c r="F108" i="361"/>
  <c r="C108" i="361"/>
  <c r="C111" i="361" s="1"/>
  <c r="F107" i="361"/>
  <c r="C107" i="361"/>
  <c r="D82" i="361"/>
  <c r="D103" i="361" s="1"/>
  <c r="D57" i="361" s="1"/>
  <c r="D58" i="361" s="1"/>
  <c r="E68" i="361"/>
  <c r="E67" i="361"/>
  <c r="D67" i="361"/>
  <c r="K66" i="361"/>
  <c r="J66" i="361"/>
  <c r="C66" i="361"/>
  <c r="M64" i="361"/>
  <c r="M63" i="361"/>
  <c r="I52" i="361"/>
  <c r="I53" i="361" s="1"/>
  <c r="J52" i="361" s="1"/>
  <c r="F48" i="361"/>
  <c r="E48" i="361"/>
  <c r="F12" i="361"/>
  <c r="E12" i="361"/>
  <c r="F6" i="361"/>
  <c r="E6" i="361"/>
  <c r="D73" i="360"/>
  <c r="D74" i="360" s="1"/>
  <c r="D76" i="360" s="1"/>
  <c r="F14" i="360"/>
  <c r="F6" i="360"/>
  <c r="E121" i="360"/>
  <c r="E123" i="360" s="1"/>
  <c r="D121" i="360"/>
  <c r="D123" i="360" s="1"/>
  <c r="C121" i="360"/>
  <c r="F120" i="360"/>
  <c r="C120" i="360"/>
  <c r="C123" i="360" s="1"/>
  <c r="F119" i="360"/>
  <c r="C119" i="360"/>
  <c r="D94" i="360"/>
  <c r="D115" i="360" s="1"/>
  <c r="D69" i="360" s="1"/>
  <c r="D70" i="360" s="1"/>
  <c r="E80" i="360"/>
  <c r="D80" i="360"/>
  <c r="E79" i="360"/>
  <c r="D79" i="360"/>
  <c r="L78" i="360"/>
  <c r="K78" i="360"/>
  <c r="J78" i="360"/>
  <c r="C78" i="360"/>
  <c r="M77" i="360"/>
  <c r="M76" i="360"/>
  <c r="M75" i="360"/>
  <c r="I64" i="360"/>
  <c r="I65" i="360" s="1"/>
  <c r="J64" i="360" s="1"/>
  <c r="F60" i="360"/>
  <c r="E60" i="360"/>
  <c r="E14" i="360"/>
  <c r="E6" i="360"/>
  <c r="D76" i="359"/>
  <c r="D77" i="359" s="1"/>
  <c r="D79" i="359" s="1"/>
  <c r="E14" i="359"/>
  <c r="E8" i="359"/>
  <c r="F8" i="359"/>
  <c r="E124" i="359"/>
  <c r="E126" i="359" s="1"/>
  <c r="D124" i="359"/>
  <c r="D126" i="359" s="1"/>
  <c r="C124" i="359"/>
  <c r="F123" i="359"/>
  <c r="C123" i="359"/>
  <c r="C126" i="359" s="1"/>
  <c r="F122" i="359"/>
  <c r="C122" i="359"/>
  <c r="D97" i="359"/>
  <c r="D118" i="359" s="1"/>
  <c r="D72" i="359" s="1"/>
  <c r="D73" i="359" s="1"/>
  <c r="E83" i="359"/>
  <c r="D83" i="359"/>
  <c r="E82" i="359"/>
  <c r="D82" i="359"/>
  <c r="L81" i="359"/>
  <c r="K81" i="359"/>
  <c r="J81" i="359"/>
  <c r="C81" i="359"/>
  <c r="M80" i="359"/>
  <c r="M79" i="359"/>
  <c r="M78" i="359"/>
  <c r="I67" i="359"/>
  <c r="I68" i="359" s="1"/>
  <c r="J67" i="359" s="1"/>
  <c r="F63" i="359"/>
  <c r="E63" i="359"/>
  <c r="F14" i="359"/>
  <c r="D71" i="358"/>
  <c r="D72" i="358" s="1"/>
  <c r="D74" i="358" s="1"/>
  <c r="E13" i="358"/>
  <c r="F6" i="358"/>
  <c r="E114" i="358"/>
  <c r="E116" i="358" s="1"/>
  <c r="D114" i="358"/>
  <c r="D116" i="358" s="1"/>
  <c r="C114" i="358"/>
  <c r="F113" i="358"/>
  <c r="C113" i="358"/>
  <c r="C116" i="358" s="1"/>
  <c r="F112" i="358"/>
  <c r="C112" i="358"/>
  <c r="D92" i="358"/>
  <c r="D108" i="358" s="1"/>
  <c r="D67" i="358" s="1"/>
  <c r="D68" i="358" s="1"/>
  <c r="E78" i="358"/>
  <c r="D78" i="358"/>
  <c r="E77" i="358"/>
  <c r="D77" i="358"/>
  <c r="L76" i="358"/>
  <c r="K76" i="358"/>
  <c r="J76" i="358"/>
  <c r="C76" i="358"/>
  <c r="M75" i="358"/>
  <c r="M74" i="358"/>
  <c r="M73" i="358"/>
  <c r="I62" i="358"/>
  <c r="I63" i="358" s="1"/>
  <c r="J62" i="358" s="1"/>
  <c r="F58" i="358"/>
  <c r="E58" i="358"/>
  <c r="F13" i="358"/>
  <c r="E6" i="358"/>
  <c r="D91" i="357"/>
  <c r="D92" i="357" s="1"/>
  <c r="D94" i="357" s="1"/>
  <c r="F32" i="357"/>
  <c r="F7" i="357"/>
  <c r="E132" i="357"/>
  <c r="E134" i="357" s="1"/>
  <c r="D132" i="357"/>
  <c r="D134" i="357" s="1"/>
  <c r="C132" i="357"/>
  <c r="F131" i="357"/>
  <c r="C131" i="357"/>
  <c r="C134" i="357" s="1"/>
  <c r="F130" i="357"/>
  <c r="C130" i="357"/>
  <c r="D111" i="357"/>
  <c r="D126" i="357" s="1"/>
  <c r="D87" i="357" s="1"/>
  <c r="D88" i="357" s="1"/>
  <c r="E98" i="357"/>
  <c r="D98" i="357"/>
  <c r="E97" i="357"/>
  <c r="D97" i="357"/>
  <c r="L96" i="357"/>
  <c r="K96" i="357"/>
  <c r="J96" i="357"/>
  <c r="C96" i="357"/>
  <c r="M95" i="357"/>
  <c r="M94" i="357"/>
  <c r="M93" i="357"/>
  <c r="I82" i="357"/>
  <c r="I83" i="357" s="1"/>
  <c r="J82" i="357" s="1"/>
  <c r="E78" i="357"/>
  <c r="F78" i="357"/>
  <c r="E32" i="357"/>
  <c r="E7" i="357"/>
  <c r="E8" i="357" s="1"/>
  <c r="D65" i="356"/>
  <c r="D66" i="356" s="1"/>
  <c r="D68" i="356" s="1"/>
  <c r="F46" i="356"/>
  <c r="F52" i="356" s="1"/>
  <c r="E105" i="356"/>
  <c r="E107" i="356" s="1"/>
  <c r="D105" i="356"/>
  <c r="D107" i="356" s="1"/>
  <c r="C105" i="356"/>
  <c r="F104" i="356"/>
  <c r="C104" i="356"/>
  <c r="C107" i="356" s="1"/>
  <c r="F103" i="356"/>
  <c r="C103" i="356"/>
  <c r="D85" i="356"/>
  <c r="D99" i="356" s="1"/>
  <c r="D61" i="356" s="1"/>
  <c r="D62" i="356" s="1"/>
  <c r="E72" i="356"/>
  <c r="D72" i="356"/>
  <c r="E71" i="356"/>
  <c r="D71" i="356"/>
  <c r="L70" i="356"/>
  <c r="K70" i="356"/>
  <c r="J70" i="356"/>
  <c r="C70" i="356"/>
  <c r="M69" i="356"/>
  <c r="M68" i="356"/>
  <c r="M67" i="356"/>
  <c r="I56" i="356"/>
  <c r="I57" i="356" s="1"/>
  <c r="J56" i="356" s="1"/>
  <c r="E52" i="356"/>
  <c r="F19" i="356"/>
  <c r="E19" i="356"/>
  <c r="F6" i="356"/>
  <c r="E6" i="356"/>
  <c r="D89" i="355"/>
  <c r="D90" i="355" s="1"/>
  <c r="D92" i="355" s="1"/>
  <c r="I80" i="355"/>
  <c r="I81" i="355" s="1"/>
  <c r="J80" i="355" s="1"/>
  <c r="F20" i="355"/>
  <c r="E20" i="355"/>
  <c r="E121" i="355"/>
  <c r="E123" i="355" s="1"/>
  <c r="D121" i="355"/>
  <c r="D123" i="355" s="1"/>
  <c r="C121" i="355"/>
  <c r="F120" i="355"/>
  <c r="C120" i="355"/>
  <c r="C123" i="355" s="1"/>
  <c r="F119" i="355"/>
  <c r="C119" i="355"/>
  <c r="D109" i="355"/>
  <c r="D115" i="355" s="1"/>
  <c r="D85" i="355" s="1"/>
  <c r="D86" i="355" s="1"/>
  <c r="E96" i="355"/>
  <c r="D96" i="355"/>
  <c r="E95" i="355"/>
  <c r="D95" i="355"/>
  <c r="L94" i="355"/>
  <c r="K94" i="355"/>
  <c r="J94" i="355"/>
  <c r="C94" i="355"/>
  <c r="M93" i="355"/>
  <c r="M92" i="355"/>
  <c r="M91" i="355"/>
  <c r="F76" i="355"/>
  <c r="E76" i="355"/>
  <c r="F6" i="355"/>
  <c r="E6" i="355"/>
  <c r="D60" i="354"/>
  <c r="D61" i="354" s="1"/>
  <c r="D63" i="354" s="1"/>
  <c r="E92" i="354"/>
  <c r="E94" i="354" s="1"/>
  <c r="D92" i="354"/>
  <c r="D94" i="354" s="1"/>
  <c r="C92" i="354"/>
  <c r="F91" i="354"/>
  <c r="C91" i="354"/>
  <c r="C94" i="354" s="1"/>
  <c r="F90" i="354"/>
  <c r="C90" i="354"/>
  <c r="D80" i="354"/>
  <c r="D86" i="354" s="1"/>
  <c r="D56" i="354" s="1"/>
  <c r="D57" i="354" s="1"/>
  <c r="E67" i="354"/>
  <c r="D67" i="354"/>
  <c r="E66" i="354"/>
  <c r="D66" i="354"/>
  <c r="L65" i="354"/>
  <c r="K65" i="354"/>
  <c r="J65" i="354"/>
  <c r="C65" i="354"/>
  <c r="M64" i="354"/>
  <c r="M63" i="354"/>
  <c r="M62" i="354"/>
  <c r="I52" i="354"/>
  <c r="J51" i="354" s="1"/>
  <c r="F47" i="354"/>
  <c r="E47" i="354"/>
  <c r="F13" i="354"/>
  <c r="E13" i="354"/>
  <c r="F6" i="354"/>
  <c r="E6" i="354"/>
  <c r="D86" i="353"/>
  <c r="D87" i="353" s="1"/>
  <c r="D89" i="353" s="1"/>
  <c r="D106" i="353"/>
  <c r="D112" i="353" s="1"/>
  <c r="D82" i="353" s="1"/>
  <c r="D83" i="353" s="1"/>
  <c r="E73" i="353"/>
  <c r="F73" i="353"/>
  <c r="F6" i="353"/>
  <c r="E118" i="353"/>
  <c r="E120" i="353" s="1"/>
  <c r="D118" i="353"/>
  <c r="D120" i="353" s="1"/>
  <c r="C118" i="353"/>
  <c r="F117" i="353"/>
  <c r="C117" i="353"/>
  <c r="C120" i="353" s="1"/>
  <c r="F116" i="353"/>
  <c r="C116" i="353"/>
  <c r="E93" i="353"/>
  <c r="D93" i="353"/>
  <c r="E92" i="353"/>
  <c r="D92" i="353"/>
  <c r="L91" i="353"/>
  <c r="K91" i="353"/>
  <c r="J91" i="353"/>
  <c r="C91" i="353"/>
  <c r="M90" i="353"/>
  <c r="M89" i="353"/>
  <c r="M88" i="353"/>
  <c r="I78" i="353"/>
  <c r="J77" i="353" s="1"/>
  <c r="F17" i="353"/>
  <c r="E17" i="353"/>
  <c r="E6" i="353"/>
  <c r="D76" i="352"/>
  <c r="D77" i="352" s="1"/>
  <c r="D79" i="352" s="1"/>
  <c r="D100" i="352"/>
  <c r="D72" i="352" s="1"/>
  <c r="D73" i="352" s="1"/>
  <c r="F53" i="352"/>
  <c r="F63" i="352" s="1"/>
  <c r="F7" i="352"/>
  <c r="E106" i="352"/>
  <c r="E108" i="352" s="1"/>
  <c r="D106" i="352"/>
  <c r="D108" i="352" s="1"/>
  <c r="C106" i="352"/>
  <c r="F105" i="352"/>
  <c r="C105" i="352"/>
  <c r="C108" i="352" s="1"/>
  <c r="F104" i="352"/>
  <c r="C104" i="352"/>
  <c r="E83" i="352"/>
  <c r="D83" i="352"/>
  <c r="E82" i="352"/>
  <c r="D82" i="352"/>
  <c r="L81" i="352"/>
  <c r="K81" i="352"/>
  <c r="J81" i="352"/>
  <c r="C81" i="352"/>
  <c r="M80" i="352"/>
  <c r="M79" i="352"/>
  <c r="M78" i="352"/>
  <c r="I68" i="352"/>
  <c r="J67" i="352" s="1"/>
  <c r="E63" i="352"/>
  <c r="F16" i="352"/>
  <c r="E16" i="352"/>
  <c r="E7" i="352"/>
  <c r="D102" i="351"/>
  <c r="D76" i="351" s="1"/>
  <c r="D77" i="351" s="1"/>
  <c r="E67" i="351"/>
  <c r="F67" i="351"/>
  <c r="E108" i="351"/>
  <c r="E110" i="351" s="1"/>
  <c r="D108" i="351"/>
  <c r="D110" i="351" s="1"/>
  <c r="C108" i="351"/>
  <c r="F107" i="351"/>
  <c r="C107" i="351"/>
  <c r="C110" i="351" s="1"/>
  <c r="F106" i="351"/>
  <c r="C106" i="351"/>
  <c r="E87" i="351"/>
  <c r="D87" i="351"/>
  <c r="E86" i="351"/>
  <c r="D86" i="351"/>
  <c r="L85" i="351"/>
  <c r="K85" i="351"/>
  <c r="J85" i="351"/>
  <c r="C85" i="351"/>
  <c r="M84" i="351"/>
  <c r="M83" i="351"/>
  <c r="M82" i="351"/>
  <c r="D80" i="351"/>
  <c r="D81" i="351" s="1"/>
  <c r="D83" i="351" s="1"/>
  <c r="I72" i="351"/>
  <c r="J71" i="351" s="1"/>
  <c r="F16" i="351"/>
  <c r="E16" i="351"/>
  <c r="F6" i="351"/>
  <c r="E6" i="351"/>
  <c r="F61" i="350"/>
  <c r="F62" i="350" s="1"/>
  <c r="E25" i="350"/>
  <c r="E62" i="350" s="1"/>
  <c r="D96" i="350"/>
  <c r="D71" i="350" s="1"/>
  <c r="D72" i="350" s="1"/>
  <c r="E102" i="350"/>
  <c r="E104" i="350" s="1"/>
  <c r="D102" i="350"/>
  <c r="D104" i="350" s="1"/>
  <c r="C102" i="350"/>
  <c r="F101" i="350"/>
  <c r="C101" i="350"/>
  <c r="C104" i="350" s="1"/>
  <c r="F100" i="350"/>
  <c r="C100" i="350"/>
  <c r="E82" i="350"/>
  <c r="D82" i="350"/>
  <c r="E81" i="350"/>
  <c r="D81" i="350"/>
  <c r="L80" i="350"/>
  <c r="K80" i="350"/>
  <c r="J80" i="350"/>
  <c r="C80" i="350"/>
  <c r="M79" i="350"/>
  <c r="M78" i="350"/>
  <c r="M77" i="350"/>
  <c r="D75" i="350"/>
  <c r="D76" i="350" s="1"/>
  <c r="D78" i="350" s="1"/>
  <c r="I67" i="350"/>
  <c r="J66" i="350" s="1"/>
  <c r="F16" i="350"/>
  <c r="E16" i="350"/>
  <c r="F6" i="350"/>
  <c r="E6" i="350"/>
  <c r="D98" i="349"/>
  <c r="D74" i="349" s="1"/>
  <c r="D75" i="349" s="1"/>
  <c r="F38" i="349"/>
  <c r="F65" i="349" s="1"/>
  <c r="E7" i="349"/>
  <c r="F7" i="349"/>
  <c r="F102" i="349"/>
  <c r="F103" i="349"/>
  <c r="E104" i="349"/>
  <c r="E106" i="349" s="1"/>
  <c r="D104" i="349"/>
  <c r="D106" i="349" s="1"/>
  <c r="C103" i="349"/>
  <c r="C106" i="349" s="1"/>
  <c r="C104" i="349"/>
  <c r="C102" i="349"/>
  <c r="D85" i="349"/>
  <c r="E85" i="349"/>
  <c r="D84" i="349"/>
  <c r="E84" i="349"/>
  <c r="M80" i="349"/>
  <c r="M81" i="349"/>
  <c r="M82" i="349"/>
  <c r="L83" i="349"/>
  <c r="K83" i="349"/>
  <c r="J83" i="349"/>
  <c r="C83" i="349"/>
  <c r="D78" i="349"/>
  <c r="D79" i="349" s="1"/>
  <c r="D81" i="349" s="1"/>
  <c r="I70" i="349"/>
  <c r="J69" i="349" s="1"/>
  <c r="E65" i="349"/>
  <c r="F22" i="349"/>
  <c r="E22" i="349"/>
  <c r="F75" i="348"/>
  <c r="F76" i="348"/>
  <c r="D77" i="348"/>
  <c r="D79" i="348" s="1"/>
  <c r="D55" i="348"/>
  <c r="D56" i="348" s="1"/>
  <c r="D58" i="348" s="1"/>
  <c r="E77" i="348"/>
  <c r="E79" i="348" s="1"/>
  <c r="C76" i="348"/>
  <c r="C79" i="348" s="1"/>
  <c r="C77" i="348"/>
  <c r="C75" i="348"/>
  <c r="D71" i="348"/>
  <c r="D51" i="348" s="1"/>
  <c r="D52" i="348" s="1"/>
  <c r="D62" i="348"/>
  <c r="E62" i="348"/>
  <c r="D61" i="348"/>
  <c r="E61" i="348"/>
  <c r="M57" i="348"/>
  <c r="M58" i="348"/>
  <c r="M59" i="348"/>
  <c r="L60" i="348"/>
  <c r="K60" i="348"/>
  <c r="J60" i="348"/>
  <c r="C60" i="348"/>
  <c r="I47" i="348"/>
  <c r="J46" i="348" s="1"/>
  <c r="F42" i="348"/>
  <c r="E42" i="348"/>
  <c r="F17" i="348"/>
  <c r="E17" i="348"/>
  <c r="E6" i="348"/>
  <c r="F6" i="348"/>
  <c r="F53" i="347"/>
  <c r="F68" i="347" s="1"/>
  <c r="E31" i="347"/>
  <c r="E68" i="347" s="1"/>
  <c r="E25" i="347"/>
  <c r="F25" i="347"/>
  <c r="F6" i="347"/>
  <c r="F101" i="347"/>
  <c r="F102" i="347"/>
  <c r="E103" i="347"/>
  <c r="E105" i="347" s="1"/>
  <c r="D103" i="347"/>
  <c r="D105" i="347" s="1"/>
  <c r="C102" i="347"/>
  <c r="C105" i="347" s="1"/>
  <c r="C103" i="347"/>
  <c r="C101" i="347"/>
  <c r="D97" i="347"/>
  <c r="D77" i="347" s="1"/>
  <c r="D78" i="347" s="1"/>
  <c r="D88" i="347"/>
  <c r="E88" i="347"/>
  <c r="D87" i="347"/>
  <c r="E87" i="347"/>
  <c r="M83" i="347"/>
  <c r="M84" i="347"/>
  <c r="M85" i="347"/>
  <c r="L86" i="347"/>
  <c r="K86" i="347"/>
  <c r="J86" i="347"/>
  <c r="C86" i="347"/>
  <c r="D81" i="347"/>
  <c r="D82" i="347" s="1"/>
  <c r="D84" i="347" s="1"/>
  <c r="I73" i="347"/>
  <c r="J72" i="347" s="1"/>
  <c r="E6" i="347"/>
  <c r="D88" i="346"/>
  <c r="D89" i="346" s="1"/>
  <c r="D91" i="346" s="1"/>
  <c r="D104" i="346"/>
  <c r="D84" i="346" s="1"/>
  <c r="D85" i="346" s="1"/>
  <c r="E23" i="346"/>
  <c r="F23" i="346"/>
  <c r="E8" i="346"/>
  <c r="F8" i="346"/>
  <c r="E110" i="346"/>
  <c r="E112" i="346" s="1"/>
  <c r="D110" i="346"/>
  <c r="D112" i="346" s="1"/>
  <c r="C110" i="346"/>
  <c r="F109" i="346"/>
  <c r="C109" i="346"/>
  <c r="C112" i="346" s="1"/>
  <c r="F108" i="346"/>
  <c r="C108" i="346"/>
  <c r="E95" i="346"/>
  <c r="D95" i="346"/>
  <c r="E94" i="346"/>
  <c r="D94" i="346"/>
  <c r="L93" i="346"/>
  <c r="K93" i="346"/>
  <c r="J93" i="346"/>
  <c r="C93" i="346"/>
  <c r="M92" i="346"/>
  <c r="M91" i="346"/>
  <c r="M90" i="346"/>
  <c r="I80" i="346"/>
  <c r="J79" i="346" s="1"/>
  <c r="E75" i="346"/>
  <c r="F75" i="346"/>
  <c r="D101" i="345"/>
  <c r="D83" i="345" s="1"/>
  <c r="D84" i="345" s="1"/>
  <c r="E74" i="345"/>
  <c r="F40" i="345"/>
  <c r="F74" i="345" s="1"/>
  <c r="J74" i="345"/>
  <c r="E7" i="345"/>
  <c r="E8" i="345" s="1"/>
  <c r="E107" i="345"/>
  <c r="E109" i="345" s="1"/>
  <c r="D107" i="345"/>
  <c r="D109" i="345" s="1"/>
  <c r="C107" i="345"/>
  <c r="F106" i="345"/>
  <c r="C106" i="345"/>
  <c r="C109" i="345" s="1"/>
  <c r="F105" i="345"/>
  <c r="C105" i="345"/>
  <c r="E94" i="345"/>
  <c r="D94" i="345"/>
  <c r="E93" i="345"/>
  <c r="D93" i="345"/>
  <c r="L92" i="345"/>
  <c r="K92" i="345"/>
  <c r="J92" i="345"/>
  <c r="C92" i="345"/>
  <c r="M91" i="345"/>
  <c r="M90" i="345"/>
  <c r="M89" i="345"/>
  <c r="D88" i="345"/>
  <c r="D90" i="345" s="1"/>
  <c r="I79" i="345"/>
  <c r="J78" i="345" s="1"/>
  <c r="F15" i="345"/>
  <c r="E15" i="345"/>
  <c r="D76" i="344"/>
  <c r="D78" i="344" s="1"/>
  <c r="D80" i="344" s="1"/>
  <c r="F24" i="344"/>
  <c r="E24" i="344"/>
  <c r="E95" i="344"/>
  <c r="E97" i="344" s="1"/>
  <c r="D95" i="344"/>
  <c r="D97" i="344" s="1"/>
  <c r="C95" i="344"/>
  <c r="F94" i="344"/>
  <c r="C94" i="344"/>
  <c r="C97" i="344" s="1"/>
  <c r="F93" i="344"/>
  <c r="C93" i="344"/>
  <c r="D89" i="344"/>
  <c r="D73" i="344" s="1"/>
  <c r="D74" i="344" s="1"/>
  <c r="E84" i="344"/>
  <c r="D84" i="344"/>
  <c r="E83" i="344"/>
  <c r="D83" i="344"/>
  <c r="L82" i="344"/>
  <c r="K82" i="344"/>
  <c r="J82" i="344"/>
  <c r="C82" i="344"/>
  <c r="M81" i="344"/>
  <c r="M80" i="344"/>
  <c r="M79" i="344"/>
  <c r="I69" i="344"/>
  <c r="J68" i="344" s="1"/>
  <c r="F64" i="344"/>
  <c r="E64" i="344"/>
  <c r="E6" i="344"/>
  <c r="E7" i="344" s="1"/>
  <c r="E127" i="339"/>
  <c r="E129" i="339" s="1"/>
  <c r="D127" i="339"/>
  <c r="D129" i="339" s="1"/>
  <c r="C81" i="343"/>
  <c r="C79" i="343"/>
  <c r="E81" i="343"/>
  <c r="E83" i="343" s="1"/>
  <c r="D81" i="343"/>
  <c r="D83" i="343" s="1"/>
  <c r="F80" i="343"/>
  <c r="C80" i="343"/>
  <c r="C83" i="343" s="1"/>
  <c r="F79" i="343"/>
  <c r="D75" i="343"/>
  <c r="D59" i="343" s="1"/>
  <c r="D60" i="343" s="1"/>
  <c r="E70" i="343"/>
  <c r="D70" i="343"/>
  <c r="E69" i="343"/>
  <c r="D69" i="343"/>
  <c r="L68" i="343"/>
  <c r="K68" i="343"/>
  <c r="J68" i="343"/>
  <c r="C68" i="343"/>
  <c r="M67" i="343"/>
  <c r="M66" i="343"/>
  <c r="M65" i="343"/>
  <c r="D64" i="343"/>
  <c r="D66" i="343" s="1"/>
  <c r="I55" i="343"/>
  <c r="J54" i="343" s="1"/>
  <c r="F50" i="343"/>
  <c r="E50" i="343"/>
  <c r="F13" i="343"/>
  <c r="E13" i="343"/>
  <c r="E6" i="343"/>
  <c r="E7" i="343" s="1"/>
  <c r="C82" i="342"/>
  <c r="E84" i="342"/>
  <c r="E86" i="342" s="1"/>
  <c r="D84" i="342"/>
  <c r="D86" i="342" s="1"/>
  <c r="C84" i="342"/>
  <c r="F83" i="342"/>
  <c r="C83" i="342"/>
  <c r="C86" i="342" s="1"/>
  <c r="F82" i="342"/>
  <c r="D78" i="342"/>
  <c r="D62" i="342" s="1"/>
  <c r="D63" i="342" s="1"/>
  <c r="E73" i="342"/>
  <c r="D73" i="342"/>
  <c r="E72" i="342"/>
  <c r="D72" i="342"/>
  <c r="L71" i="342"/>
  <c r="K71" i="342"/>
  <c r="J71" i="342"/>
  <c r="C71" i="342"/>
  <c r="M70" i="342"/>
  <c r="M69" i="342"/>
  <c r="M68" i="342"/>
  <c r="D67" i="342"/>
  <c r="D69" i="342" s="1"/>
  <c r="I58" i="342"/>
  <c r="J57" i="342" s="1"/>
  <c r="F53" i="342"/>
  <c r="E53" i="342"/>
  <c r="F17" i="342"/>
  <c r="E17" i="342"/>
  <c r="E6" i="342"/>
  <c r="E7" i="342" s="1"/>
  <c r="F19" i="341"/>
  <c r="E19" i="341"/>
  <c r="D118" i="341"/>
  <c r="D102" i="341" s="1"/>
  <c r="D103" i="341" s="1"/>
  <c r="E124" i="341"/>
  <c r="E126" i="341" s="1"/>
  <c r="D124" i="341"/>
  <c r="D126" i="341" s="1"/>
  <c r="C124" i="341"/>
  <c r="F123" i="341"/>
  <c r="C123" i="341"/>
  <c r="C126" i="341" s="1"/>
  <c r="F122" i="341"/>
  <c r="C122" i="341"/>
  <c r="E113" i="341"/>
  <c r="D113" i="341"/>
  <c r="E112" i="341"/>
  <c r="D112" i="341"/>
  <c r="L111" i="341"/>
  <c r="K111" i="341"/>
  <c r="J111" i="341"/>
  <c r="C111" i="341"/>
  <c r="M110" i="341"/>
  <c r="M109" i="341"/>
  <c r="M108" i="341"/>
  <c r="D107" i="341"/>
  <c r="D109" i="341" s="1"/>
  <c r="I98" i="341"/>
  <c r="J97" i="341" s="1"/>
  <c r="F93" i="341"/>
  <c r="E93" i="341"/>
  <c r="E6" i="341"/>
  <c r="E7" i="341" s="1"/>
  <c r="I44" i="340"/>
  <c r="I47" i="340" s="1"/>
  <c r="J46" i="340" s="1"/>
  <c r="D55" i="340"/>
  <c r="D56" i="340" s="1"/>
  <c r="D58" i="340" s="1"/>
  <c r="E117" i="340"/>
  <c r="E119" i="340" s="1"/>
  <c r="D117" i="340"/>
  <c r="D119" i="340" s="1"/>
  <c r="C117" i="340"/>
  <c r="F116" i="340"/>
  <c r="C116" i="340"/>
  <c r="C119" i="340" s="1"/>
  <c r="F115" i="340"/>
  <c r="C115" i="340"/>
  <c r="D111" i="340"/>
  <c r="D51" i="340" s="1"/>
  <c r="D52" i="340" s="1"/>
  <c r="E62" i="340"/>
  <c r="D62" i="340"/>
  <c r="E61" i="340"/>
  <c r="D61" i="340"/>
  <c r="L60" i="340"/>
  <c r="K60" i="340"/>
  <c r="J60" i="340"/>
  <c r="C60" i="340"/>
  <c r="M59" i="340"/>
  <c r="M58" i="340"/>
  <c r="M57" i="340"/>
  <c r="J42" i="340"/>
  <c r="F42" i="340"/>
  <c r="E42" i="340"/>
  <c r="E6" i="340"/>
  <c r="E7" i="340" s="1"/>
  <c r="D65" i="339"/>
  <c r="D66" i="339" s="1"/>
  <c r="D68" i="339" s="1"/>
  <c r="E52" i="339"/>
  <c r="F35" i="339"/>
  <c r="F52" i="339" s="1"/>
  <c r="C127" i="339"/>
  <c r="F126" i="339"/>
  <c r="C126" i="339"/>
  <c r="C129" i="339" s="1"/>
  <c r="F125" i="339"/>
  <c r="C125" i="339"/>
  <c r="D121" i="339"/>
  <c r="D61" i="339" s="1"/>
  <c r="D62" i="339" s="1"/>
  <c r="E72" i="339"/>
  <c r="D72" i="339"/>
  <c r="E71" i="339"/>
  <c r="D71" i="339"/>
  <c r="L70" i="339"/>
  <c r="K70" i="339"/>
  <c r="J70" i="339"/>
  <c r="C70" i="339"/>
  <c r="M69" i="339"/>
  <c r="M68" i="339"/>
  <c r="M67" i="339"/>
  <c r="I57" i="339"/>
  <c r="J56" i="339" s="1"/>
  <c r="J52" i="339"/>
  <c r="E6" i="339"/>
  <c r="E7" i="339" s="1"/>
  <c r="D116" i="338"/>
  <c r="D56" i="338" s="1"/>
  <c r="D57" i="338" s="1"/>
  <c r="J47" i="338"/>
  <c r="F42" i="338"/>
  <c r="F47" i="338" s="1"/>
  <c r="E47" i="338"/>
  <c r="E122" i="338"/>
  <c r="E124" i="338" s="1"/>
  <c r="D122" i="338"/>
  <c r="D124" i="338" s="1"/>
  <c r="C122" i="338"/>
  <c r="F121" i="338"/>
  <c r="C121" i="338"/>
  <c r="C124" i="338" s="1"/>
  <c r="F120" i="338"/>
  <c r="C120" i="338"/>
  <c r="E67" i="338"/>
  <c r="D67" i="338"/>
  <c r="E66" i="338"/>
  <c r="D66" i="338"/>
  <c r="L65" i="338"/>
  <c r="K65" i="338"/>
  <c r="J65" i="338"/>
  <c r="C65" i="338"/>
  <c r="M64" i="338"/>
  <c r="M63" i="338"/>
  <c r="M62" i="338"/>
  <c r="D60" i="338"/>
  <c r="D61" i="338" s="1"/>
  <c r="D63" i="338" s="1"/>
  <c r="I52" i="338"/>
  <c r="J51" i="338" s="1"/>
  <c r="E6" i="338"/>
  <c r="E7" i="338" s="1"/>
  <c r="D91" i="337"/>
  <c r="D35" i="337" s="1"/>
  <c r="D36" i="337" s="1"/>
  <c r="E28" i="337"/>
  <c r="E97" i="337"/>
  <c r="E99" i="337" s="1"/>
  <c r="D97" i="337"/>
  <c r="D99" i="337" s="1"/>
  <c r="C97" i="337"/>
  <c r="F96" i="337"/>
  <c r="C96" i="337"/>
  <c r="C99" i="337" s="1"/>
  <c r="F95" i="337"/>
  <c r="C95" i="337"/>
  <c r="E46" i="337"/>
  <c r="D46" i="337"/>
  <c r="E45" i="337"/>
  <c r="D45" i="337"/>
  <c r="L44" i="337"/>
  <c r="K44" i="337"/>
  <c r="J44" i="337"/>
  <c r="C44" i="337"/>
  <c r="M43" i="337"/>
  <c r="M42" i="337"/>
  <c r="M41" i="337"/>
  <c r="D39" i="337"/>
  <c r="D40" i="337" s="1"/>
  <c r="D42" i="337" s="1"/>
  <c r="I31" i="337"/>
  <c r="J30" i="337" s="1"/>
  <c r="F26" i="337"/>
  <c r="E26" i="337"/>
  <c r="E6" i="337"/>
  <c r="E7" i="337" s="1"/>
  <c r="D67" i="336"/>
  <c r="D68" i="336" s="1"/>
  <c r="D70" i="336" s="1"/>
  <c r="E56" i="336"/>
  <c r="E7" i="336"/>
  <c r="E8" i="336" s="1"/>
  <c r="E121" i="336"/>
  <c r="E123" i="336" s="1"/>
  <c r="D121" i="336"/>
  <c r="D123" i="336" s="1"/>
  <c r="C121" i="336"/>
  <c r="F120" i="336"/>
  <c r="C120" i="336"/>
  <c r="C123" i="336" s="1"/>
  <c r="F119" i="336"/>
  <c r="C119" i="336"/>
  <c r="D115" i="336"/>
  <c r="D63" i="336" s="1"/>
  <c r="D64" i="336" s="1"/>
  <c r="E74" i="336"/>
  <c r="D74" i="336"/>
  <c r="E73" i="336"/>
  <c r="D73" i="336"/>
  <c r="L72" i="336"/>
  <c r="K72" i="336"/>
  <c r="J72" i="336"/>
  <c r="C72" i="336"/>
  <c r="M71" i="336"/>
  <c r="M70" i="336"/>
  <c r="M69" i="336"/>
  <c r="I59" i="336"/>
  <c r="J58" i="336" s="1"/>
  <c r="F54" i="336"/>
  <c r="E54" i="336"/>
  <c r="E112" i="335"/>
  <c r="E114" i="335" s="1"/>
  <c r="D112" i="335"/>
  <c r="D114" i="335" s="1"/>
  <c r="C112" i="335"/>
  <c r="F111" i="335"/>
  <c r="C111" i="335"/>
  <c r="C114" i="335" s="1"/>
  <c r="F110" i="335"/>
  <c r="C110" i="335"/>
  <c r="D106" i="335"/>
  <c r="D54" i="335" s="1"/>
  <c r="D55" i="335" s="1"/>
  <c r="E65" i="335"/>
  <c r="D65" i="335"/>
  <c r="E64" i="335"/>
  <c r="D64" i="335"/>
  <c r="L63" i="335"/>
  <c r="K63" i="335"/>
  <c r="J63" i="335"/>
  <c r="C63" i="335"/>
  <c r="M62" i="335"/>
  <c r="M61" i="335"/>
  <c r="M60" i="335"/>
  <c r="D58" i="335"/>
  <c r="D59" i="335" s="1"/>
  <c r="D61" i="335" s="1"/>
  <c r="I50" i="335"/>
  <c r="J49" i="335" s="1"/>
  <c r="F45" i="335"/>
  <c r="E45" i="335"/>
  <c r="E6" i="335"/>
  <c r="E7" i="335" s="1"/>
  <c r="D85" i="334"/>
  <c r="D86" i="334" s="1"/>
  <c r="D88" i="334" s="1"/>
  <c r="E139" i="334"/>
  <c r="E141" i="334" s="1"/>
  <c r="D139" i="334"/>
  <c r="D141" i="334" s="1"/>
  <c r="C139" i="334"/>
  <c r="F138" i="334"/>
  <c r="C138" i="334"/>
  <c r="C141" i="334" s="1"/>
  <c r="F137" i="334"/>
  <c r="C137" i="334"/>
  <c r="D133" i="334"/>
  <c r="D81" i="334" s="1"/>
  <c r="D82" i="334" s="1"/>
  <c r="E92" i="334"/>
  <c r="D92" i="334"/>
  <c r="E91" i="334"/>
  <c r="D91" i="334"/>
  <c r="L90" i="334"/>
  <c r="K90" i="334"/>
  <c r="J90" i="334"/>
  <c r="C90" i="334"/>
  <c r="M89" i="334"/>
  <c r="M88" i="334"/>
  <c r="M87" i="334"/>
  <c r="I77" i="334"/>
  <c r="J76" i="334" s="1"/>
  <c r="F72" i="334"/>
  <c r="E72" i="334"/>
  <c r="E6" i="334"/>
  <c r="E7" i="334" s="1"/>
  <c r="I56" i="333"/>
  <c r="J55" i="333" s="1"/>
  <c r="E114" i="333"/>
  <c r="E116" i="333" s="1"/>
  <c r="D114" i="333"/>
  <c r="D116" i="333" s="1"/>
  <c r="C114" i="333"/>
  <c r="F113" i="333"/>
  <c r="C113" i="333"/>
  <c r="C116" i="333" s="1"/>
  <c r="F112" i="333"/>
  <c r="C112" i="333"/>
  <c r="D108" i="333"/>
  <c r="D60" i="333" s="1"/>
  <c r="D61" i="333" s="1"/>
  <c r="E71" i="333"/>
  <c r="D71" i="333"/>
  <c r="E70" i="333"/>
  <c r="D70" i="333"/>
  <c r="L69" i="333"/>
  <c r="K69" i="333"/>
  <c r="J69" i="333"/>
  <c r="C69" i="333"/>
  <c r="M68" i="333"/>
  <c r="M67" i="333"/>
  <c r="M66" i="333"/>
  <c r="D64" i="333"/>
  <c r="D65" i="333" s="1"/>
  <c r="D67" i="333" s="1"/>
  <c r="F51" i="333"/>
  <c r="E51" i="333"/>
  <c r="E6" i="333"/>
  <c r="E7" i="333" s="1"/>
  <c r="F7" i="332"/>
  <c r="D113" i="332"/>
  <c r="D65" i="332" s="1"/>
  <c r="D66" i="332" s="1"/>
  <c r="E119" i="332"/>
  <c r="E121" i="332" s="1"/>
  <c r="D119" i="332"/>
  <c r="D121" i="332" s="1"/>
  <c r="C119" i="332"/>
  <c r="F118" i="332"/>
  <c r="C118" i="332"/>
  <c r="C121" i="332" s="1"/>
  <c r="F117" i="332"/>
  <c r="C117" i="332"/>
  <c r="E76" i="332"/>
  <c r="D76" i="332"/>
  <c r="E75" i="332"/>
  <c r="D75" i="332"/>
  <c r="L74" i="332"/>
  <c r="K74" i="332"/>
  <c r="J74" i="332"/>
  <c r="C74" i="332"/>
  <c r="M73" i="332"/>
  <c r="M72" i="332"/>
  <c r="M71" i="332"/>
  <c r="D69" i="332"/>
  <c r="D70" i="332" s="1"/>
  <c r="D72" i="332" s="1"/>
  <c r="I61" i="332"/>
  <c r="J60" i="332" s="1"/>
  <c r="F56" i="332"/>
  <c r="E56" i="332"/>
  <c r="E7" i="332"/>
  <c r="D78" i="331"/>
  <c r="D79" i="331" s="1"/>
  <c r="D81" i="331" s="1"/>
  <c r="D116" i="331"/>
  <c r="D74" i="331" s="1"/>
  <c r="D75" i="331" s="1"/>
  <c r="E36" i="331"/>
  <c r="E65" i="331" s="1"/>
  <c r="F65" i="331"/>
  <c r="F6" i="331"/>
  <c r="E122" i="331"/>
  <c r="E124" i="331" s="1"/>
  <c r="D122" i="331"/>
  <c r="D124" i="331" s="1"/>
  <c r="C122" i="331"/>
  <c r="F121" i="331"/>
  <c r="C121" i="331"/>
  <c r="C124" i="331" s="1"/>
  <c r="F120" i="331"/>
  <c r="C120" i="331"/>
  <c r="E85" i="331"/>
  <c r="D85" i="331"/>
  <c r="E84" i="331"/>
  <c r="D84" i="331"/>
  <c r="L83" i="331"/>
  <c r="K83" i="331"/>
  <c r="J83" i="331"/>
  <c r="C83" i="331"/>
  <c r="M82" i="331"/>
  <c r="M81" i="331"/>
  <c r="M80" i="331"/>
  <c r="I70" i="331"/>
  <c r="J69" i="331" s="1"/>
  <c r="E6" i="331"/>
  <c r="F7" i="330"/>
  <c r="E7" i="330"/>
  <c r="D71" i="330"/>
  <c r="D72" i="330" s="1"/>
  <c r="D74" i="330" s="1"/>
  <c r="F58" i="330"/>
  <c r="E58" i="330"/>
  <c r="E108" i="330"/>
  <c r="E110" i="330" s="1"/>
  <c r="D108" i="330"/>
  <c r="D110" i="330" s="1"/>
  <c r="C108" i="330"/>
  <c r="F107" i="330"/>
  <c r="C107" i="330"/>
  <c r="C110" i="330" s="1"/>
  <c r="F106" i="330"/>
  <c r="C106" i="330"/>
  <c r="D102" i="330"/>
  <c r="D67" i="330" s="1"/>
  <c r="D68" i="330" s="1"/>
  <c r="E78" i="330"/>
  <c r="D78" i="330"/>
  <c r="E77" i="330"/>
  <c r="D77" i="330"/>
  <c r="L76" i="330"/>
  <c r="K76" i="330"/>
  <c r="J76" i="330"/>
  <c r="C76" i="330"/>
  <c r="M75" i="330"/>
  <c r="M74" i="330"/>
  <c r="M73" i="330"/>
  <c r="I63" i="330"/>
  <c r="J62" i="330" s="1"/>
  <c r="D82" i="329"/>
  <c r="D83" i="329" s="1"/>
  <c r="D85" i="329" s="1"/>
  <c r="D113" i="329"/>
  <c r="D78" i="329" s="1"/>
  <c r="D79" i="329" s="1"/>
  <c r="E69" i="329"/>
  <c r="F69" i="329"/>
  <c r="E119" i="329"/>
  <c r="E121" i="329" s="1"/>
  <c r="D119" i="329"/>
  <c r="D121" i="329" s="1"/>
  <c r="C119" i="329"/>
  <c r="F118" i="329"/>
  <c r="C118" i="329"/>
  <c r="C121" i="329" s="1"/>
  <c r="F117" i="329"/>
  <c r="C117" i="329"/>
  <c r="E89" i="329"/>
  <c r="D89" i="329"/>
  <c r="E88" i="329"/>
  <c r="D88" i="329"/>
  <c r="L87" i="329"/>
  <c r="K87" i="329"/>
  <c r="J87" i="329"/>
  <c r="C87" i="329"/>
  <c r="M86" i="329"/>
  <c r="M85" i="329"/>
  <c r="M84" i="329"/>
  <c r="I74" i="329"/>
  <c r="J73" i="329" s="1"/>
  <c r="F6" i="329"/>
  <c r="E6" i="329"/>
  <c r="D78" i="328"/>
  <c r="D79" i="328" s="1"/>
  <c r="D81" i="328" s="1"/>
  <c r="D108" i="328"/>
  <c r="D74" i="328" s="1"/>
  <c r="D75" i="328" s="1"/>
  <c r="F38" i="328"/>
  <c r="F65" i="328" s="1"/>
  <c r="E114" i="328"/>
  <c r="E116" i="328" s="1"/>
  <c r="D114" i="328"/>
  <c r="D116" i="328" s="1"/>
  <c r="C114" i="328"/>
  <c r="F113" i="328"/>
  <c r="C113" i="328"/>
  <c r="C116" i="328" s="1"/>
  <c r="F112" i="328"/>
  <c r="C112" i="328"/>
  <c r="E85" i="328"/>
  <c r="D85" i="328"/>
  <c r="E84" i="328"/>
  <c r="D84" i="328"/>
  <c r="L83" i="328"/>
  <c r="K83" i="328"/>
  <c r="J83" i="328"/>
  <c r="C83" i="328"/>
  <c r="M82" i="328"/>
  <c r="M81" i="328"/>
  <c r="M80" i="328"/>
  <c r="I70" i="328"/>
  <c r="J69" i="328" s="1"/>
  <c r="E65" i="328"/>
  <c r="F6" i="328"/>
  <c r="E6" i="328"/>
  <c r="E97" i="327"/>
  <c r="E99" i="327" s="1"/>
  <c r="D97" i="327"/>
  <c r="D99" i="327" s="1"/>
  <c r="C97" i="327"/>
  <c r="F96" i="327"/>
  <c r="C96" i="327"/>
  <c r="C99" i="327" s="1"/>
  <c r="F95" i="327"/>
  <c r="C95" i="327"/>
  <c r="D91" i="327"/>
  <c r="D58" i="327" s="1"/>
  <c r="D59" i="327" s="1"/>
  <c r="E69" i="327"/>
  <c r="D69" i="327"/>
  <c r="E68" i="327"/>
  <c r="D68" i="327"/>
  <c r="L67" i="327"/>
  <c r="K67" i="327"/>
  <c r="J67" i="327"/>
  <c r="C67" i="327"/>
  <c r="M66" i="327"/>
  <c r="M65" i="327"/>
  <c r="M64" i="327"/>
  <c r="D63" i="327"/>
  <c r="D65" i="327" s="1"/>
  <c r="I54" i="327"/>
  <c r="J53" i="327" s="1"/>
  <c r="F49" i="327"/>
  <c r="E49" i="327"/>
  <c r="F6" i="327"/>
  <c r="E6" i="327"/>
  <c r="D112" i="326"/>
  <c r="D79" i="326" s="1"/>
  <c r="D80" i="326" s="1"/>
  <c r="E118" i="326"/>
  <c r="E120" i="326" s="1"/>
  <c r="D118" i="326"/>
  <c r="D120" i="326" s="1"/>
  <c r="C118" i="326"/>
  <c r="F117" i="326"/>
  <c r="C117" i="326"/>
  <c r="C120" i="326" s="1"/>
  <c r="F116" i="326"/>
  <c r="C116" i="326"/>
  <c r="E90" i="326"/>
  <c r="D90" i="326"/>
  <c r="E89" i="326"/>
  <c r="D89" i="326"/>
  <c r="L88" i="326"/>
  <c r="K88" i="326"/>
  <c r="J88" i="326"/>
  <c r="C88" i="326"/>
  <c r="M87" i="326"/>
  <c r="M86" i="326"/>
  <c r="M85" i="326"/>
  <c r="D84" i="326"/>
  <c r="D86" i="326" s="1"/>
  <c r="I75" i="326"/>
  <c r="J74" i="326" s="1"/>
  <c r="F70" i="326"/>
  <c r="E70" i="326"/>
  <c r="F6" i="326"/>
  <c r="E6" i="326"/>
  <c r="E68" i="325"/>
  <c r="E70" i="325" s="1"/>
  <c r="D68" i="325"/>
  <c r="D70" i="325" s="1"/>
  <c r="C68" i="325"/>
  <c r="F67" i="325"/>
  <c r="C67" i="325"/>
  <c r="C70" i="325" s="1"/>
  <c r="F66" i="325"/>
  <c r="C66" i="325"/>
  <c r="D62" i="325"/>
  <c r="D30" i="325" s="1"/>
  <c r="D31" i="325" s="1"/>
  <c r="E41" i="325"/>
  <c r="D41" i="325"/>
  <c r="E40" i="325"/>
  <c r="D40" i="325"/>
  <c r="L39" i="325"/>
  <c r="K39" i="325"/>
  <c r="J39" i="325"/>
  <c r="C39" i="325"/>
  <c r="M38" i="325"/>
  <c r="M37" i="325"/>
  <c r="M36" i="325"/>
  <c r="D35" i="325"/>
  <c r="D37" i="325" s="1"/>
  <c r="I26" i="325"/>
  <c r="J25" i="325" s="1"/>
  <c r="F21" i="325"/>
  <c r="E21" i="325"/>
  <c r="F6" i="325"/>
  <c r="E6" i="325"/>
  <c r="D96" i="324"/>
  <c r="D64" i="324" s="1"/>
  <c r="D65" i="324" s="1"/>
  <c r="F7" i="324"/>
  <c r="E102" i="324"/>
  <c r="E104" i="324" s="1"/>
  <c r="D102" i="324"/>
  <c r="D104" i="324" s="1"/>
  <c r="C102" i="324"/>
  <c r="F101" i="324"/>
  <c r="C101" i="324"/>
  <c r="C104" i="324" s="1"/>
  <c r="F100" i="324"/>
  <c r="C100" i="324"/>
  <c r="E75" i="324"/>
  <c r="D75" i="324"/>
  <c r="E74" i="324"/>
  <c r="D74" i="324"/>
  <c r="L73" i="324"/>
  <c r="K73" i="324"/>
  <c r="J73" i="324"/>
  <c r="C73" i="324"/>
  <c r="M72" i="324"/>
  <c r="M71" i="324"/>
  <c r="M70" i="324"/>
  <c r="D69" i="324"/>
  <c r="D71" i="324" s="1"/>
  <c r="I60" i="324"/>
  <c r="J59" i="324" s="1"/>
  <c r="F55" i="324"/>
  <c r="E55" i="324"/>
  <c r="E7" i="324"/>
  <c r="F29" i="323"/>
  <c r="F63" i="323" s="1"/>
  <c r="E12" i="323"/>
  <c r="E63" i="323" s="1"/>
  <c r="E108" i="323"/>
  <c r="E110" i="323" s="1"/>
  <c r="D108" i="323"/>
  <c r="D110" i="323" s="1"/>
  <c r="C108" i="323"/>
  <c r="F107" i="323"/>
  <c r="C107" i="323"/>
  <c r="C110" i="323" s="1"/>
  <c r="F106" i="323"/>
  <c r="C106" i="323"/>
  <c r="D102" i="323"/>
  <c r="D72" i="323" s="1"/>
  <c r="D73" i="323" s="1"/>
  <c r="E83" i="323"/>
  <c r="D83" i="323"/>
  <c r="E82" i="323"/>
  <c r="D82" i="323"/>
  <c r="L81" i="323"/>
  <c r="K81" i="323"/>
  <c r="J81" i="323"/>
  <c r="C81" i="323"/>
  <c r="M80" i="323"/>
  <c r="M79" i="323"/>
  <c r="M78" i="323"/>
  <c r="D77" i="323"/>
  <c r="D79" i="323" s="1"/>
  <c r="I68" i="323"/>
  <c r="J67" i="323" s="1"/>
  <c r="F6" i="323"/>
  <c r="E6" i="323"/>
  <c r="D111" i="322"/>
  <c r="D82" i="322" s="1"/>
  <c r="D83" i="322" s="1"/>
  <c r="F30" i="322"/>
  <c r="F73" i="322" s="1"/>
  <c r="E26" i="322"/>
  <c r="E73" i="322" s="1"/>
  <c r="E7" i="322"/>
  <c r="E117" i="322"/>
  <c r="E119" i="322" s="1"/>
  <c r="D117" i="322"/>
  <c r="D119" i="322" s="1"/>
  <c r="C117" i="322"/>
  <c r="F116" i="322"/>
  <c r="C116" i="322"/>
  <c r="C119" i="322" s="1"/>
  <c r="F115" i="322"/>
  <c r="C115" i="322"/>
  <c r="E93" i="322"/>
  <c r="D93" i="322"/>
  <c r="E92" i="322"/>
  <c r="D92" i="322"/>
  <c r="L91" i="322"/>
  <c r="K91" i="322"/>
  <c r="J91" i="322"/>
  <c r="C91" i="322"/>
  <c r="M90" i="322"/>
  <c r="M89" i="322"/>
  <c r="M88" i="322"/>
  <c r="D87" i="322"/>
  <c r="D89" i="322" s="1"/>
  <c r="I78" i="322"/>
  <c r="J77" i="322" s="1"/>
  <c r="F7" i="322"/>
  <c r="F39" i="321"/>
  <c r="F76" i="321" s="1"/>
  <c r="E76" i="321"/>
  <c r="E115" i="321"/>
  <c r="E117" i="321" s="1"/>
  <c r="D115" i="321"/>
  <c r="D117" i="321" s="1"/>
  <c r="C115" i="321"/>
  <c r="F114" i="321"/>
  <c r="C114" i="321"/>
  <c r="C117" i="321" s="1"/>
  <c r="F113" i="321"/>
  <c r="C113" i="321"/>
  <c r="D109" i="321"/>
  <c r="D85" i="321" s="1"/>
  <c r="D86" i="321" s="1"/>
  <c r="E96" i="321"/>
  <c r="D96" i="321"/>
  <c r="E95" i="321"/>
  <c r="D95" i="321"/>
  <c r="L94" i="321"/>
  <c r="K94" i="321"/>
  <c r="J94" i="321"/>
  <c r="C94" i="321"/>
  <c r="M93" i="321"/>
  <c r="M92" i="321"/>
  <c r="M91" i="321"/>
  <c r="D90" i="321"/>
  <c r="D92" i="321" s="1"/>
  <c r="I81" i="321"/>
  <c r="J80" i="321" s="1"/>
  <c r="F6" i="321"/>
  <c r="E6" i="321"/>
  <c r="D91" i="320"/>
  <c r="D67" i="320" s="1"/>
  <c r="D68" i="320" s="1"/>
  <c r="C95" i="320"/>
  <c r="E97" i="320"/>
  <c r="E99" i="320" s="1"/>
  <c r="D97" i="320"/>
  <c r="D99" i="320" s="1"/>
  <c r="C97" i="320"/>
  <c r="F96" i="320"/>
  <c r="C96" i="320"/>
  <c r="C99" i="320" s="1"/>
  <c r="F95" i="320"/>
  <c r="E78" i="320"/>
  <c r="D78" i="320"/>
  <c r="E77" i="320"/>
  <c r="D77" i="320"/>
  <c r="L76" i="320"/>
  <c r="K76" i="320"/>
  <c r="J76" i="320"/>
  <c r="C76" i="320"/>
  <c r="M75" i="320"/>
  <c r="M74" i="320"/>
  <c r="M73" i="320"/>
  <c r="D72" i="320"/>
  <c r="D74" i="320" s="1"/>
  <c r="I63" i="320"/>
  <c r="J62" i="320" s="1"/>
  <c r="F58" i="320"/>
  <c r="E58" i="320"/>
  <c r="F6" i="320"/>
  <c r="E6" i="320"/>
  <c r="D67" i="319"/>
  <c r="D48" i="319" s="1"/>
  <c r="D49" i="319" s="1"/>
  <c r="E8" i="319"/>
  <c r="F8" i="319"/>
  <c r="E73" i="319"/>
  <c r="E75" i="319" s="1"/>
  <c r="D73" i="319"/>
  <c r="D75" i="319" s="1"/>
  <c r="C73" i="319"/>
  <c r="F72" i="319"/>
  <c r="C72" i="319"/>
  <c r="C75" i="319" s="1"/>
  <c r="F71" i="319"/>
  <c r="C71" i="319"/>
  <c r="E59" i="319"/>
  <c r="D59" i="319"/>
  <c r="E58" i="319"/>
  <c r="D58" i="319"/>
  <c r="L57" i="319"/>
  <c r="K57" i="319"/>
  <c r="J57" i="319"/>
  <c r="C57" i="319"/>
  <c r="M56" i="319"/>
  <c r="M55" i="319"/>
  <c r="M54" i="319"/>
  <c r="D53" i="319"/>
  <c r="D55" i="319" s="1"/>
  <c r="I44" i="319"/>
  <c r="J43" i="319" s="1"/>
  <c r="F39" i="319"/>
  <c r="E39" i="319"/>
  <c r="D75" i="318"/>
  <c r="E81" i="318"/>
  <c r="E83" i="318" s="1"/>
  <c r="D81" i="318"/>
  <c r="D83" i="318" s="1"/>
  <c r="C81" i="318"/>
  <c r="F80" i="318"/>
  <c r="C80" i="318"/>
  <c r="C83" i="318" s="1"/>
  <c r="F79" i="318"/>
  <c r="C79" i="318"/>
  <c r="E68" i="318"/>
  <c r="D68" i="318"/>
  <c r="E67" i="318"/>
  <c r="D67" i="318"/>
  <c r="L66" i="318"/>
  <c r="K66" i="318"/>
  <c r="J66" i="318"/>
  <c r="C66" i="318"/>
  <c r="M65" i="318"/>
  <c r="M64" i="318"/>
  <c r="M63" i="318"/>
  <c r="D62" i="318"/>
  <c r="D64" i="318" s="1"/>
  <c r="D58" i="318"/>
  <c r="I53" i="318"/>
  <c r="J52" i="318" s="1"/>
  <c r="F48" i="318"/>
  <c r="E48" i="318"/>
  <c r="F6" i="318"/>
  <c r="E6" i="318"/>
  <c r="E7" i="317"/>
  <c r="E102" i="317"/>
  <c r="E104" i="317" s="1"/>
  <c r="D102" i="317"/>
  <c r="D104" i="317" s="1"/>
  <c r="C102" i="317"/>
  <c r="F101" i="317"/>
  <c r="C101" i="317"/>
  <c r="C104" i="317" s="1"/>
  <c r="F100" i="317"/>
  <c r="C100" i="317"/>
  <c r="E95" i="317"/>
  <c r="D95" i="317"/>
  <c r="E94" i="317"/>
  <c r="D94" i="317"/>
  <c r="L93" i="317"/>
  <c r="K93" i="317"/>
  <c r="J93" i="317"/>
  <c r="C93" i="317"/>
  <c r="M92" i="317"/>
  <c r="M91" i="317"/>
  <c r="M90" i="317"/>
  <c r="D89" i="317"/>
  <c r="D91" i="317" s="1"/>
  <c r="D85" i="317"/>
  <c r="I80" i="317"/>
  <c r="J79" i="317" s="1"/>
  <c r="F75" i="317"/>
  <c r="E75" i="317"/>
  <c r="F7" i="317"/>
  <c r="C68" i="316"/>
  <c r="C66" i="316"/>
  <c r="F66" i="316"/>
  <c r="F67" i="316"/>
  <c r="E68" i="316"/>
  <c r="E70" i="316" s="1"/>
  <c r="D68" i="316"/>
  <c r="D70" i="316" s="1"/>
  <c r="C67" i="316"/>
  <c r="C70" i="316" s="1"/>
  <c r="D61" i="316"/>
  <c r="E61" i="316"/>
  <c r="D60" i="316"/>
  <c r="E60" i="316"/>
  <c r="M56" i="316"/>
  <c r="M57" i="316"/>
  <c r="M58" i="316"/>
  <c r="L59" i="316"/>
  <c r="K59" i="316"/>
  <c r="J59" i="316"/>
  <c r="C59" i="316"/>
  <c r="D55" i="316"/>
  <c r="D57" i="316" s="1"/>
  <c r="D51" i="316"/>
  <c r="I46" i="316"/>
  <c r="J45" i="316" s="1"/>
  <c r="F41" i="316"/>
  <c r="E41" i="316"/>
  <c r="E6" i="316"/>
  <c r="F6" i="316"/>
  <c r="D57" i="315"/>
  <c r="D58" i="315" s="1"/>
  <c r="D60" i="315" s="1"/>
  <c r="D91" i="315"/>
  <c r="D53" i="315" s="1"/>
  <c r="D54" i="315" s="1"/>
  <c r="E97" i="315"/>
  <c r="E99" i="315" s="1"/>
  <c r="D97" i="315"/>
  <c r="D99" i="315" s="1"/>
  <c r="C97" i="315"/>
  <c r="F96" i="315"/>
  <c r="C96" i="315"/>
  <c r="C99" i="315" s="1"/>
  <c r="F95" i="315"/>
  <c r="C95" i="315"/>
  <c r="E64" i="315"/>
  <c r="D64" i="315"/>
  <c r="E63" i="315"/>
  <c r="D63" i="315"/>
  <c r="L62" i="315"/>
  <c r="K62" i="315"/>
  <c r="J62" i="315"/>
  <c r="C62" i="315"/>
  <c r="M61" i="315"/>
  <c r="M60" i="315"/>
  <c r="M59" i="315"/>
  <c r="I49" i="315"/>
  <c r="J48" i="315" s="1"/>
  <c r="J44" i="315"/>
  <c r="E44" i="315"/>
  <c r="F44" i="315"/>
  <c r="F6" i="315"/>
  <c r="E6" i="315"/>
  <c r="F8" i="314"/>
  <c r="E8" i="314"/>
  <c r="D72" i="314"/>
  <c r="D35" i="314" s="1"/>
  <c r="D36" i="314" s="1"/>
  <c r="F19" i="314"/>
  <c r="F26" i="314" s="1"/>
  <c r="E78" i="314"/>
  <c r="E80" i="314" s="1"/>
  <c r="D78" i="314"/>
  <c r="D80" i="314" s="1"/>
  <c r="C78" i="314"/>
  <c r="F77" i="314"/>
  <c r="C77" i="314"/>
  <c r="C80" i="314" s="1"/>
  <c r="F76" i="314"/>
  <c r="C76" i="314"/>
  <c r="E46" i="314"/>
  <c r="D46" i="314"/>
  <c r="E45" i="314"/>
  <c r="D45" i="314"/>
  <c r="L44" i="314"/>
  <c r="K44" i="314"/>
  <c r="J44" i="314"/>
  <c r="C44" i="314"/>
  <c r="M43" i="314"/>
  <c r="M42" i="314"/>
  <c r="M41" i="314"/>
  <c r="D39" i="314"/>
  <c r="D40" i="314" s="1"/>
  <c r="D42" i="314" s="1"/>
  <c r="I31" i="314"/>
  <c r="J30" i="314" s="1"/>
  <c r="J26" i="314"/>
  <c r="E26" i="314"/>
  <c r="D95" i="313"/>
  <c r="D60" i="313" s="1"/>
  <c r="D61" i="313" s="1"/>
  <c r="E13" i="313"/>
  <c r="E51" i="313" s="1"/>
  <c r="J51" i="313"/>
  <c r="E7" i="313"/>
  <c r="E101" i="313"/>
  <c r="E103" i="313" s="1"/>
  <c r="D101" i="313"/>
  <c r="D103" i="313" s="1"/>
  <c r="C101" i="313"/>
  <c r="F100" i="313"/>
  <c r="F99" i="313"/>
  <c r="C100" i="313"/>
  <c r="C103" i="313" s="1"/>
  <c r="C99" i="313"/>
  <c r="E71" i="313"/>
  <c r="D71" i="313"/>
  <c r="E70" i="313"/>
  <c r="D70" i="313"/>
  <c r="L69" i="313"/>
  <c r="K69" i="313"/>
  <c r="J69" i="313"/>
  <c r="C69" i="313"/>
  <c r="M68" i="313"/>
  <c r="M67" i="313"/>
  <c r="M66" i="313"/>
  <c r="D64" i="313"/>
  <c r="D65" i="313" s="1"/>
  <c r="D67" i="313" s="1"/>
  <c r="I56" i="313"/>
  <c r="J55" i="313" s="1"/>
  <c r="F51" i="313"/>
  <c r="F7" i="313"/>
  <c r="E14" i="312"/>
  <c r="E58" i="312" s="1"/>
  <c r="D71" i="312"/>
  <c r="D72" i="312" s="1"/>
  <c r="D74" i="312" s="1"/>
  <c r="D100" i="312"/>
  <c r="D67" i="312" s="1"/>
  <c r="D68" i="312" s="1"/>
  <c r="F25" i="312"/>
  <c r="F58" i="312" s="1"/>
  <c r="E106" i="312"/>
  <c r="E108" i="312" s="1"/>
  <c r="D106" i="312"/>
  <c r="D108" i="312" s="1"/>
  <c r="C106" i="312"/>
  <c r="F105" i="312"/>
  <c r="C105" i="312"/>
  <c r="C108" i="312" s="1"/>
  <c r="F104" i="312"/>
  <c r="C104" i="312"/>
  <c r="E78" i="312"/>
  <c r="D78" i="312"/>
  <c r="E77" i="312"/>
  <c r="D77" i="312"/>
  <c r="L76" i="312"/>
  <c r="K76" i="312"/>
  <c r="J76" i="312"/>
  <c r="C76" i="312"/>
  <c r="M75" i="312"/>
  <c r="M74" i="312"/>
  <c r="M73" i="312"/>
  <c r="I63" i="312"/>
  <c r="J62" i="312" s="1"/>
  <c r="J58" i="312"/>
  <c r="F6" i="312"/>
  <c r="E6" i="312"/>
  <c r="D92" i="311"/>
  <c r="D93" i="311" s="1"/>
  <c r="D95" i="311" s="1"/>
  <c r="F41" i="311"/>
  <c r="F79" i="311" s="1"/>
  <c r="E124" i="311"/>
  <c r="E126" i="311" s="1"/>
  <c r="D124" i="311"/>
  <c r="D126" i="311" s="1"/>
  <c r="C124" i="311"/>
  <c r="F123" i="311"/>
  <c r="C123" i="311"/>
  <c r="C126" i="311" s="1"/>
  <c r="F122" i="311"/>
  <c r="C122" i="311"/>
  <c r="D118" i="311"/>
  <c r="D88" i="311" s="1"/>
  <c r="D89" i="311" s="1"/>
  <c r="E99" i="311"/>
  <c r="D99" i="311"/>
  <c r="E98" i="311"/>
  <c r="D98" i="311"/>
  <c r="L97" i="311"/>
  <c r="K97" i="311"/>
  <c r="J97" i="311"/>
  <c r="C97" i="311"/>
  <c r="M96" i="311"/>
  <c r="M95" i="311"/>
  <c r="M94" i="311"/>
  <c r="I84" i="311"/>
  <c r="J83" i="311" s="1"/>
  <c r="J79" i="311"/>
  <c r="E79" i="311"/>
  <c r="F6" i="311"/>
  <c r="E6" i="311"/>
  <c r="D93" i="310"/>
  <c r="D63" i="310" s="1"/>
  <c r="D64" i="310" s="1"/>
  <c r="F37" i="310"/>
  <c r="F54" i="310" s="1"/>
  <c r="E99" i="310"/>
  <c r="E101" i="310" s="1"/>
  <c r="D99" i="310"/>
  <c r="D101" i="310" s="1"/>
  <c r="C99" i="310"/>
  <c r="F98" i="310"/>
  <c r="C98" i="310"/>
  <c r="C101" i="310" s="1"/>
  <c r="F97" i="310"/>
  <c r="C97" i="310"/>
  <c r="E74" i="310"/>
  <c r="D74" i="310"/>
  <c r="E73" i="310"/>
  <c r="D73" i="310"/>
  <c r="L72" i="310"/>
  <c r="K72" i="310"/>
  <c r="J72" i="310"/>
  <c r="C72" i="310"/>
  <c r="M71" i="310"/>
  <c r="M70" i="310"/>
  <c r="M69" i="310"/>
  <c r="D67" i="310"/>
  <c r="D68" i="310" s="1"/>
  <c r="D70" i="310" s="1"/>
  <c r="I59" i="310"/>
  <c r="J58" i="310" s="1"/>
  <c r="J54" i="310"/>
  <c r="E54" i="310"/>
  <c r="F6" i="310"/>
  <c r="E6" i="310"/>
  <c r="D72" i="309"/>
  <c r="D73" i="309" s="1"/>
  <c r="D75" i="309" s="1"/>
  <c r="J59" i="309"/>
  <c r="E59" i="309"/>
  <c r="F59" i="309"/>
  <c r="E103" i="309"/>
  <c r="E105" i="309" s="1"/>
  <c r="D103" i="309"/>
  <c r="D105" i="309" s="1"/>
  <c r="C103" i="309"/>
  <c r="F102" i="309"/>
  <c r="C102" i="309"/>
  <c r="C105" i="309" s="1"/>
  <c r="F101" i="309"/>
  <c r="C101" i="309"/>
  <c r="D97" i="309"/>
  <c r="D68" i="309" s="1"/>
  <c r="D69" i="309" s="1"/>
  <c r="E79" i="309"/>
  <c r="D79" i="309"/>
  <c r="E78" i="309"/>
  <c r="D78" i="309"/>
  <c r="L77" i="309"/>
  <c r="K77" i="309"/>
  <c r="J77" i="309"/>
  <c r="C77" i="309"/>
  <c r="M76" i="309"/>
  <c r="M75" i="309"/>
  <c r="M74" i="309"/>
  <c r="I64" i="309"/>
  <c r="J63" i="309" s="1"/>
  <c r="F6" i="309"/>
  <c r="E6" i="309"/>
  <c r="D65" i="308"/>
  <c r="D66" i="308" s="1"/>
  <c r="D68" i="308" s="1"/>
  <c r="D90" i="308"/>
  <c r="D61" i="308" s="1"/>
  <c r="D62" i="308" s="1"/>
  <c r="F33" i="308"/>
  <c r="E31" i="308"/>
  <c r="E52" i="308" s="1"/>
  <c r="F43" i="308"/>
  <c r="E96" i="308"/>
  <c r="E98" i="308" s="1"/>
  <c r="D96" i="308"/>
  <c r="D98" i="308" s="1"/>
  <c r="C96" i="308"/>
  <c r="F95" i="308"/>
  <c r="C95" i="308"/>
  <c r="C98" i="308" s="1"/>
  <c r="F94" i="308"/>
  <c r="C94" i="308"/>
  <c r="E72" i="308"/>
  <c r="D72" i="308"/>
  <c r="E71" i="308"/>
  <c r="D71" i="308"/>
  <c r="L70" i="308"/>
  <c r="K70" i="308"/>
  <c r="J70" i="308"/>
  <c r="C70" i="308"/>
  <c r="M69" i="308"/>
  <c r="M68" i="308"/>
  <c r="M67" i="308"/>
  <c r="I57" i="308"/>
  <c r="J56" i="308" s="1"/>
  <c r="J52" i="308"/>
  <c r="F6" i="308"/>
  <c r="E6" i="308"/>
  <c r="D62" i="307"/>
  <c r="D35" i="307" s="1"/>
  <c r="D36" i="307" s="1"/>
  <c r="E68" i="307"/>
  <c r="E70" i="307" s="1"/>
  <c r="D68" i="307"/>
  <c r="D70" i="307" s="1"/>
  <c r="C68" i="307"/>
  <c r="F67" i="307"/>
  <c r="C67" i="307"/>
  <c r="C70" i="307" s="1"/>
  <c r="F66" i="307"/>
  <c r="C66" i="307"/>
  <c r="E46" i="307"/>
  <c r="D46" i="307"/>
  <c r="E45" i="307"/>
  <c r="D45" i="307"/>
  <c r="L44" i="307"/>
  <c r="K44" i="307"/>
  <c r="J44" i="307"/>
  <c r="C44" i="307"/>
  <c r="M43" i="307"/>
  <c r="M42" i="307"/>
  <c r="M41" i="307"/>
  <c r="D39" i="307"/>
  <c r="D40" i="307" s="1"/>
  <c r="D42" i="307" s="1"/>
  <c r="I31" i="307"/>
  <c r="J30" i="307" s="1"/>
  <c r="J26" i="307"/>
  <c r="F26" i="307"/>
  <c r="E26" i="307"/>
  <c r="F6" i="307"/>
  <c r="E6" i="307"/>
  <c r="D65" i="306"/>
  <c r="D66" i="306" s="1"/>
  <c r="D68" i="306" s="1"/>
  <c r="D87" i="306"/>
  <c r="D61" i="306" s="1"/>
  <c r="D62" i="306" s="1"/>
  <c r="E93" i="306"/>
  <c r="E95" i="306" s="1"/>
  <c r="D93" i="306"/>
  <c r="D95" i="306" s="1"/>
  <c r="C93" i="306"/>
  <c r="F92" i="306"/>
  <c r="C92" i="306"/>
  <c r="C95" i="306" s="1"/>
  <c r="F91" i="306"/>
  <c r="C91" i="306"/>
  <c r="E72" i="306"/>
  <c r="D72" i="306"/>
  <c r="E71" i="306"/>
  <c r="D71" i="306"/>
  <c r="L70" i="306"/>
  <c r="K70" i="306"/>
  <c r="J70" i="306"/>
  <c r="C70" i="306"/>
  <c r="M69" i="306"/>
  <c r="M68" i="306"/>
  <c r="M67" i="306"/>
  <c r="I57" i="306"/>
  <c r="J56" i="306" s="1"/>
  <c r="J52" i="306"/>
  <c r="F52" i="306"/>
  <c r="E52" i="306"/>
  <c r="F6" i="306"/>
  <c r="E6" i="306"/>
  <c r="D63" i="305"/>
  <c r="D64" i="305" s="1"/>
  <c r="D66" i="305" s="1"/>
  <c r="D83" i="305"/>
  <c r="D59" i="305" s="1"/>
  <c r="D60" i="305" s="1"/>
  <c r="J50" i="305"/>
  <c r="E89" i="305"/>
  <c r="E91" i="305" s="1"/>
  <c r="D89" i="305"/>
  <c r="D91" i="305" s="1"/>
  <c r="C89" i="305"/>
  <c r="F88" i="305"/>
  <c r="C88" i="305"/>
  <c r="C91" i="305" s="1"/>
  <c r="F87" i="305"/>
  <c r="C87" i="305"/>
  <c r="E70" i="305"/>
  <c r="D70" i="305"/>
  <c r="E69" i="305"/>
  <c r="D69" i="305"/>
  <c r="L68" i="305"/>
  <c r="K68" i="305"/>
  <c r="J68" i="305"/>
  <c r="C68" i="305"/>
  <c r="M67" i="305"/>
  <c r="M66" i="305"/>
  <c r="M65" i="305"/>
  <c r="I55" i="305"/>
  <c r="J54" i="305" s="1"/>
  <c r="E50" i="305"/>
  <c r="F50" i="305"/>
  <c r="F6" i="305"/>
  <c r="E6" i="305"/>
  <c r="D60" i="304"/>
  <c r="D61" i="304" s="1"/>
  <c r="D63" i="304" s="1"/>
  <c r="F32" i="304"/>
  <c r="F47" i="304" s="1"/>
  <c r="J47" i="304"/>
  <c r="E83" i="304"/>
  <c r="E85" i="304" s="1"/>
  <c r="D83" i="304"/>
  <c r="D85" i="304" s="1"/>
  <c r="C83" i="304"/>
  <c r="F82" i="304"/>
  <c r="C82" i="304"/>
  <c r="C85" i="304" s="1"/>
  <c r="F81" i="304"/>
  <c r="C81" i="304"/>
  <c r="D77" i="304"/>
  <c r="D56" i="304" s="1"/>
  <c r="D57" i="304" s="1"/>
  <c r="E67" i="304"/>
  <c r="D67" i="304"/>
  <c r="E66" i="304"/>
  <c r="D66" i="304"/>
  <c r="L65" i="304"/>
  <c r="K65" i="304"/>
  <c r="J65" i="304"/>
  <c r="C65" i="304"/>
  <c r="M64" i="304"/>
  <c r="M63" i="304"/>
  <c r="M62" i="304"/>
  <c r="I52" i="304"/>
  <c r="J51" i="304" s="1"/>
  <c r="E47" i="304"/>
  <c r="F6" i="304"/>
  <c r="E6" i="304"/>
  <c r="J46" i="303"/>
  <c r="E82" i="303"/>
  <c r="E84" i="303" s="1"/>
  <c r="D82" i="303"/>
  <c r="D84" i="303" s="1"/>
  <c r="C82" i="303"/>
  <c r="F81" i="303"/>
  <c r="C81" i="303"/>
  <c r="C84" i="303" s="1"/>
  <c r="F80" i="303"/>
  <c r="C80" i="303"/>
  <c r="D76" i="303"/>
  <c r="D55" i="303" s="1"/>
  <c r="D56" i="303" s="1"/>
  <c r="E66" i="303"/>
  <c r="D66" i="303"/>
  <c r="E65" i="303"/>
  <c r="D65" i="303"/>
  <c r="L64" i="303"/>
  <c r="K64" i="303"/>
  <c r="J64" i="303"/>
  <c r="C64" i="303"/>
  <c r="M63" i="303"/>
  <c r="M62" i="303"/>
  <c r="M61" i="303"/>
  <c r="D60" i="303"/>
  <c r="D62" i="303" s="1"/>
  <c r="I51" i="303"/>
  <c r="J50" i="303" s="1"/>
  <c r="F46" i="303"/>
  <c r="E46" i="303"/>
  <c r="F6" i="303"/>
  <c r="E6" i="303"/>
  <c r="J23" i="302"/>
  <c r="E58" i="302"/>
  <c r="E60" i="302" s="1"/>
  <c r="D58" i="302"/>
  <c r="D60" i="302" s="1"/>
  <c r="C58" i="302"/>
  <c r="F57" i="302"/>
  <c r="C57" i="302"/>
  <c r="C60" i="302" s="1"/>
  <c r="F56" i="302"/>
  <c r="C56" i="302"/>
  <c r="D52" i="302"/>
  <c r="D32" i="302" s="1"/>
  <c r="D33" i="302" s="1"/>
  <c r="E43" i="302"/>
  <c r="D43" i="302"/>
  <c r="E42" i="302"/>
  <c r="D42" i="302"/>
  <c r="L41" i="302"/>
  <c r="K41" i="302"/>
  <c r="J41" i="302"/>
  <c r="C41" i="302"/>
  <c r="M40" i="302"/>
  <c r="M39" i="302"/>
  <c r="M38" i="302"/>
  <c r="D37" i="302"/>
  <c r="D39" i="302" s="1"/>
  <c r="I28" i="302"/>
  <c r="J27" i="302" s="1"/>
  <c r="F23" i="302"/>
  <c r="E23" i="302"/>
  <c r="F6" i="302"/>
  <c r="E6" i="302"/>
  <c r="D68" i="301"/>
  <c r="D48" i="301" s="1"/>
  <c r="D49" i="301" s="1"/>
  <c r="F7" i="301"/>
  <c r="E74" i="301"/>
  <c r="E76" i="301" s="1"/>
  <c r="D74" i="301"/>
  <c r="D76" i="301" s="1"/>
  <c r="C74" i="301"/>
  <c r="F73" i="301"/>
  <c r="C73" i="301"/>
  <c r="C76" i="301" s="1"/>
  <c r="F72" i="301"/>
  <c r="C72" i="301"/>
  <c r="E59" i="301"/>
  <c r="D59" i="301"/>
  <c r="E58" i="301"/>
  <c r="D58" i="301"/>
  <c r="L57" i="301"/>
  <c r="K57" i="301"/>
  <c r="J57" i="301"/>
  <c r="C57" i="301"/>
  <c r="M56" i="301"/>
  <c r="M55" i="301"/>
  <c r="M54" i="301"/>
  <c r="D53" i="301"/>
  <c r="D55" i="301" s="1"/>
  <c r="I44" i="301"/>
  <c r="J43" i="301" s="1"/>
  <c r="J39" i="301"/>
  <c r="F39" i="301"/>
  <c r="E39" i="301"/>
  <c r="E7" i="301"/>
  <c r="D95" i="300"/>
  <c r="D78" i="300" s="1"/>
  <c r="D79" i="300" s="1"/>
  <c r="E102" i="300"/>
  <c r="E104" i="300" s="1"/>
  <c r="D102" i="300"/>
  <c r="D104" i="300" s="1"/>
  <c r="C102" i="300"/>
  <c r="F101" i="300"/>
  <c r="C101" i="300"/>
  <c r="C104" i="300" s="1"/>
  <c r="F100" i="300"/>
  <c r="C100" i="300"/>
  <c r="E89" i="300"/>
  <c r="D89" i="300"/>
  <c r="E88" i="300"/>
  <c r="D88" i="300"/>
  <c r="L87" i="300"/>
  <c r="K87" i="300"/>
  <c r="J87" i="300"/>
  <c r="C87" i="300"/>
  <c r="M86" i="300"/>
  <c r="M85" i="300"/>
  <c r="M84" i="300"/>
  <c r="D83" i="300"/>
  <c r="D85" i="300" s="1"/>
  <c r="I74" i="300"/>
  <c r="J73" i="300" s="1"/>
  <c r="J69" i="300"/>
  <c r="F69" i="300"/>
  <c r="E69" i="300"/>
  <c r="F6" i="300"/>
  <c r="E6" i="300"/>
  <c r="F45" i="299"/>
  <c r="E25" i="299"/>
  <c r="E45" i="299" s="1"/>
  <c r="E7" i="299"/>
  <c r="J45" i="299"/>
  <c r="E77" i="299"/>
  <c r="E79" i="299" s="1"/>
  <c r="D77" i="299"/>
  <c r="D79" i="299" s="1"/>
  <c r="C77" i="299"/>
  <c r="F76" i="299"/>
  <c r="C76" i="299"/>
  <c r="C79" i="299" s="1"/>
  <c r="F75" i="299"/>
  <c r="C75" i="299"/>
  <c r="D70" i="299"/>
  <c r="D54" i="299" s="1"/>
  <c r="D55" i="299" s="1"/>
  <c r="E65" i="299"/>
  <c r="D65" i="299"/>
  <c r="E64" i="299"/>
  <c r="D64" i="299"/>
  <c r="L63" i="299"/>
  <c r="K63" i="299"/>
  <c r="J63" i="299"/>
  <c r="C63" i="299"/>
  <c r="M62" i="299"/>
  <c r="M61" i="299"/>
  <c r="M60" i="299"/>
  <c r="D59" i="299"/>
  <c r="D61" i="299" s="1"/>
  <c r="I50" i="299"/>
  <c r="J49" i="299" s="1"/>
  <c r="F7" i="299"/>
  <c r="F33" i="298"/>
  <c r="F35" i="298"/>
  <c r="E94" i="298"/>
  <c r="E96" i="298" s="1"/>
  <c r="D94" i="298"/>
  <c r="D96" i="298" s="1"/>
  <c r="C94" i="298"/>
  <c r="F93" i="298"/>
  <c r="C93" i="298"/>
  <c r="C96" i="298" s="1"/>
  <c r="F92" i="298"/>
  <c r="C92" i="298"/>
  <c r="D87" i="298"/>
  <c r="D71" i="298" s="1"/>
  <c r="D72" i="298" s="1"/>
  <c r="E82" i="298"/>
  <c r="D82" i="298"/>
  <c r="E81" i="298"/>
  <c r="D81" i="298"/>
  <c r="L80" i="298"/>
  <c r="K80" i="298"/>
  <c r="J80" i="298"/>
  <c r="C80" i="298"/>
  <c r="M79" i="298"/>
  <c r="M78" i="298"/>
  <c r="M77" i="298"/>
  <c r="D76" i="298"/>
  <c r="D78" i="298" s="1"/>
  <c r="I67" i="298"/>
  <c r="J66" i="298" s="1"/>
  <c r="E62" i="298"/>
  <c r="F6" i="298"/>
  <c r="E6" i="298"/>
  <c r="C72" i="297"/>
  <c r="C70" i="297"/>
  <c r="E72" i="297"/>
  <c r="E74" i="297" s="1"/>
  <c r="D72" i="297"/>
  <c r="D74" i="297" s="1"/>
  <c r="F71" i="297"/>
  <c r="C71" i="297"/>
  <c r="C74" i="297" s="1"/>
  <c r="F70" i="297"/>
  <c r="D65" i="297"/>
  <c r="D49" i="297" s="1"/>
  <c r="D50" i="297" s="1"/>
  <c r="E60" i="297"/>
  <c r="D60" i="297"/>
  <c r="E59" i="297"/>
  <c r="D59" i="297"/>
  <c r="L58" i="297"/>
  <c r="K58" i="297"/>
  <c r="J58" i="297"/>
  <c r="C58" i="297"/>
  <c r="M57" i="297"/>
  <c r="M56" i="297"/>
  <c r="M55" i="297"/>
  <c r="D54" i="297"/>
  <c r="D56" i="297" s="1"/>
  <c r="I45" i="297"/>
  <c r="J44" i="297" s="1"/>
  <c r="F40" i="297"/>
  <c r="E40" i="297"/>
  <c r="F6" i="297"/>
  <c r="E6" i="297"/>
  <c r="E58" i="296"/>
  <c r="F58" i="296"/>
  <c r="F7" i="296"/>
  <c r="E90" i="296"/>
  <c r="E92" i="296" s="1"/>
  <c r="D90" i="296"/>
  <c r="D92" i="296" s="1"/>
  <c r="C90" i="296"/>
  <c r="F89" i="296"/>
  <c r="C89" i="296"/>
  <c r="C92" i="296" s="1"/>
  <c r="F88" i="296"/>
  <c r="C88" i="296"/>
  <c r="D83" i="296"/>
  <c r="D67" i="296" s="1"/>
  <c r="D68" i="296" s="1"/>
  <c r="E78" i="296"/>
  <c r="D78" i="296"/>
  <c r="E77" i="296"/>
  <c r="D77" i="296"/>
  <c r="L76" i="296"/>
  <c r="K76" i="296"/>
  <c r="J76" i="296"/>
  <c r="C76" i="296"/>
  <c r="M75" i="296"/>
  <c r="M74" i="296"/>
  <c r="M73" i="296"/>
  <c r="D72" i="296"/>
  <c r="D74" i="296" s="1"/>
  <c r="I63" i="296"/>
  <c r="J62" i="296" s="1"/>
  <c r="E7" i="296"/>
  <c r="F60" i="399"/>
  <c r="G60" i="399" s="1"/>
  <c r="E15" i="404"/>
  <c r="F96" i="419" l="1"/>
  <c r="G96" i="419" s="1"/>
  <c r="F81" i="397"/>
  <c r="G81" i="397" s="1"/>
  <c r="E7" i="402"/>
  <c r="F88" i="392"/>
  <c r="G88" i="392" s="1"/>
  <c r="E7" i="406"/>
  <c r="F77" i="379"/>
  <c r="G77" i="379" s="1"/>
  <c r="F97" i="393"/>
  <c r="G97" i="393" s="1"/>
  <c r="E36" i="395"/>
  <c r="E7" i="409"/>
  <c r="E48" i="409"/>
  <c r="E50" i="409" s="1"/>
  <c r="E78" i="393"/>
  <c r="K77" i="393" s="1"/>
  <c r="E92" i="401"/>
  <c r="E94" i="401" s="1"/>
  <c r="F64" i="394"/>
  <c r="G64" i="394" s="1"/>
  <c r="M66" i="400"/>
  <c r="E79" i="381"/>
  <c r="E81" i="381" s="1"/>
  <c r="M58" i="399"/>
  <c r="F67" i="400"/>
  <c r="G67" i="400" s="1"/>
  <c r="F71" i="402"/>
  <c r="G71" i="402" s="1"/>
  <c r="E7" i="407"/>
  <c r="F81" i="408"/>
  <c r="G81" i="408" s="1"/>
  <c r="E18" i="409"/>
  <c r="F74" i="382"/>
  <c r="G74" i="382" s="1"/>
  <c r="F77" i="376"/>
  <c r="G77" i="376" s="1"/>
  <c r="E57" i="380"/>
  <c r="K56" i="380" s="1"/>
  <c r="F66" i="387"/>
  <c r="G66" i="387" s="1"/>
  <c r="E49" i="400"/>
  <c r="E51" i="400" s="1"/>
  <c r="E53" i="402"/>
  <c r="E55" i="402" s="1"/>
  <c r="F78" i="358"/>
  <c r="G78" i="358" s="1"/>
  <c r="E20" i="399"/>
  <c r="F70" i="374"/>
  <c r="G70" i="374" s="1"/>
  <c r="E7" i="398"/>
  <c r="F109" i="398"/>
  <c r="G109" i="398" s="1"/>
  <c r="E41" i="399"/>
  <c r="K40" i="399" s="1"/>
  <c r="F78" i="399"/>
  <c r="F80" i="399" s="1"/>
  <c r="E21" i="403"/>
  <c r="F80" i="383"/>
  <c r="G80" i="383" s="1"/>
  <c r="F76" i="403"/>
  <c r="G76" i="403" s="1"/>
  <c r="F97" i="403"/>
  <c r="F99" i="403" s="1"/>
  <c r="F99" i="405"/>
  <c r="G99" i="405" s="1"/>
  <c r="F121" i="405"/>
  <c r="F123" i="405" s="1"/>
  <c r="E15" i="406"/>
  <c r="E81" i="412"/>
  <c r="E14" i="388"/>
  <c r="M95" i="393"/>
  <c r="F86" i="375"/>
  <c r="G86" i="375" s="1"/>
  <c r="E7" i="379"/>
  <c r="F117" i="380"/>
  <c r="F119" i="380" s="1"/>
  <c r="E7" i="383"/>
  <c r="M65" i="387"/>
  <c r="E27" i="394"/>
  <c r="F62" i="298"/>
  <c r="E63" i="298" s="1"/>
  <c r="K62" i="298" s="1"/>
  <c r="M62" i="298" s="1"/>
  <c r="F135" i="362"/>
  <c r="F137" i="362" s="1"/>
  <c r="M72" i="310"/>
  <c r="E7" i="394"/>
  <c r="E62" i="395"/>
  <c r="E64" i="395" s="1"/>
  <c r="E17" i="350"/>
  <c r="F143" i="366"/>
  <c r="F145" i="366" s="1"/>
  <c r="F93" i="374"/>
  <c r="F95" i="374" s="1"/>
  <c r="E91" i="378"/>
  <c r="K90" i="378" s="1"/>
  <c r="F95" i="346"/>
  <c r="G95" i="346" s="1"/>
  <c r="F92" i="354"/>
  <c r="F94" i="354" s="1"/>
  <c r="F114" i="358"/>
  <c r="F116" i="358" s="1"/>
  <c r="E67" i="369"/>
  <c r="E69" i="369" s="1"/>
  <c r="E7" i="329"/>
  <c r="E66" i="331"/>
  <c r="K65" i="331" s="1"/>
  <c r="M65" i="331" s="1"/>
  <c r="F79" i="370"/>
  <c r="G79" i="370" s="1"/>
  <c r="E7" i="378"/>
  <c r="F76" i="379"/>
  <c r="G76" i="379" s="1"/>
  <c r="F82" i="298"/>
  <c r="G82" i="298" s="1"/>
  <c r="F41" i="325"/>
  <c r="G41" i="325" s="1"/>
  <c r="F89" i="326"/>
  <c r="G89" i="326" s="1"/>
  <c r="E64" i="352"/>
  <c r="K63" i="352" s="1"/>
  <c r="F132" i="357"/>
  <c r="F134" i="357" s="1"/>
  <c r="E28" i="378"/>
  <c r="M75" i="379"/>
  <c r="F75" i="380"/>
  <c r="G75" i="380" s="1"/>
  <c r="F59" i="301"/>
  <c r="G59" i="301" s="1"/>
  <c r="F67" i="304"/>
  <c r="G67" i="304" s="1"/>
  <c r="F64" i="335"/>
  <c r="G64" i="335" s="1"/>
  <c r="F74" i="336"/>
  <c r="G74" i="336" s="1"/>
  <c r="F71" i="356"/>
  <c r="G71" i="356" s="1"/>
  <c r="E15" i="359"/>
  <c r="E13" i="361"/>
  <c r="F91" i="363"/>
  <c r="G91" i="363" s="1"/>
  <c r="E32" i="364"/>
  <c r="E44" i="365"/>
  <c r="E46" i="365" s="1"/>
  <c r="F100" i="366"/>
  <c r="G100" i="366" s="1"/>
  <c r="E7" i="384"/>
  <c r="F96" i="406"/>
  <c r="F98" i="406" s="1"/>
  <c r="F46" i="314"/>
  <c r="G46" i="314" s="1"/>
  <c r="F65" i="335"/>
  <c r="G65" i="335" s="1"/>
  <c r="E14" i="354"/>
  <c r="F95" i="355"/>
  <c r="G95" i="355" s="1"/>
  <c r="E7" i="356"/>
  <c r="E14" i="374"/>
  <c r="F140" i="381"/>
  <c r="F142" i="381" s="1"/>
  <c r="F64" i="389"/>
  <c r="G64" i="389" s="1"/>
  <c r="E23" i="390"/>
  <c r="E69" i="392"/>
  <c r="K68" i="392" s="1"/>
  <c r="M80" i="396"/>
  <c r="M79" i="397"/>
  <c r="F97" i="397"/>
  <c r="F99" i="397" s="1"/>
  <c r="F59" i="399"/>
  <c r="G59" i="399" s="1"/>
  <c r="E8" i="296"/>
  <c r="E7" i="306"/>
  <c r="F45" i="307"/>
  <c r="G45" i="307" s="1"/>
  <c r="F102" i="423"/>
  <c r="G102" i="423" s="1"/>
  <c r="E7" i="325"/>
  <c r="M88" i="326"/>
  <c r="M63" i="335"/>
  <c r="F90" i="326"/>
  <c r="G90" i="326" s="1"/>
  <c r="F69" i="305"/>
  <c r="G69" i="305" s="1"/>
  <c r="E7" i="307"/>
  <c r="M44" i="307"/>
  <c r="F46" i="307"/>
  <c r="G46" i="307" s="1"/>
  <c r="E7" i="311"/>
  <c r="E80" i="311"/>
  <c r="K79" i="311" s="1"/>
  <c r="M79" i="311" s="1"/>
  <c r="F64" i="315"/>
  <c r="G64" i="315" s="1"/>
  <c r="F102" i="317"/>
  <c r="F104" i="317" s="1"/>
  <c r="E7" i="320"/>
  <c r="E77" i="321"/>
  <c r="K76" i="321" s="1"/>
  <c r="M76" i="321" s="1"/>
  <c r="F102" i="324"/>
  <c r="F104" i="324" s="1"/>
  <c r="E7" i="327"/>
  <c r="F69" i="377"/>
  <c r="G69" i="377" s="1"/>
  <c r="M108" i="378"/>
  <c r="F64" i="299"/>
  <c r="G64" i="299" s="1"/>
  <c r="E7" i="354"/>
  <c r="F96" i="355"/>
  <c r="G96" i="355" s="1"/>
  <c r="E20" i="356"/>
  <c r="E64" i="359"/>
  <c r="K63" i="359" s="1"/>
  <c r="F108" i="407"/>
  <c r="F110" i="407" s="1"/>
  <c r="F105" i="408"/>
  <c r="F107" i="408" s="1"/>
  <c r="E8" i="322"/>
  <c r="M73" i="324"/>
  <c r="F118" i="326"/>
  <c r="F120" i="326" s="1"/>
  <c r="E50" i="327"/>
  <c r="E52" i="327" s="1"/>
  <c r="E27" i="337"/>
  <c r="K26" i="337" s="1"/>
  <c r="E8" i="352"/>
  <c r="E62" i="383"/>
  <c r="E64" i="383" s="1"/>
  <c r="E46" i="389"/>
  <c r="E48" i="389" s="1"/>
  <c r="E66" i="391"/>
  <c r="K65" i="391" s="1"/>
  <c r="F96" i="393"/>
  <c r="G96" i="393" s="1"/>
  <c r="F165" i="393"/>
  <c r="F167" i="393" s="1"/>
  <c r="F65" i="394"/>
  <c r="G65" i="394" s="1"/>
  <c r="F81" i="395"/>
  <c r="G81" i="395" s="1"/>
  <c r="M107" i="398"/>
  <c r="F108" i="398"/>
  <c r="G108" i="398" s="1"/>
  <c r="F68" i="400"/>
  <c r="G68" i="400" s="1"/>
  <c r="E8" i="400"/>
  <c r="E17" i="402"/>
  <c r="M70" i="402"/>
  <c r="M75" i="403"/>
  <c r="E79" i="404"/>
  <c r="E81" i="404" s="1"/>
  <c r="E7" i="408"/>
  <c r="F102" i="300"/>
  <c r="F104" i="300" s="1"/>
  <c r="F72" i="306"/>
  <c r="G72" i="306" s="1"/>
  <c r="E7" i="309"/>
  <c r="F124" i="311"/>
  <c r="F126" i="311" s="1"/>
  <c r="E8" i="313"/>
  <c r="F59" i="319"/>
  <c r="G59" i="319" s="1"/>
  <c r="M39" i="325"/>
  <c r="M93" i="346"/>
  <c r="E7" i="347"/>
  <c r="E22" i="383"/>
  <c r="E19" i="422"/>
  <c r="E21" i="422" s="1"/>
  <c r="F83" i="359"/>
  <c r="G83" i="359" s="1"/>
  <c r="E74" i="362"/>
  <c r="E76" i="362" s="1"/>
  <c r="F79" i="364"/>
  <c r="G79" i="364" s="1"/>
  <c r="F62" i="365"/>
  <c r="G62" i="365" s="1"/>
  <c r="F104" i="368"/>
  <c r="G104" i="368" s="1"/>
  <c r="F97" i="404"/>
  <c r="G97" i="404" s="1"/>
  <c r="M73" i="406"/>
  <c r="F75" i="406"/>
  <c r="G75" i="406" s="1"/>
  <c r="F86" i="407"/>
  <c r="G86" i="407" s="1"/>
  <c r="E40" i="301"/>
  <c r="E42" i="301" s="1"/>
  <c r="M91" i="322"/>
  <c r="F83" i="344"/>
  <c r="G83" i="344" s="1"/>
  <c r="E25" i="344"/>
  <c r="F94" i="346"/>
  <c r="G94" i="346" s="1"/>
  <c r="M86" i="347"/>
  <c r="E63" i="350"/>
  <c r="E65" i="350" s="1"/>
  <c r="F77" i="358"/>
  <c r="G77" i="358" s="1"/>
  <c r="F67" i="387"/>
  <c r="G67" i="387" s="1"/>
  <c r="F85" i="391"/>
  <c r="G85" i="391" s="1"/>
  <c r="F110" i="401"/>
  <c r="G110" i="401" s="1"/>
  <c r="E26" i="411"/>
  <c r="E8" i="412"/>
  <c r="E7" i="358"/>
  <c r="E47" i="303"/>
  <c r="E49" i="303" s="1"/>
  <c r="F82" i="303"/>
  <c r="F84" i="303" s="1"/>
  <c r="F83" i="304"/>
  <c r="F85" i="304" s="1"/>
  <c r="F89" i="305"/>
  <c r="F91" i="305" s="1"/>
  <c r="E7" i="315"/>
  <c r="F94" i="317"/>
  <c r="G94" i="317" s="1"/>
  <c r="E7" i="318"/>
  <c r="F68" i="318"/>
  <c r="G68" i="318" s="1"/>
  <c r="E9" i="319"/>
  <c r="F77" i="320"/>
  <c r="G77" i="320" s="1"/>
  <c r="M94" i="321"/>
  <c r="E43" i="340"/>
  <c r="E45" i="340" s="1"/>
  <c r="F112" i="341"/>
  <c r="G112" i="341" s="1"/>
  <c r="F106" i="352"/>
  <c r="F108" i="352" s="1"/>
  <c r="E77" i="355"/>
  <c r="K76" i="355" s="1"/>
  <c r="F121" i="355"/>
  <c r="F123" i="355" s="1"/>
  <c r="F72" i="356"/>
  <c r="G72" i="356" s="1"/>
  <c r="E7" i="362"/>
  <c r="E16" i="363"/>
  <c r="E60" i="364"/>
  <c r="E62" i="364" s="1"/>
  <c r="E21" i="369"/>
  <c r="M77" i="370"/>
  <c r="F100" i="370"/>
  <c r="F102" i="370" s="1"/>
  <c r="E8" i="385"/>
  <c r="E14" i="386"/>
  <c r="F121" i="386"/>
  <c r="F123" i="386" s="1"/>
  <c r="E7" i="390"/>
  <c r="F97" i="390"/>
  <c r="G97" i="390" s="1"/>
  <c r="F157" i="390"/>
  <c r="F159" i="390" s="1"/>
  <c r="F153" i="392"/>
  <c r="F155" i="392" s="1"/>
  <c r="E7" i="395"/>
  <c r="F80" i="395"/>
  <c r="G80" i="395" s="1"/>
  <c r="E63" i="396"/>
  <c r="E65" i="396" s="1"/>
  <c r="E23" i="397"/>
  <c r="E58" i="403"/>
  <c r="K57" i="403" s="1"/>
  <c r="D100" i="412"/>
  <c r="F100" i="412" s="1"/>
  <c r="G100" i="412" s="1"/>
  <c r="F113" i="416"/>
  <c r="F115" i="416" s="1"/>
  <c r="E70" i="300"/>
  <c r="E72" i="300" s="1"/>
  <c r="E7" i="310"/>
  <c r="F70" i="313"/>
  <c r="G70" i="313" s="1"/>
  <c r="F78" i="314"/>
  <c r="F80" i="314" s="1"/>
  <c r="M62" i="315"/>
  <c r="E49" i="318"/>
  <c r="K48" i="318" s="1"/>
  <c r="M48" i="318" s="1"/>
  <c r="F67" i="318"/>
  <c r="G67" i="318" s="1"/>
  <c r="E40" i="319"/>
  <c r="E42" i="319" s="1"/>
  <c r="F119" i="329"/>
  <c r="F121" i="329" s="1"/>
  <c r="E59" i="330"/>
  <c r="K58" i="330" s="1"/>
  <c r="M58" i="330" s="1"/>
  <c r="F122" i="331"/>
  <c r="F124" i="331" s="1"/>
  <c r="F76" i="332"/>
  <c r="G76" i="332" s="1"/>
  <c r="F119" i="332"/>
  <c r="F121" i="332" s="1"/>
  <c r="F117" i="340"/>
  <c r="F119" i="340" s="1"/>
  <c r="E18" i="348"/>
  <c r="E7" i="351"/>
  <c r="F86" i="351"/>
  <c r="G86" i="351" s="1"/>
  <c r="F93" i="353"/>
  <c r="G93" i="353" s="1"/>
  <c r="E7" i="353"/>
  <c r="F134" i="363"/>
  <c r="F136" i="363" s="1"/>
  <c r="E14" i="365"/>
  <c r="E8" i="366"/>
  <c r="F105" i="368"/>
  <c r="G105" i="368" s="1"/>
  <c r="E23" i="380"/>
  <c r="F98" i="381"/>
  <c r="G98" i="381" s="1"/>
  <c r="M73" i="382"/>
  <c r="F75" i="382"/>
  <c r="G75" i="382" s="1"/>
  <c r="F132" i="384"/>
  <c r="F134" i="384" s="1"/>
  <c r="E24" i="385"/>
  <c r="E17" i="387"/>
  <c r="E20" i="389"/>
  <c r="D95" i="411"/>
  <c r="F95" i="411" s="1"/>
  <c r="G95" i="411" s="1"/>
  <c r="E7" i="304"/>
  <c r="F65" i="299"/>
  <c r="G65" i="299" s="1"/>
  <c r="F42" i="302"/>
  <c r="G42" i="302" s="1"/>
  <c r="F83" i="323"/>
  <c r="G83" i="323" s="1"/>
  <c r="M74" i="332"/>
  <c r="F75" i="332"/>
  <c r="G75" i="332" s="1"/>
  <c r="E52" i="333"/>
  <c r="E54" i="333" s="1"/>
  <c r="E46" i="335"/>
  <c r="E48" i="335" s="1"/>
  <c r="F121" i="336"/>
  <c r="F123" i="336" s="1"/>
  <c r="F97" i="337"/>
  <c r="F99" i="337" s="1"/>
  <c r="F81" i="343"/>
  <c r="F83" i="343" s="1"/>
  <c r="E75" i="345"/>
  <c r="K74" i="345" s="1"/>
  <c r="F82" i="352"/>
  <c r="G82" i="352" s="1"/>
  <c r="M91" i="353"/>
  <c r="F82" i="359"/>
  <c r="G82" i="359" s="1"/>
  <c r="E7" i="360"/>
  <c r="F121" i="360"/>
  <c r="F123" i="360" s="1"/>
  <c r="E7" i="361"/>
  <c r="E7" i="363"/>
  <c r="F78" i="364"/>
  <c r="G78" i="364" s="1"/>
  <c r="F106" i="365"/>
  <c r="F108" i="365" s="1"/>
  <c r="F99" i="366"/>
  <c r="G99" i="366" s="1"/>
  <c r="F116" i="368"/>
  <c r="F118" i="368" s="1"/>
  <c r="F73" i="310"/>
  <c r="G73" i="310" s="1"/>
  <c r="F45" i="314"/>
  <c r="G45" i="314" s="1"/>
  <c r="F63" i="315"/>
  <c r="G63" i="315" s="1"/>
  <c r="M59" i="316"/>
  <c r="F81" i="318"/>
  <c r="F83" i="318" s="1"/>
  <c r="E59" i="320"/>
  <c r="K58" i="320" s="1"/>
  <c r="M58" i="320" s="1"/>
  <c r="F93" i="322"/>
  <c r="G93" i="322" s="1"/>
  <c r="F108" i="330"/>
  <c r="F110" i="330" s="1"/>
  <c r="M72" i="336"/>
  <c r="E20" i="341"/>
  <c r="F72" i="342"/>
  <c r="G72" i="342" s="1"/>
  <c r="F70" i="343"/>
  <c r="G70" i="343" s="1"/>
  <c r="E17" i="352"/>
  <c r="M78" i="360"/>
  <c r="M84" i="369"/>
  <c r="E17" i="373"/>
  <c r="F74" i="373"/>
  <c r="G74" i="373" s="1"/>
  <c r="E8" i="375"/>
  <c r="E18" i="379"/>
  <c r="F54" i="388"/>
  <c r="G54" i="388" s="1"/>
  <c r="M85" i="407"/>
  <c r="F82" i="408"/>
  <c r="G82" i="408" s="1"/>
  <c r="F73" i="373"/>
  <c r="G73" i="373" s="1"/>
  <c r="F54" i="373"/>
  <c r="E55" i="373" s="1"/>
  <c r="E57" i="373" s="1"/>
  <c r="E58" i="379"/>
  <c r="E60" i="379" s="1"/>
  <c r="E46" i="394"/>
  <c r="E48" i="394" s="1"/>
  <c r="F134" i="394"/>
  <c r="F136" i="394" s="1"/>
  <c r="E21" i="396"/>
  <c r="F82" i="396"/>
  <c r="G82" i="396" s="1"/>
  <c r="F125" i="398"/>
  <c r="F127" i="398" s="1"/>
  <c r="E38" i="401"/>
  <c r="F130" i="401"/>
  <c r="F132" i="401" s="1"/>
  <c r="F72" i="402"/>
  <c r="G72" i="402" s="1"/>
  <c r="F77" i="403"/>
  <c r="G77" i="403" s="1"/>
  <c r="E7" i="404"/>
  <c r="M96" i="404"/>
  <c r="F98" i="404"/>
  <c r="G98" i="404" s="1"/>
  <c r="E81" i="405"/>
  <c r="E83" i="405" s="1"/>
  <c r="F74" i="406"/>
  <c r="G74" i="406" s="1"/>
  <c r="F75" i="414"/>
  <c r="G75" i="414" s="1"/>
  <c r="E45" i="315"/>
  <c r="E47" i="315" s="1"/>
  <c r="E7" i="326"/>
  <c r="E65" i="344"/>
  <c r="K64" i="344" s="1"/>
  <c r="F84" i="344"/>
  <c r="G84" i="344" s="1"/>
  <c r="F95" i="344"/>
  <c r="F97" i="344" s="1"/>
  <c r="F93" i="345"/>
  <c r="G93" i="345" s="1"/>
  <c r="F92" i="353"/>
  <c r="G92" i="353" s="1"/>
  <c r="F66" i="354"/>
  <c r="G66" i="354" s="1"/>
  <c r="M94" i="355"/>
  <c r="F115" i="375"/>
  <c r="F117" i="375" s="1"/>
  <c r="F105" i="376"/>
  <c r="F107" i="376" s="1"/>
  <c r="E23" i="382"/>
  <c r="F84" i="384"/>
  <c r="G84" i="384" s="1"/>
  <c r="F124" i="385"/>
  <c r="F126" i="385" s="1"/>
  <c r="F70" i="386"/>
  <c r="G70" i="386" s="1"/>
  <c r="E7" i="387"/>
  <c r="F111" i="388"/>
  <c r="F113" i="388" s="1"/>
  <c r="F150" i="391"/>
  <c r="F152" i="391" s="1"/>
  <c r="E21" i="391"/>
  <c r="E19" i="407"/>
  <c r="F66" i="409"/>
  <c r="G66" i="409" s="1"/>
  <c r="E104" i="413"/>
  <c r="F95" i="410"/>
  <c r="F97" i="410" s="1"/>
  <c r="E85" i="413"/>
  <c r="K84" i="413" s="1"/>
  <c r="E25" i="416"/>
  <c r="F79" i="309"/>
  <c r="G79" i="309" s="1"/>
  <c r="F78" i="312"/>
  <c r="G78" i="312" s="1"/>
  <c r="F95" i="321"/>
  <c r="G95" i="321" s="1"/>
  <c r="F69" i="327"/>
  <c r="G69" i="327" s="1"/>
  <c r="M70" i="306"/>
  <c r="M69" i="333"/>
  <c r="M90" i="334"/>
  <c r="F91" i="334"/>
  <c r="G91" i="334" s="1"/>
  <c r="F127" i="339"/>
  <c r="F129" i="339" s="1"/>
  <c r="E72" i="363"/>
  <c r="K71" i="363" s="1"/>
  <c r="M77" i="364"/>
  <c r="F101" i="369"/>
  <c r="F103" i="369" s="1"/>
  <c r="F117" i="379"/>
  <c r="F119" i="379" s="1"/>
  <c r="F92" i="402"/>
  <c r="F94" i="402" s="1"/>
  <c r="E7" i="403"/>
  <c r="F100" i="405"/>
  <c r="G100" i="405" s="1"/>
  <c r="M97" i="412"/>
  <c r="M98" i="412" s="1"/>
  <c r="M67" i="327"/>
  <c r="E66" i="328"/>
  <c r="F88" i="329"/>
  <c r="G88" i="329" s="1"/>
  <c r="F77" i="330"/>
  <c r="G77" i="330" s="1"/>
  <c r="F88" i="347"/>
  <c r="G88" i="347" s="1"/>
  <c r="M83" i="349"/>
  <c r="E53" i="356"/>
  <c r="E55" i="356" s="1"/>
  <c r="F72" i="297"/>
  <c r="F74" i="297" s="1"/>
  <c r="F74" i="301"/>
  <c r="F76" i="301" s="1"/>
  <c r="M64" i="303"/>
  <c r="F66" i="303"/>
  <c r="G66" i="303" s="1"/>
  <c r="F73" i="319"/>
  <c r="F75" i="319" s="1"/>
  <c r="F92" i="322"/>
  <c r="G92" i="322" s="1"/>
  <c r="F108" i="323"/>
  <c r="F110" i="323" s="1"/>
  <c r="F40" i="325"/>
  <c r="G40" i="325" s="1"/>
  <c r="E7" i="328"/>
  <c r="F84" i="331"/>
  <c r="G84" i="331" s="1"/>
  <c r="F94" i="345"/>
  <c r="G94" i="345" s="1"/>
  <c r="F84" i="349"/>
  <c r="G84" i="349" s="1"/>
  <c r="F104" i="349"/>
  <c r="F106" i="349" s="1"/>
  <c r="F92" i="362"/>
  <c r="G92" i="362" s="1"/>
  <c r="E7" i="364"/>
  <c r="E86" i="368"/>
  <c r="E88" i="368" s="1"/>
  <c r="E7" i="369"/>
  <c r="M72" i="373"/>
  <c r="E27" i="375"/>
  <c r="E7" i="376"/>
  <c r="M75" i="376"/>
  <c r="E51" i="377"/>
  <c r="F147" i="378"/>
  <c r="F149" i="378" s="1"/>
  <c r="E7" i="380"/>
  <c r="M74" i="380"/>
  <c r="F76" i="380"/>
  <c r="G76" i="380" s="1"/>
  <c r="M96" i="381"/>
  <c r="F97" i="381"/>
  <c r="G97" i="381" s="1"/>
  <c r="E7" i="382"/>
  <c r="F53" i="388"/>
  <c r="G53" i="388" s="1"/>
  <c r="F80" i="397"/>
  <c r="G80" i="397" s="1"/>
  <c r="E33" i="398"/>
  <c r="E90" i="398"/>
  <c r="E92" i="398" s="1"/>
  <c r="E8" i="405"/>
  <c r="F49" i="417"/>
  <c r="G49" i="417" s="1"/>
  <c r="F59" i="297"/>
  <c r="G59" i="297" s="1"/>
  <c r="F81" i="298"/>
  <c r="G81" i="298" s="1"/>
  <c r="E24" i="302"/>
  <c r="E26" i="302" s="1"/>
  <c r="F58" i="302"/>
  <c r="F60" i="302" s="1"/>
  <c r="E7" i="303"/>
  <c r="M57" i="319"/>
  <c r="F71" i="339"/>
  <c r="G71" i="339" s="1"/>
  <c r="F61" i="340"/>
  <c r="G61" i="340" s="1"/>
  <c r="F124" i="341"/>
  <c r="F126" i="341" s="1"/>
  <c r="M71" i="342"/>
  <c r="F73" i="342"/>
  <c r="G73" i="342" s="1"/>
  <c r="E23" i="349"/>
  <c r="F105" i="356"/>
  <c r="F107" i="356" s="1"/>
  <c r="E79" i="357"/>
  <c r="K78" i="357" s="1"/>
  <c r="M76" i="358"/>
  <c r="E9" i="359"/>
  <c r="F68" i="361"/>
  <c r="G68" i="361" s="1"/>
  <c r="F93" i="362"/>
  <c r="G93" i="362" s="1"/>
  <c r="E17" i="362"/>
  <c r="F78" i="370"/>
  <c r="G78" i="370" s="1"/>
  <c r="E58" i="376"/>
  <c r="E60" i="376" s="1"/>
  <c r="E26" i="376"/>
  <c r="F99" i="377"/>
  <c r="F101" i="377" s="1"/>
  <c r="F109" i="378"/>
  <c r="G109" i="378" s="1"/>
  <c r="E7" i="389"/>
  <c r="E79" i="390"/>
  <c r="K78" i="390" s="1"/>
  <c r="E7" i="391"/>
  <c r="E7" i="393"/>
  <c r="E7" i="397"/>
  <c r="E14" i="419"/>
  <c r="E55" i="310"/>
  <c r="K54" i="310" s="1"/>
  <c r="M54" i="310" s="1"/>
  <c r="E52" i="313"/>
  <c r="K51" i="313" s="1"/>
  <c r="M51" i="313" s="1"/>
  <c r="M44" i="314"/>
  <c r="F61" i="316"/>
  <c r="G61" i="316" s="1"/>
  <c r="M66" i="318"/>
  <c r="M82" i="344"/>
  <c r="M70" i="356"/>
  <c r="F85" i="369"/>
  <c r="G85" i="369" s="1"/>
  <c r="F118" i="382"/>
  <c r="F120" i="382" s="1"/>
  <c r="F123" i="387"/>
  <c r="F125" i="387" s="1"/>
  <c r="M52" i="388"/>
  <c r="M79" i="395"/>
  <c r="E7" i="297"/>
  <c r="E27" i="307"/>
  <c r="E29" i="307" s="1"/>
  <c r="F99" i="311"/>
  <c r="G99" i="311" s="1"/>
  <c r="M76" i="312"/>
  <c r="F77" i="312"/>
  <c r="G77" i="312" s="1"/>
  <c r="E42" i="316"/>
  <c r="E76" i="317"/>
  <c r="F139" i="334"/>
  <c r="F141" i="334" s="1"/>
  <c r="E48" i="338"/>
  <c r="F72" i="339"/>
  <c r="G72" i="339" s="1"/>
  <c r="E53" i="339"/>
  <c r="E55" i="339" s="1"/>
  <c r="E69" i="347"/>
  <c r="K68" i="347" s="1"/>
  <c r="F61" i="348"/>
  <c r="G61" i="348" s="1"/>
  <c r="F81" i="350"/>
  <c r="G81" i="350" s="1"/>
  <c r="F108" i="351"/>
  <c r="F110" i="351" s="1"/>
  <c r="F80" i="360"/>
  <c r="G80" i="360" s="1"/>
  <c r="E7" i="365"/>
  <c r="M98" i="366"/>
  <c r="E7" i="368"/>
  <c r="M103" i="368"/>
  <c r="E15" i="370"/>
  <c r="E7" i="377"/>
  <c r="F125" i="383"/>
  <c r="F127" i="383" s="1"/>
  <c r="M83" i="384"/>
  <c r="F85" i="384"/>
  <c r="G85" i="384" s="1"/>
  <c r="M69" i="386"/>
  <c r="F71" i="386"/>
  <c r="G71" i="386" s="1"/>
  <c r="M86" i="392"/>
  <c r="M63" i="394"/>
  <c r="E62" i="397"/>
  <c r="K61" i="397" s="1"/>
  <c r="E68" i="407"/>
  <c r="K67" i="407" s="1"/>
  <c r="F151" i="418"/>
  <c r="F153" i="418" s="1"/>
  <c r="F76" i="376"/>
  <c r="G76" i="376" s="1"/>
  <c r="E14" i="377"/>
  <c r="E7" i="388"/>
  <c r="M98" i="405"/>
  <c r="E56" i="406"/>
  <c r="M65" i="409"/>
  <c r="F67" i="409"/>
  <c r="G67" i="409" s="1"/>
  <c r="D67" i="415"/>
  <c r="F67" i="415" s="1"/>
  <c r="G67" i="415" s="1"/>
  <c r="E31" i="417"/>
  <c r="K30" i="417" s="1"/>
  <c r="E16" i="400"/>
  <c r="E33" i="421"/>
  <c r="E35" i="421" s="1"/>
  <c r="K89" i="398"/>
  <c r="M109" i="401"/>
  <c r="M80" i="408"/>
  <c r="L74" i="414"/>
  <c r="L66" i="361"/>
  <c r="F77" i="299"/>
  <c r="F79" i="299" s="1"/>
  <c r="F96" i="308"/>
  <c r="F98" i="308" s="1"/>
  <c r="F52" i="308"/>
  <c r="E53" i="308" s="1"/>
  <c r="E55" i="308" s="1"/>
  <c r="F99" i="310"/>
  <c r="F101" i="310" s="1"/>
  <c r="F101" i="313"/>
  <c r="F103" i="313" s="1"/>
  <c r="F58" i="319"/>
  <c r="G58" i="319" s="1"/>
  <c r="F97" i="320"/>
  <c r="F99" i="320" s="1"/>
  <c r="F96" i="321"/>
  <c r="G96" i="321" s="1"/>
  <c r="E71" i="326"/>
  <c r="K70" i="326" s="1"/>
  <c r="M70" i="326" s="1"/>
  <c r="F114" i="328"/>
  <c r="F116" i="328" s="1"/>
  <c r="F78" i="330"/>
  <c r="G78" i="330" s="1"/>
  <c r="F70" i="333"/>
  <c r="G70" i="333" s="1"/>
  <c r="F114" i="333"/>
  <c r="F116" i="333" s="1"/>
  <c r="F73" i="336"/>
  <c r="G73" i="336" s="1"/>
  <c r="E18" i="342"/>
  <c r="M68" i="343"/>
  <c r="F69" i="343"/>
  <c r="G69" i="343" s="1"/>
  <c r="E17" i="351"/>
  <c r="E18" i="353"/>
  <c r="E52" i="374"/>
  <c r="K51" i="374" s="1"/>
  <c r="F75" i="385"/>
  <c r="G75" i="385" s="1"/>
  <c r="E52" i="386"/>
  <c r="F87" i="392"/>
  <c r="G87" i="392" s="1"/>
  <c r="F111" i="401"/>
  <c r="G111" i="401" s="1"/>
  <c r="E63" i="408"/>
  <c r="K62" i="408" s="1"/>
  <c r="M73" i="414"/>
  <c r="M74" i="414" s="1"/>
  <c r="E7" i="415"/>
  <c r="E27" i="314"/>
  <c r="E29" i="314" s="1"/>
  <c r="E57" i="332"/>
  <c r="K56" i="332" s="1"/>
  <c r="M56" i="332" s="1"/>
  <c r="F90" i="363"/>
  <c r="G90" i="363" s="1"/>
  <c r="E32" i="366"/>
  <c r="E20" i="368"/>
  <c r="F86" i="369"/>
  <c r="G86" i="369" s="1"/>
  <c r="F110" i="378"/>
  <c r="G110" i="378" s="1"/>
  <c r="E7" i="392"/>
  <c r="E7" i="399"/>
  <c r="E24" i="405"/>
  <c r="F84" i="328"/>
  <c r="G84" i="328" s="1"/>
  <c r="M83" i="331"/>
  <c r="F85" i="331"/>
  <c r="G85" i="331" s="1"/>
  <c r="E7" i="331"/>
  <c r="E43" i="348"/>
  <c r="E45" i="348" s="1"/>
  <c r="F85" i="349"/>
  <c r="G85" i="349" s="1"/>
  <c r="M68" i="377"/>
  <c r="F70" i="377"/>
  <c r="G70" i="377" s="1"/>
  <c r="F81" i="383"/>
  <c r="G81" i="383" s="1"/>
  <c r="F123" i="389"/>
  <c r="F125" i="389" s="1"/>
  <c r="F93" i="396"/>
  <c r="F95" i="396" s="1"/>
  <c r="F119" i="404"/>
  <c r="F121" i="404" s="1"/>
  <c r="E16" i="420"/>
  <c r="E18" i="420" s="1"/>
  <c r="E68" i="420"/>
  <c r="E70" i="420" s="1"/>
  <c r="F112" i="335"/>
  <c r="F114" i="335" s="1"/>
  <c r="F93" i="306"/>
  <c r="F95" i="306" s="1"/>
  <c r="F97" i="327"/>
  <c r="F99" i="327" s="1"/>
  <c r="E59" i="358"/>
  <c r="E61" i="358" s="1"/>
  <c r="E14" i="358"/>
  <c r="M81" i="359"/>
  <c r="E56" i="382"/>
  <c r="K55" i="382" s="1"/>
  <c r="F98" i="390"/>
  <c r="G98" i="390" s="1"/>
  <c r="M83" i="391"/>
  <c r="E7" i="396"/>
  <c r="F81" i="396"/>
  <c r="G81" i="396" s="1"/>
  <c r="F91" i="409"/>
  <c r="F93" i="409" s="1"/>
  <c r="F86" i="420"/>
  <c r="G86" i="420" s="1"/>
  <c r="E9" i="421"/>
  <c r="F103" i="423"/>
  <c r="G103" i="423" s="1"/>
  <c r="E53" i="306"/>
  <c r="K52" i="306" s="1"/>
  <c r="M52" i="306" s="1"/>
  <c r="E8" i="330"/>
  <c r="M65" i="338"/>
  <c r="F66" i="338"/>
  <c r="G66" i="338" s="1"/>
  <c r="F102" i="350"/>
  <c r="F104" i="350" s="1"/>
  <c r="E21" i="355"/>
  <c r="E7" i="381"/>
  <c r="F74" i="385"/>
  <c r="G74" i="385" s="1"/>
  <c r="E48" i="387"/>
  <c r="E20" i="408"/>
  <c r="E8" i="410"/>
  <c r="F103" i="413"/>
  <c r="G103" i="413" s="1"/>
  <c r="E57" i="414"/>
  <c r="K56" i="414" s="1"/>
  <c r="M65" i="361"/>
  <c r="M66" i="361" s="1"/>
  <c r="M41" i="302"/>
  <c r="F43" i="302"/>
  <c r="G43" i="302" s="1"/>
  <c r="E7" i="348"/>
  <c r="E7" i="355"/>
  <c r="F79" i="360"/>
  <c r="G79" i="360" s="1"/>
  <c r="E67" i="375"/>
  <c r="E68" i="375" s="1"/>
  <c r="E70" i="375" s="1"/>
  <c r="E25" i="381"/>
  <c r="E22" i="393"/>
  <c r="F66" i="415"/>
  <c r="G66" i="415" s="1"/>
  <c r="F113" i="418"/>
  <c r="G113" i="418" s="1"/>
  <c r="M85" i="420"/>
  <c r="F60" i="422"/>
  <c r="G60" i="422" s="1"/>
  <c r="F116" i="423"/>
  <c r="F118" i="423" s="1"/>
  <c r="M61" i="365"/>
  <c r="E7" i="300"/>
  <c r="E56" i="324"/>
  <c r="F62" i="348"/>
  <c r="G62" i="348" s="1"/>
  <c r="M96" i="390"/>
  <c r="F84" i="391"/>
  <c r="G84" i="391" s="1"/>
  <c r="L112" i="418"/>
  <c r="D114" i="418"/>
  <c r="F114" i="418" s="1"/>
  <c r="G114" i="418" s="1"/>
  <c r="F63" i="365"/>
  <c r="G63" i="365" s="1"/>
  <c r="E16" i="345"/>
  <c r="M101" i="413"/>
  <c r="M102" i="413" s="1"/>
  <c r="L102" i="413"/>
  <c r="E8" i="317"/>
  <c r="E73" i="334"/>
  <c r="K72" i="334" s="1"/>
  <c r="M72" i="334" s="1"/>
  <c r="E7" i="302"/>
  <c r="M69" i="313"/>
  <c r="F71" i="313"/>
  <c r="G71" i="313" s="1"/>
  <c r="F46" i="337"/>
  <c r="G46" i="337" s="1"/>
  <c r="E81" i="366"/>
  <c r="E83" i="366" s="1"/>
  <c r="E7" i="370"/>
  <c r="M79" i="383"/>
  <c r="F87" i="407"/>
  <c r="G87" i="407" s="1"/>
  <c r="M76" i="296"/>
  <c r="E41" i="297"/>
  <c r="E43" i="297" s="1"/>
  <c r="E7" i="298"/>
  <c r="F89" i="300"/>
  <c r="G89" i="300" s="1"/>
  <c r="E70" i="329"/>
  <c r="E61" i="360"/>
  <c r="E7" i="373"/>
  <c r="E7" i="386"/>
  <c r="F151" i="395"/>
  <c r="F153" i="395" s="1"/>
  <c r="F87" i="400"/>
  <c r="F89" i="400" s="1"/>
  <c r="E8" i="401"/>
  <c r="E76" i="411"/>
  <c r="E7" i="417"/>
  <c r="E42" i="422"/>
  <c r="E44" i="422" s="1"/>
  <c r="E8" i="423"/>
  <c r="M101" i="423"/>
  <c r="F107" i="345"/>
  <c r="F109" i="345" s="1"/>
  <c r="M91" i="362"/>
  <c r="F122" i="364"/>
  <c r="F124" i="364" s="1"/>
  <c r="E35" i="388"/>
  <c r="F65" i="389"/>
  <c r="G65" i="389" s="1"/>
  <c r="E18" i="392"/>
  <c r="E7" i="414"/>
  <c r="E48" i="415"/>
  <c r="E50" i="415" s="1"/>
  <c r="E7" i="416"/>
  <c r="F84" i="417"/>
  <c r="F86" i="417" s="1"/>
  <c r="E8" i="301"/>
  <c r="F71" i="306"/>
  <c r="G71" i="306" s="1"/>
  <c r="E7" i="321"/>
  <c r="M70" i="339"/>
  <c r="F77" i="348"/>
  <c r="F79" i="348" s="1"/>
  <c r="E7" i="350"/>
  <c r="M80" i="350"/>
  <c r="F82" i="350"/>
  <c r="G82" i="350" s="1"/>
  <c r="E68" i="351"/>
  <c r="K67" i="351" s="1"/>
  <c r="M81" i="352"/>
  <c r="F83" i="352"/>
  <c r="G83" i="352" s="1"/>
  <c r="E74" i="353"/>
  <c r="K73" i="353" s="1"/>
  <c r="E48" i="354"/>
  <c r="E50" i="354" s="1"/>
  <c r="F97" i="357"/>
  <c r="G97" i="357" s="1"/>
  <c r="E49" i="361"/>
  <c r="K48" i="361" s="1"/>
  <c r="F67" i="361"/>
  <c r="G67" i="361" s="1"/>
  <c r="F109" i="361"/>
  <c r="F111" i="361" s="1"/>
  <c r="M89" i="363"/>
  <c r="E60" i="370"/>
  <c r="E62" i="370" s="1"/>
  <c r="E16" i="417"/>
  <c r="E7" i="418"/>
  <c r="F73" i="422"/>
  <c r="F75" i="422" s="1"/>
  <c r="E8" i="299"/>
  <c r="E51" i="305"/>
  <c r="M60" i="348"/>
  <c r="F118" i="353"/>
  <c r="F120" i="353" s="1"/>
  <c r="F124" i="359"/>
  <c r="F126" i="359" s="1"/>
  <c r="E15" i="360"/>
  <c r="M92" i="411"/>
  <c r="M93" i="411" s="1"/>
  <c r="F99" i="412"/>
  <c r="G99" i="412" s="1"/>
  <c r="K98" i="412"/>
  <c r="F106" i="414"/>
  <c r="F108" i="414" s="1"/>
  <c r="F104" i="421"/>
  <c r="F106" i="421" s="1"/>
  <c r="F90" i="296"/>
  <c r="F92" i="296" s="1"/>
  <c r="E59" i="312"/>
  <c r="K58" i="312" s="1"/>
  <c r="M58" i="312" s="1"/>
  <c r="F97" i="315"/>
  <c r="F99" i="315" s="1"/>
  <c r="F60" i="316"/>
  <c r="G60" i="316" s="1"/>
  <c r="F82" i="323"/>
  <c r="G82" i="323" s="1"/>
  <c r="E64" i="323"/>
  <c r="E66" i="323" s="1"/>
  <c r="F74" i="324"/>
  <c r="G74" i="324" s="1"/>
  <c r="E22" i="325"/>
  <c r="K21" i="325" s="1"/>
  <c r="M21" i="325" s="1"/>
  <c r="F68" i="325"/>
  <c r="F70" i="325" s="1"/>
  <c r="F85" i="328"/>
  <c r="G85" i="328" s="1"/>
  <c r="F92" i="334"/>
  <c r="G92" i="334" s="1"/>
  <c r="E55" i="336"/>
  <c r="E57" i="336" s="1"/>
  <c r="F45" i="337"/>
  <c r="G45" i="337" s="1"/>
  <c r="F122" i="338"/>
  <c r="F124" i="338" s="1"/>
  <c r="M111" i="341"/>
  <c r="F113" i="341"/>
  <c r="G113" i="341" s="1"/>
  <c r="E54" i="342"/>
  <c r="E56" i="342" s="1"/>
  <c r="F84" i="342"/>
  <c r="F86" i="342" s="1"/>
  <c r="E14" i="343"/>
  <c r="F110" i="346"/>
  <c r="F112" i="346" s="1"/>
  <c r="E9" i="346"/>
  <c r="M73" i="385"/>
  <c r="E30" i="414"/>
  <c r="E31" i="418"/>
  <c r="M80" i="298"/>
  <c r="F65" i="303"/>
  <c r="G65" i="303" s="1"/>
  <c r="M77" i="309"/>
  <c r="F78" i="309"/>
  <c r="G78" i="309" s="1"/>
  <c r="F74" i="310"/>
  <c r="G74" i="310" s="1"/>
  <c r="F98" i="311"/>
  <c r="G98" i="311" s="1"/>
  <c r="E7" i="312"/>
  <c r="F106" i="312"/>
  <c r="F108" i="312" s="1"/>
  <c r="M93" i="317"/>
  <c r="F95" i="317"/>
  <c r="G95" i="317" s="1"/>
  <c r="F117" i="322"/>
  <c r="F119" i="322" s="1"/>
  <c r="E74" i="322"/>
  <c r="K73" i="322" s="1"/>
  <c r="M73" i="322" s="1"/>
  <c r="M81" i="323"/>
  <c r="E8" i="324"/>
  <c r="F75" i="324"/>
  <c r="G75" i="324" s="1"/>
  <c r="M44" i="337"/>
  <c r="E76" i="346"/>
  <c r="E24" i="346"/>
  <c r="E66" i="349"/>
  <c r="M69" i="374"/>
  <c r="F71" i="374"/>
  <c r="G71" i="374" s="1"/>
  <c r="M85" i="375"/>
  <c r="F87" i="375"/>
  <c r="G87" i="375" s="1"/>
  <c r="E13" i="384"/>
  <c r="E56" i="385"/>
  <c r="K55" i="385" s="1"/>
  <c r="F69" i="410"/>
  <c r="G69" i="410" s="1"/>
  <c r="F94" i="411"/>
  <c r="G94" i="411" s="1"/>
  <c r="E7" i="413"/>
  <c r="E7" i="419"/>
  <c r="F92" i="421"/>
  <c r="G92" i="421" s="1"/>
  <c r="E8" i="422"/>
  <c r="F61" i="422"/>
  <c r="G61" i="422" s="1"/>
  <c r="M68" i="305"/>
  <c r="F70" i="305"/>
  <c r="G70" i="305" s="1"/>
  <c r="M97" i="311"/>
  <c r="E94" i="341"/>
  <c r="E96" i="341" s="1"/>
  <c r="F78" i="296"/>
  <c r="G78" i="296" s="1"/>
  <c r="E48" i="304"/>
  <c r="E7" i="323"/>
  <c r="M87" i="329"/>
  <c r="F89" i="329"/>
  <c r="G89" i="329" s="1"/>
  <c r="F71" i="333"/>
  <c r="G71" i="333" s="1"/>
  <c r="E8" i="349"/>
  <c r="E66" i="384"/>
  <c r="M63" i="299"/>
  <c r="E7" i="308"/>
  <c r="E59" i="296"/>
  <c r="E74" i="421"/>
  <c r="K73" i="421" s="1"/>
  <c r="M70" i="308"/>
  <c r="F72" i="308"/>
  <c r="G72" i="308" s="1"/>
  <c r="M83" i="328"/>
  <c r="E46" i="299"/>
  <c r="F68" i="316"/>
  <c r="F70" i="316" s="1"/>
  <c r="F68" i="327"/>
  <c r="G68" i="327" s="1"/>
  <c r="E33" i="357"/>
  <c r="E51" i="410"/>
  <c r="M95" i="419"/>
  <c r="E7" i="420"/>
  <c r="E9" i="314"/>
  <c r="F103" i="347"/>
  <c r="F105" i="347" s="1"/>
  <c r="E22" i="415"/>
  <c r="F79" i="416"/>
  <c r="G79" i="416" s="1"/>
  <c r="F97" i="419"/>
  <c r="G97" i="419" s="1"/>
  <c r="F77" i="296"/>
  <c r="G77" i="296" s="1"/>
  <c r="M58" i="297"/>
  <c r="F60" i="297"/>
  <c r="G60" i="297" s="1"/>
  <c r="F94" i="298"/>
  <c r="F96" i="298" s="1"/>
  <c r="M87" i="300"/>
  <c r="F88" i="300"/>
  <c r="G88" i="300" s="1"/>
  <c r="M65" i="304"/>
  <c r="F66" i="304"/>
  <c r="G66" i="304" s="1"/>
  <c r="E7" i="305"/>
  <c r="F71" i="308"/>
  <c r="G71" i="308" s="1"/>
  <c r="M76" i="320"/>
  <c r="F78" i="320"/>
  <c r="G78" i="320" s="1"/>
  <c r="F115" i="321"/>
  <c r="F117" i="321" s="1"/>
  <c r="M92" i="345"/>
  <c r="M85" i="351"/>
  <c r="F87" i="351"/>
  <c r="G87" i="351" s="1"/>
  <c r="F67" i="354"/>
  <c r="G67" i="354" s="1"/>
  <c r="M96" i="357"/>
  <c r="F98" i="357"/>
  <c r="G98" i="357" s="1"/>
  <c r="M68" i="410"/>
  <c r="F70" i="410"/>
  <c r="G70" i="410" s="1"/>
  <c r="F133" i="413"/>
  <c r="F135" i="413" s="1"/>
  <c r="M78" i="416"/>
  <c r="M91" i="421"/>
  <c r="M59" i="422"/>
  <c r="M76" i="330"/>
  <c r="F67" i="338"/>
  <c r="G67" i="338" s="1"/>
  <c r="M60" i="340"/>
  <c r="F62" i="340"/>
  <c r="G62" i="340" s="1"/>
  <c r="E51" i="343"/>
  <c r="F87" i="347"/>
  <c r="G87" i="347" s="1"/>
  <c r="E26" i="347"/>
  <c r="E8" i="411"/>
  <c r="F126" i="412"/>
  <c r="F128" i="412" s="1"/>
  <c r="D104" i="413"/>
  <c r="M64" i="415"/>
  <c r="M65" i="415" s="1"/>
  <c r="F136" i="419"/>
  <c r="F138" i="419" s="1"/>
  <c r="F93" i="421"/>
  <c r="G93" i="421" s="1"/>
  <c r="E50" i="412"/>
  <c r="E24" i="413"/>
  <c r="E95" i="418"/>
  <c r="E97" i="418" s="1"/>
  <c r="E78" i="419"/>
  <c r="F87" i="420"/>
  <c r="G87" i="420" s="1"/>
  <c r="E84" i="423"/>
  <c r="M57" i="301"/>
  <c r="F58" i="301"/>
  <c r="G58" i="301" s="1"/>
  <c r="F103" i="309"/>
  <c r="F105" i="309" s="1"/>
  <c r="E60" i="309"/>
  <c r="K59" i="309" s="1"/>
  <c r="M59" i="309" s="1"/>
  <c r="E7" i="316"/>
  <c r="F96" i="373"/>
  <c r="F98" i="373" s="1"/>
  <c r="E8" i="374"/>
  <c r="M63" i="389"/>
  <c r="F119" i="411"/>
  <c r="F121" i="411" s="1"/>
  <c r="E61" i="416"/>
  <c r="K51" i="425"/>
  <c r="I20" i="425"/>
  <c r="K91" i="401"/>
  <c r="D50" i="417"/>
  <c r="F50" i="417" s="1"/>
  <c r="G50" i="417" s="1"/>
  <c r="L48" i="417"/>
  <c r="M47" i="417"/>
  <c r="M48" i="417" s="1"/>
  <c r="F68" i="307"/>
  <c r="F70" i="307" s="1"/>
  <c r="M65" i="354"/>
  <c r="E8" i="332"/>
  <c r="F127" i="420"/>
  <c r="F129" i="420" s="1"/>
  <c r="E15" i="423"/>
  <c r="E17" i="423" s="1"/>
  <c r="E17" i="410"/>
  <c r="F76" i="414"/>
  <c r="G76" i="414" s="1"/>
  <c r="D80" i="416"/>
  <c r="F80" i="416" s="1"/>
  <c r="G80" i="416" s="1"/>
  <c r="L78" i="416"/>
  <c r="F100" i="415"/>
  <c r="F102" i="415" s="1"/>
  <c r="K93" i="411"/>
  <c r="M111" i="418"/>
  <c r="M112" i="418" s="1"/>
  <c r="E26" i="424"/>
  <c r="E28" i="424" s="1"/>
  <c r="E8" i="424"/>
  <c r="F121" i="424"/>
  <c r="F123" i="424" s="1"/>
  <c r="F104" i="424"/>
  <c r="G104" i="424" s="1"/>
  <c r="F105" i="424"/>
  <c r="G105" i="424" s="1"/>
  <c r="E86" i="424"/>
  <c r="K85" i="424" s="1"/>
  <c r="M103" i="424"/>
  <c r="K47" i="409" l="1"/>
  <c r="E80" i="393"/>
  <c r="K48" i="400"/>
  <c r="K78" i="381"/>
  <c r="K85" i="368"/>
  <c r="E59" i="380"/>
  <c r="E43" i="399"/>
  <c r="K52" i="402"/>
  <c r="E75" i="334"/>
  <c r="K63" i="323"/>
  <c r="M63" i="323" s="1"/>
  <c r="K23" i="302"/>
  <c r="M23" i="302" s="1"/>
  <c r="E79" i="355"/>
  <c r="K26" i="307"/>
  <c r="M26" i="307" s="1"/>
  <c r="E29" i="337"/>
  <c r="K57" i="376"/>
  <c r="K52" i="356"/>
  <c r="E68" i="331"/>
  <c r="E65" i="298"/>
  <c r="K45" i="389"/>
  <c r="K49" i="327"/>
  <c r="M49" i="327" s="1"/>
  <c r="K42" i="340"/>
  <c r="E93" i="378"/>
  <c r="K61" i="395"/>
  <c r="K45" i="335"/>
  <c r="M45" i="335" s="1"/>
  <c r="K62" i="396"/>
  <c r="K46" i="303"/>
  <c r="M46" i="303" s="1"/>
  <c r="E68" i="391"/>
  <c r="K62" i="350"/>
  <c r="K26" i="314"/>
  <c r="M26" i="314" s="1"/>
  <c r="K43" i="365"/>
  <c r="K39" i="319"/>
  <c r="M39" i="319" s="1"/>
  <c r="E82" i="311"/>
  <c r="E33" i="417"/>
  <c r="K66" i="369"/>
  <c r="E71" i="392"/>
  <c r="K80" i="405"/>
  <c r="E66" i="359"/>
  <c r="K61" i="383"/>
  <c r="E67" i="344"/>
  <c r="E66" i="352"/>
  <c r="E51" i="318"/>
  <c r="K39" i="301"/>
  <c r="M39" i="301" s="1"/>
  <c r="K52" i="339"/>
  <c r="E60" i="403"/>
  <c r="E61" i="330"/>
  <c r="E76" i="353"/>
  <c r="K42" i="348"/>
  <c r="K73" i="362"/>
  <c r="K69" i="300"/>
  <c r="M69" i="300" s="1"/>
  <c r="E57" i="310"/>
  <c r="E51" i="361"/>
  <c r="K59" i="364"/>
  <c r="E79" i="321"/>
  <c r="E70" i="351"/>
  <c r="E54" i="374"/>
  <c r="E54" i="313"/>
  <c r="K78" i="404"/>
  <c r="E64" i="397"/>
  <c r="K45" i="394"/>
  <c r="E87" i="413"/>
  <c r="K51" i="333"/>
  <c r="M51" i="333" s="1"/>
  <c r="K93" i="341"/>
  <c r="K67" i="375"/>
  <c r="E58" i="382"/>
  <c r="E81" i="390"/>
  <c r="E61" i="320"/>
  <c r="E81" i="357"/>
  <c r="F104" i="413"/>
  <c r="G104" i="413" s="1"/>
  <c r="E70" i="407"/>
  <c r="K57" i="379"/>
  <c r="E73" i="326"/>
  <c r="E59" i="332"/>
  <c r="E77" i="345"/>
  <c r="E62" i="309"/>
  <c r="K44" i="315"/>
  <c r="M44" i="315" s="1"/>
  <c r="E59" i="414"/>
  <c r="E71" i="347"/>
  <c r="E76" i="421"/>
  <c r="K40" i="297"/>
  <c r="M40" i="297" s="1"/>
  <c r="K54" i="373"/>
  <c r="K47" i="338"/>
  <c r="E50" i="338"/>
  <c r="K52" i="308"/>
  <c r="M52" i="308" s="1"/>
  <c r="K41" i="422"/>
  <c r="K75" i="317"/>
  <c r="M75" i="317" s="1"/>
  <c r="E78" i="317"/>
  <c r="K47" i="415"/>
  <c r="E55" i="306"/>
  <c r="E44" i="316"/>
  <c r="K41" i="316"/>
  <c r="M41" i="316" s="1"/>
  <c r="E74" i="363"/>
  <c r="E53" i="377"/>
  <c r="K50" i="377"/>
  <c r="K47" i="354"/>
  <c r="K54" i="336"/>
  <c r="M54" i="336" s="1"/>
  <c r="K55" i="406"/>
  <c r="E58" i="406"/>
  <c r="K65" i="328"/>
  <c r="M65" i="328" s="1"/>
  <c r="E68" i="328"/>
  <c r="E24" i="325"/>
  <c r="E65" i="408"/>
  <c r="K67" i="420"/>
  <c r="E50" i="387"/>
  <c r="K47" i="387"/>
  <c r="K58" i="358"/>
  <c r="K51" i="386"/>
  <c r="E54" i="386"/>
  <c r="E76" i="322"/>
  <c r="E78" i="411"/>
  <c r="K75" i="411"/>
  <c r="K50" i="305"/>
  <c r="M50" i="305" s="1"/>
  <c r="E53" i="305"/>
  <c r="K34" i="388"/>
  <c r="E37" i="388"/>
  <c r="K53" i="342"/>
  <c r="K80" i="366"/>
  <c r="K94" i="418"/>
  <c r="E61" i="312"/>
  <c r="K69" i="329"/>
  <c r="M69" i="329" s="1"/>
  <c r="E72" i="329"/>
  <c r="E58" i="385"/>
  <c r="K59" i="370"/>
  <c r="K65" i="349"/>
  <c r="E68" i="349"/>
  <c r="K75" i="346"/>
  <c r="E78" i="346"/>
  <c r="K55" i="324"/>
  <c r="M55" i="324" s="1"/>
  <c r="E58" i="324"/>
  <c r="K60" i="360"/>
  <c r="E63" i="360"/>
  <c r="K77" i="419"/>
  <c r="E80" i="419"/>
  <c r="E48" i="299"/>
  <c r="K45" i="299"/>
  <c r="M45" i="299" s="1"/>
  <c r="E63" i="416"/>
  <c r="K60" i="416"/>
  <c r="E68" i="384"/>
  <c r="K65" i="384"/>
  <c r="E83" i="412"/>
  <c r="K80" i="412"/>
  <c r="K83" i="423"/>
  <c r="E86" i="423"/>
  <c r="E50" i="304"/>
  <c r="K47" i="304"/>
  <c r="M47" i="304" s="1"/>
  <c r="E53" i="410"/>
  <c r="K50" i="410"/>
  <c r="K58" i="296"/>
  <c r="M58" i="296" s="1"/>
  <c r="E61" i="296"/>
  <c r="K50" i="343"/>
  <c r="E53" i="343"/>
  <c r="I27" i="424"/>
  <c r="E88" i="424"/>
  <c r="F64" i="429"/>
  <c r="E65" i="429" s="1"/>
  <c r="E67" i="429" l="1"/>
  <c r="K60" i="429"/>
</calcChain>
</file>

<file path=xl/sharedStrings.xml><?xml version="1.0" encoding="utf-8"?>
<sst xmlns="http://schemas.openxmlformats.org/spreadsheetml/2006/main" count="75165" uniqueCount="2300">
  <si>
    <t>JAIN CORD INDUSTRIES PVT. LTD. (IOB)</t>
  </si>
  <si>
    <t>Date</t>
  </si>
  <si>
    <t>Particulars</t>
  </si>
  <si>
    <t>Vch Type</t>
  </si>
  <si>
    <t>Debit</t>
  </si>
  <si>
    <t>Credit</t>
  </si>
  <si>
    <t>Dr</t>
  </si>
  <si>
    <t>Opening Balance</t>
  </si>
  <si>
    <t/>
  </si>
  <si>
    <t>Closing Balance</t>
  </si>
  <si>
    <t>JAIN CORD INDUSTRIES PVT. LTD. (KOTAK MAHINDRA)</t>
  </si>
  <si>
    <t>Cr</t>
  </si>
  <si>
    <t>Sparrow Apparels Limited</t>
  </si>
  <si>
    <t>Bank Receipts</t>
  </si>
  <si>
    <t>Sree Kumaar Texind Corporation</t>
  </si>
  <si>
    <t>Bill Discounting (Intt.)</t>
  </si>
  <si>
    <t>Suspense A/c</t>
  </si>
  <si>
    <t>Win India Export</t>
  </si>
  <si>
    <t>Anubhav Apparels (B-16) Pvt. Ltd.</t>
  </si>
  <si>
    <t>Shahi Exports Pvt. Ltd.(Bangalore)</t>
  </si>
  <si>
    <t>Attire Creation Co</t>
  </si>
  <si>
    <t>K.K.D Fabrics</t>
  </si>
  <si>
    <t>Nor Lanka Manufacturing Ltd. Hong Kong</t>
  </si>
  <si>
    <t>Akriti Apparels (P) Ltd.</t>
  </si>
  <si>
    <t>Shahi Exports (P) Ltd. (FBD.)</t>
  </si>
  <si>
    <t>ANKUSH JAIN HDFC A/C NO. 7512 (TAX A/C)</t>
  </si>
  <si>
    <t>Eam Maliban Textiles Mahiyanganaya Pvt Ltd</t>
  </si>
  <si>
    <t>Bill Discounting Through Factoring (KBML)</t>
  </si>
  <si>
    <t>Visitech Engineers Pvt Ltd</t>
  </si>
  <si>
    <t>Bank Payment</t>
  </si>
  <si>
    <t>Gupta Chemicals(07AAVFG5952C1Z4)</t>
  </si>
  <si>
    <t>Alpine Expo Tex Pvt. Ltd. (Purchase)</t>
  </si>
  <si>
    <t>New India Colour Company Limited</t>
  </si>
  <si>
    <t>Jalaram Dye Chem</t>
  </si>
  <si>
    <t>Advance Agt Salary (Kosi)</t>
  </si>
  <si>
    <t>Gupta Associate</t>
  </si>
  <si>
    <t>Hari Marble and Makrana Store</t>
  </si>
  <si>
    <t>M.D.Computer &amp; Security</t>
  </si>
  <si>
    <t>S.K. Enterprises</t>
  </si>
  <si>
    <t>Metro Roadways  Pvt Ltd</t>
  </si>
  <si>
    <t>Manish Enterprises</t>
  </si>
  <si>
    <t>Shree Mahavir Industries</t>
  </si>
  <si>
    <t>Akash Electricals Works</t>
  </si>
  <si>
    <t>Arihant Gases &amp; Spares</t>
  </si>
  <si>
    <t>Bankey Bihari Iron and Steel</t>
  </si>
  <si>
    <t>Dynamic Trading Co.</t>
  </si>
  <si>
    <t>Janak Electricals</t>
  </si>
  <si>
    <t>Shri Krishna Road Lines</t>
  </si>
  <si>
    <t>Aarchee Enterprises</t>
  </si>
  <si>
    <t>Vansh Polymers</t>
  </si>
  <si>
    <t>Chaudhary Shakti Enterprises</t>
  </si>
  <si>
    <t>S. M. Logistics</t>
  </si>
  <si>
    <t>Pratyushi Laptop Clinic</t>
  </si>
  <si>
    <t>Shri Balaji Trading Co</t>
  </si>
  <si>
    <t>Texanlab Laboratories Pvt Ltd</t>
  </si>
  <si>
    <t>Nahar Spinning Mills Ltd</t>
  </si>
  <si>
    <t>Vishal Traders</t>
  </si>
  <si>
    <t>Cotton Works (Purchase)</t>
  </si>
  <si>
    <t>B L Cargo</t>
  </si>
  <si>
    <t>Copy Works India</t>
  </si>
  <si>
    <t>Satyajeet Machine Tools</t>
  </si>
  <si>
    <t>DA Enterprises</t>
  </si>
  <si>
    <t>Advance Agt. Salary Exp.</t>
  </si>
  <si>
    <t>Flock Fabs India</t>
  </si>
  <si>
    <t>Bank Charges GST</t>
  </si>
  <si>
    <t xml:space="preserve">Closing Balance as per Books </t>
  </si>
  <si>
    <t>Add</t>
  </si>
  <si>
    <t xml:space="preserve">Packing Credit Balance (included in above ) </t>
  </si>
  <si>
    <t xml:space="preserve">Closing Available Balance </t>
  </si>
  <si>
    <t>REVERSE</t>
  </si>
  <si>
    <t>suspense</t>
  </si>
  <si>
    <t>Factoring (Bill Discounting)</t>
  </si>
  <si>
    <t>TOTAL</t>
  </si>
  <si>
    <t>Total Payment
Recd by
JainCord (Cr)</t>
  </si>
  <si>
    <t>Debtor Directly
Payment to
Bank (Dr)</t>
  </si>
  <si>
    <t>Limit Used</t>
  </si>
  <si>
    <t>Balance Limit Available</t>
  </si>
  <si>
    <t>SALE DETAILS (FIGURES IN LAKHS)</t>
  </si>
  <si>
    <t>FABRIC</t>
  </si>
  <si>
    <t>JOBWORK</t>
  </si>
  <si>
    <t>Debtors Relization against Factoring (Bill Discounting) on Maturity</t>
  </si>
  <si>
    <t>DATE</t>
  </si>
  <si>
    <t>PARTY NAME</t>
  </si>
  <si>
    <t>Amount</t>
  </si>
  <si>
    <t>Himanshu Apparels Pvt. Ltd.</t>
  </si>
  <si>
    <t>Panorama Export (P) Ltd.</t>
  </si>
  <si>
    <t>Richa Global Exports Pvt. Ltd.</t>
  </si>
  <si>
    <t>Richaco Exports Private Limited</t>
  </si>
  <si>
    <t>S.A.N. International</t>
  </si>
  <si>
    <t>A</t>
  </si>
  <si>
    <t>B</t>
  </si>
  <si>
    <t>Sun Exports</t>
  </si>
  <si>
    <t>ICICI Bank Car Loan No. LAGUR00044088636</t>
  </si>
  <si>
    <t>Rainbow Fabart Pvt Ltd</t>
  </si>
  <si>
    <t>Different Counts Private Limited</t>
  </si>
  <si>
    <t>Punjab Steel &amp; Welding Works</t>
  </si>
  <si>
    <t>Pinki Rahi (Exp)</t>
  </si>
  <si>
    <t>P.I. Textiles (Yarn)</t>
  </si>
  <si>
    <t>Deepak Rewri (Exp.)</t>
  </si>
  <si>
    <t>Shan Body Works</t>
  </si>
  <si>
    <t>Type</t>
  </si>
  <si>
    <t>Magnum Clothing Pvt Ltd., Chennai</t>
  </si>
  <si>
    <t>Bank Interest A/C</t>
  </si>
  <si>
    <t>Amaravathi Garments Mfg Co.</t>
  </si>
  <si>
    <t>Pyoginam Private Limited</t>
  </si>
  <si>
    <t>Modelama Exports (P) Ltd.</t>
  </si>
  <si>
    <t>Ankit India</t>
  </si>
  <si>
    <t>Interest on Term Loan</t>
  </si>
  <si>
    <t>Term Loan -0298TL0100000035</t>
  </si>
  <si>
    <t>V.P Tex Private Limited</t>
  </si>
  <si>
    <t>Kallam Textiles Ltd</t>
  </si>
  <si>
    <t>Smartpaddle Technology Pvt Ltd (Creditor)</t>
  </si>
  <si>
    <t>Gimatex Industries Private Limited</t>
  </si>
  <si>
    <t>WinEx Logistics India Pvt. Ltd.</t>
  </si>
  <si>
    <t>Toner Refilling Centre</t>
  </si>
  <si>
    <t>Parmod Electricals</t>
  </si>
  <si>
    <t>Punjab Distributors Pvt. Ltd.</t>
  </si>
  <si>
    <t>Rolling Elements Pvt Ltd</t>
  </si>
  <si>
    <t>BPCL-E CMS (FLEET BUSINESS)</t>
  </si>
  <si>
    <t>Smartpaddle Technology Pvt Ltd. (Debtor)</t>
  </si>
  <si>
    <t>Shahi Exports Pvt. Ltd. (Noida)</t>
  </si>
  <si>
    <t>Discover Fashions India Pvt.Ltd.</t>
  </si>
  <si>
    <t>Pearl Global Industries Ltd.</t>
  </si>
  <si>
    <t>Wages Exp. Payable (Kosi)</t>
  </si>
  <si>
    <t>Pappu Sah</t>
  </si>
  <si>
    <t>VSM Weavess India (P) Ltd (33AABCV7326C2ZN)</t>
  </si>
  <si>
    <t>Supreme Transport Solutions Pvt Ltd</t>
  </si>
  <si>
    <t>Salary Exp.Payble (Kosi)</t>
  </si>
  <si>
    <t>Krishna Machinery Tools</t>
  </si>
  <si>
    <t>A.K. Engineers</t>
  </si>
  <si>
    <t>Power Line Air Express</t>
  </si>
  <si>
    <t>Raju Tiwari (Exp.)</t>
  </si>
  <si>
    <t>Deepak Singh (Exp.)</t>
  </si>
  <si>
    <t>Afflatus International</t>
  </si>
  <si>
    <t>AMIT JAIN A/C NO. 21758 (TAX A/C)</t>
  </si>
  <si>
    <t>Aditya Rang Rasayan Corporation</t>
  </si>
  <si>
    <t>ASHISH CHAHAR (EXP.)</t>
  </si>
  <si>
    <t>Sri Krishna Logistics</t>
  </si>
  <si>
    <t>Stovec Industries Ltd</t>
  </si>
  <si>
    <t>Gagan Coal Private Limited (Gujrat)</t>
  </si>
  <si>
    <t>VMS Fabrics Private Limited</t>
  </si>
  <si>
    <t>Indus Intex Pvt. Ltd.</t>
  </si>
  <si>
    <t>MAF Clothing Pvt. Ltd.</t>
  </si>
  <si>
    <t>NJK ENTERPRISES</t>
  </si>
  <si>
    <t>Frendi Fashions Pvt. Ltd.</t>
  </si>
  <si>
    <t>Raised on Denim India</t>
  </si>
  <si>
    <t>Sahu Exports Private Limited</t>
  </si>
  <si>
    <t>Berry Tex Pvt. Ltd.</t>
  </si>
  <si>
    <t>Lucky Industries (Pvt) Ltd</t>
  </si>
  <si>
    <t>Duty Draw Back Receivable</t>
  </si>
  <si>
    <t>Jak Industries</t>
  </si>
  <si>
    <t>DPCS Impex</t>
  </si>
  <si>
    <t>Pee Empro Exports Pvt. Ltd.</t>
  </si>
  <si>
    <t>Jai Trading Company</t>
  </si>
  <si>
    <t>KVNM Trade</t>
  </si>
  <si>
    <t>Laguna Clothing LLP</t>
  </si>
  <si>
    <t>Bank Charges</t>
  </si>
  <si>
    <t>Poppys Knitwear Pvt. Ltd.</t>
  </si>
  <si>
    <t>AAN CLOTHINGS LLP</t>
  </si>
  <si>
    <t>The Attire</t>
  </si>
  <si>
    <t>Scorpios Apparels Pvt Ltd</t>
  </si>
  <si>
    <t>Six Fashions</t>
  </si>
  <si>
    <t>Credo Brands Marketing (P) Ltd.</t>
  </si>
  <si>
    <t>Parasram Hunnamal &amp; Co.</t>
  </si>
  <si>
    <t>Cordfab Fashion World</t>
  </si>
  <si>
    <t>Ammayapper Textile (P) Ltd.</t>
  </si>
  <si>
    <t>Erhardt + Leimer ( India ) Pvt. Ltd.</t>
  </si>
  <si>
    <t>Vasudha Mehta (A-19)</t>
  </si>
  <si>
    <t>Haresh Chand</t>
  </si>
  <si>
    <t>Kundan Kumar/Archana Rani (S-103)</t>
  </si>
  <si>
    <t>Sneh Lata Khurana ( S 211 )</t>
  </si>
  <si>
    <t>Amit Shanker Saxena (Exp.)</t>
  </si>
  <si>
    <t>R &amp; J Waste Water Treatment</t>
  </si>
  <si>
    <t>CTA Apparels Pvt. Ltd.</t>
  </si>
  <si>
    <t>Radiant Apparels (P) Ltd.</t>
  </si>
  <si>
    <t>Mira Exim Ltd</t>
  </si>
  <si>
    <t>Shivank Udyog  Ltd.</t>
  </si>
  <si>
    <t>Riaan Texport</t>
  </si>
  <si>
    <t>Home D'Luxe</t>
  </si>
  <si>
    <t>Chandan Trading</t>
  </si>
  <si>
    <t>Fashion Accessories</t>
  </si>
  <si>
    <t>SB Compliance Consultancy</t>
  </si>
  <si>
    <t>HDFC Car Loan Mercedes 59706651</t>
  </si>
  <si>
    <t>HDFC Car Ciaz Loan No. 65338826</t>
  </si>
  <si>
    <t>Abhishek Kumar</t>
  </si>
  <si>
    <t>Akash &amp; Devid Company</t>
  </si>
  <si>
    <t>Alok Kumar</t>
  </si>
  <si>
    <t>Anushka &amp; Company</t>
  </si>
  <si>
    <t>Dinesh Chand</t>
  </si>
  <si>
    <t>Gouri Shankar Engg. &amp; Contractor</t>
  </si>
  <si>
    <t>Himanshu &amp; Company</t>
  </si>
  <si>
    <t>Jai Shri &amp; Vashudev</t>
  </si>
  <si>
    <t>Nepal (Contractor)</t>
  </si>
  <si>
    <t>Shri Shyam Traders</t>
  </si>
  <si>
    <t>ARS Paddy Husk (P) Ltd.</t>
  </si>
  <si>
    <t>Sandeep Kumar</t>
  </si>
  <si>
    <t>Yogesh Pandey (Driver Kosi)</t>
  </si>
  <si>
    <t>Bhagwati Enterprises (India)</t>
  </si>
  <si>
    <t>Simmi Jain Loan A/c</t>
  </si>
  <si>
    <t>Eagle Silk Mills PVT.LTD.</t>
  </si>
  <si>
    <t>Gokaldas Exports Ltd.</t>
  </si>
  <si>
    <t>Vamani Overseas Pvt Ltd</t>
  </si>
  <si>
    <t>Scrap Jeans</t>
  </si>
  <si>
    <t>Vardhman Textiles Ltd.(02AABCM4692E1ZR</t>
  </si>
  <si>
    <t>Best Roadways Limited</t>
  </si>
  <si>
    <t>Gurgaon Chamber of Commerce &amp; Industry</t>
  </si>
  <si>
    <t>Lachhi Singh</t>
  </si>
  <si>
    <t>Tamal Dass</t>
  </si>
  <si>
    <t>Manoj Mankar Santosh (Exp.)</t>
  </si>
  <si>
    <t>Hem Prakash Agarwal (Exp)</t>
  </si>
  <si>
    <t>Classic Trading Co.</t>
  </si>
  <si>
    <t>Axis Bank Card No. 5788 (Arun Jain)</t>
  </si>
  <si>
    <t>Salary Exp Payable</t>
  </si>
  <si>
    <t>Bharat Silks</t>
  </si>
  <si>
    <t>Vardhman Fabrics</t>
  </si>
  <si>
    <t>Kotak Loan A/c No. LCV- 1276203 (Eicher)</t>
  </si>
  <si>
    <t>ICICI Bank Car Loan No. LAGUR00044067048</t>
  </si>
  <si>
    <t>Sundram Finance Loan No. Q010900205</t>
  </si>
  <si>
    <t>Sundram Finance Loan No. R010900309</t>
  </si>
  <si>
    <t>H B Velvets</t>
  </si>
  <si>
    <t>Radnik Exports (Noida)</t>
  </si>
  <si>
    <t>Umesh Kumar(Driver)Kosi</t>
  </si>
  <si>
    <t>Sunil Kumar (Exp) Kosi</t>
  </si>
  <si>
    <t>Salary Exp. Payable</t>
  </si>
  <si>
    <t>DNA Power Transmission</t>
  </si>
  <si>
    <t>Embee Corporation</t>
  </si>
  <si>
    <t>Fitvel Industries</t>
  </si>
  <si>
    <t>Krossmark Innovations</t>
  </si>
  <si>
    <t>Rajendra Book Depot</t>
  </si>
  <si>
    <t>Scolour Technologies</t>
  </si>
  <si>
    <t>Neerway Projects Private Limited</t>
  </si>
  <si>
    <t>Hemant (Exp.)</t>
  </si>
  <si>
    <t>Sarvesh Kumar Thakur (Exp.)</t>
  </si>
  <si>
    <t>Reliance Ritu Kumar Private Limited</t>
  </si>
  <si>
    <t>Golden Seams Industries Pvt. Ltd.</t>
  </si>
  <si>
    <t>Amit Dixit (Exp.)</t>
  </si>
  <si>
    <t>Amit Jain (Loan A/c)</t>
  </si>
  <si>
    <t>Bhagwan Enterprises Textile Pvt. Ltd.</t>
  </si>
  <si>
    <t>Sudha Jain (Loan A/c)</t>
  </si>
  <si>
    <t>Fabcott Textiles Pvt Ltd</t>
  </si>
  <si>
    <t>Allure Fashions (India)</t>
  </si>
  <si>
    <t>Khemchand</t>
  </si>
  <si>
    <t>Axis Bank Credit Card No. 9470 (Aditya Jain)</t>
  </si>
  <si>
    <t>Mandeep Malik (Exp.)</t>
  </si>
  <si>
    <t>Wear WeII India Pvt Ltd</t>
  </si>
  <si>
    <t>N K Traders</t>
  </si>
  <si>
    <t>Umiya Trading Corporation</t>
  </si>
  <si>
    <t>Paramount Products Pvt. Ltd. (Delhi)</t>
  </si>
  <si>
    <t>New Gagan Road Lines</t>
  </si>
  <si>
    <t>CGS Apparels Pvt Ltd (Noida)</t>
  </si>
  <si>
    <t>Electricity Exp. (Accommodation)</t>
  </si>
  <si>
    <t>Shree Laadli Packaging Industries</t>
  </si>
  <si>
    <t>Dynamic Packaging Industries</t>
  </si>
  <si>
    <t>H.S.Chemical Suppliers</t>
  </si>
  <si>
    <t>Balaji Acid &amp; Chemicals</t>
  </si>
  <si>
    <t>Kapila Colours Pvt.Ltd</t>
  </si>
  <si>
    <t>Kunal Conchem Private Limited</t>
  </si>
  <si>
    <t>Reliance Retail Limited</t>
  </si>
  <si>
    <t>Cheque Return</t>
  </si>
  <si>
    <t>Nand Kishor (Exp.)</t>
  </si>
  <si>
    <t>Term Loan A/c No. 4266TL0100000006</t>
  </si>
  <si>
    <t>Gitika Overseas Pvt Ltd</t>
  </si>
  <si>
    <t>Kailash Chand</t>
  </si>
  <si>
    <t>Axis Bank Loan A/C No. CER005605521566 (CRANE)</t>
  </si>
  <si>
    <t>Super Glitz</t>
  </si>
  <si>
    <t>Alpine Apparels Pvt Ltd</t>
  </si>
  <si>
    <t>Dev Fabrics</t>
  </si>
  <si>
    <t>Salary Payable (Under ABRY Scheme)</t>
  </si>
  <si>
    <t>Ambika Saw Mill</t>
  </si>
  <si>
    <t>Electricity Exp. Payable</t>
  </si>
  <si>
    <t>AQUARELLE INDIA PRIVATE LIMITED</t>
  </si>
  <si>
    <t>Texport Industries Pvt Ltd</t>
  </si>
  <si>
    <t>Sundar Sons (India) Export</t>
  </si>
  <si>
    <t>Sincere Marketing Services Pvt.Ltd</t>
  </si>
  <si>
    <t>PermaShrink Inc</t>
  </si>
  <si>
    <t>Boutique International (P) Ltd.</t>
  </si>
  <si>
    <t>Texport Overseas Pvt. Ltd.</t>
  </si>
  <si>
    <t>Anjana Singh Dhakar &amp; Co.</t>
  </si>
  <si>
    <t>Accutech Solutions</t>
  </si>
  <si>
    <t>Jalaram  Agencies</t>
  </si>
  <si>
    <t>J.D.Sales Corp.</t>
  </si>
  <si>
    <t>Indigo Crafts Pvt. Ltd.</t>
  </si>
  <si>
    <t>Pearl Apparels</t>
  </si>
  <si>
    <t>LC Bill Discounting</t>
  </si>
  <si>
    <t>Vardhman Textile Ltd (23AABCM4692E2ZM</t>
  </si>
  <si>
    <t>Term Loan - 0298TL0100000038</t>
  </si>
  <si>
    <t>R. Kapoor Enterprises</t>
  </si>
  <si>
    <t>Ujjawal Kumar Shukla (Exp.)</t>
  </si>
  <si>
    <t>Arvind Limited</t>
  </si>
  <si>
    <t>ECGC Ltd.</t>
  </si>
  <si>
    <t>Rathore  Gajjala Silai Machine</t>
  </si>
  <si>
    <t>Jain Invertor Battery Centre</t>
  </si>
  <si>
    <t>Axis Bank Credit Card No. 9752 (Anil Jain) Vistara</t>
  </si>
  <si>
    <t>Datta Sewing Machine Company</t>
  </si>
  <si>
    <t>Atishay Specialities Pvt Ltd</t>
  </si>
  <si>
    <t>Indian Velvet Agencies</t>
  </si>
  <si>
    <t>Bansal Industrial Corporation</t>
  </si>
  <si>
    <t>SAPL Industries Private Limited</t>
  </si>
  <si>
    <t>Radnik Exports</t>
  </si>
  <si>
    <t>Sakshi Industries</t>
  </si>
  <si>
    <t>Shri Ji Bharatgas Service</t>
  </si>
  <si>
    <t>Walaiti Ram Ashok Kumar</t>
  </si>
  <si>
    <t>Ravinder Singh (Exp.)</t>
  </si>
  <si>
    <t>Maxpower International</t>
  </si>
  <si>
    <t>Bagmal Champalal</t>
  </si>
  <si>
    <t>Flock Fabs (India)</t>
  </si>
  <si>
    <t>Vivek Agencies (Purchase)</t>
  </si>
  <si>
    <t>Unidyes Chemicals Pvt Ltd</t>
  </si>
  <si>
    <t>MTS Water</t>
  </si>
  <si>
    <t>Worldex India Exhibition &amp; Promotion Pvt Ltd</t>
  </si>
  <si>
    <t>R.K. Industries- IV</t>
  </si>
  <si>
    <t>Connoisseur Fashions</t>
  </si>
  <si>
    <t>Industrial Roller Company</t>
  </si>
  <si>
    <t>Auro Spinning Mills</t>
  </si>
  <si>
    <t>Delhi Engineering Corporation</t>
  </si>
  <si>
    <t>Swastik Engg. &amp; Valves Mfg.</t>
  </si>
  <si>
    <t>Output IGST on Export Sales Recoverable</t>
  </si>
  <si>
    <t>The Perfect Fit</t>
  </si>
  <si>
    <t>Sekawati Impex</t>
  </si>
  <si>
    <t>Airmen Engineers and Service (P) Ltd.</t>
  </si>
  <si>
    <t>Strands International</t>
  </si>
  <si>
    <t>Regency Three Limited</t>
  </si>
  <si>
    <t>Entry Cancel</t>
  </si>
  <si>
    <t>Mangla Apparels India Pvt Ltd (Sonipat)</t>
  </si>
  <si>
    <t>Aman Enviro Engineering Consultant</t>
  </si>
  <si>
    <t>Active Clothing Co. Pvt Ltd</t>
  </si>
  <si>
    <t>Contemporary Classique</t>
  </si>
  <si>
    <t>PNL Infotech</t>
  </si>
  <si>
    <t>Acer Green Carriers Pvt Ltd</t>
  </si>
  <si>
    <t>Transknits</t>
  </si>
  <si>
    <t>Pankaj Jain (Comm. A/c )</t>
  </si>
  <si>
    <t>Siddharth Exim</t>
  </si>
  <si>
    <t>Goodwill Fabrics Pvt. Ltd.</t>
  </si>
  <si>
    <t>VOC Skills</t>
  </si>
  <si>
    <t>Sonu Exim Pvt. Ltd.</t>
  </si>
  <si>
    <t>Hasbro Clothing Pvt Ltd</t>
  </si>
  <si>
    <t>Century Overseas</t>
  </si>
  <si>
    <t>Jain Textile Industries (Rent)</t>
  </si>
  <si>
    <t>Bureau Veritas Consumer Products Services (I) Pvt.</t>
  </si>
  <si>
    <t>Intertek India Pvt. Ltd.</t>
  </si>
  <si>
    <t>Gupta Chemicals Urea(07AAVFG5952C1Z4)</t>
  </si>
  <si>
    <t>Saral Chemicals</t>
  </si>
  <si>
    <t>A E B Ltd. (Credit Card-21005) Aditya Ji</t>
  </si>
  <si>
    <t>Ram Chander Choudhary</t>
  </si>
  <si>
    <t>Galaxy Computers</t>
  </si>
  <si>
    <t>Anand Batham (Exp.)</t>
  </si>
  <si>
    <t>Flywing Cargo Pvt Ltd(GGN)</t>
  </si>
  <si>
    <t>G.R.B. Enterprises</t>
  </si>
  <si>
    <t>Bhuvdev Prasad</t>
  </si>
  <si>
    <t>Aditya Motors</t>
  </si>
  <si>
    <t>Flywing Cargo Pvt Ltd (Bangalore)</t>
  </si>
  <si>
    <t>Home Fashions</t>
  </si>
  <si>
    <t>Vaishno Roadline</t>
  </si>
  <si>
    <t>Target Technologies (P) Ltd</t>
  </si>
  <si>
    <t>DHL Express (India) Pvt. Ltd.</t>
  </si>
  <si>
    <t>Netzsch Technologies India Pvt Ltd</t>
  </si>
  <si>
    <t>Brij Enterprises</t>
  </si>
  <si>
    <t>Geeken Seating Collection Pvt.Ltd</t>
  </si>
  <si>
    <t>Magic Clothing Private Limited</t>
  </si>
  <si>
    <t>Lotus Trends Pvt. Ltd.</t>
  </si>
  <si>
    <t>Kishor Exports (Ranchi)</t>
  </si>
  <si>
    <t>Aditya Birla Fashion &amp; Retail Limited (Exports)</t>
  </si>
  <si>
    <t>SGS India Pvt. Ltd.</t>
  </si>
  <si>
    <t>Divine Logistics</t>
  </si>
  <si>
    <t>Amazing Export Corportion</t>
  </si>
  <si>
    <t>Rubmech Industries</t>
  </si>
  <si>
    <t>RC Apparels</t>
  </si>
  <si>
    <t>Neeman Seating Solution Pvt Ltd</t>
  </si>
  <si>
    <t>S.K. WEAVING PVT. LTD. ( GUJRAT )</t>
  </si>
  <si>
    <t>Shri Ji Manglam Enterprises</t>
  </si>
  <si>
    <t>Axis Bank Credit Card No. 5847(Aditya Jain) Vistara</t>
  </si>
  <si>
    <t>SRM Facility Management Pvt Ltd</t>
  </si>
  <si>
    <t>Shree Enterprises-(RJ)</t>
  </si>
  <si>
    <t>Auro Textiles</t>
  </si>
  <si>
    <t>Chandramukhi Impex Ltd.</t>
  </si>
  <si>
    <t>Ranger Apparel Export Pvt Ltd</t>
  </si>
  <si>
    <t>C &amp; R Textiles Pvt Ltd</t>
  </si>
  <si>
    <t>Graphite Refmin Pvt Ltd-Delhi</t>
  </si>
  <si>
    <t>Atelier Brunette India Private Limited</t>
  </si>
  <si>
    <t>Miami Clothing Pvt. Ltd.</t>
  </si>
  <si>
    <t>TDS Payable</t>
  </si>
  <si>
    <t>Dibella India</t>
  </si>
  <si>
    <t>Investeurs Consulting Pvt Ltd</t>
  </si>
  <si>
    <t>Arihant Spinning Mills</t>
  </si>
  <si>
    <t>Ramp Impex Pvt. Ltd.</t>
  </si>
  <si>
    <t>Gaurav International</t>
  </si>
  <si>
    <t>Zyker Sales</t>
  </si>
  <si>
    <t>Umesh Singh</t>
  </si>
  <si>
    <t>Jain Machinery Store</t>
  </si>
  <si>
    <t>Nobleswear Pvt. Ltd.</t>
  </si>
  <si>
    <t>Vishwaa Apparels Unit 2</t>
  </si>
  <si>
    <t>Meenakshi India Limited</t>
  </si>
  <si>
    <t>Satyarthi Trading Corporation</t>
  </si>
  <si>
    <t>Vats Associates</t>
  </si>
  <si>
    <t>N K Trading Co.</t>
  </si>
  <si>
    <t>Rinku Jain (Loan A/c)</t>
  </si>
  <si>
    <t xml:space="preserve"> </t>
  </si>
  <si>
    <t>Ishan Tubes Pvt. Ltd.</t>
  </si>
  <si>
    <t>Luxmi Trading Co.</t>
  </si>
  <si>
    <t>Neetee Apparel LLP</t>
  </si>
  <si>
    <t>Jain Cord (Kotak)</t>
  </si>
  <si>
    <t>Aditya Jain (Landlord)</t>
  </si>
  <si>
    <t>Indian Overseas Bank (CA-4016)</t>
  </si>
  <si>
    <t>High Stitch Apparels LLP</t>
  </si>
  <si>
    <t>P.S.Forex &amp; Travels Pvt Ltd</t>
  </si>
  <si>
    <t>Celebrity Fashions Ltd.(SEZ)</t>
  </si>
  <si>
    <t>Career Genii Consulting Pvt Ltd</t>
  </si>
  <si>
    <t>Megasoft Software Solutions</t>
  </si>
  <si>
    <t>JS Packing Industries</t>
  </si>
  <si>
    <t>Modern Scientific</t>
  </si>
  <si>
    <t>Aqua Enviro Solution</t>
  </si>
  <si>
    <t>Stas Biochem Private Limited</t>
  </si>
  <si>
    <t>K.K Corporation</t>
  </si>
  <si>
    <t>Kishor Exports</t>
  </si>
  <si>
    <t>Shiv Radio Service LLP</t>
  </si>
  <si>
    <t>Sachin Scientific Store</t>
  </si>
  <si>
    <t>Dhara Engineering Works</t>
  </si>
  <si>
    <t>VS Vacations</t>
  </si>
  <si>
    <t>Gallop International</t>
  </si>
  <si>
    <t>Pooja International</t>
  </si>
  <si>
    <t>Fine Lines</t>
  </si>
  <si>
    <t>Aadinath Impex</t>
  </si>
  <si>
    <t>Yash Textile Machines Pvt Ltd</t>
  </si>
  <si>
    <t>Unitedmizu Industries Pvt Ltd</t>
  </si>
  <si>
    <t>Megger Electricala Co.</t>
  </si>
  <si>
    <t>TCI Exim Pvt. Ltd.</t>
  </si>
  <si>
    <t>Next Manufacturing Pvt. Ltd.</t>
  </si>
  <si>
    <t>Vascoda Holiday Resorts Pvt. Ltd.</t>
  </si>
  <si>
    <t>Delhi Tex Fab Traders ( Comm. A/c )</t>
  </si>
  <si>
    <t>MHMS Mechatrnic Solutions GMBH &amp; Co. KG</t>
  </si>
  <si>
    <t>White House</t>
  </si>
  <si>
    <t>Royal Hardware &amp; Tools</t>
  </si>
  <si>
    <t>B K Garments</t>
  </si>
  <si>
    <t>SPENCER DENIM INDUSTRIES PVT LTD</t>
  </si>
  <si>
    <t>Bengal Traders</t>
  </si>
  <si>
    <t>Fabindia Limited</t>
  </si>
  <si>
    <t>Ravish Fire Safety</t>
  </si>
  <si>
    <t>Orlo Electronics Pvt Ltd</t>
  </si>
  <si>
    <t>Corpora Consultants Pvt.Ltd</t>
  </si>
  <si>
    <t>Jain Machine Tools &amp; Hardware</t>
  </si>
  <si>
    <t>Indian Transformers and Electricals Pvt Ltd</t>
  </si>
  <si>
    <t>Sahil Grover</t>
  </si>
  <si>
    <t>Vardhman Yarns(Mandideep)MP</t>
  </si>
  <si>
    <t>Arun Jain (Loan A/c)</t>
  </si>
  <si>
    <t>LC (Bill Discounting) Kotak &amp; ICICI Bank</t>
  </si>
  <si>
    <t>Kautilya Industries Pvt. Ltd.</t>
  </si>
  <si>
    <t>National Securities Depository Limited</t>
  </si>
  <si>
    <t>J M Designs</t>
  </si>
  <si>
    <t>P. I. Textiles</t>
  </si>
  <si>
    <t>Lalan Fabrics Pvt. Ltd.</t>
  </si>
  <si>
    <t>E-Land Apparel Limited</t>
  </si>
  <si>
    <t>Garg Medical Store</t>
  </si>
  <si>
    <t>Uttar Pradesh Power Transmission Corporation Limite</t>
  </si>
  <si>
    <t>Raja Earth Movers</t>
  </si>
  <si>
    <t>Sunil Jain (Loan A/c)</t>
  </si>
  <si>
    <t>Smart Clothing</t>
  </si>
  <si>
    <t>Jagdamba Traders</t>
  </si>
  <si>
    <t>Kohinoor Enterprises</t>
  </si>
  <si>
    <t>Kohinoor International (P) Ltd.</t>
  </si>
  <si>
    <t>IFFCO Tokio General Insurance Co. Ltd</t>
  </si>
  <si>
    <t>STS TRANSLOG SOLUTION LLP (No TDS)</t>
  </si>
  <si>
    <t>Silk N Fab Pvt Ltd</t>
  </si>
  <si>
    <t>Kailash Chand Kanhaiya Lal Jain</t>
  </si>
  <si>
    <t>Eie Complete Solutions Pvt Ltd</t>
  </si>
  <si>
    <t>Megasoft Systems &amp; Solutions</t>
  </si>
  <si>
    <t>The Brinell Clothing INC</t>
  </si>
  <si>
    <t>United Exim Pvt. Ltd.</t>
  </si>
  <si>
    <t>Mangla Apparels Pvt Ltd</t>
  </si>
  <si>
    <t>Gudi Exports Pvt. Ltd.</t>
  </si>
  <si>
    <t>Jain Overseas</t>
  </si>
  <si>
    <t>Swati Exim Pvt. Ltd.</t>
  </si>
  <si>
    <t>Instyle Retails Inc</t>
  </si>
  <si>
    <t>Shri Sai Super Mhe Service</t>
  </si>
  <si>
    <t>Dikshita Jain (Loan A/c)</t>
  </si>
  <si>
    <t>RR Trends Pvt Ltd</t>
  </si>
  <si>
    <t>Dhanrajni Creations</t>
  </si>
  <si>
    <t>Maha Laxmi Transport Company</t>
  </si>
  <si>
    <t>Bajrang Traders</t>
  </si>
  <si>
    <t>Sawhney Global Creations</t>
  </si>
  <si>
    <t>Leicester Apparels</t>
  </si>
  <si>
    <t>Uttar Pradesh Skill Development Mission</t>
  </si>
  <si>
    <t>Rangoli Traders</t>
  </si>
  <si>
    <t>Manglam Traders</t>
  </si>
  <si>
    <t>D.N.Electrical &amp; Mechanical Works</t>
  </si>
  <si>
    <t>Dheeraj Kumar Shukla (Exp.)</t>
  </si>
  <si>
    <t>Stack and Move Solution</t>
  </si>
  <si>
    <t>Rajinder Kumar Jain (Loan A/c)</t>
  </si>
  <si>
    <t>Orient Fashion Exports (India) Private Limited(NOID</t>
  </si>
  <si>
    <t>SREEMAN KNIT WEAR</t>
  </si>
  <si>
    <t>SELF</t>
  </si>
  <si>
    <t>Donation</t>
  </si>
  <si>
    <t>Bernatali Sourcing Studios Pvt. Ltd</t>
  </si>
  <si>
    <t>Pack Plus India</t>
  </si>
  <si>
    <t>Newcon Consultants and Laboratories</t>
  </si>
  <si>
    <t>Parmod Kumar Gupta (Exp.)</t>
  </si>
  <si>
    <t>Advance Tax</t>
  </si>
  <si>
    <t>IPAI Teacnology Solution LLP</t>
  </si>
  <si>
    <t>Aadil Textiles Pte Ltd</t>
  </si>
  <si>
    <t>Term Loan - 0298TL0100000033</t>
  </si>
  <si>
    <t>Entry Reverse</t>
  </si>
  <si>
    <t>Berry Cotts Pvt. Ltd.</t>
  </si>
  <si>
    <t>Dilip Kumar Gupta</t>
  </si>
  <si>
    <t>VOC Skill Consulting Pvt. Ltd.</t>
  </si>
  <si>
    <t>Laj Exports Ltd. (BLR.)</t>
  </si>
  <si>
    <t>Opera Clothing Pvt Ltd(Mumbai)</t>
  </si>
  <si>
    <t>Pradyout Kumar Bhomik Exp.</t>
  </si>
  <si>
    <t>Shree Sakthi Vinayagar Weaves Pvt Ltd</t>
  </si>
  <si>
    <t>Chugh Scal Pvt Ltd</t>
  </si>
  <si>
    <t>Sarpanch Crane Service</t>
  </si>
  <si>
    <t>Jay Prakash Painter</t>
  </si>
  <si>
    <t>Cloth Cast Llp</t>
  </si>
  <si>
    <t>Zodiac Clothing Company Limited (MUM.)</t>
  </si>
  <si>
    <t>KG Knovatic</t>
  </si>
  <si>
    <t>Himalaya Overseas</t>
  </si>
  <si>
    <t>Parth Apparels</t>
  </si>
  <si>
    <t>Credo Brands Marketing Pvt. Ltd. (BLR)</t>
  </si>
  <si>
    <t>V.B Apparels</t>
  </si>
  <si>
    <t>Aquarius Project &amp; Consultant</t>
  </si>
  <si>
    <t>Kotak Car Loan Ciaz No. (CF--17159072)</t>
  </si>
  <si>
    <t>IR Exports Private Limited</t>
  </si>
  <si>
    <t>Gagan Fuels Private Limited</t>
  </si>
  <si>
    <t>Elyzium Technologies Pvt. Ltd</t>
  </si>
  <si>
    <t>Brij Nursing Home</t>
  </si>
  <si>
    <t>United India Insurance Company Limited</t>
  </si>
  <si>
    <t>Cash</t>
  </si>
  <si>
    <t>Arunachal Pradesh Power Corporation Pvt Ltd (Delhi)</t>
  </si>
  <si>
    <t>Texwin Clothing Pvt. Ltd.</t>
  </si>
  <si>
    <t>Yogeshwar Garment</t>
  </si>
  <si>
    <t>Rishi Design India</t>
  </si>
  <si>
    <t>Sun Enterprises</t>
  </si>
  <si>
    <t>Shri Bajrang Eant Udyog</t>
  </si>
  <si>
    <t>Chugh Scale Company</t>
  </si>
  <si>
    <t>National Traders</t>
  </si>
  <si>
    <t>Shapos Services Private Limited</t>
  </si>
  <si>
    <t>S K Export</t>
  </si>
  <si>
    <t>factoring</t>
  </si>
  <si>
    <t>Yudhishthra Kapur Exports Pvt. Ltd.</t>
  </si>
  <si>
    <t>Anushka Forex Pvt Ltd</t>
  </si>
  <si>
    <t>Indian Designs Exports (P) Ltd.</t>
  </si>
  <si>
    <t>Devarsh Mechatronics Services</t>
  </si>
  <si>
    <t>Studio Eyeshot</t>
  </si>
  <si>
    <t>Hitech Services</t>
  </si>
  <si>
    <t>My Service Point</t>
  </si>
  <si>
    <t>Himatsingka Exports Pvt Ltd</t>
  </si>
  <si>
    <t>Shri Senthur Textile Mills</t>
  </si>
  <si>
    <t>Sapphire Overseas</t>
  </si>
  <si>
    <t>Wilhelm Textiles India Private Limited</t>
  </si>
  <si>
    <t>Dee Man International</t>
  </si>
  <si>
    <t>M.K.K Bearings</t>
  </si>
  <si>
    <t>Global Freight  Logistics</t>
  </si>
  <si>
    <t>Willus Infrastructure Pvt Ltd (FBD)</t>
  </si>
  <si>
    <t>Pearl Global Industries Limited (Chennai)</t>
  </si>
  <si>
    <t>ZENO APPAREL CO. LTD</t>
  </si>
  <si>
    <t>PT Ungaran Sari Garments</t>
  </si>
  <si>
    <t>Neeraj Kapoor (Comm. A/c )</t>
  </si>
  <si>
    <t>Rubinsha Exports (P) Ltd.</t>
  </si>
  <si>
    <t>El Shadaai</t>
  </si>
  <si>
    <t>Gupta and Company (Chennai)</t>
  </si>
  <si>
    <t>Term Loan - 0298TL0100000041</t>
  </si>
  <si>
    <t>Anshu (Exp.)</t>
  </si>
  <si>
    <t>Stylem Takisada-Osaka Co. Ltd</t>
  </si>
  <si>
    <t>Kullamal Phool Chand Jain</t>
  </si>
  <si>
    <t>D. D. International</t>
  </si>
  <si>
    <t>Seth Colour Chem(09AACFS6834L1ZP</t>
  </si>
  <si>
    <t>Dongyi (HK) Corporation Limited</t>
  </si>
  <si>
    <t>Parvati Fashion</t>
  </si>
  <si>
    <t>Aquarelle India Pvt Ltd</t>
  </si>
  <si>
    <t>Rajesh</t>
  </si>
  <si>
    <t>GoBlu International Limited</t>
  </si>
  <si>
    <t>Gupta Canvas</t>
  </si>
  <si>
    <t>DEBTOR COLLECTION IN BANK</t>
  </si>
  <si>
    <t>DEBTOR COLLECTION AGT. LC DISCOUNTING</t>
  </si>
  <si>
    <t>DEBTOR COLLECTION AGT. FACTORING</t>
  </si>
  <si>
    <t>COLLECTION THROGH LC BILL DISCOUNTING</t>
  </si>
  <si>
    <t>COLLECTION THROGH FACTORING</t>
  </si>
  <si>
    <t>PARTICULARS</t>
  </si>
  <si>
    <t>AMOUNT (IN LAKHS)</t>
  </si>
  <si>
    <t>AVAILABLE FUNDS IN BANK FOR USE</t>
  </si>
  <si>
    <t>TOTAL DEBTOR COLLECTION</t>
  </si>
  <si>
    <t>TOTAL COLLECTION THROUGH BANK FACILITIES</t>
  </si>
  <si>
    <t>Journal Entry</t>
  </si>
  <si>
    <t>Receipts &amp; Payment</t>
  </si>
  <si>
    <t>Siyaram Silk Mills Ltd.(DAMAN)</t>
  </si>
  <si>
    <t>Pankaj Fabric</t>
  </si>
  <si>
    <t>S. K. Traders</t>
  </si>
  <si>
    <t>Satya Tractors</t>
  </si>
  <si>
    <t>Chelsea Mills LLP</t>
  </si>
  <si>
    <t>Automatic()Journal Entry</t>
  </si>
  <si>
    <t>Jogender Singh</t>
  </si>
  <si>
    <t>Sai Impex</t>
  </si>
  <si>
    <t>VSM Weavess India (P) Ltd (07AABCV7326C1ZJ)</t>
  </si>
  <si>
    <t>ANIL KUMAR JAIN (DIRECTOR'S SALARY)</t>
  </si>
  <si>
    <t>AMIT JAIN (DIRECTOR'S SALARY)</t>
  </si>
  <si>
    <t>B M Techno Machines Pvt Ltd</t>
  </si>
  <si>
    <t>Pearl Apparels Private Limited</t>
  </si>
  <si>
    <t>Invogue International</t>
  </si>
  <si>
    <t>K &amp; A Organics</t>
  </si>
  <si>
    <t>S S Textile Media Pvt. Ltd.</t>
  </si>
  <si>
    <t>Sanmati Enterprises</t>
  </si>
  <si>
    <t>Black Buck Fashion Pvt Ltd</t>
  </si>
  <si>
    <t>Akhil Jain (Loan A/c)</t>
  </si>
  <si>
    <t>Shapos</t>
  </si>
  <si>
    <t>Shweta Gupta (Imprest A/C)</t>
  </si>
  <si>
    <t>Jyoti Super Mart</t>
  </si>
  <si>
    <t>Visiontech Automation Pvt Ltd</t>
  </si>
  <si>
    <t>Ganpati Textiles</t>
  </si>
  <si>
    <t>Richaco Exports Pvt Ltd</t>
  </si>
  <si>
    <t>Bhartiya International Limited (BLR)</t>
  </si>
  <si>
    <t>Gauri Shankar</t>
  </si>
  <si>
    <t>Shri Shyam Baba Traders</t>
  </si>
  <si>
    <t>Khurana Digital Print Solution</t>
  </si>
  <si>
    <t>Modern Creation</t>
  </si>
  <si>
    <t>Rasim Exports Pvt Ltd</t>
  </si>
  <si>
    <t>BASANT INDIA INC.</t>
  </si>
  <si>
    <t>Sustainably Crafted Clothing Pvt Ltd</t>
  </si>
  <si>
    <t>Muskan Kids</t>
  </si>
  <si>
    <t>Sachdeva Traders</t>
  </si>
  <si>
    <t>Sapphire House of Fashion Private Limited</t>
  </si>
  <si>
    <t>Next Sourcing Ltd.</t>
  </si>
  <si>
    <t>Chopra Shuttering House</t>
  </si>
  <si>
    <t>Fees &amp; Taxes</t>
  </si>
  <si>
    <t>Arisht Spinning Mills</t>
  </si>
  <si>
    <t>Jyoti Enterprises (India)</t>
  </si>
  <si>
    <t>Everest Blowers Pvt Ltd</t>
  </si>
  <si>
    <t>Ginni Filaments Ltd</t>
  </si>
  <si>
    <t>Stori Fashion Pvt Ltd</t>
  </si>
  <si>
    <t>Perfect Enterprises</t>
  </si>
  <si>
    <t>Evolv Clothing Co. Pvt Ltd.</t>
  </si>
  <si>
    <t>Tulsi Ram</t>
  </si>
  <si>
    <t>Star Techno Marketing</t>
  </si>
  <si>
    <t>Hari Shanker Agrawal (Doctor)</t>
  </si>
  <si>
    <t>Vastutecture Pvt Ltd</t>
  </si>
  <si>
    <t>Geniemode Global Private Limited</t>
  </si>
  <si>
    <t>Vishwaa Apparels</t>
  </si>
  <si>
    <t>Karan Letex Ltd</t>
  </si>
  <si>
    <t>Shanti Chemtrade Pvt. Ltd.</t>
  </si>
  <si>
    <t>R.K. Resources Co.</t>
  </si>
  <si>
    <t>Adept Telecomm Pvt. Ltd.</t>
  </si>
  <si>
    <t>Punit Creation (Unit-5) (Kosi)</t>
  </si>
  <si>
    <t>Mohan Clothing Co. Pvt Ltd</t>
  </si>
  <si>
    <t>Brij Designs</t>
  </si>
  <si>
    <t>Sandeep Kumar (PPC) Exp.</t>
  </si>
  <si>
    <t>Rajit Singh</t>
  </si>
  <si>
    <t>Imperial Electrical Agency</t>
  </si>
  <si>
    <t>Palak Jain (Loan A/c)</t>
  </si>
  <si>
    <t>Lokpal Industries (Noida )</t>
  </si>
  <si>
    <t>Strawberry Studio Export Pvt.Ltd.</t>
  </si>
  <si>
    <t>N.V Exports</t>
  </si>
  <si>
    <t>Eastern Heritage</t>
  </si>
  <si>
    <t>Sanya Fashions</t>
  </si>
  <si>
    <t>Shanti Chemtrade Pvt Ltd (08AALCS8414N1ZO)</t>
  </si>
  <si>
    <t>Lawrence Clothing Pvt Ltd</t>
  </si>
  <si>
    <t>Reverse Charge Payable</t>
  </si>
  <si>
    <t>TAC Automation Pvt Ltd -Up (Kosi)</t>
  </si>
  <si>
    <t>Satyam Autoserve Pvt Ltd</t>
  </si>
  <si>
    <t>Suman Fashion</t>
  </si>
  <si>
    <t>Jaswant Garments Pvt. Ltd.</t>
  </si>
  <si>
    <t>Surendra Prasad &amp; Co.</t>
  </si>
  <si>
    <t>Engineers Valuers Competent Persons &amp; Consultants</t>
  </si>
  <si>
    <t>Hari Chand Anand &amp; Co.</t>
  </si>
  <si>
    <t>Aditya Jain (Loan A/c)</t>
  </si>
  <si>
    <t>Abir Jain (Loan)</t>
  </si>
  <si>
    <t>Deep Chandra (Exp.)</t>
  </si>
  <si>
    <t>Aerospun Enterprises Pvt Ltd</t>
  </si>
  <si>
    <t>Balram</t>
  </si>
  <si>
    <t>Scan Elevator Limited</t>
  </si>
  <si>
    <t>Karle International Pvt Ltd</t>
  </si>
  <si>
    <t>Orient Fashion Exports India Pvt Ltd</t>
  </si>
  <si>
    <t>Shabari Cottons Pvt Limited</t>
  </si>
  <si>
    <t>Sawhney Global Creations (GGN)</t>
  </si>
  <si>
    <t>Nitesh Tradings</t>
  </si>
  <si>
    <t>Neeraj Textile Hub</t>
  </si>
  <si>
    <t>Trilok (Exp)</t>
  </si>
  <si>
    <t>Sahnan Knitwears</t>
  </si>
  <si>
    <t>Bawa Jeans Care Co.</t>
  </si>
  <si>
    <t>Tushta Fashion</t>
  </si>
  <si>
    <t>Ambuja Cements Ltd</t>
  </si>
  <si>
    <t>Riviera Creations</t>
  </si>
  <si>
    <t>Chawla Garments</t>
  </si>
  <si>
    <t>Stanfab Apparels Pvt. Ltd.</t>
  </si>
  <si>
    <t>Sree Karpaga Lakshmi Fabric</t>
  </si>
  <si>
    <t>Dekko Garments Ltd.</t>
  </si>
  <si>
    <t>R.M.X Joss (Noida)</t>
  </si>
  <si>
    <t>Aditya Birla Fashion &amp; Retail Ltd.(Domestic)</t>
  </si>
  <si>
    <t>Raymond Limited</t>
  </si>
  <si>
    <t>Sidhshree Computronics Pvt Ltd</t>
  </si>
  <si>
    <t>Elitz Lifestyle Private Limited</t>
  </si>
  <si>
    <t>V.P Tex Yarn Inida Private Limited</t>
  </si>
  <si>
    <t>Stalwart Overseas</t>
  </si>
  <si>
    <t>Flywing Cargo Pvt Ltd (Maharashtra)</t>
  </si>
  <si>
    <t>Flywing Cargo Pvt Ltd (FBD)</t>
  </si>
  <si>
    <t>Flywing Cargo Pvt Ltd (Gujarat)</t>
  </si>
  <si>
    <t>Flywing Cargo Pvt Ltd (Tirupur)</t>
  </si>
  <si>
    <t>Sky Weaves</t>
  </si>
  <si>
    <t>Sahi Nirakar Textile Private Limited</t>
  </si>
  <si>
    <t>Beeku Exports</t>
  </si>
  <si>
    <t>Nicholas Pigment &amp; Inks (09AASFN5599F1ZF</t>
  </si>
  <si>
    <t>Modern Testing Services (India) Pvt Ltd</t>
  </si>
  <si>
    <t>Krishna Provision Store</t>
  </si>
  <si>
    <t>Mementos &amp; Souvenirs Mfg Co</t>
  </si>
  <si>
    <t>Galaxy Elegant Fashions Pvt Ltd</t>
  </si>
  <si>
    <t>Technotek Industries</t>
  </si>
  <si>
    <t>Aman Foundation</t>
  </si>
  <si>
    <t>Chamber of Indian Trade &amp; Industry</t>
  </si>
  <si>
    <t>Deepak Raj Saini</t>
  </si>
  <si>
    <t>S.T.TRADERS</t>
  </si>
  <si>
    <t>LC BILL (ICICI)</t>
  </si>
  <si>
    <t>LC BILL (KOTAK)</t>
  </si>
  <si>
    <t>FACTORING</t>
  </si>
  <si>
    <t>OPENING</t>
  </si>
  <si>
    <t>DEBIT</t>
  </si>
  <si>
    <t>CREDIT</t>
  </si>
  <si>
    <t>BALANCE</t>
  </si>
  <si>
    <t>01-04-2021 TO TILL DATE</t>
  </si>
  <si>
    <t>Kavya Sales Corporation</t>
  </si>
  <si>
    <t>MSME LOAN A/C-0298CL010000009</t>
  </si>
  <si>
    <t>Denim Industries</t>
  </si>
  <si>
    <t>Sonic Airtek</t>
  </si>
  <si>
    <t>RK Enterprises</t>
  </si>
  <si>
    <t>Maa Bhagwati Traders</t>
  </si>
  <si>
    <t>Interstellar Goods and Services</t>
  </si>
  <si>
    <t>Axis Bank Credit Card No. 1961 (Akhil Jain) Vistara</t>
  </si>
  <si>
    <t>Reliance Retail Ltd.</t>
  </si>
  <si>
    <t>Term Loan - 0298TL0100000023</t>
  </si>
  <si>
    <t xml:space="preserve">Sealen Engineering LLP (27AELFS1954C1ZY)_x000D_
</t>
  </si>
  <si>
    <t>Bharat Steel &amp; Wooden Furniture</t>
  </si>
  <si>
    <t>Exotique Exports</t>
  </si>
  <si>
    <t>Bansal Clothing</t>
  </si>
  <si>
    <t>Mahacot Trading Corporation</t>
  </si>
  <si>
    <t>Axis Bank Credit Card No. 5192 (Dikshita Jain)</t>
  </si>
  <si>
    <t>M/S 360 Clothing</t>
  </si>
  <si>
    <t>Deveeram Panchal Fabricators</t>
  </si>
  <si>
    <t>Punjab Reliable Investments Pvt Ltd</t>
  </si>
  <si>
    <t>Reliable Agro Engg Services Pvt Ltd</t>
  </si>
  <si>
    <t>New High Flying Travels (P) Ltd.</t>
  </si>
  <si>
    <t>Anant Spinning Mills</t>
  </si>
  <si>
    <t>Elite Industrial Engineers</t>
  </si>
  <si>
    <t>Parrv Business</t>
  </si>
  <si>
    <t>IndusInd Credit Card No. 8739 (Aditya Jain)</t>
  </si>
  <si>
    <t>Nicholas Pigments &amp; Inks Bio Acid( 09AASFN5599F1ZF)</t>
  </si>
  <si>
    <t>KOTAK Car Loan SKODA SLAVIA-CF-21075991</t>
  </si>
  <si>
    <t>Different Counts Private Limited (Dr)</t>
  </si>
  <si>
    <t>Sanya Creation</t>
  </si>
  <si>
    <t>Shiv Exports Inc.</t>
  </si>
  <si>
    <t>Fashion Smith Sourcing Pvt Ltd</t>
  </si>
  <si>
    <t>Shree Tirupati Trading Co.</t>
  </si>
  <si>
    <t>Roots Apparels Pvt Ltd</t>
  </si>
  <si>
    <t>Tiwari Enterprises</t>
  </si>
  <si>
    <t>Bill Discounting (Kotak) Factoring Richaco Exports</t>
  </si>
  <si>
    <t>Bill Discounting (Kotak) Factoring SAN Internationa</t>
  </si>
  <si>
    <t>Bill Discounting (Kotak) Factoring Texport Ind.</t>
  </si>
  <si>
    <t>Vertex India</t>
  </si>
  <si>
    <t>Vaibhav Apparels Pvt.Ltd. (Noida)</t>
  </si>
  <si>
    <t>Darshan Engineering Services</t>
  </si>
  <si>
    <t>Term Loan - 0298TL0100000044</t>
  </si>
  <si>
    <t>Bill Discounting (Kotak) Factoring Aquarelle India</t>
  </si>
  <si>
    <t>Sanya International</t>
  </si>
  <si>
    <t>Bill Discounting (Kotak) Factoring Anubhav Apparels</t>
  </si>
  <si>
    <t>Bill Discounting (Kotak) Factoring Panorama Exports</t>
  </si>
  <si>
    <t>Bill Discounting (Kotak) Factoring Pearl Apparels</t>
  </si>
  <si>
    <t>Bill Discounting (Kotak) Factoring Himanshu Apparel</t>
  </si>
  <si>
    <t>Texport Syndicate India Ltd(Bangalore)</t>
  </si>
  <si>
    <t>Vintage Blue Garments Pvt Ltd</t>
  </si>
  <si>
    <t>Estra Enterprises Pvt. Ltd.</t>
  </si>
  <si>
    <t>Bill Discounting (Kotak) Factoring Richa Global</t>
  </si>
  <si>
    <t>Bill Discounting (Kotak) Factoring Vamani Overseas</t>
  </si>
  <si>
    <t>AMPM FASHIONS PRIVATE LIMITED</t>
  </si>
  <si>
    <t>Anubhav Apparels Pvt Ltd</t>
  </si>
  <si>
    <t>Cannels Exports Private Limited</t>
  </si>
  <si>
    <t>Kay Dee Freight Forwarder</t>
  </si>
  <si>
    <t>Tarni Textiles</t>
  </si>
  <si>
    <t>Texport Syndicate India Limited</t>
  </si>
  <si>
    <t>Hankyu Hanshin Express India Pvt Ltd</t>
  </si>
  <si>
    <t>Bill Discounting (Kotak) Factoring Mangla Apparels</t>
  </si>
  <si>
    <t>Deepak Impex Inc</t>
  </si>
  <si>
    <t>R.B. Electronic &amp; Engg Pvt. Ltd.</t>
  </si>
  <si>
    <t>A R Dye Chem Pvt Ltd</t>
  </si>
  <si>
    <t>Yatin Talwar</t>
  </si>
  <si>
    <t>UL India Private Limited</t>
  </si>
  <si>
    <t>Difference</t>
  </si>
  <si>
    <t>Dina Nath &amp; Sons</t>
  </si>
  <si>
    <t>Prime Scientific Industries</t>
  </si>
  <si>
    <t>LC Bill Disccounting (Kotak) Texport Syndicate</t>
  </si>
  <si>
    <t>TL Margin Money</t>
  </si>
  <si>
    <t>Panorama Exports Pvt Ltd</t>
  </si>
  <si>
    <t>LC Bill Discounting (Kotak) Pearl Global</t>
  </si>
  <si>
    <t>Menzel Engineering India Pvt. Ltd. (24AAECM7733R1ZV</t>
  </si>
  <si>
    <t>Shri Ram Trading Co.</t>
  </si>
  <si>
    <t>Cotton Crafters</t>
  </si>
  <si>
    <t>Sentinels Security Pvt Ltd.</t>
  </si>
  <si>
    <t>Jai Bhole Enterprises</t>
  </si>
  <si>
    <t>Timex Garments Pvt Ltd</t>
  </si>
  <si>
    <t>Indusind Bank Credit Card No. 0180(Ashish Chahar)</t>
  </si>
  <si>
    <t>Baweja Tex Feb Pvt. Ltd.</t>
  </si>
  <si>
    <t>Indian Linen Company</t>
  </si>
  <si>
    <t>Bill Discounting (Kotak) Factoring Boutique Interna</t>
  </si>
  <si>
    <t>Iris Knitwear</t>
  </si>
  <si>
    <t>Envogue Clothing</t>
  </si>
  <si>
    <t>Agrawal Plastoware Industries Pvt Ltd</t>
  </si>
  <si>
    <t>Hind Rang Udyog</t>
  </si>
  <si>
    <t>Parmeet Kaur (Exp.)</t>
  </si>
  <si>
    <t>Designs Unlimited</t>
  </si>
  <si>
    <t>Shri Ram Store</t>
  </si>
  <si>
    <t>Anish India Export</t>
  </si>
  <si>
    <t>Snehalata (09HURPS5691R1ZW)</t>
  </si>
  <si>
    <t>Machno Tech Pvt Ltd.</t>
  </si>
  <si>
    <t>Shine Garments</t>
  </si>
  <si>
    <t>Arihant Creative Textiles</t>
  </si>
  <si>
    <t>Yogesh Sharma</t>
  </si>
  <si>
    <t>Plastic Sales Corporation</t>
  </si>
  <si>
    <t>Urmi Exim</t>
  </si>
  <si>
    <t>V Trans (India) Limited  (Gujarat)</t>
  </si>
  <si>
    <t>ProIndustrial SRL</t>
  </si>
  <si>
    <t>Monark Software (P) Ltd</t>
  </si>
  <si>
    <t>Shri Ram Trading Company(Rice Husk)</t>
  </si>
  <si>
    <t>Wool Spuns Ltd.</t>
  </si>
  <si>
    <t>Sahil Singh (Exp.)</t>
  </si>
  <si>
    <t>Kashi Moda Private Limited</t>
  </si>
  <si>
    <t>Dimerco Express (India) Pvt Ltd</t>
  </si>
  <si>
    <t>Texport International Pvt Ltd.</t>
  </si>
  <si>
    <t>Inching India</t>
  </si>
  <si>
    <t>The Technological Institute of Textile &amp; Sciences</t>
  </si>
  <si>
    <t>Lyra Industrials</t>
  </si>
  <si>
    <t>Swatantra Singh (Exp.)</t>
  </si>
  <si>
    <t>Studio 27 India</t>
  </si>
  <si>
    <t>Hari Om Traders (Rice Husk)</t>
  </si>
  <si>
    <t>Cheer Sagar</t>
  </si>
  <si>
    <t>Sunny International Limited ( Panipat)</t>
  </si>
  <si>
    <t>Innolab India</t>
  </si>
  <si>
    <t>Apple Aircon</t>
  </si>
  <si>
    <t>Miami Exports Pvt Ltd</t>
  </si>
  <si>
    <t>Sportking India Limited</t>
  </si>
  <si>
    <t>Stacker's and Mover's (I) Mfg. Co.</t>
  </si>
  <si>
    <t>REPORT 01.04.2023</t>
  </si>
  <si>
    <t>Shri Ram Sweets House</t>
  </si>
  <si>
    <t>KB International</t>
  </si>
  <si>
    <t>Hohenstein India Pvt. Ltd.</t>
  </si>
  <si>
    <t>Pawansut Logistics</t>
  </si>
  <si>
    <t>Certitude</t>
  </si>
  <si>
    <t>REPORT 03.04.2023</t>
  </si>
  <si>
    <t>Jito Gurugram Chapter Society</t>
  </si>
  <si>
    <t>Sai Embroidry</t>
  </si>
  <si>
    <t>REPORT 04.04.2023</t>
  </si>
  <si>
    <t>Magnolia Martinique Clothing Pvt Ltd</t>
  </si>
  <si>
    <t>REPORT 05.04.2023</t>
  </si>
  <si>
    <t>24 International</t>
  </si>
  <si>
    <t>Nitara Communication</t>
  </si>
  <si>
    <t>REPORT 06.04.2023</t>
  </si>
  <si>
    <t>Mogli Labs (India) Private Limited</t>
  </si>
  <si>
    <t>Lovy Traders</t>
  </si>
  <si>
    <t>Mayank Transport Company</t>
  </si>
  <si>
    <t>Vedvyas International</t>
  </si>
  <si>
    <t>REPORT 07.04.2023</t>
  </si>
  <si>
    <t>S C Enterprises</t>
  </si>
  <si>
    <t>REPORT 08.04.2023</t>
  </si>
  <si>
    <t>Salary Exp Payable (Kosi)</t>
  </si>
  <si>
    <t>REPORT 10.04.2023</t>
  </si>
  <si>
    <t>Ambuja Overseas LLP</t>
  </si>
  <si>
    <t>Galaxy Computer (06AQKPD4143K2ZV)</t>
  </si>
  <si>
    <t>Ramdin</t>
  </si>
  <si>
    <t>Shapos + Flock</t>
  </si>
  <si>
    <t>Safety Equipment Pvt Ltd</t>
  </si>
  <si>
    <t>REPORT 11.04.2023</t>
  </si>
  <si>
    <t>Swaroop Enterprises</t>
  </si>
  <si>
    <t>Preet Knit Fab</t>
  </si>
  <si>
    <t>Kaira Jain (Loan A/c)</t>
  </si>
  <si>
    <t>Jolanka (Pvt) Ltd</t>
  </si>
  <si>
    <t>Suspense A/c (Debtors)</t>
  </si>
  <si>
    <t>REPORT 12.04.2023</t>
  </si>
  <si>
    <t>REPORT 13.04.2023</t>
  </si>
  <si>
    <t>Jayda Khatoon Tea Stall</t>
  </si>
  <si>
    <t>Ahmedabad Logistics</t>
  </si>
  <si>
    <t>LEI Register India Pvt Ltd</t>
  </si>
  <si>
    <t>RK Embroidery System</t>
  </si>
  <si>
    <t xml:space="preserve">Sonu Exim Pvt. Ltd. </t>
  </si>
  <si>
    <t>Entry Revese</t>
  </si>
  <si>
    <t>REPORT 14.04.2023</t>
  </si>
  <si>
    <t>Gulmohar Clothing Llp</t>
  </si>
  <si>
    <t>REPORT 15.04.2023</t>
  </si>
  <si>
    <t>Topnotch Consultants</t>
  </si>
  <si>
    <t>LB Garments and Knitwears</t>
  </si>
  <si>
    <t>REPORT 17.04.2023</t>
  </si>
  <si>
    <t>Opera Global Private Limited</t>
  </si>
  <si>
    <t>Pionexxco North</t>
  </si>
  <si>
    <t>REPORT 18.04.2023</t>
  </si>
  <si>
    <t>Om Narayani Printer Services</t>
  </si>
  <si>
    <t>Receivables Exchange of India Limited</t>
  </si>
  <si>
    <t>Hi-End Apparels (P) Ltd. (Loan A/c)</t>
  </si>
  <si>
    <t>San International</t>
  </si>
  <si>
    <t>Suspense A/c (debtors)</t>
  </si>
  <si>
    <t>REPORT 19.04.2023</t>
  </si>
  <si>
    <t>BIPIN KUMAR (SALARY)</t>
  </si>
  <si>
    <t>Taksh Odc Movers</t>
  </si>
  <si>
    <t>Suhani Enterprises</t>
  </si>
  <si>
    <t>Craftsman Automation Limited</t>
  </si>
  <si>
    <t>Reliable Clothing Private Limited</t>
  </si>
  <si>
    <t>Bhuvnesh Sharma (Exp.)</t>
  </si>
  <si>
    <t>KSR Freight Forwarders Pvt. Ltd.</t>
  </si>
  <si>
    <t>REPORT 20.04.2023</t>
  </si>
  <si>
    <t>Yashu Sikka</t>
  </si>
  <si>
    <t>Rathin Desai</t>
  </si>
  <si>
    <t>Kunjal Patel</t>
  </si>
  <si>
    <t>Axis Bank Credit Card No. 9466 (Aditya Pandey)</t>
  </si>
  <si>
    <t>Choudhary Fashion</t>
  </si>
  <si>
    <t>REPORT 21.04.2023</t>
  </si>
  <si>
    <t>LC Bill Disccounting (Kotak) Texport Overseas</t>
  </si>
  <si>
    <t>Sourcing Solution</t>
  </si>
  <si>
    <t>New Trade Global Industries Pvt Ltd</t>
  </si>
  <si>
    <t>REPORT 22.04.2023</t>
  </si>
  <si>
    <t>Richa Global Exports Pvt Ltd</t>
  </si>
  <si>
    <t>REPORT 24.04.2023</t>
  </si>
  <si>
    <t>Sandeep Kumar Exp. (Export)</t>
  </si>
  <si>
    <t>Yoga Fabric</t>
  </si>
  <si>
    <t>TALLAM APPARELS</t>
  </si>
  <si>
    <t>REPORT 03.05.2023</t>
  </si>
  <si>
    <t>Dynamic Designs Inc.</t>
  </si>
  <si>
    <t>Fair Lady Exports</t>
  </si>
  <si>
    <t>Krishan Kumar &amp; Sons</t>
  </si>
  <si>
    <t>A.P. System</t>
  </si>
  <si>
    <t>Bee Gee Engineers</t>
  </si>
  <si>
    <t>REPORT 04.05.2023</t>
  </si>
  <si>
    <t>Denitex Limited</t>
  </si>
  <si>
    <t>Eam Maliban Textiles Badulla Pvt Ltd</t>
  </si>
  <si>
    <t>Exportify International (Comm. A/c)</t>
  </si>
  <si>
    <t>REPORT 05.05.2023</t>
  </si>
  <si>
    <t>BAID INTERNATIONAL SERVICES</t>
  </si>
  <si>
    <t>Links Forwarders Pvt. Ltd.</t>
  </si>
  <si>
    <t>R N Clothing Co.</t>
  </si>
  <si>
    <t>REPORT 06.05.2023</t>
  </si>
  <si>
    <t>Electra Welding Machine Pvt Ltd</t>
  </si>
  <si>
    <t>Xtreme Networks (Palwal)</t>
  </si>
  <si>
    <t xml:space="preserve">DEBTOR COLLECTION AGT. LC </t>
  </si>
  <si>
    <t>DEBTOR THROUGH LC BILL DISCOUNTING</t>
  </si>
  <si>
    <t xml:space="preserve">DEBTOR  THROUGH FACTORING DISCOUNTING </t>
  </si>
  <si>
    <t>REPORT 08.05.2023</t>
  </si>
  <si>
    <t>Victory Fashions</t>
  </si>
  <si>
    <t>DG Luxury Lifestyle Pvt. Ltd.</t>
  </si>
  <si>
    <t>Updesh Singh (Exp.)</t>
  </si>
  <si>
    <t>CR</t>
  </si>
  <si>
    <t>REPORT 09.05.2023</t>
  </si>
  <si>
    <t>Manish Maheshwari (Exp.)</t>
  </si>
  <si>
    <t>TUV Rheinland (India) Pvt. Ltd.</t>
  </si>
  <si>
    <t>Fashion Matrix Overseas</t>
  </si>
  <si>
    <t>Shams Styling Wears Limited</t>
  </si>
  <si>
    <t>ICICI BANK - 769351000003 (CC)</t>
  </si>
  <si>
    <t xml:space="preserve">DD - Comissioner of Customs </t>
  </si>
  <si>
    <t>REPORT 10.05.2023</t>
  </si>
  <si>
    <t>Shahi Exports Pvt Ltd(Bhubaneswar)</t>
  </si>
  <si>
    <t>Fascination Exports Pvt Ltd</t>
  </si>
  <si>
    <t>BHUVNESH SHARMA (SALARY)</t>
  </si>
  <si>
    <t>SBI Credit Card No.-9400 (ASHISH CHAHAR)</t>
  </si>
  <si>
    <t>Vikash Yadav (Exp.)</t>
  </si>
  <si>
    <t>Muvtons Castors Pvt Ltd</t>
  </si>
  <si>
    <t>Expo Tec</t>
  </si>
  <si>
    <t>L.D. Rangwala Pvt Ltd.</t>
  </si>
  <si>
    <t>Crown Wear Pvt Limited</t>
  </si>
  <si>
    <t>REPORT 11.05.2023</t>
  </si>
  <si>
    <t>In Time Garments Pvt Ltd</t>
  </si>
  <si>
    <t>Nutritap Technologies Pvt Ltd</t>
  </si>
  <si>
    <t>REPORT 12.05.2023</t>
  </si>
  <si>
    <t>Packing Credit (Kotak Mahindra Bank)</t>
  </si>
  <si>
    <t>Shri Shyam Roadways</t>
  </si>
  <si>
    <t>ROHIT JAIN (SALARY)</t>
  </si>
  <si>
    <t>Silver Apparels Industries Private Limited</t>
  </si>
  <si>
    <t>Meenu Creation Llp</t>
  </si>
  <si>
    <t>REPORT 13.05.2023</t>
  </si>
  <si>
    <t>Laguna Clothing Pvt Ltd</t>
  </si>
  <si>
    <t>Export Debtors (Pooling A/c)</t>
  </si>
  <si>
    <t>REPORT 15.05.2023</t>
  </si>
  <si>
    <t>Strange Export Pvt Ltd</t>
  </si>
  <si>
    <t>Sunar Enterprises</t>
  </si>
  <si>
    <t>Virat Construction Company</t>
  </si>
  <si>
    <t>Anish India Exports LLP</t>
  </si>
  <si>
    <t>Tarasima Apparels Ltd</t>
  </si>
  <si>
    <t>KVR Intex</t>
  </si>
  <si>
    <t>REPORT 16.05.2023</t>
  </si>
  <si>
    <t>Nirankar Enterprises Huf</t>
  </si>
  <si>
    <t>REPORT 17.05.2023</t>
  </si>
  <si>
    <t>Amit Jain S/o Sunil Jain ( Loan A/c )</t>
  </si>
  <si>
    <t>Nona Lifestyle</t>
  </si>
  <si>
    <t>REPORT 18.05.2023</t>
  </si>
  <si>
    <t>KSP India Pvt Ltd</t>
  </si>
  <si>
    <t>Madan Trading Company Private Limited</t>
  </si>
  <si>
    <t>Ragnik Exports Pvt. Ltd.</t>
  </si>
  <si>
    <t>Showroom 79 Clothing Private Limited</t>
  </si>
  <si>
    <t>BD Designs Private Limited</t>
  </si>
  <si>
    <t>REPORT 19.05.2023</t>
  </si>
  <si>
    <t>Sagar Frp Industries</t>
  </si>
  <si>
    <t>A V TEX</t>
  </si>
  <si>
    <t>Amazing Exports Corporation</t>
  </si>
  <si>
    <t>Reverse Charge</t>
  </si>
  <si>
    <t>REPORT 20.05.2023</t>
  </si>
  <si>
    <t>SMR India Private Limited</t>
  </si>
  <si>
    <t>Gilwood Fashions Pvt. Ltd. Unit-II</t>
  </si>
  <si>
    <t>Archana Pathak (Exp.)</t>
  </si>
  <si>
    <t>REPORT 22.05.2023</t>
  </si>
  <si>
    <t>Estra Enterprises P L-Rovercoapparel Division(Kosi)</t>
  </si>
  <si>
    <t>Jai Kishan Textiles</t>
  </si>
  <si>
    <t>Nahar Industrial Enterprises Ltd.-Spinning Unit -1</t>
  </si>
  <si>
    <t>Hrd Automation Engineers Pvt Ltd.</t>
  </si>
  <si>
    <t>Shahi exports (FBD)</t>
  </si>
  <si>
    <t>Payment of TDS</t>
  </si>
  <si>
    <t>Export Debtors</t>
  </si>
  <si>
    <t>Narayanee Clothing Private Limited</t>
  </si>
  <si>
    <t>Nethra Textile Creation</t>
  </si>
  <si>
    <t>Akanksha Fabrics</t>
  </si>
  <si>
    <t>REPORT 23.05.2023</t>
  </si>
  <si>
    <t>Elite</t>
  </si>
  <si>
    <t>REPORT 24.05.2023</t>
  </si>
  <si>
    <t>Menzel Engineering India Pvt. Ltd. (27AAECM7733R1ZP</t>
  </si>
  <si>
    <t>Pashupati Industries</t>
  </si>
  <si>
    <t>Exports Debtors</t>
  </si>
  <si>
    <t>REPORT 25.05.2023</t>
  </si>
  <si>
    <t>The Saint Tech</t>
  </si>
  <si>
    <t>REPORT 26.05.2023</t>
  </si>
  <si>
    <t>Super Industries</t>
  </si>
  <si>
    <t>Messe Frankfurt France S.A.S.</t>
  </si>
  <si>
    <t>CONTINENTAL GARMENTS</t>
  </si>
  <si>
    <t>REPORT 27.05.2023</t>
  </si>
  <si>
    <t>Debtors (Exports)</t>
  </si>
  <si>
    <t>I I Inspection &amp; Export Pvt. Ltd.</t>
  </si>
  <si>
    <t>Lecoanet Hemant India Pvt. Ltd.</t>
  </si>
  <si>
    <t>Pawan Fabtex Private Limited</t>
  </si>
  <si>
    <t>REPORT 29.05.2023</t>
  </si>
  <si>
    <t>REPORT 30.05.2023</t>
  </si>
  <si>
    <t>ICICI BANK -769305000143 (CA)</t>
  </si>
  <si>
    <t>Indian Chamber of Commerce</t>
  </si>
  <si>
    <t>Pawan Kumar Yadav</t>
  </si>
  <si>
    <t>REPORT 31.05.2023</t>
  </si>
  <si>
    <t>FEDEX  EXPRESS</t>
  </si>
  <si>
    <t>REPORT 01.05.2023</t>
  </si>
  <si>
    <t>Packing Credit Facility (Intt.)</t>
  </si>
  <si>
    <t>Baleshwar Synfab Llp</t>
  </si>
  <si>
    <t>Stylem International India Pvt Ltd</t>
  </si>
  <si>
    <t>Cobb Apparels Pvt Ltd.</t>
  </si>
  <si>
    <t>United Commercial Enterprises</t>
  </si>
  <si>
    <t>Lokesh Transport Corporation</t>
  </si>
  <si>
    <t>JAIN CORD INDUSTRIES PVT. LTD. (ICICI)</t>
  </si>
  <si>
    <t>REPORT 02.06.2023</t>
  </si>
  <si>
    <t>Capital Vehicles Sales Ltd.</t>
  </si>
  <si>
    <t>SELFX INDIA PVT LTD</t>
  </si>
  <si>
    <t>Bank Interest</t>
  </si>
  <si>
    <t>Debtors Received</t>
  </si>
  <si>
    <t>Export Bill Discounting</t>
  </si>
  <si>
    <t>REPORT 03.06.2023</t>
  </si>
  <si>
    <t>REPORT 05.06.2023</t>
  </si>
  <si>
    <t>ANKUSH JAIN (DIRECTOR'S SALARY)</t>
  </si>
  <si>
    <t>SUNIL JAIN (DIRECTOR'S SALARY)</t>
  </si>
  <si>
    <t>Emu Lines Pvt Ltd</t>
  </si>
  <si>
    <t>G.S. Fashion</t>
  </si>
  <si>
    <t>REPORT 06.06.2023</t>
  </si>
  <si>
    <t>Garment 10 Corporation- Joint Stock Company</t>
  </si>
  <si>
    <t>DR</t>
  </si>
  <si>
    <t>REPORT 07.06.2023</t>
  </si>
  <si>
    <t>Suntech Engi Automation Pvt Ltd</t>
  </si>
  <si>
    <t>Raman Lal Book Binder</t>
  </si>
  <si>
    <t>Sangam Enterprises</t>
  </si>
  <si>
    <t>Ecogreen Energy Gurgaon Faridabad Pvt Ltd</t>
  </si>
  <si>
    <t>JMJ Enterprises</t>
  </si>
  <si>
    <t>REPORT 08.06.2023</t>
  </si>
  <si>
    <t>Jayant Khanna (Exp.)</t>
  </si>
  <si>
    <t>Shahi Exports Pvt Ltd (Hyderabad)</t>
  </si>
  <si>
    <t>JMD Clothiers</t>
  </si>
  <si>
    <t>VIRENDER SHARMA (SALARY)</t>
  </si>
  <si>
    <t>Pacifick Star Lines</t>
  </si>
  <si>
    <t>REPORT 09.06.2023</t>
  </si>
  <si>
    <t>REPORT 10.06.2023</t>
  </si>
  <si>
    <t>Jain Cord (ICICI)</t>
  </si>
  <si>
    <t>Impressions</t>
  </si>
  <si>
    <t>Sumit Sharma(Exp.)</t>
  </si>
  <si>
    <t>Millennium Logistics Pvt Ltd</t>
  </si>
  <si>
    <t>De-Mark Clothing</t>
  </si>
  <si>
    <t>Sundram Finance Loan No. T010900040</t>
  </si>
  <si>
    <t>REPORT 12.06.2023</t>
  </si>
  <si>
    <t>KSR Freight Forwarders Pvt. Ltd. (27AAACK1360L)</t>
  </si>
  <si>
    <t>Dynakode Technology Pvt Ltd (Delhi)</t>
  </si>
  <si>
    <t>Atakora Foerdergesellschaft</t>
  </si>
  <si>
    <t>REPORT 13.06.2023</t>
  </si>
  <si>
    <t>Pest Cure Incorporation</t>
  </si>
  <si>
    <t>Rana Calendar Company</t>
  </si>
  <si>
    <t>Pawan Fabtex Private Limited  (Double Entry)</t>
  </si>
  <si>
    <t>REPORT 14.06.2023</t>
  </si>
  <si>
    <t>Yudhishtra Kapur Exports Pvt Ltd (Gurgaon)</t>
  </si>
  <si>
    <t>Copporstone Clothing Co.</t>
  </si>
  <si>
    <t>Pearl Apparels Pvt Ltd</t>
  </si>
  <si>
    <t>REPORT 15.06.2023</t>
  </si>
  <si>
    <t>Jay Storage Solutions Pvt Ltd</t>
  </si>
  <si>
    <t>PT. Mataram Tunggal Garment</t>
  </si>
  <si>
    <t>SOURABH (SALARY)</t>
  </si>
  <si>
    <t>LC Bill Discounting (Kotak) Aditya Birla</t>
  </si>
  <si>
    <t>Himanshu Apparels Private Limited</t>
  </si>
  <si>
    <t>Bank Charges GST (ICICI)</t>
  </si>
  <si>
    <t>Ziama Fashion Pvt Ltd</t>
  </si>
  <si>
    <t>Blueman Collection</t>
  </si>
  <si>
    <t>VMS Fabrics Private Limited (Debtor)</t>
  </si>
  <si>
    <t>REPORT 16.06.2023</t>
  </si>
  <si>
    <t>REPORT 17.06.2023</t>
  </si>
  <si>
    <t>Bill Discounting (ICICI) Factoring MAF Clothing</t>
  </si>
  <si>
    <t>Bill Discounting (ICICI) Factoring Designer Point</t>
  </si>
  <si>
    <t>Bill Discounting (ICICI) Factoring Pee Empro</t>
  </si>
  <si>
    <t>Centex International Private Limited</t>
  </si>
  <si>
    <t>Chandrani Jain (Loan A/c)</t>
  </si>
  <si>
    <t>REPORT 19.06.2023</t>
  </si>
  <si>
    <t>Bill Discounting (ICICI) Factoring Celebrity Fashions</t>
  </si>
  <si>
    <t>Transoft Infotech</t>
  </si>
  <si>
    <t>Prret Fusion (I) Private Limited</t>
  </si>
  <si>
    <t>Confidence Knitwears</t>
  </si>
  <si>
    <t>Euro Safety Equipments Private Limited</t>
  </si>
  <si>
    <t>REPORT 20.06.2023</t>
  </si>
  <si>
    <t>Cheena Vats</t>
  </si>
  <si>
    <t>Shree Anil Transport Company</t>
  </si>
  <si>
    <t>Surendra Singh Panwar</t>
  </si>
  <si>
    <t>Jio Textile Traders</t>
  </si>
  <si>
    <t>Nissenken Quality Evaluation (India) Pvt Ltd</t>
  </si>
  <si>
    <t>Khanna Sons Knitwear</t>
  </si>
  <si>
    <t>LC Bill Disccounting (Kotak) Laguna Clothing LLP</t>
  </si>
  <si>
    <t>SAN international</t>
  </si>
  <si>
    <t>REPORT 21.06.2023</t>
  </si>
  <si>
    <t>REPORT 22.06.2023</t>
  </si>
  <si>
    <t>Indivinity Clothing Retail Private Limited</t>
  </si>
  <si>
    <t>Knit Tech India</t>
  </si>
  <si>
    <t>Aggarwal Plywood &amp; Decorators</t>
  </si>
  <si>
    <t>REPORT 23.06.2023</t>
  </si>
  <si>
    <t>Sears Knit</t>
  </si>
  <si>
    <t>Binod Sharma (Exp.)</t>
  </si>
  <si>
    <t>Vansh India</t>
  </si>
  <si>
    <t>Optima Instruments</t>
  </si>
  <si>
    <t>S K Bajaj Garments</t>
  </si>
  <si>
    <t>Automation Engineering Solutions</t>
  </si>
  <si>
    <t>REPORT 24.06.2023</t>
  </si>
  <si>
    <t>United Denim Industries</t>
  </si>
  <si>
    <t>Ken Enterprises Pvt Ltd</t>
  </si>
  <si>
    <t>REPORT 26.06.2023</t>
  </si>
  <si>
    <t>Sangam Apparels</t>
  </si>
  <si>
    <t>N T Bloomfield Enterprises</t>
  </si>
  <si>
    <t>Exportify International (Debtor)</t>
  </si>
  <si>
    <t>REPORT 27.06.2023</t>
  </si>
  <si>
    <t>Bill Discounting (Intt.) ICICI</t>
  </si>
  <si>
    <t>Weiss Textile</t>
  </si>
  <si>
    <t>Salona Cotspin Limited</t>
  </si>
  <si>
    <t>Atishay Enterprises Rice Husk</t>
  </si>
  <si>
    <t>Mahashay Di Hatti</t>
  </si>
  <si>
    <t>DEBTOR THROUGH FACTORING DISCOUNTING (ICICI /KOTAK)</t>
  </si>
  <si>
    <t>REPORT 28.06.2023</t>
  </si>
  <si>
    <t>Standard Electrical &amp; Engineering Co.</t>
  </si>
  <si>
    <t>Amber Textile</t>
  </si>
  <si>
    <t>Kumar Cotton Mills Pvt. Ltd (Weaving)</t>
  </si>
  <si>
    <t>REPORT 29.06.2023</t>
  </si>
  <si>
    <t>COTTON FLOCK PAYMENT  DIFF</t>
  </si>
  <si>
    <t>REPORT 30.06.2023</t>
  </si>
  <si>
    <t>TCS Payable</t>
  </si>
  <si>
    <t>Controltech Automation</t>
  </si>
  <si>
    <t>TUV SUD South Asia Pvt Ltd</t>
  </si>
  <si>
    <t>Ashima Limited (Debtor)</t>
  </si>
  <si>
    <t>REPORT 01.07.2023</t>
  </si>
  <si>
    <t>KOTAK - WCDL - 0298DL0100000043</t>
  </si>
  <si>
    <t>ICICI Bank Loan A/C No.26900869-128</t>
  </si>
  <si>
    <t>Mahendra Pal &amp; Associates</t>
  </si>
  <si>
    <t>Orange International</t>
  </si>
  <si>
    <t>Cheque-Return</t>
  </si>
  <si>
    <t>REPORT 03.07.2023</t>
  </si>
  <si>
    <t>JUJAN MARKFIN PRIVATE LIM</t>
  </si>
  <si>
    <t>REPORT 04.07.2023</t>
  </si>
  <si>
    <t>Sehgal Knit India</t>
  </si>
  <si>
    <t>Ramdeen</t>
  </si>
  <si>
    <t>Suspense Account</t>
  </si>
  <si>
    <t>REPORT 05.07.2023</t>
  </si>
  <si>
    <t>Amazing Exports Pvt Ltd</t>
  </si>
  <si>
    <t>Opera Clothing Pvt Ltd</t>
  </si>
  <si>
    <t>REPORT 06.07.2023</t>
  </si>
  <si>
    <t>Kotak Mahindra Bank Ltd.</t>
  </si>
  <si>
    <t>JAIN GARMENT INDUSTRY</t>
  </si>
  <si>
    <t>RTGS Pooling A/c Jain Cord</t>
  </si>
  <si>
    <t>Safe Wheels and Batteries</t>
  </si>
  <si>
    <t>Pushpa Traders</t>
  </si>
  <si>
    <t>Wilhelm Textile India Pvt. Ltd.</t>
  </si>
  <si>
    <t>REPORT 07.07.2023</t>
  </si>
  <si>
    <t>REPORT 08.07.2023</t>
  </si>
  <si>
    <t>Oxym Crafts Private Limited</t>
  </si>
  <si>
    <t>REPORT 10.07.2023</t>
  </si>
  <si>
    <t>Alok Fashion</t>
  </si>
  <si>
    <t>Sundaram Finance Tata Truck Loan No.T010900040</t>
  </si>
  <si>
    <t>REPORT 11.07.2023</t>
  </si>
  <si>
    <t>Bill Discounting</t>
  </si>
  <si>
    <t>Mahalaxmi Fab</t>
  </si>
  <si>
    <t>Indra Hosiery Mills</t>
  </si>
  <si>
    <t>REPORT 12.07.2023</t>
  </si>
  <si>
    <t>THE FEDERATION OF INDIAN CHAMBERS OF COMMERCE AND INDUSTRY</t>
  </si>
  <si>
    <t>Navkar Enterprises</t>
  </si>
  <si>
    <t>Bill Discounting (ICICI)</t>
  </si>
  <si>
    <t>REPORT 13.07.2023</t>
  </si>
  <si>
    <t>Amith Garment Services</t>
  </si>
  <si>
    <t>Punit Creation</t>
  </si>
  <si>
    <t>ASPS International LLP</t>
  </si>
  <si>
    <t>Selfx India Private Limited</t>
  </si>
  <si>
    <t>Upashna Enterprises</t>
  </si>
  <si>
    <t>Ratankund Submersible  Service Center</t>
  </si>
  <si>
    <t xml:space="preserve">CU Inspection &amp; Certifications Ind Pvt. Ltd. </t>
  </si>
  <si>
    <t>ok</t>
  </si>
  <si>
    <t>Sonkhiya Plywood</t>
  </si>
  <si>
    <t>Goel Oil Containers</t>
  </si>
  <si>
    <t>Modern Business Solutions</t>
  </si>
  <si>
    <t>GMP Weaving Mills Private Limited</t>
  </si>
  <si>
    <t>United Textile Mills Private Limited</t>
  </si>
  <si>
    <t>Subbarow Craft</t>
  </si>
  <si>
    <t>Fabyarn Inc.</t>
  </si>
  <si>
    <t>REPORT 14.07.2023</t>
  </si>
  <si>
    <t>TD BOOKING FOR FD MARGIN</t>
  </si>
  <si>
    <t>REPORT 15.07.2023</t>
  </si>
  <si>
    <t>G.M.Building Material Supplier</t>
  </si>
  <si>
    <t>H N A &amp; Co LLP</t>
  </si>
  <si>
    <t>Fabcott India Clothing Llp(Delhi)Creditors</t>
  </si>
  <si>
    <t>Shade Fashion Pvt Ltd</t>
  </si>
  <si>
    <t>REPORT 17.07.2023</t>
  </si>
  <si>
    <t>M/S SCNA</t>
  </si>
  <si>
    <t>Bharati Washing &amp; Park</t>
  </si>
  <si>
    <t>AEBC Card - 71001 (Amit Jain)</t>
  </si>
  <si>
    <t>U. K. Marketing INC (RCV)</t>
  </si>
  <si>
    <t>KVR Intexx</t>
  </si>
  <si>
    <t>Anil Kumar Jain (Loan A/c)</t>
  </si>
  <si>
    <t>REPORT 18.07.2023</t>
  </si>
  <si>
    <t>B S Clothing</t>
  </si>
  <si>
    <t>Ample Auto Tech Pvt Ltd</t>
  </si>
  <si>
    <t>Indra Values</t>
  </si>
  <si>
    <t>REPORT 19.07.2023</t>
  </si>
  <si>
    <t>GST Reverse Charge Payable</t>
  </si>
  <si>
    <t>Vintage Denim Apparels Ltd</t>
  </si>
  <si>
    <t>Swarn Kanta Jain (Loan A/c)</t>
  </si>
  <si>
    <t>IndusInd Credit Card No. 4924 (Amit Jain)</t>
  </si>
  <si>
    <t>Punit Creation (Unit-5)</t>
  </si>
  <si>
    <t>E.V Exports</t>
  </si>
  <si>
    <t>Birbal International Pvt Ltd</t>
  </si>
  <si>
    <t>G.K Jain Hosery</t>
  </si>
  <si>
    <t>Intercity Traders Pvt Ltd(Noida)</t>
  </si>
  <si>
    <t>Rab Designs Llp</t>
  </si>
  <si>
    <t>Trendz Fashion Exports</t>
  </si>
  <si>
    <t>Suspense</t>
  </si>
  <si>
    <t>REPORT 20.07.2023</t>
  </si>
  <si>
    <t>Refund of Escrow</t>
  </si>
  <si>
    <t>REPORT 21.07.2023</t>
  </si>
  <si>
    <t>Indo State Exports</t>
  </si>
  <si>
    <t>R.K &amp; Company</t>
  </si>
  <si>
    <t>Aboni Fashions Ltd</t>
  </si>
  <si>
    <t>Bank Payments</t>
  </si>
  <si>
    <t>REPORT 22.07.2023</t>
  </si>
  <si>
    <t>REPORT 24.07.2023</t>
  </si>
  <si>
    <t>Weave and Knits</t>
  </si>
  <si>
    <t>CHINTOO CREATIONS</t>
  </si>
  <si>
    <t>LC Bill Discounting (ICICI) Pearl Global</t>
  </si>
  <si>
    <t>Gimatex Industries Private Limited(Debtor)</t>
  </si>
  <si>
    <t>Cotton Works</t>
  </si>
  <si>
    <t>Allorasoft Pvt Ltd</t>
  </si>
  <si>
    <t>AK Customs</t>
  </si>
  <si>
    <t>Pooja Enternational</t>
  </si>
  <si>
    <t>REPORT 25.07.2023</t>
  </si>
  <si>
    <t>A V Tex</t>
  </si>
  <si>
    <t>Aalignup Arch. &amp; Const. Pvt Ltd</t>
  </si>
  <si>
    <t>Roshan Lal Garg Steel Co. Pvt. Ltd.</t>
  </si>
  <si>
    <t>Amazing Knits Private Limited</t>
  </si>
  <si>
    <t>Signet Garments Pvt Ltd</t>
  </si>
  <si>
    <t>Shubham Enterprises</t>
  </si>
  <si>
    <t>Dekko Garments Limited</t>
  </si>
  <si>
    <t>REPORT 26.07.2023</t>
  </si>
  <si>
    <t>Bullet Logisticsindia Pvt Ltd.</t>
  </si>
  <si>
    <t>Velcom Siberia Service Ltd.</t>
  </si>
  <si>
    <t>Collections India Pvt Ltd</t>
  </si>
  <si>
    <t>REPORT 27.07.2023</t>
  </si>
  <si>
    <t>Parth Refrigeration</t>
  </si>
  <si>
    <t>Axis Bank Card No. 9018 (Arun Jain)</t>
  </si>
  <si>
    <t>Aarchee Enterprises(06ACAFA0157A1ZA)</t>
  </si>
  <si>
    <t>TDM Fabric Pvt. Ltd.</t>
  </si>
  <si>
    <t>Internet  Exports India LLP</t>
  </si>
  <si>
    <t>REPORT 28.07.2023</t>
  </si>
  <si>
    <t>ICONIC LABELS</t>
  </si>
  <si>
    <t>GBKC Global Private Limited</t>
  </si>
  <si>
    <t>Neeta's Creations Llp</t>
  </si>
  <si>
    <t>REPORT 29.07.2023</t>
  </si>
  <si>
    <t>Aman Knittings Ltd</t>
  </si>
  <si>
    <t>Torque Fashions Ltd.</t>
  </si>
  <si>
    <t>Bijender Singh</t>
  </si>
  <si>
    <t>Sky Way Hosiery</t>
  </si>
  <si>
    <t>REPORT 31.07.2023</t>
  </si>
  <si>
    <t>PRASANNA DAS (SALARY)</t>
  </si>
  <si>
    <t>RGC Impex</t>
  </si>
  <si>
    <t>REPORT 01.08.2023</t>
  </si>
  <si>
    <t>HDS Facilities Pvt Ltd</t>
  </si>
  <si>
    <t>Trans Carrier of India</t>
  </si>
  <si>
    <t>Vidit</t>
  </si>
  <si>
    <t>Term Loan - 0298DL0100000043</t>
  </si>
  <si>
    <t>Sunil Motors</t>
  </si>
  <si>
    <t>RNG Apparels</t>
  </si>
  <si>
    <t>Ram Overseas Ltd</t>
  </si>
  <si>
    <t>REPORT 02.08.2023</t>
  </si>
  <si>
    <t>V.P Tex Private Limited (Creditor)</t>
  </si>
  <si>
    <t>Artex Apparels</t>
  </si>
  <si>
    <t>REPORT 03.08.2023</t>
  </si>
  <si>
    <t>Aman Graphics &amp; Designs Ltd.</t>
  </si>
  <si>
    <t>Fashion Forum Ltd</t>
  </si>
  <si>
    <t>Newtech Computer Solutions</t>
  </si>
  <si>
    <t>Gail Gas Limited</t>
  </si>
  <si>
    <t>RINKU JAIN (SALARY)</t>
  </si>
  <si>
    <t>Dial Textile Industries Pvt Ltd</t>
  </si>
  <si>
    <t>Color Wave Industries</t>
  </si>
  <si>
    <t>ADITYA JAIN (DIRECTOR'S SALARY)</t>
  </si>
  <si>
    <t>ARUN JAIN (DIRECTOR'S SALARY)</t>
  </si>
  <si>
    <t>AKHIL JAIN (DIRECTOR'S SALARY)</t>
  </si>
  <si>
    <t>REPORT 04.08.2023</t>
  </si>
  <si>
    <t>PANORAMA APPARELS LTD</t>
  </si>
  <si>
    <t>SDBPG Enterprises LLP</t>
  </si>
  <si>
    <t>REPORT 05.08.2023</t>
  </si>
  <si>
    <t>Suvastra India</t>
  </si>
  <si>
    <t>REPORT 07.08.2023</t>
  </si>
  <si>
    <t>Sourabh Nagpal (Exp.)</t>
  </si>
  <si>
    <t>Guljar Painter</t>
  </si>
  <si>
    <t>Imperial Sales</t>
  </si>
  <si>
    <t>The Stationery Portal</t>
  </si>
  <si>
    <t>Bhanu</t>
  </si>
  <si>
    <t>Dustech Engineers Pvt Ltd</t>
  </si>
  <si>
    <t>Delta Clothing</t>
  </si>
  <si>
    <t>Zamco Apparel Private Limited</t>
  </si>
  <si>
    <t>Debtors Payment Recd.</t>
  </si>
  <si>
    <t>REPORT 08.08.2023</t>
  </si>
  <si>
    <t>Jeena &amp; Company</t>
  </si>
  <si>
    <t>Rajesh Chauhan</t>
  </si>
  <si>
    <t>Uma Fabrics (Pur.)</t>
  </si>
  <si>
    <t>Nishi Impex</t>
  </si>
  <si>
    <t>Gori Shankar</t>
  </si>
  <si>
    <t>Genetic Fashion</t>
  </si>
  <si>
    <t>REPORT 09.08.2023</t>
  </si>
  <si>
    <t>Bipin Kumar (Exp.)</t>
  </si>
  <si>
    <t>KFIN Technologies Pvt Ltd</t>
  </si>
  <si>
    <t>House of Clothing</t>
  </si>
  <si>
    <t>M.D. Fashion</t>
  </si>
  <si>
    <t>Fortune Syntex Pvt Ltd.</t>
  </si>
  <si>
    <t>E.V Collections Private Limited</t>
  </si>
  <si>
    <t>Zero Discharge Technologies Pvt. Ltd.</t>
  </si>
  <si>
    <t>Abhihome Exports Pvt Ltd</t>
  </si>
  <si>
    <t>REPORT 10.08.2023</t>
  </si>
  <si>
    <t>Pearl Apparels Inc.</t>
  </si>
  <si>
    <t>Franstek Belts Pvt Ltd</t>
  </si>
  <si>
    <t>Saraf Syntex</t>
  </si>
  <si>
    <t>U.K. Industrial Corporation</t>
  </si>
  <si>
    <t>R M D WEAVING MILLS PVT LTD</t>
  </si>
  <si>
    <t>Himanshu Apparels Pvt ltd</t>
  </si>
  <si>
    <t>REPORT 11.08.2023</t>
  </si>
  <si>
    <t>Balaji Technical Services</t>
  </si>
  <si>
    <t>Lakhan Singh Goods Carrier</t>
  </si>
  <si>
    <t>Bliss Impex</t>
  </si>
  <si>
    <t>R C J C</t>
  </si>
  <si>
    <t>Skylight Express Pvt Ltd</t>
  </si>
  <si>
    <t>Artex Apparels Private Limited</t>
  </si>
  <si>
    <t>Hirdaramani International Exports Pvt. Ltd.</t>
  </si>
  <si>
    <t>OCGC Clothing</t>
  </si>
  <si>
    <t>REPORT 12.08.2023</t>
  </si>
  <si>
    <t>Aan clothing Pvt Ltd</t>
  </si>
  <si>
    <t>Rakesh Nogia (Exp)</t>
  </si>
  <si>
    <t>Banswara Syntex Limited (SEZ)</t>
  </si>
  <si>
    <t>New Real Apparel</t>
  </si>
  <si>
    <t>Sunny International Limited(06AATCS8977L3Z2)</t>
  </si>
  <si>
    <t>REPORT 14.08.2023</t>
  </si>
  <si>
    <t>Smaac Net Solutions Pvt Ltd</t>
  </si>
  <si>
    <t>Re Sustainbility Limited</t>
  </si>
  <si>
    <t>Axis Bank Card No. 4308340000125899 (Amit Jain)</t>
  </si>
  <si>
    <t>Sara Textiles</t>
  </si>
  <si>
    <t>J Roshan Lal Ram Parkash</t>
  </si>
  <si>
    <t>J A Enterprises</t>
  </si>
  <si>
    <t>Shri Radha Raman Knit</t>
  </si>
  <si>
    <t>REPORT 16.08.2023</t>
  </si>
  <si>
    <t>Ajay Goods Tpt. Cargo Movers (Regd.)</t>
  </si>
  <si>
    <t>Orange City Garment Cluster Pvt Ltd</t>
  </si>
  <si>
    <t>Orange City Garments LLP</t>
  </si>
  <si>
    <t xml:space="preserve">Term Loan Margin </t>
  </si>
  <si>
    <t>REPORT 17.08.2023</t>
  </si>
  <si>
    <t>Megha Systems</t>
  </si>
  <si>
    <t>Fasttrack Logistics</t>
  </si>
  <si>
    <t>Nehal Trading</t>
  </si>
  <si>
    <t>Pending - Stipend</t>
  </si>
  <si>
    <t>REPORT 18.08.2023</t>
  </si>
  <si>
    <t>Penguin Apparels Pvt. Ltd.</t>
  </si>
  <si>
    <t>Anil Kumar Jain Landlord A/c</t>
  </si>
  <si>
    <t>Arun Kumar Jain Landlord A/c</t>
  </si>
  <si>
    <t>Bulls Eye</t>
  </si>
  <si>
    <t>V T Sourcing (VTS)</t>
  </si>
  <si>
    <t>Choice Clothing Co Pvt Ltd</t>
  </si>
  <si>
    <t>REPORT 19.08.2023</t>
  </si>
  <si>
    <t>Shree Ram Traders</t>
  </si>
  <si>
    <t>Radha Rani Flour Mill</t>
  </si>
  <si>
    <t>Marketing Done Right</t>
  </si>
  <si>
    <t>LC Bill Discounting (Kotak) In Leather</t>
  </si>
  <si>
    <t>Umiya Fabrics</t>
  </si>
  <si>
    <t>Inspiration Overseas</t>
  </si>
  <si>
    <t>Clothing Culture Private Limited</t>
  </si>
  <si>
    <t>GST PAYABLE</t>
  </si>
  <si>
    <t>REPORT 21.08.2023</t>
  </si>
  <si>
    <t>Colour Creation Pvt Ltd</t>
  </si>
  <si>
    <t>Little Love Impex</t>
  </si>
  <si>
    <t>In Leather</t>
  </si>
  <si>
    <t>Sunlord Industries Pvt. Ltd.</t>
  </si>
  <si>
    <t>REPORT 22.08.2023</t>
  </si>
  <si>
    <t>Surya Enterprises</t>
  </si>
  <si>
    <t>Prasanna Das (Exp.)</t>
  </si>
  <si>
    <t>Jalaram Dye Chem (Barhi)</t>
  </si>
  <si>
    <t>Rakheja Enterprises LLP</t>
  </si>
  <si>
    <t>VSM Weavess India (P) Ltd (33AABCV7326C1ZO)</t>
  </si>
  <si>
    <t>Gopal Ram &amp; Sons</t>
  </si>
  <si>
    <t>Debtors - Payment Recd.</t>
  </si>
  <si>
    <t>REPORT 23.08.2023</t>
  </si>
  <si>
    <t>Dignitas Aquatech Engineers Pvt Ltd</t>
  </si>
  <si>
    <t>Ankush Jain (Exp.)</t>
  </si>
  <si>
    <t>Shri Siddhivinayak Cargo Logistics</t>
  </si>
  <si>
    <t>Golden Fibers LLP</t>
  </si>
  <si>
    <t>Ramms International</t>
  </si>
  <si>
    <t>REPORT 24.08.2023</t>
  </si>
  <si>
    <t>Singhal Sons Electronics Agencies Pvt Ltd</t>
  </si>
  <si>
    <t>Shree Jee Provision Store</t>
  </si>
  <si>
    <t>Tripath Logistics Pvt Ltd</t>
  </si>
  <si>
    <t>Renaissance Fashions</t>
  </si>
  <si>
    <t>REPORT 25.08.2023</t>
  </si>
  <si>
    <t>Shiwalik Tiles and Sanitary Ware</t>
  </si>
  <si>
    <t>Mahavira Collections Pvt Ltd</t>
  </si>
  <si>
    <t>Sekawati impex</t>
  </si>
  <si>
    <t>Disbursment Credit</t>
  </si>
  <si>
    <t>REPORT 26.08.2023</t>
  </si>
  <si>
    <t>WCD</t>
  </si>
  <si>
    <t>REPORT 28.08.2023</t>
  </si>
  <si>
    <t>ProsqueTech</t>
  </si>
  <si>
    <t>Himal Supply (India) Pvt Ltd.</t>
  </si>
  <si>
    <t>Boutique International</t>
  </si>
  <si>
    <t>KG Denim Ltd.</t>
  </si>
  <si>
    <t>Fab Distributors</t>
  </si>
  <si>
    <t>Cotton World</t>
  </si>
  <si>
    <t>Newwave Apparels Pvt. Ltd.</t>
  </si>
  <si>
    <t>WCD + Suspense</t>
  </si>
  <si>
    <t xml:space="preserve">Bill Discounting (Intt.) ICICI </t>
  </si>
  <si>
    <t xml:space="preserve"> Bank Payment </t>
  </si>
  <si>
    <t xml:space="preserve">Amazing Export Corportion </t>
  </si>
  <si>
    <t xml:space="preserve"> Bank Receipts </t>
  </si>
  <si>
    <t xml:space="preserve">R.K &amp; Co. </t>
  </si>
  <si>
    <t xml:space="preserve">J A Enterprises </t>
  </si>
  <si>
    <t xml:space="preserve">Duty Draw Back Receivable </t>
  </si>
  <si>
    <t xml:space="preserve">Laguna Clothing Pvt Ltd </t>
  </si>
  <si>
    <t xml:space="preserve">Bill Discounting (Intt.) </t>
  </si>
  <si>
    <t xml:space="preserve">Goodwill Fabrics Pvt. Ltd. </t>
  </si>
  <si>
    <t xml:space="preserve">Seven Hills International </t>
  </si>
  <si>
    <t xml:space="preserve">Discover Fashions India Pvt.Ltd. </t>
  </si>
  <si>
    <t>Tulip Creations Pvt. Ltd.</t>
  </si>
  <si>
    <t>Jyoti Apparels</t>
  </si>
  <si>
    <t>JAW AND SONS PRIVATE LIMITED</t>
  </si>
  <si>
    <t>REPORT 29.08.2023</t>
  </si>
  <si>
    <t>Polka Clothing Co.</t>
  </si>
  <si>
    <t>Chan Chao International Co Ltd</t>
  </si>
  <si>
    <t xml:space="preserve">Cheque Return </t>
  </si>
  <si>
    <t>Anil Rao ( Road Contractor)</t>
  </si>
  <si>
    <t>RNG Apparels (Noida)</t>
  </si>
  <si>
    <t>Aquarelle india</t>
  </si>
  <si>
    <t>REPORT 31.08.2023</t>
  </si>
  <si>
    <t>Pearl apparels pvt ltd</t>
  </si>
  <si>
    <t>WCDL-KOTAK</t>
  </si>
  <si>
    <t>WCDL-ICICI</t>
  </si>
  <si>
    <t>REPORT 01.09.2023</t>
  </si>
  <si>
    <t>Interest on Loans</t>
  </si>
  <si>
    <t>Vas Mechatronics Solutions (OPC) Pvt Ltd</t>
  </si>
  <si>
    <t>Loan Recovery For769360000001</t>
  </si>
  <si>
    <t>Loan Recovery For -0298DL0100000047</t>
  </si>
  <si>
    <t>Loan Recovery For -0298DL0100000049</t>
  </si>
  <si>
    <t>Loan Recovery For -0298DL0100000048</t>
  </si>
  <si>
    <t>REPORT 02.09.2023</t>
  </si>
  <si>
    <t>Standard Refrigeration Pvt Ltd.</t>
  </si>
  <si>
    <t>SHRI ADINATH IMPEX</t>
  </si>
  <si>
    <t>Jakmans Clothing Llp</t>
  </si>
  <si>
    <t>REPORT 04.09.2023</t>
  </si>
  <si>
    <t>Cantabil Retail Ind Ltd (Haryana)</t>
  </si>
  <si>
    <t>Lucky Yarn Tex India Private Limited</t>
  </si>
  <si>
    <t>REPORT 05.09.2023</t>
  </si>
  <si>
    <t>Kamal Enterprises</t>
  </si>
  <si>
    <t>Nor Lanka Manufacturing Colombo Ltd.</t>
  </si>
  <si>
    <t>Golden Weaves</t>
  </si>
  <si>
    <t>Ambattur Fashion India Pvt. Ltd.</t>
  </si>
  <si>
    <t>Richa global Exports Pvt Ltd</t>
  </si>
  <si>
    <t>Implus International Pvt Ltd</t>
  </si>
  <si>
    <t>veekayen Fashion And Apparels Ltd</t>
  </si>
  <si>
    <t>Yaa apparels Private Limited</t>
  </si>
  <si>
    <t>Bhagwan Enterprises</t>
  </si>
  <si>
    <t>Gil wood Fashions Pvt Ltd</t>
  </si>
  <si>
    <t xml:space="preserve">Bill Discounting (Kotak) </t>
  </si>
  <si>
    <t>REPORT 06.09.2023</t>
  </si>
  <si>
    <t>E-Win Clothing Llp</t>
  </si>
  <si>
    <t>Galaxt Elegant Pvt ltd</t>
  </si>
  <si>
    <t>REPORT 08.09.2023</t>
  </si>
  <si>
    <t>Suraj Enterprises</t>
  </si>
  <si>
    <t>Qtex Consumer Products Services India Pvt Ltd</t>
  </si>
  <si>
    <t>Zen Industrial Engineers</t>
  </si>
  <si>
    <t>Domex Cargo Services</t>
  </si>
  <si>
    <t>Expert Engineering Consultancy Services</t>
  </si>
  <si>
    <t>Digital Oceanx</t>
  </si>
  <si>
    <t>THE FEDERATION OF INDIAN CHAMBERS OF COMMERCE</t>
  </si>
  <si>
    <t>Shiv Narain Devi Sahai</t>
  </si>
  <si>
    <t>Birdy Exports Pvt. Ltd.</t>
  </si>
  <si>
    <t>Manoj Kumar Rastogi</t>
  </si>
  <si>
    <t>Apollo Design &amp; Apparel Park Ltd.</t>
  </si>
  <si>
    <t>Team Krian</t>
  </si>
  <si>
    <t>Campari Exports Pvt Ltd.</t>
  </si>
  <si>
    <t>Gmp Weaving Mills Private Limited</t>
  </si>
  <si>
    <t>Sbbp Financial Services Private Limited</t>
  </si>
  <si>
    <t>BANSWARA SYNTEX LIMITED</t>
  </si>
  <si>
    <t>kotak balance</t>
  </si>
  <si>
    <t>limit</t>
  </si>
  <si>
    <t>limit used</t>
  </si>
  <si>
    <t>ICICI BANK LIMIT</t>
  </si>
  <si>
    <t>LIMIT USED</t>
  </si>
  <si>
    <t>Available Funds for use (Kotak)</t>
  </si>
  <si>
    <t>Available Funds for use (Icici)</t>
  </si>
  <si>
    <t>from Bank Reco</t>
  </si>
  <si>
    <t>REPORT 09.09.2023</t>
  </si>
  <si>
    <t>Gurgaon Industrial Association</t>
  </si>
  <si>
    <t>Taq Collection LLP</t>
  </si>
  <si>
    <t>V T N GARM</t>
  </si>
  <si>
    <t>Abhishek Fabrication</t>
  </si>
  <si>
    <t>Rama Overseas Ltd</t>
  </si>
  <si>
    <t>Sushma Jain (Loan A/c)</t>
  </si>
  <si>
    <t>Eam Maliban Textiles Pvt Ltd</t>
  </si>
  <si>
    <t>Richaco exports Pvt Ltd</t>
  </si>
  <si>
    <t>REPORT 11.09.2023</t>
  </si>
  <si>
    <t>REPORT 12.09.2023</t>
  </si>
  <si>
    <t>Jain Cord ( Kotak)</t>
  </si>
  <si>
    <t>REPORT 13.09.2023</t>
  </si>
  <si>
    <t>Willus Infrastructure Pricate Limited(PWL)</t>
  </si>
  <si>
    <t>LC Bill Discounting (Kotak) InTime Garments</t>
  </si>
  <si>
    <t>TREDs Supplier Bill Discounting (ICICI)</t>
  </si>
  <si>
    <t>SAPPHIRE INC</t>
  </si>
  <si>
    <t>REPORT 14.09.2023</t>
  </si>
  <si>
    <t>GST INTEREST PAID</t>
  </si>
  <si>
    <t>Jain Textile Industries</t>
  </si>
  <si>
    <t>Seven Hills International</t>
  </si>
  <si>
    <t>Global Apparel</t>
  </si>
  <si>
    <t>Sun Plastics</t>
  </si>
  <si>
    <t>Himalaya Overseas (Noida)</t>
  </si>
  <si>
    <t>REPORT 15.09.2023</t>
  </si>
  <si>
    <t>Textronics Design Systems (I) Pvt. Ltd.</t>
  </si>
  <si>
    <t>DSV Air &amp; Sea Pvt. Ltd. (27AACCD3848A1ZZ)</t>
  </si>
  <si>
    <t>Satish Kumar &amp; Co</t>
  </si>
  <si>
    <t xml:space="preserve">Closing Balance </t>
  </si>
  <si>
    <t>REPORT 16.09.2023</t>
  </si>
  <si>
    <t>Aplos Fashion Pvt Ltd</t>
  </si>
  <si>
    <t>Layrrd Inc</t>
  </si>
  <si>
    <t>VKNP Designs Private Limited</t>
  </si>
  <si>
    <t>REPORT 18.09.2023</t>
  </si>
  <si>
    <t>Tile Zone</t>
  </si>
  <si>
    <t>A K Steel Industries</t>
  </si>
  <si>
    <t>M/S Prits Leather Art Private Limited</t>
  </si>
  <si>
    <t>QXZ OSPINTER LIMITED</t>
  </si>
  <si>
    <t>DGN Apparels</t>
  </si>
  <si>
    <t>SAN International</t>
  </si>
  <si>
    <t>REPORT 19.09.2023</t>
  </si>
  <si>
    <t>Pacific Exports &amp; Imports</t>
  </si>
  <si>
    <t>Kabir Leathers</t>
  </si>
  <si>
    <t>Jai Jwala Engineering</t>
  </si>
  <si>
    <t>RV Power Products</t>
  </si>
  <si>
    <t>Nisha Designs</t>
  </si>
  <si>
    <t>Shahi exports pvt ltd</t>
  </si>
  <si>
    <t>REPORT 20.09.2023</t>
  </si>
  <si>
    <t>REPORT 21.09.2023</t>
  </si>
  <si>
    <t>Delhi Tex Mac Traders</t>
  </si>
  <si>
    <t>Anmol Garments</t>
  </si>
  <si>
    <t>Raj Trading Co.</t>
  </si>
  <si>
    <t>TREDs Interest- Charges</t>
  </si>
  <si>
    <t>D-Tech Aqua Chem</t>
  </si>
  <si>
    <t>PRC Global Logistics</t>
  </si>
  <si>
    <t>Royal India Clothing Company Pvt. Ltd.</t>
  </si>
  <si>
    <t>B.P Impex</t>
  </si>
  <si>
    <t>REPORT 23.09.2023</t>
  </si>
  <si>
    <t>Custom Duty</t>
  </si>
  <si>
    <t>Trade Interest Charges</t>
  </si>
  <si>
    <t>Pearl Apparels pvt Ltd</t>
  </si>
  <si>
    <t>REPORT 25.09.2023</t>
  </si>
  <si>
    <t>Self Assessment Tax</t>
  </si>
  <si>
    <t>R S Technology</t>
  </si>
  <si>
    <t>SPS Road Carrier</t>
  </si>
  <si>
    <t>Green Energy Power Solutions</t>
  </si>
  <si>
    <t>K.B Stationers</t>
  </si>
  <si>
    <t>Best Roadways Ltd (Delhi)</t>
  </si>
  <si>
    <t>SB Designs</t>
  </si>
  <si>
    <t>BANK RECEIPT</t>
  </si>
  <si>
    <t>BANK PAYMENT</t>
  </si>
  <si>
    <t>Debtors Payment</t>
  </si>
  <si>
    <t>REPORT 26.09.2023</t>
  </si>
  <si>
    <t>Deepak Textile Company</t>
  </si>
  <si>
    <t>H.S.Chemical Suppliers (07AAAFH1731P1ZC)</t>
  </si>
  <si>
    <t>N K Design Alliance</t>
  </si>
  <si>
    <t>Hari Om Refractories</t>
  </si>
  <si>
    <t>Rakesh Nogia (Exp.)</t>
  </si>
  <si>
    <t>Mectech Knitfabs Private Limited</t>
  </si>
  <si>
    <t>Showroom 79 Exports</t>
  </si>
  <si>
    <t>Treds - Interest Charges</t>
  </si>
  <si>
    <t>REPORT 27.09.2023</t>
  </si>
  <si>
    <t>Northern Ridge Geotech Pvt Ltd</t>
  </si>
  <si>
    <t>Magsons Exports</t>
  </si>
  <si>
    <t>Treds Interest Charges</t>
  </si>
  <si>
    <t>REPORT 28.09.2023</t>
  </si>
  <si>
    <t>Jindal Marble &amp; Sanitary Store</t>
  </si>
  <si>
    <t>Rabatex Industries</t>
  </si>
  <si>
    <t>Webhopers Infotech Pvt Ltd</t>
  </si>
  <si>
    <t>New Motor Stores</t>
  </si>
  <si>
    <t>Bureau Veritas (India) Pvt Ltd</t>
  </si>
  <si>
    <t>Nishi Impex (Deb)</t>
  </si>
  <si>
    <t>Nanotek Controls</t>
  </si>
  <si>
    <t>Ncon Turbo Tech Pvt. Ltd.</t>
  </si>
  <si>
    <t>Balaji Trading Co.</t>
  </si>
  <si>
    <t>CGPL</t>
  </si>
  <si>
    <t>REPORT 29.09.2023</t>
  </si>
  <si>
    <t>Smartpaddle Technology Pvt Ltd (Creditor) (20.09.2023)</t>
  </si>
  <si>
    <t>Celebrity Fashions Ltd (33AAACC3696D1ZX)</t>
  </si>
  <si>
    <t>Incas International</t>
  </si>
  <si>
    <t>Jal Exports</t>
  </si>
  <si>
    <t>GSL Textile India Pvt Ltd</t>
  </si>
  <si>
    <t>Sun Textile Engineers</t>
  </si>
  <si>
    <t>REPORT 30.09.2023</t>
  </si>
  <si>
    <t>Akhil Textiles</t>
  </si>
  <si>
    <t>Microtex Clothing Pvt. Ltd.</t>
  </si>
  <si>
    <t>Atulyam by Sarthak</t>
  </si>
  <si>
    <t>REPORT 03.10.2023</t>
  </si>
  <si>
    <t>Jai Jwala Traders</t>
  </si>
  <si>
    <t>Times Apparels</t>
  </si>
  <si>
    <t>REPORT 04.10.2023</t>
  </si>
  <si>
    <t>ANS Clothing Company</t>
  </si>
  <si>
    <t>Credo Brands Marketing Limited</t>
  </si>
  <si>
    <t>Cutting Edge Industries Ltd</t>
  </si>
  <si>
    <t>Skye Textile Co. Ltd</t>
  </si>
  <si>
    <t>Monark Software Private Limited</t>
  </si>
  <si>
    <t>Aman Exports International</t>
  </si>
  <si>
    <t>REPORT 05.10.2023</t>
  </si>
  <si>
    <t>Jain Cord (KOTAK)</t>
  </si>
  <si>
    <t>Samrat Gems Impex Pvt Ltd</t>
  </si>
  <si>
    <t>Ravels Apparels Pvt Ltd</t>
  </si>
  <si>
    <t>K G Denim Ltd</t>
  </si>
  <si>
    <t>J.K Fabrics</t>
  </si>
  <si>
    <t>P.R Clothing</t>
  </si>
  <si>
    <t>Karan Smartex Private Limited</t>
  </si>
  <si>
    <t>REPORT 06.10.2023</t>
  </si>
  <si>
    <t>S S Enterprises</t>
  </si>
  <si>
    <t>Sri Bankey Bihari Agency</t>
  </si>
  <si>
    <t>Shrey System</t>
  </si>
  <si>
    <t>Tusker Materials Handling Pvt Ltd</t>
  </si>
  <si>
    <t>AG Engineering and Technology</t>
  </si>
  <si>
    <t>REPORT 07.10.2023</t>
  </si>
  <si>
    <t>Impulse International Pvt Ltd</t>
  </si>
  <si>
    <t>REPORT 09.10.2023</t>
  </si>
  <si>
    <t>Global Shirt Box (India) Pvt Ltd</t>
  </si>
  <si>
    <t>Panipat Handloom</t>
  </si>
  <si>
    <t>Winstar</t>
  </si>
  <si>
    <t>Arjun Traders</t>
  </si>
  <si>
    <t>J.D Sales Corporation (07AATFJ0921E1ZG</t>
  </si>
  <si>
    <t>Abhi Home Exports LLP</t>
  </si>
  <si>
    <t>REPORT 10.10.2023</t>
  </si>
  <si>
    <t>Winsome Yarns Limited</t>
  </si>
  <si>
    <t>S Kumar Mechanical</t>
  </si>
  <si>
    <t>Spangle Clothing Private Limited</t>
  </si>
  <si>
    <t>REPORT 11.10.2023</t>
  </si>
  <si>
    <t>Shree Shyam Enterprises</t>
  </si>
  <si>
    <t>Diya Industrial Technologies Pvt Ltd</t>
  </si>
  <si>
    <t>Bhoomi Javik Khad Udyog</t>
  </si>
  <si>
    <t>Drexel Enviro</t>
  </si>
  <si>
    <t>CU Inspection &amp; Certifications Ind Pvt. Ltd</t>
  </si>
  <si>
    <t>Shiv Textiles</t>
  </si>
  <si>
    <t>Advance Agt. Gratuity</t>
  </si>
  <si>
    <t>Triumph Auto Engg. (P) Ltd.</t>
  </si>
  <si>
    <t>REPORT 12.10.2023</t>
  </si>
  <si>
    <t>Debonair Ltd</t>
  </si>
  <si>
    <t>Debtors Receipt</t>
  </si>
  <si>
    <t>REPORT 13.10.2023</t>
  </si>
  <si>
    <t>Prabhu Nath Pandey</t>
  </si>
  <si>
    <t>Thermax Ltd.</t>
  </si>
  <si>
    <t>Kisaan Marble</t>
  </si>
  <si>
    <t>Pico Hochiminh City Ltd</t>
  </si>
  <si>
    <t>REPORT 14.10.2023</t>
  </si>
  <si>
    <t>Dhruv Global Ltd</t>
  </si>
  <si>
    <t>INT DELAY NEFT</t>
  </si>
  <si>
    <t>REPORT 16.10.2023</t>
  </si>
  <si>
    <t>Choudhary Fashions (Creditors</t>
  </si>
  <si>
    <t>Veekayem Fashion and Apparels Ltd.</t>
  </si>
  <si>
    <t>REPORT 17.10.2023</t>
  </si>
  <si>
    <t>ICICI BANK -WCDL</t>
  </si>
  <si>
    <t>Anemos Lifestyles Pvt Ltd</t>
  </si>
  <si>
    <t>Mangla Apparels Pvt ltd</t>
  </si>
  <si>
    <t>Term Loan - Payment</t>
  </si>
  <si>
    <t>REPORT 18.10.2023</t>
  </si>
  <si>
    <t>Oswal International</t>
  </si>
  <si>
    <t>Bhawi Printer</t>
  </si>
  <si>
    <t>KPM Enterprises (Panipat) Creditor</t>
  </si>
  <si>
    <t>Rag Trade India Pvt Ltd</t>
  </si>
  <si>
    <t>Goldmohur Design and Apprel Park Ltd.</t>
  </si>
  <si>
    <t>REPORT 19.10.2023</t>
  </si>
  <si>
    <t>Silver Composite Textile Mills Ltd.</t>
  </si>
  <si>
    <t>Geebee Garments Fze</t>
  </si>
  <si>
    <t>Star Garments Pvt Limited</t>
  </si>
  <si>
    <t>GST REVERSE CHARGE PAID</t>
  </si>
  <si>
    <t>REPORT 20.10.2023</t>
  </si>
  <si>
    <t>Entery Cancel</t>
  </si>
  <si>
    <t>Lucky Weavess India Private Limited</t>
  </si>
  <si>
    <t>Malik Brothers</t>
  </si>
  <si>
    <t>The New Malik Company</t>
  </si>
  <si>
    <t>VSP Industries Pvt.Ltd.</t>
  </si>
  <si>
    <t>REPORT 21.10.2023</t>
  </si>
  <si>
    <t>BUDDHAMAL SUBHASH CHAND (09ADVPG7119E1ZA)</t>
  </si>
  <si>
    <t>Anithaa Weaving Mill(P) Ltd</t>
  </si>
  <si>
    <t>Shivam Logistics</t>
  </si>
  <si>
    <t>Yaa Apparels Private Limited</t>
  </si>
  <si>
    <t>REFUND OF ESCROW RECEIVABLE</t>
  </si>
  <si>
    <t>FA Home and Apparel Private Limited</t>
  </si>
  <si>
    <t>REPORT 23.10.2023</t>
  </si>
  <si>
    <t>Zodiac Clothing Company Ltd. (BLR)</t>
  </si>
  <si>
    <t>Pintu Mobile Center</t>
  </si>
  <si>
    <t>Texport Syndicate bangalore</t>
  </si>
  <si>
    <t>REPORT 25.10.2023</t>
  </si>
  <si>
    <t>REPORT 26.10.2023</t>
  </si>
  <si>
    <t>K.S Textiles Pvt Ltd</t>
  </si>
  <si>
    <t>E H FABRICS LTD</t>
  </si>
  <si>
    <t>REPORT 27.10.2023</t>
  </si>
  <si>
    <t>Mstex Fabrics Private Limited</t>
  </si>
  <si>
    <t>Neeta Polycots</t>
  </si>
  <si>
    <t>Winterquilts (Pvt) Limited</t>
  </si>
  <si>
    <t>Maxvalue Creations P Ltd.</t>
  </si>
  <si>
    <t>REPORT 28.10.2023</t>
  </si>
  <si>
    <t>Govind Building Material Supplier</t>
  </si>
  <si>
    <t>REPORT 30.10.2023</t>
  </si>
  <si>
    <t>Jyoti Apparels (Okhla)</t>
  </si>
  <si>
    <t>Banglore Sports Wear Private Limited</t>
  </si>
  <si>
    <t>Crown Wear Pvt. Ltd.</t>
  </si>
  <si>
    <t>REPORT 31.10.2023</t>
  </si>
  <si>
    <t>Refund Under Inverted Tax</t>
  </si>
  <si>
    <t>REPORT 01.11.2023</t>
  </si>
  <si>
    <t>Loan Recovery For769360000003</t>
  </si>
  <si>
    <t xml:space="preserve">	Loan Recovery For769360000001</t>
  </si>
  <si>
    <t>Savrang Synthetics</t>
  </si>
  <si>
    <t>Aditya Exports</t>
  </si>
  <si>
    <t>REPORT 02.11.2023</t>
  </si>
  <si>
    <t>Hca Garment Machinery Pvt Ltd.</t>
  </si>
  <si>
    <t>Brij Bhan Singh (Exp)</t>
  </si>
  <si>
    <t>Debtors Payment Recd</t>
  </si>
  <si>
    <t>REPORT 03.11.2023</t>
  </si>
  <si>
    <t>Sandeep Aneja ( Advocate )</t>
  </si>
  <si>
    <t>Reycor India Services</t>
  </si>
  <si>
    <t>Indigomatrix Clothing</t>
  </si>
  <si>
    <t>REPORT 04.11.2023</t>
  </si>
  <si>
    <t>Parc Designs Pvt. Ltd.</t>
  </si>
  <si>
    <t>Messianic Clothing Private Limited</t>
  </si>
  <si>
    <t>Loyal Textile Mills Limited</t>
  </si>
  <si>
    <t>Nicholas Pigments &amp; Inks (09ACHPT7155J1ZY</t>
  </si>
  <si>
    <t>REPORT 06.11.2023</t>
  </si>
  <si>
    <t>Sri Kumaran Apparels</t>
  </si>
  <si>
    <t>Metro Clothing Co.</t>
  </si>
  <si>
    <t>Punit Creation Unit-2</t>
  </si>
  <si>
    <t>Vaibhav Apparels pvt Ltd</t>
  </si>
  <si>
    <t>REPORT 08.11.2023</t>
  </si>
  <si>
    <t>Green Smart Shirts Ltd</t>
  </si>
  <si>
    <t>Shri Balaji Traders</t>
  </si>
  <si>
    <t>Aggarwal Apparel</t>
  </si>
  <si>
    <t>Hari Iron Trading India (P) Ltd</t>
  </si>
  <si>
    <t>Willus Infrastructure Pvt Ltd(GZB)</t>
  </si>
  <si>
    <t>REPORT 09.11.2023</t>
  </si>
  <si>
    <t>Yankees Knitwears</t>
  </si>
  <si>
    <t>Abhi Home Exports Llp</t>
  </si>
  <si>
    <t>VSM Weavess India (P) Ltd (06AABCV7326C1ZL)</t>
  </si>
  <si>
    <t>REPORT 15.11.2023</t>
  </si>
  <si>
    <t>Kotak Mahindra Bank Ltd</t>
  </si>
  <si>
    <t>Trio Apparels India (P) Ltd.</t>
  </si>
  <si>
    <t>Shalvik Apparels</t>
  </si>
  <si>
    <t>Himanshu Apparels</t>
  </si>
  <si>
    <t>REPORT 16.11.2023</t>
  </si>
  <si>
    <t>Salary Expenses Payable (Kosi)</t>
  </si>
  <si>
    <t>REPORT 17.11.2023</t>
  </si>
  <si>
    <t>The Oriental Insurance Company Limited</t>
  </si>
  <si>
    <t>Indusind Bank Credit Card No. 6688(Akhil Jain)</t>
  </si>
  <si>
    <t>Vogue Tex (Pvt) Ltd.</t>
  </si>
  <si>
    <t>Chittagong Asian Apparels Ltd</t>
  </si>
  <si>
    <t>Reverse charge Payment</t>
  </si>
  <si>
    <t>REPORT 18.11.2023</t>
  </si>
  <si>
    <t>Bikanervala (Gurgaon)</t>
  </si>
  <si>
    <t>Pearl Global Industries Limited (Bangalore)</t>
  </si>
  <si>
    <t>Bills Discount through Factoring Himanshu Apparels</t>
  </si>
  <si>
    <t>REPORT 20.11.2023</t>
  </si>
  <si>
    <t>Mukesh Aluminium Works &amp; Glass House</t>
  </si>
  <si>
    <t>Goodwill International</t>
  </si>
  <si>
    <t>Navi Powerol Pvt Ltd.</t>
  </si>
  <si>
    <t>Stack and Move Solution (Delhi)</t>
  </si>
  <si>
    <t>Sandeep Kumar &amp; Associates</t>
  </si>
  <si>
    <t>R.K &amp; Co.</t>
  </si>
  <si>
    <t>Vishwaa Apparels (Chitoor)</t>
  </si>
  <si>
    <t>REPORT 21.11.2023</t>
  </si>
  <si>
    <t>Vamani Overseas Private Limited (Noida)</t>
  </si>
  <si>
    <t>Platinum Vision Advertising</t>
  </si>
  <si>
    <t>India Tyres Traders</t>
  </si>
  <si>
    <t>RCPL Logistics Pvt. Ltd. (GGN)</t>
  </si>
  <si>
    <t>Bank Receipt</t>
  </si>
  <si>
    <t>REPORT 22.11.2023</t>
  </si>
  <si>
    <t>Priyanka Kumari (Exp)</t>
  </si>
  <si>
    <t>Arumani Traders</t>
  </si>
  <si>
    <t>Adhoc Extension Kotak Mahindra Bank</t>
  </si>
  <si>
    <t>Loyal Textile Mills Ltd.(37AAACL2632C1Z0</t>
  </si>
  <si>
    <t>REPORT 23.11.2023</t>
  </si>
  <si>
    <t>Return</t>
  </si>
  <si>
    <t>Mangla Apparels</t>
  </si>
  <si>
    <t>REPORT 24.11.2023</t>
  </si>
  <si>
    <t>SKR Apparels Private Limited</t>
  </si>
  <si>
    <t>Sara Collection Pvt.Ltd.</t>
  </si>
  <si>
    <t>Shri Ganpati Auto Aid</t>
  </si>
  <si>
    <t>Vamani overseas Pvt Ltd</t>
  </si>
  <si>
    <t>REPORT 25.11.2023</t>
  </si>
  <si>
    <t>LC Bill Discounting (Kotak) Gokaldas Exports</t>
  </si>
  <si>
    <t>Kapur Enterprises</t>
  </si>
  <si>
    <t>SKC Fabric Impex Pvt Ltd</t>
  </si>
  <si>
    <t>REPORT 27.11.2023</t>
  </si>
  <si>
    <t>JUBILEE TEX</t>
  </si>
  <si>
    <t>REPORT 28.11.2023</t>
  </si>
  <si>
    <t>Fabstract Clothing India Pvt Ltd</t>
  </si>
  <si>
    <t>Shalimar International</t>
  </si>
  <si>
    <t>TREDs Supplier Bill Discounting - Sara Textiles</t>
  </si>
  <si>
    <t>Shree Shyam Traders</t>
  </si>
  <si>
    <t>REPORT 29.11.2023</t>
  </si>
  <si>
    <t>Loan Payment Reversal For : 769360000001</t>
  </si>
  <si>
    <t>V T N  Garments</t>
  </si>
  <si>
    <t>SRG Apparels Limited</t>
  </si>
  <si>
    <t>Flu Jeans Private Limited</t>
  </si>
  <si>
    <t>TREDs Interest Charges</t>
  </si>
  <si>
    <t>REPORT 30.11.2023</t>
  </si>
  <si>
    <t>REPORT 01.12.2023</t>
  </si>
  <si>
    <t>Sun Instrumentation &amp; Control</t>
  </si>
  <si>
    <t>REPORT 02.12.2023</t>
  </si>
  <si>
    <t>Incredible Systems</t>
  </si>
  <si>
    <t>Zetwerk Manufacturing Businesses Private Limited</t>
  </si>
  <si>
    <t>REPORT 04.12.2023</t>
  </si>
  <si>
    <t>Shikha Enterprises</t>
  </si>
  <si>
    <t>TREDs Supplier Bill Discounting - KK Corporation</t>
  </si>
  <si>
    <t>Allied Vacuum Systems</t>
  </si>
  <si>
    <t>Treds Discount Charges</t>
  </si>
  <si>
    <t>REPORT 05.12.2023</t>
  </si>
  <si>
    <t>AS Equipment Pvt Ltd</t>
  </si>
  <si>
    <t>Vikrant Singh (Exp.)</t>
  </si>
  <si>
    <t>Punjab Kashmir Finance Limited</t>
  </si>
  <si>
    <t>Membership/Certification Exp.</t>
  </si>
  <si>
    <t>TREDs Bank Charges</t>
  </si>
  <si>
    <t>REPORT 06.12.2023</t>
  </si>
  <si>
    <t>kotak mahindra Bank</t>
  </si>
  <si>
    <t>Shree Lakshmi Motif</t>
  </si>
  <si>
    <t>Dollfus &amp; Muller Dynajet</t>
  </si>
  <si>
    <t>Chaudhary Trading Company (Rice Husk)</t>
  </si>
  <si>
    <t>Adhunik Automation India</t>
  </si>
  <si>
    <t>REPORT 07.12.2023</t>
  </si>
  <si>
    <t>Narang Trading</t>
  </si>
  <si>
    <t>TREDs Supplier Bill Discounting - JMJ Enterprises</t>
  </si>
  <si>
    <t>HCRA</t>
  </si>
  <si>
    <t>REPORT 08.12.2023</t>
  </si>
  <si>
    <t>REPORT 09.12.2023</t>
  </si>
  <si>
    <t>REPORT 11.12.2023</t>
  </si>
  <si>
    <t>Dhall Enterprises &amp; Engineers Pvt. Ltd.</t>
  </si>
  <si>
    <t>Sakshi Enterprises</t>
  </si>
  <si>
    <t>Shivam Shiva Timber Mart</t>
  </si>
  <si>
    <t>ROYAL EXPORTS</t>
  </si>
  <si>
    <t>INT DELAY NEFT CR N23311210545 20231107</t>
  </si>
  <si>
    <t>Treds Charges</t>
  </si>
  <si>
    <t>FACTORING (ICICI)</t>
  </si>
  <si>
    <t>FACTORING (KOTAK)</t>
  </si>
  <si>
    <t>REPORT 12.12.2023</t>
  </si>
  <si>
    <t>Mamta Jain (Loan A/c)</t>
  </si>
  <si>
    <t>REPORT 13.12.2023</t>
  </si>
  <si>
    <t>Bill Discounting Interest</t>
  </si>
  <si>
    <t>REPORT 14.12.2023</t>
  </si>
  <si>
    <t>CU Inspection &amp; Certifications Ind Pvt. Ltd.</t>
  </si>
  <si>
    <t>Dixit Tranport Co.</t>
  </si>
  <si>
    <t>Inditex</t>
  </si>
  <si>
    <t>Aviation Technology</t>
  </si>
  <si>
    <t>KANDDDESIGN</t>
  </si>
  <si>
    <t>REPORT 15.12.2023</t>
  </si>
  <si>
    <t>Kotak Bank Credit Card No. 6014 (Ashish Chahar)</t>
  </si>
  <si>
    <t>REPORT 16.12.2023</t>
  </si>
  <si>
    <t>Royal As Trading Company</t>
  </si>
  <si>
    <t>Aditya Kumar Pandey Card No.-2880</t>
  </si>
  <si>
    <t>REPORT 19.12.2023</t>
  </si>
  <si>
    <t>Energyedge Power Trading Pvt Ltd</t>
  </si>
  <si>
    <t>Om Logistics Ltd</t>
  </si>
  <si>
    <t>Gratify Corporate Services Pvt Ltd</t>
  </si>
  <si>
    <t>Cheena &amp; Associates</t>
  </si>
  <si>
    <t>Gee Gee Fabrics Private Limited</t>
  </si>
  <si>
    <t>Krazy Kreators</t>
  </si>
  <si>
    <t>TREDs Supplier Bill Discounting -Cotton Works</t>
  </si>
  <si>
    <t>OM GANPATI TRADERS</t>
  </si>
  <si>
    <t>Treds Int. Charges</t>
  </si>
  <si>
    <t>REPORT 20.12.2023</t>
  </si>
  <si>
    <t>REPORT 21.12.2023</t>
  </si>
  <si>
    <t>GST Reverse Charges</t>
  </si>
  <si>
    <t>Rakesh &amp; Company</t>
  </si>
  <si>
    <t>Ram Bhajan Crane Service</t>
  </si>
  <si>
    <t>Sorabh Traders</t>
  </si>
  <si>
    <t>TREDs Supplier Bill Discounting - Gupta Chemicals</t>
  </si>
  <si>
    <t>TREDs Supplier Bill Discounting - Kk Corporation</t>
  </si>
  <si>
    <t>Apparel Inc</t>
  </si>
  <si>
    <t>REPORT 22.12.2023</t>
  </si>
  <si>
    <t>Richco Exports Pvt Ltd</t>
  </si>
  <si>
    <t>Red Rose Trading Co-Fzco</t>
  </si>
  <si>
    <t>Natural Indigo Ltd</t>
  </si>
  <si>
    <t>AAN CLOTHING PVT LTD</t>
  </si>
  <si>
    <t>REPORT 23..12.2023</t>
  </si>
  <si>
    <t>REPORT 25..12.2023</t>
  </si>
  <si>
    <t>Synchro Electrical Industries</t>
  </si>
  <si>
    <t>Laj Exports Limited</t>
  </si>
  <si>
    <t>Shree Shyam Balaji Traders</t>
  </si>
  <si>
    <t>Rag Trade India  Pvt Ltd</t>
  </si>
  <si>
    <t>Radhamani India Ltd</t>
  </si>
  <si>
    <t>Sarpanch Briks Udyog</t>
  </si>
  <si>
    <t>REPORT 26.12.2023</t>
  </si>
  <si>
    <t>REPORT 27.12.2023</t>
  </si>
  <si>
    <t>Mahesh Bhatia (Imprest A/C)</t>
  </si>
  <si>
    <t>Gagan Fabricator Works</t>
  </si>
  <si>
    <t>S.P Industries</t>
  </si>
  <si>
    <t>Advanced Graphic Systems</t>
  </si>
  <si>
    <t>REPORT 28.12.2023</t>
  </si>
  <si>
    <t>V.D Fashions</t>
  </si>
  <si>
    <t>Bill discounting Interest</t>
  </si>
  <si>
    <t>REPORT 29.12.2023</t>
  </si>
  <si>
    <t>Gainwell Commosales Private Limited</t>
  </si>
  <si>
    <t>Plast India</t>
  </si>
  <si>
    <t>Krizz Retail</t>
  </si>
  <si>
    <t>Happy Hearts Fabrics Solution</t>
  </si>
  <si>
    <t>REPORT 30.12.2023</t>
  </si>
  <si>
    <t>Shri Ram Traders</t>
  </si>
  <si>
    <t>Bill Discounting (Kotak) Factoring Choice Clothing</t>
  </si>
  <si>
    <t>Ganges Apparels India Private Limited</t>
  </si>
  <si>
    <t>Shell Apparels Pvt. Ltd.</t>
  </si>
  <si>
    <t>Axceller</t>
  </si>
  <si>
    <t>TD BKD JAIN CORD INDUSTRIES PRIVATE L 06345652</t>
  </si>
  <si>
    <t>REPORT 02.01.2024</t>
  </si>
  <si>
    <t>Vijay Chemicals Industries</t>
  </si>
  <si>
    <t>FDR NO.</t>
  </si>
  <si>
    <t>Vamani Overseas Private Limited(Noida)</t>
  </si>
  <si>
    <t>Aquarelle India Private Limited</t>
  </si>
  <si>
    <t>REPORT 03.01.2024</t>
  </si>
  <si>
    <t>TREDs Supplier Bill Discounting -Flock Fabs</t>
  </si>
  <si>
    <t>Bharat Tex</t>
  </si>
  <si>
    <t>Kunj Needles Industries</t>
  </si>
  <si>
    <t>Seven Hills International (Bangalore)</t>
  </si>
  <si>
    <t>Minder Trading Co.</t>
  </si>
  <si>
    <t>REPORT 04.01.2024</t>
  </si>
  <si>
    <t>Kaycee Fashion Private Limited</t>
  </si>
  <si>
    <t>Group of Surveyors</t>
  </si>
  <si>
    <t>Richa Global Export Pvt Ltd</t>
  </si>
  <si>
    <t>REPORT 05.01.2024</t>
  </si>
  <si>
    <t>Apex Apparels</t>
  </si>
  <si>
    <t>Krishna Electronics World (06BANPM3456J1ZC)</t>
  </si>
  <si>
    <t>REPORT 06.01.2024</t>
  </si>
  <si>
    <t>New North South Logistics</t>
  </si>
  <si>
    <t>Jyothi Laxmee Textiles</t>
  </si>
  <si>
    <t>Shree Shyam</t>
  </si>
  <si>
    <t>REPORT 08.01.2024</t>
  </si>
  <si>
    <t>Zedex Clothing Pvt. Ltd.</t>
  </si>
  <si>
    <t>Om Shri Ganpati Traders</t>
  </si>
  <si>
    <t>Tred Int. Charges</t>
  </si>
  <si>
    <t>REPORT 09.01.2024</t>
  </si>
  <si>
    <t>Pushpa Devi</t>
  </si>
  <si>
    <t>Anaemica Art Centre</t>
  </si>
  <si>
    <t>Shree Shyam Granding</t>
  </si>
  <si>
    <t>Manish Maheshwari (EXP)</t>
  </si>
  <si>
    <t>REPORT 10.01.2024</t>
  </si>
  <si>
    <t>Sujeet Kumar Mishra</t>
  </si>
  <si>
    <t>Shree Raj Apperals</t>
  </si>
  <si>
    <t>Rahul Engineering Works</t>
  </si>
  <si>
    <t>INNOLAB INDIA (NUH)</t>
  </si>
  <si>
    <t>Sangam Instruments</t>
  </si>
  <si>
    <t>REPORT 11.01.2024</t>
  </si>
  <si>
    <t>Vintex Rubber Industries</t>
  </si>
  <si>
    <t>The Stevenson Group</t>
  </si>
  <si>
    <t>Arihant Creation P Ltd</t>
  </si>
  <si>
    <t>REPORT 12.01.2024</t>
  </si>
  <si>
    <t>REPORT 13.01.2024</t>
  </si>
  <si>
    <t>Jain Cord (ICICI CA)</t>
  </si>
  <si>
    <t>Loan Account Payments For : 769360000003</t>
  </si>
  <si>
    <t>S K Weaving Pvt. Ltd.(Delhi) Deb.</t>
  </si>
  <si>
    <t>Gayatritex Engineers Pvt Ltd</t>
  </si>
  <si>
    <t>Anubhav Apparels B-16 Pvt Ltd</t>
  </si>
  <si>
    <t>REPORT 15.01.2024</t>
  </si>
  <si>
    <t>Treds Bank Charges</t>
  </si>
  <si>
    <t>REPORT 16.01.2024</t>
  </si>
  <si>
    <t>REPORT 17.01.2024</t>
  </si>
  <si>
    <t>GST Reverse Charge</t>
  </si>
  <si>
    <t>REPORT 18.01.2024</t>
  </si>
  <si>
    <t>Kansal Buildmart LLP</t>
  </si>
  <si>
    <t>Festo India Pvt Ltd</t>
  </si>
  <si>
    <t>Creative Garments Pvt. Ltd. (Mumbai)</t>
  </si>
  <si>
    <t>INT DELAY NEFT CR BARBW2334630244820231212</t>
  </si>
  <si>
    <t>Himanshu Apparels Pvt Ltd</t>
  </si>
  <si>
    <t>REPORT 19.01.2024</t>
  </si>
  <si>
    <t>Akash Road Carriers</t>
  </si>
  <si>
    <t>Vinayak Fabrics</t>
  </si>
  <si>
    <t>REPORT 20.01.2024</t>
  </si>
  <si>
    <t>REPORT 22.01.2024</t>
  </si>
  <si>
    <t>Axis Bank Credit Card No. 9088 (Anil Jain)</t>
  </si>
  <si>
    <t>RECT OF GST:1143XFD26179824</t>
  </si>
  <si>
    <t>Magnum Casuals International Pvt. Ltd.</t>
  </si>
  <si>
    <t>REPORT 23.01.2024</t>
  </si>
  <si>
    <t>Aakash Enterprises</t>
  </si>
  <si>
    <t>Dev Fab Chem</t>
  </si>
  <si>
    <t>Mayur Reeds and Healds Pvt Ltd</t>
  </si>
  <si>
    <t>Export Receipt</t>
  </si>
  <si>
    <t>REPORT 24.01.2024</t>
  </si>
  <si>
    <t>Gelong Industries</t>
  </si>
  <si>
    <t>Kenpark Bangladesh Apparel Pvt Ltd</t>
  </si>
  <si>
    <t>Monark Software (P) Ltd (UP) Noida</t>
  </si>
  <si>
    <t>Vidhi Electric Company</t>
  </si>
  <si>
    <t>Geo-Chem Laboratories Private</t>
  </si>
  <si>
    <t>Sachdeva Fabric World Pvt Ltd</t>
  </si>
  <si>
    <t>REPORT 25.01.2024</t>
  </si>
  <si>
    <t>Natraj Tent &amp; Decorators</t>
  </si>
  <si>
    <t>Sunbik Electrosys Pvt Ltd</t>
  </si>
  <si>
    <t>Shiv Sai Embroideries</t>
  </si>
  <si>
    <t>Mystique Chocolates</t>
  </si>
  <si>
    <t>Alpine Expo Tex Pvt. Ltd.</t>
  </si>
  <si>
    <t>REPORT 27.01.2024</t>
  </si>
  <si>
    <t>Refund Under EPCG</t>
  </si>
  <si>
    <t>REPORT 29.01.2024</t>
  </si>
  <si>
    <t>REPORT 30.01.2024</t>
  </si>
  <si>
    <t>Shree Cement Ltd</t>
  </si>
  <si>
    <t>Usha Garments Mfg. Co. (P) Ltd.</t>
  </si>
  <si>
    <t>Luxmi Trading Company (Rice Husk)</t>
  </si>
  <si>
    <t>REPORT 31.01.2024</t>
  </si>
  <si>
    <t>TRFR TO:FCL RECOVERY 603091028576</t>
  </si>
  <si>
    <t>Radnik Auto Exports</t>
  </si>
  <si>
    <t>Swastik Interior</t>
  </si>
  <si>
    <t>REPORT 01.02.2024</t>
  </si>
  <si>
    <t>Wrecker Jeans &amp; Casuals Pvt. Ltd.</t>
  </si>
  <si>
    <t>Income Tax Refund FY 2021-22</t>
  </si>
  <si>
    <t>GST Payable</t>
  </si>
  <si>
    <t>Anubhav Apparels pvt Ltd</t>
  </si>
  <si>
    <t>REPORT 02.02.2024</t>
  </si>
  <si>
    <t>Alpha Clothing Limited</t>
  </si>
  <si>
    <t>Aarchee, 03.02.2024</t>
  </si>
  <si>
    <t>REPORT 03.02.2024</t>
  </si>
  <si>
    <t>REPORT 05.02.2024</t>
  </si>
  <si>
    <t>Fine Weaves (07AAGPM1025M1ZR)</t>
  </si>
  <si>
    <t>Aarchee, 06.02.2024</t>
  </si>
  <si>
    <t>Saitex international</t>
  </si>
  <si>
    <t>REPORT 06.02.2024</t>
  </si>
  <si>
    <t>GRAPEVINE DESIGNS</t>
  </si>
  <si>
    <t>Sumithra Hasalaka (PTE) Ltd.</t>
  </si>
  <si>
    <t>Jay Jay Mills Lanka Pvt. Ltd.</t>
  </si>
  <si>
    <t>Orit Trading Lanka Pvt Ltd</t>
  </si>
  <si>
    <t>Venkateswara Textile</t>
  </si>
  <si>
    <t>Aarchee, 10.02.2024</t>
  </si>
  <si>
    <t>REPORT 07.02.2024</t>
  </si>
  <si>
    <t>Hukam Singh Enterprises</t>
  </si>
  <si>
    <t>Strange Kraft</t>
  </si>
  <si>
    <t>CHOUDHARY GARMENTS</t>
  </si>
  <si>
    <t>STOCK HOLDING CORPORATION</t>
  </si>
  <si>
    <t>REPORT 08.02.2024</t>
  </si>
  <si>
    <t>Aerolam Insulations Pvt Ltd.</t>
  </si>
  <si>
    <t>Krohne Marshall Pvt. Ltd.</t>
  </si>
  <si>
    <t>Global Adhesive Tapes</t>
  </si>
  <si>
    <t>Gesture Apparels Pvt Ltd</t>
  </si>
  <si>
    <t>REPORT 09.02.2024</t>
  </si>
  <si>
    <t>Meet Tyres</t>
  </si>
  <si>
    <t>Silver Crest Clothing Pvt Ltd</t>
  </si>
  <si>
    <t>Grapevine Designs</t>
  </si>
  <si>
    <t>REPORT 10.02.2024</t>
  </si>
  <si>
    <t xml:space="preserve">Kotak Mahindra Bank Ltd.-Jaincord </t>
  </si>
  <si>
    <t>ICICI BANK - 769351000003 (CC)-Jaincord</t>
  </si>
  <si>
    <t>REPORT 12.02.2024</t>
  </si>
  <si>
    <t>Indigo Multifab Pvt. Ltd.(Debtors)</t>
  </si>
  <si>
    <t>Ambuja Cements Limited (08AAACG0569P1Z7)</t>
  </si>
  <si>
    <t>REPORT 13.02.2024</t>
  </si>
  <si>
    <t>Drexel Electronics &amp; Engg.Products Pvt Ltd</t>
  </si>
  <si>
    <t>YK Autoworld</t>
  </si>
  <si>
    <t>REPORT 14.02.2024</t>
  </si>
  <si>
    <t>Defy Motors</t>
  </si>
  <si>
    <t>REPORT 15.02.2024</t>
  </si>
  <si>
    <t>Aesthetic Living Merchants Pvt Ltd.</t>
  </si>
  <si>
    <t>Arushi Knitwear</t>
  </si>
  <si>
    <t>Action Construction Equipment Ltd.</t>
  </si>
  <si>
    <t>Shree Shakti Krupa Industries</t>
  </si>
  <si>
    <t>PRET INTERPRET CLOTHING PVT LTD</t>
  </si>
  <si>
    <t>SIARN DESIGNS PRIVATE LIMITED</t>
  </si>
  <si>
    <t>REPORT 16.02.2024</t>
  </si>
  <si>
    <t>Silver Spark Apparel Ltd. - Unit II</t>
  </si>
  <si>
    <t>Renuka Exports P Ltd.</t>
  </si>
  <si>
    <t>Tyagi Traders</t>
  </si>
  <si>
    <t>M/s Fashion (06DLKPA1014C1ZZ)</t>
  </si>
  <si>
    <t>TRANSKNITS</t>
  </si>
  <si>
    <t>REPORT 17.02.2024</t>
  </si>
  <si>
    <t>Berry Tex Pvt. Ltd.(Debtors)</t>
  </si>
  <si>
    <t>R B Wovens Pvt Ltd</t>
  </si>
  <si>
    <t>REPORT 19.02.2024</t>
  </si>
  <si>
    <t>VP Precon LLP</t>
  </si>
  <si>
    <t>Jyoti General Store</t>
  </si>
  <si>
    <t>Hukam Chand Gupta Fabrics Pvt Ltd (Debtors)</t>
  </si>
  <si>
    <t>Jaidka Woollen &amp; Hosiery Mills Pvt. Ltd</t>
  </si>
  <si>
    <t>Mangla Apparels India Pvt Limited</t>
  </si>
  <si>
    <t>Loan Payment</t>
  </si>
  <si>
    <t>REPORT 20.02.2024</t>
  </si>
  <si>
    <t>Kamalesh Yadav</t>
  </si>
  <si>
    <t>Ajeet Singh (Contractor)</t>
  </si>
  <si>
    <t>Royal Exports</t>
  </si>
  <si>
    <t>Mahakal Traders</t>
  </si>
  <si>
    <t>REPORT 21.02.2024</t>
  </si>
  <si>
    <t>Silver Spark Apparel Limited</t>
  </si>
  <si>
    <t>Obeetee Pvt. Ltd.</t>
  </si>
  <si>
    <t>ICICI BANK -769305000143 (CA) Jain Cord</t>
  </si>
  <si>
    <t>JAIN CORD INDUSTRIES PVT. LTD. (ICICI)-CA</t>
  </si>
  <si>
    <t>JAIN CORD INDUSTRIES PVT. LTD. (ICICI)-CC</t>
  </si>
  <si>
    <t>Law Chamber of Adarsh Gupta</t>
  </si>
  <si>
    <t>Defy Motors Pvt. Ltd.</t>
  </si>
  <si>
    <t>REPORT 22.02.2024</t>
  </si>
  <si>
    <t>Krishna Associates</t>
  </si>
  <si>
    <t>R &amp; R International</t>
  </si>
  <si>
    <t>Kotak Mahindra Bank Ltd. (Jain Cord)</t>
  </si>
  <si>
    <t>Pentex Ltd</t>
  </si>
  <si>
    <t>BILL ID:[1143OBD00006724]:REALISE</t>
  </si>
  <si>
    <t>Jiva Designs Pvt. Ltd.</t>
  </si>
  <si>
    <t>S K Weaving Pvt. Ltd.(Delhi)</t>
  </si>
  <si>
    <t>GTC Naturz Resources Pvt Ltd</t>
  </si>
  <si>
    <t>REPORT 23.02.2024</t>
  </si>
  <si>
    <t>Fenzy Styles Private Limited</t>
  </si>
  <si>
    <t>Techno Craft</t>
  </si>
  <si>
    <t>Eam Maliban</t>
  </si>
  <si>
    <t>REPORT 24.02.2024</t>
  </si>
  <si>
    <t>Shri Balaji Associates</t>
  </si>
  <si>
    <t>Oshigo Corporation</t>
  </si>
  <si>
    <t>R.K. Trading Co.</t>
  </si>
  <si>
    <t>Crisil Ratings Limited</t>
  </si>
  <si>
    <t>Skyline Apparels Pvt Ltd</t>
  </si>
  <si>
    <t>REPORT 26.02.2024</t>
  </si>
  <si>
    <t>Airmax &amp; Aira Enterprises</t>
  </si>
  <si>
    <t>S. K. Industrial Services</t>
  </si>
  <si>
    <t>Debtors Export</t>
  </si>
  <si>
    <t>Sharada Designs Pvt. Ltd.</t>
  </si>
  <si>
    <t>TREDs Supplier Bill Discounting - Eagle Silk Mills</t>
  </si>
  <si>
    <t>TREDs Supplier Bill Discounting - Gagan Fuels</t>
  </si>
  <si>
    <t>Vamani overseas pvt Ltd</t>
  </si>
  <si>
    <t>REPORT 27.02.2024</t>
  </si>
  <si>
    <t>Designer Points India (P) Ltd.</t>
  </si>
  <si>
    <t>Malti Devi (Contractor)</t>
  </si>
  <si>
    <t>Target Technologies</t>
  </si>
  <si>
    <t>ICICI Bank Ltd. A/c No. 000705042821(DELHI)</t>
  </si>
  <si>
    <t>Zamco Apparel Private Limited (Karnataka)</t>
  </si>
  <si>
    <t>Shri Adinath Impex</t>
  </si>
  <si>
    <t>Total</t>
  </si>
  <si>
    <t>REPORT 28.02.2024</t>
  </si>
  <si>
    <t>Bill Discounting (ICICI) Radnik Exports</t>
  </si>
  <si>
    <t>Ashok Rao (Road Contractor)</t>
  </si>
  <si>
    <t>Hotel Merry in Dhaba</t>
  </si>
  <si>
    <t>Bearing Corp. of India</t>
  </si>
  <si>
    <t>REPORT 29.02.2024</t>
  </si>
  <si>
    <t>Harish Textile Engineers Ltd( 24AACCH6330B2Z7)</t>
  </si>
  <si>
    <t>Ambuja Cements Ltd (GST NO 09AAACG0569P1Z5)</t>
  </si>
  <si>
    <t>Purushottam Dass Niranjan Lal</t>
  </si>
  <si>
    <t>Magnum Enterprises</t>
  </si>
  <si>
    <t>REPORT 01.03.2024</t>
  </si>
  <si>
    <t>91-03-2024</t>
  </si>
  <si>
    <t>Paras Lalwani(Exp.)</t>
  </si>
  <si>
    <t>Shubham Mehta (Exp.)</t>
  </si>
  <si>
    <t>01.03.2024</t>
  </si>
  <si>
    <t>Shreejee Textiles</t>
  </si>
  <si>
    <t>REPORT 02.03.2024</t>
  </si>
  <si>
    <t>Singh Security Services</t>
  </si>
  <si>
    <t>Tool Shoppe</t>
  </si>
  <si>
    <t>C.C Marketing</t>
  </si>
  <si>
    <t>MD Civil Contractor</t>
  </si>
  <si>
    <t>02.03.2024</t>
  </si>
  <si>
    <t>Saivana Garments Private Limited</t>
  </si>
  <si>
    <t>Pearls Apparels Pvt Ltd</t>
  </si>
  <si>
    <t>REPORT 04.03.2024</t>
  </si>
  <si>
    <t>V-Care Logistics</t>
  </si>
  <si>
    <t>Ratanmoti Texfab India Pvt Ltd</t>
  </si>
  <si>
    <t>04.03.2024</t>
  </si>
  <si>
    <t>Payment Return</t>
  </si>
  <si>
    <t>Texport industries Pvt Ltd</t>
  </si>
  <si>
    <t>REPORT 05.03.2024</t>
  </si>
  <si>
    <t>The Textile Association(India)-Central Office</t>
  </si>
  <si>
    <t>Protecto Tanks &amp; Vessels Pvt Ltd</t>
  </si>
  <si>
    <t>05.03.2024</t>
  </si>
  <si>
    <t>Fairfax Exports Private Limited</t>
  </si>
  <si>
    <t>REPORT 06.03.2024</t>
  </si>
  <si>
    <t>Sidharath Shutters &amp; Automations</t>
  </si>
  <si>
    <t>Jain Cord - Kotak</t>
  </si>
  <si>
    <t>06.03.2024</t>
  </si>
  <si>
    <t>KOMAR SOURCING LIMITED</t>
  </si>
  <si>
    <t>REPORT 07.03.2024</t>
  </si>
  <si>
    <t>Saifitech Project Solutions</t>
  </si>
  <si>
    <t>Jai Prakash Sharma</t>
  </si>
  <si>
    <t>07.03.2024</t>
  </si>
  <si>
    <t>Bhartiya International Ltd</t>
  </si>
  <si>
    <t>HDFC BANK LTD.CAR LOAN TUCSON(149328019)</t>
  </si>
  <si>
    <t>REPORT 08.03.2024</t>
  </si>
  <si>
    <t>SJ Security Systems Pvt. Ltd.</t>
  </si>
  <si>
    <t>Pratyushi Laptop</t>
  </si>
  <si>
    <t>Rajvitex Industries Pvt Ltd</t>
  </si>
  <si>
    <t>We Elite Interio Creator Pvt Ltd</t>
  </si>
  <si>
    <t>08.03.2024</t>
  </si>
  <si>
    <t>Salary Difference</t>
  </si>
  <si>
    <t>REPORT 09.03.2024</t>
  </si>
  <si>
    <t>Bharti Airtel Limited</t>
  </si>
  <si>
    <t>09.03.2024</t>
  </si>
  <si>
    <t>REPORT 11.03.2024</t>
  </si>
  <si>
    <t>Karma Animal Foundation</t>
  </si>
  <si>
    <t>11.03.2024</t>
  </si>
  <si>
    <t>Fractal Industries Private Limited</t>
  </si>
  <si>
    <t>Summit India</t>
  </si>
  <si>
    <t>Gaurav International (Noida)</t>
  </si>
  <si>
    <t>REPORT 12.03.2024</t>
  </si>
  <si>
    <t>Kamal Kishor (Driver) Kosi</t>
  </si>
  <si>
    <t>12.03.2024</t>
  </si>
  <si>
    <t>Sunrise Enterprises</t>
  </si>
  <si>
    <t>Hari Narayan Singh / Meera Singh</t>
  </si>
  <si>
    <t>REPORT 13.03.2024</t>
  </si>
  <si>
    <t>Paddock's Jeans Ltd.</t>
  </si>
  <si>
    <t>Vikas Transport and Carriers LLP</t>
  </si>
  <si>
    <t>Divyashri Logistics India Pvt. Ltd.</t>
  </si>
  <si>
    <t>13.03.2024</t>
  </si>
  <si>
    <t>Kesari Nandan Enterprises</t>
  </si>
  <si>
    <t>Paramount Products Pvt Ltd (Noida)</t>
  </si>
  <si>
    <t>REPORT 14.03.2024</t>
  </si>
  <si>
    <t>NEFT-SBIN-SBIN124073801746-ITDTAX REF-/ATTN//INB</t>
  </si>
  <si>
    <t>Balaji Sales Corporation</t>
  </si>
  <si>
    <t>14.03.2024</t>
  </si>
  <si>
    <t>APPAREL LINK HK LIMITED</t>
  </si>
  <si>
    <t>Richa Global Exports Pvt ltd</t>
  </si>
  <si>
    <t>REPORT 15.03.2024</t>
  </si>
  <si>
    <t>Raj Narayan Yadav</t>
  </si>
  <si>
    <t>Evapoler Eco Cooling Solutions</t>
  </si>
  <si>
    <t>15.03.2024</t>
  </si>
  <si>
    <t>Concept Clothing Pvt Ltd.</t>
  </si>
  <si>
    <t>REPORT 18.03.2024</t>
  </si>
  <si>
    <t>Jain Cord - ICICI CA</t>
  </si>
  <si>
    <t>Jain Cord - ICICI CC</t>
  </si>
  <si>
    <t>Jain Cord - IOB 4016</t>
  </si>
  <si>
    <t>18.03.2024</t>
  </si>
  <si>
    <t>Ragnik Exports Pvt Ltd</t>
  </si>
  <si>
    <t>DPI Fashions Private Limited</t>
  </si>
  <si>
    <t>DPI Fashions Private Limited ( Noida)</t>
  </si>
  <si>
    <t>M.Sundardas &amp; Sons</t>
  </si>
  <si>
    <t>Kusters Calico Machinery Private Limited</t>
  </si>
  <si>
    <t>Indra Veer Singh</t>
  </si>
  <si>
    <t>Inovic Marmor Techno</t>
  </si>
  <si>
    <t>M A Tyres Care</t>
  </si>
  <si>
    <t>Amit Jain Caterers</t>
  </si>
  <si>
    <t>Guddu Light and Tent House</t>
  </si>
  <si>
    <t>REPORT 19.03.2024</t>
  </si>
  <si>
    <t>19.03.2024</t>
  </si>
  <si>
    <t>Kallam Textiles Ltd (Debors)</t>
  </si>
  <si>
    <t>BVM Overseas Ltd</t>
  </si>
  <si>
    <t>Matrix Designs and industries Pvt Ltd</t>
  </si>
  <si>
    <t>Payment of Reverse Charge</t>
  </si>
  <si>
    <t>REPORT 20.03.2024</t>
  </si>
  <si>
    <t>Ronak Pumps &amp; Valves Pvt Ltd</t>
  </si>
  <si>
    <t>Oma Tech India</t>
  </si>
  <si>
    <t>Shrenuj Clothings</t>
  </si>
  <si>
    <t>U P SLDC Limited</t>
  </si>
  <si>
    <t>Eurofins Assurance India Pvt Ltd</t>
  </si>
  <si>
    <t>20.03.2024</t>
  </si>
  <si>
    <t>REPORT 21.03.2024</t>
  </si>
  <si>
    <t>Mach Mill Engineers</t>
  </si>
  <si>
    <t>Sunil Kumar (Halwai)</t>
  </si>
  <si>
    <t>Pret Interpret Clothing Private Limited</t>
  </si>
  <si>
    <t>21.03.2024</t>
  </si>
  <si>
    <t>Export debtors</t>
  </si>
  <si>
    <t>REPORT 23.03.2024</t>
  </si>
  <si>
    <t>23.03.2024</t>
  </si>
  <si>
    <t>Mittal Fabrics</t>
  </si>
  <si>
    <t>Supreme Sales Corporation</t>
  </si>
  <si>
    <t>Stylem International (India) Private Limited</t>
  </si>
  <si>
    <t>Samta Trading Corp.</t>
  </si>
  <si>
    <t>Oak Design</t>
  </si>
  <si>
    <t>ILink Development Services</t>
  </si>
  <si>
    <t>Fortune Syntex Pvt.Ltd. (Sundry Creditors)</t>
  </si>
  <si>
    <t>Arya Sales &amp; Service</t>
  </si>
  <si>
    <t>Angel Mechtronic</t>
  </si>
  <si>
    <t>Aditya Automobiles</t>
  </si>
  <si>
    <t>Yamuna Machine Works Ltd</t>
  </si>
  <si>
    <t>REPORT 26.03.2024</t>
  </si>
  <si>
    <t>Bill Discounting (ICICI) Factoring Modelama Exports</t>
  </si>
  <si>
    <t>26.03.2024</t>
  </si>
  <si>
    <t>REPORT 27.03.2024</t>
  </si>
  <si>
    <t>27.03.2024</t>
  </si>
  <si>
    <t>Bill discounting int</t>
  </si>
  <si>
    <t>REPORT 28.03.2024</t>
  </si>
  <si>
    <t>Capsave Finance Pvt Ltd</t>
  </si>
  <si>
    <t>28.03.2024</t>
  </si>
  <si>
    <t>REPORT 29.03.2024</t>
  </si>
  <si>
    <t>Mahavir Singh</t>
  </si>
  <si>
    <t>29.03.2024</t>
  </si>
  <si>
    <t>Chirag Creation</t>
  </si>
  <si>
    <t>Bill Discount Interest</t>
  </si>
  <si>
    <t>REPORT 30.03.2024</t>
  </si>
  <si>
    <t>V.V Enterprises</t>
  </si>
  <si>
    <t>Paged Up Web Solution</t>
  </si>
  <si>
    <t>30.03.2024</t>
  </si>
  <si>
    <t>REPORT 01.04.2024</t>
  </si>
  <si>
    <t>Radnik Exports Global Private Limited</t>
  </si>
  <si>
    <t>Bank Receipt - Kosi</t>
  </si>
  <si>
    <t>Bank Receipt - GGN</t>
  </si>
  <si>
    <t>Bank Payment - HO</t>
  </si>
  <si>
    <t>Uma Tex Fab (Pur.)</t>
  </si>
  <si>
    <t xml:space="preserve">Bank Payment </t>
  </si>
  <si>
    <t xml:space="preserve">Bank Receipt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</si>
</sst>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 * #,##0.00_ ;_ * \-#,##0.00_ ;_ * &quot;-&quot;??_ ;_ @_ "/>
    <numFmt numFmtId="164" formatCode="_(* #,##0.00_);_(* \(#,##0.00\);_(* &quot;-&quot;??_);_(@_)"/>
    <numFmt numFmtId="165" formatCode="#.##\ &quot;Lacs&quot;"/>
    <numFmt numFmtId="166" formatCode="mmm/yyyy"/>
    <numFmt numFmtId="167" formatCode="&quot;&quot;0"/>
    <numFmt numFmtId="168" formatCode="&quot;&quot;0.00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u/>
      <sz val="12"/>
      <name val="Arial"/>
      <family val="2"/>
    </font>
    <font>
      <b/>
      <sz val="10"/>
      <name val="Arial"/>
      <family val="2"/>
    </font>
    <font>
      <sz val="9"/>
      <color theme="1"/>
      <name val="Arial"/>
      <family val="2"/>
    </font>
    <font>
      <sz val="10"/>
      <color rgb="FF00000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b/>
      <sz val="9"/>
      <color theme="1"/>
      <name val="Arial"/>
      <family val="2"/>
    </font>
    <font>
      <b/>
      <sz val="9"/>
      <name val="Arial"/>
      <family val="2"/>
    </font>
    <font>
      <sz val="24"/>
      <color rgb="FFFF0000"/>
      <name val="Arial"/>
      <family val="2"/>
    </font>
    <font>
      <b/>
      <sz val="10"/>
      <color rgb="FF000000"/>
      <name val="Arial"/>
      <family val="2"/>
    </font>
    <font>
      <b/>
      <sz val="24"/>
      <color rgb="FFFF0000"/>
      <name val="Arial"/>
      <family val="2"/>
    </font>
    <font>
      <sz val="12"/>
      <name val="Arial"/>
      <family val="2"/>
    </font>
    <font>
      <b/>
      <u val="singleAccounting"/>
      <sz val="10"/>
      <name val="Arial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2" fillId="0" borderId="0"/>
  </cellStyleXfs>
  <cellXfs count="222">
    <xf numFmtId="0" fontId="0" fillId="0" borderId="0" xfId="0"/>
    <xf numFmtId="0" fontId="2" fillId="0" borderId="0" xfId="2"/>
    <xf numFmtId="43" fontId="2" fillId="0" borderId="0" xfId="1" applyFont="1"/>
    <xf numFmtId="49" fontId="4" fillId="0" borderId="2" xfId="2" applyNumberFormat="1" applyFont="1" applyBorder="1" applyAlignment="1">
      <alignment horizontal="left" vertical="top"/>
    </xf>
    <xf numFmtId="49" fontId="4" fillId="0" borderId="2" xfId="2" applyNumberFormat="1" applyFont="1" applyBorder="1" applyAlignment="1">
      <alignment horizontal="left" vertical="top" indent="4"/>
    </xf>
    <xf numFmtId="43" fontId="2" fillId="0" borderId="2" xfId="1" applyFont="1" applyBorder="1" applyAlignment="1">
      <alignment horizontal="left" vertical="top"/>
    </xf>
    <xf numFmtId="43" fontId="4" fillId="0" borderId="2" xfId="1" applyFont="1" applyBorder="1" applyAlignment="1">
      <alignment horizontal="center" vertical="top"/>
    </xf>
    <xf numFmtId="43" fontId="4" fillId="0" borderId="2" xfId="1" applyFont="1" applyBorder="1" applyAlignment="1">
      <alignment horizontal="right" vertical="top"/>
    </xf>
    <xf numFmtId="15" fontId="5" fillId="0" borderId="0" xfId="0" applyNumberFormat="1" applyFont="1" applyAlignment="1">
      <alignment horizontal="right" vertical="top"/>
    </xf>
    <xf numFmtId="49" fontId="2" fillId="0" borderId="0" xfId="2" applyNumberFormat="1" applyAlignment="1">
      <alignment horizontal="center" vertical="top"/>
    </xf>
    <xf numFmtId="43" fontId="2" fillId="0" borderId="0" xfId="1" applyFont="1" applyBorder="1" applyAlignment="1">
      <alignment horizontal="left" vertical="top"/>
    </xf>
    <xf numFmtId="43" fontId="6" fillId="0" borderId="0" xfId="1" applyFont="1" applyBorder="1" applyAlignment="1">
      <alignment horizontal="center" vertical="center"/>
    </xf>
    <xf numFmtId="43" fontId="2" fillId="0" borderId="0" xfId="1" applyFont="1" applyBorder="1" applyAlignment="1">
      <alignment horizontal="right" vertical="top"/>
    </xf>
    <xf numFmtId="43" fontId="4" fillId="0" borderId="0" xfId="1" applyFont="1"/>
    <xf numFmtId="43" fontId="2" fillId="0" borderId="0" xfId="1" applyFont="1" applyAlignment="1">
      <alignment horizontal="left"/>
    </xf>
    <xf numFmtId="43" fontId="2" fillId="0" borderId="3" xfId="1" quotePrefix="1" applyFont="1" applyBorder="1" applyAlignment="1">
      <alignment horizontal="center" vertical="top"/>
    </xf>
    <xf numFmtId="43" fontId="2" fillId="0" borderId="3" xfId="1" applyFont="1" applyBorder="1" applyAlignment="1">
      <alignment vertical="top"/>
    </xf>
    <xf numFmtId="0" fontId="2" fillId="0" borderId="0" xfId="2" applyAlignment="1">
      <alignment horizontal="left" vertical="top"/>
    </xf>
    <xf numFmtId="49" fontId="2" fillId="0" borderId="0" xfId="2" applyNumberFormat="1" applyAlignment="1">
      <alignment vertical="top"/>
    </xf>
    <xf numFmtId="43" fontId="2" fillId="0" borderId="0" xfId="1" applyFont="1" applyAlignment="1">
      <alignment horizontal="left" vertical="top"/>
    </xf>
    <xf numFmtId="43" fontId="4" fillId="0" borderId="1" xfId="1" applyFont="1" applyBorder="1" applyAlignment="1">
      <alignment horizontal="center" vertical="top"/>
    </xf>
    <xf numFmtId="43" fontId="4" fillId="0" borderId="1" xfId="1" applyFont="1" applyBorder="1" applyAlignment="1">
      <alignment horizontal="right" vertical="top"/>
    </xf>
    <xf numFmtId="43" fontId="2" fillId="0" borderId="0" xfId="1" applyFont="1" applyAlignment="1">
      <alignment horizontal="right" vertical="top"/>
    </xf>
    <xf numFmtId="0" fontId="4" fillId="0" borderId="0" xfId="2" applyFont="1"/>
    <xf numFmtId="0" fontId="2" fillId="0" borderId="0" xfId="2" applyAlignment="1">
      <alignment horizontal="left"/>
    </xf>
    <xf numFmtId="43" fontId="2" fillId="0" borderId="0" xfId="1" applyFont="1" applyAlignment="1">
      <alignment horizontal="center"/>
    </xf>
    <xf numFmtId="49" fontId="4" fillId="0" borderId="2" xfId="0" applyNumberFormat="1" applyFont="1" applyBorder="1" applyAlignment="1">
      <alignment horizontal="left" vertical="top"/>
    </xf>
    <xf numFmtId="49" fontId="4" fillId="0" borderId="2" xfId="0" applyNumberFormat="1" applyFont="1" applyBorder="1" applyAlignment="1">
      <alignment horizontal="left" vertical="top" indent="4"/>
    </xf>
    <xf numFmtId="49" fontId="2" fillId="0" borderId="0" xfId="0" applyNumberFormat="1" applyFont="1" applyAlignment="1">
      <alignment horizontal="center" vertical="top"/>
    </xf>
    <xf numFmtId="43" fontId="8" fillId="0" borderId="0" xfId="1" applyFont="1" applyAlignment="1">
      <alignment vertical="top"/>
    </xf>
    <xf numFmtId="0" fontId="8" fillId="0" borderId="0" xfId="0" applyFont="1" applyAlignment="1">
      <alignment vertical="top"/>
    </xf>
    <xf numFmtId="43" fontId="8" fillId="0" borderId="0" xfId="1" applyFont="1" applyAlignment="1">
      <alignment horizontal="right" vertical="top"/>
    </xf>
    <xf numFmtId="14" fontId="2" fillId="0" borderId="0" xfId="0" applyNumberFormat="1" applyFont="1" applyAlignment="1">
      <alignment horizontal="left" vertical="top"/>
    </xf>
    <xf numFmtId="0" fontId="2" fillId="0" borderId="0" xfId="0" applyFont="1" applyAlignment="1">
      <alignment vertical="top"/>
    </xf>
    <xf numFmtId="43" fontId="2" fillId="0" borderId="3" xfId="1" applyFont="1" applyBorder="1" applyAlignment="1">
      <alignment horizontal="center" vertical="top"/>
    </xf>
    <xf numFmtId="0" fontId="2" fillId="0" borderId="0" xfId="2" applyAlignment="1">
      <alignment horizontal="center"/>
    </xf>
    <xf numFmtId="0" fontId="2" fillId="0" borderId="0" xfId="0" applyFont="1" applyAlignment="1">
      <alignment horizontal="left" vertical="top"/>
    </xf>
    <xf numFmtId="43" fontId="4" fillId="0" borderId="0" xfId="1" applyFont="1" applyBorder="1" applyAlignment="1">
      <alignment horizontal="center" vertical="top"/>
    </xf>
    <xf numFmtId="43" fontId="4" fillId="0" borderId="0" xfId="1" applyFont="1" applyBorder="1" applyAlignment="1">
      <alignment horizontal="right" vertical="top"/>
    </xf>
    <xf numFmtId="43" fontId="0" fillId="0" borderId="0" xfId="1" applyFont="1"/>
    <xf numFmtId="164" fontId="2" fillId="0" borderId="0" xfId="2" applyNumberFormat="1"/>
    <xf numFmtId="43" fontId="4" fillId="0" borderId="0" xfId="2" applyNumberFormat="1" applyFont="1" applyAlignment="1">
      <alignment horizontal="center"/>
    </xf>
    <xf numFmtId="43" fontId="2" fillId="0" borderId="0" xfId="2" applyNumberFormat="1"/>
    <xf numFmtId="0" fontId="2" fillId="0" borderId="0" xfId="0" applyFont="1" applyAlignment="1">
      <alignment vertical="center"/>
    </xf>
    <xf numFmtId="0" fontId="9" fillId="0" borderId="0" xfId="0" applyFont="1"/>
    <xf numFmtId="43" fontId="8" fillId="2" borderId="0" xfId="1" applyFont="1" applyFill="1" applyAlignment="1">
      <alignment horizontal="center"/>
    </xf>
    <xf numFmtId="43" fontId="8" fillId="2" borderId="0" xfId="1" applyFont="1" applyFill="1"/>
    <xf numFmtId="0" fontId="4" fillId="0" borderId="4" xfId="0" applyFont="1" applyBorder="1" applyAlignment="1">
      <alignment vertical="center"/>
    </xf>
    <xf numFmtId="2" fontId="4" fillId="3" borderId="4" xfId="0" applyNumberFormat="1" applyFont="1" applyFill="1" applyBorder="1" applyAlignment="1">
      <alignment horizontal="right" vertical="center"/>
    </xf>
    <xf numFmtId="43" fontId="7" fillId="2" borderId="0" xfId="1" applyFont="1" applyFill="1" applyAlignment="1">
      <alignment horizontal="center"/>
    </xf>
    <xf numFmtId="43" fontId="4" fillId="0" borderId="4" xfId="1" applyFont="1" applyBorder="1" applyAlignment="1">
      <alignment horizontal="left"/>
    </xf>
    <xf numFmtId="43" fontId="4" fillId="0" borderId="4" xfId="1" applyFont="1" applyBorder="1" applyAlignment="1">
      <alignment horizontal="center"/>
    </xf>
    <xf numFmtId="43" fontId="11" fillId="0" borderId="0" xfId="1" applyFont="1" applyAlignment="1">
      <alignment horizontal="left"/>
    </xf>
    <xf numFmtId="43" fontId="11" fillId="0" borderId="0" xfId="1" applyFont="1"/>
    <xf numFmtId="0" fontId="11" fillId="0" borderId="0" xfId="2" applyFont="1"/>
    <xf numFmtId="165" fontId="4" fillId="0" borderId="4" xfId="1" applyNumberFormat="1" applyFont="1" applyFill="1" applyBorder="1" applyAlignment="1">
      <alignment vertical="center"/>
    </xf>
    <xf numFmtId="43" fontId="4" fillId="0" borderId="0" xfId="1" applyFont="1" applyBorder="1" applyAlignment="1">
      <alignment horizontal="center"/>
    </xf>
    <xf numFmtId="43" fontId="4" fillId="5" borderId="4" xfId="1" applyFont="1" applyFill="1" applyBorder="1" applyAlignment="1">
      <alignment horizontal="center"/>
    </xf>
    <xf numFmtId="43" fontId="4" fillId="5" borderId="4" xfId="1" applyFont="1" applyFill="1" applyBorder="1"/>
    <xf numFmtId="166" fontId="4" fillId="0" borderId="4" xfId="1" quotePrefix="1" applyNumberFormat="1" applyFont="1" applyBorder="1" applyAlignment="1">
      <alignment horizontal="left" indent="12"/>
    </xf>
    <xf numFmtId="43" fontId="4" fillId="0" borderId="4" xfId="1" applyFont="1" applyBorder="1" applyAlignment="1">
      <alignment horizontal="right" vertical="center"/>
    </xf>
    <xf numFmtId="43" fontId="4" fillId="0" borderId="4" xfId="1" applyFont="1" applyBorder="1"/>
    <xf numFmtId="14" fontId="4" fillId="0" borderId="4" xfId="1" quotePrefix="1" applyNumberFormat="1" applyFont="1" applyBorder="1" applyAlignment="1">
      <alignment horizontal="left" indent="12"/>
    </xf>
    <xf numFmtId="166" fontId="4" fillId="0" borderId="7" xfId="1" quotePrefix="1" applyNumberFormat="1" applyFont="1" applyBorder="1" applyAlignment="1">
      <alignment horizontal="left" indent="12"/>
    </xf>
    <xf numFmtId="43" fontId="4" fillId="0" borderId="8" xfId="1" applyFont="1" applyBorder="1" applyAlignment="1">
      <alignment horizontal="center"/>
    </xf>
    <xf numFmtId="43" fontId="4" fillId="0" borderId="7" xfId="1" applyFont="1" applyBorder="1" applyAlignment="1">
      <alignment horizontal="center"/>
    </xf>
    <xf numFmtId="43" fontId="4" fillId="0" borderId="7" xfId="1" applyFont="1" applyBorder="1"/>
    <xf numFmtId="43" fontId="2" fillId="0" borderId="7" xfId="1" applyFont="1" applyBorder="1"/>
    <xf numFmtId="43" fontId="4" fillId="4" borderId="4" xfId="1" applyFont="1" applyFill="1" applyBorder="1" applyAlignment="1">
      <alignment horizontal="center"/>
    </xf>
    <xf numFmtId="43" fontId="4" fillId="0" borderId="0" xfId="1" applyFont="1" applyBorder="1"/>
    <xf numFmtId="43" fontId="2" fillId="0" borderId="0" xfId="1" applyFont="1" applyBorder="1"/>
    <xf numFmtId="0" fontId="4" fillId="6" borderId="4" xfId="2" applyFont="1" applyFill="1" applyBorder="1" applyAlignment="1">
      <alignment horizontal="center"/>
    </xf>
    <xf numFmtId="14" fontId="4" fillId="6" borderId="4" xfId="1" quotePrefix="1" applyNumberFormat="1" applyFont="1" applyFill="1" applyBorder="1" applyAlignment="1">
      <alignment horizontal="left" indent="12"/>
    </xf>
    <xf numFmtId="43" fontId="4" fillId="6" borderId="4" xfId="1" applyFont="1" applyFill="1" applyBorder="1" applyAlignment="1">
      <alignment horizontal="center"/>
    </xf>
    <xf numFmtId="49" fontId="8" fillId="0" borderId="4" xfId="0" applyNumberFormat="1" applyFont="1" applyBorder="1" applyAlignment="1">
      <alignment horizontal="center" vertical="top"/>
    </xf>
    <xf numFmtId="49" fontId="8" fillId="0" borderId="4" xfId="0" applyNumberFormat="1" applyFont="1" applyBorder="1" applyAlignment="1">
      <alignment vertical="top"/>
    </xf>
    <xf numFmtId="49" fontId="8" fillId="0" borderId="0" xfId="0" applyNumberFormat="1" applyFont="1" applyAlignment="1">
      <alignment vertical="top"/>
    </xf>
    <xf numFmtId="0" fontId="12" fillId="4" borderId="4" xfId="0" applyFont="1" applyFill="1" applyBorder="1" applyAlignment="1">
      <alignment vertical="center"/>
    </xf>
    <xf numFmtId="0" fontId="4" fillId="5" borderId="4" xfId="0" applyFont="1" applyFill="1" applyBorder="1" applyAlignment="1">
      <alignment vertical="center"/>
    </xf>
    <xf numFmtId="43" fontId="4" fillId="3" borderId="4" xfId="1" applyFont="1" applyFill="1" applyBorder="1" applyAlignment="1">
      <alignment horizontal="center" vertical="center"/>
    </xf>
    <xf numFmtId="43" fontId="4" fillId="3" borderId="4" xfId="1" applyFont="1" applyFill="1" applyBorder="1" applyAlignment="1">
      <alignment horizontal="center" vertical="center" wrapText="1"/>
    </xf>
    <xf numFmtId="43" fontId="4" fillId="6" borderId="4" xfId="1" applyFont="1" applyFill="1" applyBorder="1" applyAlignment="1">
      <alignment horizontal="center" vertical="center" wrapText="1"/>
    </xf>
    <xf numFmtId="167" fontId="0" fillId="0" borderId="0" xfId="0" applyNumberFormat="1"/>
    <xf numFmtId="43" fontId="8" fillId="5" borderId="9" xfId="1" applyFont="1" applyFill="1" applyBorder="1"/>
    <xf numFmtId="43" fontId="8" fillId="0" borderId="0" xfId="1" applyFont="1" applyAlignment="1">
      <alignment horizontal="center"/>
    </xf>
    <xf numFmtId="43" fontId="11" fillId="0" borderId="0" xfId="1" applyFont="1" applyAlignment="1">
      <alignment horizontal="center"/>
    </xf>
    <xf numFmtId="43" fontId="8" fillId="0" borderId="0" xfId="1" applyFont="1"/>
    <xf numFmtId="15" fontId="5" fillId="0" borderId="4" xfId="0" applyNumberFormat="1" applyFont="1" applyBorder="1" applyAlignment="1">
      <alignment horizontal="right" vertical="top"/>
    </xf>
    <xf numFmtId="43" fontId="8" fillId="0" borderId="4" xfId="1" applyFont="1" applyBorder="1" applyAlignment="1">
      <alignment horizontal="right" vertical="top"/>
    </xf>
    <xf numFmtId="15" fontId="5" fillId="0" borderId="0" xfId="0" applyNumberFormat="1" applyFont="1" applyAlignment="1">
      <alignment horizontal="center" vertical="top"/>
    </xf>
    <xf numFmtId="43" fontId="10" fillId="0" borderId="0" xfId="1" applyFont="1"/>
    <xf numFmtId="15" fontId="13" fillId="0" borderId="0" xfId="0" applyNumberFormat="1" applyFont="1" applyAlignment="1">
      <alignment horizontal="center" vertical="top"/>
    </xf>
    <xf numFmtId="164" fontId="4" fillId="4" borderId="0" xfId="2" applyNumberFormat="1" applyFont="1" applyFill="1" applyAlignment="1">
      <alignment horizontal="center"/>
    </xf>
    <xf numFmtId="49" fontId="8" fillId="0" borderId="0" xfId="0" applyNumberFormat="1" applyFont="1" applyAlignment="1">
      <alignment horizontal="center" vertical="top"/>
    </xf>
    <xf numFmtId="49" fontId="7" fillId="0" borderId="0" xfId="0" applyNumberFormat="1" applyFont="1" applyAlignment="1">
      <alignment vertical="top"/>
    </xf>
    <xf numFmtId="43" fontId="7" fillId="0" borderId="0" xfId="1" applyFont="1" applyAlignment="1">
      <alignment horizontal="right" vertical="top"/>
    </xf>
    <xf numFmtId="43" fontId="4" fillId="0" borderId="0" xfId="1" applyFont="1" applyAlignment="1">
      <alignment horizontal="left" vertical="top"/>
    </xf>
    <xf numFmtId="15" fontId="14" fillId="0" borderId="0" xfId="0" applyNumberFormat="1" applyFont="1" applyAlignment="1">
      <alignment horizontal="center" vertical="top"/>
    </xf>
    <xf numFmtId="49" fontId="4" fillId="0" borderId="0" xfId="2" applyNumberFormat="1" applyFont="1" applyAlignment="1">
      <alignment horizontal="center" vertical="top"/>
    </xf>
    <xf numFmtId="43" fontId="4" fillId="0" borderId="0" xfId="1" applyFont="1" applyAlignment="1">
      <alignment horizontal="center"/>
    </xf>
    <xf numFmtId="0" fontId="7" fillId="0" borderId="0" xfId="0" applyFont="1" applyAlignment="1">
      <alignment vertical="top"/>
    </xf>
    <xf numFmtId="43" fontId="11" fillId="0" borderId="0" xfId="2" applyNumberFormat="1" applyFont="1"/>
    <xf numFmtId="15" fontId="15" fillId="0" borderId="0" xfId="0" applyNumberFormat="1" applyFont="1" applyAlignment="1">
      <alignment horizontal="center" vertical="top"/>
    </xf>
    <xf numFmtId="43" fontId="2" fillId="0" borderId="0" xfId="2" applyNumberFormat="1" applyAlignment="1">
      <alignment horizontal="center"/>
    </xf>
    <xf numFmtId="43" fontId="4" fillId="0" borderId="0" xfId="1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43" fontId="4" fillId="0" borderId="0" xfId="1" applyFont="1" applyFill="1" applyBorder="1" applyAlignment="1">
      <alignment horizontal="center"/>
    </xf>
    <xf numFmtId="2" fontId="4" fillId="0" borderId="5" xfId="0" applyNumberFormat="1" applyFont="1" applyBorder="1" applyAlignment="1">
      <alignment horizontal="right" vertical="center"/>
    </xf>
    <xf numFmtId="0" fontId="4" fillId="2" borderId="4" xfId="0" applyFont="1" applyFill="1" applyBorder="1" applyAlignment="1">
      <alignment vertical="center"/>
    </xf>
    <xf numFmtId="43" fontId="4" fillId="3" borderId="4" xfId="1" applyFont="1" applyFill="1" applyBorder="1" applyAlignment="1">
      <alignment horizontal="center"/>
    </xf>
    <xf numFmtId="43" fontId="10" fillId="7" borderId="0" xfId="1" applyFont="1" applyFill="1"/>
    <xf numFmtId="2" fontId="4" fillId="0" borderId="4" xfId="0" applyNumberFormat="1" applyFont="1" applyBorder="1" applyAlignment="1">
      <alignment horizontal="right" vertical="center"/>
    </xf>
    <xf numFmtId="43" fontId="16" fillId="0" borderId="0" xfId="1" applyFont="1" applyFill="1" applyAlignment="1"/>
    <xf numFmtId="43" fontId="4" fillId="6" borderId="4" xfId="1" applyFont="1" applyFill="1" applyBorder="1"/>
    <xf numFmtId="17" fontId="4" fillId="0" borderId="0" xfId="1" applyNumberFormat="1" applyFont="1"/>
    <xf numFmtId="43" fontId="4" fillId="0" borderId="4" xfId="1" applyFont="1" applyFill="1" applyBorder="1"/>
    <xf numFmtId="43" fontId="2" fillId="0" borderId="0" xfId="1" applyFont="1" applyFill="1" applyAlignment="1">
      <alignment horizontal="center"/>
    </xf>
    <xf numFmtId="43" fontId="2" fillId="0" borderId="0" xfId="1" applyFont="1" applyFill="1" applyAlignment="1">
      <alignment horizontal="center" vertical="center"/>
    </xf>
    <xf numFmtId="43" fontId="4" fillId="2" borderId="4" xfId="1" applyFont="1" applyFill="1" applyBorder="1"/>
    <xf numFmtId="43" fontId="4" fillId="0" borderId="0" xfId="1" applyFont="1" applyFill="1" applyAlignment="1">
      <alignment horizontal="center"/>
    </xf>
    <xf numFmtId="15" fontId="13" fillId="0" borderId="4" xfId="0" applyNumberFormat="1" applyFont="1" applyBorder="1" applyAlignment="1">
      <alignment horizontal="center" vertical="top"/>
    </xf>
    <xf numFmtId="43" fontId="4" fillId="0" borderId="0" xfId="1" applyFont="1" applyBorder="1" applyAlignment="1">
      <alignment horizontal="left" vertical="top"/>
    </xf>
    <xf numFmtId="43" fontId="17" fillId="0" borderId="0" xfId="1" applyFont="1" applyBorder="1" applyAlignment="1">
      <alignment horizontal="center" vertical="center"/>
    </xf>
    <xf numFmtId="43" fontId="18" fillId="0" borderId="0" xfId="1" applyFont="1" applyFill="1" applyAlignment="1"/>
    <xf numFmtId="43" fontId="2" fillId="0" borderId="0" xfId="1" applyFont="1" applyAlignment="1">
      <alignment vertical="center"/>
    </xf>
    <xf numFmtId="43" fontId="2" fillId="0" borderId="0" xfId="1" applyFont="1" applyFill="1" applyBorder="1" applyAlignment="1">
      <alignment horizontal="center"/>
    </xf>
    <xf numFmtId="43" fontId="8" fillId="0" borderId="0" xfId="1" applyFont="1" applyBorder="1" applyAlignment="1">
      <alignment horizontal="center"/>
    </xf>
    <xf numFmtId="15" fontId="8" fillId="0" borderId="0" xfId="0" applyNumberFormat="1" applyFont="1" applyAlignment="1">
      <alignment horizontal="center" vertical="top"/>
    </xf>
    <xf numFmtId="15" fontId="2" fillId="0" borderId="0" xfId="0" applyNumberFormat="1" applyFont="1" applyAlignment="1">
      <alignment horizontal="center" vertical="top"/>
    </xf>
    <xf numFmtId="43" fontId="8" fillId="0" borderId="0" xfId="1" applyFont="1" applyBorder="1" applyAlignment="1">
      <alignment horizontal="right" vertical="top"/>
    </xf>
    <xf numFmtId="43" fontId="11" fillId="0" borderId="0" xfId="1" applyFont="1" applyFill="1" applyAlignment="1"/>
    <xf numFmtId="15" fontId="7" fillId="0" borderId="0" xfId="0" applyNumberFormat="1" applyFont="1" applyAlignment="1">
      <alignment horizontal="center" vertical="top"/>
    </xf>
    <xf numFmtId="15" fontId="4" fillId="0" borderId="0" xfId="0" applyNumberFormat="1" applyFont="1" applyAlignment="1">
      <alignment horizontal="center" vertical="top"/>
    </xf>
    <xf numFmtId="43" fontId="7" fillId="0" borderId="0" xfId="1" applyFont="1" applyBorder="1" applyAlignment="1">
      <alignment horizontal="center"/>
    </xf>
    <xf numFmtId="43" fontId="7" fillId="0" borderId="0" xfId="1" applyFont="1" applyBorder="1" applyAlignment="1">
      <alignment horizontal="right" vertical="top"/>
    </xf>
    <xf numFmtId="43" fontId="2" fillId="0" borderId="0" xfId="1" applyFont="1" applyFill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43" fontId="11" fillId="0" borderId="0" xfId="1" applyFont="1" applyBorder="1" applyAlignment="1">
      <alignment horizontal="center" vertical="center"/>
    </xf>
    <xf numFmtId="43" fontId="8" fillId="0" borderId="0" xfId="1" applyFont="1" applyFill="1" applyAlignment="1">
      <alignment horizontal="right" vertical="top"/>
    </xf>
    <xf numFmtId="43" fontId="2" fillId="0" borderId="0" xfId="1" applyFont="1" applyFill="1" applyBorder="1"/>
    <xf numFmtId="49" fontId="2" fillId="0" borderId="0" xfId="0" applyNumberFormat="1" applyFont="1" applyAlignment="1">
      <alignment vertical="top"/>
    </xf>
    <xf numFmtId="43" fontId="2" fillId="0" borderId="0" xfId="1" applyFont="1" applyFill="1" applyAlignment="1"/>
    <xf numFmtId="43" fontId="6" fillId="0" borderId="0" xfId="1" applyFont="1" applyFill="1" applyBorder="1" applyAlignment="1">
      <alignment horizontal="center" vertical="center"/>
    </xf>
    <xf numFmtId="43" fontId="2" fillId="0" borderId="0" xfId="1" applyFont="1" applyFill="1"/>
    <xf numFmtId="43" fontId="4" fillId="0" borderId="0" xfId="1" applyFont="1" applyFill="1" applyBorder="1"/>
    <xf numFmtId="43" fontId="2" fillId="0" borderId="0" xfId="1" applyFont="1" applyFill="1" applyBorder="1" applyAlignment="1">
      <alignment horizontal="left" vertical="top"/>
    </xf>
    <xf numFmtId="43" fontId="8" fillId="0" borderId="0" xfId="1" applyFont="1" applyFill="1"/>
    <xf numFmtId="43" fontId="7" fillId="0" borderId="0" xfId="1" applyFont="1"/>
    <xf numFmtId="43" fontId="2" fillId="0" borderId="0" xfId="1" applyFont="1" applyBorder="1" applyAlignment="1">
      <alignment horizont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164" fontId="8" fillId="0" borderId="0" xfId="0" applyNumberFormat="1" applyFont="1" applyAlignment="1">
      <alignment vertical="top"/>
    </xf>
    <xf numFmtId="43" fontId="19" fillId="0" borderId="0" xfId="1" applyFont="1" applyFill="1" applyAlignment="1">
      <alignment horizontal="center" vertical="center"/>
    </xf>
    <xf numFmtId="43" fontId="7" fillId="0" borderId="0" xfId="1" applyFont="1" applyFill="1" applyAlignment="1">
      <alignment horizontal="center"/>
    </xf>
    <xf numFmtId="43" fontId="8" fillId="0" borderId="0" xfId="1" applyFont="1" applyFill="1" applyAlignment="1">
      <alignment horizontal="center"/>
    </xf>
    <xf numFmtId="43" fontId="4" fillId="0" borderId="0" xfId="2" applyNumberFormat="1" applyFont="1"/>
    <xf numFmtId="43" fontId="8" fillId="4" borderId="0" xfId="1" applyFont="1" applyFill="1" applyAlignment="1"/>
    <xf numFmtId="43" fontId="8" fillId="4" borderId="0" xfId="1" applyFont="1" applyFill="1"/>
    <xf numFmtId="43" fontId="2" fillId="4" borderId="0" xfId="1" applyFont="1" applyFill="1" applyBorder="1"/>
    <xf numFmtId="43" fontId="4" fillId="4" borderId="0" xfId="1" applyFont="1" applyFill="1" applyBorder="1"/>
    <xf numFmtId="15" fontId="5" fillId="0" borderId="0" xfId="0" applyNumberFormat="1" applyFont="1" applyAlignment="1">
      <alignment horizontal="center" vertical="center"/>
    </xf>
    <xf numFmtId="15" fontId="2" fillId="0" borderId="0" xfId="0" applyNumberFormat="1" applyFont="1" applyAlignment="1">
      <alignment horizontal="center" vertical="center"/>
    </xf>
    <xf numFmtId="43" fontId="2" fillId="0" borderId="0" xfId="1" applyFont="1" applyBorder="1" applyAlignment="1">
      <alignment horizontal="left" vertical="center"/>
    </xf>
    <xf numFmtId="43" fontId="8" fillId="0" borderId="0" xfId="1" applyFont="1" applyAlignment="1">
      <alignment vertical="center"/>
    </xf>
    <xf numFmtId="43" fontId="2" fillId="0" borderId="0" xfId="1" applyFont="1" applyBorder="1" applyAlignment="1">
      <alignment vertical="center"/>
    </xf>
    <xf numFmtId="0" fontId="4" fillId="0" borderId="0" xfId="2" applyFont="1" applyAlignment="1">
      <alignment vertical="center"/>
    </xf>
    <xf numFmtId="43" fontId="16" fillId="0" borderId="0" xfId="1" applyFont="1" applyFill="1" applyAlignment="1">
      <alignment vertical="center"/>
    </xf>
    <xf numFmtId="43" fontId="4" fillId="0" borderId="0" xfId="1" applyFont="1" applyAlignment="1">
      <alignment vertical="center"/>
    </xf>
    <xf numFmtId="43" fontId="8" fillId="4" borderId="0" xfId="1" applyFont="1" applyFill="1" applyAlignment="1">
      <alignment vertical="center"/>
    </xf>
    <xf numFmtId="43" fontId="2" fillId="0" borderId="0" xfId="1" applyFont="1" applyFill="1" applyAlignment="1">
      <alignment vertical="center"/>
    </xf>
    <xf numFmtId="43" fontId="8" fillId="0" borderId="0" xfId="1" applyFont="1" applyFill="1" applyAlignment="1">
      <alignment vertical="center"/>
    </xf>
    <xf numFmtId="43" fontId="4" fillId="0" borderId="0" xfId="1" applyFont="1" applyFill="1"/>
    <xf numFmtId="43" fontId="10" fillId="0" borderId="0" xfId="1" applyFont="1" applyFill="1" applyAlignment="1"/>
    <xf numFmtId="43" fontId="7" fillId="0" borderId="0" xfId="1" applyFont="1" applyFill="1" applyAlignment="1">
      <alignment vertical="center"/>
    </xf>
    <xf numFmtId="43" fontId="4" fillId="0" borderId="0" xfId="1" applyFont="1" applyBorder="1" applyAlignment="1">
      <alignment vertical="center"/>
    </xf>
    <xf numFmtId="43" fontId="4" fillId="4" borderId="0" xfId="1" applyFont="1" applyFill="1"/>
    <xf numFmtId="43" fontId="8" fillId="0" borderId="9" xfId="1" applyFont="1" applyFill="1" applyBorder="1"/>
    <xf numFmtId="49" fontId="8" fillId="0" borderId="0" xfId="0" applyNumberFormat="1" applyFont="1" applyAlignment="1">
      <alignment vertical="top" wrapText="1"/>
    </xf>
    <xf numFmtId="43" fontId="20" fillId="4" borderId="0" xfId="1" applyFont="1" applyFill="1" applyBorder="1"/>
    <xf numFmtId="43" fontId="4" fillId="0" borderId="4" xfId="1" applyFont="1" applyFill="1" applyBorder="1" applyAlignment="1">
      <alignment vertical="center"/>
    </xf>
    <xf numFmtId="43" fontId="8" fillId="0" borderId="0" xfId="1" applyFont="1" applyBorder="1" applyAlignment="1">
      <alignment vertical="top"/>
    </xf>
    <xf numFmtId="168" fontId="7" fillId="0" borderId="0" xfId="0" applyNumberFormat="1" applyFont="1" applyAlignment="1">
      <alignment horizontal="right" vertical="top"/>
    </xf>
    <xf numFmtId="49" fontId="7" fillId="0" borderId="4" xfId="0" applyNumberFormat="1" applyFont="1" applyBorder="1" applyAlignment="1">
      <alignment horizontal="center" vertical="top"/>
    </xf>
    <xf numFmtId="43" fontId="6" fillId="0" borderId="0" xfId="1" applyFont="1" applyBorder="1" applyAlignment="1">
      <alignment horizontal="center" vertical="top"/>
    </xf>
    <xf numFmtId="15" fontId="5" fillId="0" borderId="0" xfId="0" applyNumberFormat="1" applyFont="1" applyAlignment="1">
      <alignment horizontal="left" vertical="top"/>
    </xf>
    <xf numFmtId="43" fontId="16" fillId="0" borderId="0" xfId="1" applyFont="1" applyFill="1" applyAlignment="1">
      <alignment horizontal="left" vertical="top"/>
    </xf>
    <xf numFmtId="43" fontId="16" fillId="0" borderId="0" xfId="1" applyFont="1" applyFill="1" applyAlignment="1">
      <alignment horizontal="left"/>
    </xf>
    <xf numFmtId="49" fontId="7" fillId="0" borderId="7" xfId="0" applyNumberFormat="1" applyFont="1" applyBorder="1" applyAlignment="1">
      <alignment vertical="top"/>
    </xf>
    <xf numFmtId="49" fontId="7" fillId="0" borderId="4" xfId="0" applyNumberFormat="1" applyFont="1" applyBorder="1" applyAlignment="1">
      <alignment vertical="top"/>
    </xf>
    <xf numFmtId="168" fontId="7" fillId="0" borderId="7" xfId="0" applyNumberFormat="1" applyFont="1" applyBorder="1" applyAlignment="1">
      <alignment horizontal="right" vertical="top"/>
    </xf>
    <xf numFmtId="167" fontId="7" fillId="0" borderId="7" xfId="0" applyNumberFormat="1" applyFont="1" applyBorder="1" applyAlignment="1">
      <alignment horizontal="right" vertical="top"/>
    </xf>
    <xf numFmtId="168" fontId="7" fillId="0" borderId="4" xfId="0" applyNumberFormat="1" applyFont="1" applyBorder="1" applyAlignment="1">
      <alignment horizontal="right" vertical="top"/>
    </xf>
    <xf numFmtId="167" fontId="7" fillId="0" borderId="4" xfId="0" applyNumberFormat="1" applyFont="1" applyBorder="1" applyAlignment="1">
      <alignment horizontal="right" vertical="top"/>
    </xf>
    <xf numFmtId="0" fontId="0" fillId="0" borderId="4" xfId="0" applyBorder="1"/>
    <xf numFmtId="43" fontId="8" fillId="0" borderId="7" xfId="1" applyFont="1" applyBorder="1" applyAlignment="1">
      <alignment vertical="top"/>
    </xf>
    <xf numFmtId="43" fontId="8" fillId="0" borderId="4" xfId="1" applyFont="1" applyBorder="1" applyAlignment="1">
      <alignment vertical="top"/>
    </xf>
    <xf numFmtId="164" fontId="4" fillId="0" borderId="0" xfId="2" applyNumberFormat="1" applyFont="1"/>
    <xf numFmtId="43" fontId="2" fillId="0" borderId="0" xfId="1" applyFont="1" applyBorder="1" applyAlignment="1">
      <alignment horizontal="right" vertical="center"/>
    </xf>
    <xf numFmtId="49" fontId="2" fillId="0" borderId="0" xfId="2" applyNumberFormat="1" applyAlignment="1">
      <alignment horizontal="center" vertical="center"/>
    </xf>
    <xf numFmtId="0" fontId="2" fillId="0" borderId="0" xfId="2" applyAlignment="1">
      <alignment vertical="center"/>
    </xf>
    <xf numFmtId="0" fontId="8" fillId="0" borderId="0" xfId="0" applyFont="1"/>
    <xf numFmtId="15" fontId="8" fillId="0" borderId="0" xfId="0" applyNumberFormat="1" applyFont="1" applyAlignment="1">
      <alignment horizontal="center" vertical="center"/>
    </xf>
    <xf numFmtId="43" fontId="4" fillId="0" borderId="0" xfId="1" applyFont="1" applyBorder="1" applyAlignment="1">
      <alignment horizontal="right" vertical="center"/>
    </xf>
    <xf numFmtId="15" fontId="7" fillId="0" borderId="0" xfId="0" applyNumberFormat="1" applyFont="1" applyAlignment="1">
      <alignment horizontal="center" vertical="center"/>
    </xf>
    <xf numFmtId="49" fontId="4" fillId="0" borderId="0" xfId="2" applyNumberFormat="1" applyFont="1" applyAlignment="1">
      <alignment horizontal="center" vertical="center"/>
    </xf>
    <xf numFmtId="43" fontId="4" fillId="0" borderId="0" xfId="1" applyFont="1" applyBorder="1" applyAlignment="1">
      <alignment horizontal="left" vertical="center"/>
    </xf>
    <xf numFmtId="43" fontId="7" fillId="0" borderId="0" xfId="1" applyFont="1" applyAlignment="1">
      <alignment vertical="top"/>
    </xf>
    <xf numFmtId="0" fontId="7" fillId="0" borderId="0" xfId="0" applyFont="1"/>
    <xf numFmtId="168" fontId="8" fillId="0" borderId="0" xfId="0" applyNumberFormat="1" applyFont="1" applyAlignment="1">
      <alignment horizontal="right" vertical="top"/>
    </xf>
    <xf numFmtId="49" fontId="5" fillId="0" borderId="0" xfId="0" applyNumberFormat="1" applyFont="1" applyAlignment="1">
      <alignment vertical="top"/>
    </xf>
    <xf numFmtId="49" fontId="14" fillId="0" borderId="0" xfId="0" applyNumberFormat="1" applyFont="1" applyAlignment="1">
      <alignment vertical="top"/>
    </xf>
    <xf numFmtId="0" fontId="3" fillId="0" borderId="0" xfId="2" applyFont="1" applyAlignment="1">
      <alignment horizontal="center"/>
    </xf>
    <xf numFmtId="0" fontId="4" fillId="0" borderId="1" xfId="2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43" fontId="4" fillId="2" borderId="5" xfId="1" applyFont="1" applyFill="1" applyBorder="1" applyAlignment="1">
      <alignment horizontal="center"/>
    </xf>
    <xf numFmtId="43" fontId="4" fillId="2" borderId="2" xfId="1" applyFont="1" applyFill="1" applyBorder="1" applyAlignment="1">
      <alignment horizontal="center"/>
    </xf>
    <xf numFmtId="43" fontId="4" fillId="2" borderId="6" xfId="1" applyFont="1" applyFill="1" applyBorder="1" applyAlignment="1">
      <alignment horizontal="center"/>
    </xf>
    <xf numFmtId="43" fontId="4" fillId="4" borderId="5" xfId="1" applyFont="1" applyFill="1" applyBorder="1" applyAlignment="1">
      <alignment horizontal="center"/>
    </xf>
    <xf numFmtId="43" fontId="4" fillId="4" borderId="2" xfId="1" applyFont="1" applyFill="1" applyBorder="1" applyAlignment="1">
      <alignment horizontal="center"/>
    </xf>
    <xf numFmtId="43" fontId="4" fillId="4" borderId="6" xfId="1" applyFont="1" applyFill="1" applyBorder="1" applyAlignment="1">
      <alignment horizontal="center"/>
    </xf>
    <xf numFmtId="17" fontId="4" fillId="0" borderId="1" xfId="1" applyNumberFormat="1" applyFont="1" applyBorder="1"/>
  </cellXfs>
  <cellStyles count="3">
    <cellStyle name="Comma" xfId="1" builtinId="3"/>
    <cellStyle name="Normal" xfId="0" builtinId="0"/>
    <cellStyle name="Normal 20" xfId="2" xr:uid="{00000000-0005-0000-0000-000002000000}"/>
  </cellStyles>
  <dxfs count="67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theme" Target="theme/theme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styles" Target="styles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sharedStrings" Target="sharedStrings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calcChain" Target="calcChain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microsoft.com/office/2006/relationships/vbaProject" Target="vbaProject.bin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400050</xdr:colOff>
          <xdr:row>0</xdr:row>
          <xdr:rowOff>57150</xdr:rowOff>
        </xdr:from>
        <xdr:to>
          <xdr:col>5</xdr:col>
          <xdr:colOff>371475</xdr:colOff>
          <xdr:row>0</xdr:row>
          <xdr:rowOff>447675</xdr:rowOff>
        </xdr:to>
        <xdr:sp macro="" textlink="">
          <xdr:nvSpPr>
            <xdr:cNvPr id="582657" name="Button 1" hidden="1">
              <a:extLst>
                <a:ext uri="{63B3BB69-23CF-44E3-9099-C40C66FF867C}">
                  <a14:compatExt spid="_x0000_s582657"/>
                </a:ext>
                <a:ext uri="{FF2B5EF4-FFF2-40B4-BE49-F238E27FC236}">
                  <a16:creationId xmlns:a16="http://schemas.microsoft.com/office/drawing/2014/main" id="{00000000-0008-0000-2201-000001E4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0</xdr:row>
          <xdr:rowOff>57150</xdr:rowOff>
        </xdr:from>
        <xdr:to>
          <xdr:col>5</xdr:col>
          <xdr:colOff>1790700</xdr:colOff>
          <xdr:row>0</xdr:row>
          <xdr:rowOff>447675</xdr:rowOff>
        </xdr:to>
        <xdr:sp macro="" textlink="">
          <xdr:nvSpPr>
            <xdr:cNvPr id="582658" name="Button 2" hidden="1">
              <a:extLst>
                <a:ext uri="{63B3BB69-23CF-44E3-9099-C40C66FF867C}">
                  <a14:compatExt spid="_x0000_s582658"/>
                </a:ext>
                <a:ext uri="{FF2B5EF4-FFF2-40B4-BE49-F238E27FC236}">
                  <a16:creationId xmlns:a16="http://schemas.microsoft.com/office/drawing/2014/main" id="{00000000-0008-0000-2201-000002E4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2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3.bin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4.bin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5.bin"/></Relationships>
</file>

<file path=xl/worksheets/_rels/sheet9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6.bin"/></Relationships>
</file>

<file path=xl/worksheets/_rels/sheet9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7.bin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8.bin"/></Relationships>
</file>

<file path=xl/worksheets/_rels/sheet9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9.bin"/></Relationships>
</file>

<file path=xl/worksheets/_rels/sheet10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0.bin"/></Relationships>
</file>

<file path=xl/worksheets/_rels/sheet10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1.bin"/></Relationships>
</file>

<file path=xl/worksheets/_rels/sheet10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2.bin"/></Relationships>
</file>

<file path=xl/worksheets/_rels/sheet10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3.bin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4.bin"/></Relationships>
</file>

<file path=xl/worksheets/_rels/sheet10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5.bin"/></Relationships>
</file>

<file path=xl/worksheets/_rels/sheet10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6.bin"/></Relationships>
</file>

<file path=xl/worksheets/_rels/sheet10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7.bin"/></Relationships>
</file>

<file path=xl/worksheets/_rels/sheet10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8.bin"/></Relationships>
</file>

<file path=xl/worksheets/_rels/sheet10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9.bin"/></Relationships>
</file>

<file path=xl/worksheets/_rels/sheet1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0.bin"/></Relationships>
</file>

<file path=xl/worksheets/_rels/sheet1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1.bin"/></Relationships>
</file>

<file path=xl/worksheets/_rels/sheet1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2.bin"/></Relationships>
</file>

<file path=xl/worksheets/_rels/sheet1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3.bin"/></Relationships>
</file>

<file path=xl/worksheets/_rels/sheet1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4.bin"/></Relationships>
</file>

<file path=xl/worksheets/_rels/sheet1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5.bin"/></Relationships>
</file>

<file path=xl/worksheets/_rels/sheet1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6.bin"/></Relationships>
</file>

<file path=xl/worksheets/_rels/sheet1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7.bin"/></Relationships>
</file>

<file path=xl/worksheets/_rels/sheet1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8.bin"/></Relationships>
</file>

<file path=xl/worksheets/_rels/sheet1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9.bin"/></Relationships>
</file>

<file path=xl/worksheets/_rels/sheet1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0.bin"/></Relationships>
</file>

<file path=xl/worksheets/_rels/sheet1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1.bin"/></Relationships>
</file>

<file path=xl/worksheets/_rels/sheet1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2.bin"/></Relationships>
</file>

<file path=xl/worksheets/_rels/sheet1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3.bin"/></Relationships>
</file>

<file path=xl/worksheets/_rels/sheet1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4.bin"/></Relationships>
</file>

<file path=xl/worksheets/_rels/sheet1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5.bin"/></Relationships>
</file>

<file path=xl/worksheets/_rels/sheet1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6.bin"/></Relationships>
</file>

<file path=xl/worksheets/_rels/sheet1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7.bin"/></Relationships>
</file>

<file path=xl/worksheets/_rels/sheet1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8.bin"/></Relationships>
</file>

<file path=xl/worksheets/_rels/sheet1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9.bin"/></Relationships>
</file>

<file path=xl/worksheets/_rels/sheet1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0.bin"/></Relationships>
</file>

<file path=xl/worksheets/_rels/sheet1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1.bin"/></Relationships>
</file>

<file path=xl/worksheets/_rels/sheet1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2.bin"/></Relationships>
</file>

<file path=xl/worksheets/_rels/sheet1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3.bin"/></Relationships>
</file>

<file path=xl/worksheets/_rels/sheet1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4.bin"/></Relationships>
</file>

<file path=xl/worksheets/_rels/sheet1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5.bin"/></Relationships>
</file>

<file path=xl/worksheets/_rels/sheet1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6.bin"/></Relationships>
</file>

<file path=xl/worksheets/_rels/sheet1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7.bin"/></Relationships>
</file>

<file path=xl/worksheets/_rels/sheet1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8.bin"/></Relationships>
</file>

<file path=xl/worksheets/_rels/sheet1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9.bin"/></Relationships>
</file>

<file path=xl/worksheets/_rels/sheet1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0.bin"/></Relationships>
</file>

<file path=xl/worksheets/_rels/sheet1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1.bin"/></Relationships>
</file>

<file path=xl/worksheets/_rels/sheet1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2.bin"/></Relationships>
</file>

<file path=xl/worksheets/_rels/sheet1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3.bin"/></Relationships>
</file>

<file path=xl/worksheets/_rels/sheet1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4.bin"/></Relationships>
</file>

<file path=xl/worksheets/_rels/sheet1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5.bin"/></Relationships>
</file>

<file path=xl/worksheets/_rels/sheet1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6.bin"/></Relationships>
</file>

<file path=xl/worksheets/_rels/sheet1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7.bin"/></Relationships>
</file>

<file path=xl/worksheets/_rels/sheet1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8.bin"/></Relationships>
</file>

<file path=xl/worksheets/_rels/sheet1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9.bin"/></Relationships>
</file>

<file path=xl/worksheets/_rels/sheet1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0.bin"/></Relationships>
</file>

<file path=xl/worksheets/_rels/sheet1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1.bin"/></Relationships>
</file>

<file path=xl/worksheets/_rels/sheet1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2.bin"/></Relationships>
</file>

<file path=xl/worksheets/_rels/sheet1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3.bin"/></Relationships>
</file>

<file path=xl/worksheets/_rels/sheet1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4.bin"/></Relationships>
</file>

<file path=xl/worksheets/_rels/sheet1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5.bin"/></Relationships>
</file>

<file path=xl/worksheets/_rels/sheet1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6.bin"/></Relationships>
</file>

<file path=xl/worksheets/_rels/sheet1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7.bin"/></Relationships>
</file>

<file path=xl/worksheets/_rels/sheet1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8.bin"/></Relationships>
</file>

<file path=xl/worksheets/_rels/sheet1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9.bin"/></Relationships>
</file>

<file path=xl/worksheets/_rels/sheet1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0.bin"/></Relationships>
</file>

<file path=xl/worksheets/_rels/sheet1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1.bin"/></Relationships>
</file>

<file path=xl/worksheets/_rels/sheet1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2.bin"/></Relationships>
</file>

<file path=xl/worksheets/_rels/sheet1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3.bin"/></Relationships>
</file>

<file path=xl/worksheets/_rels/sheet1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4.bin"/></Relationships>
</file>

<file path=xl/worksheets/_rels/sheet1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5.bin"/></Relationships>
</file>

<file path=xl/worksheets/_rels/sheet1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6.bin"/></Relationships>
</file>

<file path=xl/worksheets/_rels/sheet1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7.bin"/></Relationships>
</file>

<file path=xl/worksheets/_rels/sheet1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8.bin"/></Relationships>
</file>

<file path=xl/worksheets/_rels/sheet1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9.bin"/></Relationships>
</file>

<file path=xl/worksheets/_rels/sheet1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0.bin"/></Relationships>
</file>

<file path=xl/worksheets/_rels/sheet1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1.bin"/></Relationships>
</file>

<file path=xl/worksheets/_rels/sheet1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2.bin"/></Relationships>
</file>

<file path=xl/worksheets/_rels/sheet1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3.bin"/></Relationships>
</file>

<file path=xl/worksheets/_rels/sheet1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4.bin"/></Relationships>
</file>

<file path=xl/worksheets/_rels/sheet1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5.bin"/></Relationships>
</file>

<file path=xl/worksheets/_rels/sheet1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6.bin"/></Relationships>
</file>

<file path=xl/worksheets/_rels/sheet1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7.bin"/></Relationships>
</file>

<file path=xl/worksheets/_rels/sheet1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8.bin"/></Relationships>
</file>

<file path=xl/worksheets/_rels/sheet1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9.bin"/></Relationships>
</file>

<file path=xl/worksheets/_rels/sheet1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0.bin"/></Relationships>
</file>

<file path=xl/worksheets/_rels/sheet1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1.bin"/></Relationships>
</file>

<file path=xl/worksheets/_rels/sheet1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2.bin"/></Relationships>
</file>

<file path=xl/worksheets/_rels/sheet1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3.bin"/></Relationships>
</file>

<file path=xl/worksheets/_rels/sheet1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4.bin"/></Relationships>
</file>

<file path=xl/worksheets/_rels/sheet1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5.bin"/></Relationships>
</file>

<file path=xl/worksheets/_rels/sheet1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6.bin"/></Relationships>
</file>

<file path=xl/worksheets/_rels/sheet1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7.bin"/></Relationships>
</file>

<file path=xl/worksheets/_rels/sheet1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8.bin"/></Relationships>
</file>

<file path=xl/worksheets/_rels/sheet1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9.bin"/></Relationships>
</file>

<file path=xl/worksheets/_rels/sheet1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0.bin"/></Relationships>
</file>

<file path=xl/worksheets/_rels/sheet1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1.bin"/></Relationships>
</file>

<file path=xl/worksheets/_rels/sheet1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2.bin"/></Relationships>
</file>

<file path=xl/worksheets/_rels/sheet1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3.bin"/></Relationships>
</file>

<file path=xl/worksheets/_rels/sheet1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4.bin"/></Relationships>
</file>

<file path=xl/worksheets/_rels/sheet1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5.bin"/></Relationships>
</file>

<file path=xl/worksheets/_rels/sheet19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6.bin"/></Relationships>
</file>

<file path=xl/worksheets/_rels/sheet19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7.bin"/></Relationships>
</file>

<file path=xl/worksheets/_rels/sheet19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8.bin"/></Relationships>
</file>

<file path=xl/worksheets/_rels/sheet19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9.bin"/></Relationships>
</file>

<file path=xl/worksheets/_rels/sheet20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0.bin"/></Relationships>
</file>

<file path=xl/worksheets/_rels/sheet20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1.bin"/></Relationships>
</file>

<file path=xl/worksheets/_rels/sheet20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2.bin"/></Relationships>
</file>

<file path=xl/worksheets/_rels/sheet20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3.bin"/></Relationships>
</file>

<file path=xl/worksheets/_rels/sheet20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4.bin"/></Relationships>
</file>

<file path=xl/worksheets/_rels/sheet20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5.bin"/></Relationships>
</file>

<file path=xl/worksheets/_rels/sheet20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6.bin"/></Relationships>
</file>

<file path=xl/worksheets/_rels/sheet20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7.bin"/></Relationships>
</file>

<file path=xl/worksheets/_rels/sheet20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8.bin"/></Relationships>
</file>

<file path=xl/worksheets/_rels/sheet20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9.bin"/></Relationships>
</file>

<file path=xl/worksheets/_rels/sheet2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0.bin"/></Relationships>
</file>

<file path=xl/worksheets/_rels/sheet2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1.bin"/></Relationships>
</file>

<file path=xl/worksheets/_rels/sheet2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2.bin"/></Relationships>
</file>

<file path=xl/worksheets/_rels/sheet2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3.bin"/></Relationships>
</file>

<file path=xl/worksheets/_rels/sheet2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4.bin"/></Relationships>
</file>

<file path=xl/worksheets/_rels/sheet2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5.bin"/></Relationships>
</file>

<file path=xl/worksheets/_rels/sheet2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6.bin"/></Relationships>
</file>

<file path=xl/worksheets/_rels/sheet2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7.bin"/></Relationships>
</file>

<file path=xl/worksheets/_rels/sheet2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8.bin"/></Relationships>
</file>

<file path=xl/worksheets/_rels/sheet2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9.bin"/></Relationships>
</file>

<file path=xl/worksheets/_rels/sheet2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0.bin"/></Relationships>
</file>

<file path=xl/worksheets/_rels/sheet2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1.bin"/></Relationships>
</file>

<file path=xl/worksheets/_rels/sheet2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2.bin"/></Relationships>
</file>

<file path=xl/worksheets/_rels/sheet2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3.bin"/></Relationships>
</file>

<file path=xl/worksheets/_rels/sheet2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4.bin"/></Relationships>
</file>

<file path=xl/worksheets/_rels/sheet2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5.bin"/></Relationships>
</file>

<file path=xl/worksheets/_rels/sheet2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6.bin"/></Relationships>
</file>

<file path=xl/worksheets/_rels/sheet2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7.bin"/></Relationships>
</file>

<file path=xl/worksheets/_rels/sheet2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8.bin"/></Relationships>
</file>

<file path=xl/worksheets/_rels/sheet2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9.bin"/></Relationships>
</file>

<file path=xl/worksheets/_rels/sheet2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0.bin"/></Relationships>
</file>

<file path=xl/worksheets/_rels/sheet2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1.bin"/></Relationships>
</file>

<file path=xl/worksheets/_rels/sheet2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2.bin"/></Relationships>
</file>

<file path=xl/worksheets/_rels/sheet2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3.bin"/></Relationships>
</file>

<file path=xl/worksheets/_rels/sheet2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4.bin"/></Relationships>
</file>

<file path=xl/worksheets/_rels/sheet2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5.bin"/></Relationships>
</file>

<file path=xl/worksheets/_rels/sheet2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6.bin"/></Relationships>
</file>

<file path=xl/worksheets/_rels/sheet2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7.bin"/></Relationships>
</file>

<file path=xl/worksheets/_rels/sheet2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8.bin"/></Relationships>
</file>

<file path=xl/worksheets/_rels/sheet2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9.bin"/></Relationships>
</file>

<file path=xl/worksheets/_rels/sheet2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0.bin"/></Relationships>
</file>

<file path=xl/worksheets/_rels/sheet2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1.bin"/></Relationships>
</file>

<file path=xl/worksheets/_rels/sheet2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2.bin"/></Relationships>
</file>

<file path=xl/worksheets/_rels/sheet2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3.bin"/></Relationships>
</file>

<file path=xl/worksheets/_rels/sheet2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4.bin"/></Relationships>
</file>

<file path=xl/worksheets/_rels/sheet2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5.bin"/></Relationships>
</file>

<file path=xl/worksheets/_rels/sheet2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6.bin"/></Relationships>
</file>

<file path=xl/worksheets/_rels/sheet2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7.bin"/></Relationships>
</file>

<file path=xl/worksheets/_rels/sheet2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8.bin"/></Relationships>
</file>

<file path=xl/worksheets/_rels/sheet2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9.bin"/></Relationships>
</file>

<file path=xl/worksheets/_rels/sheet2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0.bin"/></Relationships>
</file>

<file path=xl/worksheets/_rels/sheet2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1.bin"/></Relationships>
</file>

<file path=xl/worksheets/_rels/sheet2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2.bin"/></Relationships>
</file>

<file path=xl/worksheets/_rels/sheet2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3.bin"/></Relationships>
</file>

<file path=xl/worksheets/_rels/sheet2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4.bin"/></Relationships>
</file>

<file path=xl/worksheets/_rels/sheet2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5.bin"/></Relationships>
</file>

<file path=xl/worksheets/_rels/sheet2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6.bin"/></Relationships>
</file>

<file path=xl/worksheets/_rels/sheet2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7.bin"/></Relationships>
</file>

<file path=xl/worksheets/_rels/sheet2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8.bin"/></Relationships>
</file>

<file path=xl/worksheets/_rels/sheet2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9.bin"/></Relationships>
</file>

<file path=xl/worksheets/_rels/sheet2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0.bin"/></Relationships>
</file>

<file path=xl/worksheets/_rels/sheet2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1.bin"/></Relationships>
</file>

<file path=xl/worksheets/_rels/sheet2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2.bin"/></Relationships>
</file>

<file path=xl/worksheets/_rels/sheet2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3.bin"/></Relationships>
</file>

<file path=xl/worksheets/_rels/sheet2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4.bin"/></Relationships>
</file>

<file path=xl/worksheets/_rels/sheet2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5.bin"/></Relationships>
</file>

<file path=xl/worksheets/_rels/sheet2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6.bin"/></Relationships>
</file>

<file path=xl/worksheets/_rels/sheet2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7.bin"/></Relationships>
</file>

<file path=xl/worksheets/_rels/sheet2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8.bin"/></Relationships>
</file>

<file path=xl/worksheets/_rels/sheet2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9.bin"/></Relationships>
</file>

<file path=xl/worksheets/_rels/sheet2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0.bin"/></Relationships>
</file>

<file path=xl/worksheets/_rels/sheet2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1.bin"/></Relationships>
</file>

<file path=xl/worksheets/_rels/sheet2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2.bin"/></Relationships>
</file>

<file path=xl/worksheets/_rels/sheet2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3.bin"/></Relationships>
</file>

<file path=xl/worksheets/_rels/sheet2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4.bin"/></Relationships>
</file>

<file path=xl/worksheets/_rels/sheet2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5.bin"/></Relationships>
</file>

<file path=xl/worksheets/_rels/sheet2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6.bin"/></Relationships>
</file>

<file path=xl/worksheets/_rels/sheet2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7.bin"/></Relationships>
</file>

<file path=xl/worksheets/_rels/sheet2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8.bin"/></Relationships>
</file>

<file path=xl/worksheets/_rels/sheet2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9.bin"/></Relationships>
</file>

<file path=xl/worksheets/_rels/sheet2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0.bin"/></Relationships>
</file>

<file path=xl/worksheets/_rels/sheet2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1.bin"/></Relationships>
</file>

<file path=xl/worksheets/_rels/sheet2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2.bin"/></Relationships>
</file>

<file path=xl/worksheets/_rels/sheet2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3.bin"/></Relationships>
</file>

<file path=xl/worksheets/_rels/sheet2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4.bin"/></Relationships>
</file>

<file path=xl/worksheets/_rels/sheet2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5.bin"/></Relationships>
</file>

<file path=xl/worksheets/_rels/sheet2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6.bin"/></Relationships>
</file>

<file path=xl/worksheets/_rels/sheet2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7.bin"/></Relationships>
</file>

<file path=xl/worksheets/_rels/sheet2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8.bin"/></Relationships>
</file>

<file path=xl/worksheets/_rels/sheet2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9.bin"/></Relationships>
</file>

<file path=xl/worksheets/_rels/sheet2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0.bin"/></Relationships>
</file>

<file path=xl/worksheets/_rels/sheet29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9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95">
    <pageSetUpPr fitToPage="1"/>
  </sheetPr>
  <dimension ref="A1:N97"/>
  <sheetViews>
    <sheetView topLeftCell="A51" zoomScaleNormal="100" workbookViewId="0">
      <selection activeCell="H62" sqref="H62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47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833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2.75" customHeight="1" x14ac:dyDescent="0.4">
      <c r="A5" s="89">
        <v>45017</v>
      </c>
      <c r="B5" s="9" t="s">
        <v>6</v>
      </c>
      <c r="C5" s="10" t="s">
        <v>7</v>
      </c>
      <c r="D5" s="11"/>
      <c r="E5" s="12">
        <v>777284.51999999862</v>
      </c>
      <c r="F5" s="12"/>
      <c r="G5" s="1"/>
      <c r="H5" s="112"/>
      <c r="I5" s="112"/>
    </row>
    <row r="6" spans="1:10" s="2" customFormat="1" ht="12.75" customHeight="1" x14ac:dyDescent="0.4">
      <c r="A6" s="89">
        <v>45017</v>
      </c>
      <c r="B6" s="9" t="s">
        <v>11</v>
      </c>
      <c r="C6" s="10" t="s">
        <v>156</v>
      </c>
      <c r="D6" s="117" t="s">
        <v>29</v>
      </c>
      <c r="E6" s="12"/>
      <c r="F6" s="12">
        <v>57.82</v>
      </c>
      <c r="G6" s="1"/>
      <c r="H6" s="112"/>
      <c r="I6" s="112"/>
    </row>
    <row r="7" spans="1:10" s="2" customFormat="1" ht="12.75" customHeight="1" x14ac:dyDescent="0.4">
      <c r="D7" s="15" t="s">
        <v>8</v>
      </c>
      <c r="E7" s="16">
        <f>SUM(E5:E6)</f>
        <v>777284.51999999862</v>
      </c>
      <c r="F7" s="16">
        <f>SUM(F5:F6)</f>
        <v>57.82</v>
      </c>
      <c r="G7" s="1"/>
      <c r="H7" s="112"/>
      <c r="I7" s="112"/>
    </row>
    <row r="8" spans="1:10" s="2" customFormat="1" ht="12.75" customHeight="1" x14ac:dyDescent="0.4">
      <c r="A8" s="17"/>
      <c r="B8" s="18"/>
      <c r="C8" s="19" t="s">
        <v>9</v>
      </c>
      <c r="D8" s="20"/>
      <c r="E8" s="21">
        <f>E7-F7</f>
        <v>777226.69999999867</v>
      </c>
      <c r="F8" s="22"/>
      <c r="G8" s="23"/>
      <c r="H8" s="112"/>
      <c r="I8" s="112"/>
      <c r="J8" s="13"/>
    </row>
    <row r="9" spans="1:10" s="2" customFormat="1" ht="12.75" customHeight="1" x14ac:dyDescent="0.4">
      <c r="A9" s="24"/>
      <c r="B9" s="1"/>
      <c r="C9" s="14"/>
      <c r="D9" s="25"/>
      <c r="G9" s="23"/>
      <c r="H9" s="112"/>
      <c r="I9" s="112"/>
      <c r="J9" s="13"/>
    </row>
    <row r="10" spans="1:10" s="2" customFormat="1" ht="21.75" customHeight="1" x14ac:dyDescent="0.4">
      <c r="A10" s="214" t="s">
        <v>10</v>
      </c>
      <c r="B10" s="214"/>
      <c r="C10" s="214"/>
      <c r="D10" s="214"/>
      <c r="E10" s="214"/>
      <c r="F10" s="214"/>
      <c r="G10" s="13"/>
      <c r="H10" s="112"/>
      <c r="I10" s="112"/>
      <c r="J10" s="13"/>
    </row>
    <row r="11" spans="1:10" s="2" customFormat="1" ht="12.75" customHeight="1" x14ac:dyDescent="0.4">
      <c r="A11" s="26" t="s">
        <v>1</v>
      </c>
      <c r="B11" s="27" t="s">
        <v>2</v>
      </c>
      <c r="C11" s="5"/>
      <c r="D11" s="6" t="s">
        <v>3</v>
      </c>
      <c r="E11" s="7" t="s">
        <v>4</v>
      </c>
      <c r="F11" s="7" t="s">
        <v>5</v>
      </c>
      <c r="G11" s="23"/>
      <c r="H11" s="112"/>
      <c r="I11" s="112"/>
      <c r="J11" s="13"/>
    </row>
    <row r="12" spans="1:10" s="2" customFormat="1" ht="12.75" customHeight="1" x14ac:dyDescent="0.2">
      <c r="A12" s="89">
        <v>45017</v>
      </c>
      <c r="B12" s="91" t="s">
        <v>11</v>
      </c>
      <c r="C12" s="29" t="s">
        <v>7</v>
      </c>
      <c r="D12" s="25"/>
      <c r="E12" s="31"/>
      <c r="F12" s="2">
        <v>337000176.95000011</v>
      </c>
      <c r="G12" s="30"/>
      <c r="I12" s="13"/>
      <c r="J12" s="13"/>
    </row>
    <row r="13" spans="1:10" s="2" customFormat="1" ht="12.75" customHeight="1" x14ac:dyDescent="0.2">
      <c r="A13" s="89">
        <v>45017</v>
      </c>
      <c r="B13" s="91" t="s">
        <v>6</v>
      </c>
      <c r="C13" s="76" t="s">
        <v>458</v>
      </c>
      <c r="D13" s="116" t="s">
        <v>13</v>
      </c>
      <c r="E13" s="31">
        <v>11550</v>
      </c>
      <c r="G13" s="30"/>
      <c r="I13" s="13"/>
      <c r="J13" s="13"/>
    </row>
    <row r="14" spans="1:10" s="2" customFormat="1" ht="12.75" customHeight="1" x14ac:dyDescent="0.2">
      <c r="A14" s="89">
        <v>45017</v>
      </c>
      <c r="B14" s="91" t="s">
        <v>6</v>
      </c>
      <c r="C14" s="76" t="s">
        <v>457</v>
      </c>
      <c r="D14" s="116" t="s">
        <v>13</v>
      </c>
      <c r="E14" s="31">
        <v>1838</v>
      </c>
      <c r="G14" s="30"/>
      <c r="I14" s="13"/>
      <c r="J14" s="13"/>
    </row>
    <row r="15" spans="1:10" s="2" customFormat="1" ht="12.75" customHeight="1" x14ac:dyDescent="0.2">
      <c r="A15" s="89">
        <v>45017</v>
      </c>
      <c r="B15" s="91" t="s">
        <v>6</v>
      </c>
      <c r="C15" s="76" t="s">
        <v>611</v>
      </c>
      <c r="D15" s="116" t="s">
        <v>13</v>
      </c>
      <c r="E15" s="31">
        <v>55650</v>
      </c>
      <c r="G15" s="30"/>
      <c r="I15" s="13"/>
      <c r="J15" s="13"/>
    </row>
    <row r="16" spans="1:10" s="2" customFormat="1" ht="12.75" customHeight="1" x14ac:dyDescent="0.2">
      <c r="A16" s="89">
        <v>45017</v>
      </c>
      <c r="B16" s="91" t="s">
        <v>6</v>
      </c>
      <c r="C16" s="76" t="s">
        <v>265</v>
      </c>
      <c r="D16" s="116" t="s">
        <v>13</v>
      </c>
      <c r="E16" s="31">
        <v>6877.5</v>
      </c>
      <c r="G16" s="30"/>
      <c r="I16" s="13"/>
      <c r="J16" s="13"/>
    </row>
    <row r="17" spans="1:10" s="2" customFormat="1" ht="12.75" customHeight="1" x14ac:dyDescent="0.2">
      <c r="A17" s="89">
        <v>45017</v>
      </c>
      <c r="B17" s="91" t="s">
        <v>6</v>
      </c>
      <c r="C17" s="76" t="s">
        <v>450</v>
      </c>
      <c r="D17" s="116" t="s">
        <v>13</v>
      </c>
      <c r="E17" s="31">
        <v>10910</v>
      </c>
      <c r="G17" s="30"/>
      <c r="I17" s="13"/>
      <c r="J17" s="13"/>
    </row>
    <row r="18" spans="1:10" s="2" customFormat="1" ht="12.75" customHeight="1" x14ac:dyDescent="0.2">
      <c r="A18" s="89">
        <v>45017</v>
      </c>
      <c r="B18" s="91" t="s">
        <v>6</v>
      </c>
      <c r="C18" s="76" t="s">
        <v>24</v>
      </c>
      <c r="D18" s="116" t="s">
        <v>13</v>
      </c>
      <c r="E18" s="31">
        <v>173228.5</v>
      </c>
      <c r="G18" s="30"/>
      <c r="I18" s="13"/>
      <c r="J18" s="13"/>
    </row>
    <row r="19" spans="1:10" s="2" customFormat="1" ht="12.75" customHeight="1" x14ac:dyDescent="0.2">
      <c r="A19" s="89">
        <v>45017</v>
      </c>
      <c r="B19" s="91" t="s">
        <v>6</v>
      </c>
      <c r="C19" s="76" t="s">
        <v>761</v>
      </c>
      <c r="D19" s="116" t="s">
        <v>13</v>
      </c>
      <c r="E19" s="31">
        <v>1170947</v>
      </c>
      <c r="G19" s="30"/>
      <c r="I19" s="13"/>
      <c r="J19" s="13"/>
    </row>
    <row r="20" spans="1:10" s="2" customFormat="1" ht="12.75" customHeight="1" x14ac:dyDescent="0.2">
      <c r="A20" s="89">
        <v>45017</v>
      </c>
      <c r="B20" s="91" t="s">
        <v>6</v>
      </c>
      <c r="C20" s="76" t="s">
        <v>480</v>
      </c>
      <c r="D20" s="116" t="s">
        <v>13</v>
      </c>
      <c r="E20" s="31">
        <v>2852384</v>
      </c>
      <c r="G20" s="30"/>
      <c r="I20" s="13"/>
      <c r="J20" s="13"/>
    </row>
    <row r="21" spans="1:10" s="2" customFormat="1" ht="12.75" customHeight="1" x14ac:dyDescent="0.2">
      <c r="A21" s="89">
        <v>45017</v>
      </c>
      <c r="B21" s="91" t="s">
        <v>6</v>
      </c>
      <c r="C21" s="76" t="s">
        <v>835</v>
      </c>
      <c r="D21" s="116" t="s">
        <v>13</v>
      </c>
      <c r="E21" s="31">
        <v>11550</v>
      </c>
      <c r="G21" s="30"/>
      <c r="I21" s="13"/>
      <c r="J21" s="13"/>
    </row>
    <row r="22" spans="1:10" s="2" customFormat="1" ht="12.75" customHeight="1" x14ac:dyDescent="0.2">
      <c r="A22" s="89">
        <v>45017</v>
      </c>
      <c r="B22" s="91" t="s">
        <v>6</v>
      </c>
      <c r="C22" s="76" t="s">
        <v>101</v>
      </c>
      <c r="D22" s="116" t="s">
        <v>13</v>
      </c>
      <c r="E22" s="31">
        <v>1390913</v>
      </c>
      <c r="G22" s="30"/>
      <c r="I22" s="13"/>
      <c r="J22" s="13"/>
    </row>
    <row r="23" spans="1:10" s="2" customFormat="1" ht="12.75" customHeight="1" x14ac:dyDescent="0.2">
      <c r="A23" s="89">
        <v>45017</v>
      </c>
      <c r="B23" s="91" t="s">
        <v>6</v>
      </c>
      <c r="C23" s="76" t="s">
        <v>655</v>
      </c>
      <c r="D23" s="116" t="s">
        <v>13</v>
      </c>
      <c r="E23" s="31">
        <v>500000</v>
      </c>
      <c r="G23" s="30"/>
      <c r="I23" s="13"/>
      <c r="J23" s="13"/>
    </row>
    <row r="24" spans="1:10" s="2" customFormat="1" ht="12.75" customHeight="1" x14ac:dyDescent="0.2">
      <c r="A24" s="89">
        <v>45017</v>
      </c>
      <c r="B24" s="91" t="s">
        <v>6</v>
      </c>
      <c r="C24" s="76" t="s">
        <v>202</v>
      </c>
      <c r="D24" s="116" t="s">
        <v>13</v>
      </c>
      <c r="E24" s="31">
        <v>70000</v>
      </c>
      <c r="G24" s="30"/>
      <c r="I24" s="13"/>
      <c r="J24" s="13"/>
    </row>
    <row r="25" spans="1:10" s="2" customFormat="1" ht="12.75" customHeight="1" x14ac:dyDescent="0.2">
      <c r="A25" s="89">
        <v>45017</v>
      </c>
      <c r="B25" s="91" t="s">
        <v>6</v>
      </c>
      <c r="C25" s="76" t="s">
        <v>336</v>
      </c>
      <c r="D25" s="116" t="s">
        <v>13</v>
      </c>
      <c r="E25" s="31">
        <v>5513</v>
      </c>
      <c r="G25" s="30"/>
      <c r="I25" s="13"/>
      <c r="J25" s="13"/>
    </row>
    <row r="26" spans="1:10" s="2" customFormat="1" ht="12.75" customHeight="1" x14ac:dyDescent="0.2">
      <c r="A26" s="89">
        <v>45017</v>
      </c>
      <c r="B26" s="91" t="s">
        <v>6</v>
      </c>
      <c r="C26" s="76" t="s">
        <v>838</v>
      </c>
      <c r="D26" s="116" t="s">
        <v>13</v>
      </c>
      <c r="E26" s="31">
        <v>10164</v>
      </c>
      <c r="G26" s="30"/>
      <c r="I26" s="13"/>
      <c r="J26" s="13"/>
    </row>
    <row r="27" spans="1:10" s="2" customFormat="1" ht="12.75" customHeight="1" x14ac:dyDescent="0.2">
      <c r="A27" s="89">
        <v>45017</v>
      </c>
      <c r="B27" s="91" t="s">
        <v>6</v>
      </c>
      <c r="C27" s="76" t="s">
        <v>534</v>
      </c>
      <c r="D27" s="116" t="s">
        <v>13</v>
      </c>
      <c r="E27" s="31">
        <v>226533</v>
      </c>
      <c r="G27" s="30"/>
      <c r="I27" s="13"/>
      <c r="J27" s="13"/>
    </row>
    <row r="28" spans="1:10" s="2" customFormat="1" ht="12.75" customHeight="1" x14ac:dyDescent="0.2">
      <c r="A28" s="89">
        <v>45017</v>
      </c>
      <c r="B28" s="91" t="s">
        <v>6</v>
      </c>
      <c r="C28" s="76" t="s">
        <v>276</v>
      </c>
      <c r="D28" s="116" t="s">
        <v>13</v>
      </c>
      <c r="E28" s="31">
        <v>17572</v>
      </c>
      <c r="G28" s="30"/>
      <c r="I28" s="13"/>
      <c r="J28" s="13"/>
    </row>
    <row r="29" spans="1:10" s="2" customFormat="1" ht="12.75" customHeight="1" x14ac:dyDescent="0.2">
      <c r="A29" s="89">
        <v>45017</v>
      </c>
      <c r="B29" s="91" t="s">
        <v>6</v>
      </c>
      <c r="C29" s="76" t="s">
        <v>220</v>
      </c>
      <c r="D29" s="116" t="s">
        <v>13</v>
      </c>
      <c r="E29" s="31">
        <v>2796854</v>
      </c>
      <c r="G29" s="30"/>
      <c r="I29" s="13"/>
      <c r="J29" s="13"/>
    </row>
    <row r="30" spans="1:10" s="2" customFormat="1" ht="12.75" customHeight="1" x14ac:dyDescent="0.2">
      <c r="A30" s="89">
        <v>45017</v>
      </c>
      <c r="B30" s="91" t="s">
        <v>6</v>
      </c>
      <c r="C30" s="76" t="s">
        <v>209</v>
      </c>
      <c r="D30" s="116" t="s">
        <v>29</v>
      </c>
      <c r="E30" s="31">
        <v>12205.56</v>
      </c>
      <c r="G30" s="30"/>
      <c r="I30" s="13"/>
      <c r="J30" s="13"/>
    </row>
    <row r="31" spans="1:10" s="2" customFormat="1" ht="12.75" customHeight="1" x14ac:dyDescent="0.2">
      <c r="A31" s="89">
        <v>45017</v>
      </c>
      <c r="B31" s="91" t="s">
        <v>11</v>
      </c>
      <c r="C31" s="76" t="s">
        <v>209</v>
      </c>
      <c r="D31" s="116" t="s">
        <v>29</v>
      </c>
      <c r="E31" s="31"/>
      <c r="F31" s="2">
        <v>50000</v>
      </c>
      <c r="G31" s="30"/>
      <c r="I31" s="13"/>
      <c r="J31" s="13"/>
    </row>
    <row r="32" spans="1:10" s="2" customFormat="1" ht="12.75" customHeight="1" x14ac:dyDescent="0.2">
      <c r="A32" s="89">
        <v>45017</v>
      </c>
      <c r="B32" s="91" t="s">
        <v>11</v>
      </c>
      <c r="C32" s="76" t="s">
        <v>834</v>
      </c>
      <c r="D32" s="116" t="s">
        <v>29</v>
      </c>
      <c r="E32" s="31"/>
      <c r="F32" s="2">
        <v>38500</v>
      </c>
      <c r="G32" s="30"/>
      <c r="I32" s="13"/>
      <c r="J32" s="13"/>
    </row>
    <row r="33" spans="1:10" s="2" customFormat="1" ht="12.75" customHeight="1" x14ac:dyDescent="0.2">
      <c r="A33" s="89">
        <v>45017</v>
      </c>
      <c r="B33" s="91" t="s">
        <v>11</v>
      </c>
      <c r="C33" s="76" t="s">
        <v>102</v>
      </c>
      <c r="D33" s="116" t="s">
        <v>29</v>
      </c>
      <c r="E33" s="31"/>
      <c r="F33" s="2">
        <v>2704834</v>
      </c>
      <c r="G33" s="30"/>
      <c r="I33" s="13"/>
      <c r="J33" s="13"/>
    </row>
    <row r="34" spans="1:10" s="2" customFormat="1" ht="12.75" customHeight="1" x14ac:dyDescent="0.2">
      <c r="A34" s="89">
        <v>45017</v>
      </c>
      <c r="B34" s="91" t="s">
        <v>11</v>
      </c>
      <c r="C34" s="76" t="s">
        <v>98</v>
      </c>
      <c r="D34" s="116" t="s">
        <v>29</v>
      </c>
      <c r="E34" s="31"/>
      <c r="F34" s="2">
        <v>4850</v>
      </c>
      <c r="G34" s="30"/>
      <c r="I34" s="13"/>
      <c r="J34" s="13"/>
    </row>
    <row r="35" spans="1:10" s="2" customFormat="1" ht="12.75" customHeight="1" x14ac:dyDescent="0.2">
      <c r="A35" s="89">
        <v>45017</v>
      </c>
      <c r="B35" s="91" t="s">
        <v>11</v>
      </c>
      <c r="C35" s="76" t="s">
        <v>362</v>
      </c>
      <c r="D35" s="116" t="s">
        <v>29</v>
      </c>
      <c r="E35" s="31"/>
      <c r="F35" s="2">
        <v>27622.16</v>
      </c>
      <c r="G35" s="30"/>
      <c r="I35" s="13"/>
      <c r="J35" s="13"/>
    </row>
    <row r="36" spans="1:10" s="2" customFormat="1" ht="12.75" customHeight="1" x14ac:dyDescent="0.2">
      <c r="A36" s="89">
        <v>45017</v>
      </c>
      <c r="B36" s="91" t="s">
        <v>11</v>
      </c>
      <c r="C36" s="76" t="s">
        <v>697</v>
      </c>
      <c r="D36" s="116" t="s">
        <v>29</v>
      </c>
      <c r="E36" s="31"/>
      <c r="F36" s="2">
        <v>26470</v>
      </c>
      <c r="G36" s="30"/>
      <c r="I36" s="13"/>
      <c r="J36" s="13"/>
    </row>
    <row r="37" spans="1:10" s="2" customFormat="1" ht="12.75" customHeight="1" x14ac:dyDescent="0.2">
      <c r="A37" s="89">
        <v>45017</v>
      </c>
      <c r="B37" s="91" t="s">
        <v>11</v>
      </c>
      <c r="C37" s="76" t="s">
        <v>338</v>
      </c>
      <c r="D37" s="116" t="s">
        <v>29</v>
      </c>
      <c r="E37" s="31"/>
      <c r="F37" s="2">
        <v>73975.67</v>
      </c>
      <c r="G37" s="30"/>
      <c r="I37" s="13"/>
      <c r="J37" s="13"/>
    </row>
    <row r="38" spans="1:10" s="2" customFormat="1" ht="12.75" customHeight="1" x14ac:dyDescent="0.2">
      <c r="A38" s="89">
        <v>45017</v>
      </c>
      <c r="B38" s="91" t="s">
        <v>11</v>
      </c>
      <c r="C38" s="76" t="s">
        <v>242</v>
      </c>
      <c r="D38" s="116" t="s">
        <v>29</v>
      </c>
      <c r="E38" s="31"/>
      <c r="F38" s="2">
        <v>16196.25</v>
      </c>
      <c r="G38" s="30"/>
      <c r="I38" s="13"/>
      <c r="J38" s="13"/>
    </row>
    <row r="39" spans="1:10" s="2" customFormat="1" ht="12.75" customHeight="1" x14ac:dyDescent="0.2">
      <c r="A39" s="89">
        <v>45017</v>
      </c>
      <c r="B39" s="91" t="s">
        <v>11</v>
      </c>
      <c r="C39" s="76" t="s">
        <v>208</v>
      </c>
      <c r="D39" s="116" t="s">
        <v>29</v>
      </c>
      <c r="E39" s="31"/>
      <c r="F39" s="2">
        <v>17996</v>
      </c>
      <c r="G39" s="30"/>
      <c r="I39" s="13"/>
      <c r="J39" s="13"/>
    </row>
    <row r="40" spans="1:10" s="2" customFormat="1" ht="12.75" customHeight="1" x14ac:dyDescent="0.2">
      <c r="A40" s="89">
        <v>45017</v>
      </c>
      <c r="B40" s="91" t="s">
        <v>11</v>
      </c>
      <c r="C40" s="76" t="s">
        <v>96</v>
      </c>
      <c r="D40" s="116" t="s">
        <v>29</v>
      </c>
      <c r="E40" s="31"/>
      <c r="F40" s="2">
        <v>6954</v>
      </c>
      <c r="G40" s="30"/>
      <c r="I40" s="13"/>
      <c r="J40" s="13"/>
    </row>
    <row r="41" spans="1:10" s="2" customFormat="1" ht="12.75" customHeight="1" x14ac:dyDescent="0.2">
      <c r="A41" s="89">
        <v>45017</v>
      </c>
      <c r="B41" s="91" t="s">
        <v>11</v>
      </c>
      <c r="C41" s="76" t="s">
        <v>53</v>
      </c>
      <c r="D41" s="116" t="s">
        <v>29</v>
      </c>
      <c r="E41" s="31"/>
      <c r="F41" s="2">
        <v>32427</v>
      </c>
      <c r="G41" s="30"/>
      <c r="I41" s="13"/>
      <c r="J41" s="13"/>
    </row>
    <row r="42" spans="1:10" s="2" customFormat="1" ht="12.75" customHeight="1" x14ac:dyDescent="0.2">
      <c r="A42" s="89">
        <v>45017</v>
      </c>
      <c r="B42" s="91" t="s">
        <v>11</v>
      </c>
      <c r="C42" s="76" t="s">
        <v>235</v>
      </c>
      <c r="D42" s="116" t="s">
        <v>29</v>
      </c>
      <c r="E42" s="31"/>
      <c r="F42" s="2">
        <v>6270</v>
      </c>
      <c r="G42" s="30"/>
      <c r="I42" s="13"/>
      <c r="J42" s="13"/>
    </row>
    <row r="43" spans="1:10" s="2" customFormat="1" ht="12.75" customHeight="1" x14ac:dyDescent="0.2">
      <c r="A43" s="89">
        <v>45017</v>
      </c>
      <c r="B43" s="91" t="s">
        <v>11</v>
      </c>
      <c r="C43" s="76" t="s">
        <v>836</v>
      </c>
      <c r="D43" s="116" t="s">
        <v>29</v>
      </c>
      <c r="E43" s="31"/>
      <c r="F43" s="2">
        <v>1109106.71</v>
      </c>
      <c r="G43" s="30"/>
      <c r="I43" s="13"/>
      <c r="J43" s="13"/>
    </row>
    <row r="44" spans="1:10" s="2" customFormat="1" ht="12.75" customHeight="1" x14ac:dyDescent="0.2">
      <c r="A44" s="89">
        <v>45017</v>
      </c>
      <c r="B44" s="91" t="s">
        <v>11</v>
      </c>
      <c r="C44" s="76" t="s">
        <v>837</v>
      </c>
      <c r="D44" s="116" t="s">
        <v>29</v>
      </c>
      <c r="E44" s="31"/>
      <c r="F44" s="2">
        <v>128700</v>
      </c>
      <c r="G44" s="30"/>
      <c r="I44" s="13"/>
      <c r="J44" s="13"/>
    </row>
    <row r="45" spans="1:10" s="2" customFormat="1" ht="12.75" customHeight="1" x14ac:dyDescent="0.2">
      <c r="A45" s="89">
        <v>45017</v>
      </c>
      <c r="B45" s="91" t="s">
        <v>11</v>
      </c>
      <c r="C45" s="76" t="s">
        <v>125</v>
      </c>
      <c r="D45" s="116" t="s">
        <v>29</v>
      </c>
      <c r="E45" s="31"/>
      <c r="F45" s="2">
        <v>943880</v>
      </c>
      <c r="G45" s="30"/>
      <c r="I45" s="13"/>
      <c r="J45" s="13"/>
    </row>
    <row r="46" spans="1:10" s="2" customFormat="1" ht="12.75" customHeight="1" x14ac:dyDescent="0.2">
      <c r="A46" s="89">
        <v>45017</v>
      </c>
      <c r="B46" s="91" t="s">
        <v>11</v>
      </c>
      <c r="C46" s="76" t="s">
        <v>199</v>
      </c>
      <c r="D46" s="116" t="s">
        <v>29</v>
      </c>
      <c r="E46" s="31"/>
      <c r="F46" s="2">
        <v>885940</v>
      </c>
      <c r="G46" s="30"/>
      <c r="I46" s="13"/>
      <c r="J46" s="13"/>
    </row>
    <row r="47" spans="1:10" s="2" customFormat="1" ht="12.75" customHeight="1" x14ac:dyDescent="0.2">
      <c r="A47" s="89">
        <v>45017</v>
      </c>
      <c r="B47" s="91" t="s">
        <v>11</v>
      </c>
      <c r="C47" s="76" t="s">
        <v>525</v>
      </c>
      <c r="D47" s="116" t="s">
        <v>29</v>
      </c>
      <c r="E47" s="31"/>
      <c r="F47" s="2">
        <v>700000</v>
      </c>
      <c r="G47" s="30"/>
      <c r="I47" s="13"/>
      <c r="J47" s="13"/>
    </row>
    <row r="48" spans="1:10" s="2" customFormat="1" ht="12.75" customHeight="1" x14ac:dyDescent="0.2">
      <c r="A48" s="89">
        <v>45017</v>
      </c>
      <c r="B48" s="91" t="s">
        <v>11</v>
      </c>
      <c r="C48" s="76" t="s">
        <v>25</v>
      </c>
      <c r="D48" s="116" t="s">
        <v>29</v>
      </c>
      <c r="E48" s="31"/>
      <c r="F48" s="2">
        <v>200000</v>
      </c>
      <c r="G48" s="30"/>
      <c r="I48" s="13"/>
      <c r="J48" s="13"/>
    </row>
    <row r="49" spans="1:14" s="2" customFormat="1" ht="12.75" customHeight="1" x14ac:dyDescent="0.2">
      <c r="A49" s="89">
        <v>45017</v>
      </c>
      <c r="B49" s="91" t="s">
        <v>11</v>
      </c>
      <c r="C49" s="76" t="s">
        <v>64</v>
      </c>
      <c r="D49" s="116" t="s">
        <v>29</v>
      </c>
      <c r="E49" s="31"/>
      <c r="F49" s="2">
        <v>23.6</v>
      </c>
      <c r="G49" s="30"/>
      <c r="I49" s="13"/>
      <c r="J49" s="13"/>
    </row>
    <row r="50" spans="1:14" s="2" customFormat="1" ht="12.75" customHeight="1" x14ac:dyDescent="0.2">
      <c r="A50" s="89">
        <v>45017</v>
      </c>
      <c r="B50" s="91" t="s">
        <v>11</v>
      </c>
      <c r="C50" s="76" t="s">
        <v>518</v>
      </c>
      <c r="D50" s="116" t="s">
        <v>29</v>
      </c>
      <c r="E50" s="31"/>
      <c r="F50" s="2">
        <v>20302</v>
      </c>
      <c r="G50" s="30"/>
      <c r="I50" s="13"/>
      <c r="J50" s="13"/>
    </row>
    <row r="51" spans="1:14" s="2" customFormat="1" ht="12.75" customHeight="1" x14ac:dyDescent="0.2">
      <c r="A51" s="89">
        <v>45017</v>
      </c>
      <c r="B51" s="91" t="s">
        <v>11</v>
      </c>
      <c r="C51" s="76" t="s">
        <v>740</v>
      </c>
      <c r="D51" s="116" t="s">
        <v>29</v>
      </c>
      <c r="E51" s="31"/>
      <c r="F51" s="2">
        <v>44098</v>
      </c>
      <c r="G51" s="30"/>
      <c r="I51" s="13"/>
      <c r="J51" s="13"/>
    </row>
    <row r="52" spans="1:14" s="2" customFormat="1" ht="12.75" customHeight="1" x14ac:dyDescent="0.2">
      <c r="A52" s="89">
        <v>45017</v>
      </c>
      <c r="B52" s="91" t="s">
        <v>11</v>
      </c>
      <c r="C52" s="76" t="s">
        <v>92</v>
      </c>
      <c r="D52" s="116" t="s">
        <v>29</v>
      </c>
      <c r="E52" s="31"/>
      <c r="F52" s="2">
        <v>16615</v>
      </c>
      <c r="G52" s="30"/>
      <c r="I52" s="13"/>
      <c r="J52" s="13"/>
    </row>
    <row r="53" spans="1:14" s="2" customFormat="1" ht="12.75" customHeight="1" x14ac:dyDescent="0.2">
      <c r="A53" s="89">
        <v>45017</v>
      </c>
      <c r="B53" s="91" t="s">
        <v>11</v>
      </c>
      <c r="C53" s="76" t="s">
        <v>34</v>
      </c>
      <c r="D53" s="116" t="s">
        <v>29</v>
      </c>
      <c r="E53" s="31"/>
      <c r="F53" s="2">
        <v>155000</v>
      </c>
      <c r="G53" s="30"/>
      <c r="I53" s="13"/>
      <c r="J53" s="13"/>
    </row>
    <row r="54" spans="1:14" s="2" customFormat="1" ht="12.75" customHeight="1" x14ac:dyDescent="0.2">
      <c r="A54" s="89">
        <v>45017</v>
      </c>
      <c r="B54" s="91" t="s">
        <v>11</v>
      </c>
      <c r="C54" s="76" t="s">
        <v>486</v>
      </c>
      <c r="D54" s="116" t="s">
        <v>29</v>
      </c>
      <c r="E54" s="31"/>
      <c r="F54" s="2">
        <v>500000</v>
      </c>
      <c r="G54" s="30"/>
      <c r="I54" s="13"/>
      <c r="J54" s="13"/>
    </row>
    <row r="55" spans="1:14" s="2" customFormat="1" ht="12.75" customHeight="1" x14ac:dyDescent="0.2">
      <c r="A55" s="89">
        <v>45017</v>
      </c>
      <c r="B55" s="91" t="s">
        <v>11</v>
      </c>
      <c r="C55" s="76" t="s">
        <v>198</v>
      </c>
      <c r="D55" s="116" t="s">
        <v>29</v>
      </c>
      <c r="E55" s="31"/>
      <c r="F55" s="2">
        <v>700000</v>
      </c>
      <c r="G55" s="30"/>
      <c r="I55" s="13"/>
      <c r="J55" s="13"/>
    </row>
    <row r="56" spans="1:14" s="2" customFormat="1" ht="12.75" customHeight="1" x14ac:dyDescent="0.2">
      <c r="A56" s="89">
        <v>45017</v>
      </c>
      <c r="B56" s="91" t="s">
        <v>11</v>
      </c>
      <c r="C56" s="76" t="s">
        <v>443</v>
      </c>
      <c r="D56" s="116" t="s">
        <v>29</v>
      </c>
      <c r="E56" s="31"/>
      <c r="F56" s="2">
        <v>700000</v>
      </c>
      <c r="G56" s="30"/>
      <c r="I56" s="13"/>
      <c r="J56" s="13"/>
    </row>
    <row r="57" spans="1:14" s="2" customFormat="1" ht="12.75" customHeight="1" x14ac:dyDescent="0.2">
      <c r="A57" s="89">
        <v>45017</v>
      </c>
      <c r="B57" s="91" t="s">
        <v>11</v>
      </c>
      <c r="C57" s="76" t="s">
        <v>62</v>
      </c>
      <c r="D57" s="116" t="s">
        <v>29</v>
      </c>
      <c r="E57" s="31"/>
      <c r="F57" s="2">
        <v>20000</v>
      </c>
      <c r="G57" s="30"/>
      <c r="J57" s="99" t="s">
        <v>601</v>
      </c>
      <c r="K57" s="99" t="s">
        <v>779</v>
      </c>
    </row>
    <row r="58" spans="1:14" s="2" customFormat="1" ht="12.75" customHeight="1" x14ac:dyDescent="0.25">
      <c r="A58" s="32"/>
      <c r="B58" s="33"/>
      <c r="C58" s="14"/>
      <c r="D58" s="34"/>
      <c r="E58" s="16">
        <f>SUM(E12:E57)</f>
        <v>9324689.5600000005</v>
      </c>
      <c r="F58" s="16">
        <f>SUM(F12:F57)</f>
        <v>346129937.34000015</v>
      </c>
      <c r="G58" s="30"/>
      <c r="H58" s="1"/>
      <c r="I58" s="39">
        <v>337201028.77999997</v>
      </c>
      <c r="K58" s="92">
        <f>E59-I58</f>
        <v>-395780.99999982119</v>
      </c>
      <c r="L58" s="41"/>
      <c r="M58" s="42">
        <f>K58+J58</f>
        <v>-395780.99999982119</v>
      </c>
      <c r="N58" s="1"/>
    </row>
    <row r="59" spans="1:14" s="2" customFormat="1" x14ac:dyDescent="0.2">
      <c r="A59" s="36"/>
      <c r="B59" s="28" t="s">
        <v>11</v>
      </c>
      <c r="C59" s="19" t="s">
        <v>65</v>
      </c>
      <c r="D59" s="37"/>
      <c r="E59" s="38">
        <f>F58-E58</f>
        <v>336805247.78000015</v>
      </c>
      <c r="F59" s="22"/>
      <c r="G59" s="1"/>
      <c r="H59" s="1"/>
      <c r="J59" s="1"/>
      <c r="K59" s="1"/>
      <c r="L59" s="1"/>
      <c r="M59" s="1"/>
      <c r="N59" s="1"/>
    </row>
    <row r="60" spans="1:14" x14ac:dyDescent="0.2">
      <c r="A60" s="36"/>
      <c r="B60" s="28" t="s">
        <v>66</v>
      </c>
      <c r="C60" s="43" t="s">
        <v>67</v>
      </c>
      <c r="D60" s="43"/>
      <c r="E60" s="12">
        <v>0</v>
      </c>
      <c r="F60" s="22"/>
      <c r="H60" s="40"/>
      <c r="I60" s="45">
        <v>30.57</v>
      </c>
      <c r="J60" s="46"/>
      <c r="K60" s="46"/>
      <c r="L60" s="13"/>
      <c r="M60" s="2"/>
      <c r="N60" s="2"/>
    </row>
    <row r="61" spans="1:14" ht="15" x14ac:dyDescent="0.25">
      <c r="A61" s="36"/>
      <c r="B61" s="28"/>
      <c r="C61" s="44" t="s">
        <v>68</v>
      </c>
      <c r="D61" s="43"/>
      <c r="E61" s="7">
        <f>E59+E60</f>
        <v>336805247.78000015</v>
      </c>
      <c r="F61" s="22"/>
      <c r="H61" s="103" t="s">
        <v>69</v>
      </c>
      <c r="I61" s="45">
        <v>0</v>
      </c>
      <c r="J61" s="46"/>
      <c r="K61" s="46"/>
      <c r="L61" s="2"/>
      <c r="M61" s="2"/>
      <c r="N61" s="2"/>
    </row>
    <row r="62" spans="1:14" s="2" customFormat="1" x14ac:dyDescent="0.2">
      <c r="A62" s="24"/>
      <c r="B62" s="1"/>
      <c r="C62" s="14"/>
      <c r="D62" s="25"/>
      <c r="E62" s="1"/>
      <c r="H62" s="35" t="s">
        <v>70</v>
      </c>
      <c r="I62" s="45">
        <v>0</v>
      </c>
      <c r="J62" s="46">
        <f>+I63-D65</f>
        <v>0</v>
      </c>
      <c r="M62" s="2">
        <v>19.57</v>
      </c>
      <c r="N62" s="2" t="s">
        <v>535</v>
      </c>
    </row>
    <row r="63" spans="1:14" s="2" customFormat="1" x14ac:dyDescent="0.2">
      <c r="A63" s="24"/>
      <c r="B63" s="1"/>
      <c r="C63" s="56"/>
      <c r="D63" s="56"/>
      <c r="E63" s="104"/>
      <c r="G63" s="1"/>
      <c r="I63" s="49">
        <f>SUM(I60:I62)</f>
        <v>30.57</v>
      </c>
      <c r="J63" s="46"/>
      <c r="K63" s="46"/>
    </row>
    <row r="64" spans="1:14" s="2" customFormat="1" x14ac:dyDescent="0.2">
      <c r="A64" s="24"/>
      <c r="B64" s="1"/>
      <c r="C64" s="78" t="s">
        <v>575</v>
      </c>
      <c r="D64" s="48" t="s">
        <v>576</v>
      </c>
      <c r="E64" s="104"/>
      <c r="G64" s="1"/>
    </row>
    <row r="65" spans="1:13" s="2" customFormat="1" x14ac:dyDescent="0.2">
      <c r="A65" s="24"/>
      <c r="B65" s="1"/>
      <c r="C65" s="47" t="s">
        <v>570</v>
      </c>
      <c r="D65" s="111">
        <v>30.57</v>
      </c>
      <c r="E65" s="104"/>
      <c r="G65" s="1"/>
      <c r="H65" s="110" t="s">
        <v>581</v>
      </c>
    </row>
    <row r="66" spans="1:13" s="2" customFormat="1" x14ac:dyDescent="0.2">
      <c r="A66" s="24"/>
      <c r="B66" s="1"/>
      <c r="C66" s="47" t="s">
        <v>571</v>
      </c>
      <c r="D66" s="111">
        <v>0</v>
      </c>
      <c r="E66" s="104"/>
      <c r="G66" s="1"/>
      <c r="H66" s="110" t="s">
        <v>580</v>
      </c>
    </row>
    <row r="67" spans="1:13" s="2" customFormat="1" x14ac:dyDescent="0.2">
      <c r="A67" s="24"/>
      <c r="B67" s="1"/>
      <c r="C67" s="47" t="s">
        <v>572</v>
      </c>
      <c r="D67" s="111">
        <f>+D83/100000</f>
        <v>0</v>
      </c>
      <c r="E67" s="104"/>
      <c r="G67" s="1"/>
      <c r="H67" s="90" t="s">
        <v>587</v>
      </c>
    </row>
    <row r="68" spans="1:13" s="2" customFormat="1" x14ac:dyDescent="0.2">
      <c r="A68" s="24"/>
      <c r="B68" s="1"/>
      <c r="C68" s="108" t="s">
        <v>578</v>
      </c>
      <c r="D68" s="48">
        <f>SUM(D65:D67)</f>
        <v>30.57</v>
      </c>
      <c r="E68" s="104"/>
      <c r="G68" s="1"/>
    </row>
    <row r="69" spans="1:13" s="2" customFormat="1" x14ac:dyDescent="0.2">
      <c r="A69" s="24"/>
      <c r="B69" s="1"/>
      <c r="C69" s="47"/>
      <c r="D69" s="107"/>
      <c r="E69" s="104"/>
      <c r="G69" s="1"/>
    </row>
    <row r="70" spans="1:13" s="2" customFormat="1" x14ac:dyDescent="0.2">
      <c r="A70" s="24"/>
      <c r="B70" s="1"/>
      <c r="C70" s="47" t="s">
        <v>573</v>
      </c>
      <c r="D70" s="111">
        <v>0</v>
      </c>
      <c r="E70" s="104"/>
      <c r="G70" s="1"/>
      <c r="H70" s="110" t="s">
        <v>581</v>
      </c>
    </row>
    <row r="71" spans="1:13" s="2" customFormat="1" x14ac:dyDescent="0.2">
      <c r="A71" s="24"/>
      <c r="B71" s="1"/>
      <c r="C71" s="47" t="s">
        <v>574</v>
      </c>
      <c r="D71" s="111">
        <v>0</v>
      </c>
      <c r="E71" s="104"/>
      <c r="G71" s="1"/>
      <c r="H71" s="110" t="s">
        <v>581</v>
      </c>
      <c r="J71" s="114" t="s">
        <v>713</v>
      </c>
    </row>
    <row r="72" spans="1:13" s="2" customFormat="1" x14ac:dyDescent="0.2">
      <c r="A72" s="24"/>
      <c r="B72" s="1"/>
      <c r="C72" s="78" t="s">
        <v>579</v>
      </c>
      <c r="D72" s="109">
        <f>D70+D71</f>
        <v>0</v>
      </c>
      <c r="E72" s="104"/>
      <c r="G72" s="1"/>
      <c r="I72" s="113"/>
      <c r="J72" s="113" t="s">
        <v>709</v>
      </c>
      <c r="K72" s="113" t="s">
        <v>710</v>
      </c>
      <c r="L72" s="113" t="s">
        <v>711</v>
      </c>
      <c r="M72" s="113" t="s">
        <v>712</v>
      </c>
    </row>
    <row r="73" spans="1:13" s="2" customFormat="1" x14ac:dyDescent="0.2">
      <c r="A73" s="24"/>
      <c r="B73" s="1"/>
      <c r="C73" s="105"/>
      <c r="D73" s="106"/>
      <c r="E73" s="104"/>
      <c r="G73" s="1"/>
      <c r="I73" s="113" t="s">
        <v>706</v>
      </c>
      <c r="J73" s="115"/>
      <c r="K73" s="115">
        <v>968.99</v>
      </c>
      <c r="L73" s="115">
        <v>968.99</v>
      </c>
      <c r="M73" s="113">
        <f>+J73+L73-K73</f>
        <v>0</v>
      </c>
    </row>
    <row r="74" spans="1:13" s="2" customFormat="1" x14ac:dyDescent="0.2">
      <c r="A74" s="24"/>
      <c r="B74" s="1"/>
      <c r="C74" s="78" t="s">
        <v>577</v>
      </c>
      <c r="D74" s="109">
        <f>D65+D72</f>
        <v>30.57</v>
      </c>
      <c r="E74" s="104"/>
      <c r="G74" s="1"/>
      <c r="I74" s="113" t="s">
        <v>707</v>
      </c>
      <c r="J74" s="115">
        <v>183.1</v>
      </c>
      <c r="K74" s="115">
        <v>1441.54</v>
      </c>
      <c r="L74" s="115">
        <v>1915.21</v>
      </c>
      <c r="M74" s="113">
        <f>+J74+L74-K74</f>
        <v>656.77</v>
      </c>
    </row>
    <row r="75" spans="1:13" s="2" customFormat="1" x14ac:dyDescent="0.2">
      <c r="A75" s="24"/>
      <c r="B75" s="1"/>
      <c r="C75" s="56"/>
      <c r="D75" s="56"/>
      <c r="E75" s="104"/>
      <c r="G75" s="1"/>
      <c r="I75" s="113" t="s">
        <v>708</v>
      </c>
      <c r="J75" s="115">
        <v>1371.02</v>
      </c>
      <c r="K75" s="115">
        <v>9939.51</v>
      </c>
      <c r="L75" s="115">
        <v>10293.290000000001</v>
      </c>
      <c r="M75" s="113">
        <f>+J75+L75-K75</f>
        <v>1724.8000000000011</v>
      </c>
    </row>
    <row r="76" spans="1:13" s="2" customFormat="1" ht="38.25" x14ac:dyDescent="0.2">
      <c r="A76" s="24"/>
      <c r="B76" s="1"/>
      <c r="C76" s="79" t="str">
        <f>"Particulars ( 01-04-2021 to "&amp;TEXT(A5,"dd-mm-yyyy")&amp;" )"</f>
        <v>Particulars ( 01-04-2021 to 01-04-2023 )</v>
      </c>
      <c r="D76" s="80" t="s">
        <v>73</v>
      </c>
      <c r="E76" s="80" t="s">
        <v>74</v>
      </c>
      <c r="F76" s="81" t="s">
        <v>75</v>
      </c>
      <c r="G76" s="80" t="s">
        <v>76</v>
      </c>
      <c r="J76" s="118">
        <f>SUM(J73:J75)</f>
        <v>1554.12</v>
      </c>
      <c r="K76" s="118">
        <f>SUM(K73:K75)</f>
        <v>12350.04</v>
      </c>
      <c r="L76" s="118">
        <f>SUM(L73:L75)</f>
        <v>13177.490000000002</v>
      </c>
      <c r="M76" s="118">
        <f>SUM(M73:M75)</f>
        <v>2381.5700000000011</v>
      </c>
    </row>
    <row r="77" spans="1:13" s="2" customFormat="1" x14ac:dyDescent="0.2">
      <c r="A77" s="24"/>
      <c r="B77" s="1"/>
      <c r="C77" s="50" t="s">
        <v>444</v>
      </c>
      <c r="D77" s="55">
        <f>+L73+L74+J74</f>
        <v>3067.2999999999997</v>
      </c>
      <c r="E77" s="55">
        <f>+K73+K74</f>
        <v>2410.5299999999997</v>
      </c>
      <c r="F77" s="55">
        <f>+D77-E77</f>
        <v>656.77</v>
      </c>
      <c r="G77" s="55">
        <f>1500-F77</f>
        <v>843.23</v>
      </c>
      <c r="H77" s="2" t="s">
        <v>396</v>
      </c>
    </row>
    <row r="78" spans="1:13" s="2" customFormat="1" x14ac:dyDescent="0.2">
      <c r="A78" s="24"/>
      <c r="B78" s="1"/>
      <c r="C78" s="50" t="s">
        <v>71</v>
      </c>
      <c r="D78" s="55">
        <f>+J75+L75</f>
        <v>11664.310000000001</v>
      </c>
      <c r="E78" s="55">
        <f>+K75</f>
        <v>9939.51</v>
      </c>
      <c r="F78" s="55">
        <f>+D78-E78</f>
        <v>1724.8000000000011</v>
      </c>
      <c r="G78" s="55">
        <f>1500+700-F78</f>
        <v>475.19999999999891</v>
      </c>
      <c r="H78" s="2" t="s">
        <v>396</v>
      </c>
    </row>
    <row r="79" spans="1:13" s="2" customFormat="1" x14ac:dyDescent="0.2">
      <c r="A79" s="24"/>
      <c r="B79" s="1"/>
      <c r="C79" s="14"/>
      <c r="D79" s="56"/>
      <c r="E79" s="13"/>
      <c r="G79" s="1"/>
    </row>
    <row r="80" spans="1:13" s="2" customFormat="1" x14ac:dyDescent="0.2">
      <c r="A80" s="215" t="s">
        <v>80</v>
      </c>
      <c r="B80" s="216"/>
      <c r="C80" s="216"/>
      <c r="D80" s="217"/>
      <c r="E80" s="69"/>
      <c r="F80" s="70"/>
      <c r="G80" s="1"/>
      <c r="H80" s="53"/>
    </row>
    <row r="81" spans="1:13" s="2" customFormat="1" x14ac:dyDescent="0.2">
      <c r="A81" s="71" t="s">
        <v>81</v>
      </c>
      <c r="B81" s="71"/>
      <c r="C81" s="72" t="s">
        <v>82</v>
      </c>
      <c r="D81" s="73" t="s">
        <v>83</v>
      </c>
      <c r="E81" s="69"/>
      <c r="F81" s="70"/>
      <c r="H81" s="53"/>
    </row>
    <row r="82" spans="1:13" s="2" customFormat="1" x14ac:dyDescent="0.2">
      <c r="A82" s="87"/>
      <c r="B82" s="74"/>
      <c r="C82" s="75"/>
      <c r="D82" s="88"/>
      <c r="G82" s="1"/>
      <c r="L82" s="1"/>
      <c r="M82" s="1"/>
    </row>
    <row r="83" spans="1:13" s="2" customFormat="1" x14ac:dyDescent="0.2">
      <c r="A83" s="87"/>
      <c r="B83" s="74"/>
      <c r="C83" s="75"/>
      <c r="D83" s="51">
        <f>SUM(D82:D82)</f>
        <v>0</v>
      </c>
      <c r="F83" s="2" t="s">
        <v>396</v>
      </c>
      <c r="G83" s="1"/>
      <c r="I83" s="1"/>
      <c r="J83" s="1"/>
      <c r="K83" s="1"/>
      <c r="L83" s="1"/>
      <c r="M83" s="1"/>
    </row>
    <row r="84" spans="1:13" s="2" customFormat="1" x14ac:dyDescent="0.2">
      <c r="A84" s="8"/>
      <c r="B84" s="93"/>
      <c r="C84" s="76"/>
      <c r="D84" s="56"/>
      <c r="G84" s="1"/>
      <c r="I84" s="1"/>
      <c r="J84" s="1"/>
      <c r="K84" s="1"/>
      <c r="L84" s="1"/>
      <c r="M84" s="1"/>
    </row>
    <row r="85" spans="1:13" s="2" customFormat="1" x14ac:dyDescent="0.2">
      <c r="A85" s="24"/>
      <c r="B85" s="1"/>
      <c r="C85" s="52"/>
      <c r="D85" s="85"/>
      <c r="E85" s="53"/>
      <c r="F85" s="53"/>
      <c r="G85" s="54"/>
      <c r="I85" s="1"/>
      <c r="J85" s="1"/>
      <c r="K85" s="1"/>
      <c r="L85" s="1"/>
      <c r="M85" s="1"/>
    </row>
    <row r="86" spans="1:13" s="2" customFormat="1" x14ac:dyDescent="0.2">
      <c r="A86" s="24"/>
      <c r="B86" s="1"/>
      <c r="C86" s="218" t="s">
        <v>77</v>
      </c>
      <c r="D86" s="219"/>
      <c r="E86" s="219"/>
      <c r="F86" s="220"/>
      <c r="G86" s="54"/>
      <c r="I86" s="1"/>
      <c r="J86" s="1"/>
      <c r="K86" s="1"/>
      <c r="L86" s="1"/>
      <c r="M86" s="1"/>
    </row>
    <row r="87" spans="1:13" s="2" customFormat="1" x14ac:dyDescent="0.2">
      <c r="A87" s="24"/>
      <c r="B87" s="1"/>
      <c r="C87" s="50"/>
      <c r="D87" s="57" t="s">
        <v>78</v>
      </c>
      <c r="E87" s="58" t="s">
        <v>79</v>
      </c>
      <c r="F87" s="57" t="s">
        <v>72</v>
      </c>
      <c r="G87" s="54"/>
      <c r="I87" s="1"/>
      <c r="J87" s="1"/>
      <c r="K87" s="1"/>
      <c r="L87" s="1"/>
      <c r="M87" s="1"/>
    </row>
    <row r="88" spans="1:13" s="2" customFormat="1" x14ac:dyDescent="0.2">
      <c r="A88" s="24"/>
      <c r="B88" s="1"/>
      <c r="C88" s="59" t="str">
        <f>"01-03-2023 to "&amp;TEXT(A5-2,"dd-mm-yyyy")</f>
        <v>01-03-2023 to 30-03-2023</v>
      </c>
      <c r="D88" s="60">
        <v>4028.22</v>
      </c>
      <c r="E88" s="60">
        <v>460.46</v>
      </c>
      <c r="F88" s="61">
        <f>SUM(D88:E88)</f>
        <v>4488.6799999999994</v>
      </c>
      <c r="G88" s="54"/>
      <c r="I88" s="1"/>
      <c r="J88" s="1"/>
      <c r="K88" s="1"/>
      <c r="L88" s="1"/>
      <c r="M88" s="1"/>
    </row>
    <row r="89" spans="1:13" s="2" customFormat="1" x14ac:dyDescent="0.2">
      <c r="A89" s="24"/>
      <c r="B89" s="1"/>
      <c r="C89" s="62" t="str">
        <f>TEXT(A5-1,"dd-mm-yyyy")</f>
        <v>31-03-2023</v>
      </c>
      <c r="D89" s="60">
        <v>67.36</v>
      </c>
      <c r="E89" s="60">
        <v>15.71</v>
      </c>
      <c r="F89" s="61">
        <f>SUM(D89:E89)</f>
        <v>83.07</v>
      </c>
      <c r="G89" s="54"/>
      <c r="I89" s="1"/>
      <c r="J89" s="1"/>
      <c r="K89" s="1"/>
      <c r="L89" s="1"/>
      <c r="M89" s="1"/>
    </row>
    <row r="90" spans="1:13" ht="13.5" thickBot="1" x14ac:dyDescent="0.25">
      <c r="C90" s="63" t="str">
        <f>"01-03-2023 to "&amp;TEXT(A5-1,"dd-mm-yyyy")</f>
        <v>01-03-2023 to 31-03-2023</v>
      </c>
      <c r="D90" s="64">
        <f>SUM(D88:D89)</f>
        <v>4095.58</v>
      </c>
      <c r="E90" s="64">
        <f>SUM(E88:E89)</f>
        <v>476.16999999999996</v>
      </c>
      <c r="F90" s="64">
        <f>SUM(F88:F89)</f>
        <v>4571.7499999999991</v>
      </c>
      <c r="G90" s="54"/>
    </row>
    <row r="91" spans="1:13" s="2" customFormat="1" ht="13.5" thickTop="1" x14ac:dyDescent="0.2">
      <c r="A91" s="24"/>
      <c r="B91" s="1"/>
      <c r="C91" s="62"/>
      <c r="D91" s="65"/>
      <c r="E91" s="66"/>
      <c r="F91" s="67"/>
      <c r="G91" s="54"/>
      <c r="H91" s="53"/>
    </row>
    <row r="92" spans="1:13" x14ac:dyDescent="0.2">
      <c r="C92" s="62" t="str">
        <f>"01-04-2022 to " &amp;C89</f>
        <v>01-04-2022 to 31-03-2023</v>
      </c>
      <c r="D92" s="68">
        <f>+D90+39037.5</f>
        <v>43133.08</v>
      </c>
      <c r="E92" s="68">
        <f>+E90+4471.62</f>
        <v>4947.79</v>
      </c>
      <c r="F92" s="68">
        <f>+F90+43509.14</f>
        <v>48080.89</v>
      </c>
      <c r="G92" s="54"/>
      <c r="H92" s="53" t="s">
        <v>396</v>
      </c>
    </row>
    <row r="93" spans="1:13" x14ac:dyDescent="0.2">
      <c r="C93" s="52"/>
      <c r="D93" s="85"/>
      <c r="E93" s="53"/>
      <c r="F93" s="53"/>
      <c r="G93" s="54"/>
      <c r="H93" s="53" t="s">
        <v>396</v>
      </c>
      <c r="J93" s="42"/>
    </row>
    <row r="94" spans="1:13" x14ac:dyDescent="0.2">
      <c r="C94" s="52"/>
      <c r="D94" s="85"/>
      <c r="E94" s="53"/>
      <c r="F94" s="53"/>
      <c r="G94" s="54"/>
      <c r="H94" s="53"/>
      <c r="I94" s="101"/>
    </row>
    <row r="95" spans="1:13" x14ac:dyDescent="0.2">
      <c r="C95" s="52"/>
      <c r="D95" s="85"/>
      <c r="E95" s="53"/>
      <c r="F95" s="53"/>
      <c r="G95" s="54"/>
      <c r="H95" s="53"/>
    </row>
    <row r="96" spans="1:13" x14ac:dyDescent="0.2">
      <c r="C96" s="52"/>
      <c r="D96" s="85"/>
      <c r="E96" s="53"/>
      <c r="F96" s="53"/>
      <c r="G96" s="54"/>
      <c r="H96" s="53"/>
    </row>
    <row r="97" spans="8:8" x14ac:dyDescent="0.2">
      <c r="H97" s="53"/>
    </row>
  </sheetData>
  <mergeCells count="5">
    <mergeCell ref="A1:G1"/>
    <mergeCell ref="A3:F3"/>
    <mergeCell ref="A10:F10"/>
    <mergeCell ref="A80:D80"/>
    <mergeCell ref="C86:F86"/>
  </mergeCells>
  <conditionalFormatting sqref="G77:G78">
    <cfRule type="cellIs" dxfId="670" priority="1" operator="lessThan">
      <formula>0</formula>
    </cfRule>
  </conditionalFormatting>
  <conditionalFormatting sqref="C12">
    <cfRule type="duplicateValues" dxfId="669" priority="2"/>
  </conditionalFormatting>
  <conditionalFormatting sqref="C35:C57 C13:C25 C27:C33">
    <cfRule type="duplicateValues" dxfId="668" priority="414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96">
    <pageSetUpPr fitToPage="1"/>
  </sheetPr>
  <dimension ref="A1:N79"/>
  <sheetViews>
    <sheetView topLeftCell="A23" zoomScaleNormal="100" workbookViewId="0">
      <selection activeCell="H44" sqref="H44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49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839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2.75" customHeight="1" x14ac:dyDescent="0.4">
      <c r="A5" s="89">
        <v>45019</v>
      </c>
      <c r="B5" s="9" t="s">
        <v>6</v>
      </c>
      <c r="C5" s="10" t="s">
        <v>7</v>
      </c>
      <c r="D5" s="11"/>
      <c r="E5" s="12">
        <v>777226.69999999867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777226.69999999867</v>
      </c>
      <c r="F6" s="16">
        <f>SUM(F5:F5)</f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E6-F6</f>
        <v>777226.69999999867</v>
      </c>
      <c r="F7" s="22"/>
      <c r="G7" s="23"/>
      <c r="H7" s="112"/>
      <c r="I7" s="112"/>
      <c r="J7" s="13"/>
    </row>
    <row r="8" spans="1:10" s="2" customFormat="1" ht="12.75" customHeight="1" x14ac:dyDescent="0.4">
      <c r="A8" s="24"/>
      <c r="B8" s="1"/>
      <c r="C8" s="14"/>
      <c r="D8" s="25"/>
      <c r="G8" s="23"/>
      <c r="H8" s="112"/>
      <c r="I8" s="112"/>
      <c r="J8" s="13"/>
    </row>
    <row r="9" spans="1:10" s="2" customFormat="1" ht="21.75" customHeight="1" x14ac:dyDescent="0.4">
      <c r="A9" s="214" t="s">
        <v>10</v>
      </c>
      <c r="B9" s="214"/>
      <c r="C9" s="214"/>
      <c r="D9" s="214"/>
      <c r="E9" s="214"/>
      <c r="F9" s="214"/>
      <c r="G9" s="13"/>
      <c r="H9" s="112"/>
      <c r="I9" s="112"/>
      <c r="J9" s="13"/>
    </row>
    <row r="10" spans="1:10" s="2" customFormat="1" ht="12.75" customHeight="1" x14ac:dyDescent="0.4">
      <c r="A10" s="26" t="s">
        <v>1</v>
      </c>
      <c r="B10" s="27" t="s">
        <v>2</v>
      </c>
      <c r="C10" s="5"/>
      <c r="D10" s="6" t="s">
        <v>3</v>
      </c>
      <c r="E10" s="7" t="s">
        <v>4</v>
      </c>
      <c r="F10" s="7" t="s">
        <v>5</v>
      </c>
      <c r="G10" s="23"/>
      <c r="H10" s="112"/>
      <c r="I10" s="112"/>
      <c r="J10" s="13"/>
    </row>
    <row r="11" spans="1:10" s="2" customFormat="1" ht="12.75" customHeight="1" x14ac:dyDescent="0.2">
      <c r="A11" s="89">
        <v>45019</v>
      </c>
      <c r="B11" s="91" t="s">
        <v>11</v>
      </c>
      <c r="C11" s="29" t="s">
        <v>7</v>
      </c>
      <c r="D11" s="25"/>
      <c r="E11" s="31"/>
      <c r="F11" s="2">
        <v>336805247.78000015</v>
      </c>
      <c r="G11" s="30"/>
      <c r="I11" s="13"/>
      <c r="J11" s="13"/>
    </row>
    <row r="12" spans="1:10" s="2" customFormat="1" ht="12.75" customHeight="1" x14ac:dyDescent="0.2">
      <c r="A12" s="89">
        <v>45019</v>
      </c>
      <c r="B12" s="91" t="s">
        <v>6</v>
      </c>
      <c r="C12" s="76" t="s">
        <v>366</v>
      </c>
      <c r="D12" s="116" t="s">
        <v>13</v>
      </c>
      <c r="E12" s="31">
        <v>2135203</v>
      </c>
      <c r="G12" s="30"/>
      <c r="I12" s="13"/>
      <c r="J12" s="13"/>
    </row>
    <row r="13" spans="1:10" s="2" customFormat="1" ht="12.75" customHeight="1" x14ac:dyDescent="0.2">
      <c r="A13" s="89">
        <v>45019</v>
      </c>
      <c r="B13" s="91" t="s">
        <v>6</v>
      </c>
      <c r="C13" s="76" t="s">
        <v>638</v>
      </c>
      <c r="D13" s="116" t="s">
        <v>13</v>
      </c>
      <c r="E13" s="31">
        <v>241397</v>
      </c>
      <c r="G13" s="30"/>
      <c r="I13" s="13"/>
      <c r="J13" s="13"/>
    </row>
    <row r="14" spans="1:10" s="2" customFormat="1" ht="12.75" customHeight="1" x14ac:dyDescent="0.2">
      <c r="A14" s="89">
        <v>45019</v>
      </c>
      <c r="B14" s="91" t="s">
        <v>6</v>
      </c>
      <c r="C14" s="76" t="s">
        <v>93</v>
      </c>
      <c r="D14" s="116" t="s">
        <v>13</v>
      </c>
      <c r="E14" s="31">
        <v>2002913</v>
      </c>
      <c r="G14" s="30"/>
      <c r="I14" s="13"/>
      <c r="J14" s="13"/>
    </row>
    <row r="15" spans="1:10" s="2" customFormat="1" ht="12.75" customHeight="1" x14ac:dyDescent="0.2">
      <c r="A15" s="89">
        <v>45019</v>
      </c>
      <c r="B15" s="91" t="s">
        <v>6</v>
      </c>
      <c r="C15" s="76" t="s">
        <v>688</v>
      </c>
      <c r="D15" s="116" t="s">
        <v>13</v>
      </c>
      <c r="E15" s="31">
        <v>193162</v>
      </c>
      <c r="G15" s="30"/>
      <c r="I15" s="13"/>
      <c r="J15" s="13"/>
    </row>
    <row r="16" spans="1:10" s="2" customFormat="1" ht="12.75" customHeight="1" x14ac:dyDescent="0.2">
      <c r="A16" s="89">
        <v>45019</v>
      </c>
      <c r="B16" s="91" t="s">
        <v>6</v>
      </c>
      <c r="C16" s="76" t="s">
        <v>19</v>
      </c>
      <c r="D16" s="116" t="s">
        <v>13</v>
      </c>
      <c r="E16" s="31">
        <v>5908154</v>
      </c>
      <c r="G16" s="30"/>
      <c r="I16" s="13"/>
      <c r="J16" s="13"/>
    </row>
    <row r="17" spans="1:10" s="2" customFormat="1" ht="12.75" customHeight="1" x14ac:dyDescent="0.2">
      <c r="A17" s="89">
        <v>45019</v>
      </c>
      <c r="B17" s="91" t="s">
        <v>6</v>
      </c>
      <c r="C17" s="76" t="s">
        <v>151</v>
      </c>
      <c r="D17" s="116" t="s">
        <v>13</v>
      </c>
      <c r="E17" s="31">
        <v>100000</v>
      </c>
      <c r="G17" s="30"/>
      <c r="I17" s="13"/>
      <c r="J17" s="13"/>
    </row>
    <row r="18" spans="1:10" s="2" customFormat="1" ht="12.75" customHeight="1" x14ac:dyDescent="0.2">
      <c r="A18" s="89">
        <v>45019</v>
      </c>
      <c r="B18" s="91" t="s">
        <v>6</v>
      </c>
      <c r="C18" s="76" t="s">
        <v>788</v>
      </c>
      <c r="D18" s="116" t="s">
        <v>13</v>
      </c>
      <c r="E18" s="31">
        <v>700000</v>
      </c>
      <c r="G18" s="30"/>
      <c r="I18" s="13"/>
      <c r="J18" s="13"/>
    </row>
    <row r="19" spans="1:10" s="2" customFormat="1" ht="12.75" customHeight="1" x14ac:dyDescent="0.2">
      <c r="A19" s="89">
        <v>45019</v>
      </c>
      <c r="B19" s="91" t="s">
        <v>6</v>
      </c>
      <c r="C19" s="76" t="s">
        <v>671</v>
      </c>
      <c r="D19" s="116" t="s">
        <v>13</v>
      </c>
      <c r="E19" s="31">
        <v>412008</v>
      </c>
      <c r="G19" s="30"/>
      <c r="I19" s="13"/>
      <c r="J19" s="13"/>
    </row>
    <row r="20" spans="1:10" s="2" customFormat="1" ht="12.75" customHeight="1" x14ac:dyDescent="0.2">
      <c r="A20" s="89">
        <v>45019</v>
      </c>
      <c r="B20" s="91" t="s">
        <v>11</v>
      </c>
      <c r="C20" s="76" t="s">
        <v>715</v>
      </c>
      <c r="D20" s="116" t="s">
        <v>29</v>
      </c>
      <c r="E20" s="31"/>
      <c r="F20" s="2">
        <v>2899050</v>
      </c>
      <c r="G20" s="30"/>
      <c r="I20" s="13"/>
      <c r="J20" s="13"/>
    </row>
    <row r="21" spans="1:10" s="2" customFormat="1" ht="12.75" customHeight="1" x14ac:dyDescent="0.2">
      <c r="A21" s="89">
        <v>45019</v>
      </c>
      <c r="B21" s="91" t="s">
        <v>11</v>
      </c>
      <c r="C21" s="76" t="s">
        <v>107</v>
      </c>
      <c r="D21" s="116" t="s">
        <v>29</v>
      </c>
      <c r="E21" s="31"/>
      <c r="F21" s="2">
        <v>165585.79999999999</v>
      </c>
      <c r="G21" s="30"/>
      <c r="I21" s="13"/>
      <c r="J21" s="13"/>
    </row>
    <row r="22" spans="1:10" s="2" customFormat="1" ht="12.75" customHeight="1" x14ac:dyDescent="0.2">
      <c r="A22" s="89">
        <v>45019</v>
      </c>
      <c r="B22" s="91" t="s">
        <v>11</v>
      </c>
      <c r="C22" s="76" t="s">
        <v>108</v>
      </c>
      <c r="D22" s="116" t="s">
        <v>29</v>
      </c>
      <c r="E22" s="31"/>
      <c r="F22" s="2">
        <v>271001.2</v>
      </c>
      <c r="G22" s="30"/>
      <c r="I22" s="13"/>
      <c r="J22" s="13"/>
    </row>
    <row r="23" spans="1:10" s="2" customFormat="1" ht="12.75" customHeight="1" x14ac:dyDescent="0.2">
      <c r="A23" s="89">
        <v>45019</v>
      </c>
      <c r="B23" s="91" t="s">
        <v>11</v>
      </c>
      <c r="C23" s="76" t="s">
        <v>64</v>
      </c>
      <c r="D23" s="116" t="s">
        <v>29</v>
      </c>
      <c r="E23" s="31"/>
      <c r="F23" s="2">
        <v>3938.17</v>
      </c>
      <c r="G23" s="30"/>
      <c r="I23" s="13"/>
      <c r="J23" s="13"/>
    </row>
    <row r="24" spans="1:10" s="2" customFormat="1" ht="12.75" customHeight="1" x14ac:dyDescent="0.2">
      <c r="A24" s="89">
        <v>45019</v>
      </c>
      <c r="B24" s="91" t="s">
        <v>11</v>
      </c>
      <c r="C24" s="76" t="s">
        <v>111</v>
      </c>
      <c r="D24" s="116" t="s">
        <v>29</v>
      </c>
      <c r="E24" s="31"/>
      <c r="F24" s="2">
        <v>3623824.09</v>
      </c>
      <c r="G24" s="30"/>
      <c r="I24" s="13"/>
      <c r="J24" s="13"/>
    </row>
    <row r="25" spans="1:10" s="2" customFormat="1" ht="12.75" customHeight="1" x14ac:dyDescent="0.2">
      <c r="A25" s="89">
        <v>45019</v>
      </c>
      <c r="B25" s="91" t="s">
        <v>11</v>
      </c>
      <c r="C25" s="76" t="s">
        <v>125</v>
      </c>
      <c r="D25" s="116" t="s">
        <v>29</v>
      </c>
      <c r="E25" s="31"/>
      <c r="F25" s="2">
        <v>936225</v>
      </c>
      <c r="G25" s="30"/>
      <c r="I25" s="13"/>
      <c r="J25" s="13"/>
    </row>
    <row r="26" spans="1:10" s="2" customFormat="1" ht="12.75" customHeight="1" x14ac:dyDescent="0.2">
      <c r="A26" s="89">
        <v>45019</v>
      </c>
      <c r="B26" s="91" t="s">
        <v>11</v>
      </c>
      <c r="C26" s="76" t="s">
        <v>840</v>
      </c>
      <c r="D26" s="116" t="s">
        <v>29</v>
      </c>
      <c r="E26" s="31"/>
      <c r="F26" s="2">
        <v>100000</v>
      </c>
      <c r="G26" s="30"/>
      <c r="I26" s="13"/>
      <c r="J26" s="13"/>
    </row>
    <row r="27" spans="1:10" s="2" customFormat="1" ht="12.75" customHeight="1" x14ac:dyDescent="0.2">
      <c r="A27" s="89">
        <v>45019</v>
      </c>
      <c r="B27" s="91" t="s">
        <v>11</v>
      </c>
      <c r="C27" s="76" t="s">
        <v>134</v>
      </c>
      <c r="D27" s="116" t="s">
        <v>29</v>
      </c>
      <c r="E27" s="31"/>
      <c r="F27" s="2">
        <v>150000</v>
      </c>
      <c r="G27" s="30"/>
      <c r="I27" s="13"/>
      <c r="J27" s="13"/>
    </row>
    <row r="28" spans="1:10" s="2" customFormat="1" ht="12.75" customHeight="1" x14ac:dyDescent="0.2">
      <c r="A28" s="89">
        <v>45019</v>
      </c>
      <c r="B28" s="91" t="s">
        <v>11</v>
      </c>
      <c r="C28" s="76" t="s">
        <v>243</v>
      </c>
      <c r="D28" s="116" t="s">
        <v>29</v>
      </c>
      <c r="E28" s="31"/>
      <c r="F28" s="2">
        <v>2356.46</v>
      </c>
      <c r="G28" s="30"/>
      <c r="I28" s="13"/>
      <c r="J28" s="13"/>
    </row>
    <row r="29" spans="1:10" s="2" customFormat="1" ht="12.75" customHeight="1" x14ac:dyDescent="0.2">
      <c r="A29" s="89">
        <v>45019</v>
      </c>
      <c r="B29" s="91" t="s">
        <v>11</v>
      </c>
      <c r="C29" s="76" t="s">
        <v>63</v>
      </c>
      <c r="D29" s="116" t="s">
        <v>29</v>
      </c>
      <c r="E29" s="31"/>
      <c r="F29" s="2">
        <v>2000000</v>
      </c>
      <c r="G29" s="30"/>
      <c r="I29" s="13"/>
      <c r="J29" s="13"/>
    </row>
    <row r="30" spans="1:10" s="2" customFormat="1" ht="12.75" customHeight="1" x14ac:dyDescent="0.2">
      <c r="A30" s="89">
        <v>45019</v>
      </c>
      <c r="B30" s="91" t="s">
        <v>11</v>
      </c>
      <c r="C30" s="76" t="s">
        <v>650</v>
      </c>
      <c r="D30" s="116" t="s">
        <v>29</v>
      </c>
      <c r="E30" s="31"/>
      <c r="F30" s="2">
        <v>936337.79</v>
      </c>
      <c r="G30" s="30"/>
      <c r="I30" s="13"/>
      <c r="J30" s="13"/>
    </row>
    <row r="31" spans="1:10" s="2" customFormat="1" ht="12.75" customHeight="1" x14ac:dyDescent="0.2">
      <c r="A31" s="89">
        <v>45019</v>
      </c>
      <c r="B31" s="91" t="s">
        <v>11</v>
      </c>
      <c r="C31" s="76" t="s">
        <v>135</v>
      </c>
      <c r="D31" s="116" t="s">
        <v>29</v>
      </c>
      <c r="E31" s="31"/>
      <c r="F31" s="2">
        <v>531525</v>
      </c>
      <c r="G31" s="30"/>
      <c r="I31" s="13"/>
      <c r="J31" s="13"/>
    </row>
    <row r="32" spans="1:10" s="2" customFormat="1" ht="12.75" customHeight="1" x14ac:dyDescent="0.2">
      <c r="A32" s="89">
        <v>45019</v>
      </c>
      <c r="B32" s="91" t="s">
        <v>11</v>
      </c>
      <c r="C32" s="76" t="s">
        <v>739</v>
      </c>
      <c r="D32" s="116" t="s">
        <v>29</v>
      </c>
      <c r="E32" s="31"/>
      <c r="F32" s="2">
        <v>1675928</v>
      </c>
      <c r="G32" s="30"/>
      <c r="I32" s="13"/>
      <c r="J32" s="13"/>
    </row>
    <row r="33" spans="1:14" s="2" customFormat="1" ht="12.75" customHeight="1" x14ac:dyDescent="0.2">
      <c r="A33" s="89">
        <v>45019</v>
      </c>
      <c r="B33" s="91" t="s">
        <v>11</v>
      </c>
      <c r="C33" s="76" t="s">
        <v>641</v>
      </c>
      <c r="D33" s="116" t="s">
        <v>29</v>
      </c>
      <c r="E33" s="31"/>
      <c r="F33" s="2">
        <v>15000</v>
      </c>
      <c r="G33" s="30"/>
      <c r="I33" s="13"/>
      <c r="J33" s="13"/>
    </row>
    <row r="34" spans="1:14" s="2" customFormat="1" ht="12.75" customHeight="1" x14ac:dyDescent="0.2">
      <c r="A34" s="89">
        <v>45019</v>
      </c>
      <c r="B34" s="91" t="s">
        <v>11</v>
      </c>
      <c r="C34" s="76" t="s">
        <v>97</v>
      </c>
      <c r="D34" s="116" t="s">
        <v>29</v>
      </c>
      <c r="E34" s="31"/>
      <c r="F34" s="2">
        <v>2779186</v>
      </c>
      <c r="G34" s="30"/>
      <c r="I34" s="13"/>
      <c r="J34" s="13"/>
    </row>
    <row r="35" spans="1:14" s="2" customFormat="1" ht="12.75" customHeight="1" x14ac:dyDescent="0.2">
      <c r="A35" s="89">
        <v>45019</v>
      </c>
      <c r="B35" s="91" t="s">
        <v>11</v>
      </c>
      <c r="C35" s="76" t="s">
        <v>555</v>
      </c>
      <c r="D35" s="116" t="s">
        <v>258</v>
      </c>
      <c r="E35" s="31"/>
      <c r="F35" s="2">
        <v>839997</v>
      </c>
      <c r="G35" s="30"/>
      <c r="I35" s="13"/>
      <c r="J35" s="13"/>
    </row>
    <row r="36" spans="1:14" s="2" customFormat="1" ht="12.75" customHeight="1" x14ac:dyDescent="0.2">
      <c r="A36" s="89">
        <v>45019</v>
      </c>
      <c r="B36" s="91" t="s">
        <v>11</v>
      </c>
      <c r="C36" s="76" t="s">
        <v>353</v>
      </c>
      <c r="D36" s="116" t="s">
        <v>29</v>
      </c>
      <c r="E36" s="31"/>
      <c r="F36" s="2">
        <v>52200</v>
      </c>
      <c r="G36" s="30"/>
      <c r="I36" s="13"/>
      <c r="J36" s="13"/>
    </row>
    <row r="37" spans="1:14" s="2" customFormat="1" ht="12.75" customHeight="1" x14ac:dyDescent="0.2">
      <c r="A37" s="89">
        <v>45019</v>
      </c>
      <c r="B37" s="91" t="s">
        <v>11</v>
      </c>
      <c r="C37" s="76" t="s">
        <v>508</v>
      </c>
      <c r="D37" s="116" t="s">
        <v>29</v>
      </c>
      <c r="E37" s="31"/>
      <c r="F37" s="2">
        <v>7000</v>
      </c>
      <c r="G37" s="30"/>
      <c r="I37" s="13"/>
      <c r="J37" s="13"/>
    </row>
    <row r="38" spans="1:14" s="2" customFormat="1" ht="12.75" customHeight="1" x14ac:dyDescent="0.2">
      <c r="A38" s="89">
        <v>45019</v>
      </c>
      <c r="B38" s="91" t="s">
        <v>11</v>
      </c>
      <c r="C38" s="76" t="s">
        <v>841</v>
      </c>
      <c r="D38" s="116" t="s">
        <v>29</v>
      </c>
      <c r="E38" s="31"/>
      <c r="F38" s="2">
        <v>2100</v>
      </c>
      <c r="G38" s="30"/>
      <c r="I38" s="13"/>
      <c r="J38" s="13"/>
    </row>
    <row r="39" spans="1:14" s="2" customFormat="1" ht="12.75" customHeight="1" x14ac:dyDescent="0.2">
      <c r="A39" s="89">
        <v>45019</v>
      </c>
      <c r="B39" s="91" t="s">
        <v>11</v>
      </c>
      <c r="C39" s="76" t="s">
        <v>52</v>
      </c>
      <c r="D39" s="116" t="s">
        <v>29</v>
      </c>
      <c r="E39" s="31"/>
      <c r="F39" s="2">
        <v>317932</v>
      </c>
      <c r="G39" s="30"/>
      <c r="I39" s="13"/>
      <c r="J39" s="99" t="s">
        <v>601</v>
      </c>
      <c r="K39" s="99" t="s">
        <v>779</v>
      </c>
    </row>
    <row r="40" spans="1:14" s="2" customFormat="1" ht="12.75" customHeight="1" x14ac:dyDescent="0.25">
      <c r="A40" s="32"/>
      <c r="B40" s="33"/>
      <c r="C40" s="14"/>
      <c r="D40" s="34"/>
      <c r="E40" s="16">
        <f>SUM(E11:E39)</f>
        <v>11692837</v>
      </c>
      <c r="F40" s="16">
        <f>SUM(F11:F39)</f>
        <v>354114434.29000014</v>
      </c>
      <c r="G40" s="30"/>
      <c r="H40" s="1"/>
      <c r="I40" s="39">
        <v>342817378.29000002</v>
      </c>
      <c r="K40" s="92">
        <f>E41-I40</f>
        <v>-395780.99999988079</v>
      </c>
      <c r="L40" s="41"/>
      <c r="M40" s="42">
        <f>K40+J40</f>
        <v>-395780.99999988079</v>
      </c>
      <c r="N40" s="1"/>
    </row>
    <row r="41" spans="1:14" s="2" customFormat="1" x14ac:dyDescent="0.2">
      <c r="A41" s="36"/>
      <c r="B41" s="28" t="s">
        <v>11</v>
      </c>
      <c r="C41" s="19" t="s">
        <v>65</v>
      </c>
      <c r="D41" s="37"/>
      <c r="E41" s="38">
        <f>F40-E40</f>
        <v>342421597.29000014</v>
      </c>
      <c r="F41" s="22"/>
      <c r="G41" s="1"/>
      <c r="H41" s="1"/>
      <c r="J41" s="1"/>
      <c r="K41" s="1"/>
      <c r="L41" s="1"/>
      <c r="M41" s="1"/>
      <c r="N41" s="1"/>
    </row>
    <row r="42" spans="1:14" x14ac:dyDescent="0.2">
      <c r="A42" s="36"/>
      <c r="B42" s="28" t="s">
        <v>66</v>
      </c>
      <c r="C42" s="43" t="s">
        <v>67</v>
      </c>
      <c r="D42" s="43"/>
      <c r="E42" s="12">
        <v>0</v>
      </c>
      <c r="F42" s="22"/>
      <c r="H42" s="40"/>
      <c r="I42" s="45">
        <v>147.52000000000001</v>
      </c>
      <c r="J42" s="46"/>
      <c r="K42" s="46"/>
      <c r="L42" s="13"/>
      <c r="M42" s="2"/>
      <c r="N42" s="2"/>
    </row>
    <row r="43" spans="1:14" ht="15" x14ac:dyDescent="0.25">
      <c r="A43" s="36"/>
      <c r="B43" s="28"/>
      <c r="C43" s="44" t="s">
        <v>68</v>
      </c>
      <c r="D43" s="43"/>
      <c r="E43" s="7">
        <f>E41+E42</f>
        <v>342421597.29000014</v>
      </c>
      <c r="F43" s="22"/>
      <c r="H43" s="103" t="s">
        <v>69</v>
      </c>
      <c r="I43" s="45">
        <v>-8.4</v>
      </c>
      <c r="J43" s="46"/>
      <c r="K43" s="46"/>
      <c r="L43" s="2"/>
      <c r="M43" s="2"/>
      <c r="N43" s="2"/>
    </row>
    <row r="44" spans="1:14" s="2" customFormat="1" x14ac:dyDescent="0.2">
      <c r="A44" s="24"/>
      <c r="B44" s="1"/>
      <c r="C44" s="14"/>
      <c r="D44" s="25"/>
      <c r="E44" s="1"/>
      <c r="H44" s="35" t="s">
        <v>70</v>
      </c>
      <c r="I44" s="45">
        <v>0</v>
      </c>
      <c r="J44" s="46">
        <f>+I45-D47</f>
        <v>0</v>
      </c>
      <c r="M44" s="2">
        <v>19.57</v>
      </c>
      <c r="N44" s="2" t="s">
        <v>535</v>
      </c>
    </row>
    <row r="45" spans="1:14" s="2" customFormat="1" x14ac:dyDescent="0.2">
      <c r="A45" s="24"/>
      <c r="B45" s="1"/>
      <c r="C45" s="56"/>
      <c r="D45" s="56"/>
      <c r="E45" s="104"/>
      <c r="G45" s="1"/>
      <c r="I45" s="49">
        <f>SUM(I42:I44)</f>
        <v>139.12</v>
      </c>
      <c r="J45" s="46"/>
      <c r="K45" s="46"/>
    </row>
    <row r="46" spans="1:14" s="2" customFormat="1" x14ac:dyDescent="0.2">
      <c r="A46" s="24"/>
      <c r="B46" s="1"/>
      <c r="C46" s="78" t="s">
        <v>575</v>
      </c>
      <c r="D46" s="48" t="s">
        <v>576</v>
      </c>
      <c r="E46" s="104"/>
      <c r="G46" s="1"/>
    </row>
    <row r="47" spans="1:14" s="2" customFormat="1" x14ac:dyDescent="0.2">
      <c r="A47" s="24"/>
      <c r="B47" s="1"/>
      <c r="C47" s="47" t="s">
        <v>570</v>
      </c>
      <c r="D47" s="111">
        <v>139.12</v>
      </c>
      <c r="E47" s="104"/>
      <c r="G47" s="1"/>
      <c r="H47" s="110" t="s">
        <v>581</v>
      </c>
    </row>
    <row r="48" spans="1:14" s="2" customFormat="1" x14ac:dyDescent="0.2">
      <c r="A48" s="24"/>
      <c r="B48" s="1"/>
      <c r="C48" s="47" t="s">
        <v>571</v>
      </c>
      <c r="D48" s="111">
        <v>0</v>
      </c>
      <c r="E48" s="104"/>
      <c r="G48" s="1"/>
      <c r="H48" s="110" t="s">
        <v>580</v>
      </c>
    </row>
    <row r="49" spans="1:13" s="2" customFormat="1" x14ac:dyDescent="0.2">
      <c r="A49" s="24"/>
      <c r="B49" s="1"/>
      <c r="C49" s="47" t="s">
        <v>572</v>
      </c>
      <c r="D49" s="111">
        <f>+D65/100000</f>
        <v>0</v>
      </c>
      <c r="E49" s="104"/>
      <c r="G49" s="1"/>
      <c r="H49" s="90" t="s">
        <v>587</v>
      </c>
    </row>
    <row r="50" spans="1:13" s="2" customFormat="1" x14ac:dyDescent="0.2">
      <c r="A50" s="24"/>
      <c r="B50" s="1"/>
      <c r="C50" s="108" t="s">
        <v>578</v>
      </c>
      <c r="D50" s="48">
        <f>SUM(D47:D49)</f>
        <v>139.12</v>
      </c>
      <c r="E50" s="104"/>
      <c r="G50" s="1"/>
    </row>
    <row r="51" spans="1:13" s="2" customFormat="1" x14ac:dyDescent="0.2">
      <c r="A51" s="24"/>
      <c r="B51" s="1"/>
      <c r="C51" s="47"/>
      <c r="D51" s="107"/>
      <c r="E51" s="104"/>
      <c r="G51" s="1"/>
    </row>
    <row r="52" spans="1:13" s="2" customFormat="1" x14ac:dyDescent="0.2">
      <c r="A52" s="24"/>
      <c r="B52" s="1"/>
      <c r="C52" s="47" t="s">
        <v>573</v>
      </c>
      <c r="D52" s="111">
        <v>0</v>
      </c>
      <c r="E52" s="104"/>
      <c r="G52" s="1"/>
      <c r="H52" s="110" t="s">
        <v>581</v>
      </c>
    </row>
    <row r="53" spans="1:13" s="2" customFormat="1" x14ac:dyDescent="0.2">
      <c r="A53" s="24"/>
      <c r="B53" s="1"/>
      <c r="C53" s="47" t="s">
        <v>574</v>
      </c>
      <c r="D53" s="111">
        <v>0</v>
      </c>
      <c r="E53" s="104"/>
      <c r="G53" s="1"/>
      <c r="H53" s="110" t="s">
        <v>581</v>
      </c>
      <c r="J53" s="114" t="s">
        <v>713</v>
      </c>
    </row>
    <row r="54" spans="1:13" s="2" customFormat="1" x14ac:dyDescent="0.2">
      <c r="A54" s="24"/>
      <c r="B54" s="1"/>
      <c r="C54" s="78" t="s">
        <v>579</v>
      </c>
      <c r="D54" s="109">
        <f>D52+D53</f>
        <v>0</v>
      </c>
      <c r="E54" s="104"/>
      <c r="G54" s="1"/>
      <c r="I54" s="113"/>
      <c r="J54" s="113" t="s">
        <v>709</v>
      </c>
      <c r="K54" s="113" t="s">
        <v>710</v>
      </c>
      <c r="L54" s="113" t="s">
        <v>711</v>
      </c>
      <c r="M54" s="113" t="s">
        <v>712</v>
      </c>
    </row>
    <row r="55" spans="1:13" s="2" customFormat="1" x14ac:dyDescent="0.2">
      <c r="A55" s="24"/>
      <c r="B55" s="1"/>
      <c r="C55" s="105"/>
      <c r="D55" s="106"/>
      <c r="E55" s="104"/>
      <c r="G55" s="1"/>
      <c r="I55" s="113" t="s">
        <v>706</v>
      </c>
      <c r="J55" s="115"/>
      <c r="K55" s="115">
        <v>968.99</v>
      </c>
      <c r="L55" s="115">
        <v>968.99</v>
      </c>
      <c r="M55" s="113">
        <f>+J55+L55-K55</f>
        <v>0</v>
      </c>
    </row>
    <row r="56" spans="1:13" s="2" customFormat="1" x14ac:dyDescent="0.2">
      <c r="A56" s="24"/>
      <c r="B56" s="1"/>
      <c r="C56" s="78" t="s">
        <v>577</v>
      </c>
      <c r="D56" s="109">
        <f>D47+D54</f>
        <v>139.12</v>
      </c>
      <c r="E56" s="104"/>
      <c r="G56" s="1"/>
      <c r="I56" s="113" t="s">
        <v>707</v>
      </c>
      <c r="J56" s="115">
        <v>183.1</v>
      </c>
      <c r="K56" s="115">
        <v>1441.54</v>
      </c>
      <c r="L56" s="115">
        <v>1915.21</v>
      </c>
      <c r="M56" s="113">
        <f>+J56+L56-K56</f>
        <v>656.77</v>
      </c>
    </row>
    <row r="57" spans="1:13" s="2" customFormat="1" x14ac:dyDescent="0.2">
      <c r="A57" s="24"/>
      <c r="B57" s="1"/>
      <c r="C57" s="56"/>
      <c r="D57" s="56"/>
      <c r="E57" s="104"/>
      <c r="G57" s="1"/>
      <c r="I57" s="113" t="s">
        <v>708</v>
      </c>
      <c r="J57" s="115">
        <v>1371.02</v>
      </c>
      <c r="K57" s="115">
        <v>9939.51</v>
      </c>
      <c r="L57" s="115">
        <v>10293.290000000001</v>
      </c>
      <c r="M57" s="113">
        <f>+J57+L57-K57</f>
        <v>1724.8000000000011</v>
      </c>
    </row>
    <row r="58" spans="1:13" s="2" customFormat="1" ht="38.25" x14ac:dyDescent="0.2">
      <c r="A58" s="24"/>
      <c r="B58" s="1"/>
      <c r="C58" s="79" t="str">
        <f>"Particulars ( 01-04-2021 to "&amp;TEXT(A5,"dd-mm-yyyy")&amp;" )"</f>
        <v>Particulars ( 01-04-2021 to 03-04-2023 )</v>
      </c>
      <c r="D58" s="80" t="s">
        <v>73</v>
      </c>
      <c r="E58" s="80" t="s">
        <v>74</v>
      </c>
      <c r="F58" s="81" t="s">
        <v>75</v>
      </c>
      <c r="G58" s="80" t="s">
        <v>76</v>
      </c>
      <c r="J58" s="118">
        <f>SUM(J55:J57)</f>
        <v>1554.12</v>
      </c>
      <c r="K58" s="118">
        <f>SUM(K55:K57)</f>
        <v>12350.04</v>
      </c>
      <c r="L58" s="118">
        <f>SUM(L55:L57)</f>
        <v>13177.490000000002</v>
      </c>
      <c r="M58" s="118">
        <f>SUM(M55:M57)</f>
        <v>2381.5700000000011</v>
      </c>
    </row>
    <row r="59" spans="1:13" s="2" customFormat="1" x14ac:dyDescent="0.2">
      <c r="A59" s="24"/>
      <c r="B59" s="1"/>
      <c r="C59" s="50" t="s">
        <v>444</v>
      </c>
      <c r="D59" s="55">
        <f>+L55+L56+J56</f>
        <v>3067.2999999999997</v>
      </c>
      <c r="E59" s="55">
        <f>+K55+K56</f>
        <v>2410.5299999999997</v>
      </c>
      <c r="F59" s="55">
        <f>+D59-E59</f>
        <v>656.77</v>
      </c>
      <c r="G59" s="55">
        <f>1500-F59</f>
        <v>843.23</v>
      </c>
      <c r="H59" s="2" t="s">
        <v>396</v>
      </c>
    </row>
    <row r="60" spans="1:13" s="2" customFormat="1" x14ac:dyDescent="0.2">
      <c r="A60" s="24"/>
      <c r="B60" s="1"/>
      <c r="C60" s="50" t="s">
        <v>71</v>
      </c>
      <c r="D60" s="55">
        <f>+J57+L57</f>
        <v>11664.310000000001</v>
      </c>
      <c r="E60" s="55">
        <f>+K57</f>
        <v>9939.51</v>
      </c>
      <c r="F60" s="55">
        <f>+D60-E60</f>
        <v>1724.8000000000011</v>
      </c>
      <c r="G60" s="55">
        <f>1500+700-F60</f>
        <v>475.19999999999891</v>
      </c>
      <c r="H60" s="2" t="s">
        <v>396</v>
      </c>
    </row>
    <row r="61" spans="1:13" s="2" customFormat="1" x14ac:dyDescent="0.2">
      <c r="A61" s="24"/>
      <c r="B61" s="1"/>
      <c r="C61" s="14"/>
      <c r="D61" s="56"/>
      <c r="E61" s="13"/>
      <c r="G61" s="1"/>
    </row>
    <row r="62" spans="1:13" s="2" customFormat="1" x14ac:dyDescent="0.2">
      <c r="A62" s="215" t="s">
        <v>80</v>
      </c>
      <c r="B62" s="216"/>
      <c r="C62" s="216"/>
      <c r="D62" s="217"/>
      <c r="E62" s="69"/>
      <c r="F62" s="70"/>
      <c r="G62" s="1"/>
      <c r="H62" s="53"/>
    </row>
    <row r="63" spans="1:13" s="2" customFormat="1" x14ac:dyDescent="0.2">
      <c r="A63" s="71" t="s">
        <v>81</v>
      </c>
      <c r="B63" s="71"/>
      <c r="C63" s="72" t="s">
        <v>82</v>
      </c>
      <c r="D63" s="73" t="s">
        <v>83</v>
      </c>
      <c r="E63" s="69"/>
      <c r="F63" s="70"/>
      <c r="H63" s="53"/>
    </row>
    <row r="64" spans="1:13" s="2" customFormat="1" x14ac:dyDescent="0.2">
      <c r="A64" s="87"/>
      <c r="B64" s="74"/>
      <c r="C64" s="75"/>
      <c r="D64" s="88"/>
      <c r="G64" s="1"/>
      <c r="L64" s="1"/>
      <c r="M64" s="1"/>
    </row>
    <row r="65" spans="1:13" s="2" customFormat="1" x14ac:dyDescent="0.2">
      <c r="A65" s="87"/>
      <c r="B65" s="74"/>
      <c r="C65" s="75"/>
      <c r="D65" s="51">
        <f>SUM(D64:D64)</f>
        <v>0</v>
      </c>
      <c r="F65" s="2" t="s">
        <v>396</v>
      </c>
      <c r="G65" s="1"/>
      <c r="I65" s="1"/>
      <c r="J65" s="1"/>
      <c r="K65" s="1"/>
      <c r="L65" s="1"/>
      <c r="M65" s="1"/>
    </row>
    <row r="66" spans="1:13" s="2" customFormat="1" x14ac:dyDescent="0.2">
      <c r="A66" s="8"/>
      <c r="B66" s="93"/>
      <c r="C66" s="76"/>
      <c r="D66" s="56"/>
      <c r="G66" s="1"/>
      <c r="I66" s="1"/>
      <c r="J66" s="1"/>
      <c r="K66" s="1"/>
      <c r="L66" s="1"/>
      <c r="M66" s="1"/>
    </row>
    <row r="67" spans="1:13" s="2" customFormat="1" x14ac:dyDescent="0.2">
      <c r="A67" s="24"/>
      <c r="B67" s="1"/>
      <c r="C67" s="52"/>
      <c r="D67" s="85"/>
      <c r="E67" s="53"/>
      <c r="F67" s="53"/>
      <c r="G67" s="54"/>
      <c r="I67" s="1"/>
      <c r="J67" s="1"/>
      <c r="K67" s="1"/>
      <c r="L67" s="1"/>
      <c r="M67" s="1"/>
    </row>
    <row r="68" spans="1:13" s="2" customFormat="1" x14ac:dyDescent="0.2">
      <c r="A68" s="24"/>
      <c r="B68" s="1"/>
      <c r="C68" s="218" t="s">
        <v>77</v>
      </c>
      <c r="D68" s="219"/>
      <c r="E68" s="219"/>
      <c r="F68" s="220"/>
      <c r="G68" s="54"/>
      <c r="I68" s="1"/>
      <c r="J68" s="1"/>
      <c r="K68" s="1"/>
      <c r="L68" s="1"/>
      <c r="M68" s="1"/>
    </row>
    <row r="69" spans="1:13" s="2" customFormat="1" x14ac:dyDescent="0.2">
      <c r="A69" s="24"/>
      <c r="B69" s="1"/>
      <c r="C69" s="50"/>
      <c r="D69" s="57" t="s">
        <v>78</v>
      </c>
      <c r="E69" s="58" t="s">
        <v>79</v>
      </c>
      <c r="F69" s="57" t="s">
        <v>72</v>
      </c>
      <c r="G69" s="54"/>
      <c r="I69" s="1"/>
      <c r="J69" s="1"/>
      <c r="K69" s="1"/>
      <c r="L69" s="1"/>
      <c r="M69" s="1"/>
    </row>
    <row r="70" spans="1:13" s="2" customFormat="1" x14ac:dyDescent="0.2">
      <c r="A70" s="24"/>
      <c r="B70" s="1"/>
      <c r="C70" s="59" t="str">
        <f>"01-04-2023 to "&amp;TEXT(A5-2,"dd-mm-yyyy")</f>
        <v>01-04-2023 to 01-04-2023</v>
      </c>
      <c r="D70" s="60">
        <v>807.12</v>
      </c>
      <c r="E70" s="60">
        <v>21.21</v>
      </c>
      <c r="F70" s="61">
        <f>SUM(D70:E70)</f>
        <v>828.33</v>
      </c>
      <c r="G70" s="54"/>
      <c r="I70" s="1"/>
      <c r="J70" s="1"/>
      <c r="K70" s="1"/>
      <c r="L70" s="1"/>
      <c r="M70" s="1"/>
    </row>
    <row r="71" spans="1:13" s="2" customFormat="1" x14ac:dyDescent="0.2">
      <c r="A71" s="24"/>
      <c r="B71" s="1"/>
      <c r="C71" s="62" t="str">
        <f>TEXT(A5-1,"dd-mm-yyyy")</f>
        <v>02-04-2023</v>
      </c>
      <c r="D71" s="60">
        <v>0</v>
      </c>
      <c r="E71" s="60">
        <v>0</v>
      </c>
      <c r="F71" s="61">
        <f>SUM(D71:E71)</f>
        <v>0</v>
      </c>
      <c r="G71" s="54"/>
      <c r="I71" s="1"/>
      <c r="J71" s="1"/>
      <c r="K71" s="1"/>
      <c r="L71" s="1"/>
      <c r="M71" s="1"/>
    </row>
    <row r="72" spans="1:13" ht="13.5" thickBot="1" x14ac:dyDescent="0.25">
      <c r="C72" s="63" t="str">
        <f>"01-04-2023 to "&amp;TEXT(A5-1,"dd-mm-yyyy")</f>
        <v>01-04-2023 to 02-04-2023</v>
      </c>
      <c r="D72" s="64">
        <f>SUM(D70:D71)</f>
        <v>807.12</v>
      </c>
      <c r="E72" s="64">
        <f>SUM(E70:E71)</f>
        <v>21.21</v>
      </c>
      <c r="F72" s="64">
        <f>SUM(F70:F71)</f>
        <v>828.33</v>
      </c>
      <c r="G72" s="54"/>
    </row>
    <row r="73" spans="1:13" s="2" customFormat="1" ht="13.5" thickTop="1" x14ac:dyDescent="0.2">
      <c r="A73" s="24"/>
      <c r="B73" s="1"/>
      <c r="C73" s="62"/>
      <c r="D73" s="65"/>
      <c r="E73" s="66"/>
      <c r="F73" s="67"/>
      <c r="G73" s="54"/>
      <c r="H73" s="53"/>
    </row>
    <row r="74" spans="1:13" x14ac:dyDescent="0.2">
      <c r="C74" s="62" t="str">
        <f>"01-04-2023 to " &amp;C71</f>
        <v>01-04-2023 to 02-04-2023</v>
      </c>
      <c r="D74" s="68">
        <f>+D72</f>
        <v>807.12</v>
      </c>
      <c r="E74" s="68">
        <f>+E72</f>
        <v>21.21</v>
      </c>
      <c r="F74" s="68">
        <f>+F72</f>
        <v>828.33</v>
      </c>
      <c r="G74" s="54"/>
      <c r="H74" s="53" t="s">
        <v>396</v>
      </c>
    </row>
    <row r="75" spans="1:13" x14ac:dyDescent="0.2">
      <c r="C75" s="52"/>
      <c r="D75" s="85"/>
      <c r="E75" s="53"/>
      <c r="F75" s="53"/>
      <c r="G75" s="54"/>
      <c r="H75" s="53" t="s">
        <v>396</v>
      </c>
      <c r="J75" s="42"/>
    </row>
    <row r="76" spans="1:13" x14ac:dyDescent="0.2">
      <c r="C76" s="52"/>
      <c r="D76" s="85"/>
      <c r="E76" s="53"/>
      <c r="F76" s="53"/>
      <c r="G76" s="54"/>
      <c r="H76" s="53"/>
      <c r="I76" s="101"/>
    </row>
    <row r="77" spans="1:13" x14ac:dyDescent="0.2">
      <c r="C77" s="52"/>
      <c r="D77" s="85"/>
      <c r="E77" s="53"/>
      <c r="F77" s="53"/>
      <c r="G77" s="54"/>
      <c r="H77" s="53"/>
    </row>
    <row r="78" spans="1:13" x14ac:dyDescent="0.2">
      <c r="C78" s="52"/>
      <c r="D78" s="85"/>
      <c r="E78" s="53"/>
      <c r="F78" s="53"/>
      <c r="G78" s="54"/>
      <c r="H78" s="53"/>
    </row>
    <row r="79" spans="1:13" x14ac:dyDescent="0.2">
      <c r="H79" s="53"/>
    </row>
  </sheetData>
  <mergeCells count="5">
    <mergeCell ref="A1:G1"/>
    <mergeCell ref="A3:F3"/>
    <mergeCell ref="A9:F9"/>
    <mergeCell ref="A62:D62"/>
    <mergeCell ref="C68:F68"/>
  </mergeCells>
  <conditionalFormatting sqref="G59:G60">
    <cfRule type="cellIs" dxfId="667" priority="1" operator="lessThan">
      <formula>0</formula>
    </cfRule>
  </conditionalFormatting>
  <conditionalFormatting sqref="C11">
    <cfRule type="duplicateValues" dxfId="666" priority="2"/>
  </conditionalFormatting>
  <conditionalFormatting sqref="C34:C39 C12:C24 C26:C32">
    <cfRule type="duplicateValues" dxfId="665" priority="416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97">
    <pageSetUpPr fitToPage="1"/>
  </sheetPr>
  <dimension ref="A1:N101"/>
  <sheetViews>
    <sheetView topLeftCell="A55" zoomScaleNormal="100" workbookViewId="0">
      <selection activeCell="H66" sqref="H66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49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842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2.75" customHeight="1" x14ac:dyDescent="0.4">
      <c r="A5" s="89">
        <v>45020</v>
      </c>
      <c r="B5" s="9" t="s">
        <v>6</v>
      </c>
      <c r="C5" s="10" t="s">
        <v>7</v>
      </c>
      <c r="D5" s="11"/>
      <c r="E5" s="12">
        <v>777226.69999999867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777226.69999999867</v>
      </c>
      <c r="F6" s="16">
        <f>SUM(F5:F5)</f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E6-F6</f>
        <v>777226.69999999867</v>
      </c>
      <c r="F7" s="22"/>
      <c r="G7" s="23"/>
      <c r="H7" s="112"/>
      <c r="I7" s="112"/>
      <c r="J7" s="13"/>
    </row>
    <row r="8" spans="1:10" s="2" customFormat="1" ht="12.75" customHeight="1" x14ac:dyDescent="0.4">
      <c r="A8" s="24"/>
      <c r="B8" s="1"/>
      <c r="C8" s="14"/>
      <c r="D8" s="25"/>
      <c r="G8" s="23"/>
      <c r="H8" s="112"/>
      <c r="I8" s="112"/>
      <c r="J8" s="13"/>
    </row>
    <row r="9" spans="1:10" s="2" customFormat="1" ht="21.75" customHeight="1" x14ac:dyDescent="0.4">
      <c r="A9" s="214" t="s">
        <v>10</v>
      </c>
      <c r="B9" s="214"/>
      <c r="C9" s="214"/>
      <c r="D9" s="214"/>
      <c r="E9" s="214"/>
      <c r="F9" s="214"/>
      <c r="G9" s="13"/>
      <c r="H9" s="112"/>
      <c r="I9" s="112"/>
      <c r="J9" s="13"/>
    </row>
    <row r="10" spans="1:10" s="2" customFormat="1" ht="12.75" customHeight="1" x14ac:dyDescent="0.4">
      <c r="A10" s="26" t="s">
        <v>1</v>
      </c>
      <c r="B10" s="27" t="s">
        <v>2</v>
      </c>
      <c r="C10" s="5"/>
      <c r="D10" s="6" t="s">
        <v>3</v>
      </c>
      <c r="E10" s="7" t="s">
        <v>4</v>
      </c>
      <c r="F10" s="7" t="s">
        <v>5</v>
      </c>
      <c r="G10" s="23"/>
      <c r="H10" s="112"/>
      <c r="I10" s="112"/>
      <c r="J10" s="13"/>
    </row>
    <row r="11" spans="1:10" s="2" customFormat="1" ht="12.75" customHeight="1" x14ac:dyDescent="0.2">
      <c r="A11" s="89">
        <v>45020</v>
      </c>
      <c r="B11" s="91" t="s">
        <v>11</v>
      </c>
      <c r="C11" s="29" t="s">
        <v>7</v>
      </c>
      <c r="D11" s="25"/>
      <c r="E11" s="31"/>
      <c r="F11" s="2">
        <v>342421597.29000014</v>
      </c>
      <c r="G11" s="30"/>
      <c r="I11" s="13"/>
      <c r="J11" s="13"/>
    </row>
    <row r="12" spans="1:10" s="2" customFormat="1" ht="12.75" customHeight="1" x14ac:dyDescent="0.2">
      <c r="A12" s="89">
        <v>45020</v>
      </c>
      <c r="B12" s="91" t="s">
        <v>6</v>
      </c>
      <c r="C12" s="76" t="s">
        <v>14</v>
      </c>
      <c r="D12" s="116" t="s">
        <v>13</v>
      </c>
      <c r="E12" s="31">
        <v>1782122</v>
      </c>
      <c r="G12" s="30"/>
      <c r="I12" s="13"/>
      <c r="J12" s="13"/>
    </row>
    <row r="13" spans="1:10" s="2" customFormat="1" ht="12.75" customHeight="1" x14ac:dyDescent="0.2">
      <c r="A13" s="89">
        <v>45020</v>
      </c>
      <c r="B13" s="91" t="s">
        <v>6</v>
      </c>
      <c r="C13" s="76" t="s">
        <v>694</v>
      </c>
      <c r="D13" s="116" t="s">
        <v>13</v>
      </c>
      <c r="E13" s="31">
        <v>620631</v>
      </c>
      <c r="G13" s="30"/>
      <c r="I13" s="13"/>
      <c r="J13" s="13"/>
    </row>
    <row r="14" spans="1:10" s="2" customFormat="1" ht="12.75" customHeight="1" x14ac:dyDescent="0.2">
      <c r="A14" s="89">
        <v>45020</v>
      </c>
      <c r="B14" s="91" t="s">
        <v>6</v>
      </c>
      <c r="C14" s="76" t="s">
        <v>220</v>
      </c>
      <c r="D14" s="116" t="s">
        <v>13</v>
      </c>
      <c r="E14" s="31">
        <v>1430749</v>
      </c>
      <c r="G14" s="30"/>
      <c r="I14" s="13"/>
      <c r="J14" s="13"/>
    </row>
    <row r="15" spans="1:10" s="2" customFormat="1" ht="12.75" customHeight="1" x14ac:dyDescent="0.2">
      <c r="A15" s="89">
        <v>45020</v>
      </c>
      <c r="B15" s="91" t="s">
        <v>6</v>
      </c>
      <c r="C15" s="76" t="s">
        <v>538</v>
      </c>
      <c r="D15" s="116" t="s">
        <v>13</v>
      </c>
      <c r="E15" s="31">
        <v>27016</v>
      </c>
      <c r="G15" s="30"/>
      <c r="I15" s="13"/>
      <c r="J15" s="13"/>
    </row>
    <row r="16" spans="1:10" s="2" customFormat="1" ht="12.75" customHeight="1" x14ac:dyDescent="0.2">
      <c r="A16" s="89">
        <v>45020</v>
      </c>
      <c r="B16" s="91" t="s">
        <v>6</v>
      </c>
      <c r="C16" s="76" t="s">
        <v>142</v>
      </c>
      <c r="D16" s="116" t="s">
        <v>13</v>
      </c>
      <c r="E16" s="31">
        <v>14280</v>
      </c>
      <c r="G16" s="30"/>
      <c r="I16" s="13"/>
      <c r="J16" s="13"/>
    </row>
    <row r="17" spans="1:10" s="2" customFormat="1" ht="12.75" customHeight="1" x14ac:dyDescent="0.2">
      <c r="A17" s="89">
        <v>45020</v>
      </c>
      <c r="B17" s="91" t="s">
        <v>6</v>
      </c>
      <c r="C17" s="76" t="s">
        <v>332</v>
      </c>
      <c r="D17" s="116" t="s">
        <v>13</v>
      </c>
      <c r="E17" s="31">
        <v>6300</v>
      </c>
      <c r="G17" s="30"/>
      <c r="I17" s="13"/>
      <c r="J17" s="13"/>
    </row>
    <row r="18" spans="1:10" s="2" customFormat="1" ht="12.75" customHeight="1" x14ac:dyDescent="0.2">
      <c r="A18" s="89">
        <v>45020</v>
      </c>
      <c r="B18" s="91" t="s">
        <v>6</v>
      </c>
      <c r="C18" s="76" t="s">
        <v>272</v>
      </c>
      <c r="D18" s="116" t="s">
        <v>13</v>
      </c>
      <c r="E18" s="31">
        <v>8101</v>
      </c>
      <c r="G18" s="30"/>
      <c r="I18" s="13"/>
      <c r="J18" s="13"/>
    </row>
    <row r="19" spans="1:10" s="2" customFormat="1" ht="12.75" customHeight="1" x14ac:dyDescent="0.2">
      <c r="A19" s="89">
        <v>45020</v>
      </c>
      <c r="B19" s="91" t="s">
        <v>6</v>
      </c>
      <c r="C19" s="76" t="s">
        <v>234</v>
      </c>
      <c r="D19" s="116" t="s">
        <v>13</v>
      </c>
      <c r="E19" s="31">
        <v>2202</v>
      </c>
      <c r="G19" s="30"/>
      <c r="I19" s="13"/>
      <c r="J19" s="13"/>
    </row>
    <row r="20" spans="1:10" s="2" customFormat="1" ht="12.75" customHeight="1" x14ac:dyDescent="0.2">
      <c r="A20" s="89">
        <v>45020</v>
      </c>
      <c r="B20" s="91" t="s">
        <v>6</v>
      </c>
      <c r="C20" s="76" t="s">
        <v>144</v>
      </c>
      <c r="D20" s="116" t="s">
        <v>13</v>
      </c>
      <c r="E20" s="31">
        <v>6556</v>
      </c>
      <c r="G20" s="30"/>
      <c r="I20" s="13"/>
      <c r="J20" s="13"/>
    </row>
    <row r="21" spans="1:10" s="2" customFormat="1" ht="12.75" customHeight="1" x14ac:dyDescent="0.2">
      <c r="A21" s="89">
        <v>45020</v>
      </c>
      <c r="B21" s="91" t="s">
        <v>6</v>
      </c>
      <c r="C21" s="76" t="s">
        <v>843</v>
      </c>
      <c r="D21" s="116" t="s">
        <v>13</v>
      </c>
      <c r="E21" s="31">
        <v>55700</v>
      </c>
      <c r="G21" s="30"/>
      <c r="I21" s="13"/>
      <c r="J21" s="13"/>
    </row>
    <row r="22" spans="1:10" s="2" customFormat="1" ht="12.75" customHeight="1" x14ac:dyDescent="0.2">
      <c r="A22" s="89">
        <v>45020</v>
      </c>
      <c r="B22" s="91" t="s">
        <v>6</v>
      </c>
      <c r="C22" s="76" t="s">
        <v>105</v>
      </c>
      <c r="D22" s="116" t="s">
        <v>13</v>
      </c>
      <c r="E22" s="31">
        <v>555851</v>
      </c>
      <c r="G22" s="30"/>
      <c r="I22" s="13"/>
      <c r="J22" s="13"/>
    </row>
    <row r="23" spans="1:10" s="2" customFormat="1" ht="12.75" customHeight="1" x14ac:dyDescent="0.2">
      <c r="A23" s="89">
        <v>45020</v>
      </c>
      <c r="B23" s="91" t="s">
        <v>6</v>
      </c>
      <c r="C23" s="76" t="s">
        <v>236</v>
      </c>
      <c r="D23" s="116" t="s">
        <v>13</v>
      </c>
      <c r="E23" s="31">
        <v>2000000</v>
      </c>
      <c r="G23" s="30"/>
      <c r="I23" s="13"/>
      <c r="J23" s="13"/>
    </row>
    <row r="24" spans="1:10" s="2" customFormat="1" ht="12.75" customHeight="1" x14ac:dyDescent="0.2">
      <c r="A24" s="89">
        <v>45020</v>
      </c>
      <c r="B24" s="91" t="s">
        <v>6</v>
      </c>
      <c r="C24" s="76" t="s">
        <v>145</v>
      </c>
      <c r="D24" s="116" t="s">
        <v>13</v>
      </c>
      <c r="E24" s="31">
        <v>1539634</v>
      </c>
      <c r="G24" s="30"/>
      <c r="I24" s="13"/>
      <c r="J24" s="13"/>
    </row>
    <row r="25" spans="1:10" s="2" customFormat="1" ht="12.75" customHeight="1" x14ac:dyDescent="0.2">
      <c r="A25" s="89">
        <v>45020</v>
      </c>
      <c r="B25" s="91" t="s">
        <v>6</v>
      </c>
      <c r="C25" s="76" t="s">
        <v>764</v>
      </c>
      <c r="D25" s="116" t="s">
        <v>13</v>
      </c>
      <c r="E25" s="31">
        <v>1540964.08</v>
      </c>
      <c r="G25" s="30"/>
      <c r="I25" s="13"/>
      <c r="J25" s="13"/>
    </row>
    <row r="26" spans="1:10" s="2" customFormat="1" ht="12.75" customHeight="1" x14ac:dyDescent="0.2">
      <c r="A26" s="89">
        <v>45020</v>
      </c>
      <c r="B26" s="91" t="s">
        <v>6</v>
      </c>
      <c r="C26" s="76" t="s">
        <v>748</v>
      </c>
      <c r="D26" s="116" t="s">
        <v>13</v>
      </c>
      <c r="E26" s="31">
        <v>628127.04</v>
      </c>
      <c r="G26" s="30"/>
      <c r="I26" s="13"/>
      <c r="J26" s="13"/>
    </row>
    <row r="27" spans="1:10" s="2" customFormat="1" ht="12.75" customHeight="1" x14ac:dyDescent="0.2">
      <c r="A27" s="89">
        <v>45020</v>
      </c>
      <c r="B27" s="91" t="s">
        <v>6</v>
      </c>
      <c r="C27" s="76" t="s">
        <v>750</v>
      </c>
      <c r="D27" s="116" t="s">
        <v>13</v>
      </c>
      <c r="E27" s="31">
        <v>1108042.71</v>
      </c>
      <c r="G27" s="30"/>
      <c r="I27" s="13"/>
      <c r="J27" s="13"/>
    </row>
    <row r="28" spans="1:10" s="2" customFormat="1" ht="12.75" customHeight="1" x14ac:dyDescent="0.2">
      <c r="A28" s="89">
        <v>45020</v>
      </c>
      <c r="B28" s="91" t="s">
        <v>6</v>
      </c>
      <c r="C28" s="76" t="s">
        <v>759</v>
      </c>
      <c r="D28" s="116" t="s">
        <v>13</v>
      </c>
      <c r="E28" s="31">
        <v>638241.27</v>
      </c>
      <c r="G28" s="30"/>
      <c r="I28" s="13"/>
      <c r="J28" s="13"/>
    </row>
    <row r="29" spans="1:10" s="2" customFormat="1" ht="12.75" customHeight="1" x14ac:dyDescent="0.2">
      <c r="A29" s="89">
        <v>45020</v>
      </c>
      <c r="B29" s="91" t="s">
        <v>6</v>
      </c>
      <c r="C29" s="76" t="s">
        <v>374</v>
      </c>
      <c r="D29" s="116" t="s">
        <v>13</v>
      </c>
      <c r="E29" s="31">
        <v>4200</v>
      </c>
      <c r="G29" s="30"/>
      <c r="I29" s="13"/>
      <c r="J29" s="13"/>
    </row>
    <row r="30" spans="1:10" s="2" customFormat="1" ht="12.75" customHeight="1" x14ac:dyDescent="0.2">
      <c r="A30" s="89">
        <v>45020</v>
      </c>
      <c r="B30" s="91" t="s">
        <v>6</v>
      </c>
      <c r="C30" s="76" t="s">
        <v>648</v>
      </c>
      <c r="D30" s="116" t="s">
        <v>13</v>
      </c>
      <c r="E30" s="31">
        <v>500000</v>
      </c>
      <c r="G30" s="30"/>
      <c r="I30" s="13"/>
      <c r="J30" s="13"/>
    </row>
    <row r="31" spans="1:10" s="2" customFormat="1" ht="12.75" customHeight="1" x14ac:dyDescent="0.2">
      <c r="A31" s="89">
        <v>45020</v>
      </c>
      <c r="B31" s="91" t="s">
        <v>6</v>
      </c>
      <c r="C31" s="76" t="s">
        <v>700</v>
      </c>
      <c r="D31" s="116" t="s">
        <v>13</v>
      </c>
      <c r="E31" s="31">
        <v>177443</v>
      </c>
      <c r="G31" s="30"/>
      <c r="I31" s="13"/>
      <c r="J31" s="13"/>
    </row>
    <row r="32" spans="1:10" s="2" customFormat="1" ht="12.75" customHeight="1" x14ac:dyDescent="0.2">
      <c r="A32" s="89">
        <v>45020</v>
      </c>
      <c r="B32" s="91" t="s">
        <v>6</v>
      </c>
      <c r="C32" s="76" t="s">
        <v>304</v>
      </c>
      <c r="D32" s="116" t="s">
        <v>13</v>
      </c>
      <c r="E32" s="31">
        <v>813642</v>
      </c>
      <c r="G32" s="30"/>
      <c r="I32" s="13"/>
      <c r="J32" s="13"/>
    </row>
    <row r="33" spans="1:10" s="2" customFormat="1" ht="12.75" customHeight="1" x14ac:dyDescent="0.2">
      <c r="A33" s="89">
        <v>45020</v>
      </c>
      <c r="B33" s="91" t="s">
        <v>11</v>
      </c>
      <c r="C33" s="76" t="s">
        <v>64</v>
      </c>
      <c r="D33" s="116" t="s">
        <v>29</v>
      </c>
      <c r="E33" s="31"/>
      <c r="F33" s="2">
        <f>7703.04+5988</f>
        <v>13691.04</v>
      </c>
      <c r="G33" s="30"/>
      <c r="I33" s="13"/>
      <c r="J33" s="13"/>
    </row>
    <row r="34" spans="1:10" s="2" customFormat="1" ht="12.75" customHeight="1" x14ac:dyDescent="0.2">
      <c r="A34" s="89">
        <v>45020</v>
      </c>
      <c r="B34" s="91" t="s">
        <v>11</v>
      </c>
      <c r="C34" s="76" t="s">
        <v>125</v>
      </c>
      <c r="D34" s="116" t="s">
        <v>29</v>
      </c>
      <c r="E34" s="31"/>
      <c r="F34" s="2">
        <v>950649</v>
      </c>
      <c r="G34" s="30"/>
      <c r="I34" s="13"/>
      <c r="J34" s="13"/>
    </row>
    <row r="35" spans="1:10" s="2" customFormat="1" ht="12.75" customHeight="1" x14ac:dyDescent="0.2">
      <c r="A35" s="89">
        <v>45020</v>
      </c>
      <c r="B35" s="91" t="s">
        <v>11</v>
      </c>
      <c r="C35" s="76" t="s">
        <v>533</v>
      </c>
      <c r="D35" s="116" t="s">
        <v>29</v>
      </c>
      <c r="E35" s="31"/>
      <c r="F35" s="2">
        <f>1980222-1972203</f>
        <v>8019</v>
      </c>
      <c r="G35" s="30"/>
      <c r="I35" s="13"/>
      <c r="J35" s="13"/>
    </row>
    <row r="36" spans="1:10" s="2" customFormat="1" ht="12.75" customHeight="1" x14ac:dyDescent="0.2">
      <c r="A36" s="89">
        <v>45020</v>
      </c>
      <c r="B36" s="91" t="s">
        <v>11</v>
      </c>
      <c r="C36" s="76" t="s">
        <v>110</v>
      </c>
      <c r="D36" s="116" t="s">
        <v>29</v>
      </c>
      <c r="E36" s="31"/>
      <c r="F36" s="2">
        <v>632062.71</v>
      </c>
      <c r="G36" s="30"/>
      <c r="I36" s="13"/>
      <c r="J36" s="13"/>
    </row>
    <row r="37" spans="1:10" s="2" customFormat="1" ht="12.75" customHeight="1" x14ac:dyDescent="0.2">
      <c r="A37" s="89">
        <v>45020</v>
      </c>
      <c r="B37" s="91" t="s">
        <v>11</v>
      </c>
      <c r="C37" s="76" t="s">
        <v>284</v>
      </c>
      <c r="D37" s="116" t="s">
        <v>29</v>
      </c>
      <c r="E37" s="31"/>
      <c r="F37" s="2">
        <v>1137828</v>
      </c>
      <c r="G37" s="30"/>
      <c r="I37" s="13"/>
      <c r="J37" s="13"/>
    </row>
    <row r="38" spans="1:10" s="2" customFormat="1" ht="12.75" customHeight="1" x14ac:dyDescent="0.2">
      <c r="A38" s="89">
        <v>45020</v>
      </c>
      <c r="B38" s="91" t="s">
        <v>11</v>
      </c>
      <c r="C38" s="76" t="s">
        <v>680</v>
      </c>
      <c r="D38" s="116" t="s">
        <v>29</v>
      </c>
      <c r="E38" s="31"/>
      <c r="F38" s="2">
        <v>195180</v>
      </c>
      <c r="G38" s="30"/>
      <c r="I38" s="13"/>
      <c r="J38" s="13"/>
    </row>
    <row r="39" spans="1:10" s="2" customFormat="1" ht="12.75" customHeight="1" x14ac:dyDescent="0.2">
      <c r="A39" s="89">
        <v>45020</v>
      </c>
      <c r="B39" s="91" t="s">
        <v>11</v>
      </c>
      <c r="C39" s="76" t="s">
        <v>171</v>
      </c>
      <c r="D39" s="116" t="s">
        <v>29</v>
      </c>
      <c r="E39" s="31"/>
      <c r="F39" s="2">
        <v>5175</v>
      </c>
      <c r="G39" s="30"/>
      <c r="I39" s="13"/>
      <c r="J39" s="13"/>
    </row>
    <row r="40" spans="1:10" s="2" customFormat="1" ht="12.75" customHeight="1" x14ac:dyDescent="0.2">
      <c r="A40" s="89">
        <v>45020</v>
      </c>
      <c r="B40" s="91" t="s">
        <v>11</v>
      </c>
      <c r="C40" s="76" t="s">
        <v>168</v>
      </c>
      <c r="D40" s="116" t="s">
        <v>29</v>
      </c>
      <c r="E40" s="31"/>
      <c r="F40" s="2">
        <v>3600</v>
      </c>
      <c r="G40" s="30"/>
      <c r="I40" s="13"/>
      <c r="J40" s="13"/>
    </row>
    <row r="41" spans="1:10" s="2" customFormat="1" ht="12.75" customHeight="1" x14ac:dyDescent="0.2">
      <c r="A41" s="89">
        <v>45020</v>
      </c>
      <c r="B41" s="91" t="s">
        <v>11</v>
      </c>
      <c r="C41" s="76" t="s">
        <v>167</v>
      </c>
      <c r="D41" s="116" t="s">
        <v>29</v>
      </c>
      <c r="E41" s="31"/>
      <c r="F41" s="2">
        <v>59895</v>
      </c>
      <c r="G41" s="30"/>
      <c r="I41" s="13"/>
      <c r="J41" s="13"/>
    </row>
    <row r="42" spans="1:10" s="2" customFormat="1" ht="12.75" customHeight="1" x14ac:dyDescent="0.2">
      <c r="A42" s="89">
        <v>45020</v>
      </c>
      <c r="B42" s="91" t="s">
        <v>11</v>
      </c>
      <c r="C42" s="76" t="s">
        <v>170</v>
      </c>
      <c r="D42" s="116" t="s">
        <v>29</v>
      </c>
      <c r="E42" s="31"/>
      <c r="F42" s="2">
        <v>10000</v>
      </c>
      <c r="G42" s="30"/>
      <c r="I42" s="13"/>
      <c r="J42" s="13"/>
    </row>
    <row r="43" spans="1:10" s="2" customFormat="1" ht="12.75" customHeight="1" x14ac:dyDescent="0.2">
      <c r="A43" s="89">
        <v>45020</v>
      </c>
      <c r="B43" s="91" t="s">
        <v>11</v>
      </c>
      <c r="C43" s="76" t="s">
        <v>169</v>
      </c>
      <c r="D43" s="116" t="s">
        <v>29</v>
      </c>
      <c r="E43" s="31"/>
      <c r="F43" s="2">
        <v>8500</v>
      </c>
      <c r="G43" s="30"/>
      <c r="I43" s="13"/>
      <c r="J43" s="13"/>
    </row>
    <row r="44" spans="1:10" s="2" customFormat="1" ht="12.75" customHeight="1" x14ac:dyDescent="0.2">
      <c r="A44" s="89">
        <v>45020</v>
      </c>
      <c r="B44" s="91" t="s">
        <v>11</v>
      </c>
      <c r="C44" s="76" t="s">
        <v>128</v>
      </c>
      <c r="D44" s="116" t="s">
        <v>29</v>
      </c>
      <c r="E44" s="31"/>
      <c r="F44" s="2">
        <v>17789</v>
      </c>
      <c r="G44" s="30"/>
      <c r="I44" s="13"/>
      <c r="J44" s="13"/>
    </row>
    <row r="45" spans="1:10" s="2" customFormat="1" ht="12.75" customHeight="1" x14ac:dyDescent="0.2">
      <c r="A45" s="89">
        <v>45020</v>
      </c>
      <c r="B45" s="91" t="s">
        <v>11</v>
      </c>
      <c r="C45" s="76" t="s">
        <v>532</v>
      </c>
      <c r="D45" s="116" t="s">
        <v>29</v>
      </c>
      <c r="E45" s="31"/>
      <c r="F45" s="2">
        <v>273429.59999999998</v>
      </c>
      <c r="G45" s="30"/>
      <c r="I45" s="13"/>
      <c r="J45" s="13"/>
    </row>
    <row r="46" spans="1:10" s="2" customFormat="1" ht="12.75" customHeight="1" x14ac:dyDescent="0.2">
      <c r="A46" s="89">
        <v>45020</v>
      </c>
      <c r="B46" s="91" t="s">
        <v>11</v>
      </c>
      <c r="C46" s="76" t="s">
        <v>314</v>
      </c>
      <c r="D46" s="116" t="s">
        <v>29</v>
      </c>
      <c r="E46" s="31"/>
      <c r="F46" s="2">
        <v>60421.8</v>
      </c>
      <c r="G46" s="30"/>
      <c r="I46" s="13"/>
      <c r="J46" s="13"/>
    </row>
    <row r="47" spans="1:10" s="2" customFormat="1" ht="12.75" customHeight="1" x14ac:dyDescent="0.2">
      <c r="A47" s="89">
        <v>45020</v>
      </c>
      <c r="B47" s="91" t="s">
        <v>11</v>
      </c>
      <c r="C47" s="76" t="s">
        <v>781</v>
      </c>
      <c r="D47" s="116" t="s">
        <v>29</v>
      </c>
      <c r="E47" s="31"/>
      <c r="F47" s="2">
        <v>4012</v>
      </c>
      <c r="G47" s="30"/>
      <c r="I47" s="13"/>
      <c r="J47" s="13"/>
    </row>
    <row r="48" spans="1:10" s="2" customFormat="1" ht="12.75" customHeight="1" x14ac:dyDescent="0.2">
      <c r="A48" s="89">
        <v>45020</v>
      </c>
      <c r="B48" s="91" t="s">
        <v>11</v>
      </c>
      <c r="C48" s="76" t="s">
        <v>659</v>
      </c>
      <c r="D48" s="116" t="s">
        <v>29</v>
      </c>
      <c r="E48" s="31"/>
      <c r="F48" s="2">
        <v>13889</v>
      </c>
      <c r="G48" s="30"/>
      <c r="I48" s="13"/>
      <c r="J48" s="13"/>
    </row>
    <row r="49" spans="1:14" s="2" customFormat="1" ht="12.75" customHeight="1" x14ac:dyDescent="0.2">
      <c r="A49" s="89">
        <v>45020</v>
      </c>
      <c r="B49" s="91" t="s">
        <v>11</v>
      </c>
      <c r="C49" s="76" t="s">
        <v>35</v>
      </c>
      <c r="D49" s="116" t="s">
        <v>29</v>
      </c>
      <c r="E49" s="31"/>
      <c r="F49" s="2">
        <v>95541.8</v>
      </c>
      <c r="G49" s="30"/>
      <c r="I49" s="13"/>
      <c r="J49" s="13"/>
    </row>
    <row r="50" spans="1:14" s="2" customFormat="1" ht="12.75" customHeight="1" x14ac:dyDescent="0.2">
      <c r="A50" s="89">
        <v>45020</v>
      </c>
      <c r="B50" s="91" t="s">
        <v>11</v>
      </c>
      <c r="C50" s="76" t="s">
        <v>248</v>
      </c>
      <c r="D50" s="116" t="s">
        <v>29</v>
      </c>
      <c r="E50" s="31"/>
      <c r="F50" s="2">
        <v>76725</v>
      </c>
      <c r="G50" s="30"/>
      <c r="I50" s="13"/>
      <c r="J50" s="13"/>
    </row>
    <row r="51" spans="1:14" s="2" customFormat="1" ht="12.75" customHeight="1" x14ac:dyDescent="0.2">
      <c r="A51" s="89">
        <v>45020</v>
      </c>
      <c r="B51" s="91" t="s">
        <v>11</v>
      </c>
      <c r="C51" s="76" t="s">
        <v>34</v>
      </c>
      <c r="D51" s="116" t="s">
        <v>29</v>
      </c>
      <c r="E51" s="31"/>
      <c r="F51" s="2">
        <v>70000</v>
      </c>
      <c r="G51" s="30"/>
      <c r="I51" s="13"/>
      <c r="J51" s="13"/>
    </row>
    <row r="52" spans="1:14" s="2" customFormat="1" ht="12.75" customHeight="1" x14ac:dyDescent="0.2">
      <c r="A52" s="89">
        <v>45020</v>
      </c>
      <c r="B52" s="91" t="s">
        <v>11</v>
      </c>
      <c r="C52" s="76" t="s">
        <v>91</v>
      </c>
      <c r="D52" s="116" t="s">
        <v>29</v>
      </c>
      <c r="E52" s="31"/>
      <c r="F52" s="2">
        <v>158366</v>
      </c>
      <c r="G52" s="30"/>
      <c r="I52" s="13"/>
      <c r="J52" s="13"/>
    </row>
    <row r="53" spans="1:14" s="2" customFormat="1" ht="12.75" customHeight="1" x14ac:dyDescent="0.2">
      <c r="A53" s="89">
        <v>45020</v>
      </c>
      <c r="B53" s="91" t="s">
        <v>11</v>
      </c>
      <c r="C53" s="76" t="s">
        <v>432</v>
      </c>
      <c r="D53" s="116" t="s">
        <v>29</v>
      </c>
      <c r="E53" s="31"/>
      <c r="F53" s="2">
        <v>1582000</v>
      </c>
      <c r="G53" s="30"/>
      <c r="I53" s="13"/>
      <c r="J53" s="13"/>
    </row>
    <row r="54" spans="1:14" s="2" customFormat="1" ht="12.75" customHeight="1" x14ac:dyDescent="0.2">
      <c r="A54" s="89">
        <v>45020</v>
      </c>
      <c r="B54" s="91" t="s">
        <v>11</v>
      </c>
      <c r="C54" s="76" t="s">
        <v>273</v>
      </c>
      <c r="D54" s="116" t="s">
        <v>29</v>
      </c>
      <c r="E54" s="31"/>
      <c r="F54" s="2">
        <v>16376.17</v>
      </c>
      <c r="G54" s="30"/>
      <c r="I54" s="13"/>
      <c r="J54" s="13"/>
    </row>
    <row r="55" spans="1:14" s="2" customFormat="1" ht="12.75" customHeight="1" x14ac:dyDescent="0.2">
      <c r="A55" s="89">
        <v>45020</v>
      </c>
      <c r="B55" s="91" t="s">
        <v>11</v>
      </c>
      <c r="C55" s="76" t="s">
        <v>520</v>
      </c>
      <c r="D55" s="116" t="s">
        <v>29</v>
      </c>
      <c r="E55" s="31"/>
      <c r="F55" s="2">
        <v>2694377</v>
      </c>
      <c r="G55" s="30"/>
      <c r="I55" s="13"/>
      <c r="J55" s="13"/>
    </row>
    <row r="56" spans="1:14" s="2" customFormat="1" ht="12.75" customHeight="1" x14ac:dyDescent="0.2">
      <c r="A56" s="89">
        <v>45020</v>
      </c>
      <c r="B56" s="91" t="s">
        <v>11</v>
      </c>
      <c r="C56" s="76" t="s">
        <v>194</v>
      </c>
      <c r="D56" s="116" t="s">
        <v>29</v>
      </c>
      <c r="E56" s="31"/>
      <c r="F56" s="2">
        <v>2188510</v>
      </c>
      <c r="G56" s="30"/>
      <c r="I56" s="13"/>
      <c r="J56" s="13"/>
    </row>
    <row r="57" spans="1:14" s="2" customFormat="1" ht="12.75" customHeight="1" x14ac:dyDescent="0.2">
      <c r="A57" s="89">
        <v>45020</v>
      </c>
      <c r="B57" s="91" t="s">
        <v>11</v>
      </c>
      <c r="C57" s="76" t="s">
        <v>56</v>
      </c>
      <c r="D57" s="116" t="s">
        <v>29</v>
      </c>
      <c r="E57" s="31"/>
      <c r="F57" s="2">
        <v>1311779</v>
      </c>
      <c r="G57" s="30"/>
      <c r="I57" s="13"/>
      <c r="J57" s="13"/>
    </row>
    <row r="58" spans="1:14" s="2" customFormat="1" ht="12.75" customHeight="1" x14ac:dyDescent="0.2">
      <c r="A58" s="89">
        <v>45020</v>
      </c>
      <c r="B58" s="91" t="s">
        <v>11</v>
      </c>
      <c r="C58" s="76" t="s">
        <v>242</v>
      </c>
      <c r="D58" s="116" t="s">
        <v>29</v>
      </c>
      <c r="E58" s="31"/>
      <c r="F58" s="2">
        <v>59180.83</v>
      </c>
      <c r="G58" s="30"/>
      <c r="I58" s="13"/>
      <c r="J58" s="13"/>
    </row>
    <row r="59" spans="1:14" s="2" customFormat="1" ht="12.75" customHeight="1" x14ac:dyDescent="0.2">
      <c r="A59" s="89">
        <v>45020</v>
      </c>
      <c r="B59" s="91" t="s">
        <v>11</v>
      </c>
      <c r="C59" s="76" t="s">
        <v>342</v>
      </c>
      <c r="D59" s="116" t="s">
        <v>29</v>
      </c>
      <c r="E59" s="31"/>
      <c r="F59" s="2">
        <v>8904</v>
      </c>
      <c r="G59" s="30"/>
      <c r="I59" s="13"/>
      <c r="J59" s="13"/>
    </row>
    <row r="60" spans="1:14" s="2" customFormat="1" ht="12.75" customHeight="1" x14ac:dyDescent="0.2">
      <c r="A60" s="89">
        <v>45020</v>
      </c>
      <c r="B60" s="91" t="s">
        <v>11</v>
      </c>
      <c r="C60" s="76" t="s">
        <v>370</v>
      </c>
      <c r="D60" s="116" t="s">
        <v>29</v>
      </c>
      <c r="E60" s="31"/>
      <c r="F60" s="2">
        <v>74788.98</v>
      </c>
      <c r="G60" s="30"/>
      <c r="I60" s="13"/>
      <c r="J60" s="13"/>
    </row>
    <row r="61" spans="1:14" s="2" customFormat="1" ht="12.75" customHeight="1" x14ac:dyDescent="0.2">
      <c r="A61" s="89">
        <v>45020</v>
      </c>
      <c r="B61" s="91" t="s">
        <v>11</v>
      </c>
      <c r="C61" s="76" t="s">
        <v>459</v>
      </c>
      <c r="D61" s="116" t="s">
        <v>29</v>
      </c>
      <c r="E61" s="31"/>
      <c r="F61" s="2">
        <v>68440</v>
      </c>
      <c r="G61" s="30"/>
      <c r="I61" s="13"/>
      <c r="J61" s="99" t="s">
        <v>601</v>
      </c>
      <c r="K61" s="99" t="s">
        <v>779</v>
      </c>
    </row>
    <row r="62" spans="1:14" s="2" customFormat="1" ht="12.75" customHeight="1" x14ac:dyDescent="0.25">
      <c r="A62" s="32"/>
      <c r="B62" s="33"/>
      <c r="C62" s="14"/>
      <c r="D62" s="34"/>
      <c r="E62" s="16">
        <f>SUM(E11:E61)</f>
        <v>13459802.100000001</v>
      </c>
      <c r="F62" s="16">
        <f>SUM(F11:F61)</f>
        <v>354220727.22000021</v>
      </c>
      <c r="G62" s="30"/>
      <c r="H62" s="1"/>
      <c r="I62" s="39">
        <v>343128909.12</v>
      </c>
      <c r="J62" s="2">
        <v>1972203</v>
      </c>
      <c r="K62" s="92">
        <f>E63-I62</f>
        <v>-2367983.9999998212</v>
      </c>
      <c r="L62" s="41"/>
      <c r="M62" s="42">
        <f>K62+J62</f>
        <v>-395780.99999982119</v>
      </c>
      <c r="N62" s="1"/>
    </row>
    <row r="63" spans="1:14" s="2" customFormat="1" x14ac:dyDescent="0.2">
      <c r="A63" s="36"/>
      <c r="B63" s="28" t="s">
        <v>11</v>
      </c>
      <c r="C63" s="19" t="s">
        <v>65</v>
      </c>
      <c r="D63" s="37"/>
      <c r="E63" s="38">
        <f>F62-E62</f>
        <v>340760925.12000018</v>
      </c>
      <c r="F63" s="22"/>
      <c r="G63" s="1"/>
      <c r="H63" s="1"/>
      <c r="J63" s="1"/>
      <c r="K63" s="1"/>
      <c r="L63" s="1"/>
      <c r="M63" s="1"/>
      <c r="N63" s="1"/>
    </row>
    <row r="64" spans="1:14" x14ac:dyDescent="0.2">
      <c r="A64" s="36"/>
      <c r="B64" s="28" t="s">
        <v>66</v>
      </c>
      <c r="C64" s="43" t="s">
        <v>67</v>
      </c>
      <c r="D64" s="43"/>
      <c r="E64" s="12">
        <v>0</v>
      </c>
      <c r="F64" s="22"/>
      <c r="H64" s="40"/>
      <c r="I64" s="45">
        <v>222.96</v>
      </c>
      <c r="J64" s="46"/>
      <c r="K64" s="46"/>
      <c r="L64" s="13"/>
      <c r="M64" s="2"/>
      <c r="N64" s="2"/>
    </row>
    <row r="65" spans="1:14" ht="15" x14ac:dyDescent="0.25">
      <c r="A65" s="36"/>
      <c r="B65" s="28"/>
      <c r="C65" s="44" t="s">
        <v>68</v>
      </c>
      <c r="D65" s="43"/>
      <c r="E65" s="7">
        <f>E63+E64</f>
        <v>340760925.12000018</v>
      </c>
      <c r="F65" s="22"/>
      <c r="H65" s="103" t="s">
        <v>69</v>
      </c>
      <c r="I65" s="45">
        <v>-8.4</v>
      </c>
      <c r="J65" s="46"/>
      <c r="K65" s="46"/>
      <c r="L65" s="2"/>
      <c r="M65" s="2"/>
      <c r="N65" s="2"/>
    </row>
    <row r="66" spans="1:14" s="2" customFormat="1" x14ac:dyDescent="0.2">
      <c r="A66" s="24"/>
      <c r="B66" s="1"/>
      <c r="C66" s="14"/>
      <c r="D66" s="25"/>
      <c r="E66" s="1"/>
      <c r="H66" s="35" t="s">
        <v>70</v>
      </c>
      <c r="I66" s="45">
        <v>0</v>
      </c>
      <c r="J66" s="46">
        <f>+I67-D69</f>
        <v>0</v>
      </c>
      <c r="M66" s="2">
        <v>19.57</v>
      </c>
      <c r="N66" s="2" t="s">
        <v>535</v>
      </c>
    </row>
    <row r="67" spans="1:14" s="2" customFormat="1" x14ac:dyDescent="0.2">
      <c r="A67" s="24"/>
      <c r="B67" s="1"/>
      <c r="C67" s="56"/>
      <c r="D67" s="56"/>
      <c r="E67" s="104"/>
      <c r="G67" s="1"/>
      <c r="I67" s="49">
        <f>SUM(I64:I66)</f>
        <v>214.56</v>
      </c>
      <c r="J67" s="46"/>
      <c r="K67" s="46"/>
    </row>
    <row r="68" spans="1:14" s="2" customFormat="1" x14ac:dyDescent="0.2">
      <c r="A68" s="24"/>
      <c r="B68" s="1"/>
      <c r="C68" s="78" t="s">
        <v>575</v>
      </c>
      <c r="D68" s="48" t="s">
        <v>576</v>
      </c>
      <c r="E68" s="104"/>
      <c r="G68" s="1"/>
    </row>
    <row r="69" spans="1:14" s="2" customFormat="1" x14ac:dyDescent="0.2">
      <c r="A69" s="24"/>
      <c r="B69" s="1"/>
      <c r="C69" s="47" t="s">
        <v>570</v>
      </c>
      <c r="D69" s="111">
        <v>214.56</v>
      </c>
      <c r="E69" s="104"/>
      <c r="G69" s="1"/>
      <c r="H69" s="110" t="s">
        <v>581</v>
      </c>
    </row>
    <row r="70" spans="1:14" s="2" customFormat="1" x14ac:dyDescent="0.2">
      <c r="A70" s="24"/>
      <c r="B70" s="1"/>
      <c r="C70" s="47" t="s">
        <v>571</v>
      </c>
      <c r="D70" s="111">
        <v>0</v>
      </c>
      <c r="E70" s="104"/>
      <c r="G70" s="1"/>
      <c r="H70" s="110" t="s">
        <v>580</v>
      </c>
    </row>
    <row r="71" spans="1:14" s="2" customFormat="1" x14ac:dyDescent="0.2">
      <c r="A71" s="24"/>
      <c r="B71" s="1"/>
      <c r="C71" s="47" t="s">
        <v>572</v>
      </c>
      <c r="D71" s="111">
        <f>+D87/100000</f>
        <v>5.8407400000000003</v>
      </c>
      <c r="E71" s="104"/>
      <c r="G71" s="1"/>
      <c r="H71" s="90" t="s">
        <v>587</v>
      </c>
    </row>
    <row r="72" spans="1:14" s="2" customFormat="1" x14ac:dyDescent="0.2">
      <c r="A72" s="24"/>
      <c r="B72" s="1"/>
      <c r="C72" s="108" t="s">
        <v>578</v>
      </c>
      <c r="D72" s="48">
        <f>SUM(D69:D71)</f>
        <v>220.40074000000001</v>
      </c>
      <c r="E72" s="104"/>
      <c r="G72" s="1"/>
    </row>
    <row r="73" spans="1:14" s="2" customFormat="1" x14ac:dyDescent="0.2">
      <c r="A73" s="24"/>
      <c r="B73" s="1"/>
      <c r="C73" s="47"/>
      <c r="D73" s="107"/>
      <c r="E73" s="104"/>
      <c r="G73" s="1"/>
    </row>
    <row r="74" spans="1:14" s="2" customFormat="1" x14ac:dyDescent="0.2">
      <c r="A74" s="24"/>
      <c r="B74" s="1"/>
      <c r="C74" s="47" t="s">
        <v>573</v>
      </c>
      <c r="D74" s="111">
        <v>0</v>
      </c>
      <c r="E74" s="104"/>
      <c r="G74" s="1"/>
      <c r="H74" s="110" t="s">
        <v>581</v>
      </c>
    </row>
    <row r="75" spans="1:14" s="2" customFormat="1" x14ac:dyDescent="0.2">
      <c r="A75" s="24"/>
      <c r="B75" s="1"/>
      <c r="C75" s="47" t="s">
        <v>574</v>
      </c>
      <c r="D75" s="111">
        <v>40.08</v>
      </c>
      <c r="E75" s="104"/>
      <c r="G75" s="1"/>
      <c r="H75" s="110" t="s">
        <v>581</v>
      </c>
      <c r="J75" s="114" t="s">
        <v>713</v>
      </c>
    </row>
    <row r="76" spans="1:14" s="2" customFormat="1" x14ac:dyDescent="0.2">
      <c r="A76" s="24"/>
      <c r="B76" s="1"/>
      <c r="C76" s="78" t="s">
        <v>579</v>
      </c>
      <c r="D76" s="109">
        <f>D74+D75</f>
        <v>40.08</v>
      </c>
      <c r="E76" s="104"/>
      <c r="G76" s="1"/>
      <c r="I76" s="113"/>
      <c r="J76" s="113" t="s">
        <v>709</v>
      </c>
      <c r="K76" s="113" t="s">
        <v>710</v>
      </c>
      <c r="L76" s="113" t="s">
        <v>711</v>
      </c>
      <c r="M76" s="113" t="s">
        <v>712</v>
      </c>
    </row>
    <row r="77" spans="1:14" s="2" customFormat="1" x14ac:dyDescent="0.2">
      <c r="A77" s="24"/>
      <c r="B77" s="1"/>
      <c r="C77" s="105"/>
      <c r="D77" s="106"/>
      <c r="E77" s="104"/>
      <c r="G77" s="1"/>
      <c r="I77" s="113" t="s">
        <v>706</v>
      </c>
      <c r="J77" s="115"/>
      <c r="K77" s="115">
        <v>968.99</v>
      </c>
      <c r="L77" s="115">
        <v>968.99</v>
      </c>
      <c r="M77" s="113">
        <f>+J77+L77-K77</f>
        <v>0</v>
      </c>
    </row>
    <row r="78" spans="1:14" s="2" customFormat="1" x14ac:dyDescent="0.2">
      <c r="A78" s="24"/>
      <c r="B78" s="1"/>
      <c r="C78" s="78" t="s">
        <v>577</v>
      </c>
      <c r="D78" s="109">
        <f>D69+D76</f>
        <v>254.64</v>
      </c>
      <c r="E78" s="104"/>
      <c r="G78" s="1"/>
      <c r="I78" s="113" t="s">
        <v>707</v>
      </c>
      <c r="J78" s="115">
        <v>183.1</v>
      </c>
      <c r="K78" s="115">
        <v>1441.54</v>
      </c>
      <c r="L78" s="115">
        <v>1915.21</v>
      </c>
      <c r="M78" s="113">
        <f>+J78+L78-K78</f>
        <v>656.77</v>
      </c>
    </row>
    <row r="79" spans="1:14" s="2" customFormat="1" x14ac:dyDescent="0.2">
      <c r="A79" s="24"/>
      <c r="B79" s="1"/>
      <c r="C79" s="56"/>
      <c r="D79" s="56"/>
      <c r="E79" s="104"/>
      <c r="G79" s="1"/>
      <c r="I79" s="113" t="s">
        <v>708</v>
      </c>
      <c r="J79" s="115">
        <v>1371.02</v>
      </c>
      <c r="K79" s="115">
        <v>9945.35</v>
      </c>
      <c r="L79" s="115">
        <v>10333.370000000001</v>
      </c>
      <c r="M79" s="113">
        <f>+J79+L79-K79</f>
        <v>1759.0400000000009</v>
      </c>
    </row>
    <row r="80" spans="1:14" s="2" customFormat="1" ht="38.25" x14ac:dyDescent="0.2">
      <c r="A80" s="24"/>
      <c r="B80" s="1"/>
      <c r="C80" s="79" t="str">
        <f>"Particulars ( 01-04-2021 to "&amp;TEXT(A5,"dd-mm-yyyy")&amp;" )"</f>
        <v>Particulars ( 01-04-2021 to 04-04-2023 )</v>
      </c>
      <c r="D80" s="80" t="s">
        <v>73</v>
      </c>
      <c r="E80" s="80" t="s">
        <v>74</v>
      </c>
      <c r="F80" s="81" t="s">
        <v>75</v>
      </c>
      <c r="G80" s="80" t="s">
        <v>76</v>
      </c>
      <c r="J80" s="118">
        <f>SUM(J77:J79)</f>
        <v>1554.12</v>
      </c>
      <c r="K80" s="118">
        <f>SUM(K77:K79)</f>
        <v>12355.880000000001</v>
      </c>
      <c r="L80" s="118">
        <f>SUM(L77:L79)</f>
        <v>13217.57</v>
      </c>
      <c r="M80" s="118">
        <f>SUM(M77:M79)</f>
        <v>2415.8100000000009</v>
      </c>
    </row>
    <row r="81" spans="1:13" s="2" customFormat="1" x14ac:dyDescent="0.2">
      <c r="A81" s="24"/>
      <c r="B81" s="1"/>
      <c r="C81" s="50" t="s">
        <v>444</v>
      </c>
      <c r="D81" s="55">
        <f>+L77+L78+J78</f>
        <v>3067.2999999999997</v>
      </c>
      <c r="E81" s="55">
        <f>+K77+K78</f>
        <v>2410.5299999999997</v>
      </c>
      <c r="F81" s="55">
        <f>+D81-E81</f>
        <v>656.77</v>
      </c>
      <c r="G81" s="55">
        <f>1500-F81</f>
        <v>843.23</v>
      </c>
      <c r="H81" s="2" t="s">
        <v>396</v>
      </c>
    </row>
    <row r="82" spans="1:13" s="2" customFormat="1" x14ac:dyDescent="0.2">
      <c r="A82" s="24"/>
      <c r="B82" s="1"/>
      <c r="C82" s="50" t="s">
        <v>71</v>
      </c>
      <c r="D82" s="55">
        <f>+J79+L79</f>
        <v>11704.390000000001</v>
      </c>
      <c r="E82" s="55">
        <f>+K79</f>
        <v>9945.35</v>
      </c>
      <c r="F82" s="55">
        <f>+D82-E82</f>
        <v>1759.0400000000009</v>
      </c>
      <c r="G82" s="55">
        <f>1500+700-F82</f>
        <v>440.95999999999913</v>
      </c>
      <c r="H82" s="2" t="s">
        <v>396</v>
      </c>
    </row>
    <row r="83" spans="1:13" s="2" customFormat="1" x14ac:dyDescent="0.2">
      <c r="A83" s="24"/>
      <c r="B83" s="1"/>
      <c r="C83" s="14"/>
      <c r="D83" s="56"/>
      <c r="E83" s="13"/>
      <c r="G83" s="1"/>
    </row>
    <row r="84" spans="1:13" s="2" customFormat="1" x14ac:dyDescent="0.2">
      <c r="A84" s="215" t="s">
        <v>80</v>
      </c>
      <c r="B84" s="216"/>
      <c r="C84" s="216"/>
      <c r="D84" s="217"/>
      <c r="E84" s="69"/>
      <c r="F84" s="70"/>
      <c r="G84" s="1"/>
      <c r="H84" s="53"/>
    </row>
    <row r="85" spans="1:13" s="2" customFormat="1" x14ac:dyDescent="0.2">
      <c r="A85" s="71" t="s">
        <v>81</v>
      </c>
      <c r="B85" s="71"/>
      <c r="C85" s="72" t="s">
        <v>82</v>
      </c>
      <c r="D85" s="73" t="s">
        <v>83</v>
      </c>
      <c r="E85" s="69"/>
      <c r="F85" s="70"/>
      <c r="H85" s="53"/>
    </row>
    <row r="86" spans="1:13" s="2" customFormat="1" x14ac:dyDescent="0.2">
      <c r="A86" s="87">
        <v>45020</v>
      </c>
      <c r="B86" s="91" t="s">
        <v>6</v>
      </c>
      <c r="C86" s="75" t="s">
        <v>271</v>
      </c>
      <c r="D86" s="88">
        <v>584074</v>
      </c>
      <c r="G86" s="1"/>
      <c r="L86" s="1"/>
      <c r="M86" s="1"/>
    </row>
    <row r="87" spans="1:13" s="2" customFormat="1" x14ac:dyDescent="0.2">
      <c r="A87" s="87"/>
      <c r="B87" s="74"/>
      <c r="C87" s="75"/>
      <c r="D87" s="51">
        <f>SUM(D86:D86)</f>
        <v>584074</v>
      </c>
      <c r="F87" s="2" t="s">
        <v>396</v>
      </c>
      <c r="G87" s="1"/>
      <c r="I87" s="1"/>
      <c r="J87" s="1"/>
      <c r="K87" s="1"/>
      <c r="L87" s="1"/>
      <c r="M87" s="1"/>
    </row>
    <row r="88" spans="1:13" s="2" customFormat="1" x14ac:dyDescent="0.2">
      <c r="A88" s="8"/>
      <c r="B88" s="93"/>
      <c r="C88" s="76"/>
      <c r="D88" s="56"/>
      <c r="G88" s="1"/>
      <c r="I88" s="1"/>
      <c r="J88" s="1"/>
      <c r="K88" s="1"/>
      <c r="L88" s="1"/>
      <c r="M88" s="1"/>
    </row>
    <row r="89" spans="1:13" s="2" customFormat="1" x14ac:dyDescent="0.2">
      <c r="A89" s="24"/>
      <c r="B89" s="1"/>
      <c r="C89" s="52"/>
      <c r="D89" s="85"/>
      <c r="E89" s="53"/>
      <c r="F89" s="53"/>
      <c r="G89" s="54"/>
      <c r="I89" s="1"/>
      <c r="J89" s="1"/>
      <c r="K89" s="1"/>
      <c r="L89" s="1"/>
      <c r="M89" s="1"/>
    </row>
    <row r="90" spans="1:13" s="2" customFormat="1" x14ac:dyDescent="0.2">
      <c r="A90" s="24"/>
      <c r="B90" s="1"/>
      <c r="C90" s="218" t="s">
        <v>77</v>
      </c>
      <c r="D90" s="219"/>
      <c r="E90" s="219"/>
      <c r="F90" s="220"/>
      <c r="G90" s="54"/>
      <c r="I90" s="1"/>
      <c r="J90" s="1"/>
      <c r="K90" s="1"/>
      <c r="L90" s="1"/>
      <c r="M90" s="1"/>
    </row>
    <row r="91" spans="1:13" s="2" customFormat="1" x14ac:dyDescent="0.2">
      <c r="A91" s="24"/>
      <c r="B91" s="1"/>
      <c r="C91" s="50"/>
      <c r="D91" s="57" t="s">
        <v>78</v>
      </c>
      <c r="E91" s="58" t="s">
        <v>79</v>
      </c>
      <c r="F91" s="57" t="s">
        <v>72</v>
      </c>
      <c r="G91" s="54"/>
      <c r="I91" s="1"/>
      <c r="J91" s="1"/>
      <c r="K91" s="1"/>
      <c r="L91" s="1"/>
      <c r="M91" s="1"/>
    </row>
    <row r="92" spans="1:13" s="2" customFormat="1" x14ac:dyDescent="0.2">
      <c r="A92" s="24"/>
      <c r="B92" s="1"/>
      <c r="C92" s="59" t="str">
        <f>"01-04-2023 to "&amp;TEXT(A5-2,"dd-mm-yyyy")</f>
        <v>01-04-2023 to 02-04-2023</v>
      </c>
      <c r="D92" s="60">
        <v>834.64</v>
      </c>
      <c r="E92" s="60">
        <v>21.21</v>
      </c>
      <c r="F92" s="61">
        <f>SUM(D92:E92)</f>
        <v>855.85</v>
      </c>
      <c r="G92" s="54"/>
      <c r="I92" s="1"/>
      <c r="J92" s="1"/>
      <c r="K92" s="1"/>
      <c r="L92" s="1"/>
      <c r="M92" s="1"/>
    </row>
    <row r="93" spans="1:13" s="2" customFormat="1" x14ac:dyDescent="0.2">
      <c r="A93" s="24"/>
      <c r="B93" s="1"/>
      <c r="C93" s="62" t="str">
        <f>TEXT(A5-1,"dd-mm-yyyy")</f>
        <v>03-04-2023</v>
      </c>
      <c r="D93" s="60">
        <v>74</v>
      </c>
      <c r="E93" s="60">
        <v>16.02</v>
      </c>
      <c r="F93" s="61">
        <f>SUM(D93:E93)</f>
        <v>90.02</v>
      </c>
      <c r="G93" s="54"/>
      <c r="I93" s="1"/>
      <c r="J93" s="1"/>
      <c r="K93" s="1"/>
      <c r="L93" s="1"/>
      <c r="M93" s="1"/>
    </row>
    <row r="94" spans="1:13" ht="13.5" thickBot="1" x14ac:dyDescent="0.25">
      <c r="C94" s="63" t="str">
        <f>"01-04-2023 to "&amp;TEXT(A5-1,"dd-mm-yyyy")</f>
        <v>01-04-2023 to 03-04-2023</v>
      </c>
      <c r="D94" s="64">
        <f>SUM(D92:D93)</f>
        <v>908.64</v>
      </c>
      <c r="E94" s="64">
        <f>SUM(E92:E93)</f>
        <v>37.230000000000004</v>
      </c>
      <c r="F94" s="64">
        <f>SUM(F92:F93)</f>
        <v>945.87</v>
      </c>
      <c r="G94" s="54"/>
    </row>
    <row r="95" spans="1:13" s="2" customFormat="1" ht="13.5" thickTop="1" x14ac:dyDescent="0.2">
      <c r="A95" s="24"/>
      <c r="B95" s="1"/>
      <c r="C95" s="62"/>
      <c r="D95" s="65"/>
      <c r="E95" s="66"/>
      <c r="F95" s="67"/>
      <c r="G95" s="54"/>
      <c r="H95" s="53"/>
    </row>
    <row r="96" spans="1:13" x14ac:dyDescent="0.2">
      <c r="C96" s="62" t="str">
        <f>"01-04-2023 to " &amp;C93</f>
        <v>01-04-2023 to 03-04-2023</v>
      </c>
      <c r="D96" s="68">
        <f>+D94</f>
        <v>908.64</v>
      </c>
      <c r="E96" s="68">
        <f>+E94</f>
        <v>37.230000000000004</v>
      </c>
      <c r="F96" s="68">
        <f>+F94</f>
        <v>945.87</v>
      </c>
      <c r="G96" s="54"/>
      <c r="H96" s="53" t="s">
        <v>396</v>
      </c>
    </row>
    <row r="97" spans="3:10" x14ac:dyDescent="0.2">
      <c r="C97" s="52"/>
      <c r="D97" s="85"/>
      <c r="E97" s="53"/>
      <c r="F97" s="53"/>
      <c r="G97" s="54"/>
      <c r="H97" s="53" t="s">
        <v>396</v>
      </c>
      <c r="J97" s="42"/>
    </row>
    <row r="98" spans="3:10" x14ac:dyDescent="0.2">
      <c r="C98" s="52"/>
      <c r="D98" s="85"/>
      <c r="E98" s="53"/>
      <c r="F98" s="53"/>
      <c r="G98" s="54"/>
      <c r="H98" s="53"/>
      <c r="I98" s="101"/>
    </row>
    <row r="99" spans="3:10" x14ac:dyDescent="0.2">
      <c r="C99" s="52"/>
      <c r="D99" s="85"/>
      <c r="E99" s="53"/>
      <c r="F99" s="53"/>
      <c r="G99" s="54"/>
      <c r="H99" s="53"/>
    </row>
    <row r="100" spans="3:10" x14ac:dyDescent="0.2">
      <c r="C100" s="52"/>
      <c r="D100" s="85"/>
      <c r="E100" s="53"/>
      <c r="F100" s="53"/>
      <c r="G100" s="54"/>
      <c r="H100" s="53"/>
    </row>
    <row r="101" spans="3:10" x14ac:dyDescent="0.2">
      <c r="H101" s="53"/>
    </row>
  </sheetData>
  <mergeCells count="5">
    <mergeCell ref="A1:G1"/>
    <mergeCell ref="A3:F3"/>
    <mergeCell ref="A9:F9"/>
    <mergeCell ref="A84:D84"/>
    <mergeCell ref="C90:F90"/>
  </mergeCells>
  <conditionalFormatting sqref="G81:G82">
    <cfRule type="cellIs" dxfId="664" priority="1" operator="lessThan">
      <formula>0</formula>
    </cfRule>
  </conditionalFormatting>
  <conditionalFormatting sqref="C11">
    <cfRule type="duplicateValues" dxfId="663" priority="2"/>
  </conditionalFormatting>
  <conditionalFormatting sqref="C56:C61 C12:C46 C48:C54">
    <cfRule type="duplicateValues" dxfId="662" priority="418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98">
    <pageSetUpPr fitToPage="1"/>
  </sheetPr>
  <dimension ref="A1:N84"/>
  <sheetViews>
    <sheetView topLeftCell="A39" zoomScaleNormal="100" workbookViewId="0">
      <selection activeCell="H49" sqref="H49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49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844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2.75" customHeight="1" x14ac:dyDescent="0.4">
      <c r="A5" s="89">
        <v>45021</v>
      </c>
      <c r="B5" s="9" t="s">
        <v>6</v>
      </c>
      <c r="C5" s="10" t="s">
        <v>7</v>
      </c>
      <c r="D5" s="11"/>
      <c r="E5" s="12">
        <v>777226.69999999867</v>
      </c>
      <c r="F5" s="12"/>
      <c r="G5" s="1"/>
      <c r="H5" s="112"/>
      <c r="I5" s="112"/>
    </row>
    <row r="6" spans="1:10" s="2" customFormat="1" ht="12.75" customHeight="1" x14ac:dyDescent="0.4">
      <c r="A6" s="89">
        <v>45021</v>
      </c>
      <c r="B6" s="9" t="s">
        <v>6</v>
      </c>
      <c r="C6" s="10" t="s">
        <v>400</v>
      </c>
      <c r="D6" s="117" t="s">
        <v>13</v>
      </c>
      <c r="E6" s="12">
        <v>2000000</v>
      </c>
      <c r="F6" s="12"/>
      <c r="G6" s="1"/>
      <c r="H6" s="112"/>
      <c r="I6" s="112"/>
    </row>
    <row r="7" spans="1:10" s="2" customFormat="1" ht="12.75" customHeight="1" x14ac:dyDescent="0.4">
      <c r="D7" s="15" t="s">
        <v>8</v>
      </c>
      <c r="E7" s="16">
        <f>SUM(E5:E6)</f>
        <v>2777226.6999999988</v>
      </c>
      <c r="F7" s="16">
        <f>SUM(F5:F5)</f>
        <v>0</v>
      </c>
      <c r="G7" s="1"/>
      <c r="H7" s="112"/>
      <c r="I7" s="112"/>
    </row>
    <row r="8" spans="1:10" s="2" customFormat="1" ht="12.75" customHeight="1" x14ac:dyDescent="0.4">
      <c r="A8" s="17"/>
      <c r="B8" s="18"/>
      <c r="C8" s="19" t="s">
        <v>9</v>
      </c>
      <c r="D8" s="20"/>
      <c r="E8" s="21">
        <f>E7-F7</f>
        <v>2777226.6999999988</v>
      </c>
      <c r="F8" s="22"/>
      <c r="G8" s="23"/>
      <c r="H8" s="112"/>
      <c r="I8" s="112"/>
      <c r="J8" s="13"/>
    </row>
    <row r="9" spans="1:10" s="2" customFormat="1" ht="12.75" customHeight="1" x14ac:dyDescent="0.4">
      <c r="A9" s="24"/>
      <c r="B9" s="1"/>
      <c r="C9" s="14"/>
      <c r="D9" s="25"/>
      <c r="G9" s="23"/>
      <c r="H9" s="112"/>
      <c r="I9" s="112"/>
      <c r="J9" s="13"/>
    </row>
    <row r="10" spans="1:10" s="2" customFormat="1" ht="21.75" customHeight="1" x14ac:dyDescent="0.4">
      <c r="A10" s="214" t="s">
        <v>10</v>
      </c>
      <c r="B10" s="214"/>
      <c r="C10" s="214"/>
      <c r="D10" s="214"/>
      <c r="E10" s="214"/>
      <c r="F10" s="214"/>
      <c r="G10" s="13"/>
      <c r="H10" s="112"/>
      <c r="I10" s="112"/>
      <c r="J10" s="13"/>
    </row>
    <row r="11" spans="1:10" s="2" customFormat="1" ht="12.75" customHeight="1" x14ac:dyDescent="0.4">
      <c r="A11" s="26" t="s">
        <v>1</v>
      </c>
      <c r="B11" s="27" t="s">
        <v>2</v>
      </c>
      <c r="C11" s="5"/>
      <c r="D11" s="6" t="s">
        <v>3</v>
      </c>
      <c r="E11" s="7" t="s">
        <v>4</v>
      </c>
      <c r="F11" s="7" t="s">
        <v>5</v>
      </c>
      <c r="G11" s="23"/>
      <c r="H11" s="112"/>
      <c r="I11" s="112"/>
      <c r="J11" s="13"/>
    </row>
    <row r="12" spans="1:10" s="2" customFormat="1" ht="12.75" customHeight="1" x14ac:dyDescent="0.2">
      <c r="A12" s="89">
        <v>45021</v>
      </c>
      <c r="B12" s="91" t="s">
        <v>11</v>
      </c>
      <c r="C12" s="29" t="s">
        <v>7</v>
      </c>
      <c r="D12" s="25"/>
      <c r="E12" s="31"/>
      <c r="F12" s="2">
        <v>340760925.12000018</v>
      </c>
      <c r="G12" s="30"/>
      <c r="I12" s="13"/>
      <c r="J12" s="13"/>
    </row>
    <row r="13" spans="1:10" s="2" customFormat="1" ht="12.75" customHeight="1" x14ac:dyDescent="0.2">
      <c r="A13" s="89">
        <v>45021</v>
      </c>
      <c r="B13" s="91" t="s">
        <v>6</v>
      </c>
      <c r="C13" s="76" t="s">
        <v>648</v>
      </c>
      <c r="D13" s="116" t="s">
        <v>13</v>
      </c>
      <c r="E13" s="31">
        <v>450000</v>
      </c>
      <c r="G13" s="30"/>
      <c r="I13" s="13"/>
      <c r="J13" s="13"/>
    </row>
    <row r="14" spans="1:10" s="2" customFormat="1" ht="12.75" customHeight="1" x14ac:dyDescent="0.2">
      <c r="A14" s="89">
        <v>45021</v>
      </c>
      <c r="B14" s="91" t="s">
        <v>6</v>
      </c>
      <c r="C14" s="76" t="s">
        <v>845</v>
      </c>
      <c r="D14" s="116" t="s">
        <v>13</v>
      </c>
      <c r="E14" s="31">
        <v>2450</v>
      </c>
      <c r="G14" s="30"/>
      <c r="I14" s="13"/>
      <c r="J14" s="13"/>
    </row>
    <row r="15" spans="1:10" s="2" customFormat="1" ht="12.75" customHeight="1" x14ac:dyDescent="0.2">
      <c r="A15" s="89">
        <v>45021</v>
      </c>
      <c r="B15" s="91" t="s">
        <v>6</v>
      </c>
      <c r="C15" s="76" t="s">
        <v>420</v>
      </c>
      <c r="D15" s="116" t="s">
        <v>13</v>
      </c>
      <c r="E15" s="31">
        <v>520540</v>
      </c>
      <c r="G15" s="30"/>
      <c r="I15" s="13"/>
      <c r="J15" s="13"/>
    </row>
    <row r="16" spans="1:10" s="2" customFormat="1" ht="12.75" customHeight="1" x14ac:dyDescent="0.2">
      <c r="A16" s="89">
        <v>45021</v>
      </c>
      <c r="B16" s="91" t="s">
        <v>6</v>
      </c>
      <c r="C16" s="76" t="s">
        <v>748</v>
      </c>
      <c r="D16" s="116" t="s">
        <v>13</v>
      </c>
      <c r="E16" s="31">
        <v>823417</v>
      </c>
      <c r="G16" s="30"/>
      <c r="I16" s="13"/>
      <c r="J16" s="13"/>
    </row>
    <row r="17" spans="1:10" s="2" customFormat="1" ht="12.75" customHeight="1" x14ac:dyDescent="0.2">
      <c r="A17" s="89">
        <v>45021</v>
      </c>
      <c r="B17" s="91" t="s">
        <v>6</v>
      </c>
      <c r="C17" s="76" t="s">
        <v>15</v>
      </c>
      <c r="D17" s="116" t="s">
        <v>13</v>
      </c>
      <c r="E17" s="31">
        <v>164095.51</v>
      </c>
      <c r="G17" s="30"/>
      <c r="I17" s="13"/>
      <c r="J17" s="13"/>
    </row>
    <row r="18" spans="1:10" s="2" customFormat="1" ht="12.75" customHeight="1" x14ac:dyDescent="0.2">
      <c r="A18" s="89">
        <v>45021</v>
      </c>
      <c r="B18" s="91" t="s">
        <v>6</v>
      </c>
      <c r="C18" s="76" t="s">
        <v>760</v>
      </c>
      <c r="D18" s="116" t="s">
        <v>13</v>
      </c>
      <c r="E18" s="31">
        <v>111875</v>
      </c>
      <c r="G18" s="30"/>
      <c r="I18" s="13"/>
      <c r="J18" s="13"/>
    </row>
    <row r="19" spans="1:10" s="2" customFormat="1" ht="12.75" customHeight="1" x14ac:dyDescent="0.2">
      <c r="A19" s="89">
        <v>45021</v>
      </c>
      <c r="B19" s="91" t="s">
        <v>6</v>
      </c>
      <c r="C19" s="76" t="s">
        <v>764</v>
      </c>
      <c r="D19" s="116" t="s">
        <v>13</v>
      </c>
      <c r="E19" s="31">
        <v>974238.89999999991</v>
      </c>
      <c r="G19" s="30"/>
      <c r="I19" s="13"/>
      <c r="J19" s="13"/>
    </row>
    <row r="20" spans="1:10" s="2" customFormat="1" ht="12.75" customHeight="1" x14ac:dyDescent="0.2">
      <c r="A20" s="89">
        <v>45021</v>
      </c>
      <c r="B20" s="91" t="s">
        <v>6</v>
      </c>
      <c r="C20" s="76" t="s">
        <v>773</v>
      </c>
      <c r="D20" s="116" t="s">
        <v>13</v>
      </c>
      <c r="E20" s="31">
        <v>103202</v>
      </c>
      <c r="G20" s="30"/>
      <c r="I20" s="13"/>
      <c r="J20" s="13"/>
    </row>
    <row r="21" spans="1:10" s="2" customFormat="1" ht="12.75" customHeight="1" x14ac:dyDescent="0.2">
      <c r="A21" s="89">
        <v>45021</v>
      </c>
      <c r="B21" s="91" t="s">
        <v>6</v>
      </c>
      <c r="C21" s="76" t="s">
        <v>297</v>
      </c>
      <c r="D21" s="116" t="s">
        <v>13</v>
      </c>
      <c r="E21" s="31">
        <v>109978</v>
      </c>
      <c r="G21" s="30"/>
      <c r="I21" s="13"/>
      <c r="J21" s="13"/>
    </row>
    <row r="22" spans="1:10" s="2" customFormat="1" ht="12.75" customHeight="1" x14ac:dyDescent="0.2">
      <c r="A22" s="89">
        <v>45021</v>
      </c>
      <c r="B22" s="91" t="s">
        <v>6</v>
      </c>
      <c r="C22" s="76" t="s">
        <v>755</v>
      </c>
      <c r="D22" s="116" t="s">
        <v>13</v>
      </c>
      <c r="E22" s="31">
        <v>582335.79999999993</v>
      </c>
      <c r="G22" s="30"/>
      <c r="I22" s="13"/>
      <c r="J22" s="13"/>
    </row>
    <row r="23" spans="1:10" s="2" customFormat="1" ht="12.75" customHeight="1" x14ac:dyDescent="0.2">
      <c r="A23" s="89">
        <v>45021</v>
      </c>
      <c r="B23" s="91" t="s">
        <v>6</v>
      </c>
      <c r="C23" s="76" t="s">
        <v>750</v>
      </c>
      <c r="D23" s="116" t="s">
        <v>13</v>
      </c>
      <c r="E23" s="31">
        <v>239472.8</v>
      </c>
      <c r="G23" s="30"/>
      <c r="I23" s="13"/>
      <c r="J23" s="13"/>
    </row>
    <row r="24" spans="1:10" s="2" customFormat="1" ht="12.75" customHeight="1" x14ac:dyDescent="0.2">
      <c r="A24" s="89">
        <v>45021</v>
      </c>
      <c r="B24" s="91" t="s">
        <v>6</v>
      </c>
      <c r="C24" s="76" t="s">
        <v>757</v>
      </c>
      <c r="D24" s="116" t="s">
        <v>13</v>
      </c>
      <c r="E24" s="31">
        <v>70454.100000000006</v>
      </c>
      <c r="G24" s="30"/>
      <c r="I24" s="13"/>
      <c r="J24" s="13"/>
    </row>
    <row r="25" spans="1:10" s="2" customFormat="1" ht="12.75" customHeight="1" x14ac:dyDescent="0.2">
      <c r="A25" s="89">
        <v>45021</v>
      </c>
      <c r="B25" s="91" t="s">
        <v>6</v>
      </c>
      <c r="C25" s="76" t="s">
        <v>27</v>
      </c>
      <c r="D25" s="116" t="s">
        <v>13</v>
      </c>
      <c r="E25" s="31">
        <f>1673763.32+3824793.45</f>
        <v>5498556.7700000005</v>
      </c>
      <c r="G25" s="30"/>
      <c r="I25" s="13"/>
      <c r="J25" s="13"/>
    </row>
    <row r="26" spans="1:10" s="2" customFormat="1" ht="12.75" customHeight="1" x14ac:dyDescent="0.2">
      <c r="A26" s="89">
        <v>45021</v>
      </c>
      <c r="B26" s="91" t="s">
        <v>6</v>
      </c>
      <c r="C26" s="76" t="s">
        <v>64</v>
      </c>
      <c r="D26" s="116" t="s">
        <v>29</v>
      </c>
      <c r="E26" s="31"/>
      <c r="F26" s="2">
        <v>28.32</v>
      </c>
      <c r="G26" s="30"/>
      <c r="I26" s="13"/>
      <c r="J26" s="13"/>
    </row>
    <row r="27" spans="1:10" s="2" customFormat="1" ht="12.75" customHeight="1" x14ac:dyDescent="0.2">
      <c r="A27" s="89">
        <v>45021</v>
      </c>
      <c r="B27" s="91" t="s">
        <v>6</v>
      </c>
      <c r="C27" s="76" t="s">
        <v>109</v>
      </c>
      <c r="D27" s="116" t="s">
        <v>29</v>
      </c>
      <c r="E27" s="31"/>
      <c r="F27" s="2">
        <v>1274578</v>
      </c>
      <c r="G27" s="30"/>
      <c r="I27" s="13"/>
      <c r="J27" s="13"/>
    </row>
    <row r="28" spans="1:10" s="2" customFormat="1" ht="12.75" customHeight="1" x14ac:dyDescent="0.2">
      <c r="A28" s="89">
        <v>45021</v>
      </c>
      <c r="B28" s="91" t="s">
        <v>6</v>
      </c>
      <c r="C28" s="76" t="s">
        <v>125</v>
      </c>
      <c r="D28" s="116" t="s">
        <v>29</v>
      </c>
      <c r="E28" s="31"/>
      <c r="F28" s="2">
        <v>1215126</v>
      </c>
      <c r="G28" s="30"/>
      <c r="I28" s="13"/>
      <c r="J28" s="13"/>
    </row>
    <row r="29" spans="1:10" s="2" customFormat="1" ht="12.75" customHeight="1" x14ac:dyDescent="0.2">
      <c r="A29" s="89">
        <v>45021</v>
      </c>
      <c r="B29" s="91" t="s">
        <v>6</v>
      </c>
      <c r="C29" s="76" t="s">
        <v>533</v>
      </c>
      <c r="D29" s="116" t="s">
        <v>29</v>
      </c>
      <c r="E29" s="31"/>
      <c r="F29" s="2">
        <v>10341</v>
      </c>
      <c r="G29" s="30"/>
      <c r="I29" s="13"/>
      <c r="J29" s="13"/>
    </row>
    <row r="30" spans="1:10" s="2" customFormat="1" ht="12.75" customHeight="1" x14ac:dyDescent="0.2">
      <c r="A30" s="89">
        <v>45021</v>
      </c>
      <c r="B30" s="91" t="s">
        <v>6</v>
      </c>
      <c r="C30" s="76" t="s">
        <v>183</v>
      </c>
      <c r="D30" s="116" t="s">
        <v>29</v>
      </c>
      <c r="E30" s="31"/>
      <c r="F30" s="2">
        <v>20623</v>
      </c>
      <c r="G30" s="30"/>
      <c r="I30" s="13"/>
      <c r="J30" s="13"/>
    </row>
    <row r="31" spans="1:10" s="2" customFormat="1" ht="12.75" customHeight="1" x14ac:dyDescent="0.2">
      <c r="A31" s="89">
        <v>45021</v>
      </c>
      <c r="B31" s="91" t="s">
        <v>6</v>
      </c>
      <c r="C31" s="76" t="s">
        <v>182</v>
      </c>
      <c r="D31" s="116" t="s">
        <v>29</v>
      </c>
      <c r="E31" s="31"/>
      <c r="F31" s="2">
        <v>164557</v>
      </c>
      <c r="G31" s="30"/>
      <c r="I31" s="13"/>
      <c r="J31" s="13"/>
    </row>
    <row r="32" spans="1:10" s="2" customFormat="1" ht="12.75" customHeight="1" x14ac:dyDescent="0.2">
      <c r="A32" s="89">
        <v>45021</v>
      </c>
      <c r="B32" s="91" t="s">
        <v>6</v>
      </c>
      <c r="C32" s="76" t="s">
        <v>34</v>
      </c>
      <c r="D32" s="116" t="s">
        <v>29</v>
      </c>
      <c r="E32" s="31"/>
      <c r="F32" s="2">
        <v>200000</v>
      </c>
      <c r="G32" s="30"/>
      <c r="I32" s="13"/>
      <c r="J32" s="13"/>
    </row>
    <row r="33" spans="1:14" s="2" customFormat="1" ht="12.75" customHeight="1" x14ac:dyDescent="0.2">
      <c r="A33" s="89">
        <v>45021</v>
      </c>
      <c r="B33" s="91" t="s">
        <v>6</v>
      </c>
      <c r="C33" s="76" t="s">
        <v>698</v>
      </c>
      <c r="D33" s="116" t="s">
        <v>29</v>
      </c>
      <c r="E33" s="31"/>
      <c r="F33" s="2">
        <v>9070</v>
      </c>
      <c r="G33" s="30"/>
      <c r="I33" s="13"/>
      <c r="J33" s="13"/>
    </row>
    <row r="34" spans="1:14" s="2" customFormat="1" ht="12.75" customHeight="1" x14ac:dyDescent="0.2">
      <c r="A34" s="89">
        <v>45021</v>
      </c>
      <c r="B34" s="91" t="s">
        <v>6</v>
      </c>
      <c r="C34" s="76" t="s">
        <v>402</v>
      </c>
      <c r="D34" s="116" t="s">
        <v>29</v>
      </c>
      <c r="E34" s="31"/>
      <c r="F34" s="2">
        <v>2000000</v>
      </c>
      <c r="G34" s="30"/>
      <c r="I34" s="13"/>
      <c r="J34" s="13"/>
    </row>
    <row r="35" spans="1:14" s="2" customFormat="1" ht="12.75" customHeight="1" x14ac:dyDescent="0.2">
      <c r="A35" s="89">
        <v>45021</v>
      </c>
      <c r="B35" s="91" t="s">
        <v>11</v>
      </c>
      <c r="C35" s="76" t="s">
        <v>57</v>
      </c>
      <c r="D35" s="116" t="s">
        <v>29</v>
      </c>
      <c r="E35" s="31"/>
      <c r="F35" s="2">
        <v>8500000</v>
      </c>
      <c r="G35" s="30"/>
      <c r="I35" s="13"/>
      <c r="J35" s="13"/>
    </row>
    <row r="36" spans="1:14" s="2" customFormat="1" ht="12.75" customHeight="1" x14ac:dyDescent="0.2">
      <c r="A36" s="89">
        <v>45021</v>
      </c>
      <c r="B36" s="91" t="s">
        <v>11</v>
      </c>
      <c r="C36" s="76" t="s">
        <v>825</v>
      </c>
      <c r="D36" s="116" t="s">
        <v>29</v>
      </c>
      <c r="E36" s="31"/>
      <c r="F36" s="2">
        <v>1131426</v>
      </c>
      <c r="G36" s="30"/>
      <c r="I36" s="13"/>
      <c r="J36" s="13"/>
    </row>
    <row r="37" spans="1:14" s="2" customFormat="1" ht="12.75" customHeight="1" x14ac:dyDescent="0.2">
      <c r="A37" s="89">
        <v>45021</v>
      </c>
      <c r="B37" s="91" t="s">
        <v>11</v>
      </c>
      <c r="C37" s="76" t="s">
        <v>193</v>
      </c>
      <c r="D37" s="116" t="s">
        <v>29</v>
      </c>
      <c r="E37" s="31"/>
      <c r="F37" s="2">
        <v>1460224</v>
      </c>
      <c r="G37" s="30"/>
      <c r="I37" s="13"/>
      <c r="J37" s="13"/>
    </row>
    <row r="38" spans="1:14" s="2" customFormat="1" ht="12.75" customHeight="1" x14ac:dyDescent="0.2">
      <c r="A38" s="89">
        <v>45021</v>
      </c>
      <c r="B38" s="91" t="s">
        <v>11</v>
      </c>
      <c r="C38" s="76" t="s">
        <v>597</v>
      </c>
      <c r="D38" s="116" t="s">
        <v>29</v>
      </c>
      <c r="E38" s="31"/>
      <c r="F38" s="2">
        <v>490000</v>
      </c>
      <c r="G38" s="30"/>
      <c r="I38" s="13"/>
      <c r="J38" s="13"/>
    </row>
    <row r="39" spans="1:14" s="2" customFormat="1" ht="12.75" customHeight="1" x14ac:dyDescent="0.2">
      <c r="A39" s="89">
        <v>45021</v>
      </c>
      <c r="B39" s="91" t="s">
        <v>11</v>
      </c>
      <c r="C39" s="76" t="s">
        <v>231</v>
      </c>
      <c r="D39" s="116" t="s">
        <v>29</v>
      </c>
      <c r="E39" s="31"/>
      <c r="F39" s="2">
        <v>38500</v>
      </c>
      <c r="G39" s="30"/>
      <c r="I39" s="13"/>
      <c r="J39" s="13"/>
    </row>
    <row r="40" spans="1:14" s="2" customFormat="1" ht="12.75" customHeight="1" x14ac:dyDescent="0.2">
      <c r="A40" s="89">
        <v>45021</v>
      </c>
      <c r="B40" s="91" t="s">
        <v>11</v>
      </c>
      <c r="C40" s="76" t="s">
        <v>292</v>
      </c>
      <c r="D40" s="116" t="s">
        <v>29</v>
      </c>
      <c r="E40" s="31"/>
      <c r="F40" s="2">
        <v>3800.05</v>
      </c>
      <c r="G40" s="30"/>
      <c r="I40" s="13"/>
      <c r="J40" s="13"/>
    </row>
    <row r="41" spans="1:14" s="2" customFormat="1" ht="12.75" customHeight="1" x14ac:dyDescent="0.2">
      <c r="A41" s="89">
        <v>45021</v>
      </c>
      <c r="B41" s="91" t="s">
        <v>11</v>
      </c>
      <c r="C41" s="76" t="s">
        <v>188</v>
      </c>
      <c r="D41" s="116" t="s">
        <v>29</v>
      </c>
      <c r="E41" s="31"/>
      <c r="F41" s="2">
        <v>200000</v>
      </c>
      <c r="G41" s="30"/>
      <c r="I41" s="13"/>
      <c r="J41" s="13"/>
    </row>
    <row r="42" spans="1:14" s="2" customFormat="1" ht="12.75" customHeight="1" x14ac:dyDescent="0.2">
      <c r="A42" s="89">
        <v>45021</v>
      </c>
      <c r="B42" s="91" t="s">
        <v>11</v>
      </c>
      <c r="C42" s="76" t="s">
        <v>846</v>
      </c>
      <c r="D42" s="116" t="s">
        <v>29</v>
      </c>
      <c r="E42" s="31"/>
      <c r="F42" s="2">
        <v>7670</v>
      </c>
      <c r="G42" s="30"/>
      <c r="I42" s="13"/>
      <c r="J42" s="13"/>
    </row>
    <row r="43" spans="1:14" s="2" customFormat="1" ht="12.75" customHeight="1" x14ac:dyDescent="0.2">
      <c r="A43" s="89">
        <v>45021</v>
      </c>
      <c r="B43" s="91" t="s">
        <v>11</v>
      </c>
      <c r="C43" s="76" t="s">
        <v>626</v>
      </c>
      <c r="D43" s="116" t="s">
        <v>29</v>
      </c>
      <c r="E43" s="31"/>
      <c r="F43" s="2">
        <v>13865</v>
      </c>
      <c r="G43" s="30"/>
      <c r="I43" s="13"/>
      <c r="J43" s="13"/>
    </row>
    <row r="44" spans="1:14" s="2" customFormat="1" ht="12.75" customHeight="1" x14ac:dyDescent="0.2">
      <c r="A44" s="89">
        <v>45021</v>
      </c>
      <c r="B44" s="91" t="s">
        <v>11</v>
      </c>
      <c r="C44" s="76" t="s">
        <v>783</v>
      </c>
      <c r="D44" s="116" t="s">
        <v>29</v>
      </c>
      <c r="E44" s="31"/>
      <c r="F44" s="2">
        <v>1220670</v>
      </c>
      <c r="G44" s="30"/>
      <c r="I44" s="13"/>
      <c r="J44" s="99" t="s">
        <v>601</v>
      </c>
      <c r="K44" s="99" t="s">
        <v>779</v>
      </c>
    </row>
    <row r="45" spans="1:14" s="2" customFormat="1" ht="12.75" customHeight="1" x14ac:dyDescent="0.25">
      <c r="A45" s="32"/>
      <c r="B45" s="33"/>
      <c r="C45" s="14"/>
      <c r="D45" s="34"/>
      <c r="E45" s="16">
        <f>SUM(E12:E44)</f>
        <v>9650615.8800000008</v>
      </c>
      <c r="F45" s="16">
        <f>SUM(F12:F44)</f>
        <v>358721403.49000019</v>
      </c>
      <c r="G45" s="30"/>
      <c r="H45" s="1"/>
      <c r="I45" s="39">
        <v>359479106.38</v>
      </c>
      <c r="J45" s="2">
        <f>1972203+1220426+1321352</f>
        <v>4513981</v>
      </c>
      <c r="K45" s="92">
        <f>E46-I45</f>
        <v>-10408318.769999802</v>
      </c>
      <c r="L45" s="41"/>
      <c r="M45" s="42">
        <f>K45+J45</f>
        <v>-5894337.7699998021</v>
      </c>
      <c r="N45" s="1"/>
    </row>
    <row r="46" spans="1:14" s="2" customFormat="1" x14ac:dyDescent="0.2">
      <c r="A46" s="36"/>
      <c r="B46" s="28" t="s">
        <v>11</v>
      </c>
      <c r="C46" s="19" t="s">
        <v>65</v>
      </c>
      <c r="D46" s="37"/>
      <c r="E46" s="38">
        <f>F45-E45</f>
        <v>349070787.61000019</v>
      </c>
      <c r="F46" s="22"/>
      <c r="G46" s="1"/>
      <c r="H46" s="1"/>
      <c r="J46" s="1"/>
      <c r="K46" s="1"/>
      <c r="L46" s="1"/>
      <c r="M46" s="1"/>
      <c r="N46" s="1"/>
    </row>
    <row r="47" spans="1:14" x14ac:dyDescent="0.2">
      <c r="A47" s="36"/>
      <c r="B47" s="28" t="s">
        <v>66</v>
      </c>
      <c r="C47" s="43" t="s">
        <v>67</v>
      </c>
      <c r="D47" s="43"/>
      <c r="E47" s="12">
        <v>0</v>
      </c>
      <c r="F47" s="22"/>
      <c r="H47" s="40"/>
      <c r="I47" s="45">
        <v>233.79</v>
      </c>
      <c r="J47" s="46"/>
      <c r="K47" s="46"/>
      <c r="L47" s="13"/>
      <c r="M47" s="2"/>
      <c r="N47" s="2"/>
    </row>
    <row r="48" spans="1:14" ht="15" x14ac:dyDescent="0.25">
      <c r="A48" s="36"/>
      <c r="B48" s="28"/>
      <c r="C48" s="44" t="s">
        <v>68</v>
      </c>
      <c r="D48" s="43"/>
      <c r="E48" s="7">
        <f>E46+E47</f>
        <v>349070787.61000019</v>
      </c>
      <c r="F48" s="22"/>
      <c r="H48" s="103" t="s">
        <v>69</v>
      </c>
      <c r="I48" s="45">
        <v>-8.4</v>
      </c>
      <c r="J48" s="46"/>
      <c r="K48" s="46"/>
      <c r="L48" s="2"/>
      <c r="M48" s="2"/>
      <c r="N48" s="2"/>
    </row>
    <row r="49" spans="1:14" s="2" customFormat="1" x14ac:dyDescent="0.2">
      <c r="A49" s="24"/>
      <c r="B49" s="1"/>
      <c r="C49" s="14"/>
      <c r="D49" s="25"/>
      <c r="E49" s="1"/>
      <c r="H49" s="35" t="s">
        <v>70</v>
      </c>
      <c r="I49" s="45">
        <v>0</v>
      </c>
      <c r="J49" s="46">
        <f>+I50-D52</f>
        <v>0</v>
      </c>
      <c r="M49" s="2">
        <v>19.57</v>
      </c>
      <c r="N49" s="2" t="s">
        <v>535</v>
      </c>
    </row>
    <row r="50" spans="1:14" s="2" customFormat="1" x14ac:dyDescent="0.2">
      <c r="A50" s="24"/>
      <c r="B50" s="1"/>
      <c r="C50" s="56"/>
      <c r="D50" s="56"/>
      <c r="E50" s="104"/>
      <c r="G50" s="1"/>
      <c r="I50" s="49">
        <f>SUM(I47:I49)</f>
        <v>225.39</v>
      </c>
      <c r="J50" s="46"/>
      <c r="K50" s="46"/>
    </row>
    <row r="51" spans="1:14" s="2" customFormat="1" x14ac:dyDescent="0.2">
      <c r="A51" s="24"/>
      <c r="B51" s="1"/>
      <c r="C51" s="78" t="s">
        <v>575</v>
      </c>
      <c r="D51" s="48" t="s">
        <v>576</v>
      </c>
      <c r="E51" s="104"/>
      <c r="G51" s="1"/>
    </row>
    <row r="52" spans="1:14" s="2" customFormat="1" x14ac:dyDescent="0.2">
      <c r="A52" s="24"/>
      <c r="B52" s="1"/>
      <c r="C52" s="47" t="s">
        <v>570</v>
      </c>
      <c r="D52" s="111">
        <v>225.39</v>
      </c>
      <c r="E52" s="104"/>
      <c r="G52" s="1"/>
      <c r="H52" s="110" t="s">
        <v>581</v>
      </c>
    </row>
    <row r="53" spans="1:14" s="2" customFormat="1" x14ac:dyDescent="0.2">
      <c r="A53" s="24"/>
      <c r="B53" s="1"/>
      <c r="C53" s="47" t="s">
        <v>571</v>
      </c>
      <c r="D53" s="111">
        <v>0</v>
      </c>
      <c r="E53" s="104"/>
      <c r="G53" s="1"/>
      <c r="H53" s="110" t="s">
        <v>580</v>
      </c>
    </row>
    <row r="54" spans="1:14" s="2" customFormat="1" x14ac:dyDescent="0.2">
      <c r="A54" s="24"/>
      <c r="B54" s="1"/>
      <c r="C54" s="47" t="s">
        <v>572</v>
      </c>
      <c r="D54" s="111">
        <f>+D70/100000</f>
        <v>5.8407400000000003</v>
      </c>
      <c r="E54" s="104"/>
      <c r="G54" s="1"/>
      <c r="H54" s="90" t="s">
        <v>587</v>
      </c>
    </row>
    <row r="55" spans="1:14" s="2" customFormat="1" x14ac:dyDescent="0.2">
      <c r="A55" s="24"/>
      <c r="B55" s="1"/>
      <c r="C55" s="108" t="s">
        <v>578</v>
      </c>
      <c r="D55" s="48">
        <f>SUM(D52:D54)</f>
        <v>231.23074</v>
      </c>
      <c r="E55" s="104"/>
      <c r="G55" s="1"/>
    </row>
    <row r="56" spans="1:14" s="2" customFormat="1" x14ac:dyDescent="0.2">
      <c r="A56" s="24"/>
      <c r="B56" s="1"/>
      <c r="C56" s="47"/>
      <c r="D56" s="107"/>
      <c r="E56" s="104"/>
      <c r="G56" s="1"/>
    </row>
    <row r="57" spans="1:14" s="2" customFormat="1" x14ac:dyDescent="0.2">
      <c r="A57" s="24"/>
      <c r="B57" s="1"/>
      <c r="C57" s="47" t="s">
        <v>573</v>
      </c>
      <c r="D57" s="111">
        <v>0</v>
      </c>
      <c r="E57" s="104"/>
      <c r="G57" s="1"/>
      <c r="H57" s="110" t="s">
        <v>581</v>
      </c>
    </row>
    <row r="58" spans="1:14" s="2" customFormat="1" x14ac:dyDescent="0.2">
      <c r="A58" s="24"/>
      <c r="B58" s="1"/>
      <c r="C58" s="47" t="s">
        <v>574</v>
      </c>
      <c r="D58" s="111">
        <v>40.08</v>
      </c>
      <c r="E58" s="104"/>
      <c r="G58" s="1"/>
      <c r="H58" s="110" t="s">
        <v>581</v>
      </c>
      <c r="J58" s="114" t="s">
        <v>713</v>
      </c>
    </row>
    <row r="59" spans="1:14" s="2" customFormat="1" x14ac:dyDescent="0.2">
      <c r="A59" s="24"/>
      <c r="B59" s="1"/>
      <c r="C59" s="78" t="s">
        <v>579</v>
      </c>
      <c r="D59" s="109">
        <f>D57+D58</f>
        <v>40.08</v>
      </c>
      <c r="E59" s="104"/>
      <c r="G59" s="1"/>
      <c r="I59" s="113"/>
      <c r="J59" s="113" t="s">
        <v>709</v>
      </c>
      <c r="K59" s="113" t="s">
        <v>710</v>
      </c>
      <c r="L59" s="113" t="s">
        <v>711</v>
      </c>
      <c r="M59" s="113" t="s">
        <v>712</v>
      </c>
    </row>
    <row r="60" spans="1:14" s="2" customFormat="1" x14ac:dyDescent="0.2">
      <c r="A60" s="24"/>
      <c r="B60" s="1"/>
      <c r="C60" s="105"/>
      <c r="D60" s="106"/>
      <c r="E60" s="104"/>
      <c r="G60" s="1"/>
      <c r="I60" s="113" t="s">
        <v>706</v>
      </c>
      <c r="J60" s="115"/>
      <c r="K60" s="115">
        <v>968.99</v>
      </c>
      <c r="L60" s="115">
        <v>968.99</v>
      </c>
      <c r="M60" s="113">
        <f>+J60+L60-K60</f>
        <v>0</v>
      </c>
    </row>
    <row r="61" spans="1:14" s="2" customFormat="1" x14ac:dyDescent="0.2">
      <c r="A61" s="24"/>
      <c r="B61" s="1"/>
      <c r="C61" s="78" t="s">
        <v>577</v>
      </c>
      <c r="D61" s="109">
        <f>D52+D59</f>
        <v>265.46999999999997</v>
      </c>
      <c r="E61" s="104"/>
      <c r="G61" s="1"/>
      <c r="I61" s="113" t="s">
        <v>707</v>
      </c>
      <c r="J61" s="115">
        <v>183.1</v>
      </c>
      <c r="K61" s="115">
        <v>1441.54</v>
      </c>
      <c r="L61" s="115">
        <v>1915.21</v>
      </c>
      <c r="M61" s="113">
        <f>+J61+L61-K61</f>
        <v>656.77</v>
      </c>
    </row>
    <row r="62" spans="1:14" s="2" customFormat="1" x14ac:dyDescent="0.2">
      <c r="A62" s="24"/>
      <c r="B62" s="1"/>
      <c r="C62" s="56"/>
      <c r="D62" s="56"/>
      <c r="E62" s="104"/>
      <c r="G62" s="1"/>
      <c r="I62" s="113" t="s">
        <v>708</v>
      </c>
      <c r="J62" s="115">
        <v>1371.02</v>
      </c>
      <c r="K62" s="115">
        <v>9945.35</v>
      </c>
      <c r="L62" s="115">
        <v>10417.41</v>
      </c>
      <c r="M62" s="113">
        <f>+J62+L62-K62</f>
        <v>1843.08</v>
      </c>
    </row>
    <row r="63" spans="1:14" s="2" customFormat="1" ht="38.25" x14ac:dyDescent="0.2">
      <c r="A63" s="24"/>
      <c r="B63" s="1"/>
      <c r="C63" s="79" t="str">
        <f>"Particulars ( 01-04-2021 to "&amp;TEXT(A5,"dd-mm-yyyy")&amp;" )"</f>
        <v>Particulars ( 01-04-2021 to 05-04-2023 )</v>
      </c>
      <c r="D63" s="80" t="s">
        <v>73</v>
      </c>
      <c r="E63" s="80" t="s">
        <v>74</v>
      </c>
      <c r="F63" s="81" t="s">
        <v>75</v>
      </c>
      <c r="G63" s="80" t="s">
        <v>76</v>
      </c>
      <c r="J63" s="118">
        <f>SUM(J60:J62)</f>
        <v>1554.12</v>
      </c>
      <c r="K63" s="118">
        <f>SUM(K60:K62)</f>
        <v>12355.880000000001</v>
      </c>
      <c r="L63" s="118">
        <f>SUM(L60:L62)</f>
        <v>13301.61</v>
      </c>
      <c r="M63" s="118">
        <f>SUM(M60:M62)</f>
        <v>2499.85</v>
      </c>
    </row>
    <row r="64" spans="1:14" s="2" customFormat="1" x14ac:dyDescent="0.2">
      <c r="A64" s="24"/>
      <c r="B64" s="1"/>
      <c r="C64" s="50" t="s">
        <v>444</v>
      </c>
      <c r="D64" s="55">
        <f>+L60+L61+J61</f>
        <v>3067.2999999999997</v>
      </c>
      <c r="E64" s="55">
        <f>+K60+K61</f>
        <v>2410.5299999999997</v>
      </c>
      <c r="F64" s="55">
        <f>+D64-E64</f>
        <v>656.77</v>
      </c>
      <c r="G64" s="55">
        <f>1500-F64</f>
        <v>843.23</v>
      </c>
      <c r="H64" s="2" t="s">
        <v>396</v>
      </c>
    </row>
    <row r="65" spans="1:13" s="2" customFormat="1" x14ac:dyDescent="0.2">
      <c r="A65" s="24"/>
      <c r="B65" s="1"/>
      <c r="C65" s="50" t="s">
        <v>71</v>
      </c>
      <c r="D65" s="55">
        <f>+J62+L62</f>
        <v>11788.43</v>
      </c>
      <c r="E65" s="55">
        <f>+K62</f>
        <v>9945.35</v>
      </c>
      <c r="F65" s="55">
        <f>+D65-E65</f>
        <v>1843.08</v>
      </c>
      <c r="G65" s="55">
        <f>1500+700-F65</f>
        <v>356.92000000000007</v>
      </c>
      <c r="H65" s="2" t="s">
        <v>396</v>
      </c>
    </row>
    <row r="66" spans="1:13" s="2" customFormat="1" x14ac:dyDescent="0.2">
      <c r="A66" s="24"/>
      <c r="B66" s="1"/>
      <c r="C66" s="14"/>
      <c r="D66" s="56"/>
      <c r="E66" s="13"/>
      <c r="G66" s="1"/>
    </row>
    <row r="67" spans="1:13" s="2" customFormat="1" x14ac:dyDescent="0.2">
      <c r="A67" s="215" t="s">
        <v>80</v>
      </c>
      <c r="B67" s="216"/>
      <c r="C67" s="216"/>
      <c r="D67" s="217"/>
      <c r="E67" s="69"/>
      <c r="F67" s="70"/>
      <c r="G67" s="1"/>
      <c r="H67" s="53"/>
    </row>
    <row r="68" spans="1:13" s="2" customFormat="1" x14ac:dyDescent="0.2">
      <c r="A68" s="71" t="s">
        <v>81</v>
      </c>
      <c r="B68" s="71"/>
      <c r="C68" s="72" t="s">
        <v>82</v>
      </c>
      <c r="D68" s="73" t="s">
        <v>83</v>
      </c>
      <c r="E68" s="69"/>
      <c r="F68" s="70"/>
      <c r="H68" s="53"/>
    </row>
    <row r="69" spans="1:13" s="2" customFormat="1" x14ac:dyDescent="0.2">
      <c r="A69" s="87">
        <v>45020</v>
      </c>
      <c r="B69" s="91" t="s">
        <v>6</v>
      </c>
      <c r="C69" s="75" t="s">
        <v>271</v>
      </c>
      <c r="D69" s="88">
        <v>584074</v>
      </c>
      <c r="G69" s="1"/>
      <c r="L69" s="1"/>
      <c r="M69" s="1"/>
    </row>
    <row r="70" spans="1:13" s="2" customFormat="1" x14ac:dyDescent="0.2">
      <c r="A70" s="87"/>
      <c r="B70" s="74"/>
      <c r="C70" s="75"/>
      <c r="D70" s="51">
        <f>SUM(D69:D69)</f>
        <v>584074</v>
      </c>
      <c r="F70" s="2" t="s">
        <v>396</v>
      </c>
      <c r="G70" s="1"/>
      <c r="I70" s="1"/>
      <c r="J70" s="1"/>
      <c r="K70" s="1"/>
      <c r="L70" s="1"/>
      <c r="M70" s="1"/>
    </row>
    <row r="71" spans="1:13" s="2" customFormat="1" x14ac:dyDescent="0.2">
      <c r="A71" s="8"/>
      <c r="B71" s="93"/>
      <c r="C71" s="76"/>
      <c r="D71" s="56"/>
      <c r="G71" s="1"/>
      <c r="I71" s="1"/>
      <c r="J71" s="1"/>
      <c r="K71" s="1"/>
      <c r="L71" s="1"/>
      <c r="M71" s="1"/>
    </row>
    <row r="72" spans="1:13" s="2" customFormat="1" x14ac:dyDescent="0.2">
      <c r="A72" s="24"/>
      <c r="B72" s="1"/>
      <c r="C72" s="52"/>
      <c r="D72" s="85"/>
      <c r="E72" s="53"/>
      <c r="F72" s="53"/>
      <c r="G72" s="54"/>
      <c r="I72" s="1"/>
      <c r="J72" s="1"/>
      <c r="K72" s="1"/>
      <c r="L72" s="1"/>
      <c r="M72" s="1"/>
    </row>
    <row r="73" spans="1:13" s="2" customFormat="1" x14ac:dyDescent="0.2">
      <c r="A73" s="24"/>
      <c r="B73" s="1"/>
      <c r="C73" s="218" t="s">
        <v>77</v>
      </c>
      <c r="D73" s="219"/>
      <c r="E73" s="219"/>
      <c r="F73" s="220"/>
      <c r="G73" s="54"/>
      <c r="I73" s="1"/>
      <c r="J73" s="1"/>
      <c r="K73" s="1"/>
      <c r="L73" s="1"/>
      <c r="M73" s="1"/>
    </row>
    <row r="74" spans="1:13" s="2" customFormat="1" x14ac:dyDescent="0.2">
      <c r="A74" s="24"/>
      <c r="B74" s="1"/>
      <c r="C74" s="50"/>
      <c r="D74" s="57" t="s">
        <v>78</v>
      </c>
      <c r="E74" s="58" t="s">
        <v>79</v>
      </c>
      <c r="F74" s="57" t="s">
        <v>72</v>
      </c>
      <c r="G74" s="54"/>
      <c r="I74" s="1"/>
      <c r="J74" s="1"/>
      <c r="K74" s="1"/>
      <c r="L74" s="1"/>
      <c r="M74" s="1"/>
    </row>
    <row r="75" spans="1:13" s="2" customFormat="1" x14ac:dyDescent="0.2">
      <c r="A75" s="24"/>
      <c r="B75" s="1"/>
      <c r="C75" s="59" t="str">
        <f>"01-04-2023 to "&amp;TEXT(A5-2,"dd-mm-yyyy")</f>
        <v>01-04-2023 to 03-04-2023</v>
      </c>
      <c r="D75" s="60">
        <v>908.64</v>
      </c>
      <c r="E75" s="60">
        <v>37.22</v>
      </c>
      <c r="F75" s="61">
        <f>SUM(D75:E75)</f>
        <v>945.86</v>
      </c>
      <c r="G75" s="54"/>
      <c r="I75" s="1"/>
      <c r="J75" s="1"/>
      <c r="K75" s="1"/>
      <c r="L75" s="1"/>
      <c r="M75" s="1"/>
    </row>
    <row r="76" spans="1:13" s="2" customFormat="1" x14ac:dyDescent="0.2">
      <c r="A76" s="24"/>
      <c r="B76" s="1"/>
      <c r="C76" s="62" t="str">
        <f>TEXT(A5-1,"dd-mm-yyyy")</f>
        <v>04-04-2023</v>
      </c>
      <c r="D76" s="60">
        <v>81.28</v>
      </c>
      <c r="E76" s="60">
        <v>27.16</v>
      </c>
      <c r="F76" s="61">
        <f>SUM(D76:E76)</f>
        <v>108.44</v>
      </c>
      <c r="G76" s="54"/>
      <c r="I76" s="1"/>
      <c r="J76" s="1"/>
      <c r="K76" s="1"/>
      <c r="L76" s="1"/>
      <c r="M76" s="1"/>
    </row>
    <row r="77" spans="1:13" ht="13.5" thickBot="1" x14ac:dyDescent="0.25">
      <c r="C77" s="63" t="str">
        <f>"01-04-2023 to "&amp;TEXT(A5-1,"dd-mm-yyyy")</f>
        <v>01-04-2023 to 04-04-2023</v>
      </c>
      <c r="D77" s="64">
        <f>SUM(D75:D76)</f>
        <v>989.92</v>
      </c>
      <c r="E77" s="64">
        <f>SUM(E75:E76)</f>
        <v>64.38</v>
      </c>
      <c r="F77" s="64">
        <f>SUM(F75:F76)</f>
        <v>1054.3</v>
      </c>
      <c r="G77" s="54"/>
    </row>
    <row r="78" spans="1:13" s="2" customFormat="1" ht="13.5" thickTop="1" x14ac:dyDescent="0.2">
      <c r="A78" s="24"/>
      <c r="B78" s="1"/>
      <c r="C78" s="62"/>
      <c r="D78" s="65"/>
      <c r="E78" s="66"/>
      <c r="F78" s="67"/>
      <c r="G78" s="54"/>
      <c r="H78" s="53"/>
    </row>
    <row r="79" spans="1:13" x14ac:dyDescent="0.2">
      <c r="C79" s="62" t="str">
        <f>"01-04-2023 to " &amp;C76</f>
        <v>01-04-2023 to 04-04-2023</v>
      </c>
      <c r="D79" s="68">
        <f>+D77</f>
        <v>989.92</v>
      </c>
      <c r="E79" s="68">
        <f>+E77</f>
        <v>64.38</v>
      </c>
      <c r="F79" s="68">
        <f>+F77</f>
        <v>1054.3</v>
      </c>
      <c r="G79" s="54"/>
      <c r="H79" s="53" t="s">
        <v>396</v>
      </c>
    </row>
    <row r="80" spans="1:13" x14ac:dyDescent="0.2">
      <c r="C80" s="52"/>
      <c r="D80" s="85"/>
      <c r="E80" s="53"/>
      <c r="F80" s="53"/>
      <c r="G80" s="54"/>
      <c r="H80" s="53" t="s">
        <v>396</v>
      </c>
      <c r="J80" s="42"/>
    </row>
    <row r="81" spans="3:9" x14ac:dyDescent="0.2">
      <c r="C81" s="52"/>
      <c r="D81" s="85"/>
      <c r="E81" s="53"/>
      <c r="F81" s="53"/>
      <c r="G81" s="54"/>
      <c r="H81" s="53"/>
      <c r="I81" s="101"/>
    </row>
    <row r="82" spans="3:9" x14ac:dyDescent="0.2">
      <c r="C82" s="52"/>
      <c r="D82" s="85"/>
      <c r="E82" s="53"/>
      <c r="F82" s="53"/>
      <c r="G82" s="54"/>
      <c r="H82" s="53"/>
    </row>
    <row r="83" spans="3:9" x14ac:dyDescent="0.2">
      <c r="C83" s="52"/>
      <c r="D83" s="85"/>
      <c r="E83" s="53"/>
      <c r="F83" s="53"/>
      <c r="G83" s="54"/>
      <c r="H83" s="53"/>
    </row>
    <row r="84" spans="3:9" x14ac:dyDescent="0.2">
      <c r="H84" s="53"/>
    </row>
  </sheetData>
  <mergeCells count="5">
    <mergeCell ref="A1:G1"/>
    <mergeCell ref="A3:F3"/>
    <mergeCell ref="A10:F10"/>
    <mergeCell ref="A67:D67"/>
    <mergeCell ref="C73:F73"/>
  </mergeCells>
  <conditionalFormatting sqref="G64:G65">
    <cfRule type="cellIs" dxfId="661" priority="1" operator="lessThan">
      <formula>0</formula>
    </cfRule>
  </conditionalFormatting>
  <conditionalFormatting sqref="C12">
    <cfRule type="duplicateValues" dxfId="660" priority="2"/>
  </conditionalFormatting>
  <conditionalFormatting sqref="C13:C44">
    <cfRule type="duplicateValues" dxfId="659" priority="421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99">
    <pageSetUpPr fitToPage="1"/>
  </sheetPr>
  <dimension ref="A1:N109"/>
  <sheetViews>
    <sheetView topLeftCell="A62" zoomScaleNormal="100" workbookViewId="0">
      <selection activeCell="H73" sqref="H73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49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847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2.75" customHeight="1" x14ac:dyDescent="0.4">
      <c r="A5" s="89">
        <v>45022</v>
      </c>
      <c r="B5" s="9" t="s">
        <v>6</v>
      </c>
      <c r="C5" s="10" t="s">
        <v>7</v>
      </c>
      <c r="D5" s="11"/>
      <c r="E5" s="12">
        <v>2777226.6999999988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2777226.6999999988</v>
      </c>
      <c r="F6" s="16">
        <f>SUM(F5:F5)</f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E6-F6</f>
        <v>2777226.6999999988</v>
      </c>
      <c r="F7" s="22"/>
      <c r="G7" s="23"/>
      <c r="H7" s="112"/>
      <c r="I7" s="112"/>
      <c r="J7" s="13"/>
    </row>
    <row r="8" spans="1:10" s="2" customFormat="1" ht="12.75" customHeight="1" x14ac:dyDescent="0.4">
      <c r="A8" s="24"/>
      <c r="B8" s="1"/>
      <c r="C8" s="14"/>
      <c r="D8" s="25"/>
      <c r="G8" s="23"/>
      <c r="H8" s="112"/>
      <c r="I8" s="112"/>
      <c r="J8" s="13"/>
    </row>
    <row r="9" spans="1:10" s="2" customFormat="1" ht="21.75" customHeight="1" x14ac:dyDescent="0.4">
      <c r="A9" s="214" t="s">
        <v>10</v>
      </c>
      <c r="B9" s="214"/>
      <c r="C9" s="214"/>
      <c r="D9" s="214"/>
      <c r="E9" s="214"/>
      <c r="F9" s="214"/>
      <c r="G9" s="13"/>
      <c r="H9" s="112"/>
      <c r="I9" s="112"/>
      <c r="J9" s="13"/>
    </row>
    <row r="10" spans="1:10" s="2" customFormat="1" ht="12.75" customHeight="1" x14ac:dyDescent="0.4">
      <c r="A10" s="26" t="s">
        <v>1</v>
      </c>
      <c r="B10" s="27" t="s">
        <v>2</v>
      </c>
      <c r="C10" s="5"/>
      <c r="D10" s="6" t="s">
        <v>3</v>
      </c>
      <c r="E10" s="7" t="s">
        <v>4</v>
      </c>
      <c r="F10" s="7" t="s">
        <v>5</v>
      </c>
      <c r="G10" s="23"/>
      <c r="H10" s="112"/>
      <c r="I10" s="112"/>
      <c r="J10" s="13"/>
    </row>
    <row r="11" spans="1:10" s="2" customFormat="1" ht="12.75" customHeight="1" x14ac:dyDescent="0.2">
      <c r="A11" s="89">
        <v>45022</v>
      </c>
      <c r="B11" s="91" t="s">
        <v>11</v>
      </c>
      <c r="C11" s="29" t="s">
        <v>7</v>
      </c>
      <c r="D11" s="25"/>
      <c r="E11" s="31"/>
      <c r="F11" s="2">
        <v>349070787.61000019</v>
      </c>
      <c r="G11" s="30"/>
      <c r="I11" s="13"/>
      <c r="J11" s="13"/>
    </row>
    <row r="12" spans="1:10" s="2" customFormat="1" ht="12.75" customHeight="1" x14ac:dyDescent="0.2">
      <c r="A12" s="89">
        <v>45022</v>
      </c>
      <c r="B12" s="91" t="s">
        <v>6</v>
      </c>
      <c r="C12" s="76" t="s">
        <v>750</v>
      </c>
      <c r="D12" s="116" t="s">
        <v>13</v>
      </c>
      <c r="E12" s="31">
        <v>1332241.01</v>
      </c>
      <c r="G12" s="30"/>
      <c r="I12" s="13"/>
      <c r="J12" s="13"/>
    </row>
    <row r="13" spans="1:10" s="2" customFormat="1" ht="12.75" customHeight="1" x14ac:dyDescent="0.2">
      <c r="A13" s="89">
        <v>45022</v>
      </c>
      <c r="B13" s="91" t="s">
        <v>6</v>
      </c>
      <c r="C13" s="76" t="s">
        <v>748</v>
      </c>
      <c r="D13" s="116" t="s">
        <v>13</v>
      </c>
      <c r="E13" s="31">
        <v>2151474.8199999998</v>
      </c>
      <c r="G13" s="30"/>
      <c r="I13" s="13"/>
      <c r="J13" s="13"/>
    </row>
    <row r="14" spans="1:10" s="2" customFormat="1" ht="12.75" customHeight="1" x14ac:dyDescent="0.2">
      <c r="A14" s="89">
        <v>45022</v>
      </c>
      <c r="B14" s="91" t="s">
        <v>6</v>
      </c>
      <c r="C14" s="76" t="s">
        <v>264</v>
      </c>
      <c r="D14" s="116" t="s">
        <v>13</v>
      </c>
      <c r="E14" s="31">
        <v>891158</v>
      </c>
      <c r="G14" s="30"/>
      <c r="I14" s="13"/>
      <c r="J14" s="13"/>
    </row>
    <row r="15" spans="1:10" s="2" customFormat="1" ht="12.75" customHeight="1" x14ac:dyDescent="0.2">
      <c r="A15" s="89">
        <v>45022</v>
      </c>
      <c r="B15" s="91" t="s">
        <v>6</v>
      </c>
      <c r="C15" s="76" t="s">
        <v>24</v>
      </c>
      <c r="D15" s="116" t="s">
        <v>13</v>
      </c>
      <c r="E15" s="31">
        <v>163132</v>
      </c>
      <c r="G15" s="30"/>
      <c r="I15" s="13"/>
      <c r="J15" s="13"/>
    </row>
    <row r="16" spans="1:10" s="2" customFormat="1" ht="12.75" customHeight="1" x14ac:dyDescent="0.2">
      <c r="A16" s="89">
        <v>45022</v>
      </c>
      <c r="B16" s="91" t="s">
        <v>6</v>
      </c>
      <c r="C16" s="76" t="s">
        <v>358</v>
      </c>
      <c r="D16" s="116" t="s">
        <v>13</v>
      </c>
      <c r="E16" s="31">
        <v>68461</v>
      </c>
      <c r="G16" s="30"/>
      <c r="I16" s="13"/>
      <c r="J16" s="13"/>
    </row>
    <row r="17" spans="1:10" s="2" customFormat="1" ht="12.75" customHeight="1" x14ac:dyDescent="0.2">
      <c r="A17" s="89">
        <v>45022</v>
      </c>
      <c r="B17" s="91" t="s">
        <v>6</v>
      </c>
      <c r="C17" s="76" t="s">
        <v>758</v>
      </c>
      <c r="D17" s="116" t="s">
        <v>13</v>
      </c>
      <c r="E17" s="31">
        <v>370080.7</v>
      </c>
      <c r="G17" s="30"/>
      <c r="I17" s="13"/>
      <c r="J17" s="13"/>
    </row>
    <row r="18" spans="1:10" s="2" customFormat="1" ht="12.75" customHeight="1" x14ac:dyDescent="0.2">
      <c r="A18" s="89">
        <v>45022</v>
      </c>
      <c r="B18" s="91" t="s">
        <v>6</v>
      </c>
      <c r="C18" s="76" t="s">
        <v>749</v>
      </c>
      <c r="D18" s="116" t="s">
        <v>13</v>
      </c>
      <c r="E18" s="31">
        <v>323886</v>
      </c>
      <c r="G18" s="30"/>
      <c r="I18" s="13"/>
      <c r="J18" s="13"/>
    </row>
    <row r="19" spans="1:10" s="2" customFormat="1" ht="12.75" customHeight="1" x14ac:dyDescent="0.2">
      <c r="A19" s="89">
        <v>45022</v>
      </c>
      <c r="B19" s="91" t="s">
        <v>6</v>
      </c>
      <c r="C19" s="76" t="s">
        <v>765</v>
      </c>
      <c r="D19" s="116" t="s">
        <v>13</v>
      </c>
      <c r="E19" s="31">
        <v>836395.66</v>
      </c>
      <c r="G19" s="30"/>
      <c r="I19" s="13"/>
      <c r="J19" s="13"/>
    </row>
    <row r="20" spans="1:10" s="2" customFormat="1" ht="12.75" customHeight="1" x14ac:dyDescent="0.2">
      <c r="A20" s="89">
        <v>45022</v>
      </c>
      <c r="B20" s="91" t="s">
        <v>6</v>
      </c>
      <c r="C20" s="76" t="s">
        <v>759</v>
      </c>
      <c r="D20" s="116" t="s">
        <v>13</v>
      </c>
      <c r="E20" s="31">
        <v>1239844.93</v>
      </c>
      <c r="G20" s="30"/>
      <c r="I20" s="13"/>
      <c r="J20" s="13"/>
    </row>
    <row r="21" spans="1:10" s="2" customFormat="1" ht="12.75" customHeight="1" x14ac:dyDescent="0.2">
      <c r="A21" s="89">
        <v>45022</v>
      </c>
      <c r="B21" s="91" t="s">
        <v>6</v>
      </c>
      <c r="C21" s="76" t="s">
        <v>760</v>
      </c>
      <c r="D21" s="116" t="s">
        <v>13</v>
      </c>
      <c r="E21" s="31">
        <v>631264.68000000005</v>
      </c>
      <c r="G21" s="30"/>
      <c r="I21" s="13"/>
      <c r="J21" s="13"/>
    </row>
    <row r="22" spans="1:10" s="2" customFormat="1" ht="12.75" customHeight="1" x14ac:dyDescent="0.2">
      <c r="A22" s="89">
        <v>45022</v>
      </c>
      <c r="B22" s="91" t="s">
        <v>6</v>
      </c>
      <c r="C22" s="76" t="s">
        <v>848</v>
      </c>
      <c r="D22" s="116" t="s">
        <v>13</v>
      </c>
      <c r="E22" s="31">
        <v>554134</v>
      </c>
      <c r="G22" s="30"/>
      <c r="I22" s="13"/>
      <c r="J22" s="13"/>
    </row>
    <row r="23" spans="1:10" s="2" customFormat="1" ht="12.75" customHeight="1" x14ac:dyDescent="0.2">
      <c r="A23" s="89">
        <v>45022</v>
      </c>
      <c r="B23" s="91" t="s">
        <v>6</v>
      </c>
      <c r="C23" s="76" t="s">
        <v>174</v>
      </c>
      <c r="D23" s="116" t="s">
        <v>13</v>
      </c>
      <c r="E23" s="31">
        <v>507046</v>
      </c>
      <c r="G23" s="30"/>
      <c r="I23" s="13"/>
      <c r="J23" s="13"/>
    </row>
    <row r="24" spans="1:10" s="2" customFormat="1" ht="12.75" customHeight="1" x14ac:dyDescent="0.2">
      <c r="A24" s="89">
        <v>45022</v>
      </c>
      <c r="B24" s="91" t="s">
        <v>6</v>
      </c>
      <c r="C24" s="76" t="s">
        <v>236</v>
      </c>
      <c r="D24" s="116" t="s">
        <v>13</v>
      </c>
      <c r="E24" s="31">
        <v>900000</v>
      </c>
      <c r="G24" s="30"/>
      <c r="I24" s="13"/>
      <c r="J24" s="13"/>
    </row>
    <row r="25" spans="1:10" s="2" customFormat="1" ht="12.75" customHeight="1" x14ac:dyDescent="0.2">
      <c r="A25" s="89">
        <v>45022</v>
      </c>
      <c r="B25" s="91" t="s">
        <v>6</v>
      </c>
      <c r="C25" s="76" t="s">
        <v>389</v>
      </c>
      <c r="D25" s="116" t="s">
        <v>13</v>
      </c>
      <c r="E25" s="31">
        <v>394446.29</v>
      </c>
      <c r="G25" s="30"/>
      <c r="I25" s="13"/>
      <c r="J25" s="13"/>
    </row>
    <row r="26" spans="1:10" s="2" customFormat="1" ht="12.75" customHeight="1" x14ac:dyDescent="0.2">
      <c r="A26" s="89">
        <v>45022</v>
      </c>
      <c r="B26" s="91" t="s">
        <v>6</v>
      </c>
      <c r="C26" s="76" t="s">
        <v>19</v>
      </c>
      <c r="D26" s="116" t="s">
        <v>13</v>
      </c>
      <c r="E26" s="31">
        <v>1527616</v>
      </c>
      <c r="G26" s="30"/>
      <c r="I26" s="13"/>
      <c r="J26" s="13"/>
    </row>
    <row r="27" spans="1:10" s="2" customFormat="1" ht="12.75" customHeight="1" x14ac:dyDescent="0.2">
      <c r="A27" s="89">
        <v>45022</v>
      </c>
      <c r="B27" s="91" t="s">
        <v>6</v>
      </c>
      <c r="C27" s="76" t="s">
        <v>555</v>
      </c>
      <c r="D27" s="116" t="s">
        <v>13</v>
      </c>
      <c r="E27" s="31">
        <v>839997</v>
      </c>
      <c r="G27" s="30"/>
      <c r="I27" s="13"/>
      <c r="J27" s="13"/>
    </row>
    <row r="28" spans="1:10" s="2" customFormat="1" ht="12.75" customHeight="1" x14ac:dyDescent="0.2">
      <c r="A28" s="89">
        <v>45022</v>
      </c>
      <c r="B28" s="91" t="s">
        <v>6</v>
      </c>
      <c r="C28" s="76" t="s">
        <v>149</v>
      </c>
      <c r="D28" s="116" t="s">
        <v>13</v>
      </c>
      <c r="E28" s="31">
        <v>5490</v>
      </c>
      <c r="G28" s="30"/>
      <c r="I28" s="13"/>
      <c r="J28" s="13"/>
    </row>
    <row r="29" spans="1:10" s="2" customFormat="1" ht="12.75" customHeight="1" x14ac:dyDescent="0.2">
      <c r="A29" s="89">
        <v>45022</v>
      </c>
      <c r="B29" s="91" t="s">
        <v>6</v>
      </c>
      <c r="C29" s="76" t="s">
        <v>851</v>
      </c>
      <c r="D29" s="116" t="s">
        <v>13</v>
      </c>
      <c r="E29" s="31">
        <v>4209606</v>
      </c>
      <c r="G29" s="30"/>
      <c r="I29" s="13"/>
      <c r="J29" s="13"/>
    </row>
    <row r="30" spans="1:10" s="2" customFormat="1" ht="12.75" customHeight="1" x14ac:dyDescent="0.2">
      <c r="A30" s="89">
        <v>45022</v>
      </c>
      <c r="B30" s="91" t="s">
        <v>6</v>
      </c>
      <c r="C30" s="76" t="s">
        <v>200</v>
      </c>
      <c r="D30" s="116" t="s">
        <v>13</v>
      </c>
      <c r="E30" s="31">
        <v>369043</v>
      </c>
      <c r="G30" s="30"/>
      <c r="I30" s="13"/>
      <c r="J30" s="13"/>
    </row>
    <row r="31" spans="1:10" s="2" customFormat="1" ht="12.75" customHeight="1" x14ac:dyDescent="0.2">
      <c r="A31" s="89">
        <v>45022</v>
      </c>
      <c r="B31" s="91" t="s">
        <v>6</v>
      </c>
      <c r="C31" s="76" t="s">
        <v>503</v>
      </c>
      <c r="D31" s="116" t="s">
        <v>13</v>
      </c>
      <c r="E31" s="31">
        <v>997906.42</v>
      </c>
      <c r="G31" s="30"/>
      <c r="I31" s="13"/>
      <c r="J31" s="13"/>
    </row>
    <row r="32" spans="1:10" s="2" customFormat="1" ht="12.75" customHeight="1" x14ac:dyDescent="0.2">
      <c r="A32" s="89">
        <v>45022</v>
      </c>
      <c r="B32" s="91" t="s">
        <v>6</v>
      </c>
      <c r="C32" s="76" t="s">
        <v>105</v>
      </c>
      <c r="D32" s="116" t="s">
        <v>13</v>
      </c>
      <c r="E32" s="31">
        <v>1577103</v>
      </c>
      <c r="G32" s="30"/>
      <c r="I32" s="13"/>
      <c r="J32" s="13"/>
    </row>
    <row r="33" spans="1:10" s="2" customFormat="1" ht="12.75" customHeight="1" x14ac:dyDescent="0.2">
      <c r="A33" s="89">
        <v>45022</v>
      </c>
      <c r="B33" s="91" t="s">
        <v>6</v>
      </c>
      <c r="C33" s="76" t="s">
        <v>15</v>
      </c>
      <c r="D33" s="116" t="s">
        <v>13</v>
      </c>
      <c r="E33" s="31">
        <v>60300.499999999993</v>
      </c>
      <c r="G33" s="30"/>
      <c r="I33" s="13"/>
      <c r="J33" s="13"/>
    </row>
    <row r="34" spans="1:10" s="2" customFormat="1" ht="12.75" customHeight="1" x14ac:dyDescent="0.2">
      <c r="A34" s="89">
        <v>45022</v>
      </c>
      <c r="B34" s="91" t="s">
        <v>6</v>
      </c>
      <c r="C34" s="76" t="s">
        <v>527</v>
      </c>
      <c r="D34" s="116" t="s">
        <v>13</v>
      </c>
      <c r="E34" s="31">
        <v>494273</v>
      </c>
      <c r="G34" s="30"/>
      <c r="I34" s="13"/>
      <c r="J34" s="13"/>
    </row>
    <row r="35" spans="1:10" s="2" customFormat="1" ht="12.75" customHeight="1" x14ac:dyDescent="0.2">
      <c r="A35" s="89">
        <v>45022</v>
      </c>
      <c r="B35" s="91" t="s">
        <v>11</v>
      </c>
      <c r="C35" s="76" t="s">
        <v>64</v>
      </c>
      <c r="D35" s="116" t="s">
        <v>29</v>
      </c>
      <c r="E35" s="31"/>
      <c r="F35" s="2">
        <v>24950.309999999998</v>
      </c>
      <c r="G35" s="30"/>
      <c r="I35" s="13"/>
      <c r="J35" s="13"/>
    </row>
    <row r="36" spans="1:10" s="2" customFormat="1" ht="12.75" customHeight="1" x14ac:dyDescent="0.2">
      <c r="A36" s="89">
        <v>45022</v>
      </c>
      <c r="B36" s="91" t="s">
        <v>11</v>
      </c>
      <c r="C36" s="76" t="s">
        <v>15</v>
      </c>
      <c r="D36" s="116" t="s">
        <v>29</v>
      </c>
      <c r="E36" s="31"/>
      <c r="F36" s="2">
        <v>262.35000000000002</v>
      </c>
      <c r="G36" s="30"/>
      <c r="I36" s="13"/>
      <c r="J36" s="13"/>
    </row>
    <row r="37" spans="1:10" s="2" customFormat="1" ht="12.75" customHeight="1" x14ac:dyDescent="0.2">
      <c r="A37" s="89">
        <v>45022</v>
      </c>
      <c r="B37" s="91" t="s">
        <v>11</v>
      </c>
      <c r="C37" s="76" t="s">
        <v>230</v>
      </c>
      <c r="D37" s="116" t="s">
        <v>29</v>
      </c>
      <c r="E37" s="31"/>
      <c r="F37" s="2">
        <v>30000</v>
      </c>
      <c r="G37" s="30"/>
      <c r="I37" s="13"/>
      <c r="J37" s="13"/>
    </row>
    <row r="38" spans="1:10" s="2" customFormat="1" ht="12.75" customHeight="1" x14ac:dyDescent="0.2">
      <c r="A38" s="89">
        <v>45022</v>
      </c>
      <c r="B38" s="91" t="s">
        <v>11</v>
      </c>
      <c r="C38" s="76" t="s">
        <v>123</v>
      </c>
      <c r="D38" s="116" t="s">
        <v>29</v>
      </c>
      <c r="E38" s="31"/>
      <c r="F38" s="2">
        <v>2131751</v>
      </c>
      <c r="G38" s="30"/>
      <c r="I38" s="13"/>
      <c r="J38" s="13"/>
    </row>
    <row r="39" spans="1:10" s="2" customFormat="1" ht="12.75" customHeight="1" x14ac:dyDescent="0.2">
      <c r="A39" s="89">
        <v>45022</v>
      </c>
      <c r="B39" s="91" t="s">
        <v>11</v>
      </c>
      <c r="C39" s="76" t="s">
        <v>125</v>
      </c>
      <c r="D39" s="116" t="s">
        <v>29</v>
      </c>
      <c r="E39" s="31"/>
      <c r="F39" s="2">
        <v>630757</v>
      </c>
      <c r="G39" s="30"/>
      <c r="I39" s="13"/>
      <c r="J39" s="13"/>
    </row>
    <row r="40" spans="1:10" s="2" customFormat="1" ht="12.75" customHeight="1" x14ac:dyDescent="0.2">
      <c r="A40" s="89">
        <v>45022</v>
      </c>
      <c r="B40" s="91" t="s">
        <v>11</v>
      </c>
      <c r="C40" s="76" t="s">
        <v>207</v>
      </c>
      <c r="D40" s="116" t="s">
        <v>29</v>
      </c>
      <c r="E40" s="31"/>
      <c r="F40" s="2">
        <v>175552</v>
      </c>
      <c r="G40" s="30"/>
      <c r="I40" s="13"/>
      <c r="J40" s="13"/>
    </row>
    <row r="41" spans="1:10" s="2" customFormat="1" ht="12.75" customHeight="1" x14ac:dyDescent="0.2">
      <c r="A41" s="89">
        <v>45022</v>
      </c>
      <c r="B41" s="91" t="s">
        <v>11</v>
      </c>
      <c r="C41" s="76" t="s">
        <v>186</v>
      </c>
      <c r="D41" s="116" t="s">
        <v>29</v>
      </c>
      <c r="E41" s="31"/>
      <c r="F41" s="2">
        <v>582974</v>
      </c>
      <c r="G41" s="30"/>
      <c r="I41" s="13"/>
      <c r="J41" s="13"/>
    </row>
    <row r="42" spans="1:10" s="2" customFormat="1" ht="12.75" customHeight="1" x14ac:dyDescent="0.2">
      <c r="A42" s="89">
        <v>45022</v>
      </c>
      <c r="B42" s="91" t="s">
        <v>11</v>
      </c>
      <c r="C42" s="76" t="s">
        <v>184</v>
      </c>
      <c r="D42" s="116" t="s">
        <v>29</v>
      </c>
      <c r="E42" s="31"/>
      <c r="F42" s="2">
        <v>53856</v>
      </c>
      <c r="G42" s="30"/>
      <c r="I42" s="13"/>
      <c r="J42" s="13"/>
    </row>
    <row r="43" spans="1:10" s="2" customFormat="1" ht="12.75" customHeight="1" x14ac:dyDescent="0.2">
      <c r="A43" s="89">
        <v>45022</v>
      </c>
      <c r="B43" s="91" t="s">
        <v>11</v>
      </c>
      <c r="C43" s="76" t="s">
        <v>185</v>
      </c>
      <c r="D43" s="116" t="s">
        <v>29</v>
      </c>
      <c r="E43" s="31"/>
      <c r="F43" s="2">
        <v>910423</v>
      </c>
      <c r="G43" s="30"/>
      <c r="I43" s="13"/>
      <c r="J43" s="13"/>
    </row>
    <row r="44" spans="1:10" s="2" customFormat="1" ht="12.75" customHeight="1" x14ac:dyDescent="0.2">
      <c r="A44" s="89">
        <v>45022</v>
      </c>
      <c r="B44" s="91" t="s">
        <v>11</v>
      </c>
      <c r="C44" s="76" t="s">
        <v>187</v>
      </c>
      <c r="D44" s="116" t="s">
        <v>29</v>
      </c>
      <c r="E44" s="31"/>
      <c r="F44" s="2">
        <v>1227988</v>
      </c>
      <c r="G44" s="30"/>
      <c r="I44" s="13"/>
      <c r="J44" s="13"/>
    </row>
    <row r="45" spans="1:10" s="2" customFormat="1" ht="12.75" customHeight="1" x14ac:dyDescent="0.2">
      <c r="A45" s="89">
        <v>45022</v>
      </c>
      <c r="B45" s="91" t="s">
        <v>11</v>
      </c>
      <c r="C45" s="76" t="s">
        <v>630</v>
      </c>
      <c r="D45" s="116" t="s">
        <v>29</v>
      </c>
      <c r="E45" s="31"/>
      <c r="F45" s="2">
        <v>22500</v>
      </c>
      <c r="G45" s="30"/>
      <c r="I45" s="13"/>
      <c r="J45" s="13"/>
    </row>
    <row r="46" spans="1:10" s="2" customFormat="1" ht="12.75" customHeight="1" x14ac:dyDescent="0.2">
      <c r="A46" s="89">
        <v>45022</v>
      </c>
      <c r="B46" s="91" t="s">
        <v>11</v>
      </c>
      <c r="C46" s="76" t="s">
        <v>189</v>
      </c>
      <c r="D46" s="116" t="s">
        <v>29</v>
      </c>
      <c r="E46" s="31"/>
      <c r="F46" s="2">
        <v>516323</v>
      </c>
      <c r="G46" s="30"/>
      <c r="I46" s="13"/>
      <c r="J46" s="13"/>
    </row>
    <row r="47" spans="1:10" s="2" customFormat="1" ht="12.75" customHeight="1" x14ac:dyDescent="0.2">
      <c r="A47" s="89">
        <v>45022</v>
      </c>
      <c r="B47" s="91" t="s">
        <v>11</v>
      </c>
      <c r="C47" s="76" t="s">
        <v>190</v>
      </c>
      <c r="D47" s="116" t="s">
        <v>29</v>
      </c>
      <c r="E47" s="31"/>
      <c r="F47" s="2">
        <v>1379838</v>
      </c>
      <c r="G47" s="30"/>
      <c r="I47" s="13"/>
      <c r="J47" s="13"/>
    </row>
    <row r="48" spans="1:10" s="2" customFormat="1" ht="12.75" customHeight="1" x14ac:dyDescent="0.2">
      <c r="A48" s="89">
        <v>45022</v>
      </c>
      <c r="B48" s="91" t="s">
        <v>11</v>
      </c>
      <c r="C48" s="76" t="s">
        <v>191</v>
      </c>
      <c r="D48" s="116" t="s">
        <v>29</v>
      </c>
      <c r="E48" s="31"/>
      <c r="F48" s="2">
        <v>103155</v>
      </c>
      <c r="G48" s="30"/>
      <c r="I48" s="13"/>
      <c r="J48" s="13"/>
    </row>
    <row r="49" spans="1:10" s="2" customFormat="1" ht="12.75" customHeight="1" x14ac:dyDescent="0.2">
      <c r="A49" s="89">
        <v>45022</v>
      </c>
      <c r="B49" s="91" t="s">
        <v>11</v>
      </c>
      <c r="C49" s="76" t="s">
        <v>588</v>
      </c>
      <c r="D49" s="116" t="s">
        <v>29</v>
      </c>
      <c r="E49" s="31"/>
      <c r="F49" s="2">
        <v>190129</v>
      </c>
      <c r="G49" s="30"/>
      <c r="I49" s="13"/>
      <c r="J49" s="13"/>
    </row>
    <row r="50" spans="1:10" s="2" customFormat="1" ht="12.75" customHeight="1" x14ac:dyDescent="0.2">
      <c r="A50" s="89">
        <v>45022</v>
      </c>
      <c r="B50" s="91" t="s">
        <v>11</v>
      </c>
      <c r="C50" s="76" t="s">
        <v>192</v>
      </c>
      <c r="D50" s="116" t="s">
        <v>29</v>
      </c>
      <c r="E50" s="31"/>
      <c r="F50" s="2">
        <v>572083</v>
      </c>
      <c r="G50" s="30"/>
      <c r="I50" s="13"/>
      <c r="J50" s="13"/>
    </row>
    <row r="51" spans="1:10" s="2" customFormat="1" ht="12.75" customHeight="1" x14ac:dyDescent="0.2">
      <c r="A51" s="89">
        <v>45022</v>
      </c>
      <c r="B51" s="91" t="s">
        <v>11</v>
      </c>
      <c r="C51" s="76" t="s">
        <v>804</v>
      </c>
      <c r="D51" s="116" t="s">
        <v>29</v>
      </c>
      <c r="E51" s="31"/>
      <c r="F51" s="2">
        <v>409475</v>
      </c>
      <c r="G51" s="30"/>
      <c r="I51" s="13"/>
      <c r="J51" s="13"/>
    </row>
    <row r="52" spans="1:10" s="2" customFormat="1" ht="12.75" customHeight="1" x14ac:dyDescent="0.2">
      <c r="A52" s="89">
        <v>45022</v>
      </c>
      <c r="B52" s="91" t="s">
        <v>11</v>
      </c>
      <c r="C52" s="76" t="s">
        <v>789</v>
      </c>
      <c r="D52" s="116" t="s">
        <v>29</v>
      </c>
      <c r="E52" s="31"/>
      <c r="F52" s="2">
        <v>638381</v>
      </c>
      <c r="G52" s="30"/>
      <c r="I52" s="13"/>
      <c r="J52" s="13"/>
    </row>
    <row r="53" spans="1:10" s="2" customFormat="1" ht="12.75" customHeight="1" x14ac:dyDescent="0.2">
      <c r="A53" s="89">
        <v>45022</v>
      </c>
      <c r="B53" s="91" t="s">
        <v>11</v>
      </c>
      <c r="C53" s="76" t="s">
        <v>206</v>
      </c>
      <c r="D53" s="116" t="s">
        <v>29</v>
      </c>
      <c r="E53" s="31"/>
      <c r="F53" s="2">
        <v>978847</v>
      </c>
      <c r="G53" s="30"/>
      <c r="I53" s="13"/>
      <c r="J53" s="13"/>
    </row>
    <row r="54" spans="1:10" s="2" customFormat="1" ht="12.75" customHeight="1" x14ac:dyDescent="0.2">
      <c r="A54" s="89">
        <v>45022</v>
      </c>
      <c r="B54" s="91" t="s">
        <v>11</v>
      </c>
      <c r="C54" s="76" t="s">
        <v>664</v>
      </c>
      <c r="D54" s="116" t="s">
        <v>29</v>
      </c>
      <c r="E54" s="31"/>
      <c r="F54" s="2">
        <v>47569</v>
      </c>
      <c r="G54" s="30"/>
      <c r="I54" s="13"/>
      <c r="J54" s="13"/>
    </row>
    <row r="55" spans="1:10" s="2" customFormat="1" ht="12.75" customHeight="1" x14ac:dyDescent="0.2">
      <c r="A55" s="89">
        <v>45022</v>
      </c>
      <c r="B55" s="91" t="s">
        <v>11</v>
      </c>
      <c r="C55" s="76" t="s">
        <v>387</v>
      </c>
      <c r="D55" s="116" t="s">
        <v>29</v>
      </c>
      <c r="E55" s="31"/>
      <c r="F55" s="2">
        <v>19770</v>
      </c>
      <c r="G55" s="30"/>
      <c r="I55" s="13"/>
      <c r="J55" s="13"/>
    </row>
    <row r="56" spans="1:10" s="2" customFormat="1" ht="12.75" customHeight="1" x14ac:dyDescent="0.2">
      <c r="A56" s="89">
        <v>45022</v>
      </c>
      <c r="B56" s="91" t="s">
        <v>11</v>
      </c>
      <c r="C56" s="76" t="s">
        <v>181</v>
      </c>
      <c r="D56" s="116" t="s">
        <v>29</v>
      </c>
      <c r="E56" s="31"/>
      <c r="F56" s="2">
        <v>48600</v>
      </c>
      <c r="G56" s="30"/>
      <c r="I56" s="13"/>
      <c r="J56" s="13"/>
    </row>
    <row r="57" spans="1:10" s="2" customFormat="1" ht="12.75" customHeight="1" x14ac:dyDescent="0.2">
      <c r="A57" s="89">
        <v>45022</v>
      </c>
      <c r="B57" s="91" t="s">
        <v>11</v>
      </c>
      <c r="C57" s="76" t="s">
        <v>849</v>
      </c>
      <c r="D57" s="116" t="s">
        <v>29</v>
      </c>
      <c r="E57" s="31"/>
      <c r="F57" s="2">
        <v>250400</v>
      </c>
      <c r="G57" s="30"/>
      <c r="I57" s="13"/>
      <c r="J57" s="13"/>
    </row>
    <row r="58" spans="1:10" s="2" customFormat="1" ht="12.75" customHeight="1" x14ac:dyDescent="0.2">
      <c r="A58" s="89">
        <v>45022</v>
      </c>
      <c r="B58" s="91" t="s">
        <v>11</v>
      </c>
      <c r="C58" s="76" t="s">
        <v>188</v>
      </c>
      <c r="D58" s="116" t="s">
        <v>29</v>
      </c>
      <c r="E58" s="31"/>
      <c r="F58" s="2">
        <v>31553</v>
      </c>
      <c r="G58" s="30"/>
      <c r="I58" s="13"/>
      <c r="J58" s="13"/>
    </row>
    <row r="59" spans="1:10" s="2" customFormat="1" ht="12.75" customHeight="1" x14ac:dyDescent="0.2">
      <c r="A59" s="89">
        <v>45022</v>
      </c>
      <c r="B59" s="91" t="s">
        <v>11</v>
      </c>
      <c r="C59" s="76" t="s">
        <v>196</v>
      </c>
      <c r="D59" s="116" t="s">
        <v>29</v>
      </c>
      <c r="E59" s="31"/>
      <c r="F59" s="2">
        <v>70000</v>
      </c>
      <c r="G59" s="30"/>
      <c r="I59" s="13"/>
      <c r="J59" s="13"/>
    </row>
    <row r="60" spans="1:10" s="2" customFormat="1" ht="12.75" customHeight="1" x14ac:dyDescent="0.2">
      <c r="A60" s="89">
        <v>45022</v>
      </c>
      <c r="B60" s="91" t="s">
        <v>11</v>
      </c>
      <c r="C60" s="76" t="s">
        <v>850</v>
      </c>
      <c r="D60" s="116" t="s">
        <v>29</v>
      </c>
      <c r="E60" s="31"/>
      <c r="F60" s="2">
        <v>50000</v>
      </c>
      <c r="G60" s="30"/>
      <c r="I60" s="13"/>
      <c r="J60" s="13"/>
    </row>
    <row r="61" spans="1:10" s="2" customFormat="1" ht="12.75" customHeight="1" x14ac:dyDescent="0.2">
      <c r="A61" s="89">
        <v>45022</v>
      </c>
      <c r="B61" s="91" t="s">
        <v>11</v>
      </c>
      <c r="C61" s="76" t="s">
        <v>397</v>
      </c>
      <c r="D61" s="116" t="s">
        <v>29</v>
      </c>
      <c r="E61" s="31"/>
      <c r="F61" s="2">
        <v>338660</v>
      </c>
      <c r="G61" s="30"/>
      <c r="I61" s="13"/>
      <c r="J61" s="13"/>
    </row>
    <row r="62" spans="1:10" s="2" customFormat="1" ht="12.75" customHeight="1" x14ac:dyDescent="0.2">
      <c r="A62" s="89">
        <v>45022</v>
      </c>
      <c r="B62" s="91" t="s">
        <v>11</v>
      </c>
      <c r="C62" s="76" t="s">
        <v>63</v>
      </c>
      <c r="D62" s="116" t="s">
        <v>29</v>
      </c>
      <c r="E62" s="31"/>
      <c r="F62" s="2">
        <v>3500000</v>
      </c>
      <c r="G62" s="30"/>
      <c r="I62" s="13"/>
      <c r="J62" s="13"/>
    </row>
    <row r="63" spans="1:10" s="2" customFormat="1" ht="12.75" customHeight="1" x14ac:dyDescent="0.2">
      <c r="A63" s="89">
        <v>45022</v>
      </c>
      <c r="B63" s="91" t="s">
        <v>11</v>
      </c>
      <c r="C63" s="76" t="s">
        <v>250</v>
      </c>
      <c r="D63" s="116" t="s">
        <v>29</v>
      </c>
      <c r="E63" s="31"/>
      <c r="F63" s="2">
        <v>6232</v>
      </c>
      <c r="G63" s="30"/>
      <c r="I63" s="13"/>
      <c r="J63" s="13"/>
    </row>
    <row r="64" spans="1:10" s="2" customFormat="1" ht="12.75" customHeight="1" x14ac:dyDescent="0.2">
      <c r="A64" s="89">
        <v>45022</v>
      </c>
      <c r="B64" s="91" t="s">
        <v>11</v>
      </c>
      <c r="C64" s="76" t="s">
        <v>50</v>
      </c>
      <c r="D64" s="116" t="s">
        <v>29</v>
      </c>
      <c r="E64" s="31"/>
      <c r="F64" s="2">
        <v>593582</v>
      </c>
      <c r="G64" s="30"/>
      <c r="I64" s="13"/>
      <c r="J64" s="13"/>
    </row>
    <row r="65" spans="1:14" s="2" customFormat="1" ht="12.75" customHeight="1" x14ac:dyDescent="0.2">
      <c r="A65" s="89">
        <v>45022</v>
      </c>
      <c r="B65" s="91" t="s">
        <v>11</v>
      </c>
      <c r="C65" s="76" t="s">
        <v>371</v>
      </c>
      <c r="D65" s="116" t="s">
        <v>29</v>
      </c>
      <c r="E65" s="31"/>
      <c r="F65" s="2">
        <v>38461</v>
      </c>
      <c r="G65" s="30"/>
      <c r="I65" s="13"/>
      <c r="J65" s="13"/>
    </row>
    <row r="66" spans="1:14" s="2" customFormat="1" ht="12.75" customHeight="1" x14ac:dyDescent="0.2">
      <c r="A66" s="89">
        <v>45022</v>
      </c>
      <c r="B66" s="91" t="s">
        <v>11</v>
      </c>
      <c r="C66" s="76" t="s">
        <v>657</v>
      </c>
      <c r="D66" s="116" t="s">
        <v>29</v>
      </c>
      <c r="E66" s="31"/>
      <c r="F66" s="2">
        <v>82010</v>
      </c>
      <c r="G66" s="30"/>
      <c r="I66" s="13"/>
      <c r="J66" s="13"/>
    </row>
    <row r="67" spans="1:14" s="2" customFormat="1" ht="12.75" customHeight="1" x14ac:dyDescent="0.2">
      <c r="A67" s="89">
        <v>45022</v>
      </c>
      <c r="B67" s="91" t="s">
        <v>11</v>
      </c>
      <c r="C67" s="76" t="s">
        <v>790</v>
      </c>
      <c r="D67" s="116" t="s">
        <v>29</v>
      </c>
      <c r="E67" s="31"/>
      <c r="F67" s="2">
        <v>524899</v>
      </c>
      <c r="G67" s="30"/>
      <c r="I67" s="13"/>
      <c r="J67" s="13"/>
    </row>
    <row r="68" spans="1:14" s="2" customFormat="1" ht="12.75" customHeight="1" x14ac:dyDescent="0.2">
      <c r="A68" s="89">
        <v>45022</v>
      </c>
      <c r="B68" s="91" t="s">
        <v>11</v>
      </c>
      <c r="C68" s="76" t="s">
        <v>814</v>
      </c>
      <c r="D68" s="116" t="s">
        <v>29</v>
      </c>
      <c r="E68" s="31"/>
      <c r="F68" s="2">
        <v>387257</v>
      </c>
      <c r="G68" s="30"/>
      <c r="I68" s="13"/>
      <c r="J68" s="99" t="s">
        <v>601</v>
      </c>
      <c r="K68" s="99" t="s">
        <v>779</v>
      </c>
    </row>
    <row r="69" spans="1:14" s="2" customFormat="1" ht="12.75" customHeight="1" x14ac:dyDescent="0.25">
      <c r="A69" s="32"/>
      <c r="B69" s="33"/>
      <c r="C69" s="14"/>
      <c r="D69" s="34"/>
      <c r="E69" s="16">
        <f>SUM(E11:E68)</f>
        <v>20444900.010000002</v>
      </c>
      <c r="F69" s="16">
        <f>SUM(F11:F68)</f>
        <v>365639025.27000022</v>
      </c>
      <c r="G69" s="30"/>
      <c r="H69" s="1"/>
      <c r="I69" s="39">
        <v>350103887.25999999</v>
      </c>
      <c r="J69" s="2">
        <f>1972203+1220426+1321352</f>
        <v>4513981</v>
      </c>
      <c r="K69" s="92">
        <f>E70-I69</f>
        <v>-4909761.9999997616</v>
      </c>
      <c r="L69" s="41"/>
      <c r="M69" s="42">
        <f>K69+J69</f>
        <v>-395780.99999976158</v>
      </c>
      <c r="N69" s="1"/>
    </row>
    <row r="70" spans="1:14" s="2" customFormat="1" x14ac:dyDescent="0.2">
      <c r="A70" s="36"/>
      <c r="B70" s="28" t="s">
        <v>11</v>
      </c>
      <c r="C70" s="19" t="s">
        <v>65</v>
      </c>
      <c r="D70" s="37"/>
      <c r="E70" s="38">
        <f>F69-E69</f>
        <v>345194125.26000023</v>
      </c>
      <c r="F70" s="22"/>
      <c r="G70" s="1"/>
      <c r="H70" s="1"/>
      <c r="J70" s="1"/>
      <c r="K70" s="1"/>
      <c r="L70" s="1"/>
      <c r="M70" s="1"/>
      <c r="N70" s="1"/>
    </row>
    <row r="71" spans="1:14" x14ac:dyDescent="0.2">
      <c r="A71" s="36"/>
      <c r="B71" s="28" t="s">
        <v>66</v>
      </c>
      <c r="C71" s="43" t="s">
        <v>67</v>
      </c>
      <c r="D71" s="43"/>
      <c r="E71" s="12">
        <v>0</v>
      </c>
      <c r="F71" s="22"/>
      <c r="H71" s="40"/>
      <c r="I71" s="45">
        <v>359.74</v>
      </c>
      <c r="J71" s="46"/>
      <c r="K71" s="46"/>
      <c r="L71" s="13"/>
      <c r="M71" s="2"/>
      <c r="N71" s="2"/>
    </row>
    <row r="72" spans="1:14" ht="15" x14ac:dyDescent="0.25">
      <c r="A72" s="36"/>
      <c r="B72" s="28"/>
      <c r="C72" s="44" t="s">
        <v>68</v>
      </c>
      <c r="D72" s="43"/>
      <c r="E72" s="7">
        <f>E70+E71</f>
        <v>345194125.26000023</v>
      </c>
      <c r="F72" s="22"/>
      <c r="H72" s="103" t="s">
        <v>69</v>
      </c>
      <c r="I72" s="45">
        <v>-8.4</v>
      </c>
      <c r="J72" s="46"/>
      <c r="K72" s="46"/>
      <c r="L72" s="2"/>
      <c r="M72" s="2"/>
      <c r="N72" s="2"/>
    </row>
    <row r="73" spans="1:14" s="2" customFormat="1" x14ac:dyDescent="0.2">
      <c r="A73" s="24"/>
      <c r="B73" s="1"/>
      <c r="C73" s="14"/>
      <c r="D73" s="25"/>
      <c r="E73" s="1"/>
      <c r="H73" s="35" t="s">
        <v>70</v>
      </c>
      <c r="I73" s="45">
        <v>0</v>
      </c>
      <c r="J73" s="46">
        <f>+I74-D76</f>
        <v>0</v>
      </c>
      <c r="M73" s="2">
        <v>19.57</v>
      </c>
      <c r="N73" s="2" t="s">
        <v>535</v>
      </c>
    </row>
    <row r="74" spans="1:14" s="2" customFormat="1" x14ac:dyDescent="0.2">
      <c r="A74" s="24"/>
      <c r="B74" s="1"/>
      <c r="C74" s="56"/>
      <c r="D74" s="56"/>
      <c r="E74" s="104"/>
      <c r="G74" s="1"/>
      <c r="I74" s="49">
        <f>SUM(I71:I73)</f>
        <v>351.34000000000003</v>
      </c>
      <c r="J74" s="46"/>
      <c r="K74" s="46"/>
    </row>
    <row r="75" spans="1:14" s="2" customFormat="1" x14ac:dyDescent="0.2">
      <c r="A75" s="24"/>
      <c r="B75" s="1"/>
      <c r="C75" s="78" t="s">
        <v>575</v>
      </c>
      <c r="D75" s="48" t="s">
        <v>576</v>
      </c>
      <c r="E75" s="104"/>
      <c r="G75" s="1"/>
    </row>
    <row r="76" spans="1:14" s="2" customFormat="1" x14ac:dyDescent="0.2">
      <c r="A76" s="24"/>
      <c r="B76" s="1"/>
      <c r="C76" s="47" t="s">
        <v>570</v>
      </c>
      <c r="D76" s="111">
        <v>351.34</v>
      </c>
      <c r="E76" s="104"/>
      <c r="G76" s="1"/>
      <c r="H76" s="110" t="s">
        <v>581</v>
      </c>
    </row>
    <row r="77" spans="1:14" s="2" customFormat="1" x14ac:dyDescent="0.2">
      <c r="A77" s="24"/>
      <c r="B77" s="1"/>
      <c r="C77" s="47" t="s">
        <v>571</v>
      </c>
      <c r="D77" s="111">
        <v>0</v>
      </c>
      <c r="E77" s="104"/>
      <c r="G77" s="1"/>
      <c r="H77" s="110" t="s">
        <v>580</v>
      </c>
    </row>
    <row r="78" spans="1:14" s="2" customFormat="1" x14ac:dyDescent="0.2">
      <c r="A78" s="24"/>
      <c r="B78" s="1"/>
      <c r="C78" s="47" t="s">
        <v>572</v>
      </c>
      <c r="D78" s="111">
        <f>+D95/100000</f>
        <v>8.6758600000000001</v>
      </c>
      <c r="E78" s="104"/>
      <c r="G78" s="1"/>
      <c r="H78" s="90" t="s">
        <v>587</v>
      </c>
    </row>
    <row r="79" spans="1:14" s="2" customFormat="1" x14ac:dyDescent="0.2">
      <c r="A79" s="24"/>
      <c r="B79" s="1"/>
      <c r="C79" s="108" t="s">
        <v>578</v>
      </c>
      <c r="D79" s="48">
        <f>SUM(D76:D78)</f>
        <v>360.01585999999998</v>
      </c>
      <c r="E79" s="104"/>
      <c r="G79" s="1"/>
    </row>
    <row r="80" spans="1:14" s="2" customFormat="1" x14ac:dyDescent="0.2">
      <c r="A80" s="24"/>
      <c r="B80" s="1"/>
      <c r="C80" s="47"/>
      <c r="D80" s="107"/>
      <c r="E80" s="104"/>
      <c r="G80" s="1"/>
    </row>
    <row r="81" spans="1:13" s="2" customFormat="1" x14ac:dyDescent="0.2">
      <c r="A81" s="24"/>
      <c r="B81" s="1"/>
      <c r="C81" s="47" t="s">
        <v>573</v>
      </c>
      <c r="D81" s="111">
        <v>0</v>
      </c>
      <c r="E81" s="104"/>
      <c r="G81" s="1"/>
      <c r="H81" s="110" t="s">
        <v>581</v>
      </c>
    </row>
    <row r="82" spans="1:13" s="2" customFormat="1" x14ac:dyDescent="0.2">
      <c r="A82" s="24"/>
      <c r="B82" s="1"/>
      <c r="C82" s="47" t="s">
        <v>574</v>
      </c>
      <c r="D82" s="111">
        <v>195.78</v>
      </c>
      <c r="E82" s="104"/>
      <c r="G82" s="1"/>
      <c r="H82" s="110" t="s">
        <v>581</v>
      </c>
      <c r="J82" s="114" t="s">
        <v>713</v>
      </c>
    </row>
    <row r="83" spans="1:13" s="2" customFormat="1" x14ac:dyDescent="0.2">
      <c r="A83" s="24"/>
      <c r="B83" s="1"/>
      <c r="C83" s="78" t="s">
        <v>579</v>
      </c>
      <c r="D83" s="109">
        <f>D81+D82</f>
        <v>195.78</v>
      </c>
      <c r="E83" s="104"/>
      <c r="G83" s="1"/>
      <c r="I83" s="113"/>
      <c r="J83" s="113" t="s">
        <v>709</v>
      </c>
      <c r="K83" s="113" t="s">
        <v>710</v>
      </c>
      <c r="L83" s="113" t="s">
        <v>711</v>
      </c>
      <c r="M83" s="113" t="s">
        <v>712</v>
      </c>
    </row>
    <row r="84" spans="1:13" s="2" customFormat="1" x14ac:dyDescent="0.2">
      <c r="A84" s="24"/>
      <c r="B84" s="1"/>
      <c r="C84" s="105"/>
      <c r="D84" s="106"/>
      <c r="E84" s="104"/>
      <c r="G84" s="1"/>
      <c r="I84" s="113" t="s">
        <v>706</v>
      </c>
      <c r="J84" s="115"/>
      <c r="K84" s="115">
        <v>968.99</v>
      </c>
      <c r="L84" s="115">
        <v>968.99</v>
      </c>
      <c r="M84" s="113">
        <f>+J84+L84-K84</f>
        <v>0</v>
      </c>
    </row>
    <row r="85" spans="1:13" s="2" customFormat="1" x14ac:dyDescent="0.2">
      <c r="A85" s="24"/>
      <c r="B85" s="1"/>
      <c r="C85" s="78" t="s">
        <v>577</v>
      </c>
      <c r="D85" s="109">
        <f>D76+D83</f>
        <v>547.12</v>
      </c>
      <c r="E85" s="104"/>
      <c r="G85" s="1"/>
      <c r="I85" s="113" t="s">
        <v>707</v>
      </c>
      <c r="J85" s="115">
        <v>183.1</v>
      </c>
      <c r="K85" s="115">
        <v>1441.54</v>
      </c>
      <c r="L85" s="115">
        <v>1915.21</v>
      </c>
      <c r="M85" s="113">
        <f>+J85+L85-K85</f>
        <v>656.77</v>
      </c>
    </row>
    <row r="86" spans="1:13" s="2" customFormat="1" x14ac:dyDescent="0.2">
      <c r="A86" s="24"/>
      <c r="B86" s="1"/>
      <c r="C86" s="56"/>
      <c r="D86" s="56"/>
      <c r="E86" s="104"/>
      <c r="G86" s="1"/>
      <c r="I86" s="113" t="s">
        <v>708</v>
      </c>
      <c r="J86" s="115">
        <v>1371.02</v>
      </c>
      <c r="K86" s="115">
        <v>9948.18</v>
      </c>
      <c r="L86" s="115">
        <v>10489.07</v>
      </c>
      <c r="M86" s="113">
        <f>+J86+L86-K86</f>
        <v>1911.9099999999999</v>
      </c>
    </row>
    <row r="87" spans="1:13" s="2" customFormat="1" ht="38.25" x14ac:dyDescent="0.2">
      <c r="A87" s="24"/>
      <c r="B87" s="1"/>
      <c r="C87" s="79" t="str">
        <f>"Particulars ( 01-04-2021 to "&amp;TEXT(A5,"dd-mm-yyyy")&amp;" )"</f>
        <v>Particulars ( 01-04-2021 to 06-04-2023 )</v>
      </c>
      <c r="D87" s="80" t="s">
        <v>73</v>
      </c>
      <c r="E87" s="80" t="s">
        <v>74</v>
      </c>
      <c r="F87" s="81" t="s">
        <v>75</v>
      </c>
      <c r="G87" s="80" t="s">
        <v>76</v>
      </c>
      <c r="J87" s="118">
        <f>SUM(J84:J86)</f>
        <v>1554.12</v>
      </c>
      <c r="K87" s="118">
        <f>SUM(K84:K86)</f>
        <v>12358.71</v>
      </c>
      <c r="L87" s="118">
        <f>SUM(L84:L86)</f>
        <v>13373.27</v>
      </c>
      <c r="M87" s="118">
        <f>SUM(M84:M86)</f>
        <v>2568.6799999999998</v>
      </c>
    </row>
    <row r="88" spans="1:13" s="2" customFormat="1" x14ac:dyDescent="0.2">
      <c r="A88" s="24"/>
      <c r="B88" s="1"/>
      <c r="C88" s="50" t="s">
        <v>444</v>
      </c>
      <c r="D88" s="55">
        <f>+L84+L85+J85</f>
        <v>3067.2999999999997</v>
      </c>
      <c r="E88" s="55">
        <f>+K84+K85</f>
        <v>2410.5299999999997</v>
      </c>
      <c r="F88" s="55">
        <f>+D88-E88</f>
        <v>656.77</v>
      </c>
      <c r="G88" s="55">
        <f>1500-F88</f>
        <v>843.23</v>
      </c>
      <c r="H88" s="2" t="s">
        <v>396</v>
      </c>
    </row>
    <row r="89" spans="1:13" s="2" customFormat="1" x14ac:dyDescent="0.2">
      <c r="A89" s="24"/>
      <c r="B89" s="1"/>
      <c r="C89" s="50" t="s">
        <v>71</v>
      </c>
      <c r="D89" s="55">
        <f>+J86+L86</f>
        <v>11860.09</v>
      </c>
      <c r="E89" s="55">
        <f>+K86</f>
        <v>9948.18</v>
      </c>
      <c r="F89" s="55">
        <f>+D89-E89</f>
        <v>1911.9099999999999</v>
      </c>
      <c r="G89" s="55">
        <f>1500+700-F89</f>
        <v>288.09000000000015</v>
      </c>
      <c r="H89" s="2" t="s">
        <v>396</v>
      </c>
    </row>
    <row r="90" spans="1:13" s="2" customFormat="1" x14ac:dyDescent="0.2">
      <c r="A90" s="24"/>
      <c r="B90" s="1"/>
      <c r="C90" s="14"/>
      <c r="D90" s="56"/>
      <c r="E90" s="13"/>
      <c r="G90" s="1"/>
    </row>
    <row r="91" spans="1:13" s="2" customFormat="1" x14ac:dyDescent="0.2">
      <c r="A91" s="215" t="s">
        <v>80</v>
      </c>
      <c r="B91" s="216"/>
      <c r="C91" s="216"/>
      <c r="D91" s="217"/>
      <c r="E91" s="69"/>
      <c r="F91" s="70"/>
      <c r="G91" s="1"/>
      <c r="H91" s="53"/>
    </row>
    <row r="92" spans="1:13" s="2" customFormat="1" x14ac:dyDescent="0.2">
      <c r="A92" s="71" t="s">
        <v>81</v>
      </c>
      <c r="B92" s="71"/>
      <c r="C92" s="72" t="s">
        <v>82</v>
      </c>
      <c r="D92" s="73" t="s">
        <v>83</v>
      </c>
      <c r="E92" s="69"/>
      <c r="F92" s="70"/>
      <c r="H92" s="53"/>
    </row>
    <row r="93" spans="1:13" s="2" customFormat="1" x14ac:dyDescent="0.2">
      <c r="A93" s="87">
        <v>45020</v>
      </c>
      <c r="B93" s="91" t="s">
        <v>6</v>
      </c>
      <c r="C93" s="75" t="s">
        <v>271</v>
      </c>
      <c r="D93" s="88">
        <v>584074</v>
      </c>
      <c r="G93" s="1"/>
      <c r="L93" s="1"/>
      <c r="M93" s="1"/>
    </row>
    <row r="94" spans="1:13" s="2" customFormat="1" x14ac:dyDescent="0.2">
      <c r="A94" s="87">
        <v>45022</v>
      </c>
      <c r="B94" s="91" t="s">
        <v>6</v>
      </c>
      <c r="C94" s="75" t="s">
        <v>784</v>
      </c>
      <c r="D94" s="88">
        <v>283512</v>
      </c>
      <c r="G94" s="1"/>
      <c r="L94" s="1"/>
      <c r="M94" s="1"/>
    </row>
    <row r="95" spans="1:13" s="2" customFormat="1" x14ac:dyDescent="0.2">
      <c r="A95" s="87"/>
      <c r="B95" s="74"/>
      <c r="C95" s="75"/>
      <c r="D95" s="51">
        <f>SUM(D93:D94)</f>
        <v>867586</v>
      </c>
      <c r="F95" s="2" t="s">
        <v>396</v>
      </c>
      <c r="G95" s="1"/>
      <c r="I95" s="1"/>
      <c r="J95" s="1"/>
      <c r="K95" s="1"/>
      <c r="L95" s="1"/>
      <c r="M95" s="1"/>
    </row>
    <row r="96" spans="1:13" s="2" customFormat="1" x14ac:dyDescent="0.2">
      <c r="A96" s="8"/>
      <c r="B96" s="93"/>
      <c r="C96" s="76"/>
      <c r="D96" s="56"/>
      <c r="G96" s="1"/>
      <c r="I96" s="1"/>
      <c r="J96" s="1"/>
      <c r="K96" s="1"/>
      <c r="L96" s="1"/>
      <c r="M96" s="1"/>
    </row>
    <row r="97" spans="1:13" s="2" customFormat="1" x14ac:dyDescent="0.2">
      <c r="A97" s="24"/>
      <c r="B97" s="1"/>
      <c r="C97" s="52"/>
      <c r="D97" s="85"/>
      <c r="E97" s="53"/>
      <c r="F97" s="53"/>
      <c r="G97" s="54"/>
      <c r="I97" s="1"/>
      <c r="J97" s="1"/>
      <c r="K97" s="1"/>
      <c r="L97" s="1"/>
      <c r="M97" s="1"/>
    </row>
    <row r="98" spans="1:13" s="2" customFormat="1" x14ac:dyDescent="0.2">
      <c r="A98" s="24"/>
      <c r="B98" s="1"/>
      <c r="C98" s="218" t="s">
        <v>77</v>
      </c>
      <c r="D98" s="219"/>
      <c r="E98" s="219"/>
      <c r="F98" s="220"/>
      <c r="G98" s="54"/>
      <c r="I98" s="1"/>
      <c r="J98" s="1"/>
      <c r="K98" s="1"/>
      <c r="L98" s="1"/>
      <c r="M98" s="1"/>
    </row>
    <row r="99" spans="1:13" s="2" customFormat="1" x14ac:dyDescent="0.2">
      <c r="A99" s="24"/>
      <c r="B99" s="1"/>
      <c r="C99" s="50"/>
      <c r="D99" s="57" t="s">
        <v>78</v>
      </c>
      <c r="E99" s="58" t="s">
        <v>79</v>
      </c>
      <c r="F99" s="57" t="s">
        <v>72</v>
      </c>
      <c r="G99" s="54"/>
      <c r="I99" s="1"/>
      <c r="J99" s="1"/>
      <c r="K99" s="1"/>
      <c r="L99" s="1"/>
      <c r="M99" s="1"/>
    </row>
    <row r="100" spans="1:13" s="2" customFormat="1" x14ac:dyDescent="0.2">
      <c r="A100" s="24"/>
      <c r="B100" s="1"/>
      <c r="C100" s="59" t="str">
        <f>"01-04-2023 to "&amp;TEXT(A5-2,"dd-mm-yyyy")</f>
        <v>01-04-2023 to 04-04-2023</v>
      </c>
      <c r="D100" s="60">
        <v>994.24</v>
      </c>
      <c r="E100" s="60">
        <v>64.38</v>
      </c>
      <c r="F100" s="61">
        <f>SUM(D100:E100)</f>
        <v>1058.6199999999999</v>
      </c>
      <c r="G100" s="54"/>
      <c r="I100" s="1"/>
      <c r="J100" s="1"/>
      <c r="K100" s="1"/>
      <c r="L100" s="1"/>
      <c r="M100" s="1"/>
    </row>
    <row r="101" spans="1:13" s="2" customFormat="1" x14ac:dyDescent="0.2">
      <c r="A101" s="24"/>
      <c r="B101" s="1"/>
      <c r="C101" s="62" t="str">
        <f>TEXT(A5-1,"dd-mm-yyyy")</f>
        <v>05-04-2023</v>
      </c>
      <c r="D101" s="60">
        <v>68.33</v>
      </c>
      <c r="E101" s="60">
        <v>24.45</v>
      </c>
      <c r="F101" s="61">
        <f>SUM(D101:E101)</f>
        <v>92.78</v>
      </c>
      <c r="G101" s="54"/>
      <c r="I101" s="1"/>
      <c r="J101" s="1"/>
      <c r="K101" s="1"/>
      <c r="L101" s="1"/>
      <c r="M101" s="1"/>
    </row>
    <row r="102" spans="1:13" ht="13.5" thickBot="1" x14ac:dyDescent="0.25">
      <c r="C102" s="63" t="str">
        <f>"01-04-2023 to "&amp;TEXT(A5-1,"dd-mm-yyyy")</f>
        <v>01-04-2023 to 05-04-2023</v>
      </c>
      <c r="D102" s="64">
        <f>SUM(D100:D101)</f>
        <v>1062.57</v>
      </c>
      <c r="E102" s="64">
        <f>SUM(E100:E101)</f>
        <v>88.83</v>
      </c>
      <c r="F102" s="64">
        <f>SUM(F100:F101)</f>
        <v>1151.3999999999999</v>
      </c>
      <c r="G102" s="54"/>
    </row>
    <row r="103" spans="1:13" s="2" customFormat="1" ht="13.5" thickTop="1" x14ac:dyDescent="0.2">
      <c r="A103" s="24"/>
      <c r="B103" s="1"/>
      <c r="C103" s="62"/>
      <c r="D103" s="65"/>
      <c r="E103" s="66"/>
      <c r="F103" s="67"/>
      <c r="G103" s="54"/>
      <c r="H103" s="53"/>
    </row>
    <row r="104" spans="1:13" x14ac:dyDescent="0.2">
      <c r="C104" s="62" t="str">
        <f>"01-04-2023 to " &amp;C101</f>
        <v>01-04-2023 to 05-04-2023</v>
      </c>
      <c r="D104" s="68">
        <f>+D102</f>
        <v>1062.57</v>
      </c>
      <c r="E104" s="68">
        <f>+E102</f>
        <v>88.83</v>
      </c>
      <c r="F104" s="68">
        <f>+F102</f>
        <v>1151.3999999999999</v>
      </c>
      <c r="G104" s="54"/>
      <c r="H104" s="53" t="s">
        <v>396</v>
      </c>
    </row>
    <row r="105" spans="1:13" x14ac:dyDescent="0.2">
      <c r="C105" s="52"/>
      <c r="D105" s="85"/>
      <c r="E105" s="53"/>
      <c r="F105" s="53"/>
      <c r="G105" s="54"/>
      <c r="H105" s="53" t="s">
        <v>396</v>
      </c>
      <c r="J105" s="42"/>
    </row>
    <row r="106" spans="1:13" x14ac:dyDescent="0.2">
      <c r="C106" s="52"/>
      <c r="D106" s="85"/>
      <c r="E106" s="53"/>
      <c r="F106" s="53"/>
      <c r="G106" s="54"/>
      <c r="H106" s="53"/>
      <c r="I106" s="101"/>
    </row>
    <row r="107" spans="1:13" x14ac:dyDescent="0.2">
      <c r="C107" s="52"/>
      <c r="D107" s="85"/>
      <c r="E107" s="53"/>
      <c r="F107" s="53"/>
      <c r="G107" s="54"/>
      <c r="H107" s="53"/>
    </row>
    <row r="108" spans="1:13" x14ac:dyDescent="0.2">
      <c r="C108" s="52"/>
      <c r="D108" s="85"/>
      <c r="E108" s="53"/>
      <c r="F108" s="53"/>
      <c r="G108" s="54"/>
      <c r="H108" s="53"/>
    </row>
    <row r="109" spans="1:13" x14ac:dyDescent="0.2">
      <c r="H109" s="53"/>
    </row>
  </sheetData>
  <mergeCells count="5">
    <mergeCell ref="A1:G1"/>
    <mergeCell ref="A3:F3"/>
    <mergeCell ref="A9:F9"/>
    <mergeCell ref="A91:D91"/>
    <mergeCell ref="C98:F98"/>
  </mergeCells>
  <conditionalFormatting sqref="G88:G89">
    <cfRule type="cellIs" dxfId="658" priority="1" operator="lessThan">
      <formula>0</formula>
    </cfRule>
  </conditionalFormatting>
  <conditionalFormatting sqref="C11">
    <cfRule type="duplicateValues" dxfId="657" priority="2"/>
  </conditionalFormatting>
  <conditionalFormatting sqref="C12:C32 C37:C68">
    <cfRule type="duplicateValues" dxfId="656" priority="423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00">
    <pageSetUpPr fitToPage="1"/>
  </sheetPr>
  <dimension ref="A1:N81"/>
  <sheetViews>
    <sheetView topLeftCell="A32" zoomScaleNormal="100" workbookViewId="0">
      <selection activeCell="H43" sqref="H43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49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852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2.75" customHeight="1" x14ac:dyDescent="0.4">
      <c r="A5" s="89">
        <v>45023</v>
      </c>
      <c r="B5" s="9" t="s">
        <v>6</v>
      </c>
      <c r="C5" s="10" t="s">
        <v>7</v>
      </c>
      <c r="D5" s="11"/>
      <c r="E5" s="12">
        <v>2777226.6999999988</v>
      </c>
      <c r="F5" s="12"/>
      <c r="G5" s="1"/>
      <c r="H5" s="112"/>
      <c r="I5" s="112"/>
    </row>
    <row r="6" spans="1:10" s="2" customFormat="1" ht="12.75" customHeight="1" x14ac:dyDescent="0.4">
      <c r="A6" s="89">
        <v>45023</v>
      </c>
      <c r="B6" s="9" t="s">
        <v>11</v>
      </c>
      <c r="C6" s="10" t="s">
        <v>380</v>
      </c>
      <c r="D6" s="117" t="s">
        <v>29</v>
      </c>
      <c r="E6" s="12"/>
      <c r="F6" s="12">
        <v>2220108</v>
      </c>
      <c r="G6" s="1"/>
      <c r="H6" s="112"/>
      <c r="I6" s="112"/>
    </row>
    <row r="7" spans="1:10" s="2" customFormat="1" ht="12.75" customHeight="1" x14ac:dyDescent="0.4">
      <c r="D7" s="15" t="s">
        <v>8</v>
      </c>
      <c r="E7" s="16">
        <f>SUM(E5:E5)</f>
        <v>2777226.6999999988</v>
      </c>
      <c r="F7" s="16">
        <f>SUM(F5:F6)</f>
        <v>2220108</v>
      </c>
      <c r="G7" s="1"/>
      <c r="H7" s="112"/>
      <c r="I7" s="112"/>
    </row>
    <row r="8" spans="1:10" s="2" customFormat="1" ht="12.75" customHeight="1" x14ac:dyDescent="0.4">
      <c r="A8" s="17"/>
      <c r="B8" s="18"/>
      <c r="C8" s="19" t="s">
        <v>9</v>
      </c>
      <c r="D8" s="20"/>
      <c r="E8" s="21">
        <f>E7-F7</f>
        <v>557118.69999999879</v>
      </c>
      <c r="F8" s="22"/>
      <c r="G8" s="23"/>
      <c r="H8" s="112"/>
      <c r="I8" s="112"/>
      <c r="J8" s="13"/>
    </row>
    <row r="9" spans="1:10" s="2" customFormat="1" ht="12.75" customHeight="1" x14ac:dyDescent="0.4">
      <c r="A9" s="24"/>
      <c r="B9" s="1"/>
      <c r="C9" s="14"/>
      <c r="D9" s="25"/>
      <c r="G9" s="23"/>
      <c r="H9" s="112"/>
      <c r="I9" s="112"/>
      <c r="J9" s="13"/>
    </row>
    <row r="10" spans="1:10" s="2" customFormat="1" ht="21.75" customHeight="1" x14ac:dyDescent="0.4">
      <c r="A10" s="214" t="s">
        <v>10</v>
      </c>
      <c r="B10" s="214"/>
      <c r="C10" s="214"/>
      <c r="D10" s="214"/>
      <c r="E10" s="214"/>
      <c r="F10" s="214"/>
      <c r="G10" s="13"/>
      <c r="H10" s="112"/>
      <c r="I10" s="112"/>
      <c r="J10" s="13"/>
    </row>
    <row r="11" spans="1:10" s="2" customFormat="1" ht="12.75" customHeight="1" x14ac:dyDescent="0.4">
      <c r="A11" s="26" t="s">
        <v>1</v>
      </c>
      <c r="B11" s="27" t="s">
        <v>2</v>
      </c>
      <c r="C11" s="5"/>
      <c r="D11" s="6" t="s">
        <v>3</v>
      </c>
      <c r="E11" s="7" t="s">
        <v>4</v>
      </c>
      <c r="F11" s="7" t="s">
        <v>5</v>
      </c>
      <c r="G11" s="23"/>
      <c r="H11" s="112"/>
      <c r="I11" s="112"/>
      <c r="J11" s="13"/>
    </row>
    <row r="12" spans="1:10" s="2" customFormat="1" ht="12.75" customHeight="1" x14ac:dyDescent="0.2">
      <c r="A12" s="89">
        <v>45023</v>
      </c>
      <c r="B12" s="91" t="s">
        <v>11</v>
      </c>
      <c r="C12" s="29" t="s">
        <v>7</v>
      </c>
      <c r="D12" s="25"/>
      <c r="E12" s="31"/>
      <c r="F12" s="2">
        <v>345194125.26000023</v>
      </c>
      <c r="G12" s="30"/>
      <c r="I12" s="13"/>
      <c r="J12" s="13"/>
    </row>
    <row r="13" spans="1:10" s="2" customFormat="1" ht="12.75" customHeight="1" x14ac:dyDescent="0.2">
      <c r="A13" s="89">
        <v>45023</v>
      </c>
      <c r="B13" s="91" t="s">
        <v>6</v>
      </c>
      <c r="C13" s="76" t="s">
        <v>244</v>
      </c>
      <c r="D13" s="116" t="s">
        <v>13</v>
      </c>
      <c r="E13" s="31">
        <v>500000</v>
      </c>
      <c r="G13" s="30"/>
      <c r="I13" s="13"/>
      <c r="J13" s="13"/>
    </row>
    <row r="14" spans="1:10" s="2" customFormat="1" ht="12.75" customHeight="1" x14ac:dyDescent="0.2">
      <c r="A14" s="89">
        <v>45023</v>
      </c>
      <c r="B14" s="91" t="s">
        <v>6</v>
      </c>
      <c r="C14" s="76" t="s">
        <v>12</v>
      </c>
      <c r="D14" s="116" t="s">
        <v>13</v>
      </c>
      <c r="E14" s="31">
        <v>16523175.370000001</v>
      </c>
      <c r="G14" s="30"/>
      <c r="I14" s="13"/>
      <c r="J14" s="13"/>
    </row>
    <row r="15" spans="1:10" s="2" customFormat="1" ht="12.75" customHeight="1" x14ac:dyDescent="0.2">
      <c r="A15" s="89">
        <v>45023</v>
      </c>
      <c r="B15" s="91" t="s">
        <v>6</v>
      </c>
      <c r="C15" s="76" t="s">
        <v>14</v>
      </c>
      <c r="D15" s="116" t="s">
        <v>13</v>
      </c>
      <c r="E15" s="31">
        <v>990399</v>
      </c>
      <c r="G15" s="30"/>
      <c r="I15" s="13"/>
      <c r="J15" s="13"/>
    </row>
    <row r="16" spans="1:10" s="2" customFormat="1" ht="12.75" customHeight="1" x14ac:dyDescent="0.2">
      <c r="A16" s="89">
        <v>45023</v>
      </c>
      <c r="B16" s="91" t="s">
        <v>6</v>
      </c>
      <c r="C16" s="76" t="s">
        <v>761</v>
      </c>
      <c r="D16" s="116" t="s">
        <v>13</v>
      </c>
      <c r="E16" s="31">
        <v>887045</v>
      </c>
      <c r="G16" s="30"/>
      <c r="I16" s="13"/>
      <c r="J16" s="13"/>
    </row>
    <row r="17" spans="1:10" s="2" customFormat="1" ht="12.75" customHeight="1" x14ac:dyDescent="0.2">
      <c r="A17" s="89">
        <v>45023</v>
      </c>
      <c r="B17" s="91" t="s">
        <v>6</v>
      </c>
      <c r="C17" s="76" t="s">
        <v>17</v>
      </c>
      <c r="D17" s="116" t="s">
        <v>13</v>
      </c>
      <c r="E17" s="31">
        <v>122430</v>
      </c>
      <c r="G17" s="30"/>
      <c r="I17" s="13"/>
      <c r="J17" s="13"/>
    </row>
    <row r="18" spans="1:10" s="2" customFormat="1" ht="12.75" customHeight="1" x14ac:dyDescent="0.2">
      <c r="A18" s="89">
        <v>45023</v>
      </c>
      <c r="B18" s="91" t="s">
        <v>6</v>
      </c>
      <c r="C18" s="76" t="s">
        <v>288</v>
      </c>
      <c r="D18" s="116" t="s">
        <v>13</v>
      </c>
      <c r="E18" s="31">
        <v>18894.560000000001</v>
      </c>
      <c r="G18" s="30"/>
      <c r="I18" s="13"/>
      <c r="J18" s="13"/>
    </row>
    <row r="19" spans="1:10" s="2" customFormat="1" ht="12.75" customHeight="1" x14ac:dyDescent="0.2">
      <c r="A19" s="89">
        <v>45023</v>
      </c>
      <c r="B19" s="91" t="s">
        <v>6</v>
      </c>
      <c r="C19" s="76" t="s">
        <v>332</v>
      </c>
      <c r="D19" s="116" t="s">
        <v>13</v>
      </c>
      <c r="E19" s="31">
        <v>1026727</v>
      </c>
      <c r="G19" s="30"/>
      <c r="I19" s="13"/>
      <c r="J19" s="13"/>
    </row>
    <row r="20" spans="1:10" s="2" customFormat="1" ht="12.75" customHeight="1" x14ac:dyDescent="0.2">
      <c r="A20" s="89">
        <v>45023</v>
      </c>
      <c r="B20" s="91" t="s">
        <v>6</v>
      </c>
      <c r="C20" s="76" t="s">
        <v>468</v>
      </c>
      <c r="D20" s="116" t="s">
        <v>13</v>
      </c>
      <c r="E20" s="31">
        <v>30931</v>
      </c>
      <c r="G20" s="30"/>
      <c r="I20" s="13"/>
      <c r="J20" s="13"/>
    </row>
    <row r="21" spans="1:10" s="2" customFormat="1" ht="12.75" customHeight="1" x14ac:dyDescent="0.2">
      <c r="A21" s="89">
        <v>45023</v>
      </c>
      <c r="B21" s="91" t="s">
        <v>6</v>
      </c>
      <c r="C21" s="76" t="s">
        <v>853</v>
      </c>
      <c r="D21" s="116" t="s">
        <v>13</v>
      </c>
      <c r="E21" s="31">
        <v>14647</v>
      </c>
      <c r="G21" s="30"/>
      <c r="I21" s="13"/>
      <c r="J21" s="13"/>
    </row>
    <row r="22" spans="1:10" s="2" customFormat="1" ht="12.75" customHeight="1" x14ac:dyDescent="0.2">
      <c r="A22" s="89">
        <v>45023</v>
      </c>
      <c r="B22" s="91" t="s">
        <v>6</v>
      </c>
      <c r="C22" s="76" t="s">
        <v>726</v>
      </c>
      <c r="D22" s="116" t="s">
        <v>13</v>
      </c>
      <c r="E22" s="31">
        <v>12600</v>
      </c>
      <c r="G22" s="30"/>
      <c r="I22" s="13"/>
      <c r="J22" s="13"/>
    </row>
    <row r="23" spans="1:10" s="2" customFormat="1" ht="12.75" customHeight="1" x14ac:dyDescent="0.2">
      <c r="A23" s="89">
        <v>45023</v>
      </c>
      <c r="B23" s="91" t="s">
        <v>6</v>
      </c>
      <c r="C23" s="76" t="s">
        <v>430</v>
      </c>
      <c r="D23" s="116" t="s">
        <v>13</v>
      </c>
      <c r="E23" s="31">
        <v>2205</v>
      </c>
      <c r="G23" s="30"/>
      <c r="I23" s="13"/>
      <c r="J23" s="13"/>
    </row>
    <row r="24" spans="1:10" s="2" customFormat="1" ht="12.75" customHeight="1" x14ac:dyDescent="0.2">
      <c r="A24" s="89">
        <v>45023</v>
      </c>
      <c r="B24" s="91" t="s">
        <v>6</v>
      </c>
      <c r="C24" s="76" t="s">
        <v>815</v>
      </c>
      <c r="D24" s="116" t="s">
        <v>13</v>
      </c>
      <c r="E24" s="31">
        <v>180047</v>
      </c>
      <c r="G24" s="30"/>
      <c r="I24" s="13"/>
      <c r="J24" s="13"/>
    </row>
    <row r="25" spans="1:10" s="2" customFormat="1" ht="12.75" customHeight="1" x14ac:dyDescent="0.2">
      <c r="A25" s="89">
        <v>45023</v>
      </c>
      <c r="B25" s="91" t="s">
        <v>11</v>
      </c>
      <c r="C25" s="76" t="s">
        <v>64</v>
      </c>
      <c r="D25" s="116" t="s">
        <v>29</v>
      </c>
      <c r="E25" s="31"/>
      <c r="F25" s="2">
        <v>30115.64</v>
      </c>
      <c r="G25" s="30"/>
      <c r="I25" s="13"/>
      <c r="J25" s="13"/>
    </row>
    <row r="26" spans="1:10" s="2" customFormat="1" ht="12.75" customHeight="1" x14ac:dyDescent="0.2">
      <c r="A26" s="89">
        <v>45023</v>
      </c>
      <c r="B26" s="91" t="s">
        <v>11</v>
      </c>
      <c r="C26" s="76" t="s">
        <v>284</v>
      </c>
      <c r="D26" s="116" t="s">
        <v>29</v>
      </c>
      <c r="E26" s="31"/>
      <c r="F26" s="2">
        <v>1426794</v>
      </c>
      <c r="G26" s="30"/>
      <c r="I26" s="13"/>
      <c r="J26" s="13"/>
    </row>
    <row r="27" spans="1:10" s="2" customFormat="1" ht="12.75" customHeight="1" x14ac:dyDescent="0.2">
      <c r="A27" s="89">
        <v>45023</v>
      </c>
      <c r="B27" s="91" t="s">
        <v>11</v>
      </c>
      <c r="C27" s="76" t="s">
        <v>118</v>
      </c>
      <c r="D27" s="116" t="s">
        <v>29</v>
      </c>
      <c r="E27" s="31"/>
      <c r="F27" s="2">
        <v>400000</v>
      </c>
      <c r="G27" s="30"/>
      <c r="I27" s="13"/>
      <c r="J27" s="13"/>
    </row>
    <row r="28" spans="1:10" s="2" customFormat="1" ht="12.75" customHeight="1" x14ac:dyDescent="0.2">
      <c r="A28" s="89">
        <v>45023</v>
      </c>
      <c r="B28" s="91" t="s">
        <v>11</v>
      </c>
      <c r="C28" s="76" t="s">
        <v>127</v>
      </c>
      <c r="D28" s="116" t="s">
        <v>29</v>
      </c>
      <c r="E28" s="31"/>
      <c r="F28" s="2">
        <v>9147262</v>
      </c>
      <c r="G28" s="30"/>
      <c r="I28" s="13"/>
      <c r="J28" s="13"/>
    </row>
    <row r="29" spans="1:10" s="2" customFormat="1" ht="12.75" customHeight="1" x14ac:dyDescent="0.2">
      <c r="A29" s="89">
        <v>45023</v>
      </c>
      <c r="B29" s="91" t="s">
        <v>11</v>
      </c>
      <c r="C29" s="76" t="s">
        <v>223</v>
      </c>
      <c r="D29" s="116" t="s">
        <v>29</v>
      </c>
      <c r="E29" s="31"/>
      <c r="F29" s="2">
        <v>6765670</v>
      </c>
      <c r="G29" s="30"/>
      <c r="I29" s="13"/>
      <c r="J29" s="13"/>
    </row>
    <row r="30" spans="1:10" s="2" customFormat="1" ht="12.75" customHeight="1" x14ac:dyDescent="0.2">
      <c r="A30" s="89">
        <v>45023</v>
      </c>
      <c r="B30" s="91" t="s">
        <v>11</v>
      </c>
      <c r="C30" s="76" t="s">
        <v>800</v>
      </c>
      <c r="D30" s="116" t="s">
        <v>29</v>
      </c>
      <c r="E30" s="31"/>
      <c r="F30" s="2">
        <v>9376</v>
      </c>
      <c r="G30" s="30"/>
      <c r="I30" s="13"/>
      <c r="J30" s="13"/>
    </row>
    <row r="31" spans="1:10" s="2" customFormat="1" ht="12.75" customHeight="1" x14ac:dyDescent="0.2">
      <c r="A31" s="89">
        <v>45023</v>
      </c>
      <c r="B31" s="91" t="s">
        <v>11</v>
      </c>
      <c r="C31" s="76" t="s">
        <v>57</v>
      </c>
      <c r="D31" s="116" t="s">
        <v>29</v>
      </c>
      <c r="E31" s="31"/>
      <c r="F31" s="2">
        <v>5000000</v>
      </c>
      <c r="G31" s="30"/>
      <c r="I31" s="13"/>
      <c r="J31" s="13"/>
    </row>
    <row r="32" spans="1:10" s="2" customFormat="1" ht="12.75" customHeight="1" x14ac:dyDescent="0.2">
      <c r="A32" s="89">
        <v>45023</v>
      </c>
      <c r="B32" s="91" t="s">
        <v>11</v>
      </c>
      <c r="C32" s="76" t="s">
        <v>63</v>
      </c>
      <c r="D32" s="116" t="s">
        <v>29</v>
      </c>
      <c r="E32" s="31"/>
      <c r="F32" s="2">
        <v>3000000</v>
      </c>
      <c r="G32" s="30"/>
      <c r="I32" s="13"/>
      <c r="J32" s="13"/>
    </row>
    <row r="33" spans="1:14" s="2" customFormat="1" ht="12.75" customHeight="1" x14ac:dyDescent="0.2">
      <c r="A33" s="89">
        <v>45023</v>
      </c>
      <c r="B33" s="91" t="s">
        <v>11</v>
      </c>
      <c r="C33" s="76" t="s">
        <v>831</v>
      </c>
      <c r="D33" s="116" t="s">
        <v>29</v>
      </c>
      <c r="E33" s="31"/>
      <c r="F33" s="2">
        <v>1640621</v>
      </c>
      <c r="G33" s="30"/>
      <c r="I33" s="13"/>
      <c r="J33" s="13"/>
    </row>
    <row r="34" spans="1:14" s="2" customFormat="1" ht="12.75" customHeight="1" x14ac:dyDescent="0.2">
      <c r="A34" s="89">
        <v>45023</v>
      </c>
      <c r="B34" s="91" t="s">
        <v>11</v>
      </c>
      <c r="C34" s="76" t="s">
        <v>301</v>
      </c>
      <c r="D34" s="116" t="s">
        <v>29</v>
      </c>
      <c r="E34" s="31"/>
      <c r="F34" s="2">
        <v>1488959</v>
      </c>
      <c r="G34" s="30"/>
      <c r="I34" s="13"/>
      <c r="J34" s="13"/>
    </row>
    <row r="35" spans="1:14" s="2" customFormat="1" ht="12.75" customHeight="1" x14ac:dyDescent="0.2">
      <c r="A35" s="89">
        <v>45023</v>
      </c>
      <c r="B35" s="91" t="s">
        <v>11</v>
      </c>
      <c r="C35" s="76" t="s">
        <v>33</v>
      </c>
      <c r="D35" s="116" t="s">
        <v>29</v>
      </c>
      <c r="E35" s="31"/>
      <c r="F35" s="2">
        <v>2155212</v>
      </c>
      <c r="G35" s="30"/>
      <c r="I35" s="13"/>
      <c r="J35" s="13"/>
    </row>
    <row r="36" spans="1:14" s="2" customFormat="1" ht="12.75" customHeight="1" x14ac:dyDescent="0.2">
      <c r="A36" s="89">
        <v>45023</v>
      </c>
      <c r="B36" s="91" t="s">
        <v>11</v>
      </c>
      <c r="C36" s="76" t="s">
        <v>654</v>
      </c>
      <c r="D36" s="116" t="s">
        <v>29</v>
      </c>
      <c r="E36" s="31"/>
      <c r="F36" s="2">
        <v>100000</v>
      </c>
      <c r="G36" s="30"/>
      <c r="I36" s="13"/>
      <c r="J36" s="13"/>
    </row>
    <row r="37" spans="1:14" s="2" customFormat="1" ht="12.75" customHeight="1" x14ac:dyDescent="0.2">
      <c r="A37" s="89">
        <v>45023</v>
      </c>
      <c r="B37" s="91" t="s">
        <v>11</v>
      </c>
      <c r="C37" s="76" t="s">
        <v>821</v>
      </c>
      <c r="D37" s="116" t="s">
        <v>29</v>
      </c>
      <c r="E37" s="31"/>
      <c r="F37" s="2">
        <v>7380</v>
      </c>
      <c r="G37" s="30"/>
      <c r="I37" s="13"/>
      <c r="J37" s="13"/>
    </row>
    <row r="38" spans="1:14" s="2" customFormat="1" ht="12.75" customHeight="1" x14ac:dyDescent="0.2">
      <c r="A38" s="89">
        <v>45023</v>
      </c>
      <c r="B38" s="91" t="s">
        <v>11</v>
      </c>
      <c r="C38" s="76" t="s">
        <v>823</v>
      </c>
      <c r="D38" s="116" t="s">
        <v>29</v>
      </c>
      <c r="E38" s="31"/>
      <c r="F38" s="2">
        <v>7234</v>
      </c>
      <c r="G38" s="30"/>
      <c r="I38" s="13"/>
      <c r="J38" s="99" t="s">
        <v>601</v>
      </c>
      <c r="K38" s="99" t="s">
        <v>779</v>
      </c>
    </row>
    <row r="39" spans="1:14" s="2" customFormat="1" ht="12.75" customHeight="1" x14ac:dyDescent="0.25">
      <c r="A39" s="32"/>
      <c r="B39" s="33"/>
      <c r="C39" s="14"/>
      <c r="D39" s="34"/>
      <c r="E39" s="16">
        <f>SUM(E12:E38)</f>
        <v>20309100.93</v>
      </c>
      <c r="F39" s="16">
        <f>SUM(F12:F38)</f>
        <v>376372748.90000021</v>
      </c>
      <c r="G39" s="30"/>
      <c r="H39" s="1"/>
      <c r="I39" s="39">
        <v>360973409.97000003</v>
      </c>
      <c r="J39" s="2">
        <f>1972203+1220426+1321352</f>
        <v>4513981</v>
      </c>
      <c r="K39" s="92">
        <f>E40-I39</f>
        <v>-4909761.9999998212</v>
      </c>
      <c r="L39" s="41"/>
      <c r="M39" s="42">
        <f>K39+J39</f>
        <v>-395780.99999982119</v>
      </c>
      <c r="N39" s="1"/>
    </row>
    <row r="40" spans="1:14" s="2" customFormat="1" x14ac:dyDescent="0.2">
      <c r="A40" s="36"/>
      <c r="B40" s="28" t="s">
        <v>11</v>
      </c>
      <c r="C40" s="19" t="s">
        <v>65</v>
      </c>
      <c r="D40" s="37"/>
      <c r="E40" s="38">
        <f>F39-E39</f>
        <v>356063647.97000021</v>
      </c>
      <c r="F40" s="22"/>
      <c r="G40" s="1"/>
      <c r="H40" s="1"/>
      <c r="J40" s="1"/>
      <c r="K40" s="1"/>
      <c r="L40" s="1"/>
      <c r="M40" s="1"/>
      <c r="N40" s="1"/>
    </row>
    <row r="41" spans="1:14" x14ac:dyDescent="0.2">
      <c r="A41" s="36"/>
      <c r="B41" s="28" t="s">
        <v>66</v>
      </c>
      <c r="C41" s="43" t="s">
        <v>67</v>
      </c>
      <c r="D41" s="43"/>
      <c r="E41" s="12">
        <v>0</v>
      </c>
      <c r="F41" s="22"/>
      <c r="H41" s="40"/>
      <c r="I41" s="45">
        <v>563.04999999999995</v>
      </c>
      <c r="J41" s="46"/>
      <c r="K41" s="46"/>
      <c r="L41" s="13"/>
      <c r="M41" s="2"/>
      <c r="N41" s="2"/>
    </row>
    <row r="42" spans="1:14" ht="15" x14ac:dyDescent="0.25">
      <c r="A42" s="36"/>
      <c r="B42" s="28"/>
      <c r="C42" s="44" t="s">
        <v>68</v>
      </c>
      <c r="D42" s="43"/>
      <c r="E42" s="7">
        <f>E40+E41</f>
        <v>356063647.97000021</v>
      </c>
      <c r="F42" s="22"/>
      <c r="H42" s="103" t="s">
        <v>69</v>
      </c>
      <c r="I42" s="45">
        <v>-8.4</v>
      </c>
      <c r="J42" s="46"/>
      <c r="K42" s="46"/>
      <c r="L42" s="2"/>
      <c r="M42" s="2"/>
      <c r="N42" s="2"/>
    </row>
    <row r="43" spans="1:14" s="2" customFormat="1" x14ac:dyDescent="0.2">
      <c r="A43" s="24"/>
      <c r="B43" s="1"/>
      <c r="C43" s="14"/>
      <c r="D43" s="25"/>
      <c r="E43" s="1"/>
      <c r="H43" s="35" t="s">
        <v>70</v>
      </c>
      <c r="I43" s="45">
        <v>0</v>
      </c>
      <c r="J43" s="46">
        <f>+I44-D46</f>
        <v>0</v>
      </c>
      <c r="M43" s="2">
        <v>19.57</v>
      </c>
      <c r="N43" s="2" t="s">
        <v>535</v>
      </c>
    </row>
    <row r="44" spans="1:14" s="2" customFormat="1" x14ac:dyDescent="0.2">
      <c r="A44" s="24"/>
      <c r="B44" s="1"/>
      <c r="C44" s="56"/>
      <c r="D44" s="56"/>
      <c r="E44" s="104"/>
      <c r="G44" s="1"/>
      <c r="I44" s="49">
        <f>SUM(I41:I43)</f>
        <v>554.65</v>
      </c>
      <c r="J44" s="46"/>
      <c r="K44" s="46"/>
    </row>
    <row r="45" spans="1:14" s="2" customFormat="1" x14ac:dyDescent="0.2">
      <c r="A45" s="24"/>
      <c r="B45" s="1"/>
      <c r="C45" s="78" t="s">
        <v>575</v>
      </c>
      <c r="D45" s="48" t="s">
        <v>576</v>
      </c>
      <c r="E45" s="104"/>
      <c r="G45" s="1"/>
    </row>
    <row r="46" spans="1:14" s="2" customFormat="1" x14ac:dyDescent="0.2">
      <c r="A46" s="24"/>
      <c r="B46" s="1"/>
      <c r="C46" s="47" t="s">
        <v>570</v>
      </c>
      <c r="D46" s="111">
        <v>554.65</v>
      </c>
      <c r="E46" s="104"/>
      <c r="G46" s="1"/>
      <c r="H46" s="110" t="s">
        <v>581</v>
      </c>
    </row>
    <row r="47" spans="1:14" s="2" customFormat="1" x14ac:dyDescent="0.2">
      <c r="A47" s="24"/>
      <c r="B47" s="1"/>
      <c r="C47" s="47" t="s">
        <v>571</v>
      </c>
      <c r="D47" s="111">
        <v>0</v>
      </c>
      <c r="E47" s="104"/>
      <c r="G47" s="1"/>
      <c r="H47" s="110" t="s">
        <v>580</v>
      </c>
    </row>
    <row r="48" spans="1:14" s="2" customFormat="1" x14ac:dyDescent="0.2">
      <c r="A48" s="24"/>
      <c r="B48" s="1"/>
      <c r="C48" s="47" t="s">
        <v>572</v>
      </c>
      <c r="D48" s="111">
        <f>+D68/100000</f>
        <v>35.162520000000001</v>
      </c>
      <c r="E48" s="104"/>
      <c r="G48" s="1"/>
      <c r="H48" s="90" t="s">
        <v>587</v>
      </c>
    </row>
    <row r="49" spans="1:13" s="2" customFormat="1" x14ac:dyDescent="0.2">
      <c r="A49" s="24"/>
      <c r="B49" s="1"/>
      <c r="C49" s="108" t="s">
        <v>578</v>
      </c>
      <c r="D49" s="48">
        <f>SUM(D46:D48)</f>
        <v>589.81251999999995</v>
      </c>
      <c r="E49" s="104"/>
      <c r="G49" s="1"/>
    </row>
    <row r="50" spans="1:13" s="2" customFormat="1" x14ac:dyDescent="0.2">
      <c r="A50" s="24"/>
      <c r="B50" s="1"/>
      <c r="C50" s="47"/>
      <c r="D50" s="107"/>
      <c r="E50" s="104"/>
      <c r="G50" s="1"/>
    </row>
    <row r="51" spans="1:13" s="2" customFormat="1" x14ac:dyDescent="0.2">
      <c r="A51" s="24"/>
      <c r="B51" s="1"/>
      <c r="C51" s="47" t="s">
        <v>573</v>
      </c>
      <c r="D51" s="111">
        <v>0</v>
      </c>
      <c r="E51" s="104"/>
      <c r="G51" s="1"/>
      <c r="H51" s="110" t="s">
        <v>581</v>
      </c>
    </row>
    <row r="52" spans="1:13" s="2" customFormat="1" x14ac:dyDescent="0.2">
      <c r="A52" s="24"/>
      <c r="B52" s="1"/>
      <c r="C52" s="47" t="s">
        <v>574</v>
      </c>
      <c r="D52" s="111">
        <v>195.78</v>
      </c>
      <c r="E52" s="104"/>
      <c r="G52" s="1"/>
      <c r="H52" s="110" t="s">
        <v>581</v>
      </c>
      <c r="J52" s="114" t="s">
        <v>713</v>
      </c>
    </row>
    <row r="53" spans="1:13" s="2" customFormat="1" x14ac:dyDescent="0.2">
      <c r="A53" s="24"/>
      <c r="B53" s="1"/>
      <c r="C53" s="78" t="s">
        <v>579</v>
      </c>
      <c r="D53" s="109">
        <f>D51+D52</f>
        <v>195.78</v>
      </c>
      <c r="E53" s="104"/>
      <c r="G53" s="1"/>
      <c r="I53" s="113"/>
      <c r="J53" s="113" t="s">
        <v>709</v>
      </c>
      <c r="K53" s="113" t="s">
        <v>710</v>
      </c>
      <c r="L53" s="113" t="s">
        <v>711</v>
      </c>
      <c r="M53" s="113" t="s">
        <v>712</v>
      </c>
    </row>
    <row r="54" spans="1:13" s="2" customFormat="1" x14ac:dyDescent="0.2">
      <c r="A54" s="24"/>
      <c r="B54" s="1"/>
      <c r="C54" s="105"/>
      <c r="D54" s="106"/>
      <c r="E54" s="104"/>
      <c r="G54" s="1"/>
      <c r="I54" s="113" t="s">
        <v>706</v>
      </c>
      <c r="J54" s="115"/>
      <c r="K54" s="115">
        <v>968.99</v>
      </c>
      <c r="L54" s="115">
        <v>968.99</v>
      </c>
      <c r="M54" s="113">
        <f>+J54+L54-K54</f>
        <v>0</v>
      </c>
    </row>
    <row r="55" spans="1:13" s="2" customFormat="1" x14ac:dyDescent="0.2">
      <c r="A55" s="24"/>
      <c r="B55" s="1"/>
      <c r="C55" s="78" t="s">
        <v>577</v>
      </c>
      <c r="D55" s="109">
        <f>D46+D53</f>
        <v>750.43</v>
      </c>
      <c r="E55" s="104"/>
      <c r="G55" s="1"/>
      <c r="I55" s="113" t="s">
        <v>707</v>
      </c>
      <c r="J55" s="115">
        <v>183.1</v>
      </c>
      <c r="K55" s="115">
        <v>1441.54</v>
      </c>
      <c r="L55" s="115">
        <v>1915.21</v>
      </c>
      <c r="M55" s="113">
        <f>+J55+L55-K55</f>
        <v>656.77</v>
      </c>
    </row>
    <row r="56" spans="1:13" s="2" customFormat="1" x14ac:dyDescent="0.2">
      <c r="A56" s="24"/>
      <c r="B56" s="1"/>
      <c r="C56" s="56"/>
      <c r="D56" s="56"/>
      <c r="E56" s="104"/>
      <c r="G56" s="1"/>
      <c r="I56" s="113" t="s">
        <v>708</v>
      </c>
      <c r="J56" s="115">
        <v>1371.02</v>
      </c>
      <c r="K56" s="115">
        <v>9974.67</v>
      </c>
      <c r="L56" s="115">
        <v>10489.07</v>
      </c>
      <c r="M56" s="113">
        <f>+J56+L56-K56</f>
        <v>1885.42</v>
      </c>
    </row>
    <row r="57" spans="1:13" s="2" customFormat="1" ht="38.25" x14ac:dyDescent="0.2">
      <c r="A57" s="24"/>
      <c r="B57" s="1"/>
      <c r="C57" s="79" t="str">
        <f>"Particulars ( 01-04-2021 to "&amp;TEXT(A5,"dd-mm-yyyy")&amp;" )"</f>
        <v>Particulars ( 01-04-2021 to 07-04-2023 )</v>
      </c>
      <c r="D57" s="80" t="s">
        <v>73</v>
      </c>
      <c r="E57" s="80" t="s">
        <v>74</v>
      </c>
      <c r="F57" s="81" t="s">
        <v>75</v>
      </c>
      <c r="G57" s="80" t="s">
        <v>76</v>
      </c>
      <c r="J57" s="118">
        <f>SUM(J54:J56)</f>
        <v>1554.12</v>
      </c>
      <c r="K57" s="118">
        <f>SUM(K54:K56)</f>
        <v>12385.2</v>
      </c>
      <c r="L57" s="118">
        <f>SUM(L54:L56)</f>
        <v>13373.27</v>
      </c>
      <c r="M57" s="118">
        <f>SUM(M54:M56)</f>
        <v>2542.19</v>
      </c>
    </row>
    <row r="58" spans="1:13" s="2" customFormat="1" x14ac:dyDescent="0.2">
      <c r="A58" s="24"/>
      <c r="B58" s="1"/>
      <c r="C58" s="50" t="s">
        <v>444</v>
      </c>
      <c r="D58" s="55">
        <f>+L54+L55+J55</f>
        <v>3067.2999999999997</v>
      </c>
      <c r="E58" s="55">
        <f>+K54+K55</f>
        <v>2410.5299999999997</v>
      </c>
      <c r="F58" s="55">
        <f>+D58-E58</f>
        <v>656.77</v>
      </c>
      <c r="G58" s="55">
        <f>1500-F58</f>
        <v>843.23</v>
      </c>
      <c r="H58" s="2" t="s">
        <v>396</v>
      </c>
    </row>
    <row r="59" spans="1:13" s="2" customFormat="1" x14ac:dyDescent="0.2">
      <c r="A59" s="24"/>
      <c r="B59" s="1"/>
      <c r="C59" s="50" t="s">
        <v>71</v>
      </c>
      <c r="D59" s="55">
        <f>+J56+L56</f>
        <v>11860.09</v>
      </c>
      <c r="E59" s="55">
        <f>+K56</f>
        <v>9974.67</v>
      </c>
      <c r="F59" s="55">
        <f>+D59-E59</f>
        <v>1885.42</v>
      </c>
      <c r="G59" s="55">
        <f>1500+700-F59</f>
        <v>314.57999999999993</v>
      </c>
      <c r="H59" s="2" t="s">
        <v>396</v>
      </c>
    </row>
    <row r="60" spans="1:13" s="2" customFormat="1" x14ac:dyDescent="0.2">
      <c r="A60" s="24"/>
      <c r="B60" s="1"/>
      <c r="C60" s="14"/>
      <c r="D60" s="56"/>
      <c r="E60" s="13"/>
      <c r="G60" s="1"/>
    </row>
    <row r="61" spans="1:13" s="2" customFormat="1" x14ac:dyDescent="0.2">
      <c r="A61" s="215" t="s">
        <v>80</v>
      </c>
      <c r="B61" s="216"/>
      <c r="C61" s="216"/>
      <c r="D61" s="217"/>
      <c r="E61" s="69"/>
      <c r="F61" s="70"/>
      <c r="G61" s="1"/>
      <c r="H61" s="53"/>
    </row>
    <row r="62" spans="1:13" s="2" customFormat="1" x14ac:dyDescent="0.2">
      <c r="A62" s="71" t="s">
        <v>81</v>
      </c>
      <c r="B62" s="71"/>
      <c r="C62" s="72" t="s">
        <v>82</v>
      </c>
      <c r="D62" s="73" t="s">
        <v>83</v>
      </c>
      <c r="E62" s="69"/>
      <c r="F62" s="70"/>
      <c r="H62" s="53"/>
    </row>
    <row r="63" spans="1:13" s="2" customFormat="1" x14ac:dyDescent="0.2">
      <c r="A63" s="87">
        <v>45020</v>
      </c>
      <c r="B63" s="91" t="s">
        <v>6</v>
      </c>
      <c r="C63" s="75" t="s">
        <v>271</v>
      </c>
      <c r="D63" s="88">
        <v>584074</v>
      </c>
      <c r="G63" s="1"/>
      <c r="L63" s="1"/>
      <c r="M63" s="1"/>
    </row>
    <row r="64" spans="1:13" s="2" customFormat="1" x14ac:dyDescent="0.2">
      <c r="A64" s="87">
        <v>45022</v>
      </c>
      <c r="B64" s="91" t="s">
        <v>6</v>
      </c>
      <c r="C64" s="75" t="s">
        <v>784</v>
      </c>
      <c r="D64" s="88">
        <v>283512</v>
      </c>
      <c r="G64" s="1"/>
      <c r="L64" s="1"/>
      <c r="M64" s="1"/>
    </row>
    <row r="65" spans="1:13" s="2" customFormat="1" x14ac:dyDescent="0.2">
      <c r="A65" s="87">
        <v>45022</v>
      </c>
      <c r="B65" s="91" t="s">
        <v>6</v>
      </c>
      <c r="C65" s="75" t="s">
        <v>84</v>
      </c>
      <c r="D65" s="88">
        <v>2500000</v>
      </c>
      <c r="G65" s="1"/>
      <c r="L65" s="1"/>
      <c r="M65" s="1"/>
    </row>
    <row r="66" spans="1:13" s="2" customFormat="1" x14ac:dyDescent="0.2">
      <c r="A66" s="87">
        <v>45023</v>
      </c>
      <c r="B66" s="91" t="s">
        <v>6</v>
      </c>
      <c r="C66" s="75" t="s">
        <v>270</v>
      </c>
      <c r="D66" s="88">
        <v>33748</v>
      </c>
      <c r="G66" s="1"/>
      <c r="L66" s="1"/>
      <c r="M66" s="1"/>
    </row>
    <row r="67" spans="1:13" s="2" customFormat="1" x14ac:dyDescent="0.2">
      <c r="A67" s="87">
        <v>45023</v>
      </c>
      <c r="B67" s="91" t="s">
        <v>6</v>
      </c>
      <c r="C67" s="75" t="s">
        <v>270</v>
      </c>
      <c r="D67" s="88">
        <v>114918</v>
      </c>
      <c r="G67" s="1"/>
      <c r="L67" s="1"/>
      <c r="M67" s="1"/>
    </row>
    <row r="68" spans="1:13" s="2" customFormat="1" x14ac:dyDescent="0.2">
      <c r="A68" s="87"/>
      <c r="B68" s="74"/>
      <c r="C68" s="75"/>
      <c r="D68" s="51">
        <f>SUM(D63:D67)</f>
        <v>3516252</v>
      </c>
      <c r="F68" s="2" t="s">
        <v>396</v>
      </c>
      <c r="G68" s="1"/>
      <c r="I68" s="1"/>
      <c r="J68" s="1"/>
      <c r="K68" s="1"/>
      <c r="L68" s="1"/>
      <c r="M68" s="1"/>
    </row>
    <row r="69" spans="1:13" s="2" customFormat="1" x14ac:dyDescent="0.2">
      <c r="A69" s="8"/>
      <c r="B69" s="93"/>
      <c r="C69" s="76"/>
      <c r="D69" s="56"/>
      <c r="G69" s="1"/>
      <c r="I69" s="1"/>
      <c r="J69" s="1"/>
      <c r="K69" s="1"/>
      <c r="L69" s="1"/>
      <c r="M69" s="1"/>
    </row>
    <row r="70" spans="1:13" s="2" customFormat="1" x14ac:dyDescent="0.2">
      <c r="A70" s="24"/>
      <c r="B70" s="1"/>
      <c r="C70" s="218" t="s">
        <v>77</v>
      </c>
      <c r="D70" s="219"/>
      <c r="E70" s="219"/>
      <c r="F70" s="220"/>
      <c r="G70" s="54"/>
      <c r="I70" s="1"/>
      <c r="J70" s="1"/>
      <c r="K70" s="1"/>
      <c r="L70" s="1"/>
      <c r="M70" s="1"/>
    </row>
    <row r="71" spans="1:13" s="2" customFormat="1" x14ac:dyDescent="0.2">
      <c r="A71" s="24"/>
      <c r="B71" s="1"/>
      <c r="C71" s="50"/>
      <c r="D71" s="57" t="s">
        <v>78</v>
      </c>
      <c r="E71" s="58" t="s">
        <v>79</v>
      </c>
      <c r="F71" s="57" t="s">
        <v>72</v>
      </c>
      <c r="G71" s="54"/>
      <c r="I71" s="1"/>
      <c r="J71" s="1"/>
      <c r="K71" s="1"/>
      <c r="L71" s="1"/>
      <c r="M71" s="1"/>
    </row>
    <row r="72" spans="1:13" s="2" customFormat="1" x14ac:dyDescent="0.2">
      <c r="A72" s="24"/>
      <c r="B72" s="1"/>
      <c r="C72" s="59" t="str">
        <f>"01-04-2023 to "&amp;TEXT(A5-2,"dd-mm-yyyy")</f>
        <v>01-04-2023 to 05-04-2023</v>
      </c>
      <c r="D72" s="60">
        <v>1062.57</v>
      </c>
      <c r="E72" s="60">
        <v>88.83</v>
      </c>
      <c r="F72" s="61">
        <f>SUM(D72:E72)</f>
        <v>1151.3999999999999</v>
      </c>
      <c r="G72" s="54"/>
      <c r="I72" s="1"/>
      <c r="J72" s="1"/>
      <c r="K72" s="1"/>
      <c r="L72" s="1"/>
      <c r="M72" s="1"/>
    </row>
    <row r="73" spans="1:13" s="2" customFormat="1" x14ac:dyDescent="0.2">
      <c r="A73" s="24"/>
      <c r="B73" s="1"/>
      <c r="C73" s="62" t="str">
        <f>TEXT(A5-1,"dd-mm-yyyy")</f>
        <v>06-04-2023</v>
      </c>
      <c r="D73" s="60">
        <v>121.71</v>
      </c>
      <c r="E73" s="60">
        <v>22.54</v>
      </c>
      <c r="F73" s="61">
        <f>SUM(D73:E73)</f>
        <v>144.25</v>
      </c>
      <c r="G73" s="54"/>
      <c r="I73" s="1"/>
      <c r="J73" s="1"/>
      <c r="K73" s="1"/>
      <c r="L73" s="1"/>
      <c r="M73" s="1"/>
    </row>
    <row r="74" spans="1:13" ht="13.5" thickBot="1" x14ac:dyDescent="0.25">
      <c r="C74" s="63" t="str">
        <f>"01-04-2023 to "&amp;TEXT(A5-1,"dd-mm-yyyy")</f>
        <v>01-04-2023 to 06-04-2023</v>
      </c>
      <c r="D74" s="64">
        <f>SUM(D72:D73)</f>
        <v>1184.28</v>
      </c>
      <c r="E74" s="64">
        <f>SUM(E72:E73)</f>
        <v>111.37</v>
      </c>
      <c r="F74" s="64">
        <f>SUM(F72:F73)</f>
        <v>1295.6499999999999</v>
      </c>
      <c r="G74" s="54"/>
    </row>
    <row r="75" spans="1:13" s="2" customFormat="1" ht="13.5" thickTop="1" x14ac:dyDescent="0.2">
      <c r="A75" s="24"/>
      <c r="B75" s="1"/>
      <c r="C75" s="62"/>
      <c r="D75" s="65"/>
      <c r="E75" s="66"/>
      <c r="F75" s="67"/>
      <c r="G75" s="54"/>
      <c r="H75" s="53"/>
    </row>
    <row r="76" spans="1:13" x14ac:dyDescent="0.2">
      <c r="C76" s="62" t="str">
        <f>"01-04-2023 to " &amp;C73</f>
        <v>01-04-2023 to 06-04-2023</v>
      </c>
      <c r="D76" s="68">
        <f>+D74</f>
        <v>1184.28</v>
      </c>
      <c r="E76" s="68">
        <f>+E74</f>
        <v>111.37</v>
      </c>
      <c r="F76" s="68">
        <f>+F74</f>
        <v>1295.6499999999999</v>
      </c>
      <c r="G76" s="54"/>
      <c r="H76" s="53" t="s">
        <v>396</v>
      </c>
    </row>
    <row r="77" spans="1:13" x14ac:dyDescent="0.2">
      <c r="C77" s="52"/>
      <c r="D77" s="85"/>
      <c r="E77" s="53"/>
      <c r="F77" s="53"/>
      <c r="G77" s="54"/>
      <c r="H77" s="53" t="s">
        <v>396</v>
      </c>
      <c r="J77" s="42"/>
    </row>
    <row r="78" spans="1:13" x14ac:dyDescent="0.2">
      <c r="C78" s="52"/>
      <c r="D78" s="85"/>
      <c r="E78" s="53"/>
      <c r="F78" s="53"/>
      <c r="G78" s="54"/>
      <c r="H78" s="53"/>
      <c r="I78" s="101"/>
    </row>
    <row r="79" spans="1:13" x14ac:dyDescent="0.2">
      <c r="C79" s="52"/>
      <c r="D79" s="85"/>
      <c r="E79" s="53"/>
      <c r="F79" s="53"/>
      <c r="G79" s="54"/>
      <c r="H79" s="53"/>
    </row>
    <row r="80" spans="1:13" x14ac:dyDescent="0.2">
      <c r="C80" s="52"/>
      <c r="D80" s="85"/>
      <c r="E80" s="53"/>
      <c r="F80" s="53"/>
      <c r="G80" s="54"/>
      <c r="H80" s="53"/>
    </row>
    <row r="81" spans="8:8" x14ac:dyDescent="0.2">
      <c r="H81" s="53"/>
    </row>
  </sheetData>
  <mergeCells count="5">
    <mergeCell ref="A1:G1"/>
    <mergeCell ref="A3:F3"/>
    <mergeCell ref="A10:F10"/>
    <mergeCell ref="A61:D61"/>
    <mergeCell ref="C70:F70"/>
  </mergeCells>
  <conditionalFormatting sqref="G58:G59">
    <cfRule type="cellIs" dxfId="655" priority="1" operator="lessThan">
      <formula>0</formula>
    </cfRule>
  </conditionalFormatting>
  <conditionalFormatting sqref="C12">
    <cfRule type="duplicateValues" dxfId="654" priority="2"/>
  </conditionalFormatting>
  <conditionalFormatting sqref="C13:C33">
    <cfRule type="duplicateValues" dxfId="653" priority="425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01">
    <pageSetUpPr fitToPage="1"/>
  </sheetPr>
  <dimension ref="A1:N65"/>
  <sheetViews>
    <sheetView topLeftCell="A9" zoomScaleNormal="100" workbookViewId="0">
      <selection activeCell="H27" sqref="H27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49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854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2.75" customHeight="1" x14ac:dyDescent="0.4">
      <c r="A5" s="89">
        <v>45024</v>
      </c>
      <c r="B5" s="9" t="s">
        <v>6</v>
      </c>
      <c r="C5" s="10" t="s">
        <v>7</v>
      </c>
      <c r="D5" s="11"/>
      <c r="E5" s="12">
        <v>557118.69999999879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557118.69999999879</v>
      </c>
      <c r="F6" s="16">
        <f>SUM(F5:F5)</f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E6-F6</f>
        <v>557118.69999999879</v>
      </c>
      <c r="F7" s="22"/>
      <c r="G7" s="23"/>
      <c r="H7" s="112"/>
      <c r="I7" s="112"/>
      <c r="J7" s="13"/>
    </row>
    <row r="8" spans="1:10" s="2" customFormat="1" ht="12.75" customHeight="1" x14ac:dyDescent="0.4">
      <c r="A8" s="24"/>
      <c r="B8" s="1"/>
      <c r="C8" s="14"/>
      <c r="D8" s="25"/>
      <c r="G8" s="23"/>
      <c r="H8" s="112"/>
      <c r="I8" s="112"/>
      <c r="J8" s="13"/>
    </row>
    <row r="9" spans="1:10" s="2" customFormat="1" ht="21.75" customHeight="1" x14ac:dyDescent="0.4">
      <c r="A9" s="214" t="s">
        <v>10</v>
      </c>
      <c r="B9" s="214"/>
      <c r="C9" s="214"/>
      <c r="D9" s="214"/>
      <c r="E9" s="214"/>
      <c r="F9" s="214"/>
      <c r="G9" s="13"/>
      <c r="H9" s="112"/>
      <c r="I9" s="112"/>
      <c r="J9" s="13"/>
    </row>
    <row r="10" spans="1:10" s="2" customFormat="1" ht="12.75" customHeight="1" x14ac:dyDescent="0.4">
      <c r="A10" s="26" t="s">
        <v>1</v>
      </c>
      <c r="B10" s="27" t="s">
        <v>2</v>
      </c>
      <c r="C10" s="5"/>
      <c r="D10" s="6" t="s">
        <v>3</v>
      </c>
      <c r="E10" s="7" t="s">
        <v>4</v>
      </c>
      <c r="F10" s="7" t="s">
        <v>5</v>
      </c>
      <c r="G10" s="23"/>
      <c r="H10" s="112"/>
      <c r="I10" s="112"/>
      <c r="J10" s="13"/>
    </row>
    <row r="11" spans="1:10" s="2" customFormat="1" ht="12.75" customHeight="1" x14ac:dyDescent="0.2">
      <c r="A11" s="89">
        <v>45024</v>
      </c>
      <c r="B11" s="91" t="s">
        <v>11</v>
      </c>
      <c r="C11" s="29" t="s">
        <v>7</v>
      </c>
      <c r="D11" s="25"/>
      <c r="E11" s="31"/>
      <c r="F11" s="2">
        <v>356063647.97000021</v>
      </c>
      <c r="G11" s="30"/>
      <c r="I11" s="13"/>
      <c r="J11" s="13"/>
    </row>
    <row r="12" spans="1:10" s="2" customFormat="1" ht="12.75" customHeight="1" x14ac:dyDescent="0.2">
      <c r="A12" s="89">
        <v>45024</v>
      </c>
      <c r="B12" s="91" t="s">
        <v>6</v>
      </c>
      <c r="C12" s="76" t="s">
        <v>364</v>
      </c>
      <c r="D12" s="116" t="s">
        <v>13</v>
      </c>
      <c r="E12" s="31">
        <v>1113283</v>
      </c>
      <c r="G12" s="30"/>
      <c r="I12" s="13"/>
      <c r="J12" s="13"/>
    </row>
    <row r="13" spans="1:10" s="2" customFormat="1" ht="12.75" customHeight="1" x14ac:dyDescent="0.2">
      <c r="A13" s="89">
        <v>45024</v>
      </c>
      <c r="B13" s="91" t="s">
        <v>6</v>
      </c>
      <c r="C13" s="76" t="s">
        <v>421</v>
      </c>
      <c r="D13" s="116" t="s">
        <v>13</v>
      </c>
      <c r="E13" s="31">
        <v>400000</v>
      </c>
      <c r="G13" s="30"/>
      <c r="I13" s="13"/>
      <c r="J13" s="13"/>
    </row>
    <row r="14" spans="1:10" s="2" customFormat="1" ht="12.75" customHeight="1" x14ac:dyDescent="0.2">
      <c r="A14" s="89">
        <v>45024</v>
      </c>
      <c r="B14" s="91" t="s">
        <v>6</v>
      </c>
      <c r="C14" s="76" t="s">
        <v>179</v>
      </c>
      <c r="D14" s="116" t="s">
        <v>13</v>
      </c>
      <c r="E14" s="31">
        <v>150000</v>
      </c>
      <c r="G14" s="30"/>
      <c r="I14" s="13"/>
      <c r="J14" s="13"/>
    </row>
    <row r="15" spans="1:10" s="2" customFormat="1" ht="12.75" customHeight="1" x14ac:dyDescent="0.2">
      <c r="A15" s="89">
        <v>45024</v>
      </c>
      <c r="B15" s="91" t="s">
        <v>11</v>
      </c>
      <c r="C15" s="76" t="s">
        <v>64</v>
      </c>
      <c r="D15" s="116" t="s">
        <v>29</v>
      </c>
      <c r="E15" s="31"/>
      <c r="F15" s="2">
        <v>14.16</v>
      </c>
      <c r="G15" s="30"/>
      <c r="I15" s="13"/>
      <c r="J15" s="13"/>
    </row>
    <row r="16" spans="1:10" s="2" customFormat="1" ht="12.75" customHeight="1" x14ac:dyDescent="0.2">
      <c r="A16" s="89">
        <v>45024</v>
      </c>
      <c r="B16" s="91" t="s">
        <v>11</v>
      </c>
      <c r="C16" s="76" t="s">
        <v>111</v>
      </c>
      <c r="D16" s="116" t="s">
        <v>29</v>
      </c>
      <c r="E16" s="31"/>
      <c r="F16" s="2">
        <v>1400043.54</v>
      </c>
      <c r="G16" s="30"/>
      <c r="I16" s="13"/>
      <c r="J16" s="13"/>
    </row>
    <row r="17" spans="1:14" s="2" customFormat="1" ht="12.75" customHeight="1" x14ac:dyDescent="0.2">
      <c r="A17" s="89">
        <v>45024</v>
      </c>
      <c r="B17" s="91" t="s">
        <v>11</v>
      </c>
      <c r="C17" s="76" t="s">
        <v>855</v>
      </c>
      <c r="D17" s="116" t="s">
        <v>29</v>
      </c>
      <c r="E17" s="31"/>
      <c r="F17" s="2">
        <v>12600</v>
      </c>
      <c r="G17" s="30"/>
      <c r="I17" s="13"/>
      <c r="J17" s="13"/>
    </row>
    <row r="18" spans="1:14" s="2" customFormat="1" ht="12.75" customHeight="1" x14ac:dyDescent="0.2">
      <c r="A18" s="89">
        <v>45024</v>
      </c>
      <c r="B18" s="91" t="s">
        <v>11</v>
      </c>
      <c r="C18" s="76" t="s">
        <v>212</v>
      </c>
      <c r="D18" s="116" t="s">
        <v>29</v>
      </c>
      <c r="E18" s="31"/>
      <c r="F18" s="2">
        <v>2507</v>
      </c>
      <c r="G18" s="30"/>
      <c r="I18" s="13"/>
      <c r="J18" s="13"/>
    </row>
    <row r="19" spans="1:14" s="2" customFormat="1" ht="12.75" customHeight="1" x14ac:dyDescent="0.2">
      <c r="A19" s="89">
        <v>45024</v>
      </c>
      <c r="B19" s="91" t="s">
        <v>11</v>
      </c>
      <c r="C19" s="76" t="s">
        <v>125</v>
      </c>
      <c r="D19" s="116" t="s">
        <v>29</v>
      </c>
      <c r="E19" s="31"/>
      <c r="F19" s="2">
        <v>1111818</v>
      </c>
      <c r="G19" s="30"/>
      <c r="I19" s="13"/>
      <c r="J19" s="13"/>
    </row>
    <row r="20" spans="1:14" s="2" customFormat="1" ht="12.75" customHeight="1" x14ac:dyDescent="0.2">
      <c r="A20" s="89">
        <v>45024</v>
      </c>
      <c r="B20" s="91" t="s">
        <v>11</v>
      </c>
      <c r="C20" s="76" t="s">
        <v>533</v>
      </c>
      <c r="D20" s="116" t="s">
        <v>29</v>
      </c>
      <c r="E20" s="31"/>
      <c r="F20" s="2">
        <v>61357</v>
      </c>
      <c r="G20" s="30"/>
      <c r="I20" s="13"/>
      <c r="J20" s="13"/>
    </row>
    <row r="21" spans="1:14" s="2" customFormat="1" ht="12.75" customHeight="1" x14ac:dyDescent="0.2">
      <c r="A21" s="89">
        <v>45024</v>
      </c>
      <c r="B21" s="91" t="s">
        <v>11</v>
      </c>
      <c r="C21" s="76" t="s">
        <v>109</v>
      </c>
      <c r="D21" s="116" t="s">
        <v>29</v>
      </c>
      <c r="E21" s="31"/>
      <c r="F21" s="2">
        <v>1063146</v>
      </c>
      <c r="G21" s="30"/>
      <c r="I21" s="13"/>
      <c r="J21" s="13"/>
    </row>
    <row r="22" spans="1:14" s="2" customFormat="1" ht="12.75" customHeight="1" x14ac:dyDescent="0.2">
      <c r="A22" s="89">
        <v>45024</v>
      </c>
      <c r="B22" s="91" t="s">
        <v>11</v>
      </c>
      <c r="C22" s="76" t="s">
        <v>680</v>
      </c>
      <c r="D22" s="116" t="s">
        <v>29</v>
      </c>
      <c r="E22" s="31"/>
      <c r="F22" s="2">
        <v>350469</v>
      </c>
      <c r="G22" s="30"/>
      <c r="I22" s="13"/>
      <c r="J22" s="99" t="s">
        <v>601</v>
      </c>
      <c r="K22" s="99" t="s">
        <v>779</v>
      </c>
    </row>
    <row r="23" spans="1:14" s="2" customFormat="1" ht="12.75" customHeight="1" x14ac:dyDescent="0.25">
      <c r="A23" s="32"/>
      <c r="B23" s="33"/>
      <c r="C23" s="14"/>
      <c r="D23" s="34"/>
      <c r="E23" s="16">
        <f>SUM(E11:E22)</f>
        <v>1663283</v>
      </c>
      <c r="F23" s="16">
        <f>SUM(F11:F22)</f>
        <v>360065602.67000026</v>
      </c>
      <c r="G23" s="30"/>
      <c r="H23" s="1"/>
      <c r="I23" s="39">
        <v>366329599.67000002</v>
      </c>
      <c r="J23" s="2">
        <f>1972203+1220426+1321352+3017518</f>
        <v>7531499</v>
      </c>
      <c r="K23" s="92">
        <f>E24-I23</f>
        <v>-7927279.9999997616</v>
      </c>
      <c r="L23" s="41"/>
      <c r="M23" s="42">
        <f>K23+J23</f>
        <v>-395780.99999976158</v>
      </c>
      <c r="N23" s="1"/>
    </row>
    <row r="24" spans="1:14" s="2" customFormat="1" x14ac:dyDescent="0.2">
      <c r="A24" s="36"/>
      <c r="B24" s="28" t="s">
        <v>11</v>
      </c>
      <c r="C24" s="19" t="s">
        <v>65</v>
      </c>
      <c r="D24" s="37"/>
      <c r="E24" s="38">
        <f>F23-E23</f>
        <v>358402319.67000026</v>
      </c>
      <c r="F24" s="22"/>
      <c r="G24" s="1"/>
      <c r="H24" s="1"/>
      <c r="J24" s="1"/>
      <c r="K24" s="1"/>
      <c r="L24" s="1"/>
      <c r="M24" s="1"/>
      <c r="N24" s="1"/>
    </row>
    <row r="25" spans="1:14" x14ac:dyDescent="0.2">
      <c r="A25" s="36"/>
      <c r="B25" s="28" t="s">
        <v>66</v>
      </c>
      <c r="C25" s="43" t="s">
        <v>67</v>
      </c>
      <c r="D25" s="43"/>
      <c r="E25" s="12">
        <v>0</v>
      </c>
      <c r="F25" s="22"/>
      <c r="H25" s="40"/>
      <c r="I25" s="45">
        <v>579.67999999999995</v>
      </c>
      <c r="J25" s="46"/>
      <c r="K25" s="46"/>
      <c r="L25" s="13"/>
      <c r="M25" s="2"/>
      <c r="N25" s="2"/>
    </row>
    <row r="26" spans="1:14" ht="15" x14ac:dyDescent="0.25">
      <c r="A26" s="36"/>
      <c r="B26" s="28"/>
      <c r="C26" s="44" t="s">
        <v>68</v>
      </c>
      <c r="D26" s="43"/>
      <c r="E26" s="7">
        <f>E24+E25</f>
        <v>358402319.67000026</v>
      </c>
      <c r="F26" s="22"/>
      <c r="H26" s="103" t="s">
        <v>69</v>
      </c>
      <c r="I26" s="45">
        <v>-8.4</v>
      </c>
      <c r="J26" s="46"/>
      <c r="K26" s="46"/>
      <c r="L26" s="2"/>
      <c r="M26" s="2"/>
      <c r="N26" s="2"/>
    </row>
    <row r="27" spans="1:14" s="2" customFormat="1" x14ac:dyDescent="0.2">
      <c r="A27" s="24"/>
      <c r="B27" s="1"/>
      <c r="C27" s="14"/>
      <c r="D27" s="25"/>
      <c r="E27" s="1"/>
      <c r="H27" s="35" t="s">
        <v>70</v>
      </c>
      <c r="I27" s="45">
        <v>0</v>
      </c>
      <c r="J27" s="46">
        <f>+I28-D30</f>
        <v>0</v>
      </c>
      <c r="M27" s="2">
        <v>19.57</v>
      </c>
      <c r="N27" s="2" t="s">
        <v>535</v>
      </c>
    </row>
    <row r="28" spans="1:14" s="2" customFormat="1" x14ac:dyDescent="0.2">
      <c r="A28" s="24"/>
      <c r="B28" s="1"/>
      <c r="C28" s="56"/>
      <c r="D28" s="56"/>
      <c r="E28" s="104"/>
      <c r="G28" s="1"/>
      <c r="I28" s="49">
        <f>SUM(I25:I27)</f>
        <v>571.28</v>
      </c>
      <c r="J28" s="46"/>
      <c r="K28" s="46"/>
    </row>
    <row r="29" spans="1:14" s="2" customFormat="1" x14ac:dyDescent="0.2">
      <c r="A29" s="24"/>
      <c r="B29" s="1"/>
      <c r="C29" s="78" t="s">
        <v>575</v>
      </c>
      <c r="D29" s="48" t="s">
        <v>576</v>
      </c>
      <c r="E29" s="104"/>
      <c r="G29" s="1"/>
    </row>
    <row r="30" spans="1:14" s="2" customFormat="1" x14ac:dyDescent="0.2">
      <c r="A30" s="24"/>
      <c r="B30" s="1"/>
      <c r="C30" s="47" t="s">
        <v>570</v>
      </c>
      <c r="D30" s="111">
        <v>571.28</v>
      </c>
      <c r="E30" s="104"/>
      <c r="G30" s="1"/>
      <c r="H30" s="110" t="s">
        <v>581</v>
      </c>
    </row>
    <row r="31" spans="1:14" s="2" customFormat="1" x14ac:dyDescent="0.2">
      <c r="A31" s="24"/>
      <c r="B31" s="1"/>
      <c r="C31" s="47" t="s">
        <v>571</v>
      </c>
      <c r="D31" s="111">
        <v>0</v>
      </c>
      <c r="E31" s="104"/>
      <c r="G31" s="1"/>
      <c r="H31" s="110" t="s">
        <v>580</v>
      </c>
    </row>
    <row r="32" spans="1:14" s="2" customFormat="1" x14ac:dyDescent="0.2">
      <c r="A32" s="24"/>
      <c r="B32" s="1"/>
      <c r="C32" s="47" t="s">
        <v>572</v>
      </c>
      <c r="D32" s="111">
        <f>+D52/100000</f>
        <v>35.162520000000001</v>
      </c>
      <c r="E32" s="104"/>
      <c r="G32" s="1"/>
      <c r="H32" s="90" t="s">
        <v>587</v>
      </c>
    </row>
    <row r="33" spans="1:13" s="2" customFormat="1" x14ac:dyDescent="0.2">
      <c r="A33" s="24"/>
      <c r="B33" s="1"/>
      <c r="C33" s="108" t="s">
        <v>578</v>
      </c>
      <c r="D33" s="48">
        <f>SUM(D30:D32)</f>
        <v>606.44251999999994</v>
      </c>
      <c r="E33" s="104"/>
      <c r="G33" s="1"/>
    </row>
    <row r="34" spans="1:13" s="2" customFormat="1" x14ac:dyDescent="0.2">
      <c r="A34" s="24"/>
      <c r="B34" s="1"/>
      <c r="C34" s="47"/>
      <c r="D34" s="107"/>
      <c r="E34" s="104"/>
      <c r="G34" s="1"/>
    </row>
    <row r="35" spans="1:13" s="2" customFormat="1" x14ac:dyDescent="0.2">
      <c r="A35" s="24"/>
      <c r="B35" s="1"/>
      <c r="C35" s="47" t="s">
        <v>573</v>
      </c>
      <c r="D35" s="111">
        <v>0</v>
      </c>
      <c r="E35" s="104"/>
      <c r="G35" s="1"/>
      <c r="H35" s="110" t="s">
        <v>581</v>
      </c>
    </row>
    <row r="36" spans="1:13" s="2" customFormat="1" x14ac:dyDescent="0.2">
      <c r="A36" s="24"/>
      <c r="B36" s="1"/>
      <c r="C36" s="47" t="s">
        <v>574</v>
      </c>
      <c r="D36" s="111">
        <v>195.78</v>
      </c>
      <c r="E36" s="104"/>
      <c r="G36" s="1"/>
      <c r="H36" s="110" t="s">
        <v>581</v>
      </c>
      <c r="J36" s="114" t="s">
        <v>713</v>
      </c>
    </row>
    <row r="37" spans="1:13" s="2" customFormat="1" x14ac:dyDescent="0.2">
      <c r="A37" s="24"/>
      <c r="B37" s="1"/>
      <c r="C37" s="78" t="s">
        <v>579</v>
      </c>
      <c r="D37" s="109">
        <f>D35+D36</f>
        <v>195.78</v>
      </c>
      <c r="E37" s="104"/>
      <c r="G37" s="1"/>
      <c r="I37" s="113"/>
      <c r="J37" s="113" t="s">
        <v>709</v>
      </c>
      <c r="K37" s="113" t="s">
        <v>710</v>
      </c>
      <c r="L37" s="113" t="s">
        <v>711</v>
      </c>
      <c r="M37" s="113" t="s">
        <v>712</v>
      </c>
    </row>
    <row r="38" spans="1:13" s="2" customFormat="1" x14ac:dyDescent="0.2">
      <c r="A38" s="24"/>
      <c r="B38" s="1"/>
      <c r="C38" s="105"/>
      <c r="D38" s="106"/>
      <c r="E38" s="104"/>
      <c r="G38" s="1"/>
      <c r="I38" s="113" t="s">
        <v>706</v>
      </c>
      <c r="J38" s="115"/>
      <c r="K38" s="115">
        <v>968.99</v>
      </c>
      <c r="L38" s="115">
        <v>968.99</v>
      </c>
      <c r="M38" s="113">
        <f>+J38+L38-K38</f>
        <v>0</v>
      </c>
    </row>
    <row r="39" spans="1:13" s="2" customFormat="1" x14ac:dyDescent="0.2">
      <c r="A39" s="24"/>
      <c r="B39" s="1"/>
      <c r="C39" s="78" t="s">
        <v>577</v>
      </c>
      <c r="D39" s="109">
        <f>D30+D37</f>
        <v>767.06</v>
      </c>
      <c r="E39" s="104"/>
      <c r="G39" s="1"/>
      <c r="I39" s="113" t="s">
        <v>707</v>
      </c>
      <c r="J39" s="115">
        <v>183.1</v>
      </c>
      <c r="K39" s="115">
        <v>1441.54</v>
      </c>
      <c r="L39" s="115">
        <v>1915.21</v>
      </c>
      <c r="M39" s="113">
        <f>+J39+L39-K39</f>
        <v>656.77</v>
      </c>
    </row>
    <row r="40" spans="1:13" s="2" customFormat="1" x14ac:dyDescent="0.2">
      <c r="A40" s="24"/>
      <c r="B40" s="1"/>
      <c r="C40" s="56"/>
      <c r="D40" s="56"/>
      <c r="E40" s="104"/>
      <c r="G40" s="1"/>
      <c r="I40" s="113" t="s">
        <v>708</v>
      </c>
      <c r="J40" s="115">
        <v>1371.02</v>
      </c>
      <c r="K40" s="115">
        <v>9974.67</v>
      </c>
      <c r="L40" s="115">
        <v>10489.07</v>
      </c>
      <c r="M40" s="113">
        <f>+J40+L40-K40</f>
        <v>1885.42</v>
      </c>
    </row>
    <row r="41" spans="1:13" s="2" customFormat="1" ht="38.25" x14ac:dyDescent="0.2">
      <c r="A41" s="24"/>
      <c r="B41" s="1"/>
      <c r="C41" s="79" t="str">
        <f>"Particulars ( 01-04-2021 to "&amp;TEXT(A5,"dd-mm-yyyy")&amp;" )"</f>
        <v>Particulars ( 01-04-2021 to 08-04-2023 )</v>
      </c>
      <c r="D41" s="80" t="s">
        <v>73</v>
      </c>
      <c r="E41" s="80" t="s">
        <v>74</v>
      </c>
      <c r="F41" s="81" t="s">
        <v>75</v>
      </c>
      <c r="G41" s="80" t="s">
        <v>76</v>
      </c>
      <c r="J41" s="118">
        <f>SUM(J38:J40)</f>
        <v>1554.12</v>
      </c>
      <c r="K41" s="118">
        <f>SUM(K38:K40)</f>
        <v>12385.2</v>
      </c>
      <c r="L41" s="118">
        <f>SUM(L38:L40)</f>
        <v>13373.27</v>
      </c>
      <c r="M41" s="118">
        <f>SUM(M38:M40)</f>
        <v>2542.19</v>
      </c>
    </row>
    <row r="42" spans="1:13" s="2" customFormat="1" x14ac:dyDescent="0.2">
      <c r="A42" s="24"/>
      <c r="B42" s="1"/>
      <c r="C42" s="50" t="s">
        <v>444</v>
      </c>
      <c r="D42" s="55">
        <f>+L38+L39+J39</f>
        <v>3067.2999999999997</v>
      </c>
      <c r="E42" s="55">
        <f>+K38+K39</f>
        <v>2410.5299999999997</v>
      </c>
      <c r="F42" s="55">
        <f>+D42-E42</f>
        <v>656.77</v>
      </c>
      <c r="G42" s="55">
        <f>1500-F42</f>
        <v>843.23</v>
      </c>
      <c r="H42" s="2" t="s">
        <v>396</v>
      </c>
    </row>
    <row r="43" spans="1:13" s="2" customFormat="1" x14ac:dyDescent="0.2">
      <c r="A43" s="24"/>
      <c r="B43" s="1"/>
      <c r="C43" s="50" t="s">
        <v>71</v>
      </c>
      <c r="D43" s="55">
        <f>+J40+L40</f>
        <v>11860.09</v>
      </c>
      <c r="E43" s="55">
        <f>+K40</f>
        <v>9974.67</v>
      </c>
      <c r="F43" s="55">
        <f>+D43-E43</f>
        <v>1885.42</v>
      </c>
      <c r="G43" s="55">
        <f>1500+700-F43</f>
        <v>314.57999999999993</v>
      </c>
      <c r="H43" s="2" t="s">
        <v>396</v>
      </c>
    </row>
    <row r="44" spans="1:13" s="2" customFormat="1" x14ac:dyDescent="0.2">
      <c r="A44" s="24"/>
      <c r="B44" s="1"/>
      <c r="C44" s="14"/>
      <c r="D44" s="56"/>
      <c r="E44" s="13"/>
      <c r="G44" s="1"/>
    </row>
    <row r="45" spans="1:13" s="2" customFormat="1" x14ac:dyDescent="0.2">
      <c r="A45" s="215" t="s">
        <v>80</v>
      </c>
      <c r="B45" s="216"/>
      <c r="C45" s="216"/>
      <c r="D45" s="217"/>
      <c r="E45" s="69"/>
      <c r="F45" s="70"/>
      <c r="G45" s="1"/>
      <c r="H45" s="53"/>
    </row>
    <row r="46" spans="1:13" s="2" customFormat="1" x14ac:dyDescent="0.2">
      <c r="A46" s="71" t="s">
        <v>81</v>
      </c>
      <c r="B46" s="71"/>
      <c r="C46" s="72" t="s">
        <v>82</v>
      </c>
      <c r="D46" s="73" t="s">
        <v>83</v>
      </c>
      <c r="E46" s="69"/>
      <c r="F46" s="70"/>
      <c r="H46" s="53"/>
    </row>
    <row r="47" spans="1:13" s="2" customFormat="1" x14ac:dyDescent="0.2">
      <c r="A47" s="87">
        <v>45020</v>
      </c>
      <c r="B47" s="91" t="s">
        <v>6</v>
      </c>
      <c r="C47" s="75" t="s">
        <v>271</v>
      </c>
      <c r="D47" s="88">
        <v>584074</v>
      </c>
      <c r="G47" s="1"/>
      <c r="L47" s="1"/>
      <c r="M47" s="1"/>
    </row>
    <row r="48" spans="1:13" s="2" customFormat="1" x14ac:dyDescent="0.2">
      <c r="A48" s="87">
        <v>45022</v>
      </c>
      <c r="B48" s="91" t="s">
        <v>6</v>
      </c>
      <c r="C48" s="75" t="s">
        <v>784</v>
      </c>
      <c r="D48" s="88">
        <v>283512</v>
      </c>
      <c r="G48" s="1"/>
      <c r="L48" s="1"/>
      <c r="M48" s="1"/>
    </row>
    <row r="49" spans="1:13" s="2" customFormat="1" x14ac:dyDescent="0.2">
      <c r="A49" s="87">
        <v>45022</v>
      </c>
      <c r="B49" s="91" t="s">
        <v>6</v>
      </c>
      <c r="C49" s="75" t="s">
        <v>84</v>
      </c>
      <c r="D49" s="88">
        <v>2500000</v>
      </c>
      <c r="G49" s="1"/>
      <c r="L49" s="1"/>
      <c r="M49" s="1"/>
    </row>
    <row r="50" spans="1:13" s="2" customFormat="1" x14ac:dyDescent="0.2">
      <c r="A50" s="87">
        <v>45023</v>
      </c>
      <c r="B50" s="91" t="s">
        <v>6</v>
      </c>
      <c r="C50" s="75" t="s">
        <v>270</v>
      </c>
      <c r="D50" s="88">
        <v>33748</v>
      </c>
      <c r="G50" s="1"/>
      <c r="L50" s="1"/>
      <c r="M50" s="1"/>
    </row>
    <row r="51" spans="1:13" s="2" customFormat="1" x14ac:dyDescent="0.2">
      <c r="A51" s="87">
        <v>45023</v>
      </c>
      <c r="B51" s="91" t="s">
        <v>6</v>
      </c>
      <c r="C51" s="75" t="s">
        <v>270</v>
      </c>
      <c r="D51" s="88">
        <v>114918</v>
      </c>
      <c r="G51" s="1"/>
      <c r="L51" s="1"/>
      <c r="M51" s="1"/>
    </row>
    <row r="52" spans="1:13" s="2" customFormat="1" x14ac:dyDescent="0.2">
      <c r="A52" s="87"/>
      <c r="B52" s="74"/>
      <c r="C52" s="75"/>
      <c r="D52" s="51">
        <f>SUM(D47:D51)</f>
        <v>3516252</v>
      </c>
      <c r="F52" s="2" t="s">
        <v>396</v>
      </c>
      <c r="G52" s="1"/>
      <c r="I52" s="1"/>
      <c r="J52" s="1"/>
      <c r="K52" s="1"/>
      <c r="L52" s="1"/>
      <c r="M52" s="1"/>
    </row>
    <row r="53" spans="1:13" s="2" customFormat="1" x14ac:dyDescent="0.2">
      <c r="A53" s="8"/>
      <c r="B53" s="93"/>
      <c r="C53" s="76"/>
      <c r="D53" s="56"/>
      <c r="G53" s="1"/>
      <c r="I53" s="1"/>
      <c r="J53" s="1"/>
      <c r="K53" s="1"/>
      <c r="L53" s="1"/>
      <c r="M53" s="1"/>
    </row>
    <row r="54" spans="1:13" s="2" customFormat="1" x14ac:dyDescent="0.2">
      <c r="A54" s="24"/>
      <c r="B54" s="1"/>
      <c r="C54" s="218" t="s">
        <v>77</v>
      </c>
      <c r="D54" s="219"/>
      <c r="E54" s="219"/>
      <c r="F54" s="220"/>
      <c r="G54" s="54"/>
      <c r="I54" s="1"/>
      <c r="J54" s="1"/>
      <c r="K54" s="1"/>
      <c r="L54" s="1"/>
      <c r="M54" s="1"/>
    </row>
    <row r="55" spans="1:13" s="2" customFormat="1" x14ac:dyDescent="0.2">
      <c r="A55" s="24"/>
      <c r="B55" s="1"/>
      <c r="C55" s="50"/>
      <c r="D55" s="57" t="s">
        <v>78</v>
      </c>
      <c r="E55" s="58" t="s">
        <v>79</v>
      </c>
      <c r="F55" s="57" t="s">
        <v>72</v>
      </c>
      <c r="G55" s="54"/>
      <c r="I55" s="1"/>
      <c r="J55" s="1"/>
      <c r="K55" s="1"/>
      <c r="L55" s="1"/>
      <c r="M55" s="1"/>
    </row>
    <row r="56" spans="1:13" s="2" customFormat="1" x14ac:dyDescent="0.2">
      <c r="A56" s="24"/>
      <c r="B56" s="1"/>
      <c r="C56" s="59" t="str">
        <f>"01-04-2023 to "&amp;TEXT(A5-2,"dd-mm-yyyy")</f>
        <v>01-04-2023 to 06-04-2023</v>
      </c>
      <c r="D56" s="60">
        <v>1184.27</v>
      </c>
      <c r="E56" s="60">
        <v>111.37</v>
      </c>
      <c r="F56" s="61">
        <f>SUM(D56:E56)</f>
        <v>1295.6399999999999</v>
      </c>
      <c r="G56" s="54"/>
      <c r="I56" s="1"/>
      <c r="J56" s="1"/>
      <c r="K56" s="1"/>
      <c r="L56" s="1"/>
      <c r="M56" s="1"/>
    </row>
    <row r="57" spans="1:13" s="2" customFormat="1" x14ac:dyDescent="0.2">
      <c r="A57" s="24"/>
      <c r="B57" s="1"/>
      <c r="C57" s="62" t="str">
        <f>TEXT(A5-1,"dd-mm-yyyy")</f>
        <v>07-04-2023</v>
      </c>
      <c r="D57" s="60">
        <v>122.4</v>
      </c>
      <c r="E57" s="60">
        <v>18.62</v>
      </c>
      <c r="F57" s="61">
        <f>SUM(D57:E57)</f>
        <v>141.02000000000001</v>
      </c>
      <c r="G57" s="54"/>
      <c r="I57" s="1"/>
      <c r="J57" s="1"/>
      <c r="K57" s="1"/>
      <c r="L57" s="1"/>
      <c r="M57" s="1"/>
    </row>
    <row r="58" spans="1:13" ht="13.5" thickBot="1" x14ac:dyDescent="0.25">
      <c r="C58" s="63" t="str">
        <f>"01-04-2023 to "&amp;TEXT(A5-1,"dd-mm-yyyy")</f>
        <v>01-04-2023 to 07-04-2023</v>
      </c>
      <c r="D58" s="64">
        <f>SUM(D56:D57)</f>
        <v>1306.67</v>
      </c>
      <c r="E58" s="64">
        <f>SUM(E56:E57)</f>
        <v>129.99</v>
      </c>
      <c r="F58" s="64">
        <f>SUM(F56:F57)</f>
        <v>1436.6599999999999</v>
      </c>
      <c r="G58" s="54"/>
    </row>
    <row r="59" spans="1:13" s="2" customFormat="1" ht="13.5" thickTop="1" x14ac:dyDescent="0.2">
      <c r="A59" s="24"/>
      <c r="B59" s="1"/>
      <c r="C59" s="62"/>
      <c r="D59" s="65"/>
      <c r="E59" s="66"/>
      <c r="F59" s="67"/>
      <c r="G59" s="54"/>
      <c r="H59" s="53"/>
    </row>
    <row r="60" spans="1:13" x14ac:dyDescent="0.2">
      <c r="C60" s="62" t="str">
        <f>"01-04-2023 to " &amp;C57</f>
        <v>01-04-2023 to 07-04-2023</v>
      </c>
      <c r="D60" s="68">
        <f>+D58</f>
        <v>1306.67</v>
      </c>
      <c r="E60" s="68">
        <f>+E58</f>
        <v>129.99</v>
      </c>
      <c r="F60" s="68">
        <f>+F58</f>
        <v>1436.6599999999999</v>
      </c>
      <c r="G60" s="54"/>
      <c r="H60" s="53" t="s">
        <v>396</v>
      </c>
    </row>
    <row r="61" spans="1:13" x14ac:dyDescent="0.2">
      <c r="C61" s="52"/>
      <c r="D61" s="85"/>
      <c r="E61" s="53"/>
      <c r="F61" s="53"/>
      <c r="G61" s="54"/>
      <c r="H61" s="53" t="s">
        <v>396</v>
      </c>
      <c r="J61" s="42"/>
    </row>
    <row r="62" spans="1:13" x14ac:dyDescent="0.2">
      <c r="C62" s="52"/>
      <c r="D62" s="85"/>
      <c r="E62" s="53"/>
      <c r="F62" s="53"/>
      <c r="G62" s="54"/>
      <c r="H62" s="53"/>
      <c r="I62" s="101"/>
    </row>
    <row r="63" spans="1:13" x14ac:dyDescent="0.2">
      <c r="C63" s="52"/>
      <c r="D63" s="85"/>
      <c r="E63" s="53"/>
      <c r="F63" s="53"/>
      <c r="G63" s="54"/>
      <c r="H63" s="53"/>
    </row>
    <row r="64" spans="1:13" x14ac:dyDescent="0.2">
      <c r="C64" s="52"/>
      <c r="D64" s="85"/>
      <c r="E64" s="53"/>
      <c r="F64" s="53"/>
      <c r="G64" s="54"/>
      <c r="H64" s="53"/>
    </row>
    <row r="65" spans="8:8" x14ac:dyDescent="0.2">
      <c r="H65" s="53"/>
    </row>
  </sheetData>
  <mergeCells count="5">
    <mergeCell ref="A1:G1"/>
    <mergeCell ref="A3:F3"/>
    <mergeCell ref="A9:F9"/>
    <mergeCell ref="A45:D45"/>
    <mergeCell ref="C54:F54"/>
  </mergeCells>
  <conditionalFormatting sqref="G42:G43">
    <cfRule type="cellIs" dxfId="652" priority="1" operator="lessThan">
      <formula>0</formula>
    </cfRule>
  </conditionalFormatting>
  <conditionalFormatting sqref="C11">
    <cfRule type="duplicateValues" dxfId="651" priority="2"/>
  </conditionalFormatting>
  <conditionalFormatting sqref="C12:C22">
    <cfRule type="duplicateValues" dxfId="650" priority="426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02">
    <pageSetUpPr fitToPage="1"/>
  </sheetPr>
  <dimension ref="A1:N89"/>
  <sheetViews>
    <sheetView topLeftCell="A39" zoomScaleNormal="100" workbookViewId="0">
      <selection activeCell="H50" sqref="H50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49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856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2.75" customHeight="1" x14ac:dyDescent="0.4">
      <c r="A5" s="89">
        <v>45026</v>
      </c>
      <c r="B5" s="9" t="s">
        <v>6</v>
      </c>
      <c r="C5" s="10" t="s">
        <v>7</v>
      </c>
      <c r="D5" s="11"/>
      <c r="E5" s="12">
        <v>557118.69999999879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557118.69999999879</v>
      </c>
      <c r="F6" s="16">
        <f>SUM(F5:F5)</f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E6-F6</f>
        <v>557118.69999999879</v>
      </c>
      <c r="F7" s="22"/>
      <c r="G7" s="23"/>
      <c r="H7" s="112"/>
      <c r="I7" s="112"/>
      <c r="J7" s="13"/>
    </row>
    <row r="8" spans="1:10" s="2" customFormat="1" ht="12.75" customHeight="1" x14ac:dyDescent="0.4">
      <c r="A8" s="24"/>
      <c r="B8" s="1"/>
      <c r="C8" s="14"/>
      <c r="D8" s="25"/>
      <c r="G8" s="23"/>
      <c r="H8" s="112"/>
      <c r="I8" s="112"/>
      <c r="J8" s="13"/>
    </row>
    <row r="9" spans="1:10" s="2" customFormat="1" ht="21.75" customHeight="1" x14ac:dyDescent="0.4">
      <c r="A9" s="214" t="s">
        <v>10</v>
      </c>
      <c r="B9" s="214"/>
      <c r="C9" s="214"/>
      <c r="D9" s="214"/>
      <c r="E9" s="214"/>
      <c r="F9" s="214"/>
      <c r="G9" s="13"/>
      <c r="H9" s="112"/>
      <c r="I9" s="112"/>
      <c r="J9" s="13"/>
    </row>
    <row r="10" spans="1:10" s="2" customFormat="1" ht="12.75" customHeight="1" x14ac:dyDescent="0.4">
      <c r="A10" s="26" t="s">
        <v>1</v>
      </c>
      <c r="B10" s="27" t="s">
        <v>2</v>
      </c>
      <c r="C10" s="5"/>
      <c r="D10" s="6" t="s">
        <v>3</v>
      </c>
      <c r="E10" s="7" t="s">
        <v>4</v>
      </c>
      <c r="F10" s="7" t="s">
        <v>5</v>
      </c>
      <c r="G10" s="23"/>
      <c r="H10" s="112"/>
      <c r="I10" s="112"/>
      <c r="J10" s="13"/>
    </row>
    <row r="11" spans="1:10" s="2" customFormat="1" ht="12.75" customHeight="1" x14ac:dyDescent="0.2">
      <c r="A11" s="89">
        <v>45026</v>
      </c>
      <c r="B11" s="91" t="s">
        <v>11</v>
      </c>
      <c r="C11" s="29" t="s">
        <v>7</v>
      </c>
      <c r="D11" s="25"/>
      <c r="E11" s="31"/>
      <c r="F11" s="2">
        <v>358402319.67000026</v>
      </c>
      <c r="G11" s="30"/>
      <c r="I11" s="13"/>
      <c r="J11" s="13"/>
    </row>
    <row r="12" spans="1:10" s="2" customFormat="1" ht="12.75" customHeight="1" x14ac:dyDescent="0.2">
      <c r="A12" s="89">
        <v>45026</v>
      </c>
      <c r="B12" s="91" t="s">
        <v>6</v>
      </c>
      <c r="C12" s="76" t="s">
        <v>756</v>
      </c>
      <c r="D12" s="116" t="s">
        <v>13</v>
      </c>
      <c r="E12" s="31">
        <v>43615</v>
      </c>
      <c r="G12" s="30"/>
      <c r="I12" s="13"/>
      <c r="J12" s="13"/>
    </row>
    <row r="13" spans="1:10" s="2" customFormat="1" ht="12.75" customHeight="1" x14ac:dyDescent="0.2">
      <c r="A13" s="89">
        <v>45026</v>
      </c>
      <c r="B13" s="91" t="s">
        <v>6</v>
      </c>
      <c r="C13" s="76" t="s">
        <v>857</v>
      </c>
      <c r="D13" s="116" t="s">
        <v>13</v>
      </c>
      <c r="E13" s="31">
        <v>11811</v>
      </c>
      <c r="G13" s="30"/>
      <c r="I13" s="13"/>
      <c r="J13" s="13"/>
    </row>
    <row r="14" spans="1:10" s="2" customFormat="1" ht="12.75" customHeight="1" x14ac:dyDescent="0.2">
      <c r="A14" s="89">
        <v>45026</v>
      </c>
      <c r="B14" s="91" t="s">
        <v>6</v>
      </c>
      <c r="C14" s="76" t="s">
        <v>763</v>
      </c>
      <c r="D14" s="116" t="s">
        <v>13</v>
      </c>
      <c r="E14" s="31">
        <v>667790</v>
      </c>
      <c r="G14" s="30"/>
      <c r="I14" s="13"/>
      <c r="J14" s="13"/>
    </row>
    <row r="15" spans="1:10" s="2" customFormat="1" ht="12.75" customHeight="1" x14ac:dyDescent="0.2">
      <c r="A15" s="89">
        <v>45026</v>
      </c>
      <c r="B15" s="91" t="s">
        <v>6</v>
      </c>
      <c r="C15" s="76" t="s">
        <v>220</v>
      </c>
      <c r="D15" s="116" t="s">
        <v>13</v>
      </c>
      <c r="E15" s="31">
        <v>713454</v>
      </c>
      <c r="G15" s="30"/>
      <c r="I15" s="13"/>
      <c r="J15" s="13"/>
    </row>
    <row r="16" spans="1:10" s="2" customFormat="1" ht="12.75" customHeight="1" x14ac:dyDescent="0.2">
      <c r="A16" s="89">
        <v>45026</v>
      </c>
      <c r="B16" s="91" t="s">
        <v>6</v>
      </c>
      <c r="C16" s="76" t="s">
        <v>385</v>
      </c>
      <c r="D16" s="116" t="s">
        <v>13</v>
      </c>
      <c r="E16" s="31">
        <v>244026.55</v>
      </c>
      <c r="G16" s="30"/>
      <c r="I16" s="13"/>
      <c r="J16" s="13"/>
    </row>
    <row r="17" spans="1:10" s="2" customFormat="1" ht="12.75" customHeight="1" x14ac:dyDescent="0.2">
      <c r="A17" s="89">
        <v>45026</v>
      </c>
      <c r="B17" s="91" t="s">
        <v>6</v>
      </c>
      <c r="C17" s="76" t="s">
        <v>281</v>
      </c>
      <c r="D17" s="116" t="s">
        <v>13</v>
      </c>
      <c r="E17" s="31">
        <v>14868</v>
      </c>
      <c r="G17" s="30"/>
      <c r="I17" s="13"/>
      <c r="J17" s="13"/>
    </row>
    <row r="18" spans="1:10" s="2" customFormat="1" ht="12.75" customHeight="1" x14ac:dyDescent="0.2">
      <c r="A18" s="89">
        <v>45026</v>
      </c>
      <c r="B18" s="91" t="s">
        <v>6</v>
      </c>
      <c r="C18" s="76" t="s">
        <v>326</v>
      </c>
      <c r="D18" s="116" t="s">
        <v>13</v>
      </c>
      <c r="E18" s="31">
        <v>11000</v>
      </c>
      <c r="G18" s="30"/>
      <c r="I18" s="13"/>
      <c r="J18" s="13"/>
    </row>
    <row r="19" spans="1:10" s="2" customFormat="1" ht="12.75" customHeight="1" x14ac:dyDescent="0.2">
      <c r="A19" s="89">
        <v>45026</v>
      </c>
      <c r="B19" s="91" t="s">
        <v>6</v>
      </c>
      <c r="C19" s="76" t="s">
        <v>105</v>
      </c>
      <c r="D19" s="116" t="s">
        <v>13</v>
      </c>
      <c r="E19" s="31">
        <v>4141833</v>
      </c>
      <c r="G19" s="30"/>
      <c r="I19" s="13"/>
      <c r="J19" s="13"/>
    </row>
    <row r="20" spans="1:10" s="2" customFormat="1" ht="12.75" customHeight="1" x14ac:dyDescent="0.2">
      <c r="A20" s="89">
        <v>45026</v>
      </c>
      <c r="B20" s="91" t="s">
        <v>6</v>
      </c>
      <c r="C20" s="76" t="s">
        <v>149</v>
      </c>
      <c r="D20" s="116" t="s">
        <v>13</v>
      </c>
      <c r="E20" s="31">
        <v>194300</v>
      </c>
      <c r="G20" s="30"/>
      <c r="I20" s="13"/>
      <c r="J20" s="13"/>
    </row>
    <row r="21" spans="1:10" s="2" customFormat="1" ht="12.75" customHeight="1" x14ac:dyDescent="0.2">
      <c r="A21" s="89">
        <v>45026</v>
      </c>
      <c r="B21" s="91" t="s">
        <v>6</v>
      </c>
      <c r="C21" s="76" t="s">
        <v>465</v>
      </c>
      <c r="D21" s="116" t="s">
        <v>13</v>
      </c>
      <c r="E21" s="31">
        <v>3000000</v>
      </c>
      <c r="G21" s="30"/>
      <c r="I21" s="13"/>
      <c r="J21" s="13"/>
    </row>
    <row r="22" spans="1:10" s="2" customFormat="1" ht="12.75" customHeight="1" x14ac:dyDescent="0.2">
      <c r="A22" s="89">
        <v>45026</v>
      </c>
      <c r="B22" s="91" t="s">
        <v>6</v>
      </c>
      <c r="C22" s="76" t="s">
        <v>861</v>
      </c>
      <c r="D22" s="116" t="s">
        <v>13</v>
      </c>
      <c r="E22" s="31">
        <v>336336</v>
      </c>
      <c r="G22" s="30"/>
      <c r="I22" s="13"/>
      <c r="J22" s="13"/>
    </row>
    <row r="23" spans="1:10" s="2" customFormat="1" ht="12.75" customHeight="1" x14ac:dyDescent="0.2">
      <c r="A23" s="89">
        <v>45026</v>
      </c>
      <c r="B23" s="91" t="s">
        <v>6</v>
      </c>
      <c r="C23" s="76" t="s">
        <v>24</v>
      </c>
      <c r="D23" s="116" t="s">
        <v>13</v>
      </c>
      <c r="E23" s="31">
        <v>61013</v>
      </c>
      <c r="G23" s="30"/>
      <c r="I23" s="13"/>
      <c r="J23" s="13"/>
    </row>
    <row r="24" spans="1:10" s="2" customFormat="1" ht="12.75" customHeight="1" x14ac:dyDescent="0.2">
      <c r="A24" s="89">
        <v>45026</v>
      </c>
      <c r="B24" s="91" t="s">
        <v>6</v>
      </c>
      <c r="C24" s="76" t="s">
        <v>283</v>
      </c>
      <c r="D24" s="116" t="s">
        <v>13</v>
      </c>
      <c r="E24" s="31">
        <v>336353</v>
      </c>
      <c r="G24" s="30"/>
      <c r="I24" s="13"/>
      <c r="J24" s="13"/>
    </row>
    <row r="25" spans="1:10" s="2" customFormat="1" ht="12.75" customHeight="1" x14ac:dyDescent="0.2">
      <c r="A25" s="89">
        <v>45026</v>
      </c>
      <c r="B25" s="91" t="s">
        <v>11</v>
      </c>
      <c r="C25" s="76" t="s">
        <v>111</v>
      </c>
      <c r="D25" s="116" t="s">
        <v>29</v>
      </c>
      <c r="E25" s="31"/>
      <c r="F25" s="2">
        <v>7393794.46</v>
      </c>
      <c r="G25" s="30"/>
      <c r="I25" s="13"/>
      <c r="J25" s="13"/>
    </row>
    <row r="26" spans="1:10" s="2" customFormat="1" ht="12.75" customHeight="1" x14ac:dyDescent="0.2">
      <c r="A26" s="89">
        <v>45026</v>
      </c>
      <c r="B26" s="91" t="s">
        <v>11</v>
      </c>
      <c r="C26" s="76" t="s">
        <v>199</v>
      </c>
      <c r="D26" s="116" t="s">
        <v>29</v>
      </c>
      <c r="E26" s="31"/>
      <c r="F26" s="2">
        <v>844703</v>
      </c>
      <c r="G26" s="30"/>
      <c r="I26" s="13"/>
      <c r="J26" s="13"/>
    </row>
    <row r="27" spans="1:10" s="2" customFormat="1" ht="12.75" customHeight="1" x14ac:dyDescent="0.2">
      <c r="A27" s="89">
        <v>45026</v>
      </c>
      <c r="B27" s="91" t="s">
        <v>11</v>
      </c>
      <c r="C27" s="76" t="s">
        <v>125</v>
      </c>
      <c r="D27" s="116" t="s">
        <v>29</v>
      </c>
      <c r="E27" s="31"/>
      <c r="F27" s="2">
        <v>1413383</v>
      </c>
      <c r="G27" s="30"/>
      <c r="I27" s="13"/>
      <c r="J27" s="13"/>
    </row>
    <row r="28" spans="1:10" s="2" customFormat="1" ht="12.75" customHeight="1" x14ac:dyDescent="0.2">
      <c r="A28" s="89">
        <v>45026</v>
      </c>
      <c r="B28" s="91" t="s">
        <v>11</v>
      </c>
      <c r="C28" s="76" t="s">
        <v>109</v>
      </c>
      <c r="D28" s="116" t="s">
        <v>29</v>
      </c>
      <c r="E28" s="31"/>
      <c r="F28" s="2">
        <v>1119443</v>
      </c>
      <c r="G28" s="30"/>
      <c r="I28" s="13"/>
      <c r="J28" s="13"/>
    </row>
    <row r="29" spans="1:10" s="2" customFormat="1" ht="12.75" customHeight="1" x14ac:dyDescent="0.2">
      <c r="A29" s="89">
        <v>45026</v>
      </c>
      <c r="B29" s="91" t="s">
        <v>11</v>
      </c>
      <c r="C29" s="76" t="s">
        <v>215</v>
      </c>
      <c r="D29" s="116" t="s">
        <v>29</v>
      </c>
      <c r="E29" s="31"/>
      <c r="F29" s="2">
        <v>39730</v>
      </c>
      <c r="G29" s="30"/>
      <c r="I29" s="13"/>
      <c r="J29" s="13"/>
    </row>
    <row r="30" spans="1:10" s="2" customFormat="1" ht="12.75" customHeight="1" x14ac:dyDescent="0.2">
      <c r="A30" s="89">
        <v>45026</v>
      </c>
      <c r="B30" s="91" t="s">
        <v>11</v>
      </c>
      <c r="C30" s="76" t="s">
        <v>107</v>
      </c>
      <c r="D30" s="116" t="s">
        <v>29</v>
      </c>
      <c r="E30" s="31"/>
      <c r="F30" s="2">
        <v>408279.88</v>
      </c>
      <c r="G30" s="30"/>
      <c r="I30" s="13"/>
      <c r="J30" s="13"/>
    </row>
    <row r="31" spans="1:10" s="2" customFormat="1" ht="12.75" customHeight="1" x14ac:dyDescent="0.2">
      <c r="A31" s="89">
        <v>45026</v>
      </c>
      <c r="B31" s="91" t="s">
        <v>11</v>
      </c>
      <c r="C31" s="76" t="s">
        <v>723</v>
      </c>
      <c r="D31" s="116" t="s">
        <v>29</v>
      </c>
      <c r="E31" s="31"/>
      <c r="F31" s="2">
        <v>2870217.83</v>
      </c>
      <c r="G31" s="30"/>
      <c r="I31" s="13"/>
      <c r="J31" s="13"/>
    </row>
    <row r="32" spans="1:10" s="2" customFormat="1" ht="12.75" customHeight="1" x14ac:dyDescent="0.2">
      <c r="A32" s="89">
        <v>45026</v>
      </c>
      <c r="B32" s="91" t="s">
        <v>11</v>
      </c>
      <c r="C32" s="76" t="s">
        <v>216</v>
      </c>
      <c r="D32" s="116" t="s">
        <v>29</v>
      </c>
      <c r="E32" s="31"/>
      <c r="F32" s="2">
        <v>201889</v>
      </c>
      <c r="G32" s="30"/>
      <c r="I32" s="13"/>
      <c r="J32" s="13"/>
    </row>
    <row r="33" spans="1:14" s="2" customFormat="1" ht="12.75" customHeight="1" x14ac:dyDescent="0.2">
      <c r="A33" s="89">
        <v>45026</v>
      </c>
      <c r="B33" s="91" t="s">
        <v>11</v>
      </c>
      <c r="C33" s="76" t="s">
        <v>356</v>
      </c>
      <c r="D33" s="116" t="s">
        <v>29</v>
      </c>
      <c r="E33" s="31"/>
      <c r="F33" s="2">
        <v>1357854</v>
      </c>
      <c r="G33" s="30"/>
      <c r="I33" s="13"/>
      <c r="J33" s="13"/>
    </row>
    <row r="34" spans="1:14" s="2" customFormat="1" ht="12.75" customHeight="1" x14ac:dyDescent="0.2">
      <c r="A34" s="89">
        <v>45026</v>
      </c>
      <c r="B34" s="91" t="s">
        <v>11</v>
      </c>
      <c r="C34" s="76" t="s">
        <v>97</v>
      </c>
      <c r="D34" s="116" t="s">
        <v>29</v>
      </c>
      <c r="E34" s="31"/>
      <c r="F34" s="2">
        <v>2799506</v>
      </c>
      <c r="G34" s="30"/>
      <c r="I34" s="13"/>
      <c r="J34" s="13"/>
    </row>
    <row r="35" spans="1:14" s="2" customFormat="1" ht="12.75" customHeight="1" x14ac:dyDescent="0.2">
      <c r="A35" s="89">
        <v>45026</v>
      </c>
      <c r="B35" s="91" t="s">
        <v>11</v>
      </c>
      <c r="C35" s="76" t="s">
        <v>302</v>
      </c>
      <c r="D35" s="116" t="s">
        <v>29</v>
      </c>
      <c r="E35" s="31"/>
      <c r="F35" s="2">
        <v>8808</v>
      </c>
      <c r="G35" s="30"/>
      <c r="I35" s="13"/>
      <c r="J35" s="13"/>
    </row>
    <row r="36" spans="1:14" s="2" customFormat="1" ht="12.75" customHeight="1" x14ac:dyDescent="0.2">
      <c r="A36" s="89">
        <v>45026</v>
      </c>
      <c r="B36" s="91" t="s">
        <v>11</v>
      </c>
      <c r="C36" s="76" t="s">
        <v>798</v>
      </c>
      <c r="D36" s="116" t="s">
        <v>29</v>
      </c>
      <c r="E36" s="31"/>
      <c r="F36" s="2">
        <v>248912</v>
      </c>
      <c r="G36" s="30"/>
      <c r="I36" s="13"/>
      <c r="J36" s="13"/>
    </row>
    <row r="37" spans="1:14" s="2" customFormat="1" ht="12.75" customHeight="1" x14ac:dyDescent="0.2">
      <c r="A37" s="89">
        <v>45026</v>
      </c>
      <c r="B37" s="91" t="s">
        <v>11</v>
      </c>
      <c r="C37" s="76" t="s">
        <v>663</v>
      </c>
      <c r="D37" s="116" t="s">
        <v>29</v>
      </c>
      <c r="E37" s="31"/>
      <c r="F37" s="2">
        <v>55440</v>
      </c>
      <c r="G37" s="30"/>
      <c r="I37" s="13"/>
      <c r="J37" s="13"/>
    </row>
    <row r="38" spans="1:14" s="2" customFormat="1" ht="12.75" customHeight="1" x14ac:dyDescent="0.2">
      <c r="A38" s="89">
        <v>45026</v>
      </c>
      <c r="B38" s="91" t="s">
        <v>11</v>
      </c>
      <c r="C38" s="76" t="s">
        <v>858</v>
      </c>
      <c r="D38" s="116" t="s">
        <v>29</v>
      </c>
      <c r="E38" s="31"/>
      <c r="F38" s="2">
        <v>10850</v>
      </c>
      <c r="G38" s="30"/>
      <c r="I38" s="13"/>
      <c r="J38" s="13"/>
    </row>
    <row r="39" spans="1:14" s="2" customFormat="1" ht="12.75" customHeight="1" x14ac:dyDescent="0.2">
      <c r="A39" s="89">
        <v>45026</v>
      </c>
      <c r="B39" s="91" t="s">
        <v>11</v>
      </c>
      <c r="C39" s="76" t="s">
        <v>209</v>
      </c>
      <c r="D39" s="116" t="s">
        <v>29</v>
      </c>
      <c r="E39" s="31"/>
      <c r="F39" s="2">
        <v>50000</v>
      </c>
      <c r="G39" s="30"/>
      <c r="I39" s="13"/>
      <c r="J39" s="13"/>
    </row>
    <row r="40" spans="1:14" s="2" customFormat="1" ht="12.75" customHeight="1" x14ac:dyDescent="0.2">
      <c r="A40" s="89">
        <v>45026</v>
      </c>
      <c r="B40" s="91" t="s">
        <v>11</v>
      </c>
      <c r="C40" s="76" t="s">
        <v>859</v>
      </c>
      <c r="D40" s="116" t="s">
        <v>29</v>
      </c>
      <c r="E40" s="31"/>
      <c r="F40" s="2">
        <v>74250</v>
      </c>
      <c r="G40" s="30"/>
      <c r="I40" s="13"/>
      <c r="J40" s="13"/>
    </row>
    <row r="41" spans="1:14" s="2" customFormat="1" ht="12.75" customHeight="1" x14ac:dyDescent="0.2">
      <c r="A41" s="89">
        <v>45026</v>
      </c>
      <c r="B41" s="91" t="s">
        <v>11</v>
      </c>
      <c r="C41" s="76" t="s">
        <v>217</v>
      </c>
      <c r="D41" s="116" t="s">
        <v>29</v>
      </c>
      <c r="E41" s="31"/>
      <c r="F41" s="2">
        <v>51995</v>
      </c>
      <c r="G41" s="30"/>
      <c r="I41" s="13"/>
      <c r="J41" s="13"/>
    </row>
    <row r="42" spans="1:14" s="2" customFormat="1" ht="12.75" customHeight="1" x14ac:dyDescent="0.2">
      <c r="A42" s="89">
        <v>45026</v>
      </c>
      <c r="B42" s="91" t="s">
        <v>11</v>
      </c>
      <c r="C42" s="76" t="s">
        <v>218</v>
      </c>
      <c r="D42" s="116" t="s">
        <v>29</v>
      </c>
      <c r="E42" s="31"/>
      <c r="F42" s="2">
        <v>53355</v>
      </c>
      <c r="G42" s="30"/>
      <c r="I42" s="13"/>
      <c r="J42" s="13"/>
    </row>
    <row r="43" spans="1:14" s="2" customFormat="1" ht="12.75" customHeight="1" x14ac:dyDescent="0.2">
      <c r="A43" s="89">
        <v>45026</v>
      </c>
      <c r="B43" s="91" t="s">
        <v>11</v>
      </c>
      <c r="C43" s="76" t="s">
        <v>15</v>
      </c>
      <c r="D43" s="116" t="s">
        <v>29</v>
      </c>
      <c r="E43" s="31"/>
      <c r="F43" s="2">
        <v>4941.62</v>
      </c>
      <c r="G43" s="30"/>
      <c r="I43" s="13"/>
      <c r="J43" s="13"/>
    </row>
    <row r="44" spans="1:14" s="2" customFormat="1" ht="12.75" customHeight="1" x14ac:dyDescent="0.2">
      <c r="A44" s="89">
        <v>45026</v>
      </c>
      <c r="B44" s="91" t="s">
        <v>11</v>
      </c>
      <c r="C44" s="76" t="s">
        <v>292</v>
      </c>
      <c r="D44" s="116" t="s">
        <v>29</v>
      </c>
      <c r="E44" s="31"/>
      <c r="F44" s="2">
        <v>1500</v>
      </c>
      <c r="G44" s="30"/>
      <c r="I44" s="13"/>
      <c r="J44" s="13"/>
    </row>
    <row r="45" spans="1:14" s="2" customFormat="1" ht="12.75" customHeight="1" x14ac:dyDescent="0.2">
      <c r="A45" s="89">
        <v>45026</v>
      </c>
      <c r="B45" s="91" t="s">
        <v>11</v>
      </c>
      <c r="C45" s="76" t="s">
        <v>64</v>
      </c>
      <c r="D45" s="116" t="s">
        <v>29</v>
      </c>
      <c r="E45" s="31"/>
      <c r="F45" s="2">
        <v>1180</v>
      </c>
      <c r="G45" s="30"/>
      <c r="I45" s="13"/>
      <c r="J45" s="99" t="s">
        <v>860</v>
      </c>
      <c r="K45" s="99" t="s">
        <v>779</v>
      </c>
    </row>
    <row r="46" spans="1:14" s="2" customFormat="1" ht="12.75" customHeight="1" x14ac:dyDescent="0.25">
      <c r="A46" s="32"/>
      <c r="B46" s="33"/>
      <c r="C46" s="14"/>
      <c r="D46" s="34"/>
      <c r="E46" s="16">
        <f>SUM(E11:E45)</f>
        <v>9776399.5500000007</v>
      </c>
      <c r="F46" s="16">
        <f>SUM(F11:F45)</f>
        <v>377412351.46000022</v>
      </c>
      <c r="G46" s="30"/>
      <c r="H46" s="1"/>
      <c r="I46" s="39">
        <v>385563231.91000003</v>
      </c>
      <c r="J46" s="2">
        <f>1972203+1220426+1321352+3017518+5000000+5000000</f>
        <v>17531499</v>
      </c>
      <c r="K46" s="92">
        <f>E47-I46</f>
        <v>-17927279.999999821</v>
      </c>
      <c r="L46" s="41"/>
      <c r="M46" s="42">
        <f>K46+J46</f>
        <v>-395780.99999982119</v>
      </c>
      <c r="N46" s="1"/>
    </row>
    <row r="47" spans="1:14" s="2" customFormat="1" x14ac:dyDescent="0.2">
      <c r="A47" s="36"/>
      <c r="B47" s="28" t="s">
        <v>11</v>
      </c>
      <c r="C47" s="19" t="s">
        <v>65</v>
      </c>
      <c r="D47" s="37"/>
      <c r="E47" s="38">
        <f>F46-E46</f>
        <v>367635951.91000021</v>
      </c>
      <c r="F47" s="22"/>
      <c r="G47" s="1"/>
      <c r="H47" s="1"/>
      <c r="J47" s="1"/>
      <c r="K47" s="1"/>
      <c r="L47" s="1"/>
      <c r="M47" s="1"/>
      <c r="N47" s="1"/>
    </row>
    <row r="48" spans="1:14" x14ac:dyDescent="0.2">
      <c r="A48" s="36"/>
      <c r="B48" s="28" t="s">
        <v>66</v>
      </c>
      <c r="C48" s="43" t="s">
        <v>67</v>
      </c>
      <c r="D48" s="43"/>
      <c r="E48" s="12">
        <v>0</v>
      </c>
      <c r="F48" s="22"/>
      <c r="H48" s="40"/>
      <c r="I48" s="45">
        <v>672.14</v>
      </c>
      <c r="J48" s="46"/>
      <c r="K48" s="46"/>
      <c r="L48" s="13"/>
      <c r="M48" s="2"/>
      <c r="N48" s="2"/>
    </row>
    <row r="49" spans="1:14" ht="15" x14ac:dyDescent="0.25">
      <c r="A49" s="36"/>
      <c r="B49" s="28"/>
      <c r="C49" s="44" t="s">
        <v>68</v>
      </c>
      <c r="D49" s="43"/>
      <c r="E49" s="7">
        <f>E47+E48</f>
        <v>367635951.91000021</v>
      </c>
      <c r="F49" s="22"/>
      <c r="H49" s="103" t="s">
        <v>69</v>
      </c>
      <c r="I49" s="45">
        <v>-8.4</v>
      </c>
      <c r="J49" s="46"/>
      <c r="K49" s="46"/>
      <c r="L49" s="2"/>
      <c r="M49" s="2"/>
      <c r="N49" s="2"/>
    </row>
    <row r="50" spans="1:14" s="2" customFormat="1" x14ac:dyDescent="0.2">
      <c r="A50" s="24"/>
      <c r="B50" s="1"/>
      <c r="C50" s="14"/>
      <c r="D50" s="25"/>
      <c r="E50" s="1"/>
      <c r="H50" s="35" t="s">
        <v>70</v>
      </c>
      <c r="I50" s="45">
        <v>0</v>
      </c>
      <c r="J50" s="46">
        <f>+I51-D53</f>
        <v>0</v>
      </c>
      <c r="M50" s="2">
        <v>19.57</v>
      </c>
      <c r="N50" s="2" t="s">
        <v>535</v>
      </c>
    </row>
    <row r="51" spans="1:14" s="2" customFormat="1" x14ac:dyDescent="0.2">
      <c r="A51" s="24"/>
      <c r="B51" s="1"/>
      <c r="C51" s="56"/>
      <c r="D51" s="56"/>
      <c r="E51" s="104"/>
      <c r="G51" s="1"/>
      <c r="I51" s="49">
        <f>SUM(I48:I50)</f>
        <v>663.74</v>
      </c>
      <c r="J51" s="46"/>
      <c r="K51" s="46"/>
    </row>
    <row r="52" spans="1:14" s="2" customFormat="1" x14ac:dyDescent="0.2">
      <c r="A52" s="24"/>
      <c r="B52" s="1"/>
      <c r="C52" s="78" t="s">
        <v>575</v>
      </c>
      <c r="D52" s="48" t="s">
        <v>576</v>
      </c>
      <c r="E52" s="104"/>
      <c r="G52" s="1"/>
    </row>
    <row r="53" spans="1:14" s="2" customFormat="1" x14ac:dyDescent="0.2">
      <c r="A53" s="24"/>
      <c r="B53" s="1"/>
      <c r="C53" s="47" t="s">
        <v>570</v>
      </c>
      <c r="D53" s="111">
        <v>663.74</v>
      </c>
      <c r="E53" s="104"/>
      <c r="G53" s="1"/>
      <c r="H53" s="110" t="s">
        <v>581</v>
      </c>
    </row>
    <row r="54" spans="1:14" s="2" customFormat="1" x14ac:dyDescent="0.2">
      <c r="A54" s="24"/>
      <c r="B54" s="1"/>
      <c r="C54" s="47" t="s">
        <v>571</v>
      </c>
      <c r="D54" s="111">
        <v>0</v>
      </c>
      <c r="E54" s="104"/>
      <c r="G54" s="1"/>
      <c r="H54" s="110" t="s">
        <v>580</v>
      </c>
    </row>
    <row r="55" spans="1:14" s="2" customFormat="1" x14ac:dyDescent="0.2">
      <c r="A55" s="24"/>
      <c r="B55" s="1"/>
      <c r="C55" s="47" t="s">
        <v>572</v>
      </c>
      <c r="D55" s="111">
        <f>+D76/100000</f>
        <v>35.28472</v>
      </c>
      <c r="E55" s="104"/>
      <c r="G55" s="1"/>
      <c r="H55" s="90" t="s">
        <v>587</v>
      </c>
    </row>
    <row r="56" spans="1:14" s="2" customFormat="1" x14ac:dyDescent="0.2">
      <c r="A56" s="24"/>
      <c r="B56" s="1"/>
      <c r="C56" s="108" t="s">
        <v>578</v>
      </c>
      <c r="D56" s="48">
        <f>SUM(D53:D55)</f>
        <v>699.02472</v>
      </c>
      <c r="E56" s="104"/>
      <c r="G56" s="1"/>
    </row>
    <row r="57" spans="1:14" s="2" customFormat="1" x14ac:dyDescent="0.2">
      <c r="A57" s="24"/>
      <c r="B57" s="1"/>
      <c r="C57" s="47"/>
      <c r="D57" s="107"/>
      <c r="E57" s="104"/>
      <c r="G57" s="1"/>
    </row>
    <row r="58" spans="1:14" s="2" customFormat="1" x14ac:dyDescent="0.2">
      <c r="A58" s="24"/>
      <c r="B58" s="1"/>
      <c r="C58" s="47" t="s">
        <v>573</v>
      </c>
      <c r="D58" s="111">
        <v>3.36</v>
      </c>
      <c r="E58" s="104"/>
      <c r="G58" s="1"/>
      <c r="H58" s="110" t="s">
        <v>581</v>
      </c>
    </row>
    <row r="59" spans="1:14" s="2" customFormat="1" x14ac:dyDescent="0.2">
      <c r="A59" s="24"/>
      <c r="B59" s="1"/>
      <c r="C59" s="47" t="s">
        <v>574</v>
      </c>
      <c r="D59" s="111">
        <v>195.78</v>
      </c>
      <c r="E59" s="104"/>
      <c r="G59" s="1"/>
      <c r="H59" s="110" t="s">
        <v>581</v>
      </c>
      <c r="J59" s="114" t="s">
        <v>713</v>
      </c>
    </row>
    <row r="60" spans="1:14" s="2" customFormat="1" x14ac:dyDescent="0.2">
      <c r="A60" s="24"/>
      <c r="B60" s="1"/>
      <c r="C60" s="78" t="s">
        <v>579</v>
      </c>
      <c r="D60" s="109">
        <f>D58+D59</f>
        <v>199.14000000000001</v>
      </c>
      <c r="E60" s="104"/>
      <c r="G60" s="1"/>
      <c r="I60" s="113"/>
      <c r="J60" s="113" t="s">
        <v>709</v>
      </c>
      <c r="K60" s="113" t="s">
        <v>710</v>
      </c>
      <c r="L60" s="113" t="s">
        <v>711</v>
      </c>
      <c r="M60" s="113" t="s">
        <v>712</v>
      </c>
    </row>
    <row r="61" spans="1:14" s="2" customFormat="1" x14ac:dyDescent="0.2">
      <c r="A61" s="24"/>
      <c r="B61" s="1"/>
      <c r="C61" s="105"/>
      <c r="D61" s="106"/>
      <c r="E61" s="104"/>
      <c r="G61" s="1"/>
      <c r="I61" s="113" t="s">
        <v>706</v>
      </c>
      <c r="J61" s="115"/>
      <c r="K61" s="115">
        <v>968.99</v>
      </c>
      <c r="L61" s="115">
        <v>968.99</v>
      </c>
      <c r="M61" s="113">
        <f>+J61+L61-K61</f>
        <v>0</v>
      </c>
    </row>
    <row r="62" spans="1:14" s="2" customFormat="1" x14ac:dyDescent="0.2">
      <c r="A62" s="24"/>
      <c r="B62" s="1"/>
      <c r="C62" s="78" t="s">
        <v>577</v>
      </c>
      <c r="D62" s="109">
        <f>D53+D60</f>
        <v>862.88</v>
      </c>
      <c r="E62" s="104"/>
      <c r="G62" s="1"/>
      <c r="I62" s="113" t="s">
        <v>707</v>
      </c>
      <c r="J62" s="115">
        <v>183.1</v>
      </c>
      <c r="K62" s="115">
        <v>1441.54</v>
      </c>
      <c r="L62" s="115">
        <v>1918.58</v>
      </c>
      <c r="M62" s="113">
        <f>+J62+L62-K62</f>
        <v>660.13999999999987</v>
      </c>
    </row>
    <row r="63" spans="1:14" s="2" customFormat="1" x14ac:dyDescent="0.2">
      <c r="A63" s="24"/>
      <c r="B63" s="1"/>
      <c r="C63" s="56"/>
      <c r="D63" s="56"/>
      <c r="E63" s="104"/>
      <c r="G63" s="1"/>
      <c r="I63" s="113" t="s">
        <v>708</v>
      </c>
      <c r="J63" s="115">
        <v>1371.02</v>
      </c>
      <c r="K63" s="115">
        <v>9974.67</v>
      </c>
      <c r="L63" s="115">
        <v>10489.07</v>
      </c>
      <c r="M63" s="113">
        <f>+J63+L63-K63</f>
        <v>1885.42</v>
      </c>
    </row>
    <row r="64" spans="1:14" s="2" customFormat="1" ht="38.25" x14ac:dyDescent="0.2">
      <c r="A64" s="24"/>
      <c r="B64" s="1"/>
      <c r="C64" s="79" t="str">
        <f>"Particulars ( 01-04-2021 to "&amp;TEXT(A5,"dd-mm-yyyy")&amp;" )"</f>
        <v>Particulars ( 01-04-2021 to 10-04-2023 )</v>
      </c>
      <c r="D64" s="80" t="s">
        <v>73</v>
      </c>
      <c r="E64" s="80" t="s">
        <v>74</v>
      </c>
      <c r="F64" s="81" t="s">
        <v>75</v>
      </c>
      <c r="G64" s="80" t="s">
        <v>76</v>
      </c>
      <c r="J64" s="118">
        <f>SUM(J61:J63)</f>
        <v>1554.12</v>
      </c>
      <c r="K64" s="118">
        <f>SUM(K61:K63)</f>
        <v>12385.2</v>
      </c>
      <c r="L64" s="118">
        <f>SUM(L61:L63)</f>
        <v>13376.64</v>
      </c>
      <c r="M64" s="118">
        <f>SUM(M61:M63)</f>
        <v>2545.56</v>
      </c>
    </row>
    <row r="65" spans="1:13" s="2" customFormat="1" x14ac:dyDescent="0.2">
      <c r="A65" s="24"/>
      <c r="B65" s="1"/>
      <c r="C65" s="50" t="s">
        <v>444</v>
      </c>
      <c r="D65" s="55">
        <f>+L61+L62+J62</f>
        <v>3070.6699999999996</v>
      </c>
      <c r="E65" s="55">
        <f>+K61+K62</f>
        <v>2410.5299999999997</v>
      </c>
      <c r="F65" s="55">
        <f>+D65-E65</f>
        <v>660.13999999999987</v>
      </c>
      <c r="G65" s="55">
        <f>1500-F65</f>
        <v>839.86000000000013</v>
      </c>
      <c r="H65" s="2" t="s">
        <v>396</v>
      </c>
    </row>
    <row r="66" spans="1:13" s="2" customFormat="1" x14ac:dyDescent="0.2">
      <c r="A66" s="24"/>
      <c r="B66" s="1"/>
      <c r="C66" s="50" t="s">
        <v>71</v>
      </c>
      <c r="D66" s="55">
        <f>+J63+L63</f>
        <v>11860.09</v>
      </c>
      <c r="E66" s="55">
        <f>+K63</f>
        <v>9974.67</v>
      </c>
      <c r="F66" s="55">
        <f>+D66-E66</f>
        <v>1885.42</v>
      </c>
      <c r="G66" s="55">
        <f>1500+700-F66</f>
        <v>314.57999999999993</v>
      </c>
      <c r="H66" s="2" t="s">
        <v>396</v>
      </c>
    </row>
    <row r="67" spans="1:13" s="2" customFormat="1" x14ac:dyDescent="0.2">
      <c r="A67" s="24"/>
      <c r="B67" s="1"/>
      <c r="C67" s="14"/>
      <c r="D67" s="56"/>
      <c r="E67" s="13"/>
      <c r="G67" s="1"/>
    </row>
    <row r="68" spans="1:13" s="2" customFormat="1" x14ac:dyDescent="0.2">
      <c r="A68" s="215" t="s">
        <v>80</v>
      </c>
      <c r="B68" s="216"/>
      <c r="C68" s="216"/>
      <c r="D68" s="217"/>
      <c r="E68" s="69"/>
      <c r="F68" s="70"/>
      <c r="G68" s="1"/>
      <c r="H68" s="53"/>
    </row>
    <row r="69" spans="1:13" s="2" customFormat="1" x14ac:dyDescent="0.2">
      <c r="A69" s="71" t="s">
        <v>81</v>
      </c>
      <c r="B69" s="71"/>
      <c r="C69" s="72" t="s">
        <v>82</v>
      </c>
      <c r="D69" s="73" t="s">
        <v>83</v>
      </c>
      <c r="E69" s="69"/>
      <c r="F69" s="70"/>
      <c r="H69" s="53"/>
    </row>
    <row r="70" spans="1:13" s="2" customFormat="1" x14ac:dyDescent="0.2">
      <c r="A70" s="87">
        <v>45017</v>
      </c>
      <c r="B70" s="91" t="s">
        <v>6</v>
      </c>
      <c r="C70" s="75" t="s">
        <v>282</v>
      </c>
      <c r="D70" s="88">
        <v>12220</v>
      </c>
      <c r="G70" s="1"/>
      <c r="L70" s="1"/>
      <c r="M70" s="1"/>
    </row>
    <row r="71" spans="1:13" s="2" customFormat="1" x14ac:dyDescent="0.2">
      <c r="A71" s="87">
        <v>45020</v>
      </c>
      <c r="B71" s="91" t="s">
        <v>6</v>
      </c>
      <c r="C71" s="75" t="s">
        <v>271</v>
      </c>
      <c r="D71" s="88">
        <v>584074</v>
      </c>
      <c r="G71" s="1"/>
      <c r="L71" s="1"/>
      <c r="M71" s="1"/>
    </row>
    <row r="72" spans="1:13" s="2" customFormat="1" x14ac:dyDescent="0.2">
      <c r="A72" s="87">
        <v>45022</v>
      </c>
      <c r="B72" s="91" t="s">
        <v>6</v>
      </c>
      <c r="C72" s="75" t="s">
        <v>784</v>
      </c>
      <c r="D72" s="88">
        <v>283512</v>
      </c>
      <c r="G72" s="1"/>
      <c r="L72" s="1"/>
      <c r="M72" s="1"/>
    </row>
    <row r="73" spans="1:13" s="2" customFormat="1" x14ac:dyDescent="0.2">
      <c r="A73" s="87">
        <v>45022</v>
      </c>
      <c r="B73" s="91" t="s">
        <v>6</v>
      </c>
      <c r="C73" s="75" t="s">
        <v>84</v>
      </c>
      <c r="D73" s="88">
        <v>2500000</v>
      </c>
      <c r="G73" s="1"/>
      <c r="L73" s="1"/>
      <c r="M73" s="1"/>
    </row>
    <row r="74" spans="1:13" s="2" customFormat="1" x14ac:dyDescent="0.2">
      <c r="A74" s="87">
        <v>45023</v>
      </c>
      <c r="B74" s="91" t="s">
        <v>6</v>
      </c>
      <c r="C74" s="75" t="s">
        <v>270</v>
      </c>
      <c r="D74" s="88">
        <v>33748</v>
      </c>
      <c r="G74" s="1"/>
      <c r="L74" s="1"/>
      <c r="M74" s="1"/>
    </row>
    <row r="75" spans="1:13" s="2" customFormat="1" x14ac:dyDescent="0.2">
      <c r="A75" s="87">
        <v>45023</v>
      </c>
      <c r="B75" s="91" t="s">
        <v>6</v>
      </c>
      <c r="C75" s="75" t="s">
        <v>270</v>
      </c>
      <c r="D75" s="88">
        <v>114918</v>
      </c>
      <c r="G75" s="1"/>
      <c r="L75" s="1"/>
      <c r="M75" s="1"/>
    </row>
    <row r="76" spans="1:13" s="2" customFormat="1" x14ac:dyDescent="0.2">
      <c r="A76" s="87"/>
      <c r="B76" s="74"/>
      <c r="C76" s="75"/>
      <c r="D76" s="51">
        <f>SUM(D70:D75)</f>
        <v>3528472</v>
      </c>
      <c r="F76" s="2" t="s">
        <v>396</v>
      </c>
      <c r="G76" s="1"/>
      <c r="I76" s="1"/>
      <c r="J76" s="1"/>
      <c r="K76" s="1"/>
      <c r="L76" s="1"/>
      <c r="M76" s="1"/>
    </row>
    <row r="77" spans="1:13" s="2" customFormat="1" x14ac:dyDescent="0.2">
      <c r="A77" s="8"/>
      <c r="B77" s="93"/>
      <c r="C77" s="76"/>
      <c r="D77" s="56"/>
      <c r="G77" s="1"/>
      <c r="I77" s="1"/>
      <c r="J77" s="1"/>
      <c r="K77" s="1"/>
      <c r="L77" s="1"/>
      <c r="M77" s="1"/>
    </row>
    <row r="78" spans="1:13" s="2" customFormat="1" x14ac:dyDescent="0.2">
      <c r="A78" s="24"/>
      <c r="B78" s="1"/>
      <c r="C78" s="218" t="s">
        <v>77</v>
      </c>
      <c r="D78" s="219"/>
      <c r="E78" s="219"/>
      <c r="F78" s="220"/>
      <c r="G78" s="54"/>
      <c r="I78" s="1"/>
      <c r="J78" s="1"/>
      <c r="K78" s="1"/>
      <c r="L78" s="1"/>
      <c r="M78" s="1"/>
    </row>
    <row r="79" spans="1:13" s="2" customFormat="1" x14ac:dyDescent="0.2">
      <c r="A79" s="24"/>
      <c r="B79" s="1"/>
      <c r="C79" s="50"/>
      <c r="D79" s="57" t="s">
        <v>78</v>
      </c>
      <c r="E79" s="58" t="s">
        <v>79</v>
      </c>
      <c r="F79" s="57" t="s">
        <v>72</v>
      </c>
      <c r="G79" s="54"/>
      <c r="I79" s="1"/>
      <c r="J79" s="1"/>
      <c r="K79" s="1"/>
      <c r="L79" s="1"/>
      <c r="M79" s="1"/>
    </row>
    <row r="80" spans="1:13" s="2" customFormat="1" x14ac:dyDescent="0.2">
      <c r="A80" s="24"/>
      <c r="B80" s="1"/>
      <c r="C80" s="59" t="str">
        <f>"01-04-2023 to "&amp;TEXT(A5-2,"dd-mm-yyyy")</f>
        <v>01-04-2023 to 08-04-2023</v>
      </c>
      <c r="D80" s="60">
        <v>1508.92</v>
      </c>
      <c r="E80" s="60">
        <v>158.46</v>
      </c>
      <c r="F80" s="61">
        <f>SUM(D80:E80)</f>
        <v>1667.38</v>
      </c>
      <c r="G80" s="54"/>
      <c r="I80" s="1"/>
      <c r="J80" s="1"/>
      <c r="K80" s="1"/>
      <c r="L80" s="1"/>
      <c r="M80" s="1"/>
    </row>
    <row r="81" spans="1:13" s="2" customFormat="1" x14ac:dyDescent="0.2">
      <c r="A81" s="24"/>
      <c r="B81" s="1"/>
      <c r="C81" s="62" t="str">
        <f>TEXT(A5-1,"dd-mm-yyyy")</f>
        <v>09-04-2023</v>
      </c>
      <c r="D81" s="60">
        <v>0</v>
      </c>
      <c r="E81" s="60">
        <v>0</v>
      </c>
      <c r="F81" s="61">
        <f>SUM(D81:E81)</f>
        <v>0</v>
      </c>
      <c r="G81" s="54"/>
      <c r="I81" s="1"/>
      <c r="J81" s="1"/>
      <c r="K81" s="1"/>
      <c r="L81" s="1"/>
      <c r="M81" s="1"/>
    </row>
    <row r="82" spans="1:13" ht="13.5" thickBot="1" x14ac:dyDescent="0.25">
      <c r="C82" s="63" t="str">
        <f>"01-04-2023 to "&amp;TEXT(A5-1,"dd-mm-yyyy")</f>
        <v>01-04-2023 to 09-04-2023</v>
      </c>
      <c r="D82" s="64">
        <f>SUM(D80:D81)</f>
        <v>1508.92</v>
      </c>
      <c r="E82" s="64">
        <f>SUM(E80:E81)</f>
        <v>158.46</v>
      </c>
      <c r="F82" s="64">
        <f>SUM(F80:F81)</f>
        <v>1667.38</v>
      </c>
      <c r="G82" s="54"/>
    </row>
    <row r="83" spans="1:13" s="2" customFormat="1" ht="13.5" thickTop="1" x14ac:dyDescent="0.2">
      <c r="A83" s="24"/>
      <c r="B83" s="1"/>
      <c r="C83" s="62"/>
      <c r="D83" s="65"/>
      <c r="E83" s="66"/>
      <c r="F83" s="67"/>
      <c r="G83" s="54"/>
      <c r="H83" s="53"/>
    </row>
    <row r="84" spans="1:13" x14ac:dyDescent="0.2">
      <c r="C84" s="62" t="str">
        <f>"01-04-2023 to " &amp;C81</f>
        <v>01-04-2023 to 09-04-2023</v>
      </c>
      <c r="D84" s="68">
        <f>+D82</f>
        <v>1508.92</v>
      </c>
      <c r="E84" s="68">
        <f>+E82</f>
        <v>158.46</v>
      </c>
      <c r="F84" s="68">
        <f>+F82</f>
        <v>1667.38</v>
      </c>
      <c r="G84" s="54"/>
      <c r="H84" s="53" t="s">
        <v>396</v>
      </c>
    </row>
    <row r="85" spans="1:13" x14ac:dyDescent="0.2">
      <c r="C85" s="52"/>
      <c r="D85" s="85"/>
      <c r="E85" s="53"/>
      <c r="F85" s="53"/>
      <c r="G85" s="54"/>
      <c r="H85" s="53" t="s">
        <v>396</v>
      </c>
      <c r="J85" s="42"/>
    </row>
    <row r="86" spans="1:13" x14ac:dyDescent="0.2">
      <c r="C86" s="52"/>
      <c r="D86" s="85"/>
      <c r="E86" s="53"/>
      <c r="F86" s="53"/>
      <c r="G86" s="54"/>
      <c r="H86" s="53"/>
      <c r="I86" s="101"/>
    </row>
    <row r="87" spans="1:13" x14ac:dyDescent="0.2">
      <c r="C87" s="52"/>
      <c r="D87" s="85"/>
      <c r="E87" s="53"/>
      <c r="F87" s="53"/>
      <c r="G87" s="54"/>
      <c r="H87" s="53"/>
    </row>
    <row r="88" spans="1:13" x14ac:dyDescent="0.2">
      <c r="C88" s="52"/>
      <c r="D88" s="85"/>
      <c r="E88" s="53"/>
      <c r="F88" s="53"/>
      <c r="G88" s="54"/>
      <c r="H88" s="53"/>
    </row>
    <row r="89" spans="1:13" x14ac:dyDescent="0.2">
      <c r="H89" s="53"/>
    </row>
  </sheetData>
  <mergeCells count="5">
    <mergeCell ref="A1:G1"/>
    <mergeCell ref="A3:F3"/>
    <mergeCell ref="A9:F9"/>
    <mergeCell ref="A68:D68"/>
    <mergeCell ref="C78:F78"/>
  </mergeCells>
  <conditionalFormatting sqref="G65:G66">
    <cfRule type="cellIs" dxfId="649" priority="1" operator="lessThan">
      <formula>0</formula>
    </cfRule>
  </conditionalFormatting>
  <conditionalFormatting sqref="C11">
    <cfRule type="duplicateValues" dxfId="648" priority="2"/>
  </conditionalFormatting>
  <conditionalFormatting sqref="C12:C45">
    <cfRule type="duplicateValues" dxfId="647" priority="428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03">
    <pageSetUpPr fitToPage="1"/>
  </sheetPr>
  <dimension ref="A1:N90"/>
  <sheetViews>
    <sheetView topLeftCell="A8" zoomScaleNormal="100" workbookViewId="0">
      <selection activeCell="C19" sqref="C19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49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862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2.75" customHeight="1" x14ac:dyDescent="0.4">
      <c r="A5" s="89">
        <v>45027</v>
      </c>
      <c r="B5" s="9" t="s">
        <v>6</v>
      </c>
      <c r="C5" s="10" t="s">
        <v>7</v>
      </c>
      <c r="D5" s="11"/>
      <c r="E5" s="12">
        <v>557118.69999999879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557118.69999999879</v>
      </c>
      <c r="F6" s="16">
        <f>SUM(F5:F5)</f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E6-F6</f>
        <v>557118.69999999879</v>
      </c>
      <c r="F7" s="22"/>
      <c r="G7" s="23"/>
      <c r="H7" s="112"/>
      <c r="I7" s="112"/>
      <c r="J7" s="13"/>
    </row>
    <row r="8" spans="1:10" s="2" customFormat="1" ht="12.75" customHeight="1" x14ac:dyDescent="0.4">
      <c r="A8" s="24"/>
      <c r="B8" s="1"/>
      <c r="C8" s="14"/>
      <c r="D8" s="25"/>
      <c r="G8" s="23"/>
      <c r="H8" s="112"/>
      <c r="I8" s="112"/>
      <c r="J8" s="13"/>
    </row>
    <row r="9" spans="1:10" s="2" customFormat="1" ht="21.75" customHeight="1" x14ac:dyDescent="0.4">
      <c r="A9" s="214" t="s">
        <v>10</v>
      </c>
      <c r="B9" s="214"/>
      <c r="C9" s="214"/>
      <c r="D9" s="214"/>
      <c r="E9" s="214"/>
      <c r="F9" s="214"/>
      <c r="G9" s="13"/>
      <c r="H9" s="112"/>
      <c r="I9" s="112"/>
      <c r="J9" s="13"/>
    </row>
    <row r="10" spans="1:10" s="2" customFormat="1" ht="12.75" customHeight="1" x14ac:dyDescent="0.4">
      <c r="A10" s="26" t="s">
        <v>1</v>
      </c>
      <c r="B10" s="27" t="s">
        <v>2</v>
      </c>
      <c r="C10" s="5"/>
      <c r="D10" s="6" t="s">
        <v>3</v>
      </c>
      <c r="E10" s="7" t="s">
        <v>4</v>
      </c>
      <c r="F10" s="7" t="s">
        <v>5</v>
      </c>
      <c r="G10" s="23"/>
      <c r="H10" s="112"/>
      <c r="I10" s="112"/>
      <c r="J10" s="13"/>
    </row>
    <row r="11" spans="1:10" s="2" customFormat="1" ht="12.75" customHeight="1" x14ac:dyDescent="0.2">
      <c r="A11" s="89">
        <v>45027</v>
      </c>
      <c r="B11" s="91" t="s">
        <v>11</v>
      </c>
      <c r="C11" s="29" t="s">
        <v>7</v>
      </c>
      <c r="D11" s="25"/>
      <c r="E11" s="31"/>
      <c r="F11" s="2">
        <v>367635951.91000021</v>
      </c>
      <c r="G11" s="30"/>
      <c r="I11" s="13"/>
      <c r="J11" s="13"/>
    </row>
    <row r="12" spans="1:10" s="2" customFormat="1" ht="12.75" customHeight="1" x14ac:dyDescent="0.2">
      <c r="A12" s="89">
        <v>45027</v>
      </c>
      <c r="B12" s="91" t="s">
        <v>6</v>
      </c>
      <c r="C12" s="76" t="s">
        <v>764</v>
      </c>
      <c r="D12" s="116" t="s">
        <v>13</v>
      </c>
      <c r="E12" s="31">
        <v>690880.48</v>
      </c>
      <c r="G12" s="30"/>
      <c r="I12" s="13"/>
      <c r="J12" s="13"/>
    </row>
    <row r="13" spans="1:10" s="2" customFormat="1" ht="12.75" customHeight="1" x14ac:dyDescent="0.2">
      <c r="A13" s="89">
        <v>45027</v>
      </c>
      <c r="B13" s="91" t="s">
        <v>6</v>
      </c>
      <c r="C13" s="76" t="s">
        <v>759</v>
      </c>
      <c r="D13" s="116" t="s">
        <v>13</v>
      </c>
      <c r="E13" s="31">
        <v>4148102.7</v>
      </c>
      <c r="G13" s="30"/>
      <c r="I13" s="13"/>
      <c r="J13" s="13"/>
    </row>
    <row r="14" spans="1:10" s="2" customFormat="1" ht="12.75" customHeight="1" x14ac:dyDescent="0.2">
      <c r="A14" s="89">
        <v>45027</v>
      </c>
      <c r="B14" s="91" t="s">
        <v>6</v>
      </c>
      <c r="C14" s="76" t="s">
        <v>748</v>
      </c>
      <c r="D14" s="116" t="s">
        <v>13</v>
      </c>
      <c r="E14" s="31">
        <v>543959.88</v>
      </c>
      <c r="G14" s="30"/>
      <c r="I14" s="13"/>
      <c r="J14" s="13"/>
    </row>
    <row r="15" spans="1:10" s="2" customFormat="1" ht="12.75" customHeight="1" x14ac:dyDescent="0.2">
      <c r="A15" s="89">
        <v>45027</v>
      </c>
      <c r="B15" s="91" t="s">
        <v>6</v>
      </c>
      <c r="C15" s="76" t="s">
        <v>750</v>
      </c>
      <c r="D15" s="116" t="s">
        <v>13</v>
      </c>
      <c r="E15" s="31">
        <v>1433905.14</v>
      </c>
      <c r="G15" s="30"/>
      <c r="I15" s="13"/>
      <c r="J15" s="13"/>
    </row>
    <row r="16" spans="1:10" s="2" customFormat="1" ht="12.75" customHeight="1" x14ac:dyDescent="0.2">
      <c r="A16" s="89">
        <v>45027</v>
      </c>
      <c r="B16" s="91" t="s">
        <v>6</v>
      </c>
      <c r="C16" s="76" t="s">
        <v>758</v>
      </c>
      <c r="D16" s="116" t="s">
        <v>13</v>
      </c>
      <c r="E16" s="31">
        <v>2327053.58</v>
      </c>
      <c r="G16" s="30"/>
      <c r="I16" s="13"/>
      <c r="J16" s="13"/>
    </row>
    <row r="17" spans="1:10" s="2" customFormat="1" ht="12.75" customHeight="1" x14ac:dyDescent="0.2">
      <c r="A17" s="89">
        <v>45027</v>
      </c>
      <c r="B17" s="91" t="s">
        <v>6</v>
      </c>
      <c r="C17" s="76" t="s">
        <v>863</v>
      </c>
      <c r="D17" s="116" t="s">
        <v>13</v>
      </c>
      <c r="E17" s="31">
        <v>524179</v>
      </c>
      <c r="G17" s="30"/>
      <c r="I17" s="13"/>
      <c r="J17" s="13"/>
    </row>
    <row r="18" spans="1:10" s="2" customFormat="1" ht="12.75" customHeight="1" x14ac:dyDescent="0.2">
      <c r="A18" s="89">
        <v>45027</v>
      </c>
      <c r="B18" s="91" t="s">
        <v>6</v>
      </c>
      <c r="C18" s="76" t="s">
        <v>146</v>
      </c>
      <c r="D18" s="116" t="s">
        <v>13</v>
      </c>
      <c r="E18" s="31">
        <v>409283.42</v>
      </c>
      <c r="G18" s="30"/>
      <c r="I18" s="13"/>
      <c r="J18" s="13"/>
    </row>
    <row r="19" spans="1:10" s="2" customFormat="1" ht="12.75" customHeight="1" x14ac:dyDescent="0.2">
      <c r="A19" s="89">
        <v>45027</v>
      </c>
      <c r="B19" s="91" t="s">
        <v>6</v>
      </c>
      <c r="C19" s="76" t="s">
        <v>867</v>
      </c>
      <c r="D19" s="116" t="s">
        <v>13</v>
      </c>
      <c r="E19" s="31">
        <v>987710</v>
      </c>
      <c r="G19" s="30"/>
      <c r="I19" s="13"/>
      <c r="J19" s="13"/>
    </row>
    <row r="20" spans="1:10" s="2" customFormat="1" ht="12.75" customHeight="1" x14ac:dyDescent="0.2">
      <c r="A20" s="89">
        <v>45027</v>
      </c>
      <c r="B20" s="91" t="s">
        <v>6</v>
      </c>
      <c r="C20" s="76" t="s">
        <v>661</v>
      </c>
      <c r="D20" s="116" t="s">
        <v>13</v>
      </c>
      <c r="E20" s="31">
        <v>5000000</v>
      </c>
      <c r="G20" s="30"/>
      <c r="I20" s="13"/>
      <c r="J20" s="13"/>
    </row>
    <row r="21" spans="1:10" s="2" customFormat="1" ht="12.75" customHeight="1" x14ac:dyDescent="0.2">
      <c r="A21" s="89">
        <v>45027</v>
      </c>
      <c r="B21" s="91" t="s">
        <v>6</v>
      </c>
      <c r="C21" s="76" t="s">
        <v>865</v>
      </c>
      <c r="D21" s="116" t="s">
        <v>13</v>
      </c>
      <c r="E21" s="31">
        <v>5000000</v>
      </c>
      <c r="G21" s="30"/>
      <c r="I21" s="13"/>
      <c r="J21" s="13"/>
    </row>
    <row r="22" spans="1:10" s="2" customFormat="1" ht="12.75" customHeight="1" x14ac:dyDescent="0.2">
      <c r="A22" s="89">
        <v>45027</v>
      </c>
      <c r="B22" s="91" t="s">
        <v>6</v>
      </c>
      <c r="C22" s="76" t="s">
        <v>15</v>
      </c>
      <c r="D22" s="116" t="s">
        <v>13</v>
      </c>
      <c r="E22" s="31">
        <v>12555.68</v>
      </c>
      <c r="G22" s="30"/>
      <c r="I22" s="13"/>
      <c r="J22" s="13"/>
    </row>
    <row r="23" spans="1:10" s="2" customFormat="1" ht="12.75" customHeight="1" x14ac:dyDescent="0.2">
      <c r="A23" s="89">
        <v>45027</v>
      </c>
      <c r="B23" s="91" t="s">
        <v>6</v>
      </c>
      <c r="C23" s="76" t="s">
        <v>648</v>
      </c>
      <c r="D23" s="116" t="s">
        <v>13</v>
      </c>
      <c r="E23" s="31">
        <v>282910</v>
      </c>
      <c r="G23" s="30"/>
      <c r="I23" s="13"/>
      <c r="J23" s="13"/>
    </row>
    <row r="24" spans="1:10" s="2" customFormat="1" ht="12.75" customHeight="1" x14ac:dyDescent="0.2">
      <c r="A24" s="89">
        <v>45027</v>
      </c>
      <c r="B24" s="91" t="s">
        <v>6</v>
      </c>
      <c r="C24" s="76" t="s">
        <v>238</v>
      </c>
      <c r="D24" s="116" t="s">
        <v>13</v>
      </c>
      <c r="E24" s="31">
        <v>1000000</v>
      </c>
      <c r="G24" s="30"/>
      <c r="I24" s="13"/>
      <c r="J24" s="13"/>
    </row>
    <row r="25" spans="1:10" s="2" customFormat="1" ht="12.75" customHeight="1" x14ac:dyDescent="0.2">
      <c r="A25" s="89">
        <v>45027</v>
      </c>
      <c r="B25" s="91" t="s">
        <v>6</v>
      </c>
      <c r="C25" s="76" t="s">
        <v>866</v>
      </c>
      <c r="D25" s="116" t="s">
        <v>13</v>
      </c>
      <c r="E25" s="31">
        <v>2869709.19</v>
      </c>
      <c r="G25" s="30"/>
      <c r="I25" s="13"/>
      <c r="J25" s="13"/>
    </row>
    <row r="26" spans="1:10" s="2" customFormat="1" ht="12.75" customHeight="1" x14ac:dyDescent="0.2">
      <c r="A26" s="89">
        <v>45027</v>
      </c>
      <c r="B26" s="91" t="s">
        <v>6</v>
      </c>
      <c r="C26" s="76" t="s">
        <v>553</v>
      </c>
      <c r="D26" s="116" t="s">
        <v>13</v>
      </c>
      <c r="E26" s="31">
        <v>3064761.79</v>
      </c>
      <c r="G26" s="30"/>
      <c r="I26" s="13"/>
      <c r="J26" s="13"/>
    </row>
    <row r="27" spans="1:10" s="2" customFormat="1" ht="12.75" customHeight="1" x14ac:dyDescent="0.2">
      <c r="A27" s="89">
        <v>45027</v>
      </c>
      <c r="B27" s="91" t="s">
        <v>6</v>
      </c>
      <c r="C27" s="76" t="s">
        <v>149</v>
      </c>
      <c r="D27" s="116" t="s">
        <v>13</v>
      </c>
      <c r="E27" s="31">
        <v>6722</v>
      </c>
      <c r="G27" s="30"/>
      <c r="I27" s="13"/>
      <c r="J27" s="13"/>
    </row>
    <row r="28" spans="1:10" s="2" customFormat="1" ht="12.75" customHeight="1" x14ac:dyDescent="0.2">
      <c r="A28" s="89">
        <v>45027</v>
      </c>
      <c r="B28" s="91" t="s">
        <v>6</v>
      </c>
      <c r="C28" s="76" t="s">
        <v>105</v>
      </c>
      <c r="D28" s="116" t="s">
        <v>13</v>
      </c>
      <c r="E28" s="31">
        <v>18357</v>
      </c>
      <c r="G28" s="30"/>
      <c r="I28" s="13"/>
      <c r="J28" s="13"/>
    </row>
    <row r="29" spans="1:10" s="2" customFormat="1" ht="12.75" customHeight="1" x14ac:dyDescent="0.2">
      <c r="A29" s="89">
        <v>45027</v>
      </c>
      <c r="B29" s="91" t="s">
        <v>6</v>
      </c>
      <c r="C29" s="76" t="s">
        <v>819</v>
      </c>
      <c r="D29" s="116" t="s">
        <v>13</v>
      </c>
      <c r="E29" s="31">
        <v>8820</v>
      </c>
      <c r="G29" s="30"/>
      <c r="I29" s="13"/>
      <c r="J29" s="13"/>
    </row>
    <row r="30" spans="1:10" s="2" customFormat="1" ht="12.75" customHeight="1" x14ac:dyDescent="0.2">
      <c r="A30" s="89">
        <v>45027</v>
      </c>
      <c r="B30" s="91" t="s">
        <v>6</v>
      </c>
      <c r="C30" s="76" t="s">
        <v>19</v>
      </c>
      <c r="D30" s="116" t="s">
        <v>13</v>
      </c>
      <c r="E30" s="31">
        <v>2465</v>
      </c>
      <c r="G30" s="30"/>
      <c r="I30" s="13"/>
      <c r="J30" s="13"/>
    </row>
    <row r="31" spans="1:10" s="2" customFormat="1" ht="12.75" customHeight="1" x14ac:dyDescent="0.2">
      <c r="A31" s="89">
        <v>45027</v>
      </c>
      <c r="B31" s="91" t="s">
        <v>6</v>
      </c>
      <c r="C31" s="76" t="s">
        <v>765</v>
      </c>
      <c r="D31" s="116" t="s">
        <v>13</v>
      </c>
      <c r="E31" s="31">
        <v>1901755.48</v>
      </c>
      <c r="G31" s="30"/>
      <c r="I31" s="13"/>
      <c r="J31" s="13"/>
    </row>
    <row r="32" spans="1:10" s="2" customFormat="1" ht="12.75" customHeight="1" x14ac:dyDescent="0.2">
      <c r="A32" s="89">
        <v>45027</v>
      </c>
      <c r="B32" s="91" t="s">
        <v>11</v>
      </c>
      <c r="C32" s="76" t="s">
        <v>64</v>
      </c>
      <c r="D32" s="116" t="s">
        <v>29</v>
      </c>
      <c r="E32" s="31"/>
      <c r="F32" s="2">
        <f>27941.87+0.3</f>
        <v>27942.17</v>
      </c>
      <c r="G32" s="30"/>
      <c r="I32" s="13"/>
      <c r="J32" s="13"/>
    </row>
    <row r="33" spans="1:14" s="2" customFormat="1" ht="12.75" customHeight="1" x14ac:dyDescent="0.2">
      <c r="A33" s="89">
        <v>45027</v>
      </c>
      <c r="B33" s="91" t="s">
        <v>11</v>
      </c>
      <c r="C33" s="76" t="s">
        <v>765</v>
      </c>
      <c r="D33" s="116" t="s">
        <v>29</v>
      </c>
      <c r="E33" s="31"/>
      <c r="F33" s="2">
        <v>1821188.39</v>
      </c>
      <c r="G33" s="30"/>
      <c r="I33" s="13"/>
      <c r="J33" s="13"/>
    </row>
    <row r="34" spans="1:14" s="2" customFormat="1" ht="12.75" customHeight="1" x14ac:dyDescent="0.2">
      <c r="A34" s="89">
        <v>45027</v>
      </c>
      <c r="B34" s="91" t="s">
        <v>11</v>
      </c>
      <c r="C34" s="76" t="s">
        <v>864</v>
      </c>
      <c r="D34" s="116" t="s">
        <v>29</v>
      </c>
      <c r="E34" s="31"/>
      <c r="F34" s="2">
        <v>206500</v>
      </c>
      <c r="G34" s="30"/>
      <c r="I34" s="13"/>
      <c r="J34" s="13"/>
    </row>
    <row r="35" spans="1:14" s="2" customFormat="1" ht="12.75" customHeight="1" x14ac:dyDescent="0.2">
      <c r="A35" s="89">
        <v>45027</v>
      </c>
      <c r="B35" s="91" t="s">
        <v>11</v>
      </c>
      <c r="C35" s="76" t="s">
        <v>109</v>
      </c>
      <c r="D35" s="116" t="s">
        <v>29</v>
      </c>
      <c r="E35" s="31"/>
      <c r="F35" s="2">
        <v>1153933</v>
      </c>
      <c r="G35" s="30"/>
      <c r="I35" s="13"/>
      <c r="J35" s="13"/>
    </row>
    <row r="36" spans="1:14" s="2" customFormat="1" ht="12.75" customHeight="1" x14ac:dyDescent="0.2">
      <c r="A36" s="89">
        <v>45027</v>
      </c>
      <c r="B36" s="91" t="s">
        <v>11</v>
      </c>
      <c r="C36" s="76" t="s">
        <v>199</v>
      </c>
      <c r="D36" s="116" t="s">
        <v>29</v>
      </c>
      <c r="E36" s="31"/>
      <c r="F36" s="2">
        <v>815365</v>
      </c>
      <c r="G36" s="30"/>
      <c r="I36" s="13"/>
      <c r="J36" s="13"/>
    </row>
    <row r="37" spans="1:14" s="2" customFormat="1" ht="12.75" customHeight="1" x14ac:dyDescent="0.2">
      <c r="A37" s="89">
        <v>45027</v>
      </c>
      <c r="B37" s="91" t="s">
        <v>11</v>
      </c>
      <c r="C37" s="76" t="s">
        <v>110</v>
      </c>
      <c r="D37" s="116" t="s">
        <v>29</v>
      </c>
      <c r="E37" s="31"/>
      <c r="F37" s="2">
        <v>926355.92</v>
      </c>
      <c r="G37" s="30"/>
      <c r="I37" s="13"/>
      <c r="J37" s="13"/>
    </row>
    <row r="38" spans="1:14" s="2" customFormat="1" ht="12.75" customHeight="1" x14ac:dyDescent="0.2">
      <c r="A38" s="89">
        <v>45027</v>
      </c>
      <c r="B38" s="91" t="s">
        <v>11</v>
      </c>
      <c r="C38" s="76" t="s">
        <v>95</v>
      </c>
      <c r="D38" s="116" t="s">
        <v>29</v>
      </c>
      <c r="E38" s="31"/>
      <c r="F38" s="2">
        <v>49500</v>
      </c>
      <c r="G38" s="30"/>
      <c r="I38" s="13"/>
      <c r="J38" s="13"/>
    </row>
    <row r="39" spans="1:14" s="2" customFormat="1" ht="12.75" customHeight="1" x14ac:dyDescent="0.2">
      <c r="A39" s="89">
        <v>45027</v>
      </c>
      <c r="B39" s="91" t="s">
        <v>11</v>
      </c>
      <c r="C39" s="76" t="s">
        <v>486</v>
      </c>
      <c r="D39" s="116" t="s">
        <v>29</v>
      </c>
      <c r="E39" s="31"/>
      <c r="F39" s="2">
        <v>1000000</v>
      </c>
      <c r="G39" s="30"/>
      <c r="I39" s="13"/>
      <c r="J39" s="13"/>
    </row>
    <row r="40" spans="1:14" s="2" customFormat="1" ht="12.75" customHeight="1" x14ac:dyDescent="0.2">
      <c r="A40" s="89">
        <v>45027</v>
      </c>
      <c r="B40" s="91" t="s">
        <v>11</v>
      </c>
      <c r="C40" s="76" t="s">
        <v>242</v>
      </c>
      <c r="D40" s="116" t="s">
        <v>29</v>
      </c>
      <c r="E40" s="31"/>
      <c r="F40" s="2">
        <v>101060</v>
      </c>
      <c r="G40" s="30"/>
      <c r="I40" s="13"/>
      <c r="J40" s="13"/>
    </row>
    <row r="41" spans="1:14" s="2" customFormat="1" ht="12.75" customHeight="1" x14ac:dyDescent="0.2">
      <c r="A41" s="89">
        <v>45027</v>
      </c>
      <c r="B41" s="91" t="s">
        <v>11</v>
      </c>
      <c r="C41" s="76" t="s">
        <v>235</v>
      </c>
      <c r="D41" s="116" t="s">
        <v>29</v>
      </c>
      <c r="E41" s="31"/>
      <c r="F41" s="2">
        <v>5961</v>
      </c>
      <c r="G41" s="30"/>
      <c r="I41" s="13"/>
      <c r="J41" s="13"/>
    </row>
    <row r="42" spans="1:14" s="2" customFormat="1" ht="12.75" customHeight="1" x14ac:dyDescent="0.2">
      <c r="A42" s="89">
        <v>45027</v>
      </c>
      <c r="B42" s="91" t="s">
        <v>11</v>
      </c>
      <c r="C42" s="76" t="s">
        <v>96</v>
      </c>
      <c r="D42" s="116" t="s">
        <v>29</v>
      </c>
      <c r="E42" s="31"/>
      <c r="F42" s="2">
        <v>5516</v>
      </c>
      <c r="G42" s="30"/>
      <c r="I42" s="13"/>
      <c r="J42" s="13"/>
    </row>
    <row r="43" spans="1:14" s="2" customFormat="1" ht="12.75" customHeight="1" x14ac:dyDescent="0.2">
      <c r="A43" s="89">
        <v>45027</v>
      </c>
      <c r="B43" s="91" t="s">
        <v>11</v>
      </c>
      <c r="C43" s="76" t="s">
        <v>57</v>
      </c>
      <c r="D43" s="116" t="s">
        <v>29</v>
      </c>
      <c r="E43" s="31"/>
      <c r="F43" s="2">
        <v>3000000</v>
      </c>
      <c r="G43" s="30"/>
      <c r="I43" s="13"/>
      <c r="J43" s="13"/>
    </row>
    <row r="44" spans="1:14" s="2" customFormat="1" ht="12.75" customHeight="1" x14ac:dyDescent="0.2">
      <c r="A44" s="89">
        <v>45027</v>
      </c>
      <c r="B44" s="91" t="s">
        <v>11</v>
      </c>
      <c r="C44" s="76" t="s">
        <v>156</v>
      </c>
      <c r="D44" s="116" t="s">
        <v>29</v>
      </c>
      <c r="E44" s="31"/>
      <c r="F44" s="2">
        <v>7313.6399999999994</v>
      </c>
      <c r="G44" s="30"/>
      <c r="I44" s="13"/>
      <c r="J44" s="13"/>
    </row>
    <row r="45" spans="1:14" s="2" customFormat="1" ht="12.75" customHeight="1" x14ac:dyDescent="0.2">
      <c r="A45" s="89">
        <v>45027</v>
      </c>
      <c r="B45" s="91" t="s">
        <v>11</v>
      </c>
      <c r="C45" s="76" t="s">
        <v>559</v>
      </c>
      <c r="D45" s="116" t="s">
        <v>29</v>
      </c>
      <c r="E45" s="31"/>
      <c r="F45" s="2">
        <v>5637</v>
      </c>
      <c r="G45" s="30"/>
      <c r="I45" s="13"/>
      <c r="J45" s="13"/>
    </row>
    <row r="46" spans="1:14" s="2" customFormat="1" ht="12.75" customHeight="1" x14ac:dyDescent="0.2">
      <c r="A46" s="89">
        <v>45027</v>
      </c>
      <c r="B46" s="91" t="s">
        <v>11</v>
      </c>
      <c r="C46" s="76" t="s">
        <v>305</v>
      </c>
      <c r="D46" s="116" t="s">
        <v>29</v>
      </c>
      <c r="E46" s="31"/>
      <c r="F46" s="2">
        <v>10000000</v>
      </c>
      <c r="G46" s="30"/>
      <c r="I46" s="13"/>
      <c r="J46" s="99" t="s">
        <v>601</v>
      </c>
      <c r="K46" s="99" t="s">
        <v>779</v>
      </c>
    </row>
    <row r="47" spans="1:14" s="2" customFormat="1" ht="12.75" customHeight="1" x14ac:dyDescent="0.25">
      <c r="A47" s="32"/>
      <c r="B47" s="33"/>
      <c r="C47" s="14"/>
      <c r="D47" s="34"/>
      <c r="E47" s="16">
        <f>SUM(E11:E46)</f>
        <v>30233130.34</v>
      </c>
      <c r="F47" s="16">
        <f>SUM(F11:F46)</f>
        <v>386762224.03000021</v>
      </c>
      <c r="G47" s="30"/>
      <c r="H47" s="1"/>
      <c r="I47" s="39">
        <v>364456373.69</v>
      </c>
      <c r="J47" s="2">
        <f>1972203+1220426+1321352+3017518</f>
        <v>7531499</v>
      </c>
      <c r="K47" s="92">
        <f>E48-I47</f>
        <v>-7927279.9999997616</v>
      </c>
      <c r="L47" s="41"/>
      <c r="M47" s="42">
        <f>K47+J47</f>
        <v>-395780.99999976158</v>
      </c>
      <c r="N47" s="1"/>
    </row>
    <row r="48" spans="1:14" s="2" customFormat="1" x14ac:dyDescent="0.2">
      <c r="A48" s="36"/>
      <c r="B48" s="28" t="s">
        <v>11</v>
      </c>
      <c r="C48" s="19" t="s">
        <v>65</v>
      </c>
      <c r="D48" s="37"/>
      <c r="E48" s="38">
        <f>F47-E47</f>
        <v>356529093.69000024</v>
      </c>
      <c r="F48" s="22"/>
      <c r="G48" s="1"/>
      <c r="H48" s="1"/>
      <c r="J48" s="1"/>
      <c r="K48" s="1"/>
      <c r="L48" s="1"/>
      <c r="M48" s="1"/>
      <c r="N48" s="1"/>
    </row>
    <row r="49" spans="1:14" x14ac:dyDescent="0.2">
      <c r="A49" s="36"/>
      <c r="B49" s="28" t="s">
        <v>66</v>
      </c>
      <c r="C49" s="43" t="s">
        <v>67</v>
      </c>
      <c r="D49" s="43"/>
      <c r="E49" s="12">
        <v>0</v>
      </c>
      <c r="F49" s="22"/>
      <c r="H49" s="40"/>
      <c r="I49" s="45">
        <v>754.17</v>
      </c>
      <c r="J49" s="46"/>
      <c r="K49" s="46"/>
      <c r="L49" s="13"/>
      <c r="M49" s="2"/>
      <c r="N49" s="2"/>
    </row>
    <row r="50" spans="1:14" ht="15" x14ac:dyDescent="0.25">
      <c r="A50" s="36"/>
      <c r="B50" s="28"/>
      <c r="C50" s="44" t="s">
        <v>68</v>
      </c>
      <c r="D50" s="43"/>
      <c r="E50" s="7">
        <f>E48+E49</f>
        <v>356529093.69000024</v>
      </c>
      <c r="F50" s="22"/>
      <c r="H50" s="103" t="s">
        <v>69</v>
      </c>
      <c r="I50" s="45">
        <v>-8.4</v>
      </c>
      <c r="J50" s="46"/>
      <c r="K50" s="46"/>
      <c r="L50" s="2"/>
      <c r="M50" s="2"/>
      <c r="N50" s="2"/>
    </row>
    <row r="51" spans="1:14" s="2" customFormat="1" x14ac:dyDescent="0.2">
      <c r="A51" s="24"/>
      <c r="B51" s="1"/>
      <c r="C51" s="14"/>
      <c r="D51" s="25"/>
      <c r="E51" s="1"/>
      <c r="H51" s="35" t="s">
        <v>70</v>
      </c>
      <c r="I51" s="45">
        <v>0</v>
      </c>
      <c r="J51" s="46">
        <f>+I52-D54</f>
        <v>0</v>
      </c>
      <c r="M51" s="2">
        <v>19.57</v>
      </c>
      <c r="N51" s="2" t="s">
        <v>535</v>
      </c>
    </row>
    <row r="52" spans="1:14" s="2" customFormat="1" x14ac:dyDescent="0.2">
      <c r="A52" s="24"/>
      <c r="B52" s="1"/>
      <c r="C52" s="56"/>
      <c r="D52" s="56"/>
      <c r="E52" s="104"/>
      <c r="G52" s="1"/>
      <c r="I52" s="49">
        <f>SUM(I49:I51)</f>
        <v>745.77</v>
      </c>
      <c r="J52" s="46"/>
      <c r="K52" s="46"/>
    </row>
    <row r="53" spans="1:14" s="2" customFormat="1" x14ac:dyDescent="0.2">
      <c r="A53" s="24"/>
      <c r="B53" s="1"/>
      <c r="C53" s="78" t="s">
        <v>575</v>
      </c>
      <c r="D53" s="48" t="s">
        <v>576</v>
      </c>
      <c r="E53" s="104"/>
      <c r="G53" s="1"/>
    </row>
    <row r="54" spans="1:14" s="2" customFormat="1" x14ac:dyDescent="0.2">
      <c r="A54" s="24"/>
      <c r="B54" s="1"/>
      <c r="C54" s="47" t="s">
        <v>570</v>
      </c>
      <c r="D54" s="111">
        <v>745.77</v>
      </c>
      <c r="E54" s="104"/>
      <c r="G54" s="1"/>
      <c r="H54" s="110" t="s">
        <v>581</v>
      </c>
    </row>
    <row r="55" spans="1:14" s="2" customFormat="1" x14ac:dyDescent="0.2">
      <c r="A55" s="24"/>
      <c r="B55" s="1"/>
      <c r="C55" s="47" t="s">
        <v>571</v>
      </c>
      <c r="D55" s="111">
        <v>0</v>
      </c>
      <c r="E55" s="104"/>
      <c r="G55" s="1"/>
      <c r="H55" s="110" t="s">
        <v>580</v>
      </c>
    </row>
    <row r="56" spans="1:14" s="2" customFormat="1" x14ac:dyDescent="0.2">
      <c r="A56" s="24"/>
      <c r="B56" s="1"/>
      <c r="C56" s="47" t="s">
        <v>572</v>
      </c>
      <c r="D56" s="111">
        <f>+D77/100000</f>
        <v>35.28472</v>
      </c>
      <c r="E56" s="104"/>
      <c r="G56" s="1"/>
      <c r="H56" s="90" t="s">
        <v>587</v>
      </c>
    </row>
    <row r="57" spans="1:14" s="2" customFormat="1" x14ac:dyDescent="0.2">
      <c r="A57" s="24"/>
      <c r="B57" s="1"/>
      <c r="C57" s="108" t="s">
        <v>578</v>
      </c>
      <c r="D57" s="48">
        <f>SUM(D54:D56)</f>
        <v>781.05471999999997</v>
      </c>
      <c r="E57" s="104"/>
      <c r="G57" s="1"/>
    </row>
    <row r="58" spans="1:14" s="2" customFormat="1" x14ac:dyDescent="0.2">
      <c r="A58" s="24"/>
      <c r="B58" s="1"/>
      <c r="C58" s="47"/>
      <c r="D58" s="107"/>
      <c r="E58" s="104"/>
      <c r="G58" s="1"/>
    </row>
    <row r="59" spans="1:14" s="2" customFormat="1" x14ac:dyDescent="0.2">
      <c r="A59" s="24"/>
      <c r="B59" s="1"/>
      <c r="C59" s="47" t="s">
        <v>573</v>
      </c>
      <c r="D59" s="111">
        <v>3.36</v>
      </c>
      <c r="E59" s="104"/>
      <c r="G59" s="1"/>
      <c r="H59" s="110" t="s">
        <v>581</v>
      </c>
    </row>
    <row r="60" spans="1:14" s="2" customFormat="1" x14ac:dyDescent="0.2">
      <c r="A60" s="24"/>
      <c r="B60" s="1"/>
      <c r="C60" s="47" t="s">
        <v>574</v>
      </c>
      <c r="D60" s="111">
        <f>308.84-18.21</f>
        <v>290.63</v>
      </c>
      <c r="E60" s="104"/>
      <c r="G60" s="1"/>
      <c r="H60" s="110" t="s">
        <v>581</v>
      </c>
      <c r="J60" s="114" t="s">
        <v>713</v>
      </c>
    </row>
    <row r="61" spans="1:14" s="2" customFormat="1" x14ac:dyDescent="0.2">
      <c r="A61" s="24"/>
      <c r="B61" s="1"/>
      <c r="C61" s="78" t="s">
        <v>579</v>
      </c>
      <c r="D61" s="109">
        <f>D59+D60</f>
        <v>293.99</v>
      </c>
      <c r="E61" s="104"/>
      <c r="G61" s="1"/>
      <c r="I61" s="113"/>
      <c r="J61" s="113" t="s">
        <v>709</v>
      </c>
      <c r="K61" s="113" t="s">
        <v>710</v>
      </c>
      <c r="L61" s="113" t="s">
        <v>711</v>
      </c>
      <c r="M61" s="113" t="s">
        <v>712</v>
      </c>
    </row>
    <row r="62" spans="1:14" s="2" customFormat="1" x14ac:dyDescent="0.2">
      <c r="A62" s="24"/>
      <c r="B62" s="1"/>
      <c r="C62" s="105"/>
      <c r="D62" s="106"/>
      <c r="E62" s="104"/>
      <c r="G62" s="1"/>
      <c r="I62" s="113" t="s">
        <v>706</v>
      </c>
      <c r="J62" s="115"/>
      <c r="K62" s="115">
        <v>968.99</v>
      </c>
      <c r="L62" s="115">
        <v>968.99</v>
      </c>
      <c r="M62" s="113">
        <f>+J62+L62-K62</f>
        <v>0</v>
      </c>
    </row>
    <row r="63" spans="1:14" s="2" customFormat="1" x14ac:dyDescent="0.2">
      <c r="A63" s="24"/>
      <c r="B63" s="1"/>
      <c r="C63" s="78" t="s">
        <v>577</v>
      </c>
      <c r="D63" s="109">
        <f>D54+D61</f>
        <v>1039.76</v>
      </c>
      <c r="E63" s="104"/>
      <c r="G63" s="1"/>
      <c r="I63" s="113" t="s">
        <v>707</v>
      </c>
      <c r="J63" s="115">
        <v>183.1</v>
      </c>
      <c r="K63" s="115">
        <v>1441.54</v>
      </c>
      <c r="L63" s="115">
        <v>1918.58</v>
      </c>
      <c r="M63" s="113">
        <f>+J63+L63-K63</f>
        <v>660.13999999999987</v>
      </c>
    </row>
    <row r="64" spans="1:14" s="2" customFormat="1" x14ac:dyDescent="0.2">
      <c r="A64" s="24"/>
      <c r="B64" s="1"/>
      <c r="C64" s="56"/>
      <c r="D64" s="56"/>
      <c r="E64" s="104"/>
      <c r="G64" s="1"/>
      <c r="I64" s="113" t="s">
        <v>708</v>
      </c>
      <c r="J64" s="115">
        <v>1371.02</v>
      </c>
      <c r="K64" s="115">
        <v>9993</v>
      </c>
      <c r="L64" s="115">
        <v>10602.13</v>
      </c>
      <c r="M64" s="113">
        <f>+J64+L64-K64</f>
        <v>1980.1499999999996</v>
      </c>
    </row>
    <row r="65" spans="1:13" s="2" customFormat="1" ht="38.25" x14ac:dyDescent="0.2">
      <c r="A65" s="24"/>
      <c r="B65" s="1"/>
      <c r="C65" s="79" t="str">
        <f>"Particulars ( 01-04-2021 to "&amp;TEXT(A5,"dd-mm-yyyy")&amp;" )"</f>
        <v>Particulars ( 01-04-2021 to 11-04-2023 )</v>
      </c>
      <c r="D65" s="80" t="s">
        <v>73</v>
      </c>
      <c r="E65" s="80" t="s">
        <v>74</v>
      </c>
      <c r="F65" s="81" t="s">
        <v>75</v>
      </c>
      <c r="G65" s="80" t="s">
        <v>76</v>
      </c>
      <c r="J65" s="118">
        <f>SUM(J62:J64)</f>
        <v>1554.12</v>
      </c>
      <c r="K65" s="118">
        <f>SUM(K62:K64)</f>
        <v>12403.529999999999</v>
      </c>
      <c r="L65" s="118">
        <f>SUM(L62:L64)</f>
        <v>13489.699999999999</v>
      </c>
      <c r="M65" s="118">
        <f>SUM(M62:M64)</f>
        <v>2640.2899999999995</v>
      </c>
    </row>
    <row r="66" spans="1:13" s="2" customFormat="1" x14ac:dyDescent="0.2">
      <c r="A66" s="24"/>
      <c r="B66" s="1"/>
      <c r="C66" s="50" t="s">
        <v>444</v>
      </c>
      <c r="D66" s="55">
        <f>+L62+L63+J63</f>
        <v>3070.6699999999996</v>
      </c>
      <c r="E66" s="55">
        <f>+K62+K63</f>
        <v>2410.5299999999997</v>
      </c>
      <c r="F66" s="55">
        <f>+D66-E66</f>
        <v>660.13999999999987</v>
      </c>
      <c r="G66" s="55">
        <f>1500-F66</f>
        <v>839.86000000000013</v>
      </c>
      <c r="H66" s="2" t="s">
        <v>396</v>
      </c>
    </row>
    <row r="67" spans="1:13" s="2" customFormat="1" x14ac:dyDescent="0.2">
      <c r="A67" s="24"/>
      <c r="B67" s="1"/>
      <c r="C67" s="50" t="s">
        <v>71</v>
      </c>
      <c r="D67" s="55">
        <f>+J64+L64</f>
        <v>11973.15</v>
      </c>
      <c r="E67" s="55">
        <f>+K64</f>
        <v>9993</v>
      </c>
      <c r="F67" s="55">
        <f>+D67-E67</f>
        <v>1980.1499999999996</v>
      </c>
      <c r="G67" s="55">
        <f>1500+700-F67</f>
        <v>219.85000000000036</v>
      </c>
      <c r="H67" s="2" t="s">
        <v>396</v>
      </c>
    </row>
    <row r="68" spans="1:13" s="2" customFormat="1" x14ac:dyDescent="0.2">
      <c r="A68" s="24"/>
      <c r="B68" s="1"/>
      <c r="C68" s="14"/>
      <c r="D68" s="56"/>
      <c r="E68" s="13"/>
      <c r="G68" s="1"/>
    </row>
    <row r="69" spans="1:13" s="2" customFormat="1" x14ac:dyDescent="0.2">
      <c r="A69" s="215" t="s">
        <v>80</v>
      </c>
      <c r="B69" s="216"/>
      <c r="C69" s="216"/>
      <c r="D69" s="217"/>
      <c r="E69" s="69"/>
      <c r="F69" s="70"/>
      <c r="G69" s="1"/>
      <c r="H69" s="53"/>
    </row>
    <row r="70" spans="1:13" s="2" customFormat="1" x14ac:dyDescent="0.2">
      <c r="A70" s="71" t="s">
        <v>81</v>
      </c>
      <c r="B70" s="71"/>
      <c r="C70" s="72" t="s">
        <v>82</v>
      </c>
      <c r="D70" s="73" t="s">
        <v>83</v>
      </c>
      <c r="E70" s="69"/>
      <c r="F70" s="70"/>
      <c r="H70" s="53"/>
    </row>
    <row r="71" spans="1:13" s="2" customFormat="1" x14ac:dyDescent="0.2">
      <c r="A71" s="87">
        <v>45017</v>
      </c>
      <c r="B71" s="91" t="s">
        <v>6</v>
      </c>
      <c r="C71" s="75" t="s">
        <v>282</v>
      </c>
      <c r="D71" s="88">
        <v>12220</v>
      </c>
      <c r="G71" s="1"/>
      <c r="L71" s="1"/>
      <c r="M71" s="1"/>
    </row>
    <row r="72" spans="1:13" s="2" customFormat="1" x14ac:dyDescent="0.2">
      <c r="A72" s="87">
        <v>45020</v>
      </c>
      <c r="B72" s="91" t="s">
        <v>6</v>
      </c>
      <c r="C72" s="75" t="s">
        <v>271</v>
      </c>
      <c r="D72" s="88">
        <v>584074</v>
      </c>
      <c r="G72" s="1"/>
      <c r="L72" s="1"/>
      <c r="M72" s="1"/>
    </row>
    <row r="73" spans="1:13" s="2" customFormat="1" x14ac:dyDescent="0.2">
      <c r="A73" s="87">
        <v>45022</v>
      </c>
      <c r="B73" s="91" t="s">
        <v>6</v>
      </c>
      <c r="C73" s="75" t="s">
        <v>784</v>
      </c>
      <c r="D73" s="88">
        <v>283512</v>
      </c>
      <c r="G73" s="1"/>
      <c r="L73" s="1"/>
      <c r="M73" s="1"/>
    </row>
    <row r="74" spans="1:13" s="2" customFormat="1" x14ac:dyDescent="0.2">
      <c r="A74" s="87">
        <v>45022</v>
      </c>
      <c r="B74" s="91" t="s">
        <v>6</v>
      </c>
      <c r="C74" s="75" t="s">
        <v>84</v>
      </c>
      <c r="D74" s="88">
        <v>2500000</v>
      </c>
      <c r="G74" s="1"/>
      <c r="L74" s="1"/>
      <c r="M74" s="1"/>
    </row>
    <row r="75" spans="1:13" s="2" customFormat="1" x14ac:dyDescent="0.2">
      <c r="A75" s="87">
        <v>45023</v>
      </c>
      <c r="B75" s="91" t="s">
        <v>6</v>
      </c>
      <c r="C75" s="75" t="s">
        <v>270</v>
      </c>
      <c r="D75" s="88">
        <v>33748</v>
      </c>
      <c r="G75" s="1"/>
      <c r="L75" s="1"/>
      <c r="M75" s="1"/>
    </row>
    <row r="76" spans="1:13" s="2" customFormat="1" x14ac:dyDescent="0.2">
      <c r="A76" s="87">
        <v>45023</v>
      </c>
      <c r="B76" s="91" t="s">
        <v>6</v>
      </c>
      <c r="C76" s="75" t="s">
        <v>270</v>
      </c>
      <c r="D76" s="88">
        <v>114918</v>
      </c>
      <c r="G76" s="1"/>
      <c r="L76" s="1"/>
      <c r="M76" s="1"/>
    </row>
    <row r="77" spans="1:13" s="2" customFormat="1" x14ac:dyDescent="0.2">
      <c r="A77" s="87"/>
      <c r="B77" s="74"/>
      <c r="C77" s="75"/>
      <c r="D77" s="51">
        <f>SUM(D71:D76)</f>
        <v>3528472</v>
      </c>
      <c r="F77" s="2" t="s">
        <v>396</v>
      </c>
      <c r="G77" s="1"/>
      <c r="I77" s="1"/>
      <c r="J77" s="1"/>
      <c r="K77" s="1"/>
      <c r="L77" s="1"/>
      <c r="M77" s="1"/>
    </row>
    <row r="78" spans="1:13" s="2" customFormat="1" x14ac:dyDescent="0.2">
      <c r="A78" s="8"/>
      <c r="B78" s="93"/>
      <c r="C78" s="76"/>
      <c r="D78" s="56"/>
      <c r="G78" s="1"/>
      <c r="I78" s="1"/>
      <c r="J78" s="1"/>
      <c r="K78" s="1"/>
      <c r="L78" s="1"/>
      <c r="M78" s="1"/>
    </row>
    <row r="79" spans="1:13" s="2" customFormat="1" x14ac:dyDescent="0.2">
      <c r="A79" s="24"/>
      <c r="B79" s="1"/>
      <c r="C79" s="218" t="s">
        <v>77</v>
      </c>
      <c r="D79" s="219"/>
      <c r="E79" s="219"/>
      <c r="F79" s="220"/>
      <c r="G79" s="54"/>
      <c r="I79" s="1"/>
      <c r="J79" s="1"/>
      <c r="K79" s="1"/>
      <c r="L79" s="1"/>
      <c r="M79" s="1"/>
    </row>
    <row r="80" spans="1:13" s="2" customFormat="1" x14ac:dyDescent="0.2">
      <c r="A80" s="24"/>
      <c r="B80" s="1"/>
      <c r="C80" s="50"/>
      <c r="D80" s="57" t="s">
        <v>78</v>
      </c>
      <c r="E80" s="58" t="s">
        <v>79</v>
      </c>
      <c r="F80" s="57" t="s">
        <v>72</v>
      </c>
      <c r="G80" s="54"/>
      <c r="I80" s="1"/>
      <c r="J80" s="1"/>
      <c r="K80" s="1"/>
      <c r="L80" s="1"/>
      <c r="M80" s="1"/>
    </row>
    <row r="81" spans="1:13" s="2" customFormat="1" x14ac:dyDescent="0.2">
      <c r="A81" s="24"/>
      <c r="B81" s="1"/>
      <c r="C81" s="59" t="str">
        <f>"01-04-2023 to "&amp;TEXT(A5-2,"dd-mm-yyyy")</f>
        <v>01-04-2023 to 09-04-2023</v>
      </c>
      <c r="D81" s="60">
        <v>1521.52</v>
      </c>
      <c r="E81" s="60">
        <v>158.46</v>
      </c>
      <c r="F81" s="61">
        <f>SUM(D81:E81)</f>
        <v>1679.98</v>
      </c>
      <c r="G81" s="54"/>
      <c r="I81" s="1"/>
      <c r="J81" s="1"/>
      <c r="K81" s="1"/>
      <c r="L81" s="1"/>
      <c r="M81" s="1"/>
    </row>
    <row r="82" spans="1:13" s="2" customFormat="1" x14ac:dyDescent="0.2">
      <c r="A82" s="24"/>
      <c r="B82" s="1"/>
      <c r="C82" s="62" t="str">
        <f>TEXT(A5-1,"dd-mm-yyyy")</f>
        <v>10-04-2023</v>
      </c>
      <c r="D82" s="60">
        <v>67.12</v>
      </c>
      <c r="E82" s="60">
        <v>8.2100000000000009</v>
      </c>
      <c r="F82" s="61">
        <f>SUM(D82:E82)</f>
        <v>75.330000000000013</v>
      </c>
      <c r="G82" s="54"/>
      <c r="I82" s="1"/>
      <c r="J82" s="1"/>
      <c r="K82" s="1"/>
      <c r="L82" s="1"/>
      <c r="M82" s="1"/>
    </row>
    <row r="83" spans="1:13" ht="13.5" thickBot="1" x14ac:dyDescent="0.25">
      <c r="C83" s="63" t="str">
        <f>"01-04-2023 to "&amp;TEXT(A5-1,"dd-mm-yyyy")</f>
        <v>01-04-2023 to 10-04-2023</v>
      </c>
      <c r="D83" s="64">
        <f>SUM(D81:D82)</f>
        <v>1588.6399999999999</v>
      </c>
      <c r="E83" s="64">
        <f>SUM(E81:E82)</f>
        <v>166.67000000000002</v>
      </c>
      <c r="F83" s="64">
        <f>SUM(F81:F82)</f>
        <v>1755.31</v>
      </c>
      <c r="G83" s="54"/>
    </row>
    <row r="84" spans="1:13" s="2" customFormat="1" ht="13.5" thickTop="1" x14ac:dyDescent="0.2">
      <c r="A84" s="24"/>
      <c r="B84" s="1"/>
      <c r="C84" s="62"/>
      <c r="D84" s="65"/>
      <c r="E84" s="66"/>
      <c r="F84" s="67"/>
      <c r="G84" s="54"/>
      <c r="H84" s="53"/>
    </row>
    <row r="85" spans="1:13" x14ac:dyDescent="0.2">
      <c r="C85" s="62" t="str">
        <f>"01-04-2023 to " &amp;C82</f>
        <v>01-04-2023 to 10-04-2023</v>
      </c>
      <c r="D85" s="68">
        <f>+D83</f>
        <v>1588.6399999999999</v>
      </c>
      <c r="E85" s="68">
        <f>+E83</f>
        <v>166.67000000000002</v>
      </c>
      <c r="F85" s="68">
        <f>+F83</f>
        <v>1755.31</v>
      </c>
      <c r="G85" s="54"/>
      <c r="H85" s="53" t="s">
        <v>396</v>
      </c>
    </row>
    <row r="86" spans="1:13" x14ac:dyDescent="0.2">
      <c r="C86" s="52"/>
      <c r="D86" s="85"/>
      <c r="E86" s="53"/>
      <c r="F86" s="53"/>
      <c r="G86" s="54"/>
      <c r="H86" s="53" t="s">
        <v>396</v>
      </c>
      <c r="J86" s="42"/>
    </row>
    <row r="87" spans="1:13" x14ac:dyDescent="0.2">
      <c r="C87" s="52"/>
      <c r="D87" s="85"/>
      <c r="E87" s="53"/>
      <c r="F87" s="53"/>
      <c r="G87" s="54"/>
      <c r="H87" s="53"/>
      <c r="I87" s="101"/>
    </row>
    <row r="88" spans="1:13" x14ac:dyDescent="0.2">
      <c r="C88" s="52"/>
      <c r="D88" s="85"/>
      <c r="E88" s="53"/>
      <c r="F88" s="53"/>
      <c r="G88" s="54"/>
      <c r="H88" s="53"/>
    </row>
    <row r="89" spans="1:13" x14ac:dyDescent="0.2">
      <c r="C89" s="52"/>
      <c r="D89" s="85"/>
      <c r="E89" s="53"/>
      <c r="F89" s="53"/>
      <c r="G89" s="54"/>
      <c r="H89" s="53"/>
    </row>
    <row r="90" spans="1:13" x14ac:dyDescent="0.2">
      <c r="H90" s="53"/>
    </row>
  </sheetData>
  <mergeCells count="5">
    <mergeCell ref="A1:G1"/>
    <mergeCell ref="A3:F3"/>
    <mergeCell ref="A9:F9"/>
    <mergeCell ref="A69:D69"/>
    <mergeCell ref="C79:F79"/>
  </mergeCells>
  <conditionalFormatting sqref="G66:G67">
    <cfRule type="cellIs" dxfId="646" priority="1" operator="lessThan">
      <formula>0</formula>
    </cfRule>
  </conditionalFormatting>
  <conditionalFormatting sqref="C11">
    <cfRule type="duplicateValues" dxfId="645" priority="2"/>
  </conditionalFormatting>
  <conditionalFormatting sqref="C12:C46">
    <cfRule type="duplicateValues" dxfId="644" priority="430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04">
    <pageSetUpPr fitToPage="1"/>
  </sheetPr>
  <dimension ref="A1:N96"/>
  <sheetViews>
    <sheetView topLeftCell="A35" zoomScaleNormal="100" workbookViewId="0">
      <selection activeCell="C36" sqref="C36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49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868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2.75" customHeight="1" x14ac:dyDescent="0.4">
      <c r="A5" s="89">
        <v>45028</v>
      </c>
      <c r="B5" s="9" t="s">
        <v>6</v>
      </c>
      <c r="C5" s="10" t="s">
        <v>7</v>
      </c>
      <c r="D5" s="11"/>
      <c r="E5" s="12">
        <v>557118.69999999879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557118.69999999879</v>
      </c>
      <c r="F6" s="16">
        <f>SUM(F5:F5)</f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E6-F6</f>
        <v>557118.69999999879</v>
      </c>
      <c r="F7" s="22"/>
      <c r="G7" s="23"/>
      <c r="H7" s="112"/>
      <c r="I7" s="112"/>
      <c r="J7" s="13"/>
    </row>
    <row r="8" spans="1:10" s="2" customFormat="1" ht="12.75" customHeight="1" x14ac:dyDescent="0.4">
      <c r="A8" s="24"/>
      <c r="B8" s="1"/>
      <c r="C8" s="14"/>
      <c r="D8" s="25"/>
      <c r="G8" s="23"/>
      <c r="H8" s="112"/>
      <c r="I8" s="112"/>
      <c r="J8" s="13"/>
    </row>
    <row r="9" spans="1:10" s="2" customFormat="1" ht="21.75" customHeight="1" x14ac:dyDescent="0.4">
      <c r="A9" s="214" t="s">
        <v>10</v>
      </c>
      <c r="B9" s="214"/>
      <c r="C9" s="214"/>
      <c r="D9" s="214"/>
      <c r="E9" s="214"/>
      <c r="F9" s="214"/>
      <c r="G9" s="13"/>
      <c r="H9" s="112"/>
      <c r="I9" s="112"/>
      <c r="J9" s="13"/>
    </row>
    <row r="10" spans="1:10" s="2" customFormat="1" ht="12.75" customHeight="1" x14ac:dyDescent="0.4">
      <c r="A10" s="26" t="s">
        <v>1</v>
      </c>
      <c r="B10" s="27" t="s">
        <v>2</v>
      </c>
      <c r="C10" s="5"/>
      <c r="D10" s="6" t="s">
        <v>3</v>
      </c>
      <c r="E10" s="7" t="s">
        <v>4</v>
      </c>
      <c r="F10" s="7" t="s">
        <v>5</v>
      </c>
      <c r="G10" s="23"/>
      <c r="H10" s="112"/>
      <c r="I10" s="112"/>
      <c r="J10" s="13"/>
    </row>
    <row r="11" spans="1:10" s="2" customFormat="1" ht="12.75" customHeight="1" x14ac:dyDescent="0.2">
      <c r="A11" s="89">
        <v>45028</v>
      </c>
      <c r="B11" s="91" t="s">
        <v>11</v>
      </c>
      <c r="C11" s="29" t="s">
        <v>7</v>
      </c>
      <c r="D11" s="25"/>
      <c r="E11" s="31"/>
      <c r="F11" s="2">
        <v>356529093.69000024</v>
      </c>
      <c r="G11" s="30"/>
      <c r="I11" s="13"/>
      <c r="J11" s="13"/>
    </row>
    <row r="12" spans="1:10" s="2" customFormat="1" ht="12.75" customHeight="1" x14ac:dyDescent="0.2">
      <c r="A12" s="89">
        <v>45028</v>
      </c>
      <c r="B12" s="91" t="s">
        <v>6</v>
      </c>
      <c r="C12" s="76" t="s">
        <v>743</v>
      </c>
      <c r="D12" s="116" t="s">
        <v>13</v>
      </c>
      <c r="E12" s="31">
        <v>500000</v>
      </c>
      <c r="G12" s="30"/>
      <c r="I12" s="13"/>
      <c r="J12" s="13"/>
    </row>
    <row r="13" spans="1:10" s="2" customFormat="1" ht="12.75" customHeight="1" x14ac:dyDescent="0.2">
      <c r="A13" s="89">
        <v>45028</v>
      </c>
      <c r="B13" s="91" t="s">
        <v>6</v>
      </c>
      <c r="C13" s="76" t="s">
        <v>119</v>
      </c>
      <c r="D13" s="116" t="s">
        <v>13</v>
      </c>
      <c r="E13" s="31">
        <v>628126.09</v>
      </c>
      <c r="G13" s="30"/>
      <c r="I13" s="13"/>
      <c r="J13" s="13"/>
    </row>
    <row r="14" spans="1:10" s="2" customFormat="1" ht="12.75" customHeight="1" x14ac:dyDescent="0.2">
      <c r="A14" s="89">
        <v>45028</v>
      </c>
      <c r="B14" s="91" t="s">
        <v>6</v>
      </c>
      <c r="C14" s="76" t="s">
        <v>14</v>
      </c>
      <c r="D14" s="116" t="s">
        <v>13</v>
      </c>
      <c r="E14" s="31">
        <v>1568796</v>
      </c>
      <c r="G14" s="30"/>
      <c r="I14" s="13"/>
      <c r="J14" s="13"/>
    </row>
    <row r="15" spans="1:10" s="2" customFormat="1" ht="12.75" customHeight="1" x14ac:dyDescent="0.2">
      <c r="A15" s="89">
        <v>45028</v>
      </c>
      <c r="B15" s="91" t="s">
        <v>6</v>
      </c>
      <c r="C15" s="76" t="s">
        <v>488</v>
      </c>
      <c r="D15" s="116" t="s">
        <v>13</v>
      </c>
      <c r="E15" s="31">
        <v>9522</v>
      </c>
      <c r="G15" s="30"/>
      <c r="I15" s="13"/>
      <c r="J15" s="13"/>
    </row>
    <row r="16" spans="1:10" s="2" customFormat="1" ht="12.75" customHeight="1" x14ac:dyDescent="0.2">
      <c r="A16" s="89">
        <v>45028</v>
      </c>
      <c r="B16" s="91" t="s">
        <v>6</v>
      </c>
      <c r="C16" s="76" t="s">
        <v>152</v>
      </c>
      <c r="D16" s="116" t="s">
        <v>13</v>
      </c>
      <c r="E16" s="31">
        <v>178739</v>
      </c>
      <c r="G16" s="30"/>
      <c r="I16" s="13"/>
      <c r="J16" s="13"/>
    </row>
    <row r="17" spans="1:10" s="2" customFormat="1" ht="12.75" customHeight="1" x14ac:dyDescent="0.2">
      <c r="A17" s="89">
        <v>45028</v>
      </c>
      <c r="B17" s="91" t="s">
        <v>6</v>
      </c>
      <c r="C17" s="76" t="s">
        <v>162</v>
      </c>
      <c r="D17" s="116" t="s">
        <v>13</v>
      </c>
      <c r="E17" s="31">
        <v>11026</v>
      </c>
      <c r="G17" s="30"/>
      <c r="I17" s="13"/>
      <c r="J17" s="13"/>
    </row>
    <row r="18" spans="1:10" s="2" customFormat="1" ht="12.75" customHeight="1" x14ac:dyDescent="0.2">
      <c r="A18" s="89">
        <v>45028</v>
      </c>
      <c r="B18" s="91" t="s">
        <v>6</v>
      </c>
      <c r="C18" s="76" t="s">
        <v>461</v>
      </c>
      <c r="D18" s="116" t="s">
        <v>13</v>
      </c>
      <c r="E18" s="31">
        <v>1178163</v>
      </c>
      <c r="G18" s="30"/>
      <c r="I18" s="13"/>
      <c r="J18" s="13"/>
    </row>
    <row r="19" spans="1:10" s="2" customFormat="1" ht="12.75" customHeight="1" x14ac:dyDescent="0.2">
      <c r="A19" s="89">
        <v>45028</v>
      </c>
      <c r="B19" s="91" t="s">
        <v>6</v>
      </c>
      <c r="C19" s="76" t="s">
        <v>726</v>
      </c>
      <c r="D19" s="116" t="s">
        <v>13</v>
      </c>
      <c r="E19" s="31">
        <v>15750</v>
      </c>
      <c r="G19" s="30"/>
      <c r="I19" s="13"/>
      <c r="J19" s="13"/>
    </row>
    <row r="20" spans="1:10" s="2" customFormat="1" ht="12.75" customHeight="1" x14ac:dyDescent="0.2">
      <c r="A20" s="89">
        <v>45028</v>
      </c>
      <c r="B20" s="91" t="s">
        <v>6</v>
      </c>
      <c r="C20" s="76" t="s">
        <v>741</v>
      </c>
      <c r="D20" s="116" t="s">
        <v>13</v>
      </c>
      <c r="E20" s="31">
        <v>13987</v>
      </c>
      <c r="G20" s="30"/>
      <c r="I20" s="13"/>
      <c r="J20" s="13"/>
    </row>
    <row r="21" spans="1:10" s="2" customFormat="1" ht="12.75" customHeight="1" x14ac:dyDescent="0.2">
      <c r="A21" s="89">
        <v>45028</v>
      </c>
      <c r="B21" s="91" t="s">
        <v>6</v>
      </c>
      <c r="C21" s="76" t="s">
        <v>640</v>
      </c>
      <c r="D21" s="116" t="s">
        <v>13</v>
      </c>
      <c r="E21" s="31">
        <v>2205</v>
      </c>
      <c r="G21" s="30"/>
      <c r="I21" s="13"/>
      <c r="J21" s="13"/>
    </row>
    <row r="22" spans="1:10" s="2" customFormat="1" ht="12.75" customHeight="1" x14ac:dyDescent="0.2">
      <c r="A22" s="89">
        <v>45028</v>
      </c>
      <c r="B22" s="91" t="s">
        <v>6</v>
      </c>
      <c r="C22" s="76" t="s">
        <v>249</v>
      </c>
      <c r="D22" s="116" t="s">
        <v>13</v>
      </c>
      <c r="E22" s="31">
        <v>650000</v>
      </c>
      <c r="G22" s="30"/>
      <c r="I22" s="13"/>
      <c r="J22" s="13"/>
    </row>
    <row r="23" spans="1:10" s="2" customFormat="1" ht="12.75" customHeight="1" x14ac:dyDescent="0.2">
      <c r="A23" s="89">
        <v>45028</v>
      </c>
      <c r="B23" s="91" t="s">
        <v>6</v>
      </c>
      <c r="C23" s="76" t="s">
        <v>648</v>
      </c>
      <c r="D23" s="116" t="s">
        <v>13</v>
      </c>
      <c r="E23" s="31">
        <v>12600</v>
      </c>
      <c r="G23" s="30"/>
      <c r="I23" s="13"/>
      <c r="J23" s="13"/>
    </row>
    <row r="24" spans="1:10" s="2" customFormat="1" ht="12.75" customHeight="1" x14ac:dyDescent="0.2">
      <c r="A24" s="89">
        <v>45028</v>
      </c>
      <c r="B24" s="91" t="s">
        <v>6</v>
      </c>
      <c r="C24" s="76" t="s">
        <v>760</v>
      </c>
      <c r="D24" s="116" t="s">
        <v>13</v>
      </c>
      <c r="E24" s="31">
        <v>367210.6</v>
      </c>
      <c r="G24" s="30"/>
      <c r="I24" s="13"/>
      <c r="J24" s="13"/>
    </row>
    <row r="25" spans="1:10" s="2" customFormat="1" ht="12.75" customHeight="1" x14ac:dyDescent="0.2">
      <c r="A25" s="89">
        <v>45028</v>
      </c>
      <c r="B25" s="91" t="s">
        <v>6</v>
      </c>
      <c r="C25" s="76" t="s">
        <v>15</v>
      </c>
      <c r="D25" s="116" t="s">
        <v>13</v>
      </c>
      <c r="E25" s="31">
        <v>26034.97</v>
      </c>
      <c r="G25" s="30"/>
      <c r="I25" s="13"/>
      <c r="J25" s="13"/>
    </row>
    <row r="26" spans="1:10" s="2" customFormat="1" ht="12.75" customHeight="1" x14ac:dyDescent="0.2">
      <c r="A26" s="89">
        <v>45028</v>
      </c>
      <c r="B26" s="91" t="s">
        <v>6</v>
      </c>
      <c r="C26" s="76" t="s">
        <v>748</v>
      </c>
      <c r="D26" s="116" t="s">
        <v>13</v>
      </c>
      <c r="E26" s="31">
        <v>133648.79999999999</v>
      </c>
      <c r="G26" s="30"/>
      <c r="I26" s="13"/>
      <c r="J26" s="13"/>
    </row>
    <row r="27" spans="1:10" s="2" customFormat="1" ht="12.75" customHeight="1" x14ac:dyDescent="0.2">
      <c r="A27" s="89">
        <v>45028</v>
      </c>
      <c r="B27" s="91" t="s">
        <v>6</v>
      </c>
      <c r="C27" s="76" t="s">
        <v>688</v>
      </c>
      <c r="D27" s="116" t="s">
        <v>13</v>
      </c>
      <c r="E27" s="31">
        <v>539686</v>
      </c>
      <c r="G27" s="30"/>
      <c r="I27" s="13"/>
      <c r="J27" s="13"/>
    </row>
    <row r="28" spans="1:10" s="2" customFormat="1" ht="12.75" customHeight="1" x14ac:dyDescent="0.2">
      <c r="A28" s="89">
        <v>45028</v>
      </c>
      <c r="B28" s="91" t="s">
        <v>6</v>
      </c>
      <c r="C28" s="76" t="s">
        <v>491</v>
      </c>
      <c r="D28" s="116" t="s">
        <v>13</v>
      </c>
      <c r="E28" s="31">
        <v>2873005.37</v>
      </c>
      <c r="G28" s="30"/>
      <c r="I28" s="13"/>
      <c r="J28" s="13"/>
    </row>
    <row r="29" spans="1:10" s="2" customFormat="1" ht="12.75" customHeight="1" x14ac:dyDescent="0.2">
      <c r="A29" s="89">
        <v>45028</v>
      </c>
      <c r="B29" s="91" t="s">
        <v>6</v>
      </c>
      <c r="C29" s="76" t="s">
        <v>379</v>
      </c>
      <c r="D29" s="116" t="s">
        <v>13</v>
      </c>
      <c r="E29" s="31">
        <v>604661.62</v>
      </c>
      <c r="G29" s="30"/>
      <c r="I29" s="13"/>
      <c r="J29" s="13"/>
    </row>
    <row r="30" spans="1:10" s="2" customFormat="1" ht="12.75" customHeight="1" x14ac:dyDescent="0.2">
      <c r="A30" s="89">
        <v>45028</v>
      </c>
      <c r="B30" s="91" t="s">
        <v>6</v>
      </c>
      <c r="C30" s="76" t="s">
        <v>791</v>
      </c>
      <c r="D30" s="116" t="s">
        <v>13</v>
      </c>
      <c r="E30" s="31">
        <v>291082.36</v>
      </c>
      <c r="G30" s="30"/>
      <c r="I30" s="13"/>
      <c r="J30" s="13"/>
    </row>
    <row r="31" spans="1:10" s="2" customFormat="1" ht="12.75" customHeight="1" x14ac:dyDescent="0.2">
      <c r="A31" s="89">
        <v>45028</v>
      </c>
      <c r="B31" s="91" t="s">
        <v>6</v>
      </c>
      <c r="C31" s="76" t="s">
        <v>830</v>
      </c>
      <c r="D31" s="116" t="s">
        <v>13</v>
      </c>
      <c r="E31" s="31">
        <v>113227.67</v>
      </c>
      <c r="G31" s="30"/>
      <c r="I31" s="13"/>
      <c r="J31" s="13"/>
    </row>
    <row r="32" spans="1:10" s="2" customFormat="1" ht="12.75" customHeight="1" x14ac:dyDescent="0.2">
      <c r="A32" s="89">
        <v>45028</v>
      </c>
      <c r="B32" s="91" t="s">
        <v>6</v>
      </c>
      <c r="C32" s="76" t="s">
        <v>286</v>
      </c>
      <c r="D32" s="116" t="s">
        <v>13</v>
      </c>
      <c r="E32" s="31">
        <v>290000</v>
      </c>
      <c r="G32" s="30"/>
      <c r="I32" s="13"/>
      <c r="J32" s="13"/>
    </row>
    <row r="33" spans="1:10" s="2" customFormat="1" ht="12.75" customHeight="1" x14ac:dyDescent="0.2">
      <c r="A33" s="89">
        <v>45028</v>
      </c>
      <c r="B33" s="91" t="s">
        <v>6</v>
      </c>
      <c r="C33" s="76" t="s">
        <v>147</v>
      </c>
      <c r="D33" s="116" t="s">
        <v>13</v>
      </c>
      <c r="E33" s="31">
        <v>600000</v>
      </c>
      <c r="G33" s="30"/>
      <c r="I33" s="13"/>
      <c r="J33" s="13"/>
    </row>
    <row r="34" spans="1:10" s="2" customFormat="1" ht="12.75" customHeight="1" x14ac:dyDescent="0.2">
      <c r="A34" s="89">
        <v>45028</v>
      </c>
      <c r="B34" s="91" t="s">
        <v>6</v>
      </c>
      <c r="C34" s="76" t="s">
        <v>149</v>
      </c>
      <c r="D34" s="116" t="s">
        <v>13</v>
      </c>
      <c r="E34" s="31">
        <v>57217</v>
      </c>
      <c r="G34" s="30"/>
      <c r="I34" s="13"/>
      <c r="J34" s="13"/>
    </row>
    <row r="35" spans="1:10" s="2" customFormat="1" ht="12.75" customHeight="1" x14ac:dyDescent="0.2">
      <c r="A35" s="89">
        <v>45028</v>
      </c>
      <c r="B35" s="91" t="s">
        <v>6</v>
      </c>
      <c r="C35" s="76" t="s">
        <v>174</v>
      </c>
      <c r="D35" s="116" t="s">
        <v>13</v>
      </c>
      <c r="E35" s="31">
        <v>559569</v>
      </c>
      <c r="G35" s="30"/>
      <c r="I35" s="13"/>
      <c r="J35" s="13"/>
    </row>
    <row r="36" spans="1:10" s="2" customFormat="1" ht="12.75" customHeight="1" x14ac:dyDescent="0.2">
      <c r="A36" s="89">
        <v>45028</v>
      </c>
      <c r="B36" s="91" t="s">
        <v>6</v>
      </c>
      <c r="C36" s="76" t="s">
        <v>867</v>
      </c>
      <c r="D36" s="116" t="s">
        <v>13</v>
      </c>
      <c r="E36" s="31">
        <v>11626</v>
      </c>
      <c r="G36" s="30"/>
      <c r="I36" s="13"/>
      <c r="J36" s="13"/>
    </row>
    <row r="37" spans="1:10" s="2" customFormat="1" ht="12.75" customHeight="1" x14ac:dyDescent="0.2">
      <c r="A37" s="89">
        <v>45028</v>
      </c>
      <c r="B37" s="91" t="s">
        <v>6</v>
      </c>
      <c r="C37" s="76" t="s">
        <v>487</v>
      </c>
      <c r="D37" s="116" t="s">
        <v>13</v>
      </c>
      <c r="E37" s="31">
        <v>957293.99</v>
      </c>
      <c r="G37" s="30"/>
      <c r="I37" s="13"/>
      <c r="J37" s="13"/>
    </row>
    <row r="38" spans="1:10" s="2" customFormat="1" ht="12.75" customHeight="1" x14ac:dyDescent="0.2">
      <c r="A38" s="89">
        <v>45028</v>
      </c>
      <c r="B38" s="91" t="s">
        <v>11</v>
      </c>
      <c r="C38" s="76" t="s">
        <v>64</v>
      </c>
      <c r="D38" s="116" t="s">
        <v>29</v>
      </c>
      <c r="E38" s="31"/>
      <c r="F38" s="2">
        <v>18150.699999999997</v>
      </c>
      <c r="G38" s="30"/>
      <c r="I38" s="13"/>
      <c r="J38" s="13"/>
    </row>
    <row r="39" spans="1:10" s="2" customFormat="1" ht="12.75" customHeight="1" x14ac:dyDescent="0.2">
      <c r="A39" s="89">
        <v>45028</v>
      </c>
      <c r="B39" s="91" t="s">
        <v>11</v>
      </c>
      <c r="C39" s="76" t="s">
        <v>156</v>
      </c>
      <c r="D39" s="116" t="s">
        <v>29</v>
      </c>
      <c r="E39" s="31"/>
      <c r="F39" s="2">
        <v>495.19</v>
      </c>
      <c r="G39" s="30"/>
      <c r="I39" s="13"/>
      <c r="J39" s="13"/>
    </row>
    <row r="40" spans="1:10" s="2" customFormat="1" ht="12.75" customHeight="1" x14ac:dyDescent="0.2">
      <c r="A40" s="89">
        <v>45028</v>
      </c>
      <c r="B40" s="91" t="s">
        <v>11</v>
      </c>
      <c r="C40" s="76" t="s">
        <v>812</v>
      </c>
      <c r="D40" s="116" t="s">
        <v>29</v>
      </c>
      <c r="E40" s="31"/>
      <c r="F40" s="2">
        <v>450216.5</v>
      </c>
      <c r="G40" s="30"/>
      <c r="I40" s="13"/>
      <c r="J40" s="13"/>
    </row>
    <row r="41" spans="1:10" s="2" customFormat="1" ht="12.75" customHeight="1" x14ac:dyDescent="0.2">
      <c r="A41" s="89">
        <v>45028</v>
      </c>
      <c r="B41" s="91" t="s">
        <v>11</v>
      </c>
      <c r="C41" s="76" t="s">
        <v>111</v>
      </c>
      <c r="D41" s="116" t="s">
        <v>29</v>
      </c>
      <c r="E41" s="31"/>
      <c r="F41" s="2">
        <v>10709354.130000001</v>
      </c>
      <c r="G41" s="30"/>
      <c r="I41" s="13"/>
      <c r="J41" s="13"/>
    </row>
    <row r="42" spans="1:10" s="2" customFormat="1" ht="12.75" customHeight="1" x14ac:dyDescent="0.2">
      <c r="A42" s="89">
        <v>45028</v>
      </c>
      <c r="B42" s="91" t="s">
        <v>11</v>
      </c>
      <c r="C42" s="76" t="s">
        <v>34</v>
      </c>
      <c r="D42" s="116" t="s">
        <v>29</v>
      </c>
      <c r="E42" s="31"/>
      <c r="F42" s="2">
        <v>30000</v>
      </c>
      <c r="G42" s="30"/>
      <c r="I42" s="13"/>
      <c r="J42" s="13"/>
    </row>
    <row r="43" spans="1:10" s="2" customFormat="1" ht="12.75" customHeight="1" x14ac:dyDescent="0.2">
      <c r="A43" s="89">
        <v>45028</v>
      </c>
      <c r="B43" s="91" t="s">
        <v>11</v>
      </c>
      <c r="C43" s="76" t="s">
        <v>446</v>
      </c>
      <c r="D43" s="116" t="s">
        <v>29</v>
      </c>
      <c r="E43" s="31"/>
      <c r="F43" s="2">
        <v>26550</v>
      </c>
      <c r="G43" s="30"/>
      <c r="I43" s="13"/>
      <c r="J43" s="13"/>
    </row>
    <row r="44" spans="1:10" s="2" customFormat="1" ht="12.75" customHeight="1" x14ac:dyDescent="0.2">
      <c r="A44" s="89">
        <v>45028</v>
      </c>
      <c r="B44" s="91" t="s">
        <v>11</v>
      </c>
      <c r="C44" s="76" t="s">
        <v>816</v>
      </c>
      <c r="D44" s="116" t="s">
        <v>29</v>
      </c>
      <c r="E44" s="31"/>
      <c r="F44" s="2">
        <v>9490</v>
      </c>
      <c r="G44" s="30"/>
      <c r="I44" s="13"/>
      <c r="J44" s="13"/>
    </row>
    <row r="45" spans="1:10" s="2" customFormat="1" ht="12.75" customHeight="1" x14ac:dyDescent="0.2">
      <c r="A45" s="89">
        <v>45028</v>
      </c>
      <c r="B45" s="91" t="s">
        <v>11</v>
      </c>
      <c r="C45" s="76" t="s">
        <v>222</v>
      </c>
      <c r="D45" s="116" t="s">
        <v>29</v>
      </c>
      <c r="E45" s="31"/>
      <c r="F45" s="2">
        <v>1375</v>
      </c>
      <c r="G45" s="30"/>
      <c r="I45" s="13"/>
      <c r="J45" s="13"/>
    </row>
    <row r="46" spans="1:10" s="2" customFormat="1" ht="12.75" customHeight="1" x14ac:dyDescent="0.2">
      <c r="A46" s="89">
        <v>45028</v>
      </c>
      <c r="B46" s="91" t="s">
        <v>11</v>
      </c>
      <c r="C46" s="76" t="s">
        <v>196</v>
      </c>
      <c r="D46" s="116" t="s">
        <v>29</v>
      </c>
      <c r="E46" s="31"/>
      <c r="F46" s="2">
        <v>7629</v>
      </c>
      <c r="G46" s="30"/>
      <c r="I46" s="13"/>
      <c r="J46" s="13"/>
    </row>
    <row r="47" spans="1:10" s="2" customFormat="1" ht="12.75" customHeight="1" x14ac:dyDescent="0.2">
      <c r="A47" s="89">
        <v>45028</v>
      </c>
      <c r="B47" s="91" t="s">
        <v>11</v>
      </c>
      <c r="C47" s="76" t="s">
        <v>195</v>
      </c>
      <c r="D47" s="116" t="s">
        <v>29</v>
      </c>
      <c r="E47" s="31"/>
      <c r="F47" s="2">
        <v>3750</v>
      </c>
      <c r="G47" s="30"/>
      <c r="I47" s="13"/>
      <c r="J47" s="13"/>
    </row>
    <row r="48" spans="1:10" s="2" customFormat="1" ht="12.75" customHeight="1" x14ac:dyDescent="0.2">
      <c r="A48" s="89">
        <v>45028</v>
      </c>
      <c r="B48" s="91" t="s">
        <v>11</v>
      </c>
      <c r="C48" s="76" t="s">
        <v>512</v>
      </c>
      <c r="D48" s="116" t="s">
        <v>29</v>
      </c>
      <c r="E48" s="31"/>
      <c r="F48" s="2">
        <v>250000</v>
      </c>
      <c r="G48" s="30"/>
      <c r="I48" s="13"/>
      <c r="J48" s="13"/>
    </row>
    <row r="49" spans="1:14" s="2" customFormat="1" ht="12.75" customHeight="1" x14ac:dyDescent="0.2">
      <c r="A49" s="89">
        <v>45028</v>
      </c>
      <c r="B49" s="91" t="s">
        <v>11</v>
      </c>
      <c r="C49" s="76" t="s">
        <v>57</v>
      </c>
      <c r="D49" s="116" t="s">
        <v>29</v>
      </c>
      <c r="E49" s="31"/>
      <c r="F49" s="2">
        <v>3000000</v>
      </c>
      <c r="G49" s="30"/>
      <c r="I49" s="13"/>
      <c r="J49" s="99" t="s">
        <v>601</v>
      </c>
      <c r="K49" s="99" t="s">
        <v>779</v>
      </c>
    </row>
    <row r="50" spans="1:14" s="2" customFormat="1" ht="12.75" customHeight="1" x14ac:dyDescent="0.25">
      <c r="A50" s="32"/>
      <c r="B50" s="33"/>
      <c r="C50" s="14"/>
      <c r="D50" s="34"/>
      <c r="E50" s="16">
        <f>SUM(E11:E49)</f>
        <v>12193177.469999997</v>
      </c>
      <c r="F50" s="16">
        <f>SUM(F11:F49)</f>
        <v>371036104.21000022</v>
      </c>
      <c r="G50" s="30"/>
      <c r="H50" s="1"/>
      <c r="I50" s="39">
        <v>375184807.74000001</v>
      </c>
      <c r="J50" s="2">
        <f>1972203+1220426+1321352+3017518+141513+26224+1289323+6957541</f>
        <v>15946100</v>
      </c>
      <c r="K50" s="92">
        <f>E51-I50</f>
        <v>-16341880.999999762</v>
      </c>
      <c r="L50" s="41"/>
      <c r="M50" s="42">
        <f>K50+J50</f>
        <v>-395780.99999976158</v>
      </c>
      <c r="N50" s="1"/>
    </row>
    <row r="51" spans="1:14" s="2" customFormat="1" x14ac:dyDescent="0.2">
      <c r="A51" s="36"/>
      <c r="B51" s="28" t="s">
        <v>11</v>
      </c>
      <c r="C51" s="19" t="s">
        <v>65</v>
      </c>
      <c r="D51" s="37"/>
      <c r="E51" s="38">
        <f>F50-E50</f>
        <v>358842926.74000025</v>
      </c>
      <c r="F51" s="22"/>
      <c r="G51" s="1"/>
      <c r="H51" s="1"/>
      <c r="J51" s="1"/>
      <c r="K51" s="1"/>
      <c r="L51" s="1"/>
      <c r="M51" s="1"/>
      <c r="N51" s="1"/>
    </row>
    <row r="52" spans="1:14" x14ac:dyDescent="0.2">
      <c r="A52" s="36"/>
      <c r="B52" s="28" t="s">
        <v>66</v>
      </c>
      <c r="C52" s="43" t="s">
        <v>67</v>
      </c>
      <c r="D52" s="43"/>
      <c r="E52" s="12">
        <v>0</v>
      </c>
      <c r="F52" s="22"/>
      <c r="H52" s="40"/>
      <c r="I52" s="45">
        <v>871.22</v>
      </c>
      <c r="J52" s="46"/>
      <c r="K52" s="46"/>
      <c r="L52" s="13"/>
      <c r="M52" s="2"/>
      <c r="N52" s="2"/>
    </row>
    <row r="53" spans="1:14" ht="15" x14ac:dyDescent="0.25">
      <c r="A53" s="36"/>
      <c r="B53" s="28"/>
      <c r="C53" s="44" t="s">
        <v>68</v>
      </c>
      <c r="D53" s="43"/>
      <c r="E53" s="7">
        <f>E51+E52</f>
        <v>358842926.74000025</v>
      </c>
      <c r="F53" s="22"/>
      <c r="H53" s="103" t="s">
        <v>69</v>
      </c>
      <c r="I53" s="45">
        <v>-9.4</v>
      </c>
      <c r="J53" s="46"/>
      <c r="K53" s="46"/>
      <c r="L53" s="2"/>
      <c r="M53" s="2"/>
      <c r="N53" s="2"/>
    </row>
    <row r="54" spans="1:14" s="2" customFormat="1" x14ac:dyDescent="0.2">
      <c r="A54" s="24"/>
      <c r="B54" s="1"/>
      <c r="C54" s="14"/>
      <c r="D54" s="25"/>
      <c r="E54" s="1"/>
      <c r="H54" s="35" t="s">
        <v>70</v>
      </c>
      <c r="I54" s="45">
        <v>0</v>
      </c>
      <c r="J54" s="46">
        <f>+I55-D57</f>
        <v>0</v>
      </c>
      <c r="M54" s="2">
        <v>19.57</v>
      </c>
      <c r="N54" s="2" t="s">
        <v>535</v>
      </c>
    </row>
    <row r="55" spans="1:14" s="2" customFormat="1" x14ac:dyDescent="0.2">
      <c r="A55" s="24"/>
      <c r="B55" s="1"/>
      <c r="C55" s="56"/>
      <c r="D55" s="56"/>
      <c r="E55" s="104"/>
      <c r="G55" s="1"/>
      <c r="I55" s="49">
        <f>SUM(I52:I54)</f>
        <v>861.82</v>
      </c>
      <c r="J55" s="46"/>
      <c r="K55" s="46"/>
    </row>
    <row r="56" spans="1:14" s="2" customFormat="1" x14ac:dyDescent="0.2">
      <c r="A56" s="24"/>
      <c r="B56" s="1"/>
      <c r="C56" s="78" t="s">
        <v>575</v>
      </c>
      <c r="D56" s="48" t="s">
        <v>576</v>
      </c>
      <c r="E56" s="104"/>
      <c r="G56" s="1"/>
    </row>
    <row r="57" spans="1:14" s="2" customFormat="1" x14ac:dyDescent="0.2">
      <c r="A57" s="24"/>
      <c r="B57" s="1"/>
      <c r="C57" s="47" t="s">
        <v>570</v>
      </c>
      <c r="D57" s="111">
        <v>861.82</v>
      </c>
      <c r="E57" s="104"/>
      <c r="G57" s="1"/>
      <c r="H57" s="110" t="s">
        <v>581</v>
      </c>
    </row>
    <row r="58" spans="1:14" s="2" customFormat="1" x14ac:dyDescent="0.2">
      <c r="A58" s="24"/>
      <c r="B58" s="1"/>
      <c r="C58" s="47" t="s">
        <v>571</v>
      </c>
      <c r="D58" s="111">
        <v>10.41</v>
      </c>
      <c r="E58" s="104"/>
      <c r="G58" s="1"/>
      <c r="H58" s="110" t="s">
        <v>580</v>
      </c>
    </row>
    <row r="59" spans="1:14" s="2" customFormat="1" x14ac:dyDescent="0.2">
      <c r="A59" s="24"/>
      <c r="B59" s="1"/>
      <c r="C59" s="47" t="s">
        <v>572</v>
      </c>
      <c r="D59" s="111">
        <f>+D83/100000</f>
        <v>121.21641</v>
      </c>
      <c r="E59" s="104"/>
      <c r="G59" s="1"/>
      <c r="H59" s="90" t="s">
        <v>587</v>
      </c>
    </row>
    <row r="60" spans="1:14" s="2" customFormat="1" x14ac:dyDescent="0.2">
      <c r="A60" s="24"/>
      <c r="B60" s="1"/>
      <c r="C60" s="108" t="s">
        <v>578</v>
      </c>
      <c r="D60" s="48">
        <f>SUM(D57:D59)</f>
        <v>993.44641000000001</v>
      </c>
      <c r="E60" s="104"/>
      <c r="G60" s="1"/>
    </row>
    <row r="61" spans="1:14" s="2" customFormat="1" x14ac:dyDescent="0.2">
      <c r="A61" s="24"/>
      <c r="B61" s="1"/>
      <c r="C61" s="47"/>
      <c r="D61" s="107"/>
      <c r="E61" s="104"/>
      <c r="G61" s="1"/>
    </row>
    <row r="62" spans="1:14" s="2" customFormat="1" x14ac:dyDescent="0.2">
      <c r="A62" s="24"/>
      <c r="B62" s="1"/>
      <c r="C62" s="47" t="s">
        <v>573</v>
      </c>
      <c r="D62" s="111">
        <v>3.36</v>
      </c>
      <c r="E62" s="104"/>
      <c r="G62" s="1"/>
      <c r="H62" s="110" t="s">
        <v>581</v>
      </c>
    </row>
    <row r="63" spans="1:14" s="2" customFormat="1" x14ac:dyDescent="0.2">
      <c r="A63" s="24"/>
      <c r="B63" s="1"/>
      <c r="C63" s="47" t="s">
        <v>574</v>
      </c>
      <c r="D63" s="111">
        <f>313.85-18.21</f>
        <v>295.64000000000004</v>
      </c>
      <c r="E63" s="104"/>
      <c r="G63" s="1"/>
      <c r="H63" s="110" t="s">
        <v>581</v>
      </c>
      <c r="J63" s="114" t="s">
        <v>713</v>
      </c>
    </row>
    <row r="64" spans="1:14" s="2" customFormat="1" x14ac:dyDescent="0.2">
      <c r="A64" s="24"/>
      <c r="B64" s="1"/>
      <c r="C64" s="78" t="s">
        <v>579</v>
      </c>
      <c r="D64" s="109">
        <f>D62+D63</f>
        <v>299.00000000000006</v>
      </c>
      <c r="E64" s="104"/>
      <c r="G64" s="1"/>
      <c r="I64" s="113"/>
      <c r="J64" s="113" t="s">
        <v>709</v>
      </c>
      <c r="K64" s="113" t="s">
        <v>710</v>
      </c>
      <c r="L64" s="113" t="s">
        <v>711</v>
      </c>
      <c r="M64" s="113" t="s">
        <v>712</v>
      </c>
    </row>
    <row r="65" spans="1:13" s="2" customFormat="1" x14ac:dyDescent="0.2">
      <c r="A65" s="24"/>
      <c r="B65" s="1"/>
      <c r="C65" s="105"/>
      <c r="D65" s="106"/>
      <c r="E65" s="104"/>
      <c r="G65" s="1"/>
      <c r="I65" s="113" t="s">
        <v>706</v>
      </c>
      <c r="J65" s="115"/>
      <c r="K65" s="115">
        <v>968.99</v>
      </c>
      <c r="L65" s="115">
        <v>968.99</v>
      </c>
      <c r="M65" s="113">
        <f>+J65+L65-K65</f>
        <v>0</v>
      </c>
    </row>
    <row r="66" spans="1:13" s="2" customFormat="1" x14ac:dyDescent="0.2">
      <c r="A66" s="24"/>
      <c r="B66" s="1"/>
      <c r="C66" s="78" t="s">
        <v>577</v>
      </c>
      <c r="D66" s="109">
        <f>D57+D64</f>
        <v>1160.8200000000002</v>
      </c>
      <c r="E66" s="104"/>
      <c r="G66" s="1"/>
      <c r="I66" s="113" t="s">
        <v>707</v>
      </c>
      <c r="J66" s="115">
        <v>183.1</v>
      </c>
      <c r="K66" s="115">
        <v>1451.95</v>
      </c>
      <c r="L66" s="115">
        <v>1918.57</v>
      </c>
      <c r="M66" s="113">
        <f>+J66+L66-K66</f>
        <v>649.72</v>
      </c>
    </row>
    <row r="67" spans="1:13" s="2" customFormat="1" x14ac:dyDescent="0.2">
      <c r="A67" s="24"/>
      <c r="B67" s="1"/>
      <c r="C67" s="56"/>
      <c r="D67" s="56"/>
      <c r="E67" s="104"/>
      <c r="G67" s="1"/>
      <c r="I67" s="113" t="s">
        <v>708</v>
      </c>
      <c r="J67" s="115">
        <v>1371.02</v>
      </c>
      <c r="K67" s="115">
        <v>10078.93</v>
      </c>
      <c r="L67" s="115">
        <v>10607.14</v>
      </c>
      <c r="M67" s="113">
        <f>+J67+L67-K67</f>
        <v>1899.2299999999996</v>
      </c>
    </row>
    <row r="68" spans="1:13" s="2" customFormat="1" ht="38.25" x14ac:dyDescent="0.2">
      <c r="A68" s="24"/>
      <c r="B68" s="1"/>
      <c r="C68" s="79" t="str">
        <f>"Particulars ( 01-04-2021 to "&amp;TEXT(A5,"dd-mm-yyyy")&amp;" )"</f>
        <v>Particulars ( 01-04-2021 to 12-04-2023 )</v>
      </c>
      <c r="D68" s="80" t="s">
        <v>73</v>
      </c>
      <c r="E68" s="80" t="s">
        <v>74</v>
      </c>
      <c r="F68" s="81" t="s">
        <v>75</v>
      </c>
      <c r="G68" s="80" t="s">
        <v>76</v>
      </c>
      <c r="J68" s="118">
        <f>SUM(J65:J67)</f>
        <v>1554.12</v>
      </c>
      <c r="K68" s="118">
        <f>SUM(K65:K67)</f>
        <v>12499.87</v>
      </c>
      <c r="L68" s="118">
        <f>SUM(L65:L67)</f>
        <v>13494.699999999999</v>
      </c>
      <c r="M68" s="118">
        <f>SUM(M65:M67)</f>
        <v>2548.9499999999998</v>
      </c>
    </row>
    <row r="69" spans="1:13" s="2" customFormat="1" x14ac:dyDescent="0.2">
      <c r="A69" s="24"/>
      <c r="B69" s="1"/>
      <c r="C69" s="50" t="s">
        <v>444</v>
      </c>
      <c r="D69" s="55">
        <f>+L65+L66+J66</f>
        <v>3070.66</v>
      </c>
      <c r="E69" s="55">
        <f>+K65+K66</f>
        <v>2420.94</v>
      </c>
      <c r="F69" s="55">
        <f>+D69-E69</f>
        <v>649.7199999999998</v>
      </c>
      <c r="G69" s="55">
        <f>1500-F69</f>
        <v>850.2800000000002</v>
      </c>
      <c r="H69" s="2" t="s">
        <v>396</v>
      </c>
    </row>
    <row r="70" spans="1:13" s="2" customFormat="1" x14ac:dyDescent="0.2">
      <c r="A70" s="24"/>
      <c r="B70" s="1"/>
      <c r="C70" s="50" t="s">
        <v>71</v>
      </c>
      <c r="D70" s="55">
        <f>+J67+L67</f>
        <v>11978.16</v>
      </c>
      <c r="E70" s="55">
        <f>+K67</f>
        <v>10078.93</v>
      </c>
      <c r="F70" s="55">
        <f>+D70-E70</f>
        <v>1899.2299999999996</v>
      </c>
      <c r="G70" s="55">
        <f>1500+700-F70</f>
        <v>300.77000000000044</v>
      </c>
      <c r="H70" s="2" t="s">
        <v>396</v>
      </c>
    </row>
    <row r="71" spans="1:13" s="2" customFormat="1" x14ac:dyDescent="0.2">
      <c r="A71" s="24"/>
      <c r="B71" s="1"/>
      <c r="C71" s="14"/>
      <c r="D71" s="56"/>
      <c r="E71" s="13"/>
      <c r="G71" s="1"/>
    </row>
    <row r="72" spans="1:13" s="2" customFormat="1" x14ac:dyDescent="0.2">
      <c r="A72" s="215" t="s">
        <v>80</v>
      </c>
      <c r="B72" s="216"/>
      <c r="C72" s="216"/>
      <c r="D72" s="217"/>
      <c r="E72" s="69"/>
      <c r="F72" s="70"/>
      <c r="G72" s="1"/>
      <c r="H72" s="53"/>
    </row>
    <row r="73" spans="1:13" s="2" customFormat="1" x14ac:dyDescent="0.2">
      <c r="A73" s="71" t="s">
        <v>81</v>
      </c>
      <c r="B73" s="71"/>
      <c r="C73" s="72" t="s">
        <v>82</v>
      </c>
      <c r="D73" s="73" t="s">
        <v>83</v>
      </c>
      <c r="E73" s="69"/>
      <c r="F73" s="70"/>
      <c r="H73" s="53"/>
    </row>
    <row r="74" spans="1:13" s="2" customFormat="1" x14ac:dyDescent="0.2">
      <c r="A74" s="87">
        <v>45017</v>
      </c>
      <c r="B74" s="120" t="s">
        <v>6</v>
      </c>
      <c r="C74" s="75" t="s">
        <v>282</v>
      </c>
      <c r="D74" s="88">
        <v>12220</v>
      </c>
      <c r="G74" s="1"/>
      <c r="L74" s="1"/>
      <c r="M74" s="1"/>
    </row>
    <row r="75" spans="1:13" s="2" customFormat="1" x14ac:dyDescent="0.2">
      <c r="A75" s="87">
        <v>45020</v>
      </c>
      <c r="B75" s="120" t="s">
        <v>6</v>
      </c>
      <c r="C75" s="75" t="s">
        <v>271</v>
      </c>
      <c r="D75" s="88">
        <v>584074</v>
      </c>
      <c r="G75" s="1"/>
      <c r="L75" s="1"/>
      <c r="M75" s="1"/>
    </row>
    <row r="76" spans="1:13" s="2" customFormat="1" x14ac:dyDescent="0.2">
      <c r="A76" s="87">
        <v>45022</v>
      </c>
      <c r="B76" s="120" t="s">
        <v>6</v>
      </c>
      <c r="C76" s="75" t="s">
        <v>784</v>
      </c>
      <c r="D76" s="88">
        <v>283512</v>
      </c>
      <c r="G76" s="1"/>
      <c r="L76" s="1"/>
      <c r="M76" s="1"/>
    </row>
    <row r="77" spans="1:13" s="2" customFormat="1" x14ac:dyDescent="0.2">
      <c r="A77" s="87">
        <v>45022</v>
      </c>
      <c r="B77" s="120" t="s">
        <v>6</v>
      </c>
      <c r="C77" s="75" t="s">
        <v>84</v>
      </c>
      <c r="D77" s="88">
        <v>2500000</v>
      </c>
      <c r="G77" s="1"/>
      <c r="L77" s="1"/>
      <c r="M77" s="1"/>
    </row>
    <row r="78" spans="1:13" s="2" customFormat="1" x14ac:dyDescent="0.2">
      <c r="A78" s="87">
        <v>45023</v>
      </c>
      <c r="B78" s="120" t="s">
        <v>6</v>
      </c>
      <c r="C78" s="75" t="s">
        <v>270</v>
      </c>
      <c r="D78" s="88">
        <v>33748</v>
      </c>
      <c r="G78" s="1"/>
      <c r="L78" s="1"/>
      <c r="M78" s="1"/>
    </row>
    <row r="79" spans="1:13" s="2" customFormat="1" x14ac:dyDescent="0.2">
      <c r="A79" s="87">
        <v>45023</v>
      </c>
      <c r="B79" s="120" t="s">
        <v>6</v>
      </c>
      <c r="C79" s="75" t="s">
        <v>270</v>
      </c>
      <c r="D79" s="88">
        <v>114918</v>
      </c>
      <c r="G79" s="1"/>
      <c r="L79" s="1"/>
      <c r="M79" s="1"/>
    </row>
    <row r="80" spans="1:13" s="2" customFormat="1" x14ac:dyDescent="0.2">
      <c r="A80" s="87">
        <v>45027</v>
      </c>
      <c r="B80" s="120" t="s">
        <v>6</v>
      </c>
      <c r="C80" s="75" t="s">
        <v>767</v>
      </c>
      <c r="D80" s="88">
        <v>2093169</v>
      </c>
      <c r="G80" s="1"/>
      <c r="L80" s="1"/>
      <c r="M80" s="1"/>
    </row>
    <row r="81" spans="1:13" s="2" customFormat="1" x14ac:dyDescent="0.2">
      <c r="A81" s="87">
        <v>45027</v>
      </c>
      <c r="B81" s="120" t="s">
        <v>6</v>
      </c>
      <c r="C81" s="75" t="s">
        <v>594</v>
      </c>
      <c r="D81" s="88">
        <v>2500000</v>
      </c>
      <c r="G81" s="1"/>
      <c r="L81" s="1"/>
      <c r="M81" s="1"/>
    </row>
    <row r="82" spans="1:13" s="2" customFormat="1" x14ac:dyDescent="0.2">
      <c r="A82" s="87">
        <v>45028</v>
      </c>
      <c r="B82" s="120" t="s">
        <v>6</v>
      </c>
      <c r="C82" s="75" t="s">
        <v>84</v>
      </c>
      <c r="D82" s="88">
        <v>4000000</v>
      </c>
      <c r="G82" s="1"/>
      <c r="L82" s="1"/>
      <c r="M82" s="1"/>
    </row>
    <row r="83" spans="1:13" s="2" customFormat="1" x14ac:dyDescent="0.2">
      <c r="A83" s="87"/>
      <c r="B83" s="74"/>
      <c r="C83" s="75"/>
      <c r="D83" s="51">
        <f>SUM(D74:D82)</f>
        <v>12121641</v>
      </c>
      <c r="F83" s="2" t="s">
        <v>396</v>
      </c>
      <c r="G83" s="1"/>
      <c r="I83" s="1"/>
      <c r="J83" s="1"/>
      <c r="K83" s="1"/>
      <c r="L83" s="1"/>
      <c r="M83" s="1"/>
    </row>
    <row r="84" spans="1:13" s="2" customFormat="1" x14ac:dyDescent="0.2">
      <c r="A84" s="8"/>
      <c r="B84" s="93"/>
      <c r="C84" s="76"/>
      <c r="D84" s="56"/>
      <c r="G84" s="1"/>
      <c r="I84" s="1"/>
      <c r="J84" s="1"/>
      <c r="K84" s="1"/>
      <c r="L84" s="1"/>
      <c r="M84" s="1"/>
    </row>
    <row r="85" spans="1:13" s="2" customFormat="1" x14ac:dyDescent="0.2">
      <c r="A85" s="24"/>
      <c r="B85" s="1"/>
      <c r="C85" s="218" t="s">
        <v>77</v>
      </c>
      <c r="D85" s="219"/>
      <c r="E85" s="219"/>
      <c r="F85" s="220"/>
      <c r="G85" s="54"/>
      <c r="I85" s="1"/>
      <c r="J85" s="1"/>
      <c r="K85" s="1"/>
      <c r="L85" s="1"/>
      <c r="M85" s="1"/>
    </row>
    <row r="86" spans="1:13" s="2" customFormat="1" x14ac:dyDescent="0.2">
      <c r="A86" s="24"/>
      <c r="B86" s="1"/>
      <c r="C86" s="50"/>
      <c r="D86" s="57" t="s">
        <v>78</v>
      </c>
      <c r="E86" s="58" t="s">
        <v>79</v>
      </c>
      <c r="F86" s="57" t="s">
        <v>72</v>
      </c>
      <c r="G86" s="54"/>
      <c r="I86" s="1"/>
      <c r="J86" s="1"/>
      <c r="K86" s="1"/>
      <c r="L86" s="1"/>
      <c r="M86" s="1"/>
    </row>
    <row r="87" spans="1:13" s="2" customFormat="1" x14ac:dyDescent="0.2">
      <c r="A87" s="24"/>
      <c r="B87" s="1"/>
      <c r="C87" s="59" t="str">
        <f>"01-04-2023 to "&amp;TEXT(A5-2,"dd-mm-yyyy")</f>
        <v>01-04-2023 to 10-04-2023</v>
      </c>
      <c r="D87" s="60">
        <v>1588.64</v>
      </c>
      <c r="E87" s="60">
        <v>166.66</v>
      </c>
      <c r="F87" s="61">
        <f>SUM(D87:E87)</f>
        <v>1755.3000000000002</v>
      </c>
      <c r="G87" s="54"/>
      <c r="I87" s="1"/>
      <c r="J87" s="1"/>
      <c r="K87" s="1"/>
      <c r="L87" s="1"/>
      <c r="M87" s="1"/>
    </row>
    <row r="88" spans="1:13" s="2" customFormat="1" x14ac:dyDescent="0.2">
      <c r="A88" s="24"/>
      <c r="B88" s="1"/>
      <c r="C88" s="62" t="str">
        <f>TEXT(A5-1,"dd-mm-yyyy")</f>
        <v>11-04-2023</v>
      </c>
      <c r="D88" s="60">
        <v>72.23</v>
      </c>
      <c r="E88" s="60">
        <v>22.52</v>
      </c>
      <c r="F88" s="61">
        <f>SUM(D88:E88)</f>
        <v>94.75</v>
      </c>
      <c r="G88" s="54"/>
      <c r="I88" s="1"/>
      <c r="J88" s="1"/>
      <c r="K88" s="1"/>
      <c r="L88" s="1"/>
      <c r="M88" s="1"/>
    </row>
    <row r="89" spans="1:13" ht="13.5" thickBot="1" x14ac:dyDescent="0.25">
      <c r="C89" s="63" t="str">
        <f>"01-04-2023 to "&amp;TEXT(A5-1,"dd-mm-yyyy")</f>
        <v>01-04-2023 to 11-04-2023</v>
      </c>
      <c r="D89" s="64">
        <f>SUM(D87:D88)</f>
        <v>1660.8700000000001</v>
      </c>
      <c r="E89" s="64">
        <f>SUM(E87:E88)</f>
        <v>189.18</v>
      </c>
      <c r="F89" s="64">
        <f>SUM(F87:F88)</f>
        <v>1850.0500000000002</v>
      </c>
      <c r="G89" s="54"/>
    </row>
    <row r="90" spans="1:13" s="2" customFormat="1" ht="13.5" thickTop="1" x14ac:dyDescent="0.2">
      <c r="A90" s="24"/>
      <c r="B90" s="1"/>
      <c r="C90" s="62"/>
      <c r="D90" s="65"/>
      <c r="E90" s="66"/>
      <c r="F90" s="67"/>
      <c r="G90" s="54"/>
      <c r="H90" s="53"/>
    </row>
    <row r="91" spans="1:13" x14ac:dyDescent="0.2">
      <c r="C91" s="62" t="str">
        <f>"01-04-2023 to " &amp;C88</f>
        <v>01-04-2023 to 11-04-2023</v>
      </c>
      <c r="D91" s="68">
        <f>+D89</f>
        <v>1660.8700000000001</v>
      </c>
      <c r="E91" s="68">
        <f>+E89</f>
        <v>189.18</v>
      </c>
      <c r="F91" s="68">
        <f>+F89</f>
        <v>1850.0500000000002</v>
      </c>
      <c r="G91" s="54"/>
      <c r="H91" s="53" t="s">
        <v>396</v>
      </c>
    </row>
    <row r="92" spans="1:13" x14ac:dyDescent="0.2">
      <c r="C92" s="52"/>
      <c r="D92" s="85"/>
      <c r="E92" s="53"/>
      <c r="F92" s="53"/>
      <c r="G92" s="54"/>
      <c r="H92" s="53" t="s">
        <v>396</v>
      </c>
      <c r="J92" s="42"/>
    </row>
    <row r="93" spans="1:13" x14ac:dyDescent="0.2">
      <c r="C93" s="52"/>
      <c r="D93" s="85"/>
      <c r="E93" s="53"/>
      <c r="F93" s="53"/>
      <c r="G93" s="54"/>
      <c r="H93" s="53"/>
      <c r="I93" s="101"/>
    </row>
    <row r="94" spans="1:13" x14ac:dyDescent="0.2">
      <c r="C94" s="52"/>
      <c r="D94" s="85"/>
      <c r="E94" s="53"/>
      <c r="F94" s="53"/>
      <c r="G94" s="54"/>
      <c r="H94" s="53"/>
    </row>
    <row r="95" spans="1:13" x14ac:dyDescent="0.2">
      <c r="C95" s="52"/>
      <c r="D95" s="85"/>
      <c r="E95" s="53"/>
      <c r="F95" s="53"/>
      <c r="G95" s="54"/>
      <c r="H95" s="53"/>
    </row>
    <row r="96" spans="1:13" x14ac:dyDescent="0.2">
      <c r="H96" s="53"/>
    </row>
  </sheetData>
  <mergeCells count="5">
    <mergeCell ref="A1:G1"/>
    <mergeCell ref="A3:F3"/>
    <mergeCell ref="A9:F9"/>
    <mergeCell ref="A72:D72"/>
    <mergeCell ref="C85:F85"/>
  </mergeCells>
  <conditionalFormatting sqref="G69:G70">
    <cfRule type="cellIs" dxfId="643" priority="1" operator="lessThan">
      <formula>0</formula>
    </cfRule>
  </conditionalFormatting>
  <conditionalFormatting sqref="C11">
    <cfRule type="duplicateValues" dxfId="642" priority="2"/>
  </conditionalFormatting>
  <conditionalFormatting sqref="C12:C49">
    <cfRule type="duplicateValues" dxfId="641" priority="433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05">
    <pageSetUpPr fitToPage="1"/>
  </sheetPr>
  <dimension ref="A1:N100"/>
  <sheetViews>
    <sheetView topLeftCell="A45" zoomScaleNormal="100" workbookViewId="0">
      <selection activeCell="H56" sqref="H56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49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869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2.75" customHeight="1" x14ac:dyDescent="0.4">
      <c r="A5" s="89">
        <v>45029</v>
      </c>
      <c r="B5" s="9" t="s">
        <v>6</v>
      </c>
      <c r="C5" s="10" t="s">
        <v>7</v>
      </c>
      <c r="D5" s="11"/>
      <c r="E5" s="12">
        <v>557118.69999999879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557118.69999999879</v>
      </c>
      <c r="F6" s="16">
        <f>SUM(F5:F5)</f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E6-F6</f>
        <v>557118.69999999879</v>
      </c>
      <c r="F7" s="22"/>
      <c r="G7" s="23"/>
      <c r="H7" s="112"/>
      <c r="I7" s="112"/>
      <c r="J7" s="13"/>
    </row>
    <row r="8" spans="1:10" s="2" customFormat="1" ht="12.75" customHeight="1" x14ac:dyDescent="0.4">
      <c r="A8" s="24"/>
      <c r="B8" s="1"/>
      <c r="C8" s="14"/>
      <c r="D8" s="25"/>
      <c r="G8" s="23"/>
      <c r="H8" s="112"/>
      <c r="I8" s="112"/>
      <c r="J8" s="13"/>
    </row>
    <row r="9" spans="1:10" s="2" customFormat="1" ht="21.75" customHeight="1" x14ac:dyDescent="0.4">
      <c r="A9" s="214" t="s">
        <v>10</v>
      </c>
      <c r="B9" s="214"/>
      <c r="C9" s="214"/>
      <c r="D9" s="214"/>
      <c r="E9" s="214"/>
      <c r="F9" s="214"/>
      <c r="G9" s="13"/>
      <c r="H9" s="112"/>
      <c r="I9" s="112"/>
      <c r="J9" s="13"/>
    </row>
    <row r="10" spans="1:10" s="2" customFormat="1" ht="12.75" customHeight="1" x14ac:dyDescent="0.4">
      <c r="A10" s="26" t="s">
        <v>1</v>
      </c>
      <c r="B10" s="27" t="s">
        <v>2</v>
      </c>
      <c r="C10" s="5"/>
      <c r="D10" s="6" t="s">
        <v>3</v>
      </c>
      <c r="E10" s="7" t="s">
        <v>4</v>
      </c>
      <c r="F10" s="7" t="s">
        <v>5</v>
      </c>
      <c r="G10" s="23"/>
      <c r="H10" s="112"/>
      <c r="I10" s="112"/>
      <c r="J10" s="13"/>
    </row>
    <row r="11" spans="1:10" s="2" customFormat="1" ht="12.75" customHeight="1" x14ac:dyDescent="0.2">
      <c r="A11" s="89">
        <v>45029</v>
      </c>
      <c r="B11" s="91" t="s">
        <v>11</v>
      </c>
      <c r="C11" s="29" t="s">
        <v>7</v>
      </c>
      <c r="D11" s="25"/>
      <c r="E11" s="31"/>
      <c r="F11" s="2">
        <v>358842926.74000025</v>
      </c>
      <c r="G11" s="30"/>
      <c r="I11" s="13"/>
      <c r="J11" s="13"/>
    </row>
    <row r="12" spans="1:10" s="2" customFormat="1" ht="12.75" customHeight="1" x14ac:dyDescent="0.2">
      <c r="A12" s="89">
        <v>45029</v>
      </c>
      <c r="B12" s="91" t="s">
        <v>6</v>
      </c>
      <c r="C12" s="76" t="s">
        <v>727</v>
      </c>
      <c r="D12" s="116" t="s">
        <v>13</v>
      </c>
      <c r="E12" s="31">
        <v>150555</v>
      </c>
      <c r="G12" s="30"/>
      <c r="I12" s="13"/>
      <c r="J12" s="13"/>
    </row>
    <row r="13" spans="1:10" s="2" customFormat="1" ht="12.75" customHeight="1" x14ac:dyDescent="0.2">
      <c r="A13" s="89">
        <v>45029</v>
      </c>
      <c r="B13" s="91" t="s">
        <v>6</v>
      </c>
      <c r="C13" s="76" t="s">
        <v>24</v>
      </c>
      <c r="D13" s="116" t="s">
        <v>13</v>
      </c>
      <c r="E13" s="31">
        <v>121566.37</v>
      </c>
      <c r="G13" s="30"/>
      <c r="I13" s="13"/>
      <c r="J13" s="13"/>
    </row>
    <row r="14" spans="1:10" s="2" customFormat="1" ht="12.75" customHeight="1" x14ac:dyDescent="0.2">
      <c r="A14" s="89">
        <v>45029</v>
      </c>
      <c r="B14" s="91" t="s">
        <v>6</v>
      </c>
      <c r="C14" s="76" t="s">
        <v>178</v>
      </c>
      <c r="D14" s="116" t="s">
        <v>13</v>
      </c>
      <c r="E14" s="31">
        <v>818494</v>
      </c>
      <c r="G14" s="30"/>
      <c r="I14" s="13"/>
      <c r="J14" s="13"/>
    </row>
    <row r="15" spans="1:10" s="2" customFormat="1" ht="12.75" customHeight="1" x14ac:dyDescent="0.2">
      <c r="A15" s="89">
        <v>45029</v>
      </c>
      <c r="B15" s="91" t="s">
        <v>6</v>
      </c>
      <c r="C15" s="76" t="s">
        <v>62</v>
      </c>
      <c r="D15" s="116" t="s">
        <v>13</v>
      </c>
      <c r="E15" s="31">
        <v>4000</v>
      </c>
      <c r="G15" s="30"/>
      <c r="I15" s="13"/>
      <c r="J15" s="13"/>
    </row>
    <row r="16" spans="1:10" s="2" customFormat="1" ht="12.75" customHeight="1" x14ac:dyDescent="0.2">
      <c r="A16" s="89">
        <v>45029</v>
      </c>
      <c r="B16" s="91" t="s">
        <v>6</v>
      </c>
      <c r="C16" s="76" t="s">
        <v>761</v>
      </c>
      <c r="D16" s="116" t="s">
        <v>13</v>
      </c>
      <c r="E16" s="31">
        <v>408025</v>
      </c>
      <c r="G16" s="30"/>
      <c r="I16" s="13"/>
      <c r="J16" s="13"/>
    </row>
    <row r="17" spans="1:10" s="2" customFormat="1" ht="12.75" customHeight="1" x14ac:dyDescent="0.2">
      <c r="A17" s="89">
        <v>45029</v>
      </c>
      <c r="B17" s="91" t="s">
        <v>6</v>
      </c>
      <c r="C17" s="76" t="s">
        <v>151</v>
      </c>
      <c r="D17" s="116" t="s">
        <v>13</v>
      </c>
      <c r="E17" s="31">
        <v>100000</v>
      </c>
      <c r="G17" s="30"/>
      <c r="I17" s="13"/>
      <c r="J17" s="13"/>
    </row>
    <row r="18" spans="1:10" s="2" customFormat="1" ht="12.75" customHeight="1" x14ac:dyDescent="0.2">
      <c r="A18" s="89">
        <v>45029</v>
      </c>
      <c r="B18" s="91" t="s">
        <v>6</v>
      </c>
      <c r="C18" s="76" t="s">
        <v>296</v>
      </c>
      <c r="D18" s="116" t="s">
        <v>13</v>
      </c>
      <c r="E18" s="31">
        <v>100000</v>
      </c>
      <c r="G18" s="30"/>
      <c r="I18" s="13"/>
      <c r="J18" s="13"/>
    </row>
    <row r="19" spans="1:10" s="2" customFormat="1" ht="12.75" customHeight="1" x14ac:dyDescent="0.2">
      <c r="A19" s="89">
        <v>45029</v>
      </c>
      <c r="B19" s="91" t="s">
        <v>6</v>
      </c>
      <c r="C19" s="76" t="s">
        <v>220</v>
      </c>
      <c r="D19" s="116" t="s">
        <v>13</v>
      </c>
      <c r="E19" s="31">
        <v>604550</v>
      </c>
      <c r="G19" s="30"/>
      <c r="I19" s="13"/>
      <c r="J19" s="13"/>
    </row>
    <row r="20" spans="1:10" s="2" customFormat="1" ht="12.75" customHeight="1" x14ac:dyDescent="0.2">
      <c r="A20" s="89">
        <v>45029</v>
      </c>
      <c r="B20" s="91" t="s">
        <v>6</v>
      </c>
      <c r="C20" s="76" t="s">
        <v>326</v>
      </c>
      <c r="D20" s="116" t="s">
        <v>13</v>
      </c>
      <c r="E20" s="31">
        <v>300000</v>
      </c>
      <c r="G20" s="30"/>
      <c r="I20" s="13"/>
      <c r="J20" s="13"/>
    </row>
    <row r="21" spans="1:10" s="2" customFormat="1" ht="12.75" customHeight="1" x14ac:dyDescent="0.2">
      <c r="A21" s="89">
        <v>45029</v>
      </c>
      <c r="B21" s="91" t="s">
        <v>6</v>
      </c>
      <c r="C21" s="76" t="s">
        <v>471</v>
      </c>
      <c r="D21" s="116" t="s">
        <v>13</v>
      </c>
      <c r="E21" s="31">
        <v>423725</v>
      </c>
      <c r="G21" s="30"/>
      <c r="I21" s="13"/>
      <c r="J21" s="13"/>
    </row>
    <row r="22" spans="1:10" s="2" customFormat="1" ht="12.75" customHeight="1" x14ac:dyDescent="0.2">
      <c r="A22" s="89">
        <v>45029</v>
      </c>
      <c r="B22" s="91" t="s">
        <v>6</v>
      </c>
      <c r="C22" s="76" t="s">
        <v>430</v>
      </c>
      <c r="D22" s="116" t="s">
        <v>13</v>
      </c>
      <c r="E22" s="31">
        <v>3071</v>
      </c>
      <c r="G22" s="30"/>
      <c r="I22" s="13"/>
      <c r="J22" s="13"/>
    </row>
    <row r="23" spans="1:10" s="2" customFormat="1" ht="12.75" customHeight="1" x14ac:dyDescent="0.2">
      <c r="A23" s="89">
        <v>45029</v>
      </c>
      <c r="B23" s="91" t="s">
        <v>6</v>
      </c>
      <c r="C23" s="76" t="s">
        <v>105</v>
      </c>
      <c r="D23" s="116" t="s">
        <v>13</v>
      </c>
      <c r="E23" s="31">
        <v>3366450</v>
      </c>
      <c r="G23" s="30"/>
      <c r="I23" s="13"/>
      <c r="J23" s="13"/>
    </row>
    <row r="24" spans="1:10" s="2" customFormat="1" ht="12.75" customHeight="1" x14ac:dyDescent="0.2">
      <c r="A24" s="89">
        <v>45029</v>
      </c>
      <c r="B24" s="91" t="s">
        <v>6</v>
      </c>
      <c r="C24" s="76" t="s">
        <v>93</v>
      </c>
      <c r="D24" s="116" t="s">
        <v>13</v>
      </c>
      <c r="E24" s="31">
        <v>1637261</v>
      </c>
      <c r="G24" s="30"/>
      <c r="I24" s="13"/>
      <c r="J24" s="13"/>
    </row>
    <row r="25" spans="1:10" s="2" customFormat="1" ht="12.75" customHeight="1" x14ac:dyDescent="0.2">
      <c r="A25" s="89">
        <v>45029</v>
      </c>
      <c r="B25" s="91" t="s">
        <v>6</v>
      </c>
      <c r="C25" s="76" t="s">
        <v>149</v>
      </c>
      <c r="D25" s="116" t="s">
        <v>13</v>
      </c>
      <c r="E25" s="31">
        <v>2030760</v>
      </c>
      <c r="G25" s="30"/>
      <c r="I25" s="13"/>
      <c r="J25" s="13"/>
    </row>
    <row r="26" spans="1:10" s="2" customFormat="1" ht="12.75" customHeight="1" x14ac:dyDescent="0.2">
      <c r="A26" s="89">
        <v>45029</v>
      </c>
      <c r="B26" s="91" t="s">
        <v>6</v>
      </c>
      <c r="C26" s="76" t="s">
        <v>145</v>
      </c>
      <c r="D26" s="116" t="s">
        <v>13</v>
      </c>
      <c r="E26" s="31">
        <v>1503218</v>
      </c>
      <c r="G26" s="30"/>
      <c r="I26" s="13"/>
      <c r="J26" s="13"/>
    </row>
    <row r="27" spans="1:10" s="2" customFormat="1" ht="12.75" customHeight="1" x14ac:dyDescent="0.2">
      <c r="A27" s="89">
        <v>45029</v>
      </c>
      <c r="B27" s="91" t="s">
        <v>6</v>
      </c>
      <c r="C27" s="76" t="s">
        <v>822</v>
      </c>
      <c r="D27" s="116" t="s">
        <v>13</v>
      </c>
      <c r="E27" s="31">
        <v>5400</v>
      </c>
      <c r="G27" s="30"/>
      <c r="I27" s="13"/>
      <c r="J27" s="13"/>
    </row>
    <row r="28" spans="1:10" s="2" customFormat="1" ht="12.75" customHeight="1" x14ac:dyDescent="0.2">
      <c r="A28" s="89">
        <v>45029</v>
      </c>
      <c r="B28" s="91" t="s">
        <v>6</v>
      </c>
      <c r="C28" s="76" t="s">
        <v>121</v>
      </c>
      <c r="D28" s="116" t="s">
        <v>13</v>
      </c>
      <c r="E28" s="31">
        <v>500000</v>
      </c>
      <c r="G28" s="30"/>
      <c r="I28" s="13"/>
      <c r="J28" s="13"/>
    </row>
    <row r="29" spans="1:10" s="2" customFormat="1" ht="12.75" customHeight="1" x14ac:dyDescent="0.2">
      <c r="A29" s="89">
        <v>45029</v>
      </c>
      <c r="B29" s="91" t="s">
        <v>6</v>
      </c>
      <c r="C29" s="76" t="s">
        <v>12</v>
      </c>
      <c r="D29" s="116" t="s">
        <v>13</v>
      </c>
      <c r="E29" s="31">
        <v>7716718.6100000003</v>
      </c>
      <c r="G29" s="30"/>
      <c r="I29" s="13"/>
      <c r="J29" s="13"/>
    </row>
    <row r="30" spans="1:10" s="2" customFormat="1" ht="12.75" customHeight="1" x14ac:dyDescent="0.2">
      <c r="A30" s="89">
        <v>45029</v>
      </c>
      <c r="B30" s="91" t="s">
        <v>6</v>
      </c>
      <c r="C30" s="76" t="s">
        <v>27</v>
      </c>
      <c r="D30" s="116" t="s">
        <v>13</v>
      </c>
      <c r="E30" s="31">
        <v>472038.30000000005</v>
      </c>
      <c r="G30" s="30"/>
      <c r="I30" s="13"/>
      <c r="J30" s="13"/>
    </row>
    <row r="31" spans="1:10" s="2" customFormat="1" ht="12.75" customHeight="1" x14ac:dyDescent="0.2">
      <c r="A31" s="89">
        <v>45029</v>
      </c>
      <c r="B31" s="91" t="s">
        <v>6</v>
      </c>
      <c r="C31" s="76" t="s">
        <v>15</v>
      </c>
      <c r="D31" s="116" t="s">
        <v>13</v>
      </c>
      <c r="E31" s="31">
        <v>14628.830000000002</v>
      </c>
      <c r="G31" s="30"/>
      <c r="I31" s="13"/>
      <c r="J31" s="13"/>
    </row>
    <row r="32" spans="1:10" s="2" customFormat="1" ht="12.75" customHeight="1" x14ac:dyDescent="0.2">
      <c r="A32" s="89">
        <v>45029</v>
      </c>
      <c r="B32" s="91" t="s">
        <v>6</v>
      </c>
      <c r="C32" s="76" t="s">
        <v>111</v>
      </c>
      <c r="D32" s="116" t="s">
        <v>258</v>
      </c>
      <c r="E32" s="31">
        <v>14333178.220000001</v>
      </c>
      <c r="G32" s="30"/>
      <c r="I32" s="13"/>
      <c r="J32" s="13"/>
    </row>
    <row r="33" spans="1:10" s="2" customFormat="1" ht="12.75" customHeight="1" x14ac:dyDescent="0.2">
      <c r="A33" s="89">
        <v>45029</v>
      </c>
      <c r="B33" s="91" t="s">
        <v>11</v>
      </c>
      <c r="C33" s="76" t="s">
        <v>874</v>
      </c>
      <c r="D33" s="116" t="s">
        <v>875</v>
      </c>
      <c r="E33" s="31"/>
      <c r="F33" s="2">
        <v>42324</v>
      </c>
      <c r="G33" s="30"/>
      <c r="I33" s="13"/>
      <c r="J33" s="13"/>
    </row>
    <row r="34" spans="1:10" s="2" customFormat="1" ht="12.75" customHeight="1" x14ac:dyDescent="0.2">
      <c r="A34" s="89">
        <v>45029</v>
      </c>
      <c r="B34" s="91" t="s">
        <v>11</v>
      </c>
      <c r="C34" s="76" t="s">
        <v>109</v>
      </c>
      <c r="D34" s="116" t="s">
        <v>29</v>
      </c>
      <c r="E34" s="31"/>
      <c r="F34" s="2">
        <v>1320142</v>
      </c>
      <c r="G34" s="30"/>
      <c r="I34" s="13"/>
      <c r="J34" s="13"/>
    </row>
    <row r="35" spans="1:10" s="2" customFormat="1" ht="12.75" customHeight="1" x14ac:dyDescent="0.2">
      <c r="A35" s="89">
        <v>45029</v>
      </c>
      <c r="B35" s="91" t="s">
        <v>11</v>
      </c>
      <c r="C35" s="76" t="s">
        <v>284</v>
      </c>
      <c r="D35" s="116" t="s">
        <v>29</v>
      </c>
      <c r="E35" s="31"/>
      <c r="F35" s="2">
        <v>1694828</v>
      </c>
      <c r="G35" s="30"/>
      <c r="I35" s="13"/>
      <c r="J35" s="13"/>
    </row>
    <row r="36" spans="1:10" s="2" customFormat="1" ht="12.75" customHeight="1" x14ac:dyDescent="0.2">
      <c r="A36" s="89">
        <v>45029</v>
      </c>
      <c r="B36" s="91" t="s">
        <v>11</v>
      </c>
      <c r="C36" s="76" t="s">
        <v>34</v>
      </c>
      <c r="D36" s="116" t="s">
        <v>29</v>
      </c>
      <c r="E36" s="31"/>
      <c r="F36" s="2">
        <v>50000</v>
      </c>
      <c r="G36" s="30"/>
      <c r="I36" s="13"/>
      <c r="J36" s="13"/>
    </row>
    <row r="37" spans="1:10" s="2" customFormat="1" ht="12.75" customHeight="1" x14ac:dyDescent="0.2">
      <c r="A37" s="89">
        <v>45029</v>
      </c>
      <c r="B37" s="91" t="s">
        <v>11</v>
      </c>
      <c r="C37" s="76" t="s">
        <v>643</v>
      </c>
      <c r="D37" s="116" t="s">
        <v>29</v>
      </c>
      <c r="E37" s="31"/>
      <c r="F37" s="2">
        <v>58500</v>
      </c>
      <c r="G37" s="30"/>
      <c r="I37" s="13"/>
      <c r="J37" s="13"/>
    </row>
    <row r="38" spans="1:10" s="2" customFormat="1" ht="12.75" customHeight="1" x14ac:dyDescent="0.2">
      <c r="A38" s="89">
        <v>45029</v>
      </c>
      <c r="B38" s="91" t="s">
        <v>11</v>
      </c>
      <c r="C38" s="76" t="s">
        <v>870</v>
      </c>
      <c r="D38" s="116" t="s">
        <v>29</v>
      </c>
      <c r="E38" s="31"/>
      <c r="F38" s="2">
        <v>7545</v>
      </c>
      <c r="G38" s="30"/>
      <c r="I38" s="13"/>
      <c r="J38" s="13"/>
    </row>
    <row r="39" spans="1:10" s="2" customFormat="1" ht="12.75" customHeight="1" x14ac:dyDescent="0.2">
      <c r="A39" s="89">
        <v>45029</v>
      </c>
      <c r="B39" s="91" t="s">
        <v>11</v>
      </c>
      <c r="C39" s="76" t="s">
        <v>111</v>
      </c>
      <c r="D39" s="116" t="s">
        <v>29</v>
      </c>
      <c r="E39" s="31"/>
      <c r="F39" s="2">
        <v>11261745.120000001</v>
      </c>
      <c r="G39" s="30"/>
      <c r="I39" s="13"/>
      <c r="J39" s="13"/>
    </row>
    <row r="40" spans="1:10" s="2" customFormat="1" ht="12.75" customHeight="1" x14ac:dyDescent="0.2">
      <c r="A40" s="89">
        <v>45029</v>
      </c>
      <c r="B40" s="91" t="s">
        <v>11</v>
      </c>
      <c r="C40" s="76" t="s">
        <v>64</v>
      </c>
      <c r="D40" s="116" t="s">
        <v>29</v>
      </c>
      <c r="E40" s="31"/>
      <c r="F40" s="2">
        <v>5015</v>
      </c>
      <c r="G40" s="30"/>
      <c r="I40" s="13"/>
      <c r="J40" s="13"/>
    </row>
    <row r="41" spans="1:10" s="2" customFormat="1" ht="12.75" customHeight="1" x14ac:dyDescent="0.2">
      <c r="A41" s="89">
        <v>45029</v>
      </c>
      <c r="B41" s="91" t="s">
        <v>11</v>
      </c>
      <c r="C41" s="76" t="s">
        <v>97</v>
      </c>
      <c r="D41" s="116" t="s">
        <v>29</v>
      </c>
      <c r="E41" s="31"/>
      <c r="F41" s="2">
        <v>4465072</v>
      </c>
      <c r="G41" s="30"/>
      <c r="I41" s="13"/>
      <c r="J41" s="13"/>
    </row>
    <row r="42" spans="1:10" s="2" customFormat="1" ht="12.75" customHeight="1" x14ac:dyDescent="0.2">
      <c r="A42" s="89">
        <v>45029</v>
      </c>
      <c r="B42" s="91" t="s">
        <v>11</v>
      </c>
      <c r="C42" s="76" t="s">
        <v>25</v>
      </c>
      <c r="D42" s="116" t="s">
        <v>29</v>
      </c>
      <c r="E42" s="31"/>
      <c r="F42" s="2">
        <v>1200000</v>
      </c>
      <c r="G42" s="30"/>
      <c r="I42" s="13"/>
      <c r="J42" s="13"/>
    </row>
    <row r="43" spans="1:10" s="2" customFormat="1" ht="12.75" customHeight="1" x14ac:dyDescent="0.2">
      <c r="A43" s="89">
        <v>45029</v>
      </c>
      <c r="B43" s="91" t="s">
        <v>11</v>
      </c>
      <c r="C43" s="76" t="s">
        <v>134</v>
      </c>
      <c r="D43" s="116" t="s">
        <v>29</v>
      </c>
      <c r="E43" s="31"/>
      <c r="F43" s="2">
        <v>1500000</v>
      </c>
      <c r="G43" s="30"/>
      <c r="I43" s="13"/>
      <c r="J43" s="13"/>
    </row>
    <row r="44" spans="1:10" s="2" customFormat="1" ht="12.75" customHeight="1" x14ac:dyDescent="0.2">
      <c r="A44" s="89">
        <v>45029</v>
      </c>
      <c r="B44" s="91" t="s">
        <v>11</v>
      </c>
      <c r="C44" s="76" t="s">
        <v>171</v>
      </c>
      <c r="D44" s="116" t="s">
        <v>29</v>
      </c>
      <c r="E44" s="31"/>
      <c r="F44" s="2">
        <v>5618</v>
      </c>
      <c r="G44" s="30"/>
      <c r="I44" s="13"/>
      <c r="J44" s="13"/>
    </row>
    <row r="45" spans="1:10" s="2" customFormat="1" ht="12.75" customHeight="1" x14ac:dyDescent="0.2">
      <c r="A45" s="89">
        <v>45029</v>
      </c>
      <c r="B45" s="91" t="s">
        <v>11</v>
      </c>
      <c r="C45" s="76" t="s">
        <v>871</v>
      </c>
      <c r="D45" s="116" t="s">
        <v>29</v>
      </c>
      <c r="E45" s="31"/>
      <c r="F45" s="2">
        <v>21000</v>
      </c>
      <c r="G45" s="30"/>
      <c r="I45" s="13"/>
      <c r="J45" s="13"/>
    </row>
    <row r="46" spans="1:10" s="2" customFormat="1" ht="12.75" customHeight="1" x14ac:dyDescent="0.2">
      <c r="A46" s="89">
        <v>45029</v>
      </c>
      <c r="B46" s="91" t="s">
        <v>11</v>
      </c>
      <c r="C46" s="76" t="s">
        <v>289</v>
      </c>
      <c r="D46" s="116" t="s">
        <v>29</v>
      </c>
      <c r="E46" s="31"/>
      <c r="F46" s="2">
        <v>300000</v>
      </c>
      <c r="G46" s="30"/>
      <c r="I46" s="13"/>
      <c r="J46" s="13"/>
    </row>
    <row r="47" spans="1:10" s="2" customFormat="1" ht="12.75" customHeight="1" x14ac:dyDescent="0.2">
      <c r="A47" s="89">
        <v>45029</v>
      </c>
      <c r="B47" s="91" t="s">
        <v>11</v>
      </c>
      <c r="C47" s="76" t="s">
        <v>593</v>
      </c>
      <c r="D47" s="116" t="s">
        <v>29</v>
      </c>
      <c r="E47" s="31"/>
      <c r="F47" s="2">
        <v>1000000</v>
      </c>
      <c r="G47" s="30"/>
      <c r="I47" s="13"/>
      <c r="J47" s="13"/>
    </row>
    <row r="48" spans="1:10" s="2" customFormat="1" ht="12.75" customHeight="1" x14ac:dyDescent="0.2">
      <c r="A48" s="89">
        <v>45029</v>
      </c>
      <c r="B48" s="91" t="s">
        <v>11</v>
      </c>
      <c r="C48" s="76" t="s">
        <v>872</v>
      </c>
      <c r="D48" s="116" t="s">
        <v>29</v>
      </c>
      <c r="E48" s="31"/>
      <c r="F48" s="2">
        <v>5133</v>
      </c>
      <c r="G48" s="30"/>
      <c r="I48" s="13"/>
      <c r="J48" s="13"/>
    </row>
    <row r="49" spans="1:14" s="2" customFormat="1" ht="12.75" customHeight="1" x14ac:dyDescent="0.2">
      <c r="A49" s="89">
        <v>45029</v>
      </c>
      <c r="B49" s="91" t="s">
        <v>11</v>
      </c>
      <c r="C49" s="76" t="s">
        <v>546</v>
      </c>
      <c r="D49" s="116" t="s">
        <v>29</v>
      </c>
      <c r="E49" s="31"/>
      <c r="F49" s="2">
        <v>68642</v>
      </c>
      <c r="G49" s="30"/>
      <c r="I49" s="13"/>
      <c r="J49" s="13"/>
    </row>
    <row r="50" spans="1:14" s="2" customFormat="1" ht="12.75" customHeight="1" x14ac:dyDescent="0.2">
      <c r="A50" s="89">
        <v>45029</v>
      </c>
      <c r="B50" s="91" t="s">
        <v>11</v>
      </c>
      <c r="C50" s="76" t="s">
        <v>873</v>
      </c>
      <c r="D50" s="116" t="s">
        <v>29</v>
      </c>
      <c r="E50" s="31"/>
      <c r="F50" s="2">
        <v>9014</v>
      </c>
      <c r="G50" s="30"/>
      <c r="I50" s="13"/>
      <c r="J50" s="13"/>
    </row>
    <row r="51" spans="1:14" s="2" customFormat="1" ht="12.75" customHeight="1" x14ac:dyDescent="0.2">
      <c r="A51" s="89">
        <v>45029</v>
      </c>
      <c r="B51" s="91" t="s">
        <v>11</v>
      </c>
      <c r="C51" s="76" t="s">
        <v>124</v>
      </c>
      <c r="D51" s="116" t="s">
        <v>29</v>
      </c>
      <c r="E51" s="31"/>
      <c r="F51" s="2">
        <v>15605</v>
      </c>
      <c r="G51" s="30"/>
      <c r="I51" s="13"/>
      <c r="J51" s="99" t="s">
        <v>601</v>
      </c>
      <c r="K51" s="99" t="s">
        <v>779</v>
      </c>
    </row>
    <row r="52" spans="1:14" s="2" customFormat="1" ht="12.75" customHeight="1" x14ac:dyDescent="0.25">
      <c r="A52" s="32"/>
      <c r="B52" s="33"/>
      <c r="C52" s="14"/>
      <c r="D52" s="34"/>
      <c r="E52" s="16">
        <f>SUM(E11:E51)</f>
        <v>34613639.329999998</v>
      </c>
      <c r="F52" s="16">
        <f>SUM(F11:F51)</f>
        <v>381873109.86000025</v>
      </c>
      <c r="G52" s="30"/>
      <c r="H52" s="1"/>
      <c r="I52" s="39">
        <v>363601351.52999997</v>
      </c>
      <c r="J52" s="2">
        <f>1972203+1220426+1321352+3017518+141513+26224+1289323+6957541</f>
        <v>15946100</v>
      </c>
      <c r="K52" s="92">
        <f>E53-I52</f>
        <v>-16341880.999999702</v>
      </c>
      <c r="L52" s="41"/>
      <c r="M52" s="42">
        <f>K52+J52</f>
        <v>-395780.99999970198</v>
      </c>
      <c r="N52" s="1"/>
    </row>
    <row r="53" spans="1:14" s="2" customFormat="1" x14ac:dyDescent="0.2">
      <c r="A53" s="36"/>
      <c r="B53" s="28" t="s">
        <v>11</v>
      </c>
      <c r="C53" s="19" t="s">
        <v>65</v>
      </c>
      <c r="D53" s="37"/>
      <c r="E53" s="38">
        <f>F52-E52</f>
        <v>347259470.53000027</v>
      </c>
      <c r="F53" s="22"/>
      <c r="G53" s="1"/>
      <c r="H53" s="1"/>
      <c r="J53" s="1"/>
      <c r="K53" s="1"/>
      <c r="L53" s="1"/>
      <c r="M53" s="1"/>
      <c r="N53" s="1"/>
    </row>
    <row r="54" spans="1:14" x14ac:dyDescent="0.2">
      <c r="A54" s="36"/>
      <c r="B54" s="28" t="s">
        <v>66</v>
      </c>
      <c r="C54" s="43" t="s">
        <v>67</v>
      </c>
      <c r="D54" s="43"/>
      <c r="E54" s="12">
        <v>0</v>
      </c>
      <c r="F54" s="22"/>
      <c r="H54" s="40"/>
      <c r="I54" s="45">
        <v>1048.81</v>
      </c>
      <c r="J54" s="46"/>
      <c r="K54" s="46"/>
      <c r="L54" s="13"/>
      <c r="M54" s="2"/>
      <c r="N54" s="2"/>
    </row>
    <row r="55" spans="1:14" ht="15" x14ac:dyDescent="0.25">
      <c r="A55" s="36"/>
      <c r="B55" s="28"/>
      <c r="C55" s="44" t="s">
        <v>68</v>
      </c>
      <c r="D55" s="43"/>
      <c r="E55" s="7">
        <f>E53+E54</f>
        <v>347259470.53000027</v>
      </c>
      <c r="F55" s="22"/>
      <c r="H55" s="103" t="s">
        <v>69</v>
      </c>
      <c r="I55" s="45">
        <v>-12.48</v>
      </c>
      <c r="J55" s="46"/>
      <c r="K55" s="46"/>
      <c r="L55" s="2"/>
      <c r="M55" s="2"/>
      <c r="N55" s="2"/>
    </row>
    <row r="56" spans="1:14" s="2" customFormat="1" x14ac:dyDescent="0.2">
      <c r="A56" s="24"/>
      <c r="B56" s="1"/>
      <c r="C56" s="14"/>
      <c r="D56" s="25"/>
      <c r="E56" s="1"/>
      <c r="H56" s="35" t="s">
        <v>70</v>
      </c>
      <c r="I56" s="45">
        <v>0</v>
      </c>
      <c r="J56" s="46">
        <f>+I57-D59</f>
        <v>0</v>
      </c>
      <c r="M56" s="2">
        <v>19.57</v>
      </c>
      <c r="N56" s="2" t="s">
        <v>535</v>
      </c>
    </row>
    <row r="57" spans="1:14" s="2" customFormat="1" x14ac:dyDescent="0.2">
      <c r="A57" s="24"/>
      <c r="B57" s="1"/>
      <c r="C57" s="56"/>
      <c r="D57" s="56"/>
      <c r="E57" s="104"/>
      <c r="G57" s="1"/>
      <c r="I57" s="49">
        <f>SUM(I54:I56)</f>
        <v>1036.33</v>
      </c>
      <c r="J57" s="46"/>
      <c r="K57" s="46"/>
    </row>
    <row r="58" spans="1:14" s="2" customFormat="1" x14ac:dyDescent="0.2">
      <c r="A58" s="24"/>
      <c r="B58" s="1"/>
      <c r="C58" s="78" t="s">
        <v>575</v>
      </c>
      <c r="D58" s="48" t="s">
        <v>576</v>
      </c>
      <c r="E58" s="104"/>
      <c r="G58" s="1"/>
    </row>
    <row r="59" spans="1:14" s="2" customFormat="1" x14ac:dyDescent="0.2">
      <c r="A59" s="24"/>
      <c r="B59" s="1"/>
      <c r="C59" s="47" t="s">
        <v>570</v>
      </c>
      <c r="D59" s="111">
        <v>1036.33</v>
      </c>
      <c r="E59" s="104"/>
      <c r="G59" s="1"/>
      <c r="H59" s="110" t="s">
        <v>581</v>
      </c>
    </row>
    <row r="60" spans="1:14" s="2" customFormat="1" x14ac:dyDescent="0.2">
      <c r="A60" s="24"/>
      <c r="B60" s="1"/>
      <c r="C60" s="47" t="s">
        <v>571</v>
      </c>
      <c r="D60" s="111">
        <v>10.41</v>
      </c>
      <c r="E60" s="104"/>
      <c r="G60" s="1"/>
      <c r="H60" s="110" t="s">
        <v>580</v>
      </c>
    </row>
    <row r="61" spans="1:14" s="2" customFormat="1" x14ac:dyDescent="0.2">
      <c r="A61" s="24"/>
      <c r="B61" s="1"/>
      <c r="C61" s="47" t="s">
        <v>572</v>
      </c>
      <c r="D61" s="111">
        <f>+D87/100000</f>
        <v>126.76579</v>
      </c>
      <c r="E61" s="104"/>
      <c r="G61" s="1"/>
      <c r="H61" s="90" t="s">
        <v>587</v>
      </c>
    </row>
    <row r="62" spans="1:14" s="2" customFormat="1" x14ac:dyDescent="0.2">
      <c r="A62" s="24"/>
      <c r="B62" s="1"/>
      <c r="C62" s="108" t="s">
        <v>578</v>
      </c>
      <c r="D62" s="48">
        <f>SUM(D59:D61)</f>
        <v>1173.5057899999999</v>
      </c>
      <c r="E62" s="104"/>
      <c r="G62" s="1"/>
    </row>
    <row r="63" spans="1:14" s="2" customFormat="1" x14ac:dyDescent="0.2">
      <c r="A63" s="24"/>
      <c r="B63" s="1"/>
      <c r="C63" s="47"/>
      <c r="D63" s="107"/>
      <c r="E63" s="104"/>
      <c r="G63" s="1"/>
    </row>
    <row r="64" spans="1:14" s="2" customFormat="1" x14ac:dyDescent="0.2">
      <c r="A64" s="24"/>
      <c r="B64" s="1"/>
      <c r="C64" s="47" t="s">
        <v>573</v>
      </c>
      <c r="D64" s="111">
        <v>3.36</v>
      </c>
      <c r="E64" s="104"/>
      <c r="G64" s="1"/>
      <c r="H64" s="110" t="s">
        <v>581</v>
      </c>
    </row>
    <row r="65" spans="1:13" s="2" customFormat="1" x14ac:dyDescent="0.2">
      <c r="A65" s="24"/>
      <c r="B65" s="1"/>
      <c r="C65" s="47" t="s">
        <v>574</v>
      </c>
      <c r="D65" s="111">
        <f>318.57-18.21</f>
        <v>300.36</v>
      </c>
      <c r="E65" s="104"/>
      <c r="G65" s="1"/>
      <c r="H65" s="110" t="s">
        <v>581</v>
      </c>
      <c r="J65" s="114" t="s">
        <v>713</v>
      </c>
    </row>
    <row r="66" spans="1:13" s="2" customFormat="1" x14ac:dyDescent="0.2">
      <c r="A66" s="24"/>
      <c r="B66" s="1"/>
      <c r="C66" s="78" t="s">
        <v>579</v>
      </c>
      <c r="D66" s="109">
        <f>D64+D65</f>
        <v>303.72000000000003</v>
      </c>
      <c r="E66" s="104"/>
      <c r="G66" s="1"/>
      <c r="I66" s="113"/>
      <c r="J66" s="113" t="s">
        <v>709</v>
      </c>
      <c r="K66" s="113" t="s">
        <v>710</v>
      </c>
      <c r="L66" s="113" t="s">
        <v>711</v>
      </c>
      <c r="M66" s="113" t="s">
        <v>712</v>
      </c>
    </row>
    <row r="67" spans="1:13" s="2" customFormat="1" x14ac:dyDescent="0.2">
      <c r="A67" s="24"/>
      <c r="B67" s="1"/>
      <c r="C67" s="105"/>
      <c r="D67" s="106"/>
      <c r="E67" s="104"/>
      <c r="G67" s="1"/>
      <c r="I67" s="113" t="s">
        <v>706</v>
      </c>
      <c r="J67" s="115"/>
      <c r="K67" s="115">
        <v>968.99</v>
      </c>
      <c r="L67" s="115">
        <v>968.99</v>
      </c>
      <c r="M67" s="113">
        <f>+J67+L67-K67</f>
        <v>0</v>
      </c>
    </row>
    <row r="68" spans="1:13" s="2" customFormat="1" x14ac:dyDescent="0.2">
      <c r="A68" s="24"/>
      <c r="B68" s="1"/>
      <c r="C68" s="78" t="s">
        <v>577</v>
      </c>
      <c r="D68" s="109">
        <f>D59+D66</f>
        <v>1340.05</v>
      </c>
      <c r="E68" s="104"/>
      <c r="G68" s="1"/>
      <c r="I68" s="113" t="s">
        <v>707</v>
      </c>
      <c r="J68" s="115">
        <v>183.1</v>
      </c>
      <c r="K68" s="115">
        <v>1451.95</v>
      </c>
      <c r="L68" s="115">
        <v>1918.57</v>
      </c>
      <c r="M68" s="113">
        <f>+J68+L68-K68</f>
        <v>649.72</v>
      </c>
    </row>
    <row r="69" spans="1:13" s="2" customFormat="1" x14ac:dyDescent="0.2">
      <c r="A69" s="24"/>
      <c r="B69" s="1"/>
      <c r="C69" s="56"/>
      <c r="D69" s="56"/>
      <c r="E69" s="104"/>
      <c r="G69" s="1"/>
      <c r="I69" s="113" t="s">
        <v>708</v>
      </c>
      <c r="J69" s="115">
        <v>1371.02</v>
      </c>
      <c r="K69" s="115">
        <v>10084.48</v>
      </c>
      <c r="L69" s="115">
        <v>10611.86</v>
      </c>
      <c r="M69" s="113">
        <f>+J69+L69-K69</f>
        <v>1898.4000000000015</v>
      </c>
    </row>
    <row r="70" spans="1:13" s="2" customFormat="1" ht="38.25" x14ac:dyDescent="0.2">
      <c r="A70" s="24"/>
      <c r="B70" s="1"/>
      <c r="C70" s="79" t="str">
        <f>"Particulars ( 01-04-2021 to "&amp;TEXT(A5,"dd-mm-yyyy")&amp;" )"</f>
        <v>Particulars ( 01-04-2021 to 13-04-2023 )</v>
      </c>
      <c r="D70" s="80" t="s">
        <v>73</v>
      </c>
      <c r="E70" s="80" t="s">
        <v>74</v>
      </c>
      <c r="F70" s="81" t="s">
        <v>75</v>
      </c>
      <c r="G70" s="80" t="s">
        <v>76</v>
      </c>
      <c r="J70" s="118">
        <f>SUM(J67:J69)</f>
        <v>1554.12</v>
      </c>
      <c r="K70" s="118">
        <f>SUM(K67:K69)</f>
        <v>12505.42</v>
      </c>
      <c r="L70" s="118">
        <f>SUM(L67:L69)</f>
        <v>13499.42</v>
      </c>
      <c r="M70" s="118">
        <f>SUM(M67:M69)</f>
        <v>2548.1200000000017</v>
      </c>
    </row>
    <row r="71" spans="1:13" s="2" customFormat="1" x14ac:dyDescent="0.2">
      <c r="A71" s="24"/>
      <c r="B71" s="1"/>
      <c r="C71" s="50" t="s">
        <v>444</v>
      </c>
      <c r="D71" s="55">
        <f>+L67+L68+J68</f>
        <v>3070.66</v>
      </c>
      <c r="E71" s="55">
        <f>+K67+K68</f>
        <v>2420.94</v>
      </c>
      <c r="F71" s="55">
        <f>+D71-E71</f>
        <v>649.7199999999998</v>
      </c>
      <c r="G71" s="55">
        <f>1500-F71</f>
        <v>850.2800000000002</v>
      </c>
      <c r="H71" s="2" t="s">
        <v>396</v>
      </c>
    </row>
    <row r="72" spans="1:13" s="2" customFormat="1" x14ac:dyDescent="0.2">
      <c r="A72" s="24"/>
      <c r="B72" s="1"/>
      <c r="C72" s="50" t="s">
        <v>71</v>
      </c>
      <c r="D72" s="55">
        <f>+J69+L69</f>
        <v>11982.880000000001</v>
      </c>
      <c r="E72" s="55">
        <f>+K69</f>
        <v>10084.48</v>
      </c>
      <c r="F72" s="55">
        <f>+D72-E72</f>
        <v>1898.4000000000015</v>
      </c>
      <c r="G72" s="55">
        <f>1500+700-F72</f>
        <v>301.59999999999854</v>
      </c>
      <c r="H72" s="2" t="s">
        <v>396</v>
      </c>
    </row>
    <row r="73" spans="1:13" s="2" customFormat="1" x14ac:dyDescent="0.2">
      <c r="A73" s="24"/>
      <c r="B73" s="1"/>
      <c r="C73" s="14"/>
      <c r="D73" s="56"/>
      <c r="E73" s="13"/>
      <c r="G73" s="1"/>
    </row>
    <row r="74" spans="1:13" s="2" customFormat="1" x14ac:dyDescent="0.2">
      <c r="A74" s="215" t="s">
        <v>80</v>
      </c>
      <c r="B74" s="216"/>
      <c r="C74" s="216"/>
      <c r="D74" s="217"/>
      <c r="E74" s="69"/>
      <c r="F74" s="70"/>
      <c r="G74" s="1"/>
      <c r="H74" s="53"/>
    </row>
    <row r="75" spans="1:13" s="2" customFormat="1" x14ac:dyDescent="0.2">
      <c r="A75" s="71" t="s">
        <v>81</v>
      </c>
      <c r="B75" s="71"/>
      <c r="C75" s="72" t="s">
        <v>82</v>
      </c>
      <c r="D75" s="73" t="s">
        <v>83</v>
      </c>
      <c r="E75" s="69"/>
      <c r="F75" s="70"/>
      <c r="H75" s="53"/>
    </row>
    <row r="76" spans="1:13" s="2" customFormat="1" x14ac:dyDescent="0.2">
      <c r="A76" s="87">
        <v>45017</v>
      </c>
      <c r="B76" s="120" t="s">
        <v>6</v>
      </c>
      <c r="C76" s="75" t="s">
        <v>282</v>
      </c>
      <c r="D76" s="88">
        <v>12220</v>
      </c>
      <c r="G76" s="1"/>
      <c r="L76" s="1"/>
      <c r="M76" s="1"/>
    </row>
    <row r="77" spans="1:13" s="2" customFormat="1" x14ac:dyDescent="0.2">
      <c r="A77" s="87">
        <v>45020</v>
      </c>
      <c r="B77" s="120" t="s">
        <v>6</v>
      </c>
      <c r="C77" s="75" t="s">
        <v>271</v>
      </c>
      <c r="D77" s="88">
        <v>584074</v>
      </c>
      <c r="G77" s="1"/>
      <c r="L77" s="1"/>
      <c r="M77" s="1"/>
    </row>
    <row r="78" spans="1:13" s="2" customFormat="1" x14ac:dyDescent="0.2">
      <c r="A78" s="87">
        <v>45022</v>
      </c>
      <c r="B78" s="120" t="s">
        <v>6</v>
      </c>
      <c r="C78" s="75" t="s">
        <v>784</v>
      </c>
      <c r="D78" s="88">
        <v>283512</v>
      </c>
      <c r="G78" s="1"/>
      <c r="L78" s="1"/>
      <c r="M78" s="1"/>
    </row>
    <row r="79" spans="1:13" s="2" customFormat="1" x14ac:dyDescent="0.2">
      <c r="A79" s="87">
        <v>45022</v>
      </c>
      <c r="B79" s="120" t="s">
        <v>6</v>
      </c>
      <c r="C79" s="75" t="s">
        <v>84</v>
      </c>
      <c r="D79" s="88">
        <v>2500000</v>
      </c>
      <c r="G79" s="1"/>
      <c r="L79" s="1"/>
      <c r="M79" s="1"/>
    </row>
    <row r="80" spans="1:13" s="2" customFormat="1" x14ac:dyDescent="0.2">
      <c r="A80" s="87">
        <v>45023</v>
      </c>
      <c r="B80" s="120" t="s">
        <v>6</v>
      </c>
      <c r="C80" s="75" t="s">
        <v>270</v>
      </c>
      <c r="D80" s="88">
        <v>33748</v>
      </c>
      <c r="G80" s="1"/>
      <c r="L80" s="1"/>
      <c r="M80" s="1"/>
    </row>
    <row r="81" spans="1:13" s="2" customFormat="1" x14ac:dyDescent="0.2">
      <c r="A81" s="87">
        <v>45023</v>
      </c>
      <c r="B81" s="120" t="s">
        <v>6</v>
      </c>
      <c r="C81" s="75" t="s">
        <v>270</v>
      </c>
      <c r="D81" s="88">
        <v>114918</v>
      </c>
      <c r="G81" s="1"/>
      <c r="L81" s="1"/>
      <c r="M81" s="1"/>
    </row>
    <row r="82" spans="1:13" s="2" customFormat="1" x14ac:dyDescent="0.2">
      <c r="A82" s="87">
        <v>45027</v>
      </c>
      <c r="B82" s="120" t="s">
        <v>6</v>
      </c>
      <c r="C82" s="75" t="s">
        <v>767</v>
      </c>
      <c r="D82" s="88">
        <v>2093169</v>
      </c>
      <c r="G82" s="1"/>
      <c r="L82" s="1"/>
      <c r="M82" s="1"/>
    </row>
    <row r="83" spans="1:13" s="2" customFormat="1" x14ac:dyDescent="0.2">
      <c r="A83" s="87">
        <v>45027</v>
      </c>
      <c r="B83" s="120" t="s">
        <v>6</v>
      </c>
      <c r="C83" s="75" t="s">
        <v>594</v>
      </c>
      <c r="D83" s="88">
        <v>2500000</v>
      </c>
      <c r="G83" s="1"/>
      <c r="L83" s="1"/>
      <c r="M83" s="1"/>
    </row>
    <row r="84" spans="1:13" s="2" customFormat="1" x14ac:dyDescent="0.2">
      <c r="A84" s="87">
        <v>45028</v>
      </c>
      <c r="B84" s="120" t="s">
        <v>6</v>
      </c>
      <c r="C84" s="75" t="s">
        <v>84</v>
      </c>
      <c r="D84" s="88">
        <v>4000000</v>
      </c>
      <c r="G84" s="1"/>
      <c r="L84" s="1"/>
      <c r="M84" s="1"/>
    </row>
    <row r="85" spans="1:13" s="2" customFormat="1" x14ac:dyDescent="0.2">
      <c r="A85" s="87">
        <v>45028</v>
      </c>
      <c r="B85" s="120" t="s">
        <v>6</v>
      </c>
      <c r="C85" s="75" t="s">
        <v>606</v>
      </c>
      <c r="D85" s="88">
        <v>103240</v>
      </c>
      <c r="G85" s="1"/>
      <c r="L85" s="1"/>
      <c r="M85" s="1"/>
    </row>
    <row r="86" spans="1:13" s="2" customFormat="1" x14ac:dyDescent="0.2">
      <c r="A86" s="87">
        <v>45029</v>
      </c>
      <c r="B86" s="120" t="s">
        <v>6</v>
      </c>
      <c r="C86" s="75" t="s">
        <v>784</v>
      </c>
      <c r="D86" s="88">
        <v>451698</v>
      </c>
      <c r="G86" s="1"/>
      <c r="L86" s="1"/>
      <c r="M86" s="1"/>
    </row>
    <row r="87" spans="1:13" s="2" customFormat="1" x14ac:dyDescent="0.2">
      <c r="A87" s="87"/>
      <c r="B87" s="74"/>
      <c r="C87" s="75"/>
      <c r="D87" s="51">
        <f>SUM(D76:D86)</f>
        <v>12676579</v>
      </c>
      <c r="F87" s="2" t="s">
        <v>396</v>
      </c>
      <c r="G87" s="1"/>
      <c r="I87" s="1"/>
      <c r="J87" s="1"/>
      <c r="K87" s="1"/>
      <c r="L87" s="1"/>
      <c r="M87" s="1"/>
    </row>
    <row r="88" spans="1:13" s="2" customFormat="1" x14ac:dyDescent="0.2">
      <c r="A88" s="8"/>
      <c r="B88" s="93"/>
      <c r="C88" s="76"/>
      <c r="D88" s="56"/>
      <c r="G88" s="1"/>
      <c r="I88" s="1"/>
      <c r="J88" s="1"/>
      <c r="K88" s="1"/>
      <c r="L88" s="1"/>
      <c r="M88" s="1"/>
    </row>
    <row r="89" spans="1:13" s="2" customFormat="1" x14ac:dyDescent="0.2">
      <c r="A89" s="24"/>
      <c r="B89" s="1"/>
      <c r="C89" s="218" t="s">
        <v>77</v>
      </c>
      <c r="D89" s="219"/>
      <c r="E89" s="219"/>
      <c r="F89" s="220"/>
      <c r="G89" s="54"/>
      <c r="I89" s="1"/>
      <c r="J89" s="1"/>
      <c r="K89" s="1"/>
      <c r="L89" s="1"/>
      <c r="M89" s="1"/>
    </row>
    <row r="90" spans="1:13" s="2" customFormat="1" x14ac:dyDescent="0.2">
      <c r="A90" s="24"/>
      <c r="B90" s="1"/>
      <c r="C90" s="50"/>
      <c r="D90" s="57" t="s">
        <v>78</v>
      </c>
      <c r="E90" s="58" t="s">
        <v>79</v>
      </c>
      <c r="F90" s="57" t="s">
        <v>72</v>
      </c>
      <c r="G90" s="54"/>
      <c r="I90" s="1"/>
      <c r="J90" s="1"/>
      <c r="K90" s="1"/>
      <c r="L90" s="1"/>
      <c r="M90" s="1"/>
    </row>
    <row r="91" spans="1:13" s="2" customFormat="1" x14ac:dyDescent="0.2">
      <c r="A91" s="24"/>
      <c r="B91" s="1"/>
      <c r="C91" s="59" t="str">
        <f>"01-04-2023 to "&amp;TEXT(A5-2,"dd-mm-yyyy")</f>
        <v>01-04-2023 to 11-04-2023</v>
      </c>
      <c r="D91" s="60">
        <v>1662.83</v>
      </c>
      <c r="E91" s="60">
        <v>190.2</v>
      </c>
      <c r="F91" s="61">
        <f>SUM(D91:E91)</f>
        <v>1853.03</v>
      </c>
      <c r="G91" s="54"/>
      <c r="I91" s="1"/>
      <c r="J91" s="1"/>
      <c r="K91" s="1"/>
      <c r="L91" s="1"/>
      <c r="M91" s="1"/>
    </row>
    <row r="92" spans="1:13" s="2" customFormat="1" x14ac:dyDescent="0.2">
      <c r="A92" s="24"/>
      <c r="B92" s="1"/>
      <c r="C92" s="62" t="str">
        <f>TEXT(A5-1,"dd-mm-yyyy")</f>
        <v>12-04-2023</v>
      </c>
      <c r="D92" s="60">
        <v>75.53</v>
      </c>
      <c r="E92" s="60">
        <v>29.56</v>
      </c>
      <c r="F92" s="61">
        <f>SUM(D92:E92)</f>
        <v>105.09</v>
      </c>
      <c r="G92" s="54"/>
      <c r="I92" s="1"/>
      <c r="J92" s="1"/>
      <c r="K92" s="1"/>
      <c r="L92" s="1"/>
      <c r="M92" s="1"/>
    </row>
    <row r="93" spans="1:13" ht="13.5" thickBot="1" x14ac:dyDescent="0.25">
      <c r="C93" s="63" t="str">
        <f>"01-04-2023 to "&amp;TEXT(A5-1,"dd-mm-yyyy")</f>
        <v>01-04-2023 to 12-04-2023</v>
      </c>
      <c r="D93" s="64">
        <f>SUM(D91:D92)</f>
        <v>1738.36</v>
      </c>
      <c r="E93" s="64">
        <f>SUM(E91:E92)</f>
        <v>219.76</v>
      </c>
      <c r="F93" s="64">
        <f>SUM(F91:F92)</f>
        <v>1958.12</v>
      </c>
      <c r="G93" s="54"/>
    </row>
    <row r="94" spans="1:13" s="2" customFormat="1" ht="13.5" thickTop="1" x14ac:dyDescent="0.2">
      <c r="A94" s="24"/>
      <c r="B94" s="1"/>
      <c r="C94" s="62"/>
      <c r="D94" s="65"/>
      <c r="E94" s="66"/>
      <c r="F94" s="67"/>
      <c r="G94" s="54"/>
      <c r="H94" s="53"/>
    </row>
    <row r="95" spans="1:13" x14ac:dyDescent="0.2">
      <c r="C95" s="62" t="str">
        <f>"01-04-2023 to " &amp;C92</f>
        <v>01-04-2023 to 12-04-2023</v>
      </c>
      <c r="D95" s="68">
        <f>+D93</f>
        <v>1738.36</v>
      </c>
      <c r="E95" s="68">
        <f>+E93</f>
        <v>219.76</v>
      </c>
      <c r="F95" s="68">
        <f>+F93</f>
        <v>1958.12</v>
      </c>
      <c r="G95" s="54"/>
      <c r="H95" s="53" t="s">
        <v>396</v>
      </c>
    </row>
    <row r="96" spans="1:13" x14ac:dyDescent="0.2">
      <c r="C96" s="52"/>
      <c r="D96" s="85"/>
      <c r="E96" s="53"/>
      <c r="F96" s="53"/>
      <c r="G96" s="54"/>
      <c r="H96" s="53" t="s">
        <v>396</v>
      </c>
      <c r="J96" s="42"/>
    </row>
    <row r="97" spans="3:9" x14ac:dyDescent="0.2">
      <c r="C97" s="52"/>
      <c r="D97" s="85"/>
      <c r="E97" s="53"/>
      <c r="F97" s="53"/>
      <c r="G97" s="54"/>
      <c r="H97" s="53"/>
      <c r="I97" s="101"/>
    </row>
    <row r="98" spans="3:9" x14ac:dyDescent="0.2">
      <c r="C98" s="52"/>
      <c r="D98" s="85"/>
      <c r="E98" s="53"/>
      <c r="F98" s="53"/>
      <c r="G98" s="54"/>
      <c r="H98" s="53"/>
    </row>
    <row r="99" spans="3:9" x14ac:dyDescent="0.2">
      <c r="C99" s="52"/>
      <c r="D99" s="85"/>
      <c r="E99" s="53"/>
      <c r="F99" s="53"/>
      <c r="G99" s="54"/>
      <c r="H99" s="53"/>
    </row>
    <row r="100" spans="3:9" x14ac:dyDescent="0.2">
      <c r="H100" s="53"/>
    </row>
  </sheetData>
  <mergeCells count="5">
    <mergeCell ref="A1:G1"/>
    <mergeCell ref="A3:F3"/>
    <mergeCell ref="A9:F9"/>
    <mergeCell ref="A74:D74"/>
    <mergeCell ref="C89:F89"/>
  </mergeCells>
  <conditionalFormatting sqref="G71:G72">
    <cfRule type="cellIs" dxfId="640" priority="1" operator="lessThan">
      <formula>0</formula>
    </cfRule>
  </conditionalFormatting>
  <conditionalFormatting sqref="C11">
    <cfRule type="duplicateValues" dxfId="639" priority="2"/>
  </conditionalFormatting>
  <conditionalFormatting sqref="C12:C31 C43:C51">
    <cfRule type="duplicateValues" dxfId="638" priority="436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306">
    <pageSetUpPr fitToPage="1"/>
  </sheetPr>
  <dimension ref="A1:N75"/>
  <sheetViews>
    <sheetView topLeftCell="A19" zoomScaleNormal="100" workbookViewId="0">
      <selection activeCell="H30" sqref="H30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49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876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2.75" customHeight="1" x14ac:dyDescent="0.4">
      <c r="A5" s="89">
        <v>45030</v>
      </c>
      <c r="B5" s="9" t="s">
        <v>6</v>
      </c>
      <c r="C5" s="10" t="s">
        <v>7</v>
      </c>
      <c r="D5" s="11"/>
      <c r="E5" s="12">
        <v>557118.69999999879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557118.69999999879</v>
      </c>
      <c r="F6" s="16">
        <f>SUM(F5:F5)</f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E6-F6</f>
        <v>557118.69999999879</v>
      </c>
      <c r="F7" s="22"/>
      <c r="G7" s="23"/>
      <c r="H7" s="112"/>
      <c r="I7" s="112"/>
      <c r="J7" s="13"/>
    </row>
    <row r="8" spans="1:10" s="2" customFormat="1" ht="12.75" customHeight="1" x14ac:dyDescent="0.4">
      <c r="A8" s="24"/>
      <c r="B8" s="1"/>
      <c r="C8" s="14"/>
      <c r="D8" s="25"/>
      <c r="G8" s="23"/>
      <c r="H8" s="112"/>
      <c r="I8" s="112"/>
      <c r="J8" s="13"/>
    </row>
    <row r="9" spans="1:10" s="2" customFormat="1" ht="21.75" customHeight="1" x14ac:dyDescent="0.4">
      <c r="A9" s="214" t="s">
        <v>10</v>
      </c>
      <c r="B9" s="214"/>
      <c r="C9" s="214"/>
      <c r="D9" s="214"/>
      <c r="E9" s="214"/>
      <c r="F9" s="214"/>
      <c r="G9" s="13"/>
      <c r="H9" s="112"/>
      <c r="I9" s="112"/>
      <c r="J9" s="13"/>
    </row>
    <row r="10" spans="1:10" s="2" customFormat="1" ht="12.75" customHeight="1" x14ac:dyDescent="0.4">
      <c r="A10" s="26" t="s">
        <v>1</v>
      </c>
      <c r="B10" s="27" t="s">
        <v>2</v>
      </c>
      <c r="C10" s="5"/>
      <c r="D10" s="6" t="s">
        <v>3</v>
      </c>
      <c r="E10" s="7" t="s">
        <v>4</v>
      </c>
      <c r="F10" s="7" t="s">
        <v>5</v>
      </c>
      <c r="G10" s="23"/>
      <c r="H10" s="112"/>
      <c r="I10" s="112"/>
      <c r="J10" s="13"/>
    </row>
    <row r="11" spans="1:10" s="2" customFormat="1" ht="12.75" customHeight="1" x14ac:dyDescent="0.2">
      <c r="A11" s="89">
        <v>45030</v>
      </c>
      <c r="B11" s="91" t="s">
        <v>11</v>
      </c>
      <c r="C11" s="29" t="s">
        <v>7</v>
      </c>
      <c r="D11" s="25"/>
      <c r="E11" s="31"/>
      <c r="F11" s="2">
        <v>347259470.53000027</v>
      </c>
      <c r="G11" s="30"/>
      <c r="I11" s="13"/>
      <c r="J11" s="13"/>
    </row>
    <row r="12" spans="1:10" s="2" customFormat="1" ht="12.75" customHeight="1" x14ac:dyDescent="0.2">
      <c r="A12" s="89">
        <v>45030</v>
      </c>
      <c r="B12" s="91" t="s">
        <v>6</v>
      </c>
      <c r="C12" s="76" t="s">
        <v>142</v>
      </c>
      <c r="D12" s="116" t="s">
        <v>13</v>
      </c>
      <c r="E12" s="31">
        <v>129499.55</v>
      </c>
      <c r="G12" s="30"/>
      <c r="I12" s="13"/>
      <c r="J12" s="13"/>
    </row>
    <row r="13" spans="1:10" s="2" customFormat="1" ht="12.75" customHeight="1" x14ac:dyDescent="0.2">
      <c r="A13" s="89">
        <v>45030</v>
      </c>
      <c r="B13" s="91" t="s">
        <v>6</v>
      </c>
      <c r="C13" s="76" t="s">
        <v>19</v>
      </c>
      <c r="D13" s="116" t="s">
        <v>13</v>
      </c>
      <c r="E13" s="31">
        <v>1015088</v>
      </c>
      <c r="G13" s="30"/>
      <c r="I13" s="13"/>
      <c r="J13" s="13"/>
    </row>
    <row r="14" spans="1:10" s="2" customFormat="1" ht="12.75" customHeight="1" x14ac:dyDescent="0.2">
      <c r="A14" s="89">
        <v>45030</v>
      </c>
      <c r="B14" s="91" t="s">
        <v>6</v>
      </c>
      <c r="C14" s="76" t="s">
        <v>119</v>
      </c>
      <c r="D14" s="116" t="s">
        <v>13</v>
      </c>
      <c r="E14" s="31">
        <v>556515.48</v>
      </c>
      <c r="G14" s="30"/>
      <c r="I14" s="13"/>
      <c r="J14" s="13"/>
    </row>
    <row r="15" spans="1:10" s="2" customFormat="1" ht="12.75" customHeight="1" x14ac:dyDescent="0.2">
      <c r="A15" s="89">
        <v>45030</v>
      </c>
      <c r="B15" s="91" t="s">
        <v>6</v>
      </c>
      <c r="C15" s="76" t="s">
        <v>332</v>
      </c>
      <c r="D15" s="116" t="s">
        <v>13</v>
      </c>
      <c r="E15" s="31">
        <v>44116</v>
      </c>
      <c r="G15" s="30"/>
      <c r="I15" s="13"/>
      <c r="J15" s="13"/>
    </row>
    <row r="16" spans="1:10" s="2" customFormat="1" ht="12.75" customHeight="1" x14ac:dyDescent="0.2">
      <c r="A16" s="89">
        <v>45030</v>
      </c>
      <c r="B16" s="91" t="s">
        <v>6</v>
      </c>
      <c r="C16" s="76" t="s">
        <v>671</v>
      </c>
      <c r="D16" s="116" t="s">
        <v>13</v>
      </c>
      <c r="E16" s="31">
        <v>422105</v>
      </c>
      <c r="G16" s="30"/>
      <c r="I16" s="13"/>
      <c r="J16" s="13"/>
    </row>
    <row r="17" spans="1:14" s="2" customFormat="1" ht="12.75" customHeight="1" x14ac:dyDescent="0.2">
      <c r="A17" s="89">
        <v>45030</v>
      </c>
      <c r="B17" s="91" t="s">
        <v>6</v>
      </c>
      <c r="C17" s="76" t="s">
        <v>632</v>
      </c>
      <c r="D17" s="116" t="s">
        <v>13</v>
      </c>
      <c r="E17" s="31">
        <v>4200</v>
      </c>
      <c r="G17" s="30"/>
      <c r="I17" s="13"/>
      <c r="J17" s="13"/>
    </row>
    <row r="18" spans="1:14" s="2" customFormat="1" ht="12.75" customHeight="1" x14ac:dyDescent="0.2">
      <c r="A18" s="89">
        <v>45030</v>
      </c>
      <c r="B18" s="91" t="s">
        <v>6</v>
      </c>
      <c r="C18" s="76" t="s">
        <v>613</v>
      </c>
      <c r="D18" s="116" t="s">
        <v>13</v>
      </c>
      <c r="E18" s="31">
        <v>2896</v>
      </c>
      <c r="G18" s="30"/>
      <c r="I18" s="13"/>
      <c r="J18" s="13"/>
    </row>
    <row r="19" spans="1:14" s="2" customFormat="1" ht="12.75" customHeight="1" x14ac:dyDescent="0.2">
      <c r="A19" s="89">
        <v>45030</v>
      </c>
      <c r="B19" s="91" t="s">
        <v>6</v>
      </c>
      <c r="C19" s="76" t="s">
        <v>336</v>
      </c>
      <c r="D19" s="116" t="s">
        <v>13</v>
      </c>
      <c r="E19" s="31">
        <v>9451</v>
      </c>
      <c r="G19" s="30"/>
      <c r="I19" s="13"/>
      <c r="J19" s="13"/>
    </row>
    <row r="20" spans="1:14" s="2" customFormat="1" ht="12.75" customHeight="1" x14ac:dyDescent="0.2">
      <c r="A20" s="89">
        <v>45030</v>
      </c>
      <c r="B20" s="91" t="s">
        <v>6</v>
      </c>
      <c r="C20" s="76" t="s">
        <v>877</v>
      </c>
      <c r="D20" s="116" t="s">
        <v>13</v>
      </c>
      <c r="E20" s="31">
        <v>3675</v>
      </c>
      <c r="G20" s="30"/>
      <c r="I20" s="13"/>
      <c r="J20" s="13"/>
    </row>
    <row r="21" spans="1:14" s="2" customFormat="1" ht="12.75" customHeight="1" x14ac:dyDescent="0.2">
      <c r="A21" s="89">
        <v>45030</v>
      </c>
      <c r="B21" s="91" t="s">
        <v>11</v>
      </c>
      <c r="C21" s="76" t="s">
        <v>64</v>
      </c>
      <c r="D21" s="116" t="s">
        <v>29</v>
      </c>
      <c r="E21" s="31"/>
      <c r="F21" s="2">
        <v>14.16</v>
      </c>
      <c r="G21" s="30"/>
      <c r="I21" s="13"/>
      <c r="J21" s="13"/>
    </row>
    <row r="22" spans="1:14" s="2" customFormat="1" ht="12.75" customHeight="1" x14ac:dyDescent="0.2">
      <c r="A22" s="89">
        <v>45030</v>
      </c>
      <c r="B22" s="91" t="s">
        <v>11</v>
      </c>
      <c r="C22" s="76" t="s">
        <v>125</v>
      </c>
      <c r="D22" s="116" t="s">
        <v>29</v>
      </c>
      <c r="E22" s="31"/>
      <c r="F22" s="2">
        <v>1474120</v>
      </c>
      <c r="G22" s="30"/>
      <c r="I22" s="13"/>
      <c r="J22" s="13"/>
    </row>
    <row r="23" spans="1:14" s="2" customFormat="1" ht="12.75" customHeight="1" x14ac:dyDescent="0.2">
      <c r="A23" s="89">
        <v>45030</v>
      </c>
      <c r="B23" s="91" t="s">
        <v>11</v>
      </c>
      <c r="C23" s="76" t="s">
        <v>343</v>
      </c>
      <c r="D23" s="116" t="s">
        <v>29</v>
      </c>
      <c r="E23" s="31"/>
      <c r="F23" s="2">
        <v>13500</v>
      </c>
      <c r="G23" s="30"/>
      <c r="I23" s="13"/>
      <c r="J23" s="13"/>
    </row>
    <row r="24" spans="1:14" s="2" customFormat="1" ht="12.75" customHeight="1" x14ac:dyDescent="0.2">
      <c r="A24" s="89">
        <v>45030</v>
      </c>
      <c r="B24" s="91" t="s">
        <v>11</v>
      </c>
      <c r="C24" s="76" t="s">
        <v>292</v>
      </c>
      <c r="D24" s="116" t="s">
        <v>29</v>
      </c>
      <c r="E24" s="31"/>
      <c r="F24" s="2">
        <v>21972.37</v>
      </c>
      <c r="G24" s="30"/>
      <c r="I24" s="13"/>
      <c r="J24" s="13"/>
    </row>
    <row r="25" spans="1:14" s="2" customFormat="1" ht="12.75" customHeight="1" x14ac:dyDescent="0.2">
      <c r="A25" s="89">
        <v>45030</v>
      </c>
      <c r="B25" s="91" t="s">
        <v>11</v>
      </c>
      <c r="C25" s="76" t="s">
        <v>110</v>
      </c>
      <c r="D25" s="116" t="s">
        <v>29</v>
      </c>
      <c r="E25" s="31"/>
      <c r="F25" s="2">
        <v>997313.54999999993</v>
      </c>
      <c r="G25" s="30"/>
      <c r="I25" s="13"/>
      <c r="J25" s="99" t="s">
        <v>601</v>
      </c>
      <c r="K25" s="99" t="s">
        <v>779</v>
      </c>
    </row>
    <row r="26" spans="1:14" s="2" customFormat="1" ht="12.75" customHeight="1" x14ac:dyDescent="0.25">
      <c r="A26" s="32"/>
      <c r="B26" s="33"/>
      <c r="C26" s="14"/>
      <c r="D26" s="34"/>
      <c r="E26" s="16">
        <f>SUM(E11:E25)</f>
        <v>2187546.0300000003</v>
      </c>
      <c r="F26" s="16">
        <f>SUM(F11:F25)</f>
        <v>349766390.61000031</v>
      </c>
      <c r="G26" s="30"/>
      <c r="H26" s="1"/>
      <c r="I26" s="39">
        <v>363920725.57999998</v>
      </c>
      <c r="J26" s="2">
        <f>1972203+1220426+1321352+3017518+141513+26224+1289323+6957541</f>
        <v>15946100</v>
      </c>
      <c r="K26" s="92">
        <f>E27-I26</f>
        <v>-16341880.999999642</v>
      </c>
      <c r="L26" s="41"/>
      <c r="M26" s="42">
        <f>K26+J26</f>
        <v>-395780.99999964237</v>
      </c>
      <c r="N26" s="1"/>
    </row>
    <row r="27" spans="1:14" s="2" customFormat="1" x14ac:dyDescent="0.2">
      <c r="A27" s="36"/>
      <c r="B27" s="28" t="s">
        <v>11</v>
      </c>
      <c r="C27" s="19" t="s">
        <v>65</v>
      </c>
      <c r="D27" s="37"/>
      <c r="E27" s="38">
        <f>F26-E26</f>
        <v>347578844.58000034</v>
      </c>
      <c r="F27" s="22"/>
      <c r="G27" s="1"/>
      <c r="H27" s="1"/>
      <c r="J27" s="1"/>
      <c r="K27" s="1"/>
      <c r="L27" s="1"/>
      <c r="M27" s="1"/>
      <c r="N27" s="1"/>
    </row>
    <row r="28" spans="1:14" x14ac:dyDescent="0.2">
      <c r="A28" s="36"/>
      <c r="B28" s="28" t="s">
        <v>66</v>
      </c>
      <c r="C28" s="43" t="s">
        <v>67</v>
      </c>
      <c r="D28" s="43"/>
      <c r="E28" s="12">
        <v>0</v>
      </c>
      <c r="F28" s="22"/>
      <c r="H28" s="40"/>
      <c r="I28" s="45">
        <v>1071.06</v>
      </c>
      <c r="J28" s="46"/>
      <c r="K28" s="46"/>
      <c r="L28" s="13"/>
      <c r="M28" s="2"/>
      <c r="N28" s="2"/>
    </row>
    <row r="29" spans="1:14" ht="15" x14ac:dyDescent="0.25">
      <c r="A29" s="36"/>
      <c r="B29" s="28"/>
      <c r="C29" s="44" t="s">
        <v>68</v>
      </c>
      <c r="D29" s="43"/>
      <c r="E29" s="7">
        <f>E27+E28</f>
        <v>347578844.58000034</v>
      </c>
      <c r="F29" s="22"/>
      <c r="H29" s="103" t="s">
        <v>69</v>
      </c>
      <c r="I29" s="45">
        <v>-12.48</v>
      </c>
      <c r="J29" s="46"/>
      <c r="K29" s="46"/>
      <c r="L29" s="2"/>
      <c r="M29" s="2"/>
      <c r="N29" s="2"/>
    </row>
    <row r="30" spans="1:14" s="2" customFormat="1" x14ac:dyDescent="0.2">
      <c r="A30" s="24"/>
      <c r="B30" s="1"/>
      <c r="C30" s="14"/>
      <c r="D30" s="25"/>
      <c r="E30" s="1"/>
      <c r="H30" s="35" t="s">
        <v>70</v>
      </c>
      <c r="I30" s="45">
        <v>0</v>
      </c>
      <c r="J30" s="46">
        <f>+I31-D33</f>
        <v>0</v>
      </c>
      <c r="M30" s="2">
        <v>19.57</v>
      </c>
      <c r="N30" s="2" t="s">
        <v>535</v>
      </c>
    </row>
    <row r="31" spans="1:14" s="2" customFormat="1" x14ac:dyDescent="0.2">
      <c r="A31" s="24"/>
      <c r="B31" s="1"/>
      <c r="C31" s="56"/>
      <c r="D31" s="56"/>
      <c r="E31" s="104"/>
      <c r="G31" s="1"/>
      <c r="I31" s="49">
        <f>SUM(I28:I30)</f>
        <v>1058.58</v>
      </c>
      <c r="J31" s="46"/>
      <c r="K31" s="46"/>
    </row>
    <row r="32" spans="1:14" s="2" customFormat="1" x14ac:dyDescent="0.2">
      <c r="A32" s="24"/>
      <c r="B32" s="1"/>
      <c r="C32" s="78" t="s">
        <v>575</v>
      </c>
      <c r="D32" s="48" t="s">
        <v>576</v>
      </c>
      <c r="E32" s="104"/>
      <c r="G32" s="1"/>
    </row>
    <row r="33" spans="1:13" s="2" customFormat="1" x14ac:dyDescent="0.2">
      <c r="A33" s="24"/>
      <c r="B33" s="1"/>
      <c r="C33" s="47" t="s">
        <v>570</v>
      </c>
      <c r="D33" s="111">
        <v>1058.58</v>
      </c>
      <c r="E33" s="104"/>
      <c r="G33" s="1"/>
      <c r="H33" s="110" t="s">
        <v>581</v>
      </c>
    </row>
    <row r="34" spans="1:13" s="2" customFormat="1" x14ac:dyDescent="0.2">
      <c r="A34" s="24"/>
      <c r="B34" s="1"/>
      <c r="C34" s="47" t="s">
        <v>571</v>
      </c>
      <c r="D34" s="111">
        <v>10.41</v>
      </c>
      <c r="E34" s="104"/>
      <c r="G34" s="1"/>
      <c r="H34" s="110" t="s">
        <v>580</v>
      </c>
    </row>
    <row r="35" spans="1:13" s="2" customFormat="1" x14ac:dyDescent="0.2">
      <c r="A35" s="24"/>
      <c r="B35" s="1"/>
      <c r="C35" s="47" t="s">
        <v>572</v>
      </c>
      <c r="D35" s="111">
        <f>+D62/100000</f>
        <v>133.32345000000001</v>
      </c>
      <c r="E35" s="104"/>
      <c r="G35" s="1"/>
      <c r="H35" s="90" t="s">
        <v>587</v>
      </c>
    </row>
    <row r="36" spans="1:13" s="2" customFormat="1" x14ac:dyDescent="0.2">
      <c r="A36" s="24"/>
      <c r="B36" s="1"/>
      <c r="C36" s="108" t="s">
        <v>578</v>
      </c>
      <c r="D36" s="48">
        <f>SUM(D33:D35)</f>
        <v>1202.3134500000001</v>
      </c>
      <c r="E36" s="104"/>
      <c r="G36" s="1"/>
    </row>
    <row r="37" spans="1:13" s="2" customFormat="1" x14ac:dyDescent="0.2">
      <c r="A37" s="24"/>
      <c r="B37" s="1"/>
      <c r="C37" s="47"/>
      <c r="D37" s="107"/>
      <c r="E37" s="104"/>
      <c r="G37" s="1"/>
    </row>
    <row r="38" spans="1:13" s="2" customFormat="1" x14ac:dyDescent="0.2">
      <c r="A38" s="24"/>
      <c r="B38" s="1"/>
      <c r="C38" s="47" t="s">
        <v>573</v>
      </c>
      <c r="D38" s="111">
        <v>3.36</v>
      </c>
      <c r="E38" s="104"/>
      <c r="G38" s="1"/>
      <c r="H38" s="110" t="s">
        <v>581</v>
      </c>
    </row>
    <row r="39" spans="1:13" s="2" customFormat="1" x14ac:dyDescent="0.2">
      <c r="A39" s="24"/>
      <c r="B39" s="1"/>
      <c r="C39" s="47" t="s">
        <v>574</v>
      </c>
      <c r="D39" s="111">
        <f>318.57-18.21</f>
        <v>300.36</v>
      </c>
      <c r="E39" s="104"/>
      <c r="G39" s="1"/>
      <c r="H39" s="110" t="s">
        <v>581</v>
      </c>
      <c r="J39" s="114" t="s">
        <v>713</v>
      </c>
    </row>
    <row r="40" spans="1:13" s="2" customFormat="1" x14ac:dyDescent="0.2">
      <c r="A40" s="24"/>
      <c r="B40" s="1"/>
      <c r="C40" s="78" t="s">
        <v>579</v>
      </c>
      <c r="D40" s="109">
        <f>D38+D39</f>
        <v>303.72000000000003</v>
      </c>
      <c r="E40" s="104"/>
      <c r="G40" s="1"/>
      <c r="I40" s="113"/>
      <c r="J40" s="113" t="s">
        <v>709</v>
      </c>
      <c r="K40" s="113" t="s">
        <v>710</v>
      </c>
      <c r="L40" s="113" t="s">
        <v>711</v>
      </c>
      <c r="M40" s="113" t="s">
        <v>712</v>
      </c>
    </row>
    <row r="41" spans="1:13" s="2" customFormat="1" x14ac:dyDescent="0.2">
      <c r="A41" s="24"/>
      <c r="B41" s="1"/>
      <c r="C41" s="105"/>
      <c r="D41" s="106"/>
      <c r="E41" s="104"/>
      <c r="G41" s="1"/>
      <c r="I41" s="113" t="s">
        <v>706</v>
      </c>
      <c r="J41" s="115"/>
      <c r="K41" s="115">
        <v>968.99</v>
      </c>
      <c r="L41" s="115">
        <v>968.99</v>
      </c>
      <c r="M41" s="113">
        <f>+J41+L41-K41</f>
        <v>0</v>
      </c>
    </row>
    <row r="42" spans="1:13" s="2" customFormat="1" x14ac:dyDescent="0.2">
      <c r="A42" s="24"/>
      <c r="B42" s="1"/>
      <c r="C42" s="78" t="s">
        <v>577</v>
      </c>
      <c r="D42" s="109">
        <f>D33+D40</f>
        <v>1362.3</v>
      </c>
      <c r="E42" s="104"/>
      <c r="G42" s="1"/>
      <c r="I42" s="113" t="s">
        <v>707</v>
      </c>
      <c r="J42" s="115">
        <v>183.1</v>
      </c>
      <c r="K42" s="115">
        <v>1451.95</v>
      </c>
      <c r="L42" s="115">
        <v>1918.57</v>
      </c>
      <c r="M42" s="113">
        <f>+J42+L42-K42</f>
        <v>649.72</v>
      </c>
    </row>
    <row r="43" spans="1:13" s="2" customFormat="1" x14ac:dyDescent="0.2">
      <c r="A43" s="24"/>
      <c r="B43" s="1"/>
      <c r="C43" s="56"/>
      <c r="D43" s="56"/>
      <c r="E43" s="104"/>
      <c r="G43" s="1"/>
      <c r="I43" s="113" t="s">
        <v>708</v>
      </c>
      <c r="J43" s="115">
        <v>1371.02</v>
      </c>
      <c r="K43" s="115">
        <v>10091.040000000001</v>
      </c>
      <c r="L43" s="115">
        <v>10611.86</v>
      </c>
      <c r="M43" s="113">
        <f>+J43+L43-K43</f>
        <v>1891.8400000000001</v>
      </c>
    </row>
    <row r="44" spans="1:13" s="2" customFormat="1" ht="38.25" x14ac:dyDescent="0.2">
      <c r="A44" s="24"/>
      <c r="B44" s="1"/>
      <c r="C44" s="79" t="str">
        <f>"Particulars ( 01-04-2021 to "&amp;TEXT(A5,"dd-mm-yyyy")&amp;" )"</f>
        <v>Particulars ( 01-04-2021 to 14-04-2023 )</v>
      </c>
      <c r="D44" s="80" t="s">
        <v>73</v>
      </c>
      <c r="E44" s="80" t="s">
        <v>74</v>
      </c>
      <c r="F44" s="81" t="s">
        <v>75</v>
      </c>
      <c r="G44" s="80" t="s">
        <v>76</v>
      </c>
      <c r="J44" s="118">
        <f>SUM(J41:J43)</f>
        <v>1554.12</v>
      </c>
      <c r="K44" s="118">
        <f>SUM(K41:K43)</f>
        <v>12511.980000000001</v>
      </c>
      <c r="L44" s="118">
        <f>SUM(L41:L43)</f>
        <v>13499.42</v>
      </c>
      <c r="M44" s="118">
        <f>SUM(M41:M43)</f>
        <v>2541.5600000000004</v>
      </c>
    </row>
    <row r="45" spans="1:13" s="2" customFormat="1" x14ac:dyDescent="0.2">
      <c r="A45" s="24"/>
      <c r="B45" s="1"/>
      <c r="C45" s="50" t="s">
        <v>444</v>
      </c>
      <c r="D45" s="55">
        <f>+L41+L42+J42</f>
        <v>3070.66</v>
      </c>
      <c r="E45" s="55">
        <f>+K41+K42</f>
        <v>2420.94</v>
      </c>
      <c r="F45" s="55">
        <f>+D45-E45</f>
        <v>649.7199999999998</v>
      </c>
      <c r="G45" s="55">
        <f>1500-F45</f>
        <v>850.2800000000002</v>
      </c>
      <c r="H45" s="2" t="s">
        <v>396</v>
      </c>
    </row>
    <row r="46" spans="1:13" s="2" customFormat="1" x14ac:dyDescent="0.2">
      <c r="A46" s="24"/>
      <c r="B46" s="1"/>
      <c r="C46" s="50" t="s">
        <v>71</v>
      </c>
      <c r="D46" s="55">
        <f>+J43+L43</f>
        <v>11982.880000000001</v>
      </c>
      <c r="E46" s="55">
        <f>+K43</f>
        <v>10091.040000000001</v>
      </c>
      <c r="F46" s="55">
        <f>+D46-E46</f>
        <v>1891.8400000000001</v>
      </c>
      <c r="G46" s="55">
        <f>1500+700-F46</f>
        <v>308.15999999999985</v>
      </c>
      <c r="H46" s="2" t="s">
        <v>396</v>
      </c>
    </row>
    <row r="47" spans="1:13" s="2" customFormat="1" x14ac:dyDescent="0.2">
      <c r="A47" s="24"/>
      <c r="B47" s="1"/>
      <c r="C47" s="14"/>
      <c r="D47" s="56"/>
      <c r="E47" s="13"/>
      <c r="G47" s="1"/>
    </row>
    <row r="48" spans="1:13" s="2" customFormat="1" x14ac:dyDescent="0.2">
      <c r="A48" s="215" t="s">
        <v>80</v>
      </c>
      <c r="B48" s="216"/>
      <c r="C48" s="216"/>
      <c r="D48" s="217"/>
      <c r="E48" s="69"/>
      <c r="F48" s="70"/>
      <c r="G48" s="1"/>
      <c r="H48" s="53"/>
    </row>
    <row r="49" spans="1:13" s="2" customFormat="1" x14ac:dyDescent="0.2">
      <c r="A49" s="71" t="s">
        <v>81</v>
      </c>
      <c r="B49" s="71"/>
      <c r="C49" s="72" t="s">
        <v>82</v>
      </c>
      <c r="D49" s="73" t="s">
        <v>83</v>
      </c>
      <c r="E49" s="69"/>
      <c r="F49" s="70"/>
      <c r="H49" s="53"/>
    </row>
    <row r="50" spans="1:13" s="2" customFormat="1" x14ac:dyDescent="0.2">
      <c r="A50" s="87">
        <v>45017</v>
      </c>
      <c r="B50" s="120" t="s">
        <v>6</v>
      </c>
      <c r="C50" s="75" t="s">
        <v>282</v>
      </c>
      <c r="D50" s="88">
        <v>12220</v>
      </c>
      <c r="G50" s="1"/>
      <c r="L50" s="1"/>
      <c r="M50" s="1"/>
    </row>
    <row r="51" spans="1:13" s="2" customFormat="1" x14ac:dyDescent="0.2">
      <c r="A51" s="87">
        <v>45020</v>
      </c>
      <c r="B51" s="120" t="s">
        <v>6</v>
      </c>
      <c r="C51" s="75" t="s">
        <v>271</v>
      </c>
      <c r="D51" s="88">
        <v>584074</v>
      </c>
      <c r="G51" s="1"/>
      <c r="L51" s="1"/>
      <c r="M51" s="1"/>
    </row>
    <row r="52" spans="1:13" s="2" customFormat="1" x14ac:dyDescent="0.2">
      <c r="A52" s="87">
        <v>45022</v>
      </c>
      <c r="B52" s="120" t="s">
        <v>6</v>
      </c>
      <c r="C52" s="75" t="s">
        <v>784</v>
      </c>
      <c r="D52" s="88">
        <v>283512</v>
      </c>
      <c r="G52" s="1"/>
      <c r="L52" s="1"/>
      <c r="M52" s="1"/>
    </row>
    <row r="53" spans="1:13" s="2" customFormat="1" x14ac:dyDescent="0.2">
      <c r="A53" s="87">
        <v>45022</v>
      </c>
      <c r="B53" s="120" t="s">
        <v>6</v>
      </c>
      <c r="C53" s="75" t="s">
        <v>84</v>
      </c>
      <c r="D53" s="88">
        <v>2500000</v>
      </c>
      <c r="G53" s="1"/>
      <c r="L53" s="1"/>
      <c r="M53" s="1"/>
    </row>
    <row r="54" spans="1:13" s="2" customFormat="1" x14ac:dyDescent="0.2">
      <c r="A54" s="87">
        <v>45023</v>
      </c>
      <c r="B54" s="120" t="s">
        <v>6</v>
      </c>
      <c r="C54" s="75" t="s">
        <v>270</v>
      </c>
      <c r="D54" s="88">
        <v>33748</v>
      </c>
      <c r="G54" s="1"/>
      <c r="L54" s="1"/>
      <c r="M54" s="1"/>
    </row>
    <row r="55" spans="1:13" s="2" customFormat="1" x14ac:dyDescent="0.2">
      <c r="A55" s="87">
        <v>45023</v>
      </c>
      <c r="B55" s="120" t="s">
        <v>6</v>
      </c>
      <c r="C55" s="75" t="s">
        <v>270</v>
      </c>
      <c r="D55" s="88">
        <v>114918</v>
      </c>
      <c r="G55" s="1"/>
      <c r="L55" s="1"/>
      <c r="M55" s="1"/>
    </row>
    <row r="56" spans="1:13" s="2" customFormat="1" x14ac:dyDescent="0.2">
      <c r="A56" s="87">
        <v>45027</v>
      </c>
      <c r="B56" s="120" t="s">
        <v>6</v>
      </c>
      <c r="C56" s="75" t="s">
        <v>767</v>
      </c>
      <c r="D56" s="88">
        <v>2093169</v>
      </c>
      <c r="G56" s="1"/>
      <c r="L56" s="1"/>
      <c r="M56" s="1"/>
    </row>
    <row r="57" spans="1:13" s="2" customFormat="1" x14ac:dyDescent="0.2">
      <c r="A57" s="87">
        <v>45027</v>
      </c>
      <c r="B57" s="120" t="s">
        <v>6</v>
      </c>
      <c r="C57" s="75" t="s">
        <v>594</v>
      </c>
      <c r="D57" s="88">
        <v>2500000</v>
      </c>
      <c r="G57" s="1"/>
      <c r="L57" s="1"/>
      <c r="M57" s="1"/>
    </row>
    <row r="58" spans="1:13" s="2" customFormat="1" x14ac:dyDescent="0.2">
      <c r="A58" s="87">
        <v>45028</v>
      </c>
      <c r="B58" s="120" t="s">
        <v>6</v>
      </c>
      <c r="C58" s="75" t="s">
        <v>84</v>
      </c>
      <c r="D58" s="88">
        <v>4000000</v>
      </c>
      <c r="G58" s="1"/>
      <c r="L58" s="1"/>
      <c r="M58" s="1"/>
    </row>
    <row r="59" spans="1:13" s="2" customFormat="1" x14ac:dyDescent="0.2">
      <c r="A59" s="87">
        <v>45028</v>
      </c>
      <c r="B59" s="120" t="s">
        <v>6</v>
      </c>
      <c r="C59" s="75" t="s">
        <v>606</v>
      </c>
      <c r="D59" s="88">
        <v>103240</v>
      </c>
      <c r="G59" s="1"/>
      <c r="L59" s="1"/>
      <c r="M59" s="1"/>
    </row>
    <row r="60" spans="1:13" s="2" customFormat="1" x14ac:dyDescent="0.2">
      <c r="A60" s="87">
        <v>45029</v>
      </c>
      <c r="B60" s="120" t="s">
        <v>6</v>
      </c>
      <c r="C60" s="75" t="s">
        <v>784</v>
      </c>
      <c r="D60" s="88">
        <v>451698</v>
      </c>
      <c r="G60" s="1"/>
      <c r="L60" s="1"/>
      <c r="M60" s="1"/>
    </row>
    <row r="61" spans="1:13" s="2" customFormat="1" x14ac:dyDescent="0.2">
      <c r="A61" s="87">
        <v>45030</v>
      </c>
      <c r="B61" s="120" t="s">
        <v>6</v>
      </c>
      <c r="C61" s="75" t="s">
        <v>270</v>
      </c>
      <c r="D61" s="88">
        <v>655766</v>
      </c>
      <c r="G61" s="1"/>
      <c r="L61" s="1"/>
      <c r="M61" s="1"/>
    </row>
    <row r="62" spans="1:13" s="2" customFormat="1" x14ac:dyDescent="0.2">
      <c r="A62" s="87"/>
      <c r="B62" s="74"/>
      <c r="C62" s="75"/>
      <c r="D62" s="51">
        <f>SUM(D50:D61)</f>
        <v>13332345</v>
      </c>
      <c r="F62" s="2" t="s">
        <v>396</v>
      </c>
      <c r="G62" s="1"/>
      <c r="I62" s="1"/>
      <c r="J62" s="1"/>
      <c r="K62" s="1"/>
      <c r="L62" s="1"/>
      <c r="M62" s="1"/>
    </row>
    <row r="63" spans="1:13" s="2" customFormat="1" x14ac:dyDescent="0.2">
      <c r="A63" s="8"/>
      <c r="B63" s="93"/>
      <c r="C63" s="76"/>
      <c r="D63" s="56"/>
      <c r="G63" s="1"/>
      <c r="I63" s="1"/>
      <c r="J63" s="1"/>
      <c r="K63" s="1"/>
      <c r="L63" s="1"/>
      <c r="M63" s="1"/>
    </row>
    <row r="64" spans="1:13" s="2" customFormat="1" x14ac:dyDescent="0.2">
      <c r="A64" s="24"/>
      <c r="B64" s="1"/>
      <c r="C64" s="218" t="s">
        <v>77</v>
      </c>
      <c r="D64" s="219"/>
      <c r="E64" s="219"/>
      <c r="F64" s="220"/>
      <c r="G64" s="54"/>
      <c r="I64" s="1"/>
      <c r="J64" s="1"/>
      <c r="K64" s="1"/>
      <c r="L64" s="1"/>
      <c r="M64" s="1"/>
    </row>
    <row r="65" spans="1:13" s="2" customFormat="1" x14ac:dyDescent="0.2">
      <c r="A65" s="24"/>
      <c r="B65" s="1"/>
      <c r="C65" s="50"/>
      <c r="D65" s="57" t="s">
        <v>78</v>
      </c>
      <c r="E65" s="58" t="s">
        <v>79</v>
      </c>
      <c r="F65" s="57" t="s">
        <v>72</v>
      </c>
      <c r="G65" s="54"/>
      <c r="I65" s="1"/>
      <c r="J65" s="1"/>
      <c r="K65" s="1"/>
      <c r="L65" s="1"/>
      <c r="M65" s="1"/>
    </row>
    <row r="66" spans="1:13" s="2" customFormat="1" x14ac:dyDescent="0.2">
      <c r="A66" s="24"/>
      <c r="B66" s="1"/>
      <c r="C66" s="59" t="str">
        <f>"01-04-2023 to "&amp;TEXT(A5-2,"dd-mm-yyyy")</f>
        <v>01-04-2023 to 12-04-2023</v>
      </c>
      <c r="D66" s="60">
        <v>1738.44</v>
      </c>
      <c r="E66" s="60">
        <v>219.77</v>
      </c>
      <c r="F66" s="61">
        <f>SUM(D66:E66)</f>
        <v>1958.21</v>
      </c>
      <c r="G66" s="54"/>
      <c r="I66" s="1"/>
      <c r="J66" s="1"/>
      <c r="K66" s="1"/>
      <c r="L66" s="1"/>
      <c r="M66" s="1"/>
    </row>
    <row r="67" spans="1:13" s="2" customFormat="1" x14ac:dyDescent="0.2">
      <c r="A67" s="24"/>
      <c r="B67" s="1"/>
      <c r="C67" s="62" t="str">
        <f>TEXT(A5-1,"dd-mm-yyyy")</f>
        <v>13-04-2023</v>
      </c>
      <c r="D67" s="60">
        <v>167.19</v>
      </c>
      <c r="E67" s="60">
        <v>18.43</v>
      </c>
      <c r="F67" s="61">
        <f>SUM(D67:E67)</f>
        <v>185.62</v>
      </c>
      <c r="G67" s="54"/>
      <c r="I67" s="1"/>
      <c r="J67" s="1"/>
      <c r="K67" s="1"/>
      <c r="L67" s="1"/>
      <c r="M67" s="1"/>
    </row>
    <row r="68" spans="1:13" ht="13.5" thickBot="1" x14ac:dyDescent="0.25">
      <c r="C68" s="63" t="str">
        <f>"01-04-2023 to "&amp;TEXT(A5-1,"dd-mm-yyyy")</f>
        <v>01-04-2023 to 13-04-2023</v>
      </c>
      <c r="D68" s="64">
        <f>SUM(D66:D67)</f>
        <v>1905.63</v>
      </c>
      <c r="E68" s="64">
        <f>SUM(E66:E67)</f>
        <v>238.20000000000002</v>
      </c>
      <c r="F68" s="64">
        <f>SUM(F66:F67)</f>
        <v>2143.83</v>
      </c>
      <c r="G68" s="54"/>
    </row>
    <row r="69" spans="1:13" s="2" customFormat="1" ht="13.5" thickTop="1" x14ac:dyDescent="0.2">
      <c r="A69" s="24"/>
      <c r="B69" s="1"/>
      <c r="C69" s="62"/>
      <c r="D69" s="65"/>
      <c r="E69" s="66"/>
      <c r="F69" s="67"/>
      <c r="G69" s="54"/>
      <c r="H69" s="53"/>
    </row>
    <row r="70" spans="1:13" x14ac:dyDescent="0.2">
      <c r="C70" s="62" t="str">
        <f>"01-04-2023 to " &amp;C67</f>
        <v>01-04-2023 to 13-04-2023</v>
      </c>
      <c r="D70" s="68">
        <f>+D68</f>
        <v>1905.63</v>
      </c>
      <c r="E70" s="68">
        <f>+E68</f>
        <v>238.20000000000002</v>
      </c>
      <c r="F70" s="68">
        <f>+F68</f>
        <v>2143.83</v>
      </c>
      <c r="G70" s="54"/>
      <c r="H70" s="53" t="s">
        <v>396</v>
      </c>
    </row>
    <row r="71" spans="1:13" x14ac:dyDescent="0.2">
      <c r="C71" s="52"/>
      <c r="D71" s="85"/>
      <c r="E71" s="53"/>
      <c r="F71" s="53"/>
      <c r="G71" s="54"/>
      <c r="H71" s="53" t="s">
        <v>396</v>
      </c>
      <c r="J71" s="42"/>
    </row>
    <row r="72" spans="1:13" x14ac:dyDescent="0.2">
      <c r="C72" s="52"/>
      <c r="D72" s="85"/>
      <c r="E72" s="53"/>
      <c r="F72" s="53"/>
      <c r="G72" s="54"/>
      <c r="H72" s="53"/>
      <c r="I72" s="101"/>
    </row>
    <row r="73" spans="1:13" x14ac:dyDescent="0.2">
      <c r="C73" s="52"/>
      <c r="D73" s="85"/>
      <c r="E73" s="53"/>
      <c r="F73" s="53"/>
      <c r="G73" s="54"/>
      <c r="H73" s="53"/>
    </row>
    <row r="74" spans="1:13" x14ac:dyDescent="0.2">
      <c r="C74" s="52"/>
      <c r="D74" s="85"/>
      <c r="E74" s="53"/>
      <c r="F74" s="53"/>
      <c r="G74" s="54"/>
      <c r="H74" s="53"/>
    </row>
    <row r="75" spans="1:13" x14ac:dyDescent="0.2">
      <c r="H75" s="53"/>
    </row>
  </sheetData>
  <mergeCells count="5">
    <mergeCell ref="A1:G1"/>
    <mergeCell ref="A3:F3"/>
    <mergeCell ref="A9:F9"/>
    <mergeCell ref="A48:D48"/>
    <mergeCell ref="C64:F64"/>
  </mergeCells>
  <conditionalFormatting sqref="G45:G46">
    <cfRule type="cellIs" dxfId="637" priority="1" operator="lessThan">
      <formula>0</formula>
    </cfRule>
  </conditionalFormatting>
  <conditionalFormatting sqref="C11">
    <cfRule type="duplicateValues" dxfId="636" priority="2"/>
  </conditionalFormatting>
  <conditionalFormatting sqref="C12:C25">
    <cfRule type="duplicateValues" dxfId="635" priority="438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07">
    <pageSetUpPr fitToPage="1"/>
  </sheetPr>
  <dimension ref="A1:N103"/>
  <sheetViews>
    <sheetView topLeftCell="A45" zoomScaleNormal="100" workbookViewId="0">
      <selection activeCell="H56" sqref="H56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49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878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2.75" customHeight="1" x14ac:dyDescent="0.4">
      <c r="A5" s="89">
        <v>45031</v>
      </c>
      <c r="B5" s="9" t="s">
        <v>6</v>
      </c>
      <c r="C5" s="10" t="s">
        <v>7</v>
      </c>
      <c r="D5" s="11"/>
      <c r="E5" s="12">
        <v>557118.69999999879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557118.69999999879</v>
      </c>
      <c r="F6" s="16">
        <f>SUM(F5:F5)</f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E6-F6</f>
        <v>557118.69999999879</v>
      </c>
      <c r="F7" s="22"/>
      <c r="G7" s="23"/>
      <c r="H7" s="112"/>
      <c r="I7" s="112"/>
      <c r="J7" s="13"/>
    </row>
    <row r="8" spans="1:10" s="2" customFormat="1" ht="12.75" customHeight="1" x14ac:dyDescent="0.4">
      <c r="A8" s="24"/>
      <c r="B8" s="1"/>
      <c r="C8" s="14"/>
      <c r="D8" s="25"/>
      <c r="G8" s="23"/>
      <c r="H8" s="112"/>
      <c r="I8" s="112"/>
      <c r="J8" s="13"/>
    </row>
    <row r="9" spans="1:10" s="2" customFormat="1" ht="21.75" customHeight="1" x14ac:dyDescent="0.4">
      <c r="A9" s="214" t="s">
        <v>10</v>
      </c>
      <c r="B9" s="214"/>
      <c r="C9" s="214"/>
      <c r="D9" s="214"/>
      <c r="E9" s="214"/>
      <c r="F9" s="214"/>
      <c r="G9" s="13"/>
      <c r="H9" s="112"/>
      <c r="I9" s="112"/>
      <c r="J9" s="13"/>
    </row>
    <row r="10" spans="1:10" s="2" customFormat="1" ht="12.75" customHeight="1" x14ac:dyDescent="0.4">
      <c r="A10" s="26" t="s">
        <v>1</v>
      </c>
      <c r="B10" s="27" t="s">
        <v>2</v>
      </c>
      <c r="C10" s="5"/>
      <c r="D10" s="6" t="s">
        <v>3</v>
      </c>
      <c r="E10" s="7" t="s">
        <v>4</v>
      </c>
      <c r="F10" s="7" t="s">
        <v>5</v>
      </c>
      <c r="G10" s="23"/>
      <c r="H10" s="112"/>
      <c r="I10" s="112"/>
      <c r="J10" s="13"/>
    </row>
    <row r="11" spans="1:10" s="2" customFormat="1" ht="12.75" customHeight="1" x14ac:dyDescent="0.2">
      <c r="A11" s="89">
        <v>45031</v>
      </c>
      <c r="B11" s="91" t="s">
        <v>11</v>
      </c>
      <c r="C11" s="29" t="s">
        <v>7</v>
      </c>
      <c r="D11" s="25"/>
      <c r="E11" s="31"/>
      <c r="F11" s="2">
        <v>347578844.58000034</v>
      </c>
      <c r="G11" s="30"/>
      <c r="I11" s="13"/>
      <c r="J11" s="13"/>
    </row>
    <row r="12" spans="1:10" s="2" customFormat="1" ht="12.75" customHeight="1" x14ac:dyDescent="0.2">
      <c r="A12" s="89">
        <v>45031</v>
      </c>
      <c r="B12" s="91" t="s">
        <v>6</v>
      </c>
      <c r="C12" s="76" t="s">
        <v>62</v>
      </c>
      <c r="D12" s="116" t="s">
        <v>13</v>
      </c>
      <c r="E12" s="31">
        <v>5000</v>
      </c>
      <c r="G12" s="30"/>
      <c r="I12" s="13"/>
      <c r="J12" s="13"/>
    </row>
    <row r="13" spans="1:10" s="2" customFormat="1" ht="12.75" customHeight="1" x14ac:dyDescent="0.2">
      <c r="A13" s="89">
        <v>45031</v>
      </c>
      <c r="B13" s="91" t="s">
        <v>6</v>
      </c>
      <c r="C13" s="76" t="s">
        <v>766</v>
      </c>
      <c r="D13" s="116" t="s">
        <v>13</v>
      </c>
      <c r="E13" s="31">
        <v>611254</v>
      </c>
      <c r="G13" s="30"/>
      <c r="I13" s="13"/>
      <c r="J13" s="13"/>
    </row>
    <row r="14" spans="1:10" s="2" customFormat="1" ht="12.75" customHeight="1" x14ac:dyDescent="0.2">
      <c r="A14" s="89">
        <v>45031</v>
      </c>
      <c r="B14" s="91" t="s">
        <v>6</v>
      </c>
      <c r="C14" s="76" t="s">
        <v>24</v>
      </c>
      <c r="D14" s="116" t="s">
        <v>13</v>
      </c>
      <c r="E14" s="31">
        <v>14161</v>
      </c>
      <c r="G14" s="30"/>
      <c r="I14" s="13"/>
      <c r="J14" s="13"/>
    </row>
    <row r="15" spans="1:10" s="2" customFormat="1" ht="12.75" customHeight="1" x14ac:dyDescent="0.2">
      <c r="A15" s="89">
        <v>45031</v>
      </c>
      <c r="B15" s="91" t="s">
        <v>6</v>
      </c>
      <c r="C15" s="76" t="s">
        <v>646</v>
      </c>
      <c r="D15" s="116" t="s">
        <v>13</v>
      </c>
      <c r="E15" s="31">
        <v>1000000</v>
      </c>
      <c r="G15" s="30"/>
      <c r="I15" s="13"/>
      <c r="J15" s="13"/>
    </row>
    <row r="16" spans="1:10" s="2" customFormat="1" ht="12.75" customHeight="1" x14ac:dyDescent="0.2">
      <c r="A16" s="89">
        <v>45031</v>
      </c>
      <c r="B16" s="91" t="s">
        <v>6</v>
      </c>
      <c r="C16" s="76" t="s">
        <v>23</v>
      </c>
      <c r="D16" s="116" t="s">
        <v>13</v>
      </c>
      <c r="E16" s="31">
        <v>9240</v>
      </c>
      <c r="G16" s="30"/>
      <c r="I16" s="13"/>
      <c r="J16" s="13"/>
    </row>
    <row r="17" spans="1:10" s="2" customFormat="1" ht="12.75" customHeight="1" x14ac:dyDescent="0.2">
      <c r="A17" s="89">
        <v>45031</v>
      </c>
      <c r="B17" s="91" t="s">
        <v>6</v>
      </c>
      <c r="C17" s="76" t="s">
        <v>421</v>
      </c>
      <c r="D17" s="116" t="s">
        <v>13</v>
      </c>
      <c r="E17" s="31">
        <v>500000</v>
      </c>
      <c r="G17" s="30"/>
      <c r="I17" s="13"/>
      <c r="J17" s="13"/>
    </row>
    <row r="18" spans="1:10" s="2" customFormat="1" ht="12.75" customHeight="1" x14ac:dyDescent="0.2">
      <c r="A18" s="89">
        <v>45031</v>
      </c>
      <c r="B18" s="91" t="s">
        <v>6</v>
      </c>
      <c r="C18" s="76" t="s">
        <v>817</v>
      </c>
      <c r="D18" s="116" t="s">
        <v>13</v>
      </c>
      <c r="E18" s="31">
        <v>7560</v>
      </c>
      <c r="G18" s="30"/>
      <c r="I18" s="13"/>
      <c r="J18" s="13"/>
    </row>
    <row r="19" spans="1:10" s="2" customFormat="1" ht="12.75" customHeight="1" x14ac:dyDescent="0.2">
      <c r="A19" s="89">
        <v>45031</v>
      </c>
      <c r="B19" s="91" t="s">
        <v>6</v>
      </c>
      <c r="C19" s="76" t="s">
        <v>202</v>
      </c>
      <c r="D19" s="116" t="s">
        <v>13</v>
      </c>
      <c r="E19" s="31">
        <v>75000</v>
      </c>
      <c r="G19" s="30"/>
      <c r="I19" s="13"/>
      <c r="J19" s="13"/>
    </row>
    <row r="20" spans="1:10" s="2" customFormat="1" ht="12.75" customHeight="1" x14ac:dyDescent="0.2">
      <c r="A20" s="89">
        <v>45031</v>
      </c>
      <c r="B20" s="91" t="s">
        <v>6</v>
      </c>
      <c r="C20" s="76" t="s">
        <v>145</v>
      </c>
      <c r="D20" s="116" t="s">
        <v>13</v>
      </c>
      <c r="E20" s="31">
        <v>1708938</v>
      </c>
      <c r="G20" s="30"/>
      <c r="I20" s="13"/>
      <c r="J20" s="13"/>
    </row>
    <row r="21" spans="1:10" s="2" customFormat="1" ht="12.75" customHeight="1" x14ac:dyDescent="0.2">
      <c r="A21" s="89">
        <v>45031</v>
      </c>
      <c r="B21" s="91" t="s">
        <v>6</v>
      </c>
      <c r="C21" s="76" t="s">
        <v>14</v>
      </c>
      <c r="D21" s="116" t="s">
        <v>13</v>
      </c>
      <c r="E21" s="31">
        <v>3570</v>
      </c>
      <c r="G21" s="30"/>
      <c r="I21" s="13"/>
      <c r="J21" s="13"/>
    </row>
    <row r="22" spans="1:10" s="2" customFormat="1" ht="12.75" customHeight="1" x14ac:dyDescent="0.2">
      <c r="A22" s="89">
        <v>45031</v>
      </c>
      <c r="B22" s="91" t="s">
        <v>6</v>
      </c>
      <c r="C22" s="76" t="s">
        <v>595</v>
      </c>
      <c r="D22" s="116" t="s">
        <v>13</v>
      </c>
      <c r="E22" s="31">
        <v>780281</v>
      </c>
      <c r="G22" s="30"/>
      <c r="I22" s="13"/>
      <c r="J22" s="13"/>
    </row>
    <row r="23" spans="1:10" s="2" customFormat="1" ht="12.75" customHeight="1" x14ac:dyDescent="0.2">
      <c r="A23" s="89">
        <v>45031</v>
      </c>
      <c r="B23" s="91" t="s">
        <v>6</v>
      </c>
      <c r="C23" s="76" t="s">
        <v>146</v>
      </c>
      <c r="D23" s="116" t="s">
        <v>13</v>
      </c>
      <c r="E23" s="31">
        <v>1102703.01</v>
      </c>
      <c r="G23" s="30"/>
      <c r="I23" s="13"/>
      <c r="J23" s="13"/>
    </row>
    <row r="24" spans="1:10" s="2" customFormat="1" ht="12.75" customHeight="1" x14ac:dyDescent="0.2">
      <c r="A24" s="89">
        <v>45031</v>
      </c>
      <c r="B24" s="91" t="s">
        <v>6</v>
      </c>
      <c r="C24" s="76" t="s">
        <v>17</v>
      </c>
      <c r="D24" s="116" t="s">
        <v>13</v>
      </c>
      <c r="E24" s="31">
        <v>345265</v>
      </c>
      <c r="G24" s="30"/>
      <c r="I24" s="13"/>
      <c r="J24" s="13"/>
    </row>
    <row r="25" spans="1:10" s="2" customFormat="1" ht="12.75" customHeight="1" x14ac:dyDescent="0.2">
      <c r="A25" s="89">
        <v>45031</v>
      </c>
      <c r="B25" s="91" t="s">
        <v>6</v>
      </c>
      <c r="C25" s="76" t="s">
        <v>158</v>
      </c>
      <c r="D25" s="116" t="s">
        <v>13</v>
      </c>
      <c r="E25" s="31">
        <v>39141</v>
      </c>
      <c r="G25" s="30"/>
      <c r="I25" s="13"/>
      <c r="J25" s="13"/>
    </row>
    <row r="26" spans="1:10" s="2" customFormat="1" ht="12.75" customHeight="1" x14ac:dyDescent="0.2">
      <c r="A26" s="89">
        <v>45031</v>
      </c>
      <c r="B26" s="91" t="s">
        <v>6</v>
      </c>
      <c r="C26" s="76" t="s">
        <v>880</v>
      </c>
      <c r="D26" s="116" t="s">
        <v>13</v>
      </c>
      <c r="E26" s="31">
        <v>3400</v>
      </c>
      <c r="G26" s="30"/>
      <c r="I26" s="13"/>
      <c r="J26" s="13"/>
    </row>
    <row r="27" spans="1:10" s="2" customFormat="1" ht="12.75" customHeight="1" x14ac:dyDescent="0.2">
      <c r="A27" s="89">
        <v>45031</v>
      </c>
      <c r="B27" s="91" t="s">
        <v>6</v>
      </c>
      <c r="C27" s="76" t="s">
        <v>164</v>
      </c>
      <c r="D27" s="116" t="s">
        <v>13</v>
      </c>
      <c r="E27" s="31">
        <v>1000000</v>
      </c>
      <c r="G27" s="30"/>
      <c r="I27" s="13"/>
      <c r="J27" s="13"/>
    </row>
    <row r="28" spans="1:10" s="2" customFormat="1" ht="12.75" customHeight="1" x14ac:dyDescent="0.2">
      <c r="A28" s="89">
        <v>45031</v>
      </c>
      <c r="B28" s="91" t="s">
        <v>6</v>
      </c>
      <c r="C28" s="76" t="s">
        <v>311</v>
      </c>
      <c r="D28" s="116" t="s">
        <v>13</v>
      </c>
      <c r="E28" s="31">
        <v>155510</v>
      </c>
      <c r="G28" s="30"/>
      <c r="I28" s="13"/>
      <c r="J28" s="13"/>
    </row>
    <row r="29" spans="1:10" s="2" customFormat="1" ht="12.75" customHeight="1" x14ac:dyDescent="0.2">
      <c r="A29" s="89">
        <v>45031</v>
      </c>
      <c r="B29" s="91" t="s">
        <v>6</v>
      </c>
      <c r="C29" s="76" t="s">
        <v>157</v>
      </c>
      <c r="D29" s="116" t="s">
        <v>13</v>
      </c>
      <c r="E29" s="31">
        <v>1490431</v>
      </c>
      <c r="G29" s="30"/>
      <c r="I29" s="13"/>
      <c r="J29" s="13"/>
    </row>
    <row r="30" spans="1:10" s="2" customFormat="1" ht="12.75" customHeight="1" x14ac:dyDescent="0.2">
      <c r="A30" s="89">
        <v>45031</v>
      </c>
      <c r="B30" s="91" t="s">
        <v>6</v>
      </c>
      <c r="C30" s="76" t="s">
        <v>656</v>
      </c>
      <c r="D30" s="116" t="s">
        <v>13</v>
      </c>
      <c r="E30" s="31">
        <v>280000</v>
      </c>
      <c r="G30" s="30"/>
      <c r="I30" s="13"/>
      <c r="J30" s="13"/>
    </row>
    <row r="31" spans="1:10" s="2" customFormat="1" ht="12.75" customHeight="1" x14ac:dyDescent="0.2">
      <c r="A31" s="89">
        <v>45031</v>
      </c>
      <c r="B31" s="91" t="s">
        <v>6</v>
      </c>
      <c r="C31" s="76" t="s">
        <v>27</v>
      </c>
      <c r="D31" s="116" t="s">
        <v>13</v>
      </c>
      <c r="E31" s="31">
        <f>883859.66+2645725.96+1355688.71+888371.59</f>
        <v>5773645.9199999999</v>
      </c>
      <c r="G31" s="30"/>
      <c r="I31" s="13"/>
      <c r="J31" s="13"/>
    </row>
    <row r="32" spans="1:10" s="2" customFormat="1" ht="12.75" customHeight="1" x14ac:dyDescent="0.2">
      <c r="A32" s="89">
        <v>45031</v>
      </c>
      <c r="B32" s="91" t="s">
        <v>6</v>
      </c>
      <c r="C32" s="76" t="s">
        <v>359</v>
      </c>
      <c r="D32" s="116" t="s">
        <v>13</v>
      </c>
      <c r="E32" s="31">
        <v>523551</v>
      </c>
      <c r="G32" s="30"/>
      <c r="I32" s="13"/>
      <c r="J32" s="13"/>
    </row>
    <row r="33" spans="1:10" s="2" customFormat="1" ht="12.75" customHeight="1" x14ac:dyDescent="0.2">
      <c r="A33" s="89">
        <v>45031</v>
      </c>
      <c r="B33" s="91" t="s">
        <v>11</v>
      </c>
      <c r="C33" s="76" t="s">
        <v>64</v>
      </c>
      <c r="D33" s="116" t="s">
        <v>29</v>
      </c>
      <c r="E33" s="31"/>
      <c r="F33" s="2">
        <f>10458.76+1475+1475+1475+1475</f>
        <v>16358.76</v>
      </c>
      <c r="G33" s="30"/>
      <c r="I33" s="13"/>
      <c r="J33" s="13"/>
    </row>
    <row r="34" spans="1:10" s="2" customFormat="1" ht="12.75" customHeight="1" x14ac:dyDescent="0.2">
      <c r="A34" s="89">
        <v>45031</v>
      </c>
      <c r="B34" s="91" t="s">
        <v>11</v>
      </c>
      <c r="C34" s="76" t="s">
        <v>125</v>
      </c>
      <c r="D34" s="116" t="s">
        <v>29</v>
      </c>
      <c r="E34" s="31"/>
      <c r="F34" s="2">
        <v>1388045</v>
      </c>
      <c r="G34" s="30"/>
      <c r="I34" s="13"/>
      <c r="J34" s="13"/>
    </row>
    <row r="35" spans="1:10" s="2" customFormat="1" ht="12.75" customHeight="1" x14ac:dyDescent="0.2">
      <c r="A35" s="89">
        <v>45031</v>
      </c>
      <c r="B35" s="91" t="s">
        <v>11</v>
      </c>
      <c r="C35" s="76" t="s">
        <v>680</v>
      </c>
      <c r="D35" s="116" t="s">
        <v>29</v>
      </c>
      <c r="E35" s="31"/>
      <c r="F35" s="2">
        <v>437635</v>
      </c>
      <c r="G35" s="30"/>
      <c r="I35" s="13"/>
      <c r="J35" s="13"/>
    </row>
    <row r="36" spans="1:10" s="2" customFormat="1" ht="12.75" customHeight="1" x14ac:dyDescent="0.2">
      <c r="A36" s="89">
        <v>45031</v>
      </c>
      <c r="B36" s="91" t="s">
        <v>11</v>
      </c>
      <c r="C36" s="76" t="s">
        <v>525</v>
      </c>
      <c r="D36" s="116" t="s">
        <v>29</v>
      </c>
      <c r="E36" s="31"/>
      <c r="F36" s="2">
        <v>700000</v>
      </c>
      <c r="G36" s="30"/>
      <c r="I36" s="13"/>
      <c r="J36" s="13"/>
    </row>
    <row r="37" spans="1:10" s="2" customFormat="1" ht="12.75" customHeight="1" x14ac:dyDescent="0.2">
      <c r="A37" s="89">
        <v>45031</v>
      </c>
      <c r="B37" s="91" t="s">
        <v>11</v>
      </c>
      <c r="C37" s="76" t="s">
        <v>729</v>
      </c>
      <c r="D37" s="116" t="s">
        <v>29</v>
      </c>
      <c r="E37" s="31"/>
      <c r="F37" s="2">
        <v>10135.44</v>
      </c>
      <c r="G37" s="30"/>
      <c r="I37" s="13"/>
      <c r="J37" s="13"/>
    </row>
    <row r="38" spans="1:10" s="2" customFormat="1" ht="12.75" customHeight="1" x14ac:dyDescent="0.2">
      <c r="A38" s="89">
        <v>45031</v>
      </c>
      <c r="B38" s="91" t="s">
        <v>11</v>
      </c>
      <c r="C38" s="76" t="s">
        <v>107</v>
      </c>
      <c r="D38" s="116" t="s">
        <v>29</v>
      </c>
      <c r="E38" s="31"/>
      <c r="F38" s="2">
        <v>1026313.39</v>
      </c>
      <c r="G38" s="30"/>
      <c r="I38" s="13"/>
      <c r="J38" s="13"/>
    </row>
    <row r="39" spans="1:10" s="2" customFormat="1" ht="12.75" customHeight="1" x14ac:dyDescent="0.2">
      <c r="A39" s="89">
        <v>45031</v>
      </c>
      <c r="B39" s="91" t="s">
        <v>11</v>
      </c>
      <c r="C39" s="76" t="s">
        <v>260</v>
      </c>
      <c r="D39" s="116" t="s">
        <v>29</v>
      </c>
      <c r="E39" s="31"/>
      <c r="F39" s="2">
        <v>4058592.43</v>
      </c>
      <c r="G39" s="30"/>
      <c r="I39" s="13"/>
      <c r="J39" s="13"/>
    </row>
    <row r="40" spans="1:10" s="2" customFormat="1" ht="12.75" customHeight="1" x14ac:dyDescent="0.2">
      <c r="A40" s="89">
        <v>45031</v>
      </c>
      <c r="B40" s="91" t="s">
        <v>11</v>
      </c>
      <c r="C40" s="76" t="s">
        <v>754</v>
      </c>
      <c r="D40" s="116" t="s">
        <v>29</v>
      </c>
      <c r="E40" s="31"/>
      <c r="F40" s="2">
        <v>1091980.18</v>
      </c>
      <c r="G40" s="30"/>
      <c r="I40" s="13"/>
      <c r="J40" s="13"/>
    </row>
    <row r="41" spans="1:10" s="2" customFormat="1" ht="12.75" customHeight="1" x14ac:dyDescent="0.2">
      <c r="A41" s="89">
        <v>45031</v>
      </c>
      <c r="B41" s="91" t="s">
        <v>11</v>
      </c>
      <c r="C41" s="76" t="s">
        <v>181</v>
      </c>
      <c r="D41" s="116" t="s">
        <v>29</v>
      </c>
      <c r="E41" s="31"/>
      <c r="F41" s="2">
        <v>43200</v>
      </c>
      <c r="G41" s="30"/>
      <c r="I41" s="13"/>
      <c r="J41" s="13"/>
    </row>
    <row r="42" spans="1:10" s="2" customFormat="1" ht="12.75" customHeight="1" x14ac:dyDescent="0.2">
      <c r="A42" s="89">
        <v>45031</v>
      </c>
      <c r="B42" s="91" t="s">
        <v>11</v>
      </c>
      <c r="C42" s="76" t="s">
        <v>34</v>
      </c>
      <c r="D42" s="116" t="s">
        <v>29</v>
      </c>
      <c r="E42" s="31"/>
      <c r="F42" s="2">
        <v>25000</v>
      </c>
      <c r="G42" s="30"/>
      <c r="I42" s="13"/>
      <c r="J42" s="13"/>
    </row>
    <row r="43" spans="1:10" s="2" customFormat="1" ht="12.75" customHeight="1" x14ac:dyDescent="0.2">
      <c r="A43" s="89">
        <v>45031</v>
      </c>
      <c r="B43" s="91" t="s">
        <v>11</v>
      </c>
      <c r="C43" s="76" t="s">
        <v>131</v>
      </c>
      <c r="D43" s="116" t="s">
        <v>29</v>
      </c>
      <c r="E43" s="31"/>
      <c r="F43" s="2">
        <f>15592+11193</f>
        <v>26785</v>
      </c>
      <c r="G43" s="30"/>
      <c r="I43" s="13"/>
      <c r="J43" s="13"/>
    </row>
    <row r="44" spans="1:10" s="2" customFormat="1" ht="12.75" customHeight="1" x14ac:dyDescent="0.2">
      <c r="A44" s="89">
        <v>45031</v>
      </c>
      <c r="B44" s="91" t="s">
        <v>11</v>
      </c>
      <c r="C44" s="76" t="s">
        <v>823</v>
      </c>
      <c r="D44" s="116" t="s">
        <v>29</v>
      </c>
      <c r="E44" s="31"/>
      <c r="F44" s="2">
        <v>8359</v>
      </c>
      <c r="G44" s="30"/>
      <c r="I44" s="13"/>
      <c r="J44" s="13"/>
    </row>
    <row r="45" spans="1:10" s="2" customFormat="1" ht="12.75" customHeight="1" x14ac:dyDescent="0.2">
      <c r="A45" s="89">
        <v>45031</v>
      </c>
      <c r="B45" s="91" t="s">
        <v>11</v>
      </c>
      <c r="C45" s="76" t="s">
        <v>879</v>
      </c>
      <c r="D45" s="116" t="s">
        <v>29</v>
      </c>
      <c r="E45" s="31"/>
      <c r="F45" s="2">
        <v>2500</v>
      </c>
      <c r="G45" s="30"/>
      <c r="I45" s="13"/>
      <c r="J45" s="13"/>
    </row>
    <row r="46" spans="1:10" s="2" customFormat="1" ht="12.75" customHeight="1" x14ac:dyDescent="0.2">
      <c r="A46" s="89">
        <v>45031</v>
      </c>
      <c r="B46" s="91" t="s">
        <v>11</v>
      </c>
      <c r="C46" s="76" t="s">
        <v>501</v>
      </c>
      <c r="D46" s="116" t="s">
        <v>29</v>
      </c>
      <c r="E46" s="31"/>
      <c r="F46" s="2">
        <v>20000</v>
      </c>
      <c r="G46" s="30"/>
      <c r="I46" s="13"/>
      <c r="J46" s="13"/>
    </row>
    <row r="47" spans="1:10" s="2" customFormat="1" ht="12.75" customHeight="1" x14ac:dyDescent="0.2">
      <c r="A47" s="89">
        <v>45031</v>
      </c>
      <c r="B47" s="91" t="s">
        <v>11</v>
      </c>
      <c r="C47" s="76" t="s">
        <v>57</v>
      </c>
      <c r="D47" s="116" t="s">
        <v>29</v>
      </c>
      <c r="E47" s="31"/>
      <c r="F47" s="2">
        <v>200000</v>
      </c>
      <c r="G47" s="30"/>
      <c r="I47" s="13"/>
      <c r="J47" s="13"/>
    </row>
    <row r="48" spans="1:10" s="2" customFormat="1" ht="12.75" customHeight="1" x14ac:dyDescent="0.2">
      <c r="A48" s="89">
        <v>45031</v>
      </c>
      <c r="B48" s="91" t="s">
        <v>11</v>
      </c>
      <c r="C48" s="76" t="s">
        <v>567</v>
      </c>
      <c r="D48" s="116" t="s">
        <v>29</v>
      </c>
      <c r="E48" s="31"/>
      <c r="F48" s="2">
        <v>9500</v>
      </c>
      <c r="G48" s="30"/>
      <c r="I48" s="13"/>
      <c r="J48" s="13"/>
    </row>
    <row r="49" spans="1:14" s="2" customFormat="1" ht="12.75" customHeight="1" x14ac:dyDescent="0.2">
      <c r="A49" s="89">
        <v>45031</v>
      </c>
      <c r="B49" s="91" t="s">
        <v>11</v>
      </c>
      <c r="C49" s="76" t="s">
        <v>449</v>
      </c>
      <c r="D49" s="116" t="s">
        <v>29</v>
      </c>
      <c r="E49" s="31"/>
      <c r="F49" s="2">
        <v>467658.09</v>
      </c>
      <c r="G49" s="30"/>
      <c r="I49" s="13"/>
      <c r="J49" s="13"/>
    </row>
    <row r="50" spans="1:14" s="2" customFormat="1" ht="12.75" customHeight="1" x14ac:dyDescent="0.2">
      <c r="A50" s="89">
        <v>45031</v>
      </c>
      <c r="B50" s="91" t="s">
        <v>11</v>
      </c>
      <c r="C50" s="76" t="s">
        <v>256</v>
      </c>
      <c r="D50" s="116" t="s">
        <v>29</v>
      </c>
      <c r="E50" s="31"/>
      <c r="F50" s="2">
        <v>183040</v>
      </c>
      <c r="G50" s="30"/>
      <c r="I50" s="13"/>
      <c r="J50" s="13"/>
    </row>
    <row r="51" spans="1:14" s="2" customFormat="1" ht="12.75" customHeight="1" x14ac:dyDescent="0.2">
      <c r="A51" s="89">
        <v>45031</v>
      </c>
      <c r="B51" s="91" t="s">
        <v>11</v>
      </c>
      <c r="C51" s="76" t="s">
        <v>156</v>
      </c>
      <c r="D51" s="116" t="s">
        <v>29</v>
      </c>
      <c r="E51" s="31"/>
      <c r="F51" s="2">
        <v>510.89</v>
      </c>
      <c r="G51" s="30"/>
      <c r="I51" s="13"/>
      <c r="J51" s="99" t="s">
        <v>601</v>
      </c>
      <c r="K51" s="99" t="s">
        <v>779</v>
      </c>
    </row>
    <row r="52" spans="1:14" s="2" customFormat="1" ht="12.75" customHeight="1" x14ac:dyDescent="0.25">
      <c r="A52" s="32"/>
      <c r="B52" s="33"/>
      <c r="C52" s="14"/>
      <c r="D52" s="34"/>
      <c r="E52" s="16">
        <f>SUM(E11:E51)</f>
        <v>15428650.93</v>
      </c>
      <c r="F52" s="16">
        <f>SUM(F11:F51)</f>
        <v>357294457.76000029</v>
      </c>
      <c r="G52" s="30"/>
      <c r="H52" s="1"/>
      <c r="I52" s="39">
        <v>358207687.82999998</v>
      </c>
      <c r="J52" s="2">
        <f>1972203+1220426+1321352+3017518+141513+26224+1289323+6957541</f>
        <v>15946100</v>
      </c>
      <c r="K52" s="92">
        <f>E53-I52</f>
        <v>-16341880.999999702</v>
      </c>
      <c r="L52" s="41"/>
      <c r="M52" s="42">
        <f>K52+J52</f>
        <v>-395780.99999970198</v>
      </c>
      <c r="N52" s="1"/>
    </row>
    <row r="53" spans="1:14" s="2" customFormat="1" x14ac:dyDescent="0.2">
      <c r="A53" s="36"/>
      <c r="B53" s="28" t="s">
        <v>11</v>
      </c>
      <c r="C53" s="19" t="s">
        <v>65</v>
      </c>
      <c r="D53" s="37"/>
      <c r="E53" s="38">
        <f>F52-E52</f>
        <v>341865806.83000028</v>
      </c>
      <c r="F53" s="22"/>
      <c r="G53" s="1"/>
      <c r="H53" s="1"/>
      <c r="J53" s="1"/>
      <c r="K53" s="1"/>
      <c r="L53" s="1"/>
      <c r="M53" s="1"/>
      <c r="N53" s="1"/>
    </row>
    <row r="54" spans="1:14" x14ac:dyDescent="0.2">
      <c r="A54" s="36"/>
      <c r="B54" s="28" t="s">
        <v>66</v>
      </c>
      <c r="C54" s="43" t="s">
        <v>67</v>
      </c>
      <c r="D54" s="43"/>
      <c r="E54" s="12">
        <v>0</v>
      </c>
      <c r="F54" s="22"/>
      <c r="H54" s="40"/>
      <c r="I54" s="45">
        <v>1167.56</v>
      </c>
      <c r="J54" s="46"/>
      <c r="K54" s="46"/>
      <c r="L54" s="13"/>
      <c r="M54" s="2"/>
      <c r="N54" s="2"/>
    </row>
    <row r="55" spans="1:14" ht="15" x14ac:dyDescent="0.25">
      <c r="A55" s="36"/>
      <c r="B55" s="28"/>
      <c r="C55" s="44" t="s">
        <v>68</v>
      </c>
      <c r="D55" s="43"/>
      <c r="E55" s="7">
        <f>E53+E54</f>
        <v>341865806.83000028</v>
      </c>
      <c r="F55" s="22"/>
      <c r="H55" s="103" t="s">
        <v>69</v>
      </c>
      <c r="I55" s="45">
        <v>-12.48</v>
      </c>
      <c r="J55" s="46"/>
      <c r="K55" s="46"/>
      <c r="L55" s="2"/>
      <c r="M55" s="2"/>
      <c r="N55" s="2"/>
    </row>
    <row r="56" spans="1:14" s="2" customFormat="1" x14ac:dyDescent="0.2">
      <c r="A56" s="24"/>
      <c r="B56" s="1"/>
      <c r="C56" s="14"/>
      <c r="D56" s="25"/>
      <c r="E56" s="1"/>
      <c r="H56" s="35" t="s">
        <v>70</v>
      </c>
      <c r="I56" s="45">
        <v>0</v>
      </c>
      <c r="J56" s="46">
        <f>+I57-D59</f>
        <v>0</v>
      </c>
      <c r="M56" s="2">
        <v>19.57</v>
      </c>
      <c r="N56" s="2" t="s">
        <v>535</v>
      </c>
    </row>
    <row r="57" spans="1:14" s="2" customFormat="1" x14ac:dyDescent="0.2">
      <c r="A57" s="24"/>
      <c r="B57" s="1"/>
      <c r="C57" s="56"/>
      <c r="D57" s="56"/>
      <c r="E57" s="104"/>
      <c r="G57" s="1"/>
      <c r="I57" s="49">
        <f>SUM(I54:I56)</f>
        <v>1155.08</v>
      </c>
      <c r="J57" s="46"/>
      <c r="K57" s="46"/>
    </row>
    <row r="58" spans="1:14" s="2" customFormat="1" x14ac:dyDescent="0.2">
      <c r="A58" s="24"/>
      <c r="B58" s="1"/>
      <c r="C58" s="78" t="s">
        <v>575</v>
      </c>
      <c r="D58" s="48" t="s">
        <v>576</v>
      </c>
      <c r="E58" s="104"/>
      <c r="G58" s="1"/>
    </row>
    <row r="59" spans="1:14" s="2" customFormat="1" x14ac:dyDescent="0.2">
      <c r="A59" s="24"/>
      <c r="B59" s="1"/>
      <c r="C59" s="47" t="s">
        <v>570</v>
      </c>
      <c r="D59" s="111">
        <v>1155.08</v>
      </c>
      <c r="E59" s="104"/>
      <c r="G59" s="1"/>
      <c r="H59" s="110" t="s">
        <v>581</v>
      </c>
    </row>
    <row r="60" spans="1:14" s="2" customFormat="1" x14ac:dyDescent="0.2">
      <c r="A60" s="24"/>
      <c r="B60" s="1"/>
      <c r="C60" s="47" t="s">
        <v>571</v>
      </c>
      <c r="D60" s="111">
        <v>10.41</v>
      </c>
      <c r="E60" s="104"/>
      <c r="G60" s="1"/>
      <c r="H60" s="110" t="s">
        <v>580</v>
      </c>
    </row>
    <row r="61" spans="1:14" s="2" customFormat="1" x14ac:dyDescent="0.2">
      <c r="A61" s="24"/>
      <c r="B61" s="1"/>
      <c r="C61" s="47" t="s">
        <v>572</v>
      </c>
      <c r="D61" s="111">
        <f>+D90/100000</f>
        <v>140.70823999999999</v>
      </c>
      <c r="E61" s="104"/>
      <c r="G61" s="1"/>
      <c r="H61" s="90" t="s">
        <v>587</v>
      </c>
    </row>
    <row r="62" spans="1:14" s="2" customFormat="1" x14ac:dyDescent="0.2">
      <c r="A62" s="24"/>
      <c r="B62" s="1"/>
      <c r="C62" s="108" t="s">
        <v>578</v>
      </c>
      <c r="D62" s="48">
        <f>SUM(D59:D61)</f>
        <v>1306.1982399999999</v>
      </c>
      <c r="E62" s="104"/>
      <c r="G62" s="1"/>
    </row>
    <row r="63" spans="1:14" s="2" customFormat="1" x14ac:dyDescent="0.2">
      <c r="A63" s="24"/>
      <c r="B63" s="1"/>
      <c r="C63" s="47"/>
      <c r="D63" s="107"/>
      <c r="E63" s="104"/>
      <c r="G63" s="1"/>
    </row>
    <row r="64" spans="1:14" s="2" customFormat="1" x14ac:dyDescent="0.2">
      <c r="A64" s="24"/>
      <c r="B64" s="1"/>
      <c r="C64" s="47" t="s">
        <v>573</v>
      </c>
      <c r="D64" s="111">
        <v>3.36</v>
      </c>
      <c r="E64" s="104"/>
      <c r="G64" s="1"/>
      <c r="H64" s="110" t="s">
        <v>581</v>
      </c>
    </row>
    <row r="65" spans="1:13" s="2" customFormat="1" x14ac:dyDescent="0.2">
      <c r="A65" s="24"/>
      <c r="B65" s="1"/>
      <c r="C65" s="47" t="s">
        <v>574</v>
      </c>
      <c r="D65" s="111">
        <f>377.7-18.21</f>
        <v>359.49</v>
      </c>
      <c r="E65" s="104"/>
      <c r="G65" s="1"/>
      <c r="H65" s="110" t="s">
        <v>581</v>
      </c>
      <c r="J65" s="114" t="s">
        <v>713</v>
      </c>
    </row>
    <row r="66" spans="1:13" s="2" customFormat="1" x14ac:dyDescent="0.2">
      <c r="A66" s="24"/>
      <c r="B66" s="1"/>
      <c r="C66" s="78" t="s">
        <v>579</v>
      </c>
      <c r="D66" s="109">
        <f>D64+D65</f>
        <v>362.85</v>
      </c>
      <c r="E66" s="104"/>
      <c r="G66" s="1"/>
      <c r="I66" s="113"/>
      <c r="J66" s="113" t="s">
        <v>709</v>
      </c>
      <c r="K66" s="113" t="s">
        <v>710</v>
      </c>
      <c r="L66" s="113" t="s">
        <v>711</v>
      </c>
      <c r="M66" s="113" t="s">
        <v>712</v>
      </c>
    </row>
    <row r="67" spans="1:13" s="2" customFormat="1" x14ac:dyDescent="0.2">
      <c r="A67" s="24"/>
      <c r="B67" s="1"/>
      <c r="C67" s="105"/>
      <c r="D67" s="106"/>
      <c r="E67" s="104"/>
      <c r="G67" s="1"/>
      <c r="I67" s="113" t="s">
        <v>706</v>
      </c>
      <c r="J67" s="115"/>
      <c r="K67" s="115">
        <v>968.99</v>
      </c>
      <c r="L67" s="115">
        <v>968.99</v>
      </c>
      <c r="M67" s="113">
        <f>+J67+L67-K67</f>
        <v>0</v>
      </c>
    </row>
    <row r="68" spans="1:13" s="2" customFormat="1" x14ac:dyDescent="0.2">
      <c r="A68" s="24"/>
      <c r="B68" s="1"/>
      <c r="C68" s="78" t="s">
        <v>577</v>
      </c>
      <c r="D68" s="109">
        <f>D59+D66</f>
        <v>1517.9299999999998</v>
      </c>
      <c r="E68" s="104"/>
      <c r="G68" s="1"/>
      <c r="I68" s="113" t="s">
        <v>707</v>
      </c>
      <c r="J68" s="115">
        <v>183.1</v>
      </c>
      <c r="K68" s="115">
        <v>1451.95</v>
      </c>
      <c r="L68" s="115">
        <v>1918.57</v>
      </c>
      <c r="M68" s="113">
        <f>+J68+L68-K68</f>
        <v>649.72</v>
      </c>
    </row>
    <row r="69" spans="1:13" s="2" customFormat="1" x14ac:dyDescent="0.2">
      <c r="A69" s="24"/>
      <c r="B69" s="1"/>
      <c r="C69" s="56"/>
      <c r="D69" s="56"/>
      <c r="E69" s="104"/>
      <c r="G69" s="1"/>
      <c r="I69" s="113" t="s">
        <v>708</v>
      </c>
      <c r="J69" s="115">
        <v>1371.02</v>
      </c>
      <c r="K69" s="115">
        <v>10098.43</v>
      </c>
      <c r="L69" s="115">
        <v>10670.99</v>
      </c>
      <c r="M69" s="113">
        <f>+J69+L69-K69</f>
        <v>1943.58</v>
      </c>
    </row>
    <row r="70" spans="1:13" s="2" customFormat="1" ht="38.25" x14ac:dyDescent="0.2">
      <c r="A70" s="24"/>
      <c r="B70" s="1"/>
      <c r="C70" s="79" t="str">
        <f>"Particulars ( 01-04-2021 to "&amp;TEXT(A5,"dd-mm-yyyy")&amp;" )"</f>
        <v>Particulars ( 01-04-2021 to 15-04-2023 )</v>
      </c>
      <c r="D70" s="80" t="s">
        <v>73</v>
      </c>
      <c r="E70" s="80" t="s">
        <v>74</v>
      </c>
      <c r="F70" s="81" t="s">
        <v>75</v>
      </c>
      <c r="G70" s="80" t="s">
        <v>76</v>
      </c>
      <c r="J70" s="118">
        <f>SUM(J67:J69)</f>
        <v>1554.12</v>
      </c>
      <c r="K70" s="118">
        <f>SUM(K67:K69)</f>
        <v>12519.37</v>
      </c>
      <c r="L70" s="118">
        <f>SUM(L67:L69)</f>
        <v>13558.55</v>
      </c>
      <c r="M70" s="118">
        <f>SUM(M67:M69)</f>
        <v>2593.3000000000002</v>
      </c>
    </row>
    <row r="71" spans="1:13" s="2" customFormat="1" x14ac:dyDescent="0.2">
      <c r="A71" s="24"/>
      <c r="B71" s="1"/>
      <c r="C71" s="50" t="s">
        <v>444</v>
      </c>
      <c r="D71" s="55">
        <f>+L67+L68+J68</f>
        <v>3070.66</v>
      </c>
      <c r="E71" s="55">
        <f>+K67+K68</f>
        <v>2420.94</v>
      </c>
      <c r="F71" s="55">
        <f>+D71-E71</f>
        <v>649.7199999999998</v>
      </c>
      <c r="G71" s="55">
        <f>1500-F71</f>
        <v>850.2800000000002</v>
      </c>
      <c r="H71" s="2" t="s">
        <v>396</v>
      </c>
    </row>
    <row r="72" spans="1:13" s="2" customFormat="1" x14ac:dyDescent="0.2">
      <c r="A72" s="24"/>
      <c r="B72" s="1"/>
      <c r="C72" s="50" t="s">
        <v>71</v>
      </c>
      <c r="D72" s="55">
        <f>+J69+L69</f>
        <v>12042.01</v>
      </c>
      <c r="E72" s="55">
        <f>+K69</f>
        <v>10098.43</v>
      </c>
      <c r="F72" s="55">
        <f>+D72-E72</f>
        <v>1943.58</v>
      </c>
      <c r="G72" s="55">
        <f>1500+700-F72</f>
        <v>256.42000000000007</v>
      </c>
      <c r="H72" s="2" t="s">
        <v>396</v>
      </c>
    </row>
    <row r="73" spans="1:13" s="2" customFormat="1" x14ac:dyDescent="0.2">
      <c r="A73" s="24"/>
      <c r="B73" s="1"/>
      <c r="C73" s="14"/>
      <c r="D73" s="56"/>
      <c r="E73" s="13"/>
      <c r="G73" s="1"/>
    </row>
    <row r="74" spans="1:13" s="2" customFormat="1" x14ac:dyDescent="0.2">
      <c r="A74" s="215" t="s">
        <v>80</v>
      </c>
      <c r="B74" s="216"/>
      <c r="C74" s="216"/>
      <c r="D74" s="217"/>
      <c r="E74" s="69"/>
      <c r="F74" s="70"/>
      <c r="G74" s="1"/>
      <c r="H74" s="53"/>
    </row>
    <row r="75" spans="1:13" s="2" customFormat="1" x14ac:dyDescent="0.2">
      <c r="A75" s="71" t="s">
        <v>81</v>
      </c>
      <c r="B75" s="71"/>
      <c r="C75" s="72" t="s">
        <v>82</v>
      </c>
      <c r="D75" s="73" t="s">
        <v>83</v>
      </c>
      <c r="E75" s="69"/>
      <c r="F75" s="70"/>
      <c r="H75" s="53"/>
    </row>
    <row r="76" spans="1:13" s="2" customFormat="1" x14ac:dyDescent="0.2">
      <c r="A76" s="87">
        <v>45017</v>
      </c>
      <c r="B76" s="120" t="s">
        <v>6</v>
      </c>
      <c r="C76" s="75" t="s">
        <v>282</v>
      </c>
      <c r="D76" s="88">
        <v>12220</v>
      </c>
      <c r="G76" s="1"/>
      <c r="L76" s="1"/>
      <c r="M76" s="1"/>
    </row>
    <row r="77" spans="1:13" s="2" customFormat="1" x14ac:dyDescent="0.2">
      <c r="A77" s="87">
        <v>45020</v>
      </c>
      <c r="B77" s="120" t="s">
        <v>6</v>
      </c>
      <c r="C77" s="75" t="s">
        <v>271</v>
      </c>
      <c r="D77" s="88">
        <v>584074</v>
      </c>
      <c r="G77" s="1"/>
      <c r="L77" s="1"/>
      <c r="M77" s="1"/>
    </row>
    <row r="78" spans="1:13" s="2" customFormat="1" x14ac:dyDescent="0.2">
      <c r="A78" s="87">
        <v>45022</v>
      </c>
      <c r="B78" s="120" t="s">
        <v>6</v>
      </c>
      <c r="C78" s="75" t="s">
        <v>784</v>
      </c>
      <c r="D78" s="88">
        <v>283512</v>
      </c>
      <c r="G78" s="1"/>
      <c r="L78" s="1"/>
      <c r="M78" s="1"/>
    </row>
    <row r="79" spans="1:13" s="2" customFormat="1" x14ac:dyDescent="0.2">
      <c r="A79" s="87">
        <v>45022</v>
      </c>
      <c r="B79" s="120" t="s">
        <v>6</v>
      </c>
      <c r="C79" s="75" t="s">
        <v>84</v>
      </c>
      <c r="D79" s="88">
        <v>2500000</v>
      </c>
      <c r="G79" s="1"/>
      <c r="L79" s="1"/>
      <c r="M79" s="1"/>
    </row>
    <row r="80" spans="1:13" s="2" customFormat="1" x14ac:dyDescent="0.2">
      <c r="A80" s="87">
        <v>45023</v>
      </c>
      <c r="B80" s="120" t="s">
        <v>6</v>
      </c>
      <c r="C80" s="75" t="s">
        <v>270</v>
      </c>
      <c r="D80" s="88">
        <v>33748</v>
      </c>
      <c r="G80" s="1"/>
      <c r="L80" s="1"/>
      <c r="M80" s="1"/>
    </row>
    <row r="81" spans="1:13" s="2" customFormat="1" x14ac:dyDescent="0.2">
      <c r="A81" s="87">
        <v>45023</v>
      </c>
      <c r="B81" s="120" t="s">
        <v>6</v>
      </c>
      <c r="C81" s="75" t="s">
        <v>270</v>
      </c>
      <c r="D81" s="88">
        <v>114918</v>
      </c>
      <c r="G81" s="1"/>
      <c r="L81" s="1"/>
      <c r="M81" s="1"/>
    </row>
    <row r="82" spans="1:13" s="2" customFormat="1" x14ac:dyDescent="0.2">
      <c r="A82" s="87">
        <v>45027</v>
      </c>
      <c r="B82" s="120" t="s">
        <v>6</v>
      </c>
      <c r="C82" s="75" t="s">
        <v>767</v>
      </c>
      <c r="D82" s="88">
        <v>2093169</v>
      </c>
      <c r="G82" s="1"/>
      <c r="L82" s="1"/>
      <c r="M82" s="1"/>
    </row>
    <row r="83" spans="1:13" s="2" customFormat="1" x14ac:dyDescent="0.2">
      <c r="A83" s="87">
        <v>45027</v>
      </c>
      <c r="B83" s="120" t="s">
        <v>6</v>
      </c>
      <c r="C83" s="75" t="s">
        <v>594</v>
      </c>
      <c r="D83" s="88">
        <v>2500000</v>
      </c>
      <c r="G83" s="1"/>
      <c r="L83" s="1"/>
      <c r="M83" s="1"/>
    </row>
    <row r="84" spans="1:13" s="2" customFormat="1" x14ac:dyDescent="0.2">
      <c r="A84" s="87">
        <v>45028</v>
      </c>
      <c r="B84" s="120" t="s">
        <v>6</v>
      </c>
      <c r="C84" s="75" t="s">
        <v>84</v>
      </c>
      <c r="D84" s="88">
        <v>4000000</v>
      </c>
      <c r="G84" s="1"/>
      <c r="L84" s="1"/>
      <c r="M84" s="1"/>
    </row>
    <row r="85" spans="1:13" s="2" customFormat="1" x14ac:dyDescent="0.2">
      <c r="A85" s="87">
        <v>45028</v>
      </c>
      <c r="B85" s="120" t="s">
        <v>6</v>
      </c>
      <c r="C85" s="75" t="s">
        <v>606</v>
      </c>
      <c r="D85" s="88">
        <v>103240</v>
      </c>
      <c r="G85" s="1"/>
      <c r="L85" s="1"/>
      <c r="M85" s="1"/>
    </row>
    <row r="86" spans="1:13" s="2" customFormat="1" x14ac:dyDescent="0.2">
      <c r="A86" s="87">
        <v>45029</v>
      </c>
      <c r="B86" s="120" t="s">
        <v>6</v>
      </c>
      <c r="C86" s="75" t="s">
        <v>784</v>
      </c>
      <c r="D86" s="88">
        <v>451698</v>
      </c>
      <c r="G86" s="1"/>
      <c r="L86" s="1"/>
      <c r="M86" s="1"/>
    </row>
    <row r="87" spans="1:13" s="2" customFormat="1" x14ac:dyDescent="0.2">
      <c r="A87" s="87">
        <v>45030</v>
      </c>
      <c r="B87" s="120" t="s">
        <v>6</v>
      </c>
      <c r="C87" s="75" t="s">
        <v>270</v>
      </c>
      <c r="D87" s="88">
        <v>655766</v>
      </c>
      <c r="G87" s="1"/>
      <c r="L87" s="1"/>
      <c r="M87" s="1"/>
    </row>
    <row r="88" spans="1:13" s="2" customFormat="1" x14ac:dyDescent="0.2">
      <c r="A88" s="87">
        <v>45031</v>
      </c>
      <c r="B88" s="120" t="s">
        <v>6</v>
      </c>
      <c r="C88" s="75" t="s">
        <v>784</v>
      </c>
      <c r="D88" s="88">
        <v>539800</v>
      </c>
      <c r="G88" s="1"/>
      <c r="L88" s="1"/>
      <c r="M88" s="1"/>
    </row>
    <row r="89" spans="1:13" s="2" customFormat="1" x14ac:dyDescent="0.2">
      <c r="A89" s="87">
        <v>45031</v>
      </c>
      <c r="B89" s="120" t="s">
        <v>6</v>
      </c>
      <c r="C89" s="75" t="s">
        <v>784</v>
      </c>
      <c r="D89" s="88">
        <v>198679</v>
      </c>
      <c r="G89" s="1"/>
      <c r="L89" s="1"/>
      <c r="M89" s="1"/>
    </row>
    <row r="90" spans="1:13" s="2" customFormat="1" x14ac:dyDescent="0.2">
      <c r="A90" s="87"/>
      <c r="B90" s="74"/>
      <c r="C90" s="75"/>
      <c r="D90" s="51">
        <f>SUM(D76:D89)</f>
        <v>14070824</v>
      </c>
      <c r="F90" s="2" t="s">
        <v>396</v>
      </c>
      <c r="G90" s="1"/>
      <c r="I90" s="1"/>
      <c r="J90" s="1"/>
      <c r="K90" s="1"/>
      <c r="L90" s="1"/>
      <c r="M90" s="1"/>
    </row>
    <row r="91" spans="1:13" s="2" customFormat="1" x14ac:dyDescent="0.2">
      <c r="A91" s="8"/>
      <c r="B91" s="93"/>
      <c r="C91" s="76"/>
      <c r="D91" s="56"/>
      <c r="G91" s="1"/>
      <c r="I91" s="1"/>
      <c r="J91" s="1"/>
      <c r="K91" s="1"/>
      <c r="L91" s="1"/>
      <c r="M91" s="1"/>
    </row>
    <row r="92" spans="1:13" s="2" customFormat="1" x14ac:dyDescent="0.2">
      <c r="A92" s="24"/>
      <c r="B92" s="1"/>
      <c r="C92" s="218" t="s">
        <v>77</v>
      </c>
      <c r="D92" s="219"/>
      <c r="E92" s="219"/>
      <c r="F92" s="220"/>
      <c r="G92" s="54"/>
      <c r="I92" s="1"/>
      <c r="J92" s="1"/>
      <c r="K92" s="1"/>
      <c r="L92" s="1"/>
      <c r="M92" s="1"/>
    </row>
    <row r="93" spans="1:13" s="2" customFormat="1" x14ac:dyDescent="0.2">
      <c r="A93" s="24"/>
      <c r="B93" s="1"/>
      <c r="C93" s="50"/>
      <c r="D93" s="57" t="s">
        <v>78</v>
      </c>
      <c r="E93" s="58" t="s">
        <v>79</v>
      </c>
      <c r="F93" s="57" t="s">
        <v>72</v>
      </c>
      <c r="G93" s="54"/>
      <c r="I93" s="1"/>
      <c r="J93" s="1"/>
      <c r="K93" s="1"/>
      <c r="L93" s="1"/>
      <c r="M93" s="1"/>
    </row>
    <row r="94" spans="1:13" s="2" customFormat="1" x14ac:dyDescent="0.2">
      <c r="A94" s="24"/>
      <c r="B94" s="1"/>
      <c r="C94" s="59" t="str">
        <f>"01-04-2023 to "&amp;TEXT(A5-2,"dd-mm-yyyy")</f>
        <v>01-04-2023 to 13-04-2023</v>
      </c>
      <c r="D94" s="60">
        <v>1907.21</v>
      </c>
      <c r="E94" s="60">
        <v>238.2</v>
      </c>
      <c r="F94" s="61">
        <f>SUM(D94:E94)</f>
        <v>2145.41</v>
      </c>
      <c r="G94" s="54"/>
      <c r="I94" s="1"/>
      <c r="J94" s="1"/>
      <c r="K94" s="1"/>
      <c r="L94" s="1"/>
      <c r="M94" s="1"/>
    </row>
    <row r="95" spans="1:13" s="2" customFormat="1" x14ac:dyDescent="0.2">
      <c r="A95" s="24"/>
      <c r="B95" s="1"/>
      <c r="C95" s="62" t="str">
        <f>TEXT(A5-1,"dd-mm-yyyy")</f>
        <v>14-04-2023</v>
      </c>
      <c r="D95" s="60">
        <v>122.16</v>
      </c>
      <c r="E95" s="60">
        <v>20.190000000000001</v>
      </c>
      <c r="F95" s="61">
        <f>SUM(D95:E95)</f>
        <v>142.35</v>
      </c>
      <c r="G95" s="54"/>
      <c r="I95" s="1"/>
      <c r="J95" s="1"/>
      <c r="K95" s="1"/>
      <c r="L95" s="1"/>
      <c r="M95" s="1"/>
    </row>
    <row r="96" spans="1:13" ht="13.5" thickBot="1" x14ac:dyDescent="0.25">
      <c r="C96" s="63" t="str">
        <f>"01-04-2023 to "&amp;TEXT(A5-1,"dd-mm-yyyy")</f>
        <v>01-04-2023 to 14-04-2023</v>
      </c>
      <c r="D96" s="64">
        <f>SUM(D94:D95)</f>
        <v>2029.3700000000001</v>
      </c>
      <c r="E96" s="64">
        <f>SUM(E94:E95)</f>
        <v>258.39</v>
      </c>
      <c r="F96" s="64">
        <f>SUM(F94:F95)</f>
        <v>2287.7599999999998</v>
      </c>
      <c r="G96" s="54"/>
    </row>
    <row r="97" spans="1:10" s="2" customFormat="1" ht="13.5" thickTop="1" x14ac:dyDescent="0.2">
      <c r="A97" s="24"/>
      <c r="B97" s="1"/>
      <c r="C97" s="62"/>
      <c r="D97" s="65"/>
      <c r="E97" s="66"/>
      <c r="F97" s="67"/>
      <c r="G97" s="54"/>
      <c r="H97" s="53"/>
    </row>
    <row r="98" spans="1:10" x14ac:dyDescent="0.2">
      <c r="C98" s="62" t="str">
        <f>"01-04-2023 to " &amp;C95</f>
        <v>01-04-2023 to 14-04-2023</v>
      </c>
      <c r="D98" s="68">
        <f>+D96</f>
        <v>2029.3700000000001</v>
      </c>
      <c r="E98" s="68">
        <f>+E96</f>
        <v>258.39</v>
      </c>
      <c r="F98" s="68">
        <f>+F96</f>
        <v>2287.7599999999998</v>
      </c>
      <c r="G98" s="54"/>
      <c r="H98" s="53" t="s">
        <v>396</v>
      </c>
    </row>
    <row r="99" spans="1:10" x14ac:dyDescent="0.2">
      <c r="C99" s="52"/>
      <c r="D99" s="85"/>
      <c r="E99" s="53"/>
      <c r="F99" s="53"/>
      <c r="G99" s="54"/>
      <c r="H99" s="53" t="s">
        <v>396</v>
      </c>
      <c r="J99" s="42"/>
    </row>
    <row r="100" spans="1:10" x14ac:dyDescent="0.2">
      <c r="C100" s="52"/>
      <c r="D100" s="85"/>
      <c r="E100" s="53"/>
      <c r="F100" s="53"/>
      <c r="G100" s="54"/>
      <c r="H100" s="53"/>
      <c r="I100" s="101"/>
    </row>
    <row r="101" spans="1:10" x14ac:dyDescent="0.2">
      <c r="C101" s="52"/>
      <c r="D101" s="85"/>
      <c r="E101" s="53"/>
      <c r="F101" s="53"/>
      <c r="G101" s="54"/>
      <c r="H101" s="53"/>
    </row>
    <row r="102" spans="1:10" x14ac:dyDescent="0.2">
      <c r="C102" s="52"/>
      <c r="D102" s="85"/>
      <c r="E102" s="53"/>
      <c r="F102" s="53"/>
      <c r="G102" s="54"/>
      <c r="H102" s="53"/>
    </row>
    <row r="103" spans="1:10" x14ac:dyDescent="0.2">
      <c r="H103" s="53"/>
    </row>
  </sheetData>
  <mergeCells count="5">
    <mergeCell ref="A1:G1"/>
    <mergeCell ref="A3:F3"/>
    <mergeCell ref="A9:F9"/>
    <mergeCell ref="A74:D74"/>
    <mergeCell ref="C92:F92"/>
  </mergeCells>
  <conditionalFormatting sqref="G71:G72">
    <cfRule type="cellIs" dxfId="634" priority="1" operator="lessThan">
      <formula>0</formula>
    </cfRule>
  </conditionalFormatting>
  <conditionalFormatting sqref="C11">
    <cfRule type="duplicateValues" dxfId="633" priority="2"/>
  </conditionalFormatting>
  <conditionalFormatting sqref="C12:C51">
    <cfRule type="duplicateValues" dxfId="632" priority="439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08">
    <pageSetUpPr fitToPage="1"/>
  </sheetPr>
  <dimension ref="A1:N110"/>
  <sheetViews>
    <sheetView topLeftCell="B22" zoomScaleNormal="100" workbookViewId="0">
      <selection activeCell="C46" sqref="C46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49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881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2.75" customHeight="1" x14ac:dyDescent="0.4">
      <c r="A5" s="89">
        <v>45033</v>
      </c>
      <c r="B5" s="9" t="s">
        <v>6</v>
      </c>
      <c r="C5" s="10" t="s">
        <v>7</v>
      </c>
      <c r="D5" s="11"/>
      <c r="E5" s="12">
        <v>557118.69999999879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557118.69999999879</v>
      </c>
      <c r="F6" s="16">
        <f>SUM(F5:F5)</f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E6-F6</f>
        <v>557118.69999999879</v>
      </c>
      <c r="F7" s="22"/>
      <c r="G7" s="23"/>
      <c r="H7" s="112"/>
      <c r="I7" s="112"/>
      <c r="J7" s="13"/>
    </row>
    <row r="8" spans="1:10" s="2" customFormat="1" ht="12.75" customHeight="1" x14ac:dyDescent="0.4">
      <c r="A8" s="24"/>
      <c r="B8" s="1"/>
      <c r="C8" s="14"/>
      <c r="D8" s="25"/>
      <c r="G8" s="23"/>
      <c r="H8" s="112"/>
      <c r="I8" s="112"/>
      <c r="J8" s="13"/>
    </row>
    <row r="9" spans="1:10" s="2" customFormat="1" ht="21.75" customHeight="1" x14ac:dyDescent="0.4">
      <c r="A9" s="214" t="s">
        <v>10</v>
      </c>
      <c r="B9" s="214"/>
      <c r="C9" s="214"/>
      <c r="D9" s="214"/>
      <c r="E9" s="214"/>
      <c r="F9" s="214"/>
      <c r="G9" s="13"/>
      <c r="H9" s="112"/>
      <c r="I9" s="112"/>
      <c r="J9" s="13"/>
    </row>
    <row r="10" spans="1:10" s="2" customFormat="1" ht="12.75" customHeight="1" x14ac:dyDescent="0.4">
      <c r="A10" s="26" t="s">
        <v>1</v>
      </c>
      <c r="B10" s="27" t="s">
        <v>2</v>
      </c>
      <c r="C10" s="5"/>
      <c r="D10" s="6" t="s">
        <v>3</v>
      </c>
      <c r="E10" s="7" t="s">
        <v>4</v>
      </c>
      <c r="F10" s="7" t="s">
        <v>5</v>
      </c>
      <c r="G10" s="23"/>
      <c r="H10" s="112"/>
      <c r="I10" s="112"/>
      <c r="J10" s="13"/>
    </row>
    <row r="11" spans="1:10" s="2" customFormat="1" ht="12.75" customHeight="1" x14ac:dyDescent="0.2">
      <c r="A11" s="89">
        <v>45033</v>
      </c>
      <c r="B11" s="91" t="s">
        <v>11</v>
      </c>
      <c r="C11" s="29" t="s">
        <v>7</v>
      </c>
      <c r="D11" s="25"/>
      <c r="E11" s="31"/>
      <c r="F11" s="2">
        <v>341865806.83000028</v>
      </c>
      <c r="G11" s="30"/>
      <c r="I11" s="13"/>
      <c r="J11" s="13"/>
    </row>
    <row r="12" spans="1:10" s="2" customFormat="1" ht="12.75" customHeight="1" x14ac:dyDescent="0.2">
      <c r="A12" s="89">
        <v>45033</v>
      </c>
      <c r="B12" s="91" t="s">
        <v>6</v>
      </c>
      <c r="C12" s="76" t="s">
        <v>264</v>
      </c>
      <c r="D12" s="116" t="s">
        <v>13</v>
      </c>
      <c r="E12" s="31">
        <v>668570</v>
      </c>
      <c r="G12" s="30"/>
      <c r="I12" s="13"/>
      <c r="J12" s="13"/>
    </row>
    <row r="13" spans="1:10" s="2" customFormat="1" ht="12.75" customHeight="1" x14ac:dyDescent="0.2">
      <c r="A13" s="89">
        <v>45033</v>
      </c>
      <c r="B13" s="91" t="s">
        <v>6</v>
      </c>
      <c r="C13" s="76" t="s">
        <v>16</v>
      </c>
      <c r="D13" s="116" t="s">
        <v>13</v>
      </c>
      <c r="E13" s="31">
        <v>1</v>
      </c>
      <c r="G13" s="30"/>
      <c r="I13" s="13"/>
      <c r="J13" s="13"/>
    </row>
    <row r="14" spans="1:10" s="2" customFormat="1" ht="12.75" customHeight="1" x14ac:dyDescent="0.2">
      <c r="A14" s="89">
        <v>45033</v>
      </c>
      <c r="B14" s="91" t="s">
        <v>6</v>
      </c>
      <c r="C14" s="76" t="s">
        <v>882</v>
      </c>
      <c r="D14" s="116" t="s">
        <v>13</v>
      </c>
      <c r="E14" s="31">
        <v>2048</v>
      </c>
      <c r="G14" s="30"/>
      <c r="I14" s="13"/>
      <c r="J14" s="13"/>
    </row>
    <row r="15" spans="1:10" s="2" customFormat="1" ht="12.75" customHeight="1" x14ac:dyDescent="0.2">
      <c r="A15" s="89">
        <v>45033</v>
      </c>
      <c r="B15" s="91" t="s">
        <v>6</v>
      </c>
      <c r="C15" s="76" t="s">
        <v>820</v>
      </c>
      <c r="D15" s="116" t="s">
        <v>13</v>
      </c>
      <c r="E15" s="31">
        <v>74223</v>
      </c>
      <c r="G15" s="30"/>
      <c r="I15" s="13"/>
      <c r="J15" s="13"/>
    </row>
    <row r="16" spans="1:10" s="2" customFormat="1" ht="12.75" customHeight="1" x14ac:dyDescent="0.2">
      <c r="A16" s="89">
        <v>45033</v>
      </c>
      <c r="B16" s="91" t="s">
        <v>6</v>
      </c>
      <c r="C16" s="76" t="s">
        <v>700</v>
      </c>
      <c r="D16" s="116" t="s">
        <v>13</v>
      </c>
      <c r="E16" s="31">
        <v>80048</v>
      </c>
      <c r="G16" s="30"/>
      <c r="I16" s="13"/>
      <c r="J16" s="13"/>
    </row>
    <row r="17" spans="1:10" s="2" customFormat="1" ht="12.75" customHeight="1" x14ac:dyDescent="0.2">
      <c r="A17" s="89">
        <v>45033</v>
      </c>
      <c r="B17" s="91" t="s">
        <v>6</v>
      </c>
      <c r="C17" s="76" t="s">
        <v>686</v>
      </c>
      <c r="D17" s="116" t="s">
        <v>13</v>
      </c>
      <c r="E17" s="31">
        <v>100000</v>
      </c>
      <c r="G17" s="30"/>
      <c r="I17" s="13"/>
      <c r="J17" s="13"/>
    </row>
    <row r="18" spans="1:10" s="2" customFormat="1" ht="12.75" customHeight="1" x14ac:dyDescent="0.2">
      <c r="A18" s="89">
        <v>45033</v>
      </c>
      <c r="B18" s="91" t="s">
        <v>6</v>
      </c>
      <c r="C18" s="76" t="s">
        <v>716</v>
      </c>
      <c r="D18" s="116" t="s">
        <v>13</v>
      </c>
      <c r="E18" s="31">
        <v>25000</v>
      </c>
      <c r="G18" s="30"/>
      <c r="I18" s="13"/>
      <c r="J18" s="13"/>
    </row>
    <row r="19" spans="1:10" s="2" customFormat="1" ht="12.75" customHeight="1" x14ac:dyDescent="0.2">
      <c r="A19" s="89">
        <v>45033</v>
      </c>
      <c r="B19" s="91" t="s">
        <v>6</v>
      </c>
      <c r="C19" s="76" t="s">
        <v>468</v>
      </c>
      <c r="D19" s="116" t="s">
        <v>13</v>
      </c>
      <c r="E19" s="31">
        <v>337999</v>
      </c>
      <c r="G19" s="30"/>
      <c r="I19" s="13"/>
      <c r="J19" s="13"/>
    </row>
    <row r="20" spans="1:10" s="2" customFormat="1" ht="12.75" customHeight="1" x14ac:dyDescent="0.2">
      <c r="A20" s="89">
        <v>45033</v>
      </c>
      <c r="B20" s="91" t="s">
        <v>6</v>
      </c>
      <c r="C20" s="76" t="s">
        <v>405</v>
      </c>
      <c r="D20" s="116" t="s">
        <v>13</v>
      </c>
      <c r="E20" s="31">
        <v>182630</v>
      </c>
      <c r="G20" s="30"/>
      <c r="I20" s="13"/>
      <c r="J20" s="13"/>
    </row>
    <row r="21" spans="1:10" s="2" customFormat="1" ht="12.75" customHeight="1" x14ac:dyDescent="0.2">
      <c r="A21" s="89">
        <v>45033</v>
      </c>
      <c r="B21" s="91" t="s">
        <v>6</v>
      </c>
      <c r="C21" s="76" t="s">
        <v>142</v>
      </c>
      <c r="D21" s="116" t="s">
        <v>13</v>
      </c>
      <c r="E21" s="31">
        <v>6090</v>
      </c>
      <c r="G21" s="30"/>
      <c r="I21" s="13"/>
      <c r="J21" s="13"/>
    </row>
    <row r="22" spans="1:10" s="2" customFormat="1" ht="12.75" customHeight="1" x14ac:dyDescent="0.2">
      <c r="A22" s="89">
        <v>45033</v>
      </c>
      <c r="B22" s="91" t="s">
        <v>6</v>
      </c>
      <c r="C22" s="76" t="s">
        <v>234</v>
      </c>
      <c r="D22" s="116" t="s">
        <v>13</v>
      </c>
      <c r="E22" s="31">
        <v>17046</v>
      </c>
      <c r="G22" s="30"/>
      <c r="I22" s="13"/>
      <c r="J22" s="13"/>
    </row>
    <row r="23" spans="1:10" s="2" customFormat="1" ht="12.75" customHeight="1" x14ac:dyDescent="0.2">
      <c r="A23" s="89">
        <v>45033</v>
      </c>
      <c r="B23" s="91" t="s">
        <v>6</v>
      </c>
      <c r="C23" s="76" t="s">
        <v>503</v>
      </c>
      <c r="D23" s="116" t="s">
        <v>13</v>
      </c>
      <c r="E23" s="31">
        <v>53677.33</v>
      </c>
      <c r="G23" s="30"/>
      <c r="I23" s="13"/>
      <c r="J23" s="13"/>
    </row>
    <row r="24" spans="1:10" s="2" customFormat="1" ht="12.75" customHeight="1" x14ac:dyDescent="0.2">
      <c r="A24" s="89">
        <v>45033</v>
      </c>
      <c r="B24" s="91" t="s">
        <v>6</v>
      </c>
      <c r="C24" s="76" t="s">
        <v>272</v>
      </c>
      <c r="D24" s="116" t="s">
        <v>13</v>
      </c>
      <c r="E24" s="31">
        <v>15173</v>
      </c>
      <c r="G24" s="30"/>
      <c r="I24" s="13"/>
      <c r="J24" s="13"/>
    </row>
    <row r="25" spans="1:10" s="2" customFormat="1" ht="12.75" customHeight="1" x14ac:dyDescent="0.2">
      <c r="A25" s="89">
        <v>45033</v>
      </c>
      <c r="B25" s="91" t="s">
        <v>6</v>
      </c>
      <c r="C25" s="76" t="s">
        <v>555</v>
      </c>
      <c r="D25" s="116" t="s">
        <v>13</v>
      </c>
      <c r="E25" s="31">
        <v>1944566</v>
      </c>
      <c r="G25" s="30"/>
      <c r="I25" s="13"/>
      <c r="J25" s="13"/>
    </row>
    <row r="26" spans="1:10" s="2" customFormat="1" ht="12.75" customHeight="1" x14ac:dyDescent="0.2">
      <c r="A26" s="89">
        <v>45033</v>
      </c>
      <c r="B26" s="91" t="s">
        <v>6</v>
      </c>
      <c r="C26" s="76" t="s">
        <v>538</v>
      </c>
      <c r="D26" s="116" t="s">
        <v>13</v>
      </c>
      <c r="E26" s="31">
        <v>5035</v>
      </c>
      <c r="G26" s="30"/>
      <c r="I26" s="13"/>
      <c r="J26" s="13"/>
    </row>
    <row r="27" spans="1:10" s="2" customFormat="1" ht="12.75" customHeight="1" x14ac:dyDescent="0.2">
      <c r="A27" s="89">
        <v>45033</v>
      </c>
      <c r="B27" s="91" t="s">
        <v>6</v>
      </c>
      <c r="C27" s="76" t="s">
        <v>556</v>
      </c>
      <c r="D27" s="116" t="s">
        <v>13</v>
      </c>
      <c r="E27" s="31">
        <v>8505</v>
      </c>
      <c r="G27" s="30"/>
      <c r="I27" s="13"/>
      <c r="J27" s="13"/>
    </row>
    <row r="28" spans="1:10" s="2" customFormat="1" ht="12.75" customHeight="1" x14ac:dyDescent="0.2">
      <c r="A28" s="89">
        <v>45033</v>
      </c>
      <c r="B28" s="91" t="s">
        <v>6</v>
      </c>
      <c r="C28" s="76" t="s">
        <v>143</v>
      </c>
      <c r="D28" s="116" t="s">
        <v>13</v>
      </c>
      <c r="E28" s="31">
        <v>7397</v>
      </c>
      <c r="G28" s="30"/>
      <c r="I28" s="13"/>
      <c r="J28" s="13"/>
    </row>
    <row r="29" spans="1:10" s="2" customFormat="1" ht="12.75" customHeight="1" x14ac:dyDescent="0.2">
      <c r="A29" s="89">
        <v>45033</v>
      </c>
      <c r="B29" s="91" t="s">
        <v>6</v>
      </c>
      <c r="C29" s="76" t="s">
        <v>141</v>
      </c>
      <c r="D29" s="116" t="s">
        <v>13</v>
      </c>
      <c r="E29" s="31">
        <v>10857</v>
      </c>
      <c r="G29" s="30"/>
      <c r="I29" s="13"/>
      <c r="J29" s="13"/>
    </row>
    <row r="30" spans="1:10" s="2" customFormat="1" ht="12.75" customHeight="1" x14ac:dyDescent="0.2">
      <c r="A30" s="89">
        <v>45033</v>
      </c>
      <c r="B30" s="91" t="s">
        <v>6</v>
      </c>
      <c r="C30" s="76" t="s">
        <v>144</v>
      </c>
      <c r="D30" s="116" t="s">
        <v>13</v>
      </c>
      <c r="E30" s="31">
        <v>7090</v>
      </c>
      <c r="G30" s="30"/>
      <c r="I30" s="13"/>
      <c r="J30" s="13"/>
    </row>
    <row r="31" spans="1:10" s="2" customFormat="1" ht="12.75" customHeight="1" x14ac:dyDescent="0.2">
      <c r="A31" s="89">
        <v>45033</v>
      </c>
      <c r="B31" s="91" t="s">
        <v>6</v>
      </c>
      <c r="C31" s="76" t="s">
        <v>758</v>
      </c>
      <c r="D31" s="116" t="s">
        <v>13</v>
      </c>
      <c r="E31" s="31">
        <v>73521</v>
      </c>
      <c r="G31" s="30"/>
      <c r="I31" s="13"/>
      <c r="J31" s="13"/>
    </row>
    <row r="32" spans="1:10" s="2" customFormat="1" ht="12.75" customHeight="1" x14ac:dyDescent="0.2">
      <c r="A32" s="89">
        <v>45033</v>
      </c>
      <c r="B32" s="91" t="s">
        <v>6</v>
      </c>
      <c r="C32" s="76" t="s">
        <v>15</v>
      </c>
      <c r="D32" s="116" t="s">
        <v>13</v>
      </c>
      <c r="E32" s="31">
        <v>7481.12</v>
      </c>
      <c r="G32" s="30"/>
      <c r="I32" s="13"/>
      <c r="J32" s="13"/>
    </row>
    <row r="33" spans="1:10" s="2" customFormat="1" ht="12.75" customHeight="1" x14ac:dyDescent="0.2">
      <c r="A33" s="89">
        <v>45033</v>
      </c>
      <c r="B33" s="91" t="s">
        <v>6</v>
      </c>
      <c r="C33" s="76" t="s">
        <v>93</v>
      </c>
      <c r="D33" s="116" t="s">
        <v>13</v>
      </c>
      <c r="E33" s="31">
        <v>1186980</v>
      </c>
      <c r="G33" s="30"/>
      <c r="I33" s="13"/>
      <c r="J33" s="13"/>
    </row>
    <row r="34" spans="1:10" s="2" customFormat="1" ht="12.75" customHeight="1" x14ac:dyDescent="0.2">
      <c r="A34" s="89">
        <v>45033</v>
      </c>
      <c r="B34" s="91" t="s">
        <v>6</v>
      </c>
      <c r="C34" s="76" t="s">
        <v>149</v>
      </c>
      <c r="D34" s="116" t="s">
        <v>13</v>
      </c>
      <c r="E34" s="31">
        <v>24633</v>
      </c>
      <c r="G34" s="30"/>
      <c r="I34" s="13"/>
      <c r="J34" s="13"/>
    </row>
    <row r="35" spans="1:10" s="2" customFormat="1" ht="12.75" customHeight="1" x14ac:dyDescent="0.2">
      <c r="A35" s="89">
        <v>45033</v>
      </c>
      <c r="B35" s="91" t="s">
        <v>6</v>
      </c>
      <c r="C35" s="76" t="s">
        <v>213</v>
      </c>
      <c r="D35" s="116" t="s">
        <v>13</v>
      </c>
      <c r="E35" s="31">
        <v>1634393</v>
      </c>
      <c r="G35" s="30"/>
      <c r="I35" s="13"/>
      <c r="J35" s="13"/>
    </row>
    <row r="36" spans="1:10" s="2" customFormat="1" ht="12.75" customHeight="1" x14ac:dyDescent="0.2">
      <c r="A36" s="89">
        <v>45033</v>
      </c>
      <c r="B36" s="91" t="s">
        <v>6</v>
      </c>
      <c r="C36" s="76" t="s">
        <v>763</v>
      </c>
      <c r="D36" s="116" t="s">
        <v>13</v>
      </c>
      <c r="E36" s="31">
        <v>88548</v>
      </c>
      <c r="G36" s="30"/>
      <c r="I36" s="13"/>
      <c r="J36" s="13"/>
    </row>
    <row r="37" spans="1:10" s="2" customFormat="1" ht="12.75" customHeight="1" x14ac:dyDescent="0.2">
      <c r="A37" s="89">
        <v>45033</v>
      </c>
      <c r="B37" s="91" t="s">
        <v>6</v>
      </c>
      <c r="C37" s="76" t="s">
        <v>148</v>
      </c>
      <c r="D37" s="116" t="s">
        <v>13</v>
      </c>
      <c r="E37" s="31">
        <v>3370518.9</v>
      </c>
      <c r="G37" s="30"/>
      <c r="I37" s="13"/>
      <c r="J37" s="13"/>
    </row>
    <row r="38" spans="1:10" s="2" customFormat="1" ht="12.75" customHeight="1" x14ac:dyDescent="0.2">
      <c r="A38" s="89">
        <v>45033</v>
      </c>
      <c r="B38" s="91" t="s">
        <v>6</v>
      </c>
      <c r="C38" s="76" t="s">
        <v>299</v>
      </c>
      <c r="D38" s="116" t="s">
        <v>13</v>
      </c>
      <c r="E38" s="31">
        <v>73953</v>
      </c>
      <c r="G38" s="30"/>
      <c r="I38" s="13"/>
      <c r="J38" s="13"/>
    </row>
    <row r="39" spans="1:10" s="2" customFormat="1" ht="12.75" customHeight="1" x14ac:dyDescent="0.2">
      <c r="A39" s="89">
        <v>45033</v>
      </c>
      <c r="B39" s="91" t="s">
        <v>11</v>
      </c>
      <c r="C39" s="76" t="s">
        <v>64</v>
      </c>
      <c r="D39" s="116" t="s">
        <v>29</v>
      </c>
      <c r="E39" s="31"/>
      <c r="F39" s="2">
        <v>11764.210000000001</v>
      </c>
      <c r="G39" s="30"/>
      <c r="I39" s="13"/>
      <c r="J39" s="13"/>
    </row>
    <row r="40" spans="1:10" s="2" customFormat="1" ht="12.75" customHeight="1" x14ac:dyDescent="0.2">
      <c r="A40" s="89">
        <v>45033</v>
      </c>
      <c r="B40" s="91" t="s">
        <v>11</v>
      </c>
      <c r="C40" s="76" t="s">
        <v>533</v>
      </c>
      <c r="D40" s="116" t="s">
        <v>29</v>
      </c>
      <c r="E40" s="31"/>
      <c r="F40" s="2">
        <v>167737</v>
      </c>
      <c r="G40" s="30"/>
      <c r="I40" s="13"/>
      <c r="J40" s="13"/>
    </row>
    <row r="41" spans="1:10" s="2" customFormat="1" ht="12.75" customHeight="1" x14ac:dyDescent="0.2">
      <c r="A41" s="89">
        <v>45033</v>
      </c>
      <c r="B41" s="91" t="s">
        <v>11</v>
      </c>
      <c r="C41" s="76" t="s">
        <v>111</v>
      </c>
      <c r="D41" s="116" t="s">
        <v>29</v>
      </c>
      <c r="E41" s="31"/>
      <c r="F41" s="2">
        <v>15995123.670000002</v>
      </c>
      <c r="G41" s="30"/>
      <c r="I41" s="13"/>
      <c r="J41" s="13"/>
    </row>
    <row r="42" spans="1:10" s="2" customFormat="1" ht="12.75" customHeight="1" x14ac:dyDescent="0.2">
      <c r="A42" s="89">
        <v>45033</v>
      </c>
      <c r="B42" s="91" t="s">
        <v>11</v>
      </c>
      <c r="C42" s="76" t="s">
        <v>109</v>
      </c>
      <c r="D42" s="116" t="s">
        <v>29</v>
      </c>
      <c r="E42" s="31"/>
      <c r="F42" s="2">
        <v>1706744</v>
      </c>
      <c r="G42" s="30"/>
      <c r="I42" s="13"/>
      <c r="J42" s="13"/>
    </row>
    <row r="43" spans="1:10" s="2" customFormat="1" ht="12.75" customHeight="1" x14ac:dyDescent="0.2">
      <c r="A43" s="89">
        <v>45033</v>
      </c>
      <c r="B43" s="91" t="s">
        <v>11</v>
      </c>
      <c r="C43" s="76" t="s">
        <v>243</v>
      </c>
      <c r="D43" s="116" t="s">
        <v>29</v>
      </c>
      <c r="E43" s="31"/>
      <c r="F43" s="2">
        <v>2824.92</v>
      </c>
      <c r="G43" s="30"/>
      <c r="I43" s="13"/>
      <c r="J43" s="13"/>
    </row>
    <row r="44" spans="1:10" s="2" customFormat="1" ht="12.75" customHeight="1" x14ac:dyDescent="0.2">
      <c r="A44" s="89">
        <v>45033</v>
      </c>
      <c r="B44" s="91" t="s">
        <v>11</v>
      </c>
      <c r="C44" s="76" t="s">
        <v>823</v>
      </c>
      <c r="D44" s="116" t="s">
        <v>29</v>
      </c>
      <c r="E44" s="31"/>
      <c r="F44" s="2">
        <v>9665</v>
      </c>
      <c r="G44" s="30"/>
      <c r="I44" s="13"/>
      <c r="J44" s="13"/>
    </row>
    <row r="45" spans="1:10" s="2" customFormat="1" ht="12.75" customHeight="1" x14ac:dyDescent="0.2">
      <c r="A45" s="89">
        <v>45033</v>
      </c>
      <c r="B45" s="91" t="s">
        <v>11</v>
      </c>
      <c r="C45" s="76" t="s">
        <v>800</v>
      </c>
      <c r="D45" s="116" t="s">
        <v>29</v>
      </c>
      <c r="E45" s="31"/>
      <c r="F45" s="2">
        <v>15312</v>
      </c>
      <c r="G45" s="30"/>
      <c r="I45" s="13"/>
      <c r="J45" s="13"/>
    </row>
    <row r="46" spans="1:10" s="2" customFormat="1" ht="12.75" customHeight="1" x14ac:dyDescent="0.2">
      <c r="A46" s="89">
        <v>45033</v>
      </c>
      <c r="B46" s="91" t="s">
        <v>11</v>
      </c>
      <c r="C46" s="76" t="s">
        <v>57</v>
      </c>
      <c r="D46" s="116" t="s">
        <v>29</v>
      </c>
      <c r="E46" s="31"/>
      <c r="F46" s="2">
        <v>6000000</v>
      </c>
      <c r="G46" s="30"/>
      <c r="I46" s="13"/>
      <c r="J46" s="13"/>
    </row>
    <row r="47" spans="1:10" s="2" customFormat="1" ht="12.75" customHeight="1" x14ac:dyDescent="0.2">
      <c r="A47" s="89">
        <v>45033</v>
      </c>
      <c r="B47" s="91" t="s">
        <v>11</v>
      </c>
      <c r="C47" s="76" t="s">
        <v>629</v>
      </c>
      <c r="D47" s="116" t="s">
        <v>29</v>
      </c>
      <c r="E47" s="31"/>
      <c r="F47" s="2">
        <v>90860</v>
      </c>
      <c r="G47" s="30"/>
      <c r="I47" s="13"/>
      <c r="J47" s="13"/>
    </row>
    <row r="48" spans="1:10" s="2" customFormat="1" ht="12.75" customHeight="1" x14ac:dyDescent="0.2">
      <c r="A48" s="89">
        <v>45033</v>
      </c>
      <c r="B48" s="91" t="s">
        <v>11</v>
      </c>
      <c r="C48" s="76" t="s">
        <v>802</v>
      </c>
      <c r="D48" s="116" t="s">
        <v>29</v>
      </c>
      <c r="E48" s="31"/>
      <c r="F48" s="2">
        <v>19169</v>
      </c>
      <c r="G48" s="30"/>
      <c r="I48" s="13"/>
      <c r="J48" s="13"/>
    </row>
    <row r="49" spans="1:14" s="2" customFormat="1" ht="12.75" customHeight="1" x14ac:dyDescent="0.2">
      <c r="A49" s="89">
        <v>45033</v>
      </c>
      <c r="B49" s="91" t="s">
        <v>11</v>
      </c>
      <c r="C49" s="76" t="s">
        <v>407</v>
      </c>
      <c r="D49" s="116" t="s">
        <v>29</v>
      </c>
      <c r="E49" s="31"/>
      <c r="F49" s="2">
        <v>10620</v>
      </c>
      <c r="G49" s="30"/>
      <c r="I49" s="13"/>
      <c r="J49" s="13"/>
    </row>
    <row r="50" spans="1:14" s="2" customFormat="1" ht="12.75" customHeight="1" x14ac:dyDescent="0.2">
      <c r="A50" s="89">
        <v>45033</v>
      </c>
      <c r="B50" s="91" t="s">
        <v>11</v>
      </c>
      <c r="C50" s="76" t="s">
        <v>512</v>
      </c>
      <c r="D50" s="116" t="s">
        <v>29</v>
      </c>
      <c r="E50" s="31"/>
      <c r="F50" s="2">
        <v>15346</v>
      </c>
      <c r="G50" s="30"/>
      <c r="I50" s="13"/>
      <c r="J50" s="13"/>
    </row>
    <row r="51" spans="1:14" s="2" customFormat="1" ht="12.75" customHeight="1" x14ac:dyDescent="0.2">
      <c r="A51" s="89">
        <v>45033</v>
      </c>
      <c r="B51" s="91" t="s">
        <v>11</v>
      </c>
      <c r="C51" s="76" t="s">
        <v>541</v>
      </c>
      <c r="D51" s="116" t="s">
        <v>29</v>
      </c>
      <c r="E51" s="31"/>
      <c r="F51" s="2">
        <v>16811</v>
      </c>
      <c r="G51" s="30"/>
      <c r="I51" s="13"/>
      <c r="J51" s="13"/>
    </row>
    <row r="52" spans="1:14" s="2" customFormat="1" ht="12.75" customHeight="1" x14ac:dyDescent="0.2">
      <c r="A52" s="89">
        <v>45033</v>
      </c>
      <c r="B52" s="91" t="s">
        <v>11</v>
      </c>
      <c r="C52" s="76" t="s">
        <v>262</v>
      </c>
      <c r="D52" s="116" t="s">
        <v>29</v>
      </c>
      <c r="E52" s="31"/>
      <c r="F52" s="2">
        <v>30682.5</v>
      </c>
      <c r="G52" s="30"/>
      <c r="I52" s="13"/>
      <c r="J52" s="13"/>
    </row>
    <row r="53" spans="1:14" s="2" customFormat="1" ht="12.75" customHeight="1" x14ac:dyDescent="0.2">
      <c r="A53" s="89">
        <v>45033</v>
      </c>
      <c r="B53" s="91" t="s">
        <v>11</v>
      </c>
      <c r="C53" s="76" t="s">
        <v>602</v>
      </c>
      <c r="D53" s="116" t="s">
        <v>29</v>
      </c>
      <c r="E53" s="31"/>
      <c r="F53" s="31">
        <v>10232</v>
      </c>
      <c r="G53" s="30"/>
      <c r="I53" s="13"/>
      <c r="J53" s="13"/>
    </row>
    <row r="54" spans="1:14" s="2" customFormat="1" ht="12.75" customHeight="1" x14ac:dyDescent="0.2">
      <c r="A54" s="89">
        <v>45033</v>
      </c>
      <c r="B54" s="91" t="s">
        <v>11</v>
      </c>
      <c r="C54" s="76" t="s">
        <v>883</v>
      </c>
      <c r="D54" s="116" t="s">
        <v>29</v>
      </c>
      <c r="E54" s="31"/>
      <c r="F54" s="31">
        <v>11706</v>
      </c>
      <c r="G54" s="30"/>
      <c r="I54" s="13"/>
      <c r="J54" s="13"/>
    </row>
    <row r="55" spans="1:14" s="2" customFormat="1" ht="12.75" customHeight="1" x14ac:dyDescent="0.2">
      <c r="A55" s="89">
        <v>45033</v>
      </c>
      <c r="B55" s="91" t="s">
        <v>11</v>
      </c>
      <c r="C55" s="76" t="s">
        <v>792</v>
      </c>
      <c r="D55" s="116" t="s">
        <v>29</v>
      </c>
      <c r="E55" s="31"/>
      <c r="F55" s="31">
        <v>84918</v>
      </c>
      <c r="G55" s="30"/>
      <c r="I55" s="13" t="s">
        <v>396</v>
      </c>
      <c r="J55" s="13"/>
    </row>
    <row r="56" spans="1:14" s="2" customFormat="1" ht="12.75" customHeight="1" x14ac:dyDescent="0.2">
      <c r="A56" s="89">
        <v>45033</v>
      </c>
      <c r="B56" s="91" t="s">
        <v>11</v>
      </c>
      <c r="C56" s="76" t="s">
        <v>136</v>
      </c>
      <c r="D56" s="116" t="s">
        <v>29</v>
      </c>
      <c r="E56" s="31"/>
      <c r="F56" s="31">
        <v>9257</v>
      </c>
      <c r="G56" s="30"/>
      <c r="I56" s="13" t="s">
        <v>396</v>
      </c>
      <c r="J56" s="13"/>
    </row>
    <row r="57" spans="1:14" s="2" customFormat="1" ht="12.75" customHeight="1" x14ac:dyDescent="0.2">
      <c r="A57" s="89">
        <v>45033</v>
      </c>
      <c r="B57" s="91" t="s">
        <v>11</v>
      </c>
      <c r="C57" s="76" t="s">
        <v>292</v>
      </c>
      <c r="D57" s="116" t="s">
        <v>29</v>
      </c>
      <c r="E57" s="31"/>
      <c r="F57" s="31">
        <v>153.51</v>
      </c>
      <c r="G57" s="30"/>
      <c r="I57" s="13"/>
      <c r="J57" s="13"/>
    </row>
    <row r="58" spans="1:14" s="2" customFormat="1" ht="12.75" customHeight="1" x14ac:dyDescent="0.2">
      <c r="A58" s="89">
        <v>45033</v>
      </c>
      <c r="B58" s="91" t="s">
        <v>11</v>
      </c>
      <c r="C58" s="76" t="s">
        <v>39</v>
      </c>
      <c r="D58" s="116" t="s">
        <v>29</v>
      </c>
      <c r="E58" s="31"/>
      <c r="F58" s="2">
        <v>36162</v>
      </c>
      <c r="G58" s="30"/>
      <c r="I58" s="13"/>
      <c r="J58" s="99" t="s">
        <v>601</v>
      </c>
      <c r="K58" s="99" t="s">
        <v>779</v>
      </c>
    </row>
    <row r="59" spans="1:14" s="2" customFormat="1" ht="12.75" customHeight="1" x14ac:dyDescent="0.25">
      <c r="A59" s="32"/>
      <c r="B59" s="33"/>
      <c r="C59" s="14"/>
      <c r="D59" s="34"/>
      <c r="E59" s="16">
        <f>SUM(E11:E58)</f>
        <v>10005983.35</v>
      </c>
      <c r="F59" s="16">
        <f>SUM(F11:F58)</f>
        <v>366110894.64000028</v>
      </c>
      <c r="G59" s="30"/>
      <c r="H59" s="1"/>
      <c r="I59" s="39">
        <v>372279055.29000002</v>
      </c>
      <c r="J59" s="2">
        <f>1972203+1220426+1321352+3017518+1289323+6957541</f>
        <v>15778363</v>
      </c>
      <c r="K59" s="92">
        <f>E60-I59</f>
        <v>-16174143.999999762</v>
      </c>
      <c r="L59" s="41"/>
      <c r="M59" s="42">
        <f>K59+J59</f>
        <v>-395780.99999976158</v>
      </c>
      <c r="N59" s="1"/>
    </row>
    <row r="60" spans="1:14" s="2" customFormat="1" x14ac:dyDescent="0.2">
      <c r="A60" s="36"/>
      <c r="B60" s="28" t="s">
        <v>11</v>
      </c>
      <c r="C60" s="19" t="s">
        <v>65</v>
      </c>
      <c r="D60" s="37"/>
      <c r="E60" s="38">
        <f>F59-E59</f>
        <v>356104911.29000026</v>
      </c>
      <c r="F60" s="22"/>
      <c r="G60" s="1"/>
      <c r="H60" s="1"/>
      <c r="J60" s="1"/>
      <c r="K60" s="1"/>
      <c r="L60" s="1"/>
      <c r="M60" s="1"/>
      <c r="N60" s="1"/>
    </row>
    <row r="61" spans="1:14" x14ac:dyDescent="0.2">
      <c r="A61" s="36"/>
      <c r="B61" s="28" t="s">
        <v>66</v>
      </c>
      <c r="C61" s="43" t="s">
        <v>67</v>
      </c>
      <c r="D61" s="43"/>
      <c r="E61" s="12">
        <v>0</v>
      </c>
      <c r="F61" s="22"/>
      <c r="H61" s="40"/>
      <c r="I61" s="45">
        <v>1286.99</v>
      </c>
      <c r="J61" s="46"/>
      <c r="K61" s="46"/>
      <c r="L61" s="13"/>
      <c r="M61" s="2"/>
      <c r="N61" s="2"/>
    </row>
    <row r="62" spans="1:14" ht="15" x14ac:dyDescent="0.25">
      <c r="A62" s="36"/>
      <c r="B62" s="28"/>
      <c r="C62" s="44" t="s">
        <v>68</v>
      </c>
      <c r="D62" s="43"/>
      <c r="E62" s="7">
        <f>E60+E61</f>
        <v>356104911.29000026</v>
      </c>
      <c r="F62" s="22"/>
      <c r="H62" s="103" t="s">
        <v>69</v>
      </c>
      <c r="I62" s="45">
        <v>-12.48</v>
      </c>
      <c r="J62" s="46"/>
      <c r="K62" s="46"/>
      <c r="L62" s="2"/>
      <c r="M62" s="2"/>
      <c r="N62" s="2"/>
    </row>
    <row r="63" spans="1:14" s="2" customFormat="1" x14ac:dyDescent="0.2">
      <c r="A63" s="24"/>
      <c r="B63" s="1"/>
      <c r="C63" s="14"/>
      <c r="D63" s="25"/>
      <c r="E63" s="1"/>
      <c r="H63" s="35" t="s">
        <v>70</v>
      </c>
      <c r="I63" s="45">
        <v>0</v>
      </c>
      <c r="J63" s="46">
        <f>+I64-D66</f>
        <v>0</v>
      </c>
      <c r="M63" s="2">
        <v>19.57</v>
      </c>
      <c r="N63" s="2" t="s">
        <v>535</v>
      </c>
    </row>
    <row r="64" spans="1:14" s="2" customFormat="1" x14ac:dyDescent="0.2">
      <c r="A64" s="24"/>
      <c r="B64" s="1"/>
      <c r="C64" s="56"/>
      <c r="D64" s="56"/>
      <c r="E64" s="104"/>
      <c r="G64" s="1"/>
      <c r="I64" s="49">
        <f>SUM(I61:I63)</f>
        <v>1274.51</v>
      </c>
      <c r="J64" s="46"/>
      <c r="K64" s="46"/>
    </row>
    <row r="65" spans="1:13" s="2" customFormat="1" x14ac:dyDescent="0.2">
      <c r="A65" s="24"/>
      <c r="B65" s="1"/>
      <c r="C65" s="78" t="s">
        <v>575</v>
      </c>
      <c r="D65" s="48" t="s">
        <v>576</v>
      </c>
      <c r="E65" s="104"/>
      <c r="G65" s="1"/>
    </row>
    <row r="66" spans="1:13" s="2" customFormat="1" x14ac:dyDescent="0.2">
      <c r="A66" s="24"/>
      <c r="B66" s="1"/>
      <c r="C66" s="47" t="s">
        <v>570</v>
      </c>
      <c r="D66" s="111">
        <v>1274.51</v>
      </c>
      <c r="E66" s="104"/>
      <c r="G66" s="1"/>
      <c r="H66" s="110" t="s">
        <v>581</v>
      </c>
    </row>
    <row r="67" spans="1:13" s="2" customFormat="1" x14ac:dyDescent="0.2">
      <c r="A67" s="24"/>
      <c r="B67" s="1"/>
      <c r="C67" s="47" t="s">
        <v>571</v>
      </c>
      <c r="D67" s="111">
        <v>10.41</v>
      </c>
      <c r="E67" s="104"/>
      <c r="G67" s="1"/>
      <c r="H67" s="110" t="s">
        <v>580</v>
      </c>
    </row>
    <row r="68" spans="1:13" s="2" customFormat="1" x14ac:dyDescent="0.2">
      <c r="A68" s="24"/>
      <c r="B68" s="1"/>
      <c r="C68" s="47" t="s">
        <v>572</v>
      </c>
      <c r="D68" s="111">
        <f>+D97/100000</f>
        <v>140.70823999999999</v>
      </c>
      <c r="E68" s="104"/>
      <c r="G68" s="1"/>
      <c r="H68" s="90" t="s">
        <v>587</v>
      </c>
    </row>
    <row r="69" spans="1:13" s="2" customFormat="1" x14ac:dyDescent="0.2">
      <c r="A69" s="24"/>
      <c r="B69" s="1"/>
      <c r="C69" s="108" t="s">
        <v>578</v>
      </c>
      <c r="D69" s="48">
        <f>SUM(D66:D68)</f>
        <v>1425.62824</v>
      </c>
      <c r="E69" s="104"/>
      <c r="G69" s="1"/>
    </row>
    <row r="70" spans="1:13" s="2" customFormat="1" x14ac:dyDescent="0.2">
      <c r="A70" s="24"/>
      <c r="B70" s="1"/>
      <c r="C70" s="47"/>
      <c r="D70" s="107"/>
      <c r="E70" s="104"/>
      <c r="G70" s="1"/>
    </row>
    <row r="71" spans="1:13" s="2" customFormat="1" x14ac:dyDescent="0.2">
      <c r="A71" s="24"/>
      <c r="B71" s="1"/>
      <c r="C71" s="47" t="s">
        <v>573</v>
      </c>
      <c r="D71" s="111">
        <v>3.36</v>
      </c>
      <c r="E71" s="104"/>
      <c r="G71" s="1"/>
      <c r="H71" s="110" t="s">
        <v>581</v>
      </c>
    </row>
    <row r="72" spans="1:13" s="2" customFormat="1" x14ac:dyDescent="0.2">
      <c r="A72" s="24"/>
      <c r="B72" s="1"/>
      <c r="C72" s="47" t="s">
        <v>574</v>
      </c>
      <c r="D72" s="111">
        <f>378.43-18.21</f>
        <v>360.22</v>
      </c>
      <c r="E72" s="104"/>
      <c r="G72" s="1"/>
      <c r="H72" s="110" t="s">
        <v>581</v>
      </c>
      <c r="J72" s="114" t="s">
        <v>713</v>
      </c>
    </row>
    <row r="73" spans="1:13" s="2" customFormat="1" x14ac:dyDescent="0.2">
      <c r="A73" s="24"/>
      <c r="B73" s="1"/>
      <c r="C73" s="78" t="s">
        <v>579</v>
      </c>
      <c r="D73" s="109">
        <f>D71+D72</f>
        <v>363.58000000000004</v>
      </c>
      <c r="E73" s="104"/>
      <c r="G73" s="1"/>
      <c r="I73" s="113"/>
      <c r="J73" s="113" t="s">
        <v>709</v>
      </c>
      <c r="K73" s="113" t="s">
        <v>710</v>
      </c>
      <c r="L73" s="113" t="s">
        <v>711</v>
      </c>
      <c r="M73" s="113" t="s">
        <v>712</v>
      </c>
    </row>
    <row r="74" spans="1:13" s="2" customFormat="1" x14ac:dyDescent="0.2">
      <c r="A74" s="24"/>
      <c r="B74" s="1"/>
      <c r="C74" s="105"/>
      <c r="D74" s="106"/>
      <c r="E74" s="104"/>
      <c r="G74" s="1"/>
      <c r="I74" s="113" t="s">
        <v>706</v>
      </c>
      <c r="J74" s="115"/>
      <c r="K74" s="115">
        <v>968.99</v>
      </c>
      <c r="L74" s="115">
        <v>968.99</v>
      </c>
      <c r="M74" s="113">
        <f>+J74+L74-K74</f>
        <v>0</v>
      </c>
    </row>
    <row r="75" spans="1:13" s="2" customFormat="1" x14ac:dyDescent="0.2">
      <c r="A75" s="24"/>
      <c r="B75" s="1"/>
      <c r="C75" s="78" t="s">
        <v>577</v>
      </c>
      <c r="D75" s="109">
        <f>D66+D73</f>
        <v>1638.0900000000001</v>
      </c>
      <c r="E75" s="104"/>
      <c r="G75" s="1"/>
      <c r="I75" s="113" t="s">
        <v>707</v>
      </c>
      <c r="J75" s="115">
        <v>183.1</v>
      </c>
      <c r="K75" s="115">
        <v>1451.95</v>
      </c>
      <c r="L75" s="115">
        <v>1918.57</v>
      </c>
      <c r="M75" s="113">
        <f>+J75+L75-K75</f>
        <v>649.72</v>
      </c>
    </row>
    <row r="76" spans="1:13" s="2" customFormat="1" x14ac:dyDescent="0.2">
      <c r="A76" s="24"/>
      <c r="B76" s="1"/>
      <c r="C76" s="56"/>
      <c r="D76" s="56"/>
      <c r="E76" s="104"/>
      <c r="G76" s="1"/>
      <c r="I76" s="113" t="s">
        <v>708</v>
      </c>
      <c r="J76" s="115">
        <v>1371.02</v>
      </c>
      <c r="K76" s="115">
        <v>10098.43</v>
      </c>
      <c r="L76" s="115">
        <v>10671.73</v>
      </c>
      <c r="M76" s="113">
        <f>+J76+L76-K76</f>
        <v>1944.3199999999997</v>
      </c>
    </row>
    <row r="77" spans="1:13" s="2" customFormat="1" ht="38.25" x14ac:dyDescent="0.2">
      <c r="A77" s="24"/>
      <c r="B77" s="1"/>
      <c r="C77" s="79" t="str">
        <f>"Particulars ( 01-04-2021 to "&amp;TEXT(A5,"dd-mm-yyyy")&amp;" )"</f>
        <v>Particulars ( 01-04-2021 to 17-04-2023 )</v>
      </c>
      <c r="D77" s="80" t="s">
        <v>73</v>
      </c>
      <c r="E77" s="80" t="s">
        <v>74</v>
      </c>
      <c r="F77" s="81" t="s">
        <v>75</v>
      </c>
      <c r="G77" s="80" t="s">
        <v>76</v>
      </c>
      <c r="J77" s="118">
        <f>SUM(J74:J76)</f>
        <v>1554.12</v>
      </c>
      <c r="K77" s="118">
        <f>SUM(K74:K76)</f>
        <v>12519.37</v>
      </c>
      <c r="L77" s="118">
        <f>SUM(L74:L76)</f>
        <v>13559.289999999999</v>
      </c>
      <c r="M77" s="118">
        <f>SUM(M74:M76)</f>
        <v>2594.04</v>
      </c>
    </row>
    <row r="78" spans="1:13" s="2" customFormat="1" x14ac:dyDescent="0.2">
      <c r="A78" s="24"/>
      <c r="B78" s="1"/>
      <c r="C78" s="50" t="s">
        <v>444</v>
      </c>
      <c r="D78" s="55">
        <f>+L74+L75+J75</f>
        <v>3070.66</v>
      </c>
      <c r="E78" s="55">
        <f>+K74+K75</f>
        <v>2420.94</v>
      </c>
      <c r="F78" s="55">
        <f>+D78-E78</f>
        <v>649.7199999999998</v>
      </c>
      <c r="G78" s="55">
        <f>1500-F78</f>
        <v>850.2800000000002</v>
      </c>
      <c r="H78" s="2" t="s">
        <v>396</v>
      </c>
    </row>
    <row r="79" spans="1:13" s="2" customFormat="1" x14ac:dyDescent="0.2">
      <c r="A79" s="24"/>
      <c r="B79" s="1"/>
      <c r="C79" s="50" t="s">
        <v>71</v>
      </c>
      <c r="D79" s="55">
        <f>+J76+L76</f>
        <v>12042.75</v>
      </c>
      <c r="E79" s="55">
        <f>+K76</f>
        <v>10098.43</v>
      </c>
      <c r="F79" s="55">
        <f>+D79-E79</f>
        <v>1944.3199999999997</v>
      </c>
      <c r="G79" s="55">
        <f>1500+700-F79</f>
        <v>255.68000000000029</v>
      </c>
      <c r="H79" s="2" t="s">
        <v>396</v>
      </c>
    </row>
    <row r="80" spans="1:13" s="2" customFormat="1" x14ac:dyDescent="0.2">
      <c r="A80" s="24"/>
      <c r="B80" s="1"/>
      <c r="C80" s="14"/>
      <c r="D80" s="56"/>
      <c r="E80" s="13"/>
      <c r="G80" s="1"/>
    </row>
    <row r="81" spans="1:13" s="2" customFormat="1" x14ac:dyDescent="0.2">
      <c r="A81" s="215" t="s">
        <v>80</v>
      </c>
      <c r="B81" s="216"/>
      <c r="C81" s="216"/>
      <c r="D81" s="217"/>
      <c r="E81" s="69"/>
      <c r="F81" s="70"/>
      <c r="G81" s="1"/>
      <c r="H81" s="53"/>
    </row>
    <row r="82" spans="1:13" s="2" customFormat="1" x14ac:dyDescent="0.2">
      <c r="A82" s="71" t="s">
        <v>81</v>
      </c>
      <c r="B82" s="71"/>
      <c r="C82" s="72" t="s">
        <v>82</v>
      </c>
      <c r="D82" s="73" t="s">
        <v>83</v>
      </c>
      <c r="E82" s="69"/>
      <c r="F82" s="70"/>
      <c r="H82" s="53"/>
    </row>
    <row r="83" spans="1:13" s="2" customFormat="1" x14ac:dyDescent="0.2">
      <c r="A83" s="87">
        <v>45017</v>
      </c>
      <c r="B83" s="120" t="s">
        <v>6</v>
      </c>
      <c r="C83" s="75" t="s">
        <v>282</v>
      </c>
      <c r="D83" s="88">
        <v>12220</v>
      </c>
      <c r="G83" s="1"/>
      <c r="L83" s="1"/>
      <c r="M83" s="1"/>
    </row>
    <row r="84" spans="1:13" s="2" customFormat="1" x14ac:dyDescent="0.2">
      <c r="A84" s="87">
        <v>45020</v>
      </c>
      <c r="B84" s="120" t="s">
        <v>6</v>
      </c>
      <c r="C84" s="75" t="s">
        <v>271</v>
      </c>
      <c r="D84" s="88">
        <v>584074</v>
      </c>
      <c r="G84" s="1"/>
      <c r="L84" s="1"/>
      <c r="M84" s="1"/>
    </row>
    <row r="85" spans="1:13" s="2" customFormat="1" x14ac:dyDescent="0.2">
      <c r="A85" s="87">
        <v>45022</v>
      </c>
      <c r="B85" s="120" t="s">
        <v>6</v>
      </c>
      <c r="C85" s="75" t="s">
        <v>784</v>
      </c>
      <c r="D85" s="88">
        <v>283512</v>
      </c>
      <c r="G85" s="1"/>
      <c r="L85" s="1"/>
      <c r="M85" s="1"/>
    </row>
    <row r="86" spans="1:13" s="2" customFormat="1" x14ac:dyDescent="0.2">
      <c r="A86" s="87">
        <v>45022</v>
      </c>
      <c r="B86" s="120" t="s">
        <v>6</v>
      </c>
      <c r="C86" s="75" t="s">
        <v>84</v>
      </c>
      <c r="D86" s="88">
        <v>2500000</v>
      </c>
      <c r="G86" s="1"/>
      <c r="L86" s="1"/>
      <c r="M86" s="1"/>
    </row>
    <row r="87" spans="1:13" s="2" customFormat="1" x14ac:dyDescent="0.2">
      <c r="A87" s="87">
        <v>45023</v>
      </c>
      <c r="B87" s="120" t="s">
        <v>6</v>
      </c>
      <c r="C87" s="75" t="s">
        <v>270</v>
      </c>
      <c r="D87" s="88">
        <v>33748</v>
      </c>
      <c r="G87" s="1"/>
      <c r="L87" s="1"/>
      <c r="M87" s="1"/>
    </row>
    <row r="88" spans="1:13" s="2" customFormat="1" x14ac:dyDescent="0.2">
      <c r="A88" s="87">
        <v>45023</v>
      </c>
      <c r="B88" s="120" t="s">
        <v>6</v>
      </c>
      <c r="C88" s="75" t="s">
        <v>270</v>
      </c>
      <c r="D88" s="88">
        <v>114918</v>
      </c>
      <c r="G88" s="1"/>
      <c r="L88" s="1"/>
      <c r="M88" s="1"/>
    </row>
    <row r="89" spans="1:13" s="2" customFormat="1" x14ac:dyDescent="0.2">
      <c r="A89" s="87">
        <v>45027</v>
      </c>
      <c r="B89" s="120" t="s">
        <v>6</v>
      </c>
      <c r="C89" s="75" t="s">
        <v>767</v>
      </c>
      <c r="D89" s="88">
        <v>2093169</v>
      </c>
      <c r="G89" s="1"/>
      <c r="L89" s="1"/>
      <c r="M89" s="1"/>
    </row>
    <row r="90" spans="1:13" s="2" customFormat="1" x14ac:dyDescent="0.2">
      <c r="A90" s="87">
        <v>45027</v>
      </c>
      <c r="B90" s="120" t="s">
        <v>6</v>
      </c>
      <c r="C90" s="75" t="s">
        <v>594</v>
      </c>
      <c r="D90" s="88">
        <v>2500000</v>
      </c>
      <c r="G90" s="1"/>
      <c r="L90" s="1"/>
      <c r="M90" s="1"/>
    </row>
    <row r="91" spans="1:13" s="2" customFormat="1" x14ac:dyDescent="0.2">
      <c r="A91" s="87">
        <v>45028</v>
      </c>
      <c r="B91" s="120" t="s">
        <v>6</v>
      </c>
      <c r="C91" s="75" t="s">
        <v>84</v>
      </c>
      <c r="D91" s="88">
        <v>4000000</v>
      </c>
      <c r="G91" s="1"/>
      <c r="L91" s="1"/>
      <c r="M91" s="1"/>
    </row>
    <row r="92" spans="1:13" s="2" customFormat="1" x14ac:dyDescent="0.2">
      <c r="A92" s="87">
        <v>45028</v>
      </c>
      <c r="B92" s="120" t="s">
        <v>6</v>
      </c>
      <c r="C92" s="75" t="s">
        <v>606</v>
      </c>
      <c r="D92" s="88">
        <v>103240</v>
      </c>
      <c r="G92" s="1"/>
      <c r="L92" s="1"/>
      <c r="M92" s="1"/>
    </row>
    <row r="93" spans="1:13" s="2" customFormat="1" x14ac:dyDescent="0.2">
      <c r="A93" s="87">
        <v>45029</v>
      </c>
      <c r="B93" s="120" t="s">
        <v>6</v>
      </c>
      <c r="C93" s="75" t="s">
        <v>784</v>
      </c>
      <c r="D93" s="88">
        <v>451698</v>
      </c>
      <c r="G93" s="1"/>
      <c r="L93" s="1"/>
      <c r="M93" s="1"/>
    </row>
    <row r="94" spans="1:13" s="2" customFormat="1" x14ac:dyDescent="0.2">
      <c r="A94" s="87">
        <v>45030</v>
      </c>
      <c r="B94" s="120" t="s">
        <v>6</v>
      </c>
      <c r="C94" s="75" t="s">
        <v>270</v>
      </c>
      <c r="D94" s="88">
        <v>655766</v>
      </c>
      <c r="G94" s="1"/>
      <c r="L94" s="1"/>
      <c r="M94" s="1"/>
    </row>
    <row r="95" spans="1:13" s="2" customFormat="1" x14ac:dyDescent="0.2">
      <c r="A95" s="87">
        <v>45031</v>
      </c>
      <c r="B95" s="120" t="s">
        <v>6</v>
      </c>
      <c r="C95" s="75" t="s">
        <v>784</v>
      </c>
      <c r="D95" s="88">
        <v>539800</v>
      </c>
      <c r="G95" s="1"/>
      <c r="L95" s="1"/>
      <c r="M95" s="1"/>
    </row>
    <row r="96" spans="1:13" s="2" customFormat="1" x14ac:dyDescent="0.2">
      <c r="A96" s="87">
        <v>45031</v>
      </c>
      <c r="B96" s="120" t="s">
        <v>6</v>
      </c>
      <c r="C96" s="75" t="s">
        <v>784</v>
      </c>
      <c r="D96" s="88">
        <v>198679</v>
      </c>
      <c r="G96" s="1"/>
      <c r="L96" s="1"/>
      <c r="M96" s="1"/>
    </row>
    <row r="97" spans="1:13" s="2" customFormat="1" x14ac:dyDescent="0.2">
      <c r="A97" s="87"/>
      <c r="B97" s="74"/>
      <c r="C97" s="75"/>
      <c r="D97" s="51">
        <f>SUM(D83:D96)</f>
        <v>14070824</v>
      </c>
      <c r="F97" s="2" t="s">
        <v>396</v>
      </c>
      <c r="G97" s="1"/>
      <c r="I97" s="1"/>
      <c r="J97" s="1"/>
      <c r="K97" s="1"/>
      <c r="L97" s="1"/>
      <c r="M97" s="1"/>
    </row>
    <row r="98" spans="1:13" s="2" customFormat="1" x14ac:dyDescent="0.2">
      <c r="A98" s="8"/>
      <c r="B98" s="93"/>
      <c r="C98" s="76"/>
      <c r="D98" s="56"/>
      <c r="G98" s="1"/>
      <c r="I98" s="1"/>
      <c r="J98" s="1"/>
      <c r="K98" s="1"/>
      <c r="L98" s="1"/>
      <c r="M98" s="1"/>
    </row>
    <row r="99" spans="1:13" s="2" customFormat="1" x14ac:dyDescent="0.2">
      <c r="A99" s="24"/>
      <c r="B99" s="1"/>
      <c r="C99" s="218" t="s">
        <v>77</v>
      </c>
      <c r="D99" s="219"/>
      <c r="E99" s="219"/>
      <c r="F99" s="220"/>
      <c r="G99" s="54"/>
      <c r="I99" s="1"/>
      <c r="J99" s="1"/>
      <c r="K99" s="1"/>
      <c r="L99" s="1"/>
      <c r="M99" s="1"/>
    </row>
    <row r="100" spans="1:13" s="2" customFormat="1" x14ac:dyDescent="0.2">
      <c r="A100" s="24"/>
      <c r="B100" s="1"/>
      <c r="C100" s="50"/>
      <c r="D100" s="57" t="s">
        <v>78</v>
      </c>
      <c r="E100" s="58" t="s">
        <v>79</v>
      </c>
      <c r="F100" s="57" t="s">
        <v>72</v>
      </c>
      <c r="G100" s="54"/>
      <c r="I100" s="1"/>
      <c r="J100" s="1"/>
      <c r="K100" s="1"/>
      <c r="L100" s="1"/>
      <c r="M100" s="1"/>
    </row>
    <row r="101" spans="1:13" s="2" customFormat="1" x14ac:dyDescent="0.2">
      <c r="A101" s="24"/>
      <c r="B101" s="1"/>
      <c r="C101" s="59" t="str">
        <f>"01-04-2023 to "&amp;TEXT(A5-2,"dd-mm-yyyy")</f>
        <v>01-04-2023 to 15-04-2023</v>
      </c>
      <c r="D101" s="60">
        <v>2200.59</v>
      </c>
      <c r="E101" s="60">
        <v>283.98</v>
      </c>
      <c r="F101" s="61">
        <f>SUM(D101:E101)</f>
        <v>2484.5700000000002</v>
      </c>
      <c r="G101" s="54"/>
      <c r="I101" s="1"/>
      <c r="J101" s="1"/>
      <c r="K101" s="1"/>
      <c r="L101" s="1"/>
      <c r="M101" s="1"/>
    </row>
    <row r="102" spans="1:13" s="2" customFormat="1" x14ac:dyDescent="0.2">
      <c r="A102" s="24"/>
      <c r="B102" s="1"/>
      <c r="C102" s="62" t="str">
        <f>TEXT(A5-1,"dd-mm-yyyy")</f>
        <v>16-04-2023</v>
      </c>
      <c r="D102" s="60">
        <v>45.24</v>
      </c>
      <c r="E102" s="60">
        <v>5.15</v>
      </c>
      <c r="F102" s="61">
        <f>SUM(D102:E102)</f>
        <v>50.39</v>
      </c>
      <c r="G102" s="54"/>
      <c r="I102" s="1"/>
      <c r="J102" s="1"/>
      <c r="K102" s="1"/>
      <c r="L102" s="1"/>
      <c r="M102" s="1"/>
    </row>
    <row r="103" spans="1:13" ht="13.5" thickBot="1" x14ac:dyDescent="0.25">
      <c r="C103" s="63" t="str">
        <f>"01-04-2023 to "&amp;TEXT(A5-1,"dd-mm-yyyy")</f>
        <v>01-04-2023 to 16-04-2023</v>
      </c>
      <c r="D103" s="64">
        <f>SUM(D101:D102)</f>
        <v>2245.83</v>
      </c>
      <c r="E103" s="64">
        <f>SUM(E101:E102)</f>
        <v>289.13</v>
      </c>
      <c r="F103" s="64">
        <f>SUM(F101:F102)</f>
        <v>2534.96</v>
      </c>
      <c r="G103" s="54"/>
    </row>
    <row r="104" spans="1:13" s="2" customFormat="1" ht="13.5" thickTop="1" x14ac:dyDescent="0.2">
      <c r="A104" s="24"/>
      <c r="B104" s="1"/>
      <c r="C104" s="62"/>
      <c r="D104" s="65"/>
      <c r="E104" s="66"/>
      <c r="F104" s="67"/>
      <c r="G104" s="54"/>
      <c r="H104" s="53"/>
    </row>
    <row r="105" spans="1:13" x14ac:dyDescent="0.2">
      <c r="C105" s="62" t="str">
        <f>"01-04-2023 to " &amp;C102</f>
        <v>01-04-2023 to 16-04-2023</v>
      </c>
      <c r="D105" s="68">
        <f>+D103</f>
        <v>2245.83</v>
      </c>
      <c r="E105" s="68">
        <f>+E103</f>
        <v>289.13</v>
      </c>
      <c r="F105" s="68">
        <f>+F103</f>
        <v>2534.96</v>
      </c>
      <c r="G105" s="54"/>
      <c r="H105" s="53" t="s">
        <v>396</v>
      </c>
    </row>
    <row r="106" spans="1:13" x14ac:dyDescent="0.2">
      <c r="C106" s="52"/>
      <c r="D106" s="85"/>
      <c r="E106" s="53"/>
      <c r="F106" s="53"/>
      <c r="G106" s="54"/>
      <c r="H106" s="53" t="s">
        <v>396</v>
      </c>
      <c r="J106" s="42"/>
    </row>
    <row r="107" spans="1:13" x14ac:dyDescent="0.2">
      <c r="C107" s="52"/>
      <c r="D107" s="85"/>
      <c r="E107" s="53"/>
      <c r="F107" s="53"/>
      <c r="G107" s="54"/>
      <c r="H107" s="53"/>
      <c r="I107" s="101"/>
    </row>
    <row r="108" spans="1:13" x14ac:dyDescent="0.2">
      <c r="C108" s="52"/>
      <c r="D108" s="85"/>
      <c r="E108" s="53"/>
      <c r="F108" s="53"/>
      <c r="G108" s="54"/>
      <c r="H108" s="53"/>
    </row>
    <row r="109" spans="1:13" x14ac:dyDescent="0.2">
      <c r="C109" s="52"/>
      <c r="D109" s="85"/>
      <c r="E109" s="53"/>
      <c r="F109" s="53"/>
      <c r="G109" s="54"/>
      <c r="H109" s="53"/>
    </row>
    <row r="110" spans="1:13" x14ac:dyDescent="0.2">
      <c r="H110" s="53"/>
    </row>
  </sheetData>
  <mergeCells count="5">
    <mergeCell ref="A1:G1"/>
    <mergeCell ref="A3:F3"/>
    <mergeCell ref="A9:F9"/>
    <mergeCell ref="A81:D81"/>
    <mergeCell ref="C99:F99"/>
  </mergeCells>
  <conditionalFormatting sqref="G78:G79">
    <cfRule type="cellIs" dxfId="631" priority="1" operator="lessThan">
      <formula>0</formula>
    </cfRule>
  </conditionalFormatting>
  <conditionalFormatting sqref="C11">
    <cfRule type="duplicateValues" dxfId="630" priority="2"/>
  </conditionalFormatting>
  <conditionalFormatting sqref="C12:C58">
    <cfRule type="duplicateValues" dxfId="629" priority="440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309">
    <pageSetUpPr fitToPage="1"/>
  </sheetPr>
  <dimension ref="A1:N106"/>
  <sheetViews>
    <sheetView topLeftCell="A10" zoomScaleNormal="100" workbookViewId="0">
      <selection activeCell="C46" sqref="C46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49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884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2.75" customHeight="1" x14ac:dyDescent="0.4">
      <c r="A5" s="89">
        <v>45034</v>
      </c>
      <c r="B5" s="9" t="s">
        <v>6</v>
      </c>
      <c r="C5" s="10" t="s">
        <v>7</v>
      </c>
      <c r="D5" s="11"/>
      <c r="E5" s="12">
        <v>557118.69999999879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557118.69999999879</v>
      </c>
      <c r="F6" s="16">
        <f>SUM(F5:F5)</f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E6-F6</f>
        <v>557118.69999999879</v>
      </c>
      <c r="F7" s="22"/>
      <c r="G7" s="23"/>
      <c r="H7" s="112"/>
      <c r="I7" s="112"/>
      <c r="J7" s="13"/>
    </row>
    <row r="8" spans="1:10" s="2" customFormat="1" ht="12.75" customHeight="1" x14ac:dyDescent="0.4">
      <c r="A8" s="24"/>
      <c r="B8" s="1"/>
      <c r="C8" s="14"/>
      <c r="D8" s="25"/>
      <c r="G8" s="23"/>
      <c r="H8" s="112"/>
      <c r="I8" s="112"/>
      <c r="J8" s="13"/>
    </row>
    <row r="9" spans="1:10" s="2" customFormat="1" ht="21.75" customHeight="1" x14ac:dyDescent="0.4">
      <c r="A9" s="214" t="s">
        <v>10</v>
      </c>
      <c r="B9" s="214"/>
      <c r="C9" s="214"/>
      <c r="D9" s="214"/>
      <c r="E9" s="214"/>
      <c r="F9" s="214"/>
      <c r="G9" s="13"/>
      <c r="H9" s="112"/>
      <c r="I9" s="112"/>
      <c r="J9" s="13"/>
    </row>
    <row r="10" spans="1:10" s="2" customFormat="1" ht="12.75" customHeight="1" x14ac:dyDescent="0.4">
      <c r="A10" s="26" t="s">
        <v>1</v>
      </c>
      <c r="B10" s="27" t="s">
        <v>2</v>
      </c>
      <c r="C10" s="5"/>
      <c r="D10" s="6" t="s">
        <v>3</v>
      </c>
      <c r="E10" s="7" t="s">
        <v>4</v>
      </c>
      <c r="F10" s="7" t="s">
        <v>5</v>
      </c>
      <c r="G10" s="23"/>
      <c r="H10" s="112"/>
      <c r="I10" s="112"/>
      <c r="J10" s="13"/>
    </row>
    <row r="11" spans="1:10" s="2" customFormat="1" ht="12.75" customHeight="1" x14ac:dyDescent="0.2">
      <c r="A11" s="89">
        <v>45034</v>
      </c>
      <c r="B11" s="91" t="s">
        <v>11</v>
      </c>
      <c r="C11" s="29" t="s">
        <v>7</v>
      </c>
      <c r="D11" s="25"/>
      <c r="E11" s="31"/>
      <c r="F11" s="2">
        <v>356104911.29000026</v>
      </c>
      <c r="G11" s="30"/>
      <c r="I11" s="13"/>
      <c r="J11" s="13"/>
    </row>
    <row r="12" spans="1:10" s="2" customFormat="1" ht="12.75" customHeight="1" x14ac:dyDescent="0.2">
      <c r="A12" s="89">
        <v>45034</v>
      </c>
      <c r="B12" s="91" t="s">
        <v>6</v>
      </c>
      <c r="C12" s="76" t="s">
        <v>19</v>
      </c>
      <c r="D12" s="116" t="s">
        <v>13</v>
      </c>
      <c r="E12" s="31">
        <v>2904350</v>
      </c>
      <c r="G12" s="30"/>
      <c r="I12" s="13"/>
      <c r="J12" s="13"/>
    </row>
    <row r="13" spans="1:10" s="2" customFormat="1" ht="12.75" customHeight="1" x14ac:dyDescent="0.2">
      <c r="A13" s="89">
        <v>45034</v>
      </c>
      <c r="B13" s="91" t="s">
        <v>6</v>
      </c>
      <c r="C13" s="76" t="s">
        <v>376</v>
      </c>
      <c r="D13" s="116" t="s">
        <v>13</v>
      </c>
      <c r="E13" s="31">
        <v>1209471</v>
      </c>
      <c r="G13" s="30"/>
      <c r="I13" s="13"/>
      <c r="J13" s="13"/>
    </row>
    <row r="14" spans="1:10" s="2" customFormat="1" ht="12.75" customHeight="1" x14ac:dyDescent="0.2">
      <c r="A14" s="89">
        <v>45034</v>
      </c>
      <c r="B14" s="91" t="s">
        <v>6</v>
      </c>
      <c r="C14" s="76" t="s">
        <v>889</v>
      </c>
      <c r="D14" s="116" t="s">
        <v>13</v>
      </c>
      <c r="E14" s="31">
        <v>53264.68</v>
      </c>
      <c r="G14" s="30"/>
      <c r="I14" s="13"/>
      <c r="J14" s="13"/>
    </row>
    <row r="15" spans="1:10" s="2" customFormat="1" ht="12.75" customHeight="1" x14ac:dyDescent="0.2">
      <c r="A15" s="89">
        <v>45034</v>
      </c>
      <c r="B15" s="91" t="s">
        <v>6</v>
      </c>
      <c r="C15" s="76" t="s">
        <v>17</v>
      </c>
      <c r="D15" s="116" t="s">
        <v>13</v>
      </c>
      <c r="E15" s="31">
        <v>2906476</v>
      </c>
      <c r="G15" s="30"/>
      <c r="I15" s="13"/>
      <c r="J15" s="13"/>
    </row>
    <row r="16" spans="1:10" s="2" customFormat="1" ht="12.75" customHeight="1" x14ac:dyDescent="0.2">
      <c r="A16" s="89">
        <v>45034</v>
      </c>
      <c r="B16" s="91" t="s">
        <v>6</v>
      </c>
      <c r="C16" s="76" t="s">
        <v>761</v>
      </c>
      <c r="D16" s="116" t="s">
        <v>13</v>
      </c>
      <c r="E16" s="31">
        <v>50030</v>
      </c>
      <c r="G16" s="30"/>
      <c r="I16" s="13"/>
      <c r="J16" s="13"/>
    </row>
    <row r="17" spans="1:10" s="2" customFormat="1" ht="12.75" customHeight="1" x14ac:dyDescent="0.2">
      <c r="A17" s="89">
        <v>45034</v>
      </c>
      <c r="B17" s="91" t="s">
        <v>6</v>
      </c>
      <c r="C17" s="76" t="s">
        <v>103</v>
      </c>
      <c r="D17" s="116" t="s">
        <v>13</v>
      </c>
      <c r="E17" s="31">
        <v>314911</v>
      </c>
      <c r="G17" s="30"/>
      <c r="I17" s="13"/>
      <c r="J17" s="13"/>
    </row>
    <row r="18" spans="1:10" s="2" customFormat="1" ht="12.75" customHeight="1" x14ac:dyDescent="0.2">
      <c r="A18" s="89">
        <v>45034</v>
      </c>
      <c r="B18" s="91" t="s">
        <v>6</v>
      </c>
      <c r="C18" s="76" t="s">
        <v>93</v>
      </c>
      <c r="D18" s="116" t="s">
        <v>13</v>
      </c>
      <c r="E18" s="31">
        <v>1074621</v>
      </c>
      <c r="G18" s="30"/>
      <c r="I18" s="13"/>
      <c r="J18" s="13"/>
    </row>
    <row r="19" spans="1:10" s="2" customFormat="1" ht="12.75" customHeight="1" x14ac:dyDescent="0.2">
      <c r="A19" s="89">
        <v>45034</v>
      </c>
      <c r="B19" s="91" t="s">
        <v>6</v>
      </c>
      <c r="C19" s="76" t="s">
        <v>843</v>
      </c>
      <c r="D19" s="116" t="s">
        <v>13</v>
      </c>
      <c r="E19" s="31">
        <v>211165</v>
      </c>
      <c r="G19" s="30"/>
      <c r="I19" s="13"/>
      <c r="J19" s="13"/>
    </row>
    <row r="20" spans="1:10" s="2" customFormat="1" ht="12.75" customHeight="1" x14ac:dyDescent="0.2">
      <c r="A20" s="89">
        <v>45034</v>
      </c>
      <c r="B20" s="91" t="s">
        <v>6</v>
      </c>
      <c r="C20" s="76" t="s">
        <v>276</v>
      </c>
      <c r="D20" s="116" t="s">
        <v>13</v>
      </c>
      <c r="E20" s="31">
        <v>67138</v>
      </c>
      <c r="G20" s="30"/>
      <c r="I20" s="13"/>
      <c r="J20" s="13"/>
    </row>
    <row r="21" spans="1:10" s="2" customFormat="1" ht="12.75" customHeight="1" x14ac:dyDescent="0.2">
      <c r="A21" s="89">
        <v>45034</v>
      </c>
      <c r="B21" s="91" t="s">
        <v>6</v>
      </c>
      <c r="C21" s="76" t="s">
        <v>15</v>
      </c>
      <c r="D21" s="116" t="s">
        <v>13</v>
      </c>
      <c r="E21" s="31">
        <v>131.63</v>
      </c>
      <c r="G21" s="30"/>
      <c r="I21" s="13"/>
      <c r="J21" s="13"/>
    </row>
    <row r="22" spans="1:10" s="2" customFormat="1" ht="12.75" customHeight="1" x14ac:dyDescent="0.2">
      <c r="A22" s="89">
        <v>45034</v>
      </c>
      <c r="B22" s="91" t="s">
        <v>6</v>
      </c>
      <c r="C22" s="76" t="s">
        <v>14</v>
      </c>
      <c r="D22" s="116" t="s">
        <v>13</v>
      </c>
      <c r="E22" s="31">
        <v>2342827</v>
      </c>
      <c r="G22" s="30"/>
      <c r="I22" s="13"/>
      <c r="J22" s="13"/>
    </row>
    <row r="23" spans="1:10" s="2" customFormat="1" ht="12.75" customHeight="1" x14ac:dyDescent="0.2">
      <c r="A23" s="89">
        <v>45034</v>
      </c>
      <c r="B23" s="91" t="s">
        <v>6</v>
      </c>
      <c r="C23" s="76" t="s">
        <v>329</v>
      </c>
      <c r="D23" s="116" t="s">
        <v>13</v>
      </c>
      <c r="E23" s="31">
        <v>594662.47</v>
      </c>
      <c r="G23" s="30"/>
      <c r="I23" s="13"/>
      <c r="J23" s="13"/>
    </row>
    <row r="24" spans="1:10" s="2" customFormat="1" ht="12.75" customHeight="1" x14ac:dyDescent="0.2">
      <c r="A24" s="89">
        <v>45034</v>
      </c>
      <c r="B24" s="91" t="s">
        <v>6</v>
      </c>
      <c r="C24" s="76" t="s">
        <v>149</v>
      </c>
      <c r="D24" s="116" t="s">
        <v>13</v>
      </c>
      <c r="E24" s="31">
        <v>3258</v>
      </c>
      <c r="G24" s="30"/>
      <c r="I24" s="13"/>
      <c r="J24" s="13"/>
    </row>
    <row r="25" spans="1:10" s="2" customFormat="1" ht="12.75" customHeight="1" x14ac:dyDescent="0.2">
      <c r="A25" s="89">
        <v>45034</v>
      </c>
      <c r="B25" s="91" t="s">
        <v>6</v>
      </c>
      <c r="C25" s="76" t="s">
        <v>420</v>
      </c>
      <c r="D25" s="116" t="s">
        <v>13</v>
      </c>
      <c r="E25" s="31">
        <v>1625174</v>
      </c>
      <c r="G25" s="30"/>
      <c r="I25" s="13"/>
      <c r="J25" s="13"/>
    </row>
    <row r="26" spans="1:10" s="2" customFormat="1" ht="12.75" customHeight="1" x14ac:dyDescent="0.2">
      <c r="A26" s="89">
        <v>45034</v>
      </c>
      <c r="B26" s="91" t="s">
        <v>6</v>
      </c>
      <c r="C26" s="76" t="s">
        <v>503</v>
      </c>
      <c r="D26" s="116" t="s">
        <v>13</v>
      </c>
      <c r="E26" s="31">
        <v>1500000</v>
      </c>
      <c r="G26" s="30"/>
      <c r="I26" s="13"/>
      <c r="J26" s="13"/>
    </row>
    <row r="27" spans="1:10" s="2" customFormat="1" ht="12.75" customHeight="1" x14ac:dyDescent="0.2">
      <c r="A27" s="89">
        <v>45034</v>
      </c>
      <c r="B27" s="91" t="s">
        <v>6</v>
      </c>
      <c r="C27" s="76" t="s">
        <v>219</v>
      </c>
      <c r="D27" s="116" t="s">
        <v>13</v>
      </c>
      <c r="E27" s="31">
        <v>553130</v>
      </c>
      <c r="G27" s="30"/>
      <c r="I27" s="13"/>
      <c r="J27" s="13"/>
    </row>
    <row r="28" spans="1:10" s="2" customFormat="1" ht="12.75" customHeight="1" x14ac:dyDescent="0.2">
      <c r="A28" s="89">
        <v>45034</v>
      </c>
      <c r="B28" s="91" t="s">
        <v>6</v>
      </c>
      <c r="C28" s="76" t="s">
        <v>200</v>
      </c>
      <c r="D28" s="116" t="s">
        <v>13</v>
      </c>
      <c r="E28" s="31">
        <v>13322</v>
      </c>
      <c r="G28" s="30"/>
      <c r="I28" s="13"/>
      <c r="J28" s="13"/>
    </row>
    <row r="29" spans="1:10" s="2" customFormat="1" ht="12.75" customHeight="1" x14ac:dyDescent="0.2">
      <c r="A29" s="89">
        <v>45034</v>
      </c>
      <c r="B29" s="91" t="s">
        <v>6</v>
      </c>
      <c r="C29" s="76" t="s">
        <v>887</v>
      </c>
      <c r="D29" s="116" t="s">
        <v>13</v>
      </c>
      <c r="E29" s="31">
        <v>3500000</v>
      </c>
      <c r="G29" s="30"/>
      <c r="I29" s="13"/>
      <c r="J29" s="13"/>
    </row>
    <row r="30" spans="1:10" s="2" customFormat="1" ht="12.75" customHeight="1" x14ac:dyDescent="0.2">
      <c r="A30" s="89">
        <v>45034</v>
      </c>
      <c r="B30" s="91" t="s">
        <v>6</v>
      </c>
      <c r="C30" s="76" t="s">
        <v>455</v>
      </c>
      <c r="D30" s="116" t="s">
        <v>13</v>
      </c>
      <c r="E30" s="31">
        <v>9681</v>
      </c>
      <c r="G30" s="30"/>
      <c r="I30" s="13"/>
      <c r="J30" s="13"/>
    </row>
    <row r="31" spans="1:10" s="2" customFormat="1" ht="12.75" customHeight="1" x14ac:dyDescent="0.2">
      <c r="A31" s="89">
        <v>45034</v>
      </c>
      <c r="B31" s="91" t="s">
        <v>6</v>
      </c>
      <c r="C31" s="76" t="s">
        <v>794</v>
      </c>
      <c r="D31" s="116" t="s">
        <v>13</v>
      </c>
      <c r="E31" s="31">
        <v>53531</v>
      </c>
      <c r="G31" s="30"/>
      <c r="I31" s="13"/>
      <c r="J31" s="13"/>
    </row>
    <row r="32" spans="1:10" s="2" customFormat="1" ht="12.75" customHeight="1" x14ac:dyDescent="0.2">
      <c r="A32" s="89">
        <v>45034</v>
      </c>
      <c r="B32" s="91" t="s">
        <v>6</v>
      </c>
      <c r="C32" s="76" t="s">
        <v>450</v>
      </c>
      <c r="D32" s="116" t="s">
        <v>13</v>
      </c>
      <c r="E32" s="31">
        <v>2221</v>
      </c>
      <c r="G32" s="30"/>
      <c r="I32" s="13"/>
      <c r="J32" s="13"/>
    </row>
    <row r="33" spans="1:10" s="2" customFormat="1" ht="12.75" customHeight="1" x14ac:dyDescent="0.2">
      <c r="A33" s="89">
        <v>45034</v>
      </c>
      <c r="B33" s="91" t="s">
        <v>6</v>
      </c>
      <c r="C33" s="76" t="s">
        <v>122</v>
      </c>
      <c r="D33" s="116" t="s">
        <v>13</v>
      </c>
      <c r="E33" s="31">
        <v>21922</v>
      </c>
      <c r="G33" s="30"/>
      <c r="I33" s="13"/>
      <c r="J33" s="13"/>
    </row>
    <row r="34" spans="1:10" s="2" customFormat="1" ht="12.75" customHeight="1" x14ac:dyDescent="0.2">
      <c r="A34" s="89">
        <v>45034</v>
      </c>
      <c r="B34" s="91" t="s">
        <v>11</v>
      </c>
      <c r="C34" s="76" t="s">
        <v>64</v>
      </c>
      <c r="D34" s="116" t="s">
        <v>29</v>
      </c>
      <c r="E34" s="31"/>
      <c r="F34" s="2">
        <v>10903.15</v>
      </c>
      <c r="G34" s="30"/>
      <c r="I34" s="13"/>
      <c r="J34" s="13"/>
    </row>
    <row r="35" spans="1:10" s="2" customFormat="1" ht="12.75" customHeight="1" x14ac:dyDescent="0.2">
      <c r="A35" s="89">
        <v>45034</v>
      </c>
      <c r="B35" s="91" t="s">
        <v>11</v>
      </c>
      <c r="C35" s="76" t="s">
        <v>111</v>
      </c>
      <c r="D35" s="116" t="s">
        <v>29</v>
      </c>
      <c r="E35" s="31"/>
      <c r="F35" s="2">
        <v>6843511.21</v>
      </c>
      <c r="G35" s="30"/>
      <c r="I35" s="13"/>
      <c r="J35" s="13"/>
    </row>
    <row r="36" spans="1:10" s="2" customFormat="1" ht="12.75" customHeight="1" x14ac:dyDescent="0.2">
      <c r="A36" s="89">
        <v>45034</v>
      </c>
      <c r="B36" s="91" t="s">
        <v>11</v>
      </c>
      <c r="C36" s="76" t="s">
        <v>125</v>
      </c>
      <c r="D36" s="116" t="s">
        <v>29</v>
      </c>
      <c r="E36" s="31"/>
      <c r="F36" s="2">
        <v>1060114</v>
      </c>
      <c r="G36" s="30"/>
      <c r="I36" s="13"/>
      <c r="J36" s="13"/>
    </row>
    <row r="37" spans="1:10" s="2" customFormat="1" ht="12.75" customHeight="1" x14ac:dyDescent="0.2">
      <c r="A37" s="89">
        <v>45034</v>
      </c>
      <c r="B37" s="91" t="s">
        <v>11</v>
      </c>
      <c r="C37" s="76" t="s">
        <v>885</v>
      </c>
      <c r="D37" s="116" t="s">
        <v>29</v>
      </c>
      <c r="E37" s="31"/>
      <c r="F37" s="2">
        <f>3500+7000</f>
        <v>10500</v>
      </c>
      <c r="G37" s="30"/>
      <c r="I37" s="13"/>
      <c r="J37" s="13"/>
    </row>
    <row r="38" spans="1:10" s="2" customFormat="1" ht="12.75" customHeight="1" x14ac:dyDescent="0.2">
      <c r="A38" s="89">
        <v>45034</v>
      </c>
      <c r="B38" s="91" t="s">
        <v>11</v>
      </c>
      <c r="C38" s="76" t="s">
        <v>242</v>
      </c>
      <c r="D38" s="116" t="s">
        <v>29</v>
      </c>
      <c r="E38" s="31"/>
      <c r="F38" s="2">
        <v>53247</v>
      </c>
      <c r="G38" s="30"/>
      <c r="I38" s="13"/>
      <c r="J38" s="13"/>
    </row>
    <row r="39" spans="1:10" s="2" customFormat="1" ht="12.75" customHeight="1" x14ac:dyDescent="0.2">
      <c r="A39" s="89">
        <v>45034</v>
      </c>
      <c r="B39" s="91" t="s">
        <v>11</v>
      </c>
      <c r="C39" s="76" t="s">
        <v>738</v>
      </c>
      <c r="D39" s="116" t="s">
        <v>29</v>
      </c>
      <c r="E39" s="31"/>
      <c r="F39" s="2">
        <v>3144</v>
      </c>
      <c r="G39" s="30"/>
      <c r="I39" s="13"/>
      <c r="J39" s="13"/>
    </row>
    <row r="40" spans="1:10" s="2" customFormat="1" ht="12.75" customHeight="1" x14ac:dyDescent="0.2">
      <c r="A40" s="89">
        <v>45034</v>
      </c>
      <c r="B40" s="91" t="s">
        <v>11</v>
      </c>
      <c r="C40" s="76" t="s">
        <v>53</v>
      </c>
      <c r="D40" s="116" t="s">
        <v>29</v>
      </c>
      <c r="E40" s="31"/>
      <c r="F40" s="2">
        <v>21364</v>
      </c>
      <c r="G40" s="30"/>
      <c r="I40" s="13"/>
      <c r="J40" s="13"/>
    </row>
    <row r="41" spans="1:10" s="2" customFormat="1" ht="12.75" customHeight="1" x14ac:dyDescent="0.2">
      <c r="A41" s="89">
        <v>45034</v>
      </c>
      <c r="B41" s="91" t="s">
        <v>11</v>
      </c>
      <c r="C41" s="76" t="s">
        <v>505</v>
      </c>
      <c r="D41" s="116" t="s">
        <v>29</v>
      </c>
      <c r="E41" s="31"/>
      <c r="F41" s="2">
        <v>10350</v>
      </c>
      <c r="G41" s="30"/>
      <c r="I41" s="13"/>
      <c r="J41" s="13"/>
    </row>
    <row r="42" spans="1:10" s="2" customFormat="1" ht="12.75" customHeight="1" x14ac:dyDescent="0.2">
      <c r="A42" s="89">
        <v>45034</v>
      </c>
      <c r="B42" s="91" t="s">
        <v>11</v>
      </c>
      <c r="C42" s="76" t="s">
        <v>388</v>
      </c>
      <c r="D42" s="116" t="s">
        <v>29</v>
      </c>
      <c r="E42" s="31"/>
      <c r="F42" s="2">
        <v>9234</v>
      </c>
      <c r="G42" s="30"/>
      <c r="I42" s="13"/>
      <c r="J42" s="13"/>
    </row>
    <row r="43" spans="1:10" s="2" customFormat="1" ht="12.75" customHeight="1" x14ac:dyDescent="0.2">
      <c r="A43" s="89">
        <v>45034</v>
      </c>
      <c r="B43" s="91" t="s">
        <v>11</v>
      </c>
      <c r="C43" s="76" t="s">
        <v>349</v>
      </c>
      <c r="D43" s="116" t="s">
        <v>29</v>
      </c>
      <c r="E43" s="31"/>
      <c r="F43" s="2">
        <v>17960</v>
      </c>
      <c r="G43" s="30"/>
      <c r="I43" s="13"/>
      <c r="J43" s="13"/>
    </row>
    <row r="44" spans="1:10" s="2" customFormat="1" ht="12.75" customHeight="1" x14ac:dyDescent="0.2">
      <c r="A44" s="89">
        <v>45034</v>
      </c>
      <c r="B44" s="91" t="s">
        <v>11</v>
      </c>
      <c r="C44" s="76" t="s">
        <v>63</v>
      </c>
      <c r="D44" s="116" t="s">
        <v>29</v>
      </c>
      <c r="E44" s="31"/>
      <c r="F44" s="2">
        <v>750000</v>
      </c>
      <c r="G44" s="30"/>
      <c r="I44" s="13"/>
      <c r="J44" s="13"/>
    </row>
    <row r="45" spans="1:10" s="2" customFormat="1" ht="12.75" customHeight="1" x14ac:dyDescent="0.2">
      <c r="A45" s="89">
        <v>45034</v>
      </c>
      <c r="B45" s="91" t="s">
        <v>11</v>
      </c>
      <c r="C45" s="76" t="s">
        <v>254</v>
      </c>
      <c r="D45" s="116" t="s">
        <v>29</v>
      </c>
      <c r="E45" s="31"/>
      <c r="F45" s="2">
        <v>306637</v>
      </c>
      <c r="G45" s="30"/>
      <c r="I45" s="13"/>
      <c r="J45" s="13"/>
    </row>
    <row r="46" spans="1:10" s="2" customFormat="1" ht="12.75" customHeight="1" x14ac:dyDescent="0.2">
      <c r="A46" s="89">
        <v>45034</v>
      </c>
      <c r="B46" s="91" t="s">
        <v>11</v>
      </c>
      <c r="C46" s="76" t="s">
        <v>372</v>
      </c>
      <c r="D46" s="116" t="s">
        <v>29</v>
      </c>
      <c r="E46" s="31"/>
      <c r="F46" s="2">
        <v>269168</v>
      </c>
      <c r="G46" s="30"/>
      <c r="I46" s="13"/>
      <c r="J46" s="13"/>
    </row>
    <row r="47" spans="1:10" s="2" customFormat="1" ht="12.75" customHeight="1" x14ac:dyDescent="0.2">
      <c r="A47" s="89">
        <v>45034</v>
      </c>
      <c r="B47" s="91" t="s">
        <v>11</v>
      </c>
      <c r="C47" s="76" t="s">
        <v>45</v>
      </c>
      <c r="D47" s="116" t="s">
        <v>29</v>
      </c>
      <c r="E47" s="31"/>
      <c r="F47" s="2">
        <v>630732</v>
      </c>
      <c r="G47" s="30"/>
      <c r="I47" s="13"/>
      <c r="J47" s="13"/>
    </row>
    <row r="48" spans="1:10" s="2" customFormat="1" ht="12.75" customHeight="1" x14ac:dyDescent="0.2">
      <c r="A48" s="89">
        <v>45034</v>
      </c>
      <c r="B48" s="91" t="s">
        <v>11</v>
      </c>
      <c r="C48" s="76" t="s">
        <v>849</v>
      </c>
      <c r="D48" s="116" t="s">
        <v>29</v>
      </c>
      <c r="E48" s="31"/>
      <c r="F48" s="2">
        <v>464276</v>
      </c>
      <c r="G48" s="30"/>
      <c r="I48" s="13"/>
      <c r="J48" s="13"/>
    </row>
    <row r="49" spans="1:14" s="2" customFormat="1" ht="12.75" customHeight="1" x14ac:dyDescent="0.2">
      <c r="A49" s="89">
        <v>45034</v>
      </c>
      <c r="B49" s="91" t="s">
        <v>11</v>
      </c>
      <c r="C49" s="76" t="s">
        <v>829</v>
      </c>
      <c r="D49" s="116" t="s">
        <v>29</v>
      </c>
      <c r="E49" s="31"/>
      <c r="F49" s="2">
        <v>236850</v>
      </c>
      <c r="G49" s="30"/>
      <c r="I49" s="13"/>
      <c r="J49" s="13"/>
    </row>
    <row r="50" spans="1:14" s="2" customFormat="1" ht="12.75" customHeight="1" x14ac:dyDescent="0.2">
      <c r="A50" s="89">
        <v>45034</v>
      </c>
      <c r="B50" s="91" t="s">
        <v>11</v>
      </c>
      <c r="C50" s="76" t="s">
        <v>528</v>
      </c>
      <c r="D50" s="116" t="s">
        <v>29</v>
      </c>
      <c r="E50" s="31"/>
      <c r="F50" s="2">
        <v>115400.1</v>
      </c>
      <c r="G50" s="30"/>
      <c r="I50" s="13"/>
      <c r="J50" s="13"/>
    </row>
    <row r="51" spans="1:14" s="2" customFormat="1" ht="12.75" customHeight="1" x14ac:dyDescent="0.2">
      <c r="A51" s="89">
        <v>45034</v>
      </c>
      <c r="B51" s="91" t="s">
        <v>11</v>
      </c>
      <c r="C51" s="76" t="s">
        <v>774</v>
      </c>
      <c r="D51" s="116" t="s">
        <v>29</v>
      </c>
      <c r="E51" s="31"/>
      <c r="F51" s="2">
        <v>351285.69</v>
      </c>
      <c r="G51" s="30"/>
      <c r="I51" s="13"/>
      <c r="J51" s="13"/>
    </row>
    <row r="52" spans="1:14" s="2" customFormat="1" ht="12.75" customHeight="1" x14ac:dyDescent="0.2">
      <c r="A52" s="89">
        <v>45034</v>
      </c>
      <c r="B52" s="91" t="s">
        <v>11</v>
      </c>
      <c r="C52" s="76" t="s">
        <v>542</v>
      </c>
      <c r="D52" s="116" t="s">
        <v>29</v>
      </c>
      <c r="E52" s="31"/>
      <c r="F52" s="2">
        <v>1886</v>
      </c>
      <c r="G52" s="30"/>
      <c r="I52" s="13"/>
      <c r="J52" s="13"/>
    </row>
    <row r="53" spans="1:14" s="2" customFormat="1" ht="12.75" customHeight="1" x14ac:dyDescent="0.2">
      <c r="A53" s="89">
        <v>45034</v>
      </c>
      <c r="B53" s="91" t="s">
        <v>11</v>
      </c>
      <c r="C53" s="76" t="s">
        <v>886</v>
      </c>
      <c r="D53" s="116" t="s">
        <v>29</v>
      </c>
      <c r="E53" s="31"/>
      <c r="F53" s="2">
        <v>29500</v>
      </c>
      <c r="G53" s="30"/>
      <c r="I53" s="13"/>
      <c r="J53" s="99" t="s">
        <v>601</v>
      </c>
      <c r="K53" s="99" t="s">
        <v>779</v>
      </c>
    </row>
    <row r="54" spans="1:14" s="2" customFormat="1" ht="12.75" customHeight="1" x14ac:dyDescent="0.25">
      <c r="A54" s="32"/>
      <c r="B54" s="33"/>
      <c r="C54" s="14"/>
      <c r="D54" s="34"/>
      <c r="E54" s="16">
        <f>SUM(E11:E53)</f>
        <v>19011286.780000001</v>
      </c>
      <c r="F54" s="16">
        <f>SUM(F11:F53)</f>
        <v>367300973.44000024</v>
      </c>
      <c r="G54" s="30"/>
      <c r="H54" s="1"/>
      <c r="I54" s="39">
        <v>364463830.66000003</v>
      </c>
      <c r="J54" s="2">
        <f>1972203+1220426+1321352+3017518+1289323+6957541</f>
        <v>15778363</v>
      </c>
      <c r="K54" s="92">
        <f>E55-I54</f>
        <v>-16174143.999999821</v>
      </c>
      <c r="L54" s="41"/>
      <c r="M54" s="42">
        <f>K54+J54</f>
        <v>-395780.99999982119</v>
      </c>
      <c r="N54" s="1"/>
    </row>
    <row r="55" spans="1:14" s="2" customFormat="1" x14ac:dyDescent="0.2">
      <c r="A55" s="36"/>
      <c r="B55" s="28" t="s">
        <v>11</v>
      </c>
      <c r="C55" s="19" t="s">
        <v>65</v>
      </c>
      <c r="D55" s="37"/>
      <c r="E55" s="38">
        <f>F54-E54</f>
        <v>348289686.66000021</v>
      </c>
      <c r="F55" s="22"/>
      <c r="G55" s="1"/>
      <c r="H55" s="1"/>
      <c r="J55" s="1"/>
      <c r="K55" s="1"/>
      <c r="L55" s="1"/>
      <c r="M55" s="1"/>
      <c r="N55" s="1"/>
    </row>
    <row r="56" spans="1:14" x14ac:dyDescent="0.2">
      <c r="A56" s="36"/>
      <c r="B56" s="28" t="s">
        <v>66</v>
      </c>
      <c r="C56" s="43" t="s">
        <v>67</v>
      </c>
      <c r="D56" s="43"/>
      <c r="E56" s="12">
        <v>0</v>
      </c>
      <c r="F56" s="22"/>
      <c r="H56" s="40"/>
      <c r="I56" s="45">
        <v>1443.09</v>
      </c>
      <c r="J56" s="46"/>
      <c r="K56" s="46"/>
      <c r="L56" s="13"/>
      <c r="M56" s="2"/>
      <c r="N56" s="2"/>
    </row>
    <row r="57" spans="1:14" ht="15" x14ac:dyDescent="0.25">
      <c r="A57" s="36"/>
      <c r="B57" s="28"/>
      <c r="C57" s="44" t="s">
        <v>68</v>
      </c>
      <c r="D57" s="43"/>
      <c r="E57" s="7">
        <f>E55+E56</f>
        <v>348289686.66000021</v>
      </c>
      <c r="F57" s="22"/>
      <c r="H57" s="103" t="s">
        <v>69</v>
      </c>
      <c r="I57" s="45">
        <v>-12.48</v>
      </c>
      <c r="J57" s="46"/>
      <c r="K57" s="46"/>
      <c r="L57" s="2"/>
      <c r="M57" s="2"/>
      <c r="N57" s="2"/>
    </row>
    <row r="58" spans="1:14" s="2" customFormat="1" x14ac:dyDescent="0.2">
      <c r="A58" s="24"/>
      <c r="B58" s="1"/>
      <c r="C58" s="14"/>
      <c r="D58" s="25"/>
      <c r="E58" s="1"/>
      <c r="H58" s="35" t="s">
        <v>70</v>
      </c>
      <c r="I58" s="45">
        <v>0</v>
      </c>
      <c r="J58" s="46">
        <f>+I59-D61</f>
        <v>0</v>
      </c>
      <c r="M58" s="2">
        <v>19.57</v>
      </c>
      <c r="N58" s="2" t="s">
        <v>535</v>
      </c>
    </row>
    <row r="59" spans="1:14" s="2" customFormat="1" x14ac:dyDescent="0.2">
      <c r="A59" s="24"/>
      <c r="B59" s="1"/>
      <c r="C59" s="56"/>
      <c r="D59" s="56"/>
      <c r="E59" s="104"/>
      <c r="G59" s="1"/>
      <c r="I59" s="49">
        <f>SUM(I56:I58)</f>
        <v>1430.61</v>
      </c>
      <c r="J59" s="46"/>
      <c r="K59" s="46"/>
    </row>
    <row r="60" spans="1:14" s="2" customFormat="1" x14ac:dyDescent="0.2">
      <c r="A60" s="24"/>
      <c r="B60" s="1"/>
      <c r="C60" s="78" t="s">
        <v>575</v>
      </c>
      <c r="D60" s="48" t="s">
        <v>576</v>
      </c>
      <c r="E60" s="104"/>
      <c r="G60" s="1"/>
    </row>
    <row r="61" spans="1:14" s="2" customFormat="1" x14ac:dyDescent="0.2">
      <c r="A61" s="24"/>
      <c r="B61" s="1"/>
      <c r="C61" s="47" t="s">
        <v>570</v>
      </c>
      <c r="D61" s="111">
        <v>1430.61</v>
      </c>
      <c r="E61" s="104"/>
      <c r="G61" s="1"/>
      <c r="H61" s="110" t="s">
        <v>581</v>
      </c>
    </row>
    <row r="62" spans="1:14" s="2" customFormat="1" x14ac:dyDescent="0.2">
      <c r="A62" s="24"/>
      <c r="B62" s="1"/>
      <c r="C62" s="47" t="s">
        <v>571</v>
      </c>
      <c r="D62" s="111">
        <v>12.32</v>
      </c>
      <c r="E62" s="104"/>
      <c r="G62" s="1"/>
      <c r="H62" s="110" t="s">
        <v>580</v>
      </c>
    </row>
    <row r="63" spans="1:14" s="2" customFormat="1" x14ac:dyDescent="0.2">
      <c r="A63" s="24"/>
      <c r="B63" s="1"/>
      <c r="C63" s="47" t="s">
        <v>572</v>
      </c>
      <c r="D63" s="111">
        <f>+D93/100000</f>
        <v>195.20642269999999</v>
      </c>
      <c r="E63" s="104"/>
      <c r="G63" s="1"/>
      <c r="H63" s="90" t="s">
        <v>587</v>
      </c>
    </row>
    <row r="64" spans="1:14" s="2" customFormat="1" x14ac:dyDescent="0.2">
      <c r="A64" s="24"/>
      <c r="B64" s="1"/>
      <c r="C64" s="108" t="s">
        <v>578</v>
      </c>
      <c r="D64" s="48">
        <f>SUM(D61:D63)</f>
        <v>1638.1364226999999</v>
      </c>
      <c r="E64" s="104"/>
      <c r="G64" s="1"/>
    </row>
    <row r="65" spans="1:13" s="2" customFormat="1" x14ac:dyDescent="0.2">
      <c r="A65" s="24"/>
      <c r="B65" s="1"/>
      <c r="C65" s="47"/>
      <c r="D65" s="107"/>
      <c r="E65" s="104"/>
      <c r="G65" s="1"/>
    </row>
    <row r="66" spans="1:13" s="2" customFormat="1" x14ac:dyDescent="0.2">
      <c r="A66" s="24"/>
      <c r="B66" s="1"/>
      <c r="C66" s="47" t="s">
        <v>573</v>
      </c>
      <c r="D66" s="111">
        <v>3.36</v>
      </c>
      <c r="E66" s="104"/>
      <c r="G66" s="1"/>
      <c r="H66" s="110" t="s">
        <v>581</v>
      </c>
    </row>
    <row r="67" spans="1:13" s="2" customFormat="1" x14ac:dyDescent="0.2">
      <c r="A67" s="24"/>
      <c r="B67" s="1"/>
      <c r="C67" s="47" t="s">
        <v>574</v>
      </c>
      <c r="D67" s="111">
        <f>378.43-18.21</f>
        <v>360.22</v>
      </c>
      <c r="E67" s="104"/>
      <c r="G67" s="1"/>
      <c r="H67" s="110" t="s">
        <v>581</v>
      </c>
      <c r="J67" s="114" t="s">
        <v>713</v>
      </c>
    </row>
    <row r="68" spans="1:13" s="2" customFormat="1" x14ac:dyDescent="0.2">
      <c r="A68" s="24"/>
      <c r="B68" s="1"/>
      <c r="C68" s="78" t="s">
        <v>579</v>
      </c>
      <c r="D68" s="109">
        <f>D66+D67</f>
        <v>363.58000000000004</v>
      </c>
      <c r="E68" s="104"/>
      <c r="G68" s="1"/>
      <c r="I68" s="113"/>
      <c r="J68" s="113" t="s">
        <v>709</v>
      </c>
      <c r="K68" s="113" t="s">
        <v>710</v>
      </c>
      <c r="L68" s="113" t="s">
        <v>711</v>
      </c>
      <c r="M68" s="113" t="s">
        <v>712</v>
      </c>
    </row>
    <row r="69" spans="1:13" s="2" customFormat="1" x14ac:dyDescent="0.2">
      <c r="A69" s="24"/>
      <c r="B69" s="1"/>
      <c r="C69" s="105"/>
      <c r="D69" s="106"/>
      <c r="E69" s="104"/>
      <c r="G69" s="1"/>
      <c r="I69" s="113" t="s">
        <v>706</v>
      </c>
      <c r="J69" s="115"/>
      <c r="K69" s="115">
        <v>968.99</v>
      </c>
      <c r="L69" s="115">
        <v>968.99</v>
      </c>
      <c r="M69" s="113">
        <f>+J69+L69-K69</f>
        <v>0</v>
      </c>
    </row>
    <row r="70" spans="1:13" s="2" customFormat="1" x14ac:dyDescent="0.2">
      <c r="A70" s="24"/>
      <c r="B70" s="1"/>
      <c r="C70" s="78" t="s">
        <v>577</v>
      </c>
      <c r="D70" s="109">
        <f>D61+D68</f>
        <v>1794.19</v>
      </c>
      <c r="E70" s="104"/>
      <c r="G70" s="1"/>
      <c r="I70" s="113" t="s">
        <v>707</v>
      </c>
      <c r="J70" s="115">
        <v>183.1</v>
      </c>
      <c r="K70" s="115">
        <v>1453.86</v>
      </c>
      <c r="L70" s="115">
        <v>1918.56</v>
      </c>
      <c r="M70" s="113">
        <f>+J70+L70-K70</f>
        <v>647.79999999999995</v>
      </c>
    </row>
    <row r="71" spans="1:13" s="2" customFormat="1" x14ac:dyDescent="0.2">
      <c r="A71" s="24"/>
      <c r="B71" s="1"/>
      <c r="C71" s="56"/>
      <c r="D71" s="56"/>
      <c r="E71" s="104"/>
      <c r="G71" s="1"/>
      <c r="I71" s="113" t="s">
        <v>708</v>
      </c>
      <c r="J71" s="115">
        <v>1371.02</v>
      </c>
      <c r="K71" s="115">
        <v>10152.92</v>
      </c>
      <c r="L71" s="115">
        <v>10671.73</v>
      </c>
      <c r="M71" s="113">
        <f>+J71+L71-K71</f>
        <v>1889.83</v>
      </c>
    </row>
    <row r="72" spans="1:13" s="2" customFormat="1" ht="38.25" x14ac:dyDescent="0.2">
      <c r="A72" s="24"/>
      <c r="B72" s="1"/>
      <c r="C72" s="79" t="str">
        <f>"Particulars ( 01-04-2021 to "&amp;TEXT(A5,"dd-mm-yyyy")&amp;" )"</f>
        <v>Particulars ( 01-04-2021 to 18-04-2023 )</v>
      </c>
      <c r="D72" s="80" t="s">
        <v>73</v>
      </c>
      <c r="E72" s="80" t="s">
        <v>74</v>
      </c>
      <c r="F72" s="81" t="s">
        <v>75</v>
      </c>
      <c r="G72" s="80" t="s">
        <v>76</v>
      </c>
      <c r="J72" s="118">
        <f>SUM(J69:J71)</f>
        <v>1554.12</v>
      </c>
      <c r="K72" s="118">
        <f>SUM(K69:K71)</f>
        <v>12575.77</v>
      </c>
      <c r="L72" s="118">
        <f>SUM(L69:L71)</f>
        <v>13559.279999999999</v>
      </c>
      <c r="M72" s="118">
        <f>SUM(M69:M71)</f>
        <v>2537.63</v>
      </c>
    </row>
    <row r="73" spans="1:13" s="2" customFormat="1" x14ac:dyDescent="0.2">
      <c r="A73" s="24"/>
      <c r="B73" s="1"/>
      <c r="C73" s="50" t="s">
        <v>444</v>
      </c>
      <c r="D73" s="55">
        <f>+L69+L70+J70</f>
        <v>3070.65</v>
      </c>
      <c r="E73" s="55">
        <f>+K69+K70</f>
        <v>2422.85</v>
      </c>
      <c r="F73" s="55">
        <f>+D73-E73</f>
        <v>647.80000000000018</v>
      </c>
      <c r="G73" s="55">
        <f>1500-F73</f>
        <v>852.19999999999982</v>
      </c>
      <c r="H73" s="2" t="s">
        <v>396</v>
      </c>
    </row>
    <row r="74" spans="1:13" s="2" customFormat="1" x14ac:dyDescent="0.2">
      <c r="A74" s="24"/>
      <c r="B74" s="1"/>
      <c r="C74" s="50" t="s">
        <v>71</v>
      </c>
      <c r="D74" s="55">
        <f>+J71+L71</f>
        <v>12042.75</v>
      </c>
      <c r="E74" s="55">
        <f>+K71</f>
        <v>10152.92</v>
      </c>
      <c r="F74" s="55">
        <f>+D74-E74</f>
        <v>1889.83</v>
      </c>
      <c r="G74" s="55">
        <f>1500+700-F74</f>
        <v>310.17000000000007</v>
      </c>
      <c r="H74" s="2" t="s">
        <v>396</v>
      </c>
    </row>
    <row r="75" spans="1:13" s="2" customFormat="1" x14ac:dyDescent="0.2">
      <c r="A75" s="24"/>
      <c r="B75" s="1"/>
      <c r="C75" s="14"/>
      <c r="D75" s="56"/>
      <c r="E75" s="13"/>
      <c r="G75" s="1"/>
    </row>
    <row r="76" spans="1:13" s="2" customFormat="1" x14ac:dyDescent="0.2">
      <c r="A76" s="215" t="s">
        <v>80</v>
      </c>
      <c r="B76" s="216"/>
      <c r="C76" s="216"/>
      <c r="D76" s="217"/>
      <c r="E76" s="69"/>
      <c r="F76" s="70"/>
      <c r="G76" s="1"/>
      <c r="H76" s="53"/>
    </row>
    <row r="77" spans="1:13" s="2" customFormat="1" x14ac:dyDescent="0.2">
      <c r="A77" s="71" t="s">
        <v>81</v>
      </c>
      <c r="B77" s="71"/>
      <c r="C77" s="72" t="s">
        <v>82</v>
      </c>
      <c r="D77" s="73" t="s">
        <v>83</v>
      </c>
      <c r="E77" s="69"/>
      <c r="F77" s="70"/>
      <c r="H77" s="53"/>
    </row>
    <row r="78" spans="1:13" s="2" customFormat="1" x14ac:dyDescent="0.2">
      <c r="A78" s="87">
        <v>45017</v>
      </c>
      <c r="B78" s="120" t="s">
        <v>6</v>
      </c>
      <c r="C78" s="75" t="s">
        <v>282</v>
      </c>
      <c r="D78" s="88">
        <v>12220</v>
      </c>
      <c r="G78" s="1"/>
      <c r="L78" s="1"/>
      <c r="M78" s="1"/>
    </row>
    <row r="79" spans="1:13" s="2" customFormat="1" x14ac:dyDescent="0.2">
      <c r="A79" s="87">
        <v>45020</v>
      </c>
      <c r="B79" s="120" t="s">
        <v>6</v>
      </c>
      <c r="C79" s="75" t="s">
        <v>271</v>
      </c>
      <c r="D79" s="88">
        <v>584074</v>
      </c>
      <c r="G79" s="1"/>
      <c r="L79" s="1"/>
      <c r="M79" s="1"/>
    </row>
    <row r="80" spans="1:13" s="2" customFormat="1" x14ac:dyDescent="0.2">
      <c r="A80" s="87">
        <v>45022</v>
      </c>
      <c r="B80" s="120" t="s">
        <v>6</v>
      </c>
      <c r="C80" s="75" t="s">
        <v>784</v>
      </c>
      <c r="D80" s="88">
        <v>283512</v>
      </c>
      <c r="G80" s="1"/>
      <c r="L80" s="1"/>
      <c r="M80" s="1"/>
    </row>
    <row r="81" spans="1:13" s="2" customFormat="1" x14ac:dyDescent="0.2">
      <c r="A81" s="87">
        <v>45022</v>
      </c>
      <c r="B81" s="120" t="s">
        <v>6</v>
      </c>
      <c r="C81" s="75" t="s">
        <v>84</v>
      </c>
      <c r="D81" s="88">
        <v>2500000</v>
      </c>
      <c r="G81" s="1"/>
      <c r="L81" s="1"/>
      <c r="M81" s="1"/>
    </row>
    <row r="82" spans="1:13" s="2" customFormat="1" x14ac:dyDescent="0.2">
      <c r="A82" s="87">
        <v>45023</v>
      </c>
      <c r="B82" s="120" t="s">
        <v>6</v>
      </c>
      <c r="C82" s="75" t="s">
        <v>270</v>
      </c>
      <c r="D82" s="88">
        <v>33748</v>
      </c>
      <c r="G82" s="1"/>
      <c r="L82" s="1"/>
      <c r="M82" s="1"/>
    </row>
    <row r="83" spans="1:13" s="2" customFormat="1" x14ac:dyDescent="0.2">
      <c r="A83" s="87">
        <v>45023</v>
      </c>
      <c r="B83" s="120" t="s">
        <v>6</v>
      </c>
      <c r="C83" s="75" t="s">
        <v>270</v>
      </c>
      <c r="D83" s="88">
        <v>114918</v>
      </c>
      <c r="G83" s="1"/>
      <c r="L83" s="1"/>
      <c r="M83" s="1"/>
    </row>
    <row r="84" spans="1:13" s="2" customFormat="1" x14ac:dyDescent="0.2">
      <c r="A84" s="87">
        <v>45027</v>
      </c>
      <c r="B84" s="120" t="s">
        <v>6</v>
      </c>
      <c r="C84" s="75" t="s">
        <v>767</v>
      </c>
      <c r="D84" s="88">
        <v>2093169</v>
      </c>
      <c r="G84" s="1"/>
      <c r="L84" s="1"/>
      <c r="M84" s="1"/>
    </row>
    <row r="85" spans="1:13" s="2" customFormat="1" x14ac:dyDescent="0.2">
      <c r="A85" s="87">
        <v>45027</v>
      </c>
      <c r="B85" s="120" t="s">
        <v>6</v>
      </c>
      <c r="C85" s="75" t="s">
        <v>594</v>
      </c>
      <c r="D85" s="88">
        <v>2500000</v>
      </c>
      <c r="G85" s="1"/>
      <c r="L85" s="1"/>
      <c r="M85" s="1"/>
    </row>
    <row r="86" spans="1:13" s="2" customFormat="1" x14ac:dyDescent="0.2">
      <c r="A86" s="87">
        <v>45028</v>
      </c>
      <c r="B86" s="120" t="s">
        <v>6</v>
      </c>
      <c r="C86" s="75" t="s">
        <v>84</v>
      </c>
      <c r="D86" s="88">
        <v>4000000</v>
      </c>
      <c r="G86" s="1"/>
      <c r="L86" s="1"/>
      <c r="M86" s="1"/>
    </row>
    <row r="87" spans="1:13" s="2" customFormat="1" x14ac:dyDescent="0.2">
      <c r="A87" s="87">
        <v>45028</v>
      </c>
      <c r="B87" s="120" t="s">
        <v>6</v>
      </c>
      <c r="C87" s="75" t="s">
        <v>606</v>
      </c>
      <c r="D87" s="88">
        <v>103240</v>
      </c>
      <c r="G87" s="1"/>
      <c r="L87" s="1"/>
      <c r="M87" s="1"/>
    </row>
    <row r="88" spans="1:13" s="2" customFormat="1" x14ac:dyDescent="0.2">
      <c r="A88" s="87">
        <v>45029</v>
      </c>
      <c r="B88" s="120" t="s">
        <v>6</v>
      </c>
      <c r="C88" s="75" t="s">
        <v>784</v>
      </c>
      <c r="D88" s="88">
        <v>451698</v>
      </c>
      <c r="G88" s="1"/>
      <c r="L88" s="1"/>
      <c r="M88" s="1"/>
    </row>
    <row r="89" spans="1:13" s="2" customFormat="1" x14ac:dyDescent="0.2">
      <c r="A89" s="87">
        <v>45030</v>
      </c>
      <c r="B89" s="120" t="s">
        <v>6</v>
      </c>
      <c r="C89" s="75" t="s">
        <v>270</v>
      </c>
      <c r="D89" s="88">
        <v>655766</v>
      </c>
      <c r="G89" s="1"/>
      <c r="L89" s="1"/>
      <c r="M89" s="1"/>
    </row>
    <row r="90" spans="1:13" s="2" customFormat="1" x14ac:dyDescent="0.2">
      <c r="A90" s="87">
        <v>45031</v>
      </c>
      <c r="B90" s="120" t="s">
        <v>6</v>
      </c>
      <c r="C90" s="75" t="s">
        <v>784</v>
      </c>
      <c r="D90" s="88">
        <v>539800</v>
      </c>
      <c r="G90" s="1"/>
      <c r="L90" s="1"/>
      <c r="M90" s="1"/>
    </row>
    <row r="91" spans="1:13" s="2" customFormat="1" x14ac:dyDescent="0.2">
      <c r="A91" s="87">
        <v>45031</v>
      </c>
      <c r="B91" s="120" t="s">
        <v>6</v>
      </c>
      <c r="C91" s="75" t="s">
        <v>784</v>
      </c>
      <c r="D91" s="88">
        <v>198679</v>
      </c>
      <c r="G91" s="1"/>
      <c r="L91" s="1"/>
      <c r="M91" s="1"/>
    </row>
    <row r="92" spans="1:13" s="2" customFormat="1" x14ac:dyDescent="0.2">
      <c r="A92" s="87">
        <v>45033</v>
      </c>
      <c r="B92" s="120" t="s">
        <v>6</v>
      </c>
      <c r="C92" s="75" t="s">
        <v>888</v>
      </c>
      <c r="D92" s="88">
        <v>5449818.2699999996</v>
      </c>
      <c r="G92" s="1"/>
      <c r="L92" s="1"/>
      <c r="M92" s="1"/>
    </row>
    <row r="93" spans="1:13" s="2" customFormat="1" x14ac:dyDescent="0.2">
      <c r="A93" s="87"/>
      <c r="B93" s="74"/>
      <c r="C93" s="75"/>
      <c r="D93" s="51">
        <f>SUM(D78:D92)</f>
        <v>19520642.27</v>
      </c>
      <c r="F93" s="2" t="s">
        <v>396</v>
      </c>
      <c r="G93" s="1"/>
      <c r="I93" s="1"/>
      <c r="J93" s="1"/>
      <c r="K93" s="1"/>
      <c r="L93" s="1"/>
      <c r="M93" s="1"/>
    </row>
    <row r="94" spans="1:13" s="2" customFormat="1" x14ac:dyDescent="0.2">
      <c r="A94" s="8"/>
      <c r="B94" s="93"/>
      <c r="C94" s="76"/>
      <c r="D94" s="56"/>
      <c r="G94" s="1"/>
      <c r="I94" s="1"/>
      <c r="J94" s="1"/>
      <c r="K94" s="1"/>
      <c r="L94" s="1"/>
      <c r="M94" s="1"/>
    </row>
    <row r="95" spans="1:13" s="2" customFormat="1" x14ac:dyDescent="0.2">
      <c r="A95" s="24"/>
      <c r="B95" s="1"/>
      <c r="C95" s="218" t="s">
        <v>77</v>
      </c>
      <c r="D95" s="219"/>
      <c r="E95" s="219"/>
      <c r="F95" s="220"/>
      <c r="G95" s="54"/>
      <c r="I95" s="1"/>
      <c r="J95" s="1"/>
      <c r="K95" s="1"/>
      <c r="L95" s="1"/>
      <c r="M95" s="1"/>
    </row>
    <row r="96" spans="1:13" s="2" customFormat="1" x14ac:dyDescent="0.2">
      <c r="A96" s="24"/>
      <c r="B96" s="1"/>
      <c r="C96" s="50"/>
      <c r="D96" s="57" t="s">
        <v>78</v>
      </c>
      <c r="E96" s="58" t="s">
        <v>79</v>
      </c>
      <c r="F96" s="57" t="s">
        <v>72</v>
      </c>
      <c r="G96" s="54"/>
      <c r="I96" s="1"/>
      <c r="J96" s="1"/>
      <c r="K96" s="1"/>
      <c r="L96" s="1"/>
      <c r="M96" s="1"/>
    </row>
    <row r="97" spans="1:13" s="2" customFormat="1" x14ac:dyDescent="0.2">
      <c r="A97" s="24"/>
      <c r="B97" s="1"/>
      <c r="C97" s="59" t="str">
        <f>"01-04-2023 to "&amp;TEXT(A5-2,"dd-mm-yyyy")</f>
        <v>01-04-2023 to 16-04-2023</v>
      </c>
      <c r="D97" s="60">
        <v>2245.85</v>
      </c>
      <c r="E97" s="60">
        <v>289.13</v>
      </c>
      <c r="F97" s="61">
        <f>SUM(D97:E97)</f>
        <v>2534.98</v>
      </c>
      <c r="G97" s="54"/>
      <c r="I97" s="1"/>
      <c r="J97" s="1"/>
      <c r="K97" s="1"/>
      <c r="L97" s="1"/>
      <c r="M97" s="1"/>
    </row>
    <row r="98" spans="1:13" s="2" customFormat="1" x14ac:dyDescent="0.2">
      <c r="A98" s="24"/>
      <c r="B98" s="1"/>
      <c r="C98" s="62" t="str">
        <f>TEXT(A5-1,"dd-mm-yyyy")</f>
        <v>17-04-2023</v>
      </c>
      <c r="D98" s="60">
        <v>116.73</v>
      </c>
      <c r="E98" s="60">
        <v>33.83</v>
      </c>
      <c r="F98" s="61">
        <f>SUM(D98:E98)</f>
        <v>150.56</v>
      </c>
      <c r="G98" s="54"/>
      <c r="I98" s="1"/>
      <c r="J98" s="1"/>
      <c r="K98" s="1"/>
      <c r="L98" s="1"/>
      <c r="M98" s="1"/>
    </row>
    <row r="99" spans="1:13" ht="13.5" thickBot="1" x14ac:dyDescent="0.25">
      <c r="C99" s="63" t="str">
        <f>"01-04-2023 to "&amp;TEXT(A5-1,"dd-mm-yyyy")</f>
        <v>01-04-2023 to 17-04-2023</v>
      </c>
      <c r="D99" s="64">
        <f>SUM(D97:D98)</f>
        <v>2362.58</v>
      </c>
      <c r="E99" s="64">
        <f>SUM(E97:E98)</f>
        <v>322.95999999999998</v>
      </c>
      <c r="F99" s="64">
        <f>SUM(F97:F98)</f>
        <v>2685.54</v>
      </c>
      <c r="G99" s="54"/>
    </row>
    <row r="100" spans="1:13" s="2" customFormat="1" ht="13.5" thickTop="1" x14ac:dyDescent="0.2">
      <c r="A100" s="24"/>
      <c r="B100" s="1"/>
      <c r="C100" s="62"/>
      <c r="D100" s="65"/>
      <c r="E100" s="66"/>
      <c r="F100" s="67"/>
      <c r="G100" s="54"/>
      <c r="H100" s="53"/>
    </row>
    <row r="101" spans="1:13" x14ac:dyDescent="0.2">
      <c r="C101" s="62" t="str">
        <f>"01-04-2023 to " &amp;C98</f>
        <v>01-04-2023 to 17-04-2023</v>
      </c>
      <c r="D101" s="68">
        <f>+D99</f>
        <v>2362.58</v>
      </c>
      <c r="E101" s="68">
        <f>+E99</f>
        <v>322.95999999999998</v>
      </c>
      <c r="F101" s="68">
        <f>+F99</f>
        <v>2685.54</v>
      </c>
      <c r="G101" s="54"/>
      <c r="H101" s="53" t="s">
        <v>396</v>
      </c>
    </row>
    <row r="102" spans="1:13" x14ac:dyDescent="0.2">
      <c r="C102" s="52"/>
      <c r="D102" s="85"/>
      <c r="E102" s="53"/>
      <c r="F102" s="53"/>
      <c r="G102" s="54"/>
      <c r="H102" s="53" t="s">
        <v>396</v>
      </c>
      <c r="J102" s="42"/>
    </row>
    <row r="103" spans="1:13" x14ac:dyDescent="0.2">
      <c r="C103" s="52"/>
      <c r="D103" s="85"/>
      <c r="E103" s="53"/>
      <c r="F103" s="53"/>
      <c r="G103" s="54"/>
      <c r="H103" s="53"/>
      <c r="I103" s="101"/>
    </row>
    <row r="104" spans="1:13" x14ac:dyDescent="0.2">
      <c r="C104" s="52"/>
      <c r="D104" s="85"/>
      <c r="E104" s="53"/>
      <c r="F104" s="53"/>
      <c r="G104" s="54"/>
      <c r="H104" s="53"/>
    </row>
    <row r="105" spans="1:13" x14ac:dyDescent="0.2">
      <c r="C105" s="52"/>
      <c r="D105" s="85"/>
      <c r="E105" s="53"/>
      <c r="F105" s="53"/>
      <c r="G105" s="54"/>
      <c r="H105" s="53"/>
    </row>
    <row r="106" spans="1:13" x14ac:dyDescent="0.2">
      <c r="H106" s="53"/>
    </row>
  </sheetData>
  <mergeCells count="5">
    <mergeCell ref="A1:G1"/>
    <mergeCell ref="A3:F3"/>
    <mergeCell ref="A9:F9"/>
    <mergeCell ref="A76:D76"/>
    <mergeCell ref="C95:F95"/>
  </mergeCells>
  <conditionalFormatting sqref="G73:G74">
    <cfRule type="cellIs" dxfId="628" priority="1" operator="lessThan">
      <formula>0</formula>
    </cfRule>
  </conditionalFormatting>
  <conditionalFormatting sqref="C11">
    <cfRule type="duplicateValues" dxfId="627" priority="2"/>
  </conditionalFormatting>
  <conditionalFormatting sqref="C12:C53">
    <cfRule type="duplicateValues" dxfId="626" priority="443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310">
    <pageSetUpPr fitToPage="1"/>
  </sheetPr>
  <dimension ref="A1:N131"/>
  <sheetViews>
    <sheetView topLeftCell="B40" zoomScaleNormal="100" workbookViewId="0">
      <selection activeCell="C46" sqref="C46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49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890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2.75" customHeight="1" x14ac:dyDescent="0.4">
      <c r="A5" s="89">
        <v>45035</v>
      </c>
      <c r="B5" s="9" t="s">
        <v>6</v>
      </c>
      <c r="C5" s="10" t="s">
        <v>7</v>
      </c>
      <c r="D5" s="11"/>
      <c r="E5" s="12">
        <v>557118.69999999879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557118.69999999879</v>
      </c>
      <c r="F6" s="16">
        <f>SUM(F5:F5)</f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E6-F6</f>
        <v>557118.69999999879</v>
      </c>
      <c r="F7" s="22"/>
      <c r="G7" s="23"/>
      <c r="H7" s="112"/>
      <c r="I7" s="112"/>
      <c r="J7" s="13"/>
    </row>
    <row r="8" spans="1:10" s="2" customFormat="1" ht="12.75" customHeight="1" x14ac:dyDescent="0.4">
      <c r="A8" s="24"/>
      <c r="B8" s="1"/>
      <c r="C8" s="14"/>
      <c r="D8" s="25"/>
      <c r="G8" s="23"/>
      <c r="H8" s="112"/>
      <c r="I8" s="112"/>
      <c r="J8" s="13"/>
    </row>
    <row r="9" spans="1:10" s="2" customFormat="1" ht="21.75" customHeight="1" x14ac:dyDescent="0.4">
      <c r="A9" s="214" t="s">
        <v>10</v>
      </c>
      <c r="B9" s="214"/>
      <c r="C9" s="214"/>
      <c r="D9" s="214"/>
      <c r="E9" s="214"/>
      <c r="F9" s="214"/>
      <c r="G9" s="13"/>
      <c r="H9" s="112"/>
      <c r="I9" s="112"/>
      <c r="J9" s="13"/>
    </row>
    <row r="10" spans="1:10" s="2" customFormat="1" ht="12.75" customHeight="1" x14ac:dyDescent="0.4">
      <c r="A10" s="26" t="s">
        <v>1</v>
      </c>
      <c r="B10" s="27" t="s">
        <v>2</v>
      </c>
      <c r="C10" s="5"/>
      <c r="D10" s="6" t="s">
        <v>3</v>
      </c>
      <c r="E10" s="7" t="s">
        <v>4</v>
      </c>
      <c r="F10" s="7" t="s">
        <v>5</v>
      </c>
      <c r="G10" s="23"/>
      <c r="H10" s="112"/>
      <c r="I10" s="112"/>
      <c r="J10" s="13"/>
    </row>
    <row r="11" spans="1:10" s="2" customFormat="1" ht="12.75" customHeight="1" x14ac:dyDescent="0.2">
      <c r="A11" s="89">
        <v>45035</v>
      </c>
      <c r="B11" s="91" t="s">
        <v>11</v>
      </c>
      <c r="C11" s="29" t="s">
        <v>7</v>
      </c>
      <c r="D11" s="25"/>
      <c r="E11" s="31"/>
      <c r="F11" s="2">
        <v>348289686.66000021</v>
      </c>
      <c r="G11" s="30"/>
      <c r="I11" s="13"/>
      <c r="J11" s="13"/>
    </row>
    <row r="12" spans="1:10" s="2" customFormat="1" ht="12.75" customHeight="1" x14ac:dyDescent="0.2">
      <c r="A12" s="89">
        <v>45035</v>
      </c>
      <c r="B12" s="91" t="s">
        <v>6</v>
      </c>
      <c r="C12" s="76" t="s">
        <v>247</v>
      </c>
      <c r="D12" s="116" t="s">
        <v>13</v>
      </c>
      <c r="E12" s="31">
        <v>1739332.21</v>
      </c>
      <c r="G12" s="30"/>
      <c r="I12" s="13"/>
      <c r="J12" s="13"/>
    </row>
    <row r="13" spans="1:10" s="2" customFormat="1" ht="12.75" customHeight="1" x14ac:dyDescent="0.2">
      <c r="A13" s="89">
        <v>45035</v>
      </c>
      <c r="B13" s="91" t="s">
        <v>6</v>
      </c>
      <c r="C13" s="76" t="s">
        <v>119</v>
      </c>
      <c r="D13" s="116" t="s">
        <v>13</v>
      </c>
      <c r="E13" s="31">
        <v>3501743.82</v>
      </c>
      <c r="G13" s="30"/>
      <c r="I13" s="13"/>
      <c r="J13" s="13"/>
    </row>
    <row r="14" spans="1:10" s="2" customFormat="1" ht="12.75" customHeight="1" x14ac:dyDescent="0.2">
      <c r="A14" s="89">
        <v>45035</v>
      </c>
      <c r="B14" s="91" t="s">
        <v>6</v>
      </c>
      <c r="C14" s="76" t="s">
        <v>17</v>
      </c>
      <c r="D14" s="116" t="s">
        <v>13</v>
      </c>
      <c r="E14" s="31">
        <v>1383921</v>
      </c>
      <c r="G14" s="30"/>
      <c r="I14" s="13"/>
      <c r="J14" s="13"/>
    </row>
    <row r="15" spans="1:10" s="2" customFormat="1" ht="12.75" customHeight="1" x14ac:dyDescent="0.2">
      <c r="A15" s="89">
        <v>45035</v>
      </c>
      <c r="B15" s="91" t="s">
        <v>6</v>
      </c>
      <c r="C15" s="76" t="s">
        <v>15</v>
      </c>
      <c r="D15" s="116" t="s">
        <v>13</v>
      </c>
      <c r="E15" s="31">
        <v>48767.09</v>
      </c>
      <c r="G15" s="30"/>
      <c r="I15" s="13"/>
      <c r="J15" s="13"/>
    </row>
    <row r="16" spans="1:10" s="2" customFormat="1" ht="12.75" customHeight="1" x14ac:dyDescent="0.2">
      <c r="A16" s="89">
        <v>45035</v>
      </c>
      <c r="B16" s="91" t="s">
        <v>6</v>
      </c>
      <c r="C16" s="76" t="s">
        <v>634</v>
      </c>
      <c r="D16" s="116" t="s">
        <v>13</v>
      </c>
      <c r="E16" s="31">
        <v>1102.5</v>
      </c>
      <c r="G16" s="30"/>
      <c r="I16" s="13"/>
      <c r="J16" s="13"/>
    </row>
    <row r="17" spans="1:10" s="2" customFormat="1" ht="12.75" customHeight="1" x14ac:dyDescent="0.2">
      <c r="A17" s="89">
        <v>45035</v>
      </c>
      <c r="B17" s="91" t="s">
        <v>6</v>
      </c>
      <c r="C17" s="76" t="s">
        <v>12</v>
      </c>
      <c r="D17" s="116" t="s">
        <v>13</v>
      </c>
      <c r="E17" s="31">
        <v>5434146.3600000003</v>
      </c>
      <c r="G17" s="30"/>
      <c r="I17" s="13"/>
      <c r="J17" s="13"/>
    </row>
    <row r="18" spans="1:10" s="2" customFormat="1" ht="12.75" customHeight="1" x14ac:dyDescent="0.2">
      <c r="A18" s="89">
        <v>45035</v>
      </c>
      <c r="B18" s="91" t="s">
        <v>6</v>
      </c>
      <c r="C18" s="76" t="s">
        <v>271</v>
      </c>
      <c r="D18" s="116" t="s">
        <v>13</v>
      </c>
      <c r="E18" s="31">
        <v>97039</v>
      </c>
      <c r="G18" s="30"/>
      <c r="I18" s="13"/>
      <c r="J18" s="13"/>
    </row>
    <row r="19" spans="1:10" s="2" customFormat="1" ht="12.75" customHeight="1" x14ac:dyDescent="0.2">
      <c r="A19" s="89">
        <v>45035</v>
      </c>
      <c r="B19" s="91" t="s">
        <v>6</v>
      </c>
      <c r="C19" s="76" t="s">
        <v>891</v>
      </c>
      <c r="D19" s="116" t="s">
        <v>13</v>
      </c>
      <c r="E19" s="31">
        <v>45875</v>
      </c>
      <c r="G19" s="30"/>
      <c r="I19" s="13"/>
      <c r="J19" s="13"/>
    </row>
    <row r="20" spans="1:10" s="2" customFormat="1" ht="12.75" customHeight="1" x14ac:dyDescent="0.2">
      <c r="A20" s="89">
        <v>45035</v>
      </c>
      <c r="B20" s="91" t="s">
        <v>6</v>
      </c>
      <c r="C20" s="76" t="s">
        <v>145</v>
      </c>
      <c r="D20" s="116" t="s">
        <v>13</v>
      </c>
      <c r="E20" s="31">
        <v>8712200</v>
      </c>
      <c r="G20" s="30"/>
      <c r="I20" s="13"/>
      <c r="J20" s="13"/>
    </row>
    <row r="21" spans="1:10" s="2" customFormat="1" ht="12.75" customHeight="1" x14ac:dyDescent="0.2">
      <c r="A21" s="89">
        <v>45035</v>
      </c>
      <c r="B21" s="91" t="s">
        <v>6</v>
      </c>
      <c r="C21" s="76" t="s">
        <v>288</v>
      </c>
      <c r="D21" s="116" t="s">
        <v>13</v>
      </c>
      <c r="E21" s="31">
        <v>363151.61</v>
      </c>
      <c r="G21" s="30"/>
      <c r="I21" s="13"/>
      <c r="J21" s="13"/>
    </row>
    <row r="22" spans="1:10" s="2" customFormat="1" ht="12.75" customHeight="1" x14ac:dyDescent="0.2">
      <c r="A22" s="89">
        <v>45035</v>
      </c>
      <c r="B22" s="91" t="s">
        <v>6</v>
      </c>
      <c r="C22" s="76" t="s">
        <v>752</v>
      </c>
      <c r="D22" s="116" t="s">
        <v>13</v>
      </c>
      <c r="E22" s="31">
        <v>226853</v>
      </c>
      <c r="G22" s="30"/>
      <c r="I22" s="13"/>
      <c r="J22" s="13"/>
    </row>
    <row r="23" spans="1:10" s="2" customFormat="1" ht="12.75" customHeight="1" x14ac:dyDescent="0.2">
      <c r="A23" s="89">
        <v>45035</v>
      </c>
      <c r="B23" s="91" t="s">
        <v>6</v>
      </c>
      <c r="C23" s="76" t="s">
        <v>686</v>
      </c>
      <c r="D23" s="116" t="s">
        <v>13</v>
      </c>
      <c r="E23" s="31">
        <v>98026</v>
      </c>
      <c r="G23" s="30"/>
      <c r="I23" s="13"/>
      <c r="J23" s="13"/>
    </row>
    <row r="24" spans="1:10" s="2" customFormat="1" ht="12.75" customHeight="1" x14ac:dyDescent="0.2">
      <c r="A24" s="89">
        <v>45035</v>
      </c>
      <c r="B24" s="91" t="s">
        <v>6</v>
      </c>
      <c r="C24" s="76" t="s">
        <v>656</v>
      </c>
      <c r="D24" s="116" t="s">
        <v>13</v>
      </c>
      <c r="E24" s="31">
        <v>280120</v>
      </c>
      <c r="G24" s="30"/>
      <c r="I24" s="13"/>
      <c r="J24" s="13"/>
    </row>
    <row r="25" spans="1:10" s="2" customFormat="1" ht="12.75" customHeight="1" x14ac:dyDescent="0.2">
      <c r="A25" s="89">
        <v>45035</v>
      </c>
      <c r="B25" s="91" t="s">
        <v>6</v>
      </c>
      <c r="C25" s="76" t="s">
        <v>179</v>
      </c>
      <c r="D25" s="116" t="s">
        <v>13</v>
      </c>
      <c r="E25" s="31">
        <v>100000</v>
      </c>
      <c r="G25" s="30"/>
      <c r="I25" s="13"/>
      <c r="J25" s="13"/>
    </row>
    <row r="26" spans="1:10" s="2" customFormat="1" ht="12.75" customHeight="1" x14ac:dyDescent="0.2">
      <c r="A26" s="89">
        <v>45035</v>
      </c>
      <c r="B26" s="91" t="s">
        <v>6</v>
      </c>
      <c r="C26" s="76" t="s">
        <v>633</v>
      </c>
      <c r="D26" s="116" t="s">
        <v>13</v>
      </c>
      <c r="E26" s="31">
        <v>811812</v>
      </c>
      <c r="G26" s="30"/>
      <c r="I26" s="13"/>
      <c r="J26" s="13"/>
    </row>
    <row r="27" spans="1:10" s="2" customFormat="1" ht="12.75" customHeight="1" x14ac:dyDescent="0.2">
      <c r="A27" s="89">
        <v>45035</v>
      </c>
      <c r="B27" s="91" t="s">
        <v>6</v>
      </c>
      <c r="C27" s="76" t="s">
        <v>673</v>
      </c>
      <c r="D27" s="116" t="s">
        <v>13</v>
      </c>
      <c r="E27" s="31">
        <v>100000</v>
      </c>
      <c r="G27" s="30"/>
      <c r="I27" s="13"/>
      <c r="J27" s="13"/>
    </row>
    <row r="28" spans="1:10" s="2" customFormat="1" ht="12.75" customHeight="1" x14ac:dyDescent="0.2">
      <c r="A28" s="89">
        <v>45035</v>
      </c>
      <c r="B28" s="91" t="s">
        <v>6</v>
      </c>
      <c r="C28" s="76" t="s">
        <v>749</v>
      </c>
      <c r="D28" s="116" t="s">
        <v>13</v>
      </c>
      <c r="E28" s="31">
        <v>463141.7</v>
      </c>
      <c r="G28" s="30"/>
      <c r="I28" s="13"/>
      <c r="J28" s="13"/>
    </row>
    <row r="29" spans="1:10" s="2" customFormat="1" ht="12.75" customHeight="1" x14ac:dyDescent="0.2">
      <c r="A29" s="89">
        <v>45035</v>
      </c>
      <c r="B29" s="91" t="s">
        <v>6</v>
      </c>
      <c r="C29" s="76" t="s">
        <v>759</v>
      </c>
      <c r="D29" s="116" t="s">
        <v>13</v>
      </c>
      <c r="E29" s="31">
        <v>302175.59999999998</v>
      </c>
      <c r="G29" s="30"/>
      <c r="I29" s="13"/>
      <c r="J29" s="13"/>
    </row>
    <row r="30" spans="1:10" s="2" customFormat="1" ht="12.75" customHeight="1" x14ac:dyDescent="0.2">
      <c r="A30" s="89">
        <v>45035</v>
      </c>
      <c r="B30" s="91" t="s">
        <v>6</v>
      </c>
      <c r="C30" s="76" t="s">
        <v>245</v>
      </c>
      <c r="D30" s="116" t="s">
        <v>13</v>
      </c>
      <c r="E30" s="31">
        <v>500000</v>
      </c>
      <c r="G30" s="30"/>
      <c r="I30" s="13"/>
      <c r="J30" s="13"/>
    </row>
    <row r="31" spans="1:10" s="2" customFormat="1" ht="12.75" customHeight="1" x14ac:dyDescent="0.2">
      <c r="A31" s="89">
        <v>45035</v>
      </c>
      <c r="B31" s="91" t="s">
        <v>6</v>
      </c>
      <c r="C31" s="76" t="s">
        <v>421</v>
      </c>
      <c r="D31" s="116" t="s">
        <v>13</v>
      </c>
      <c r="E31" s="31">
        <v>500000</v>
      </c>
      <c r="G31" s="30"/>
      <c r="I31" s="13"/>
      <c r="J31" s="13"/>
    </row>
    <row r="32" spans="1:10" s="2" customFormat="1" ht="12.75" customHeight="1" x14ac:dyDescent="0.2">
      <c r="A32" s="89">
        <v>45035</v>
      </c>
      <c r="B32" s="91" t="s">
        <v>6</v>
      </c>
      <c r="C32" s="76" t="s">
        <v>266</v>
      </c>
      <c r="D32" s="116" t="s">
        <v>13</v>
      </c>
      <c r="E32" s="31">
        <v>400000</v>
      </c>
      <c r="G32" s="30"/>
      <c r="I32" s="13"/>
      <c r="J32" s="13"/>
    </row>
    <row r="33" spans="1:10" s="2" customFormat="1" ht="12.75" customHeight="1" x14ac:dyDescent="0.2">
      <c r="A33" s="89">
        <v>45035</v>
      </c>
      <c r="B33" s="91" t="s">
        <v>6</v>
      </c>
      <c r="C33" s="76" t="s">
        <v>755</v>
      </c>
      <c r="D33" s="116" t="s">
        <v>13</v>
      </c>
      <c r="E33" s="31">
        <v>65639.100000000006</v>
      </c>
      <c r="G33" s="30"/>
      <c r="I33" s="13"/>
      <c r="J33" s="13"/>
    </row>
    <row r="34" spans="1:10" s="2" customFormat="1" ht="12.75" customHeight="1" x14ac:dyDescent="0.2">
      <c r="A34" s="89">
        <v>45035</v>
      </c>
      <c r="B34" s="91" t="s">
        <v>6</v>
      </c>
      <c r="C34" s="76" t="s">
        <v>121</v>
      </c>
      <c r="D34" s="116" t="s">
        <v>13</v>
      </c>
      <c r="E34" s="31">
        <v>500000</v>
      </c>
      <c r="G34" s="30"/>
      <c r="I34" s="13"/>
      <c r="J34" s="13"/>
    </row>
    <row r="35" spans="1:10" s="2" customFormat="1" ht="12.75" customHeight="1" x14ac:dyDescent="0.2">
      <c r="A35" s="89">
        <v>45035</v>
      </c>
      <c r="B35" s="91" t="s">
        <v>6</v>
      </c>
      <c r="C35" s="76" t="s">
        <v>120</v>
      </c>
      <c r="D35" s="116" t="s">
        <v>13</v>
      </c>
      <c r="E35" s="31">
        <v>952778</v>
      </c>
      <c r="G35" s="30"/>
      <c r="I35" s="13"/>
      <c r="J35" s="13"/>
    </row>
    <row r="36" spans="1:10" s="2" customFormat="1" ht="12.75" customHeight="1" x14ac:dyDescent="0.2">
      <c r="A36" s="89">
        <v>45035</v>
      </c>
      <c r="B36" s="91" t="s">
        <v>6</v>
      </c>
      <c r="C36" s="76" t="s">
        <v>758</v>
      </c>
      <c r="D36" s="116" t="s">
        <v>13</v>
      </c>
      <c r="E36" s="31">
        <v>75114.7</v>
      </c>
      <c r="G36" s="30"/>
      <c r="I36" s="13"/>
      <c r="J36" s="13"/>
    </row>
    <row r="37" spans="1:10" s="2" customFormat="1" ht="12.75" customHeight="1" x14ac:dyDescent="0.2">
      <c r="A37" s="89">
        <v>45035</v>
      </c>
      <c r="B37" s="91" t="s">
        <v>6</v>
      </c>
      <c r="C37" s="76" t="s">
        <v>895</v>
      </c>
      <c r="D37" s="116" t="s">
        <v>13</v>
      </c>
      <c r="E37" s="31">
        <v>419358</v>
      </c>
      <c r="G37" s="30"/>
      <c r="I37" s="13"/>
      <c r="J37" s="13"/>
    </row>
    <row r="38" spans="1:10" s="2" customFormat="1" ht="12.75" customHeight="1" x14ac:dyDescent="0.2">
      <c r="A38" s="89">
        <v>45035</v>
      </c>
      <c r="B38" s="91" t="s">
        <v>6</v>
      </c>
      <c r="C38" s="76" t="s">
        <v>133</v>
      </c>
      <c r="D38" s="116" t="s">
        <v>13</v>
      </c>
      <c r="E38" s="31">
        <v>1224588</v>
      </c>
      <c r="G38" s="30"/>
      <c r="I38" s="13"/>
      <c r="J38" s="13"/>
    </row>
    <row r="39" spans="1:10" s="2" customFormat="1" ht="12.75" customHeight="1" x14ac:dyDescent="0.2">
      <c r="A39" s="89">
        <v>45035</v>
      </c>
      <c r="B39" s="91" t="s">
        <v>6</v>
      </c>
      <c r="C39" s="76" t="s">
        <v>19</v>
      </c>
      <c r="D39" s="116" t="s">
        <v>13</v>
      </c>
      <c r="E39" s="31">
        <v>325956</v>
      </c>
      <c r="G39" s="30"/>
      <c r="I39" s="13"/>
      <c r="J39" s="13"/>
    </row>
    <row r="40" spans="1:10" s="2" customFormat="1" ht="12.75" customHeight="1" x14ac:dyDescent="0.2">
      <c r="A40" s="89">
        <v>45035</v>
      </c>
      <c r="B40" s="91" t="s">
        <v>11</v>
      </c>
      <c r="C40" s="76" t="s">
        <v>64</v>
      </c>
      <c r="D40" s="116" t="s">
        <v>29</v>
      </c>
      <c r="E40" s="31"/>
      <c r="F40" s="2">
        <v>19108</v>
      </c>
      <c r="G40" s="30"/>
      <c r="I40" s="13"/>
      <c r="J40" s="13"/>
    </row>
    <row r="41" spans="1:10" s="2" customFormat="1" ht="12.75" customHeight="1" x14ac:dyDescent="0.2">
      <c r="A41" s="89">
        <v>45035</v>
      </c>
      <c r="B41" s="91" t="s">
        <v>11</v>
      </c>
      <c r="C41" s="76" t="s">
        <v>111</v>
      </c>
      <c r="D41" s="116" t="s">
        <v>29</v>
      </c>
      <c r="E41" s="31"/>
      <c r="F41" s="2">
        <f>5318326.79-3071433.1</f>
        <v>2246893.69</v>
      </c>
      <c r="G41" s="30"/>
      <c r="I41" s="13"/>
      <c r="J41" s="13"/>
    </row>
    <row r="42" spans="1:10" s="2" customFormat="1" ht="12.75" customHeight="1" x14ac:dyDescent="0.2">
      <c r="A42" s="89">
        <v>45035</v>
      </c>
      <c r="B42" s="91" t="s">
        <v>11</v>
      </c>
      <c r="C42" s="76" t="s">
        <v>199</v>
      </c>
      <c r="D42" s="116" t="s">
        <v>29</v>
      </c>
      <c r="E42" s="31"/>
      <c r="F42" s="2">
        <v>1195245</v>
      </c>
      <c r="G42" s="30"/>
      <c r="I42" s="13"/>
      <c r="J42" s="13"/>
    </row>
    <row r="43" spans="1:10" s="2" customFormat="1" ht="12.75" customHeight="1" x14ac:dyDescent="0.2">
      <c r="A43" s="89">
        <v>45035</v>
      </c>
      <c r="B43" s="91" t="s">
        <v>11</v>
      </c>
      <c r="C43" s="76" t="s">
        <v>125</v>
      </c>
      <c r="D43" s="116" t="s">
        <v>29</v>
      </c>
      <c r="E43" s="31"/>
      <c r="F43" s="2">
        <v>940891</v>
      </c>
      <c r="G43" s="30"/>
      <c r="I43" s="13"/>
      <c r="J43" s="13"/>
    </row>
    <row r="44" spans="1:10" s="2" customFormat="1" ht="12.75" customHeight="1" x14ac:dyDescent="0.2">
      <c r="A44" s="89">
        <v>45035</v>
      </c>
      <c r="B44" s="91" t="s">
        <v>11</v>
      </c>
      <c r="C44" s="76" t="s">
        <v>744</v>
      </c>
      <c r="D44" s="116" t="s">
        <v>29</v>
      </c>
      <c r="E44" s="31"/>
      <c r="F44" s="2">
        <v>2842</v>
      </c>
      <c r="G44" s="30"/>
      <c r="I44" s="13"/>
      <c r="J44" s="13"/>
    </row>
    <row r="45" spans="1:10" s="2" customFormat="1" ht="12.75" customHeight="1" x14ac:dyDescent="0.2">
      <c r="A45" s="89">
        <v>45035</v>
      </c>
      <c r="B45" s="91" t="s">
        <v>11</v>
      </c>
      <c r="C45" s="76" t="s">
        <v>62</v>
      </c>
      <c r="D45" s="116" t="s">
        <v>29</v>
      </c>
      <c r="E45" s="31"/>
      <c r="F45" s="2">
        <v>100000</v>
      </c>
      <c r="G45" s="30"/>
      <c r="I45" s="13"/>
      <c r="J45" s="13"/>
    </row>
    <row r="46" spans="1:10" s="2" customFormat="1" ht="12.75" customHeight="1" x14ac:dyDescent="0.2">
      <c r="A46" s="89">
        <v>45035</v>
      </c>
      <c r="B46" s="91" t="s">
        <v>11</v>
      </c>
      <c r="C46" s="76" t="s">
        <v>635</v>
      </c>
      <c r="D46" s="116" t="s">
        <v>29</v>
      </c>
      <c r="E46" s="31"/>
      <c r="F46" s="2">
        <v>984300</v>
      </c>
      <c r="G46" s="30"/>
      <c r="I46" s="13"/>
      <c r="J46" s="13"/>
    </row>
    <row r="47" spans="1:10" s="2" customFormat="1" ht="12.75" customHeight="1" x14ac:dyDescent="0.2">
      <c r="A47" s="89">
        <v>45035</v>
      </c>
      <c r="B47" s="91" t="s">
        <v>11</v>
      </c>
      <c r="C47" s="76" t="s">
        <v>256</v>
      </c>
      <c r="D47" s="116" t="s">
        <v>29</v>
      </c>
      <c r="E47" s="31"/>
      <c r="F47" s="2">
        <v>183040</v>
      </c>
      <c r="G47" s="30"/>
      <c r="I47" s="13"/>
      <c r="J47" s="13"/>
    </row>
    <row r="48" spans="1:10" s="2" customFormat="1" ht="12.75" customHeight="1" x14ac:dyDescent="0.2">
      <c r="A48" s="89">
        <v>45035</v>
      </c>
      <c r="B48" s="91" t="s">
        <v>11</v>
      </c>
      <c r="C48" s="76" t="s">
        <v>209</v>
      </c>
      <c r="D48" s="116" t="s">
        <v>29</v>
      </c>
      <c r="E48" s="31"/>
      <c r="F48" s="2">
        <v>50000</v>
      </c>
      <c r="G48" s="30"/>
      <c r="I48" s="13"/>
      <c r="J48" s="13"/>
    </row>
    <row r="49" spans="1:10" s="2" customFormat="1" ht="12.75" customHeight="1" x14ac:dyDescent="0.2">
      <c r="A49" s="89">
        <v>45035</v>
      </c>
      <c r="B49" s="91" t="s">
        <v>11</v>
      </c>
      <c r="C49" s="76" t="s">
        <v>585</v>
      </c>
      <c r="D49" s="116" t="s">
        <v>29</v>
      </c>
      <c r="E49" s="31"/>
      <c r="F49" s="2">
        <v>100000</v>
      </c>
      <c r="G49" s="30"/>
      <c r="I49" s="13"/>
      <c r="J49" s="13"/>
    </row>
    <row r="50" spans="1:10" s="2" customFormat="1" ht="12.75" customHeight="1" x14ac:dyDescent="0.2">
      <c r="A50" s="89">
        <v>45035</v>
      </c>
      <c r="B50" s="91" t="s">
        <v>11</v>
      </c>
      <c r="C50" s="76" t="s">
        <v>892</v>
      </c>
      <c r="D50" s="116" t="s">
        <v>29</v>
      </c>
      <c r="E50" s="31"/>
      <c r="F50" s="2">
        <v>77000</v>
      </c>
      <c r="G50" s="30"/>
      <c r="I50" s="13"/>
      <c r="J50" s="13"/>
    </row>
    <row r="51" spans="1:10" s="2" customFormat="1" ht="12.75" customHeight="1" x14ac:dyDescent="0.2">
      <c r="A51" s="89">
        <v>45035</v>
      </c>
      <c r="B51" s="91" t="s">
        <v>11</v>
      </c>
      <c r="C51" s="76" t="s">
        <v>453</v>
      </c>
      <c r="D51" s="116" t="s">
        <v>29</v>
      </c>
      <c r="E51" s="31"/>
      <c r="F51" s="2">
        <v>66497</v>
      </c>
      <c r="G51" s="30"/>
      <c r="I51" s="13"/>
      <c r="J51" s="13"/>
    </row>
    <row r="52" spans="1:10" s="2" customFormat="1" ht="12.75" customHeight="1" x14ac:dyDescent="0.2">
      <c r="A52" s="89">
        <v>45035</v>
      </c>
      <c r="B52" s="91" t="s">
        <v>11</v>
      </c>
      <c r="C52" s="76" t="s">
        <v>893</v>
      </c>
      <c r="D52" s="116" t="s">
        <v>29</v>
      </c>
      <c r="E52" s="31"/>
      <c r="F52" s="2">
        <v>33957</v>
      </c>
      <c r="G52" s="30"/>
      <c r="I52" s="13"/>
      <c r="J52" s="13"/>
    </row>
    <row r="53" spans="1:10" s="2" customFormat="1" ht="12.75" customHeight="1" x14ac:dyDescent="0.2">
      <c r="A53" s="89">
        <v>45035</v>
      </c>
      <c r="B53" s="91" t="s">
        <v>11</v>
      </c>
      <c r="C53" s="76" t="s">
        <v>392</v>
      </c>
      <c r="D53" s="116" t="s">
        <v>29</v>
      </c>
      <c r="E53" s="31"/>
      <c r="F53" s="2">
        <v>258954.72</v>
      </c>
      <c r="G53" s="30"/>
      <c r="I53" s="13"/>
      <c r="J53" s="13"/>
    </row>
    <row r="54" spans="1:10" s="2" customFormat="1" ht="12.75" customHeight="1" x14ac:dyDescent="0.2">
      <c r="A54" s="89">
        <v>45035</v>
      </c>
      <c r="B54" s="91" t="s">
        <v>11</v>
      </c>
      <c r="C54" s="76" t="s">
        <v>51</v>
      </c>
      <c r="D54" s="116" t="s">
        <v>29</v>
      </c>
      <c r="E54" s="31"/>
      <c r="F54" s="2">
        <v>33864</v>
      </c>
      <c r="G54" s="30"/>
      <c r="I54" s="13"/>
      <c r="J54" s="13"/>
    </row>
    <row r="55" spans="1:10" s="2" customFormat="1" ht="12.75" customHeight="1" x14ac:dyDescent="0.2">
      <c r="A55" s="89">
        <v>45035</v>
      </c>
      <c r="B55" s="91" t="s">
        <v>11</v>
      </c>
      <c r="C55" s="76" t="s">
        <v>447</v>
      </c>
      <c r="D55" s="116" t="s">
        <v>29</v>
      </c>
      <c r="E55" s="31"/>
      <c r="F55" s="2">
        <v>523152</v>
      </c>
      <c r="G55" s="30"/>
      <c r="I55" s="13"/>
      <c r="J55" s="13"/>
    </row>
    <row r="56" spans="1:10" s="2" customFormat="1" ht="12.75" customHeight="1" x14ac:dyDescent="0.2">
      <c r="A56" s="89">
        <v>45035</v>
      </c>
      <c r="B56" s="91" t="s">
        <v>11</v>
      </c>
      <c r="C56" s="76" t="s">
        <v>263</v>
      </c>
      <c r="D56" s="116" t="s">
        <v>29</v>
      </c>
      <c r="E56" s="31"/>
      <c r="F56" s="2">
        <v>42069</v>
      </c>
      <c r="G56" s="30"/>
      <c r="I56" s="13"/>
      <c r="J56" s="13"/>
    </row>
    <row r="57" spans="1:10" s="2" customFormat="1" ht="12.75" customHeight="1" x14ac:dyDescent="0.2">
      <c r="A57" s="89">
        <v>45035</v>
      </c>
      <c r="B57" s="91" t="s">
        <v>11</v>
      </c>
      <c r="C57" s="76" t="s">
        <v>194</v>
      </c>
      <c r="D57" s="116" t="s">
        <v>29</v>
      </c>
      <c r="E57" s="31"/>
      <c r="F57" s="2">
        <v>1489375</v>
      </c>
      <c r="G57" s="30"/>
      <c r="I57" s="13"/>
      <c r="J57" s="13"/>
    </row>
    <row r="58" spans="1:10" s="2" customFormat="1" ht="12.75" customHeight="1" x14ac:dyDescent="0.2">
      <c r="A58" s="89">
        <v>45035</v>
      </c>
      <c r="B58" s="91" t="s">
        <v>11</v>
      </c>
      <c r="C58" s="76" t="s">
        <v>50</v>
      </c>
      <c r="D58" s="116" t="s">
        <v>29</v>
      </c>
      <c r="E58" s="31"/>
      <c r="F58" s="2">
        <v>166001</v>
      </c>
      <c r="G58" s="30"/>
      <c r="I58" s="13"/>
      <c r="J58" s="13"/>
    </row>
    <row r="59" spans="1:10" s="2" customFormat="1" ht="12.75" customHeight="1" x14ac:dyDescent="0.2">
      <c r="A59" s="89">
        <v>45035</v>
      </c>
      <c r="B59" s="91" t="s">
        <v>11</v>
      </c>
      <c r="C59" s="76" t="s">
        <v>825</v>
      </c>
      <c r="D59" s="116" t="s">
        <v>29</v>
      </c>
      <c r="E59" s="31"/>
      <c r="F59" s="2">
        <v>523650</v>
      </c>
      <c r="G59" s="30"/>
      <c r="I59" s="13"/>
      <c r="J59" s="13"/>
    </row>
    <row r="60" spans="1:10" s="2" customFormat="1" ht="12.75" customHeight="1" x14ac:dyDescent="0.2">
      <c r="A60" s="89">
        <v>45035</v>
      </c>
      <c r="B60" s="91" t="s">
        <v>11</v>
      </c>
      <c r="C60" s="76" t="s">
        <v>790</v>
      </c>
      <c r="D60" s="116" t="s">
        <v>29</v>
      </c>
      <c r="E60" s="31"/>
      <c r="F60" s="2">
        <v>251597</v>
      </c>
      <c r="G60" s="30"/>
      <c r="I60" s="13"/>
      <c r="J60" s="13"/>
    </row>
    <row r="61" spans="1:10" s="2" customFormat="1" ht="12.75" customHeight="1" x14ac:dyDescent="0.2">
      <c r="A61" s="89">
        <v>45035</v>
      </c>
      <c r="B61" s="91" t="s">
        <v>11</v>
      </c>
      <c r="C61" s="76" t="s">
        <v>193</v>
      </c>
      <c r="D61" s="116" t="s">
        <v>29</v>
      </c>
      <c r="E61" s="31"/>
      <c r="F61" s="2">
        <v>722445</v>
      </c>
      <c r="G61" s="30"/>
      <c r="I61" s="13"/>
      <c r="J61" s="13"/>
    </row>
    <row r="62" spans="1:10" s="2" customFormat="1" ht="12.75" customHeight="1" x14ac:dyDescent="0.2">
      <c r="A62" s="89">
        <v>45035</v>
      </c>
      <c r="B62" s="91" t="s">
        <v>11</v>
      </c>
      <c r="C62" s="76" t="s">
        <v>814</v>
      </c>
      <c r="D62" s="116" t="s">
        <v>29</v>
      </c>
      <c r="E62" s="31"/>
      <c r="F62" s="2">
        <v>68379</v>
      </c>
      <c r="G62" s="30"/>
      <c r="I62" s="13"/>
      <c r="J62" s="13"/>
    </row>
    <row r="63" spans="1:10" s="2" customFormat="1" ht="12.75" customHeight="1" x14ac:dyDescent="0.2">
      <c r="A63" s="89">
        <v>45035</v>
      </c>
      <c r="B63" s="91" t="s">
        <v>11</v>
      </c>
      <c r="C63" s="76" t="s">
        <v>56</v>
      </c>
      <c r="D63" s="116" t="s">
        <v>29</v>
      </c>
      <c r="E63" s="31"/>
      <c r="F63" s="2">
        <v>281420</v>
      </c>
      <c r="G63" s="30"/>
      <c r="I63" s="13"/>
      <c r="J63" s="13"/>
    </row>
    <row r="64" spans="1:10" s="2" customFormat="1" ht="12.75" customHeight="1" x14ac:dyDescent="0.2">
      <c r="A64" s="89">
        <v>45035</v>
      </c>
      <c r="B64" s="91" t="s">
        <v>11</v>
      </c>
      <c r="C64" s="76" t="s">
        <v>139</v>
      </c>
      <c r="D64" s="116" t="s">
        <v>29</v>
      </c>
      <c r="E64" s="31"/>
      <c r="F64" s="2">
        <v>1271081</v>
      </c>
      <c r="G64" s="30"/>
      <c r="I64" s="13"/>
      <c r="J64" s="13"/>
    </row>
    <row r="65" spans="1:14" s="2" customFormat="1" ht="12.75" customHeight="1" x14ac:dyDescent="0.2">
      <c r="A65" s="89">
        <v>45035</v>
      </c>
      <c r="B65" s="91" t="s">
        <v>11</v>
      </c>
      <c r="C65" s="76" t="s">
        <v>300</v>
      </c>
      <c r="D65" s="116" t="s">
        <v>29</v>
      </c>
      <c r="E65" s="31"/>
      <c r="F65" s="2">
        <v>339463.5</v>
      </c>
      <c r="G65" s="30"/>
      <c r="I65" s="13"/>
      <c r="J65" s="13"/>
    </row>
    <row r="66" spans="1:14" s="2" customFormat="1" ht="12.75" customHeight="1" x14ac:dyDescent="0.2">
      <c r="A66" s="89">
        <v>45035</v>
      </c>
      <c r="B66" s="91" t="s">
        <v>11</v>
      </c>
      <c r="C66" s="76" t="s">
        <v>724</v>
      </c>
      <c r="D66" s="116" t="s">
        <v>29</v>
      </c>
      <c r="E66" s="31"/>
      <c r="F66" s="2">
        <v>40653</v>
      </c>
      <c r="G66" s="30"/>
      <c r="I66" s="13"/>
      <c r="J66" s="13"/>
    </row>
    <row r="67" spans="1:14" s="2" customFormat="1" ht="12.75" customHeight="1" x14ac:dyDescent="0.2">
      <c r="A67" s="89">
        <v>45035</v>
      </c>
      <c r="B67" s="91" t="s">
        <v>11</v>
      </c>
      <c r="C67" s="76" t="s">
        <v>41</v>
      </c>
      <c r="D67" s="116" t="s">
        <v>29</v>
      </c>
      <c r="E67" s="31"/>
      <c r="F67" s="2">
        <v>58946</v>
      </c>
      <c r="G67" s="30"/>
      <c r="I67" s="13"/>
      <c r="J67" s="13"/>
    </row>
    <row r="68" spans="1:14" s="2" customFormat="1" ht="12.75" customHeight="1" x14ac:dyDescent="0.2">
      <c r="A68" s="89">
        <v>45035</v>
      </c>
      <c r="B68" s="91" t="s">
        <v>11</v>
      </c>
      <c r="C68" s="76" t="s">
        <v>255</v>
      </c>
      <c r="D68" s="116" t="s">
        <v>29</v>
      </c>
      <c r="E68" s="31"/>
      <c r="F68" s="2">
        <v>71336</v>
      </c>
      <c r="G68" s="30"/>
      <c r="I68" s="13"/>
      <c r="J68" s="13"/>
    </row>
    <row r="69" spans="1:14" s="2" customFormat="1" ht="12.75" customHeight="1" x14ac:dyDescent="0.2">
      <c r="A69" s="89">
        <v>45035</v>
      </c>
      <c r="B69" s="91" t="s">
        <v>11</v>
      </c>
      <c r="C69" s="76" t="s">
        <v>363</v>
      </c>
      <c r="D69" s="116" t="s">
        <v>29</v>
      </c>
      <c r="E69" s="31"/>
      <c r="F69" s="2">
        <v>81625</v>
      </c>
      <c r="G69" s="30"/>
      <c r="I69" s="13"/>
      <c r="J69" s="13"/>
    </row>
    <row r="70" spans="1:14" s="2" customFormat="1" ht="12.75" customHeight="1" x14ac:dyDescent="0.2">
      <c r="A70" s="89">
        <v>45035</v>
      </c>
      <c r="B70" s="91" t="s">
        <v>11</v>
      </c>
      <c r="C70" s="76" t="s">
        <v>616</v>
      </c>
      <c r="D70" s="116" t="s">
        <v>29</v>
      </c>
      <c r="E70" s="31"/>
      <c r="F70" s="2">
        <v>96200</v>
      </c>
      <c r="G70" s="30"/>
      <c r="I70" s="13"/>
      <c r="J70" s="13"/>
    </row>
    <row r="71" spans="1:14" s="2" customFormat="1" ht="12.75" customHeight="1" x14ac:dyDescent="0.2">
      <c r="A71" s="89">
        <v>45035</v>
      </c>
      <c r="B71" s="91" t="s">
        <v>11</v>
      </c>
      <c r="C71" s="76" t="s">
        <v>97</v>
      </c>
      <c r="D71" s="116" t="s">
        <v>29</v>
      </c>
      <c r="E71" s="31"/>
      <c r="F71" s="2">
        <v>4768495</v>
      </c>
      <c r="G71" s="30"/>
      <c r="I71" s="13"/>
      <c r="J71" s="13"/>
    </row>
    <row r="72" spans="1:14" s="2" customFormat="1" ht="12.75" customHeight="1" x14ac:dyDescent="0.2">
      <c r="A72" s="89">
        <v>45035</v>
      </c>
      <c r="B72" s="91" t="s">
        <v>11</v>
      </c>
      <c r="C72" s="76" t="s">
        <v>63</v>
      </c>
      <c r="D72" s="116" t="s">
        <v>29</v>
      </c>
      <c r="E72" s="31"/>
      <c r="F72" s="2">
        <v>5700000</v>
      </c>
      <c r="G72" s="30"/>
      <c r="I72" s="13"/>
      <c r="J72" s="13"/>
    </row>
    <row r="73" spans="1:14" s="2" customFormat="1" ht="12.75" customHeight="1" x14ac:dyDescent="0.2">
      <c r="A73" s="89">
        <v>45035</v>
      </c>
      <c r="B73" s="91" t="s">
        <v>11</v>
      </c>
      <c r="C73" s="76" t="s">
        <v>780</v>
      </c>
      <c r="D73" s="116" t="s">
        <v>29</v>
      </c>
      <c r="E73" s="31"/>
      <c r="F73" s="2">
        <v>2009891</v>
      </c>
      <c r="G73" s="30"/>
      <c r="I73" s="13"/>
      <c r="J73" s="13"/>
    </row>
    <row r="74" spans="1:14" s="2" customFormat="1" ht="12.75" customHeight="1" x14ac:dyDescent="0.2">
      <c r="A74" s="89">
        <v>45035</v>
      </c>
      <c r="B74" s="91" t="s">
        <v>11</v>
      </c>
      <c r="C74" s="76" t="s">
        <v>520</v>
      </c>
      <c r="D74" s="116" t="s">
        <v>29</v>
      </c>
      <c r="E74" s="31"/>
      <c r="F74" s="2">
        <v>2254308</v>
      </c>
      <c r="G74" s="30"/>
      <c r="I74" s="13"/>
      <c r="J74" s="13"/>
    </row>
    <row r="75" spans="1:14" s="2" customFormat="1" ht="12.75" customHeight="1" x14ac:dyDescent="0.2">
      <c r="A75" s="89">
        <v>45035</v>
      </c>
      <c r="B75" s="91" t="s">
        <v>11</v>
      </c>
      <c r="C75" s="76" t="s">
        <v>894</v>
      </c>
      <c r="D75" s="116" t="s">
        <v>29</v>
      </c>
      <c r="E75" s="31"/>
      <c r="F75" s="2">
        <v>975000</v>
      </c>
      <c r="G75" s="30"/>
      <c r="I75" s="13"/>
      <c r="J75" s="13"/>
    </row>
    <row r="76" spans="1:14" s="2" customFormat="1" ht="12.75" customHeight="1" x14ac:dyDescent="0.2">
      <c r="A76" s="89">
        <v>45035</v>
      </c>
      <c r="B76" s="91" t="s">
        <v>11</v>
      </c>
      <c r="C76" s="76" t="s">
        <v>896</v>
      </c>
      <c r="D76" s="116" t="s">
        <v>29</v>
      </c>
      <c r="E76" s="31"/>
      <c r="F76" s="2">
        <v>1246</v>
      </c>
      <c r="G76" s="30"/>
      <c r="I76" s="13"/>
      <c r="J76" s="13"/>
    </row>
    <row r="77" spans="1:14" s="2" customFormat="1" ht="12.75" customHeight="1" x14ac:dyDescent="0.2">
      <c r="A77" s="89">
        <v>45035</v>
      </c>
      <c r="B77" s="91" t="s">
        <v>11</v>
      </c>
      <c r="C77" s="76" t="s">
        <v>897</v>
      </c>
      <c r="D77" s="116" t="s">
        <v>29</v>
      </c>
      <c r="E77" s="31"/>
      <c r="F77" s="2">
        <v>11050</v>
      </c>
      <c r="G77" s="30"/>
      <c r="I77" s="13"/>
      <c r="J77" s="13"/>
    </row>
    <row r="78" spans="1:14" s="2" customFormat="1" ht="12.75" customHeight="1" x14ac:dyDescent="0.2">
      <c r="A78" s="89">
        <v>45035</v>
      </c>
      <c r="B78" s="91" t="s">
        <v>11</v>
      </c>
      <c r="C78" s="76" t="s">
        <v>631</v>
      </c>
      <c r="D78" s="116" t="s">
        <v>29</v>
      </c>
      <c r="E78" s="31"/>
      <c r="F78" s="2">
        <v>80000</v>
      </c>
      <c r="G78" s="30"/>
      <c r="I78" s="13"/>
      <c r="J78" s="99" t="s">
        <v>601</v>
      </c>
      <c r="K78" s="99" t="s">
        <v>779</v>
      </c>
    </row>
    <row r="79" spans="1:14" s="2" customFormat="1" ht="12.75" customHeight="1" x14ac:dyDescent="0.25">
      <c r="A79" s="32"/>
      <c r="B79" s="33"/>
      <c r="C79" s="14"/>
      <c r="D79" s="34"/>
      <c r="E79" s="16">
        <f>SUM(E11:E78)</f>
        <v>28672840.690000001</v>
      </c>
      <c r="F79" s="16">
        <f>SUM(F11:F78)</f>
        <v>376409661.57000023</v>
      </c>
      <c r="G79" s="30"/>
      <c r="H79" s="1"/>
      <c r="I79" s="39">
        <v>363910964.88</v>
      </c>
      <c r="J79" s="2">
        <f>1972203+1220426+1321352+3017518+1289323+6957541</f>
        <v>15778363</v>
      </c>
      <c r="K79" s="92">
        <f>E80-I79</f>
        <v>-16174143.999999762</v>
      </c>
      <c r="L79" s="41"/>
      <c r="M79" s="42">
        <f>K79+J79</f>
        <v>-395780.99999976158</v>
      </c>
      <c r="N79" s="1"/>
    </row>
    <row r="80" spans="1:14" s="2" customFormat="1" x14ac:dyDescent="0.2">
      <c r="A80" s="36"/>
      <c r="B80" s="28" t="s">
        <v>11</v>
      </c>
      <c r="C80" s="19" t="s">
        <v>65</v>
      </c>
      <c r="D80" s="37"/>
      <c r="E80" s="38">
        <f>F79-E79</f>
        <v>347736820.88000023</v>
      </c>
      <c r="F80" s="22"/>
      <c r="G80" s="1"/>
      <c r="H80" s="1"/>
      <c r="J80" s="1"/>
      <c r="K80" s="1"/>
      <c r="L80" s="1"/>
      <c r="M80" s="1"/>
      <c r="N80" s="1"/>
    </row>
    <row r="81" spans="1:14" x14ac:dyDescent="0.2">
      <c r="A81" s="36"/>
      <c r="B81" s="28" t="s">
        <v>66</v>
      </c>
      <c r="C81" s="43" t="s">
        <v>67</v>
      </c>
      <c r="D81" s="43"/>
      <c r="E81" s="12">
        <v>0</v>
      </c>
      <c r="F81" s="22"/>
      <c r="H81" s="40"/>
      <c r="I81" s="45">
        <v>1720.14</v>
      </c>
      <c r="J81" s="46"/>
      <c r="K81" s="46"/>
      <c r="L81" s="13"/>
      <c r="M81" s="2"/>
      <c r="N81" s="2"/>
    </row>
    <row r="82" spans="1:14" ht="15" x14ac:dyDescent="0.25">
      <c r="A82" s="36"/>
      <c r="B82" s="28"/>
      <c r="C82" s="44" t="s">
        <v>68</v>
      </c>
      <c r="D82" s="43"/>
      <c r="E82" s="7">
        <f>E80+E81</f>
        <v>347736820.88000023</v>
      </c>
      <c r="F82" s="22"/>
      <c r="H82" s="103" t="s">
        <v>69</v>
      </c>
      <c r="I82" s="45">
        <v>-12.51</v>
      </c>
      <c r="J82" s="46"/>
      <c r="K82" s="46"/>
      <c r="L82" s="2"/>
      <c r="M82" s="2"/>
      <c r="N82" s="2"/>
    </row>
    <row r="83" spans="1:14" s="2" customFormat="1" x14ac:dyDescent="0.2">
      <c r="A83" s="24"/>
      <c r="B83" s="1"/>
      <c r="C83" s="14"/>
      <c r="D83" s="25"/>
      <c r="E83" s="1"/>
      <c r="H83" s="35" t="s">
        <v>70</v>
      </c>
      <c r="I83" s="45">
        <v>0</v>
      </c>
      <c r="J83" s="46">
        <f>+I84-D86</f>
        <v>0</v>
      </c>
      <c r="M83" s="2">
        <v>19.57</v>
      </c>
      <c r="N83" s="2" t="s">
        <v>535</v>
      </c>
    </row>
    <row r="84" spans="1:14" s="2" customFormat="1" x14ac:dyDescent="0.2">
      <c r="A84" s="24"/>
      <c r="B84" s="1"/>
      <c r="C84" s="56"/>
      <c r="D84" s="56"/>
      <c r="E84" s="104"/>
      <c r="G84" s="1"/>
      <c r="I84" s="49">
        <f>SUM(I81:I83)</f>
        <v>1707.63</v>
      </c>
      <c r="J84" s="46"/>
      <c r="K84" s="46"/>
    </row>
    <row r="85" spans="1:14" s="2" customFormat="1" x14ac:dyDescent="0.2">
      <c r="A85" s="24"/>
      <c r="B85" s="1"/>
      <c r="C85" s="78" t="s">
        <v>575</v>
      </c>
      <c r="D85" s="48" t="s">
        <v>576</v>
      </c>
      <c r="E85" s="104"/>
      <c r="G85" s="1"/>
    </row>
    <row r="86" spans="1:14" s="2" customFormat="1" x14ac:dyDescent="0.2">
      <c r="A86" s="24"/>
      <c r="B86" s="1"/>
      <c r="C86" s="47" t="s">
        <v>570</v>
      </c>
      <c r="D86" s="111">
        <v>1707.63</v>
      </c>
      <c r="E86" s="104"/>
      <c r="G86" s="1"/>
      <c r="H86" s="110" t="s">
        <v>581</v>
      </c>
    </row>
    <row r="87" spans="1:14" s="2" customFormat="1" x14ac:dyDescent="0.2">
      <c r="A87" s="24"/>
      <c r="B87" s="1"/>
      <c r="C87" s="47" t="s">
        <v>571</v>
      </c>
      <c r="D87" s="111">
        <v>12.32</v>
      </c>
      <c r="E87" s="104"/>
      <c r="G87" s="1"/>
      <c r="H87" s="110" t="s">
        <v>580</v>
      </c>
    </row>
    <row r="88" spans="1:14" s="2" customFormat="1" x14ac:dyDescent="0.2">
      <c r="A88" s="24"/>
      <c r="B88" s="1"/>
      <c r="C88" s="47" t="s">
        <v>572</v>
      </c>
      <c r="D88" s="111">
        <f>+D118/100000</f>
        <v>195.20642269999999</v>
      </c>
      <c r="E88" s="104"/>
      <c r="G88" s="1"/>
      <c r="H88" s="90" t="s">
        <v>587</v>
      </c>
    </row>
    <row r="89" spans="1:14" s="2" customFormat="1" x14ac:dyDescent="0.2">
      <c r="A89" s="24"/>
      <c r="B89" s="1"/>
      <c r="C89" s="108" t="s">
        <v>578</v>
      </c>
      <c r="D89" s="48">
        <f>SUM(D86:D88)</f>
        <v>1915.1564227000001</v>
      </c>
      <c r="E89" s="104"/>
      <c r="G89" s="1"/>
    </row>
    <row r="90" spans="1:14" s="2" customFormat="1" x14ac:dyDescent="0.2">
      <c r="A90" s="24"/>
      <c r="B90" s="1"/>
      <c r="C90" s="47"/>
      <c r="D90" s="107"/>
      <c r="E90" s="104"/>
      <c r="G90" s="1"/>
    </row>
    <row r="91" spans="1:14" s="2" customFormat="1" x14ac:dyDescent="0.2">
      <c r="A91" s="24"/>
      <c r="B91" s="1"/>
      <c r="C91" s="47" t="s">
        <v>573</v>
      </c>
      <c r="D91" s="111">
        <v>3.36</v>
      </c>
      <c r="E91" s="104"/>
      <c r="G91" s="1"/>
      <c r="H91" s="110" t="s">
        <v>581</v>
      </c>
    </row>
    <row r="92" spans="1:14" s="2" customFormat="1" x14ac:dyDescent="0.2">
      <c r="A92" s="24"/>
      <c r="B92" s="1"/>
      <c r="C92" s="47" t="s">
        <v>574</v>
      </c>
      <c r="D92" s="111">
        <f>387.49-18.21</f>
        <v>369.28000000000003</v>
      </c>
      <c r="E92" s="104"/>
      <c r="G92" s="1"/>
      <c r="H92" s="110" t="s">
        <v>581</v>
      </c>
      <c r="J92" s="114" t="s">
        <v>713</v>
      </c>
    </row>
    <row r="93" spans="1:14" s="2" customFormat="1" x14ac:dyDescent="0.2">
      <c r="A93" s="24"/>
      <c r="B93" s="1"/>
      <c r="C93" s="78" t="s">
        <v>579</v>
      </c>
      <c r="D93" s="109">
        <f>D91+D92</f>
        <v>372.64000000000004</v>
      </c>
      <c r="E93" s="104"/>
      <c r="G93" s="1"/>
      <c r="I93" s="113"/>
      <c r="J93" s="113" t="s">
        <v>709</v>
      </c>
      <c r="K93" s="113" t="s">
        <v>710</v>
      </c>
      <c r="L93" s="113" t="s">
        <v>711</v>
      </c>
      <c r="M93" s="113" t="s">
        <v>712</v>
      </c>
    </row>
    <row r="94" spans="1:14" s="2" customFormat="1" x14ac:dyDescent="0.2">
      <c r="A94" s="24"/>
      <c r="B94" s="1"/>
      <c r="C94" s="105"/>
      <c r="D94" s="106"/>
      <c r="E94" s="104"/>
      <c r="G94" s="1"/>
      <c r="I94" s="113" t="s">
        <v>706</v>
      </c>
      <c r="J94" s="115"/>
      <c r="K94" s="115">
        <v>968.99</v>
      </c>
      <c r="L94" s="115">
        <v>968.99</v>
      </c>
      <c r="M94" s="113">
        <f>+J94+L94-K94</f>
        <v>0</v>
      </c>
    </row>
    <row r="95" spans="1:14" s="2" customFormat="1" x14ac:dyDescent="0.2">
      <c r="A95" s="24"/>
      <c r="B95" s="1"/>
      <c r="C95" s="78" t="s">
        <v>577</v>
      </c>
      <c r="D95" s="109">
        <f>D86+D93</f>
        <v>2080.27</v>
      </c>
      <c r="E95" s="104"/>
      <c r="G95" s="1"/>
      <c r="I95" s="113" t="s">
        <v>707</v>
      </c>
      <c r="J95" s="115">
        <v>183.1</v>
      </c>
      <c r="K95" s="115">
        <v>1453.86</v>
      </c>
      <c r="L95" s="115">
        <v>1918.56</v>
      </c>
      <c r="M95" s="113">
        <f>+J95+L95-K95</f>
        <v>647.79999999999995</v>
      </c>
    </row>
    <row r="96" spans="1:14" s="2" customFormat="1" x14ac:dyDescent="0.2">
      <c r="A96" s="24"/>
      <c r="B96" s="1"/>
      <c r="C96" s="56"/>
      <c r="D96" s="56"/>
      <c r="E96" s="104"/>
      <c r="G96" s="1"/>
      <c r="I96" s="113" t="s">
        <v>708</v>
      </c>
      <c r="J96" s="115">
        <v>1371.02</v>
      </c>
      <c r="K96" s="115">
        <v>10152.92</v>
      </c>
      <c r="L96" s="115">
        <v>10680.79</v>
      </c>
      <c r="M96" s="113">
        <f>+J96+L96-K96</f>
        <v>1898.8900000000012</v>
      </c>
    </row>
    <row r="97" spans="1:13" s="2" customFormat="1" ht="38.25" x14ac:dyDescent="0.2">
      <c r="A97" s="24"/>
      <c r="B97" s="1"/>
      <c r="C97" s="79" t="str">
        <f>"Particulars ( 01-04-2021 to "&amp;TEXT(A5,"dd-mm-yyyy")&amp;" )"</f>
        <v>Particulars ( 01-04-2021 to 19-04-2023 )</v>
      </c>
      <c r="D97" s="80" t="s">
        <v>73</v>
      </c>
      <c r="E97" s="80" t="s">
        <v>74</v>
      </c>
      <c r="F97" s="81" t="s">
        <v>75</v>
      </c>
      <c r="G97" s="80" t="s">
        <v>76</v>
      </c>
      <c r="J97" s="118">
        <f>SUM(J94:J96)</f>
        <v>1554.12</v>
      </c>
      <c r="K97" s="118">
        <f>SUM(K94:K96)</f>
        <v>12575.77</v>
      </c>
      <c r="L97" s="118">
        <f>SUM(L94:L96)</f>
        <v>13568.34</v>
      </c>
      <c r="M97" s="118">
        <f>SUM(M94:M96)</f>
        <v>2546.6900000000014</v>
      </c>
    </row>
    <row r="98" spans="1:13" s="2" customFormat="1" x14ac:dyDescent="0.2">
      <c r="A98" s="24"/>
      <c r="B98" s="1"/>
      <c r="C98" s="50" t="s">
        <v>444</v>
      </c>
      <c r="D98" s="55">
        <f>+L94+L95+J95</f>
        <v>3070.65</v>
      </c>
      <c r="E98" s="55">
        <f>+K94+K95</f>
        <v>2422.85</v>
      </c>
      <c r="F98" s="55">
        <f>+D98-E98</f>
        <v>647.80000000000018</v>
      </c>
      <c r="G98" s="55">
        <f>1500-F98</f>
        <v>852.19999999999982</v>
      </c>
      <c r="H98" s="2" t="s">
        <v>396</v>
      </c>
    </row>
    <row r="99" spans="1:13" s="2" customFormat="1" x14ac:dyDescent="0.2">
      <c r="A99" s="24"/>
      <c r="B99" s="1"/>
      <c r="C99" s="50" t="s">
        <v>71</v>
      </c>
      <c r="D99" s="55">
        <f>+J96+L96</f>
        <v>12051.810000000001</v>
      </c>
      <c r="E99" s="55">
        <f>+K96</f>
        <v>10152.92</v>
      </c>
      <c r="F99" s="55">
        <f>+D99-E99</f>
        <v>1898.8900000000012</v>
      </c>
      <c r="G99" s="55">
        <f>1500+700-F99</f>
        <v>301.10999999999876</v>
      </c>
      <c r="H99" s="2" t="s">
        <v>396</v>
      </c>
    </row>
    <row r="100" spans="1:13" s="2" customFormat="1" x14ac:dyDescent="0.2">
      <c r="A100" s="24"/>
      <c r="B100" s="1"/>
      <c r="C100" s="14"/>
      <c r="D100" s="56"/>
      <c r="E100" s="13"/>
      <c r="G100" s="1"/>
    </row>
    <row r="101" spans="1:13" s="2" customFormat="1" x14ac:dyDescent="0.2">
      <c r="A101" s="215" t="s">
        <v>80</v>
      </c>
      <c r="B101" s="216"/>
      <c r="C101" s="216"/>
      <c r="D101" s="217"/>
      <c r="E101" s="69"/>
      <c r="F101" s="70"/>
      <c r="G101" s="1"/>
      <c r="H101" s="53"/>
    </row>
    <row r="102" spans="1:13" s="2" customFormat="1" x14ac:dyDescent="0.2">
      <c r="A102" s="71" t="s">
        <v>81</v>
      </c>
      <c r="B102" s="71"/>
      <c r="C102" s="72" t="s">
        <v>82</v>
      </c>
      <c r="D102" s="73" t="s">
        <v>83</v>
      </c>
      <c r="E102" s="69"/>
      <c r="F102" s="70"/>
      <c r="H102" s="53"/>
    </row>
    <row r="103" spans="1:13" s="2" customFormat="1" x14ac:dyDescent="0.2">
      <c r="A103" s="87">
        <v>45017</v>
      </c>
      <c r="B103" s="120" t="s">
        <v>6</v>
      </c>
      <c r="C103" s="75" t="s">
        <v>282</v>
      </c>
      <c r="D103" s="88">
        <v>12220</v>
      </c>
      <c r="G103" s="1"/>
      <c r="L103" s="1"/>
      <c r="M103" s="1"/>
    </row>
    <row r="104" spans="1:13" s="2" customFormat="1" x14ac:dyDescent="0.2">
      <c r="A104" s="87">
        <v>45020</v>
      </c>
      <c r="B104" s="120" t="s">
        <v>6</v>
      </c>
      <c r="C104" s="75" t="s">
        <v>271</v>
      </c>
      <c r="D104" s="88">
        <v>584074</v>
      </c>
      <c r="G104" s="1"/>
      <c r="L104" s="1"/>
      <c r="M104" s="1"/>
    </row>
    <row r="105" spans="1:13" s="2" customFormat="1" x14ac:dyDescent="0.2">
      <c r="A105" s="87">
        <v>45022</v>
      </c>
      <c r="B105" s="120" t="s">
        <v>6</v>
      </c>
      <c r="C105" s="75" t="s">
        <v>784</v>
      </c>
      <c r="D105" s="88">
        <v>283512</v>
      </c>
      <c r="G105" s="1"/>
      <c r="L105" s="1"/>
      <c r="M105" s="1"/>
    </row>
    <row r="106" spans="1:13" s="2" customFormat="1" x14ac:dyDescent="0.2">
      <c r="A106" s="87">
        <v>45022</v>
      </c>
      <c r="B106" s="120" t="s">
        <v>6</v>
      </c>
      <c r="C106" s="75" t="s">
        <v>84</v>
      </c>
      <c r="D106" s="88">
        <v>2500000</v>
      </c>
      <c r="G106" s="1"/>
      <c r="L106" s="1"/>
      <c r="M106" s="1"/>
    </row>
    <row r="107" spans="1:13" s="2" customFormat="1" x14ac:dyDescent="0.2">
      <c r="A107" s="87">
        <v>45023</v>
      </c>
      <c r="B107" s="120" t="s">
        <v>6</v>
      </c>
      <c r="C107" s="75" t="s">
        <v>270</v>
      </c>
      <c r="D107" s="88">
        <v>33748</v>
      </c>
      <c r="G107" s="1"/>
      <c r="L107" s="1"/>
      <c r="M107" s="1"/>
    </row>
    <row r="108" spans="1:13" s="2" customFormat="1" x14ac:dyDescent="0.2">
      <c r="A108" s="87">
        <v>45023</v>
      </c>
      <c r="B108" s="120" t="s">
        <v>6</v>
      </c>
      <c r="C108" s="75" t="s">
        <v>270</v>
      </c>
      <c r="D108" s="88">
        <v>114918</v>
      </c>
      <c r="G108" s="1"/>
      <c r="L108" s="1"/>
      <c r="M108" s="1"/>
    </row>
    <row r="109" spans="1:13" s="2" customFormat="1" x14ac:dyDescent="0.2">
      <c r="A109" s="87">
        <v>45027</v>
      </c>
      <c r="B109" s="120" t="s">
        <v>6</v>
      </c>
      <c r="C109" s="75" t="s">
        <v>767</v>
      </c>
      <c r="D109" s="88">
        <v>2093169</v>
      </c>
      <c r="G109" s="1"/>
      <c r="L109" s="1"/>
      <c r="M109" s="1"/>
    </row>
    <row r="110" spans="1:13" s="2" customFormat="1" x14ac:dyDescent="0.2">
      <c r="A110" s="87">
        <v>45027</v>
      </c>
      <c r="B110" s="120" t="s">
        <v>6</v>
      </c>
      <c r="C110" s="75" t="s">
        <v>594</v>
      </c>
      <c r="D110" s="88">
        <v>2500000</v>
      </c>
      <c r="G110" s="1"/>
      <c r="L110" s="1"/>
      <c r="M110" s="1"/>
    </row>
    <row r="111" spans="1:13" s="2" customFormat="1" x14ac:dyDescent="0.2">
      <c r="A111" s="87">
        <v>45028</v>
      </c>
      <c r="B111" s="120" t="s">
        <v>6</v>
      </c>
      <c r="C111" s="75" t="s">
        <v>84</v>
      </c>
      <c r="D111" s="88">
        <v>4000000</v>
      </c>
      <c r="G111" s="1"/>
      <c r="L111" s="1"/>
      <c r="M111" s="1"/>
    </row>
    <row r="112" spans="1:13" s="2" customFormat="1" x14ac:dyDescent="0.2">
      <c r="A112" s="87">
        <v>45028</v>
      </c>
      <c r="B112" s="120" t="s">
        <v>6</v>
      </c>
      <c r="C112" s="75" t="s">
        <v>606</v>
      </c>
      <c r="D112" s="88">
        <v>103240</v>
      </c>
      <c r="G112" s="1"/>
      <c r="L112" s="1"/>
      <c r="M112" s="1"/>
    </row>
    <row r="113" spans="1:13" s="2" customFormat="1" x14ac:dyDescent="0.2">
      <c r="A113" s="87">
        <v>45029</v>
      </c>
      <c r="B113" s="120" t="s">
        <v>6</v>
      </c>
      <c r="C113" s="75" t="s">
        <v>784</v>
      </c>
      <c r="D113" s="88">
        <v>451698</v>
      </c>
      <c r="G113" s="1"/>
      <c r="L113" s="1"/>
      <c r="M113" s="1"/>
    </row>
    <row r="114" spans="1:13" s="2" customFormat="1" x14ac:dyDescent="0.2">
      <c r="A114" s="87">
        <v>45030</v>
      </c>
      <c r="B114" s="120" t="s">
        <v>6</v>
      </c>
      <c r="C114" s="75" t="s">
        <v>270</v>
      </c>
      <c r="D114" s="88">
        <v>655766</v>
      </c>
      <c r="G114" s="1"/>
      <c r="L114" s="1"/>
      <c r="M114" s="1"/>
    </row>
    <row r="115" spans="1:13" s="2" customFormat="1" x14ac:dyDescent="0.2">
      <c r="A115" s="87">
        <v>45031</v>
      </c>
      <c r="B115" s="120" t="s">
        <v>6</v>
      </c>
      <c r="C115" s="75" t="s">
        <v>784</v>
      </c>
      <c r="D115" s="88">
        <v>539800</v>
      </c>
      <c r="G115" s="1"/>
      <c r="L115" s="1"/>
      <c r="M115" s="1"/>
    </row>
    <row r="116" spans="1:13" s="2" customFormat="1" x14ac:dyDescent="0.2">
      <c r="A116" s="87">
        <v>45031</v>
      </c>
      <c r="B116" s="120" t="s">
        <v>6</v>
      </c>
      <c r="C116" s="75" t="s">
        <v>784</v>
      </c>
      <c r="D116" s="88">
        <v>198679</v>
      </c>
      <c r="G116" s="1"/>
      <c r="L116" s="1"/>
      <c r="M116" s="1"/>
    </row>
    <row r="117" spans="1:13" s="2" customFormat="1" x14ac:dyDescent="0.2">
      <c r="A117" s="87">
        <v>45033</v>
      </c>
      <c r="B117" s="120" t="s">
        <v>6</v>
      </c>
      <c r="C117" s="75" t="s">
        <v>888</v>
      </c>
      <c r="D117" s="88">
        <v>5449818.2699999996</v>
      </c>
      <c r="G117" s="1"/>
      <c r="L117" s="1"/>
      <c r="M117" s="1"/>
    </row>
    <row r="118" spans="1:13" s="2" customFormat="1" x14ac:dyDescent="0.2">
      <c r="A118" s="87"/>
      <c r="B118" s="74"/>
      <c r="C118" s="75"/>
      <c r="D118" s="51">
        <f>SUM(D103:D117)</f>
        <v>19520642.27</v>
      </c>
      <c r="F118" s="2" t="s">
        <v>396</v>
      </c>
      <c r="G118" s="1"/>
      <c r="I118" s="1"/>
      <c r="J118" s="1"/>
      <c r="K118" s="1"/>
      <c r="L118" s="1"/>
      <c r="M118" s="1"/>
    </row>
    <row r="119" spans="1:13" s="2" customFormat="1" x14ac:dyDescent="0.2">
      <c r="A119" s="8"/>
      <c r="B119" s="93"/>
      <c r="C119" s="76"/>
      <c r="D119" s="56"/>
      <c r="G119" s="1"/>
      <c r="I119" s="1"/>
      <c r="J119" s="1"/>
      <c r="K119" s="1"/>
      <c r="L119" s="1"/>
      <c r="M119" s="1"/>
    </row>
    <row r="120" spans="1:13" s="2" customFormat="1" x14ac:dyDescent="0.2">
      <c r="A120" s="24"/>
      <c r="B120" s="1"/>
      <c r="C120" s="218" t="s">
        <v>77</v>
      </c>
      <c r="D120" s="219"/>
      <c r="E120" s="219"/>
      <c r="F120" s="220"/>
      <c r="G120" s="54"/>
      <c r="I120" s="1"/>
      <c r="J120" s="1"/>
      <c r="K120" s="1"/>
      <c r="L120" s="1"/>
      <c r="M120" s="1"/>
    </row>
    <row r="121" spans="1:13" s="2" customFormat="1" x14ac:dyDescent="0.2">
      <c r="A121" s="24"/>
      <c r="B121" s="1"/>
      <c r="C121" s="50"/>
      <c r="D121" s="57" t="s">
        <v>78</v>
      </c>
      <c r="E121" s="58" t="s">
        <v>79</v>
      </c>
      <c r="F121" s="57" t="s">
        <v>72</v>
      </c>
      <c r="G121" s="54"/>
      <c r="I121" s="1"/>
      <c r="J121" s="1"/>
      <c r="K121" s="1"/>
      <c r="L121" s="1"/>
      <c r="M121" s="1"/>
    </row>
    <row r="122" spans="1:13" s="2" customFormat="1" x14ac:dyDescent="0.2">
      <c r="A122" s="24"/>
      <c r="B122" s="1"/>
      <c r="C122" s="59" t="str">
        <f>"01-04-2023 to "&amp;TEXT(A5-2,"dd-mm-yyyy")</f>
        <v>01-04-2023 to 17-04-2023</v>
      </c>
      <c r="D122" s="60">
        <v>2365.15</v>
      </c>
      <c r="E122" s="60">
        <v>322.95999999999998</v>
      </c>
      <c r="F122" s="61">
        <f>SUM(D122:E122)</f>
        <v>2688.11</v>
      </c>
      <c r="G122" s="54"/>
      <c r="I122" s="1"/>
      <c r="J122" s="1"/>
      <c r="K122" s="1"/>
      <c r="L122" s="1"/>
      <c r="M122" s="1"/>
    </row>
    <row r="123" spans="1:13" s="2" customFormat="1" x14ac:dyDescent="0.2">
      <c r="A123" s="24"/>
      <c r="B123" s="1"/>
      <c r="C123" s="62" t="str">
        <f>TEXT(A5-1,"dd-mm-yyyy")</f>
        <v>18-04-2023</v>
      </c>
      <c r="D123" s="60">
        <v>141.68</v>
      </c>
      <c r="E123" s="60">
        <v>18.920000000000002</v>
      </c>
      <c r="F123" s="61">
        <f>SUM(D123:E123)</f>
        <v>160.60000000000002</v>
      </c>
      <c r="G123" s="54"/>
      <c r="I123" s="1"/>
      <c r="J123" s="1"/>
      <c r="K123" s="1"/>
      <c r="L123" s="1"/>
      <c r="M123" s="1"/>
    </row>
    <row r="124" spans="1:13" ht="13.5" thickBot="1" x14ac:dyDescent="0.25">
      <c r="C124" s="63" t="str">
        <f>"01-04-2023 to "&amp;TEXT(A5-1,"dd-mm-yyyy")</f>
        <v>01-04-2023 to 18-04-2023</v>
      </c>
      <c r="D124" s="64">
        <f>SUM(D122:D123)</f>
        <v>2506.83</v>
      </c>
      <c r="E124" s="64">
        <f>SUM(E122:E123)</f>
        <v>341.88</v>
      </c>
      <c r="F124" s="64">
        <f>SUM(F122:F123)</f>
        <v>2848.71</v>
      </c>
      <c r="G124" s="54"/>
    </row>
    <row r="125" spans="1:13" s="2" customFormat="1" ht="13.5" thickTop="1" x14ac:dyDescent="0.2">
      <c r="A125" s="24"/>
      <c r="B125" s="1"/>
      <c r="C125" s="62"/>
      <c r="D125" s="65"/>
      <c r="E125" s="66"/>
      <c r="F125" s="67"/>
      <c r="G125" s="54"/>
      <c r="H125" s="53"/>
    </row>
    <row r="126" spans="1:13" x14ac:dyDescent="0.2">
      <c r="C126" s="62" t="str">
        <f>"01-04-2023 to " &amp;C123</f>
        <v>01-04-2023 to 18-04-2023</v>
      </c>
      <c r="D126" s="68">
        <f>+D124</f>
        <v>2506.83</v>
      </c>
      <c r="E126" s="68">
        <f>+E124</f>
        <v>341.88</v>
      </c>
      <c r="F126" s="68">
        <f>+F124</f>
        <v>2848.71</v>
      </c>
      <c r="G126" s="54"/>
      <c r="H126" s="53" t="s">
        <v>396</v>
      </c>
    </row>
    <row r="127" spans="1:13" x14ac:dyDescent="0.2">
      <c r="C127" s="52"/>
      <c r="D127" s="85"/>
      <c r="E127" s="53"/>
      <c r="F127" s="53"/>
      <c r="G127" s="54"/>
      <c r="H127" s="53" t="s">
        <v>396</v>
      </c>
      <c r="J127" s="42"/>
    </row>
    <row r="128" spans="1:13" x14ac:dyDescent="0.2">
      <c r="C128" s="52"/>
      <c r="D128" s="85"/>
      <c r="E128" s="53"/>
      <c r="F128" s="53"/>
      <c r="G128" s="54"/>
      <c r="H128" s="53"/>
      <c r="I128" s="101"/>
    </row>
    <row r="129" spans="3:8" x14ac:dyDescent="0.2">
      <c r="C129" s="52"/>
      <c r="D129" s="85"/>
      <c r="E129" s="53"/>
      <c r="F129" s="53"/>
      <c r="G129" s="54"/>
      <c r="H129" s="53"/>
    </row>
    <row r="130" spans="3:8" x14ac:dyDescent="0.2">
      <c r="C130" s="52"/>
      <c r="D130" s="85"/>
      <c r="E130" s="53"/>
      <c r="F130" s="53"/>
      <c r="G130" s="54"/>
      <c r="H130" s="53"/>
    </row>
    <row r="131" spans="3:8" x14ac:dyDescent="0.2">
      <c r="H131" s="53"/>
    </row>
  </sheetData>
  <mergeCells count="5">
    <mergeCell ref="A1:G1"/>
    <mergeCell ref="A3:F3"/>
    <mergeCell ref="A9:F9"/>
    <mergeCell ref="A101:D101"/>
    <mergeCell ref="C120:F120"/>
  </mergeCells>
  <conditionalFormatting sqref="G98:G99">
    <cfRule type="cellIs" dxfId="625" priority="1" operator="lessThan">
      <formula>0</formula>
    </cfRule>
  </conditionalFormatting>
  <conditionalFormatting sqref="C11">
    <cfRule type="duplicateValues" dxfId="624" priority="2"/>
  </conditionalFormatting>
  <conditionalFormatting sqref="C12:C78">
    <cfRule type="duplicateValues" dxfId="623" priority="445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11">
    <pageSetUpPr fitToPage="1"/>
  </sheetPr>
  <dimension ref="A1:N113"/>
  <sheetViews>
    <sheetView topLeftCell="A7" zoomScaleNormal="100" workbookViewId="0">
      <selection activeCell="C46" sqref="C46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49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898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2.75" customHeight="1" x14ac:dyDescent="0.4">
      <c r="A5" s="89">
        <v>45036</v>
      </c>
      <c r="B5" s="9" t="s">
        <v>6</v>
      </c>
      <c r="C5" s="10" t="s">
        <v>7</v>
      </c>
      <c r="D5" s="11"/>
      <c r="E5" s="12">
        <v>557118.69999999879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557118.69999999879</v>
      </c>
      <c r="F6" s="16">
        <f>SUM(F5:F5)</f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E6-F6</f>
        <v>557118.69999999879</v>
      </c>
      <c r="F7" s="22"/>
      <c r="G7" s="23"/>
      <c r="H7" s="112"/>
      <c r="I7" s="112"/>
      <c r="J7" s="13"/>
    </row>
    <row r="8" spans="1:10" s="2" customFormat="1" ht="12.75" customHeight="1" x14ac:dyDescent="0.4">
      <c r="A8" s="24"/>
      <c r="B8" s="1"/>
      <c r="C8" s="14"/>
      <c r="D8" s="25"/>
      <c r="G8" s="23"/>
      <c r="H8" s="112"/>
      <c r="I8" s="112"/>
      <c r="J8" s="13"/>
    </row>
    <row r="9" spans="1:10" s="2" customFormat="1" ht="21.75" customHeight="1" x14ac:dyDescent="0.4">
      <c r="A9" s="214" t="s">
        <v>10</v>
      </c>
      <c r="B9" s="214"/>
      <c r="C9" s="214"/>
      <c r="D9" s="214"/>
      <c r="E9" s="214"/>
      <c r="F9" s="214"/>
      <c r="G9" s="13"/>
      <c r="H9" s="112"/>
      <c r="I9" s="112"/>
      <c r="J9" s="13"/>
    </row>
    <row r="10" spans="1:10" s="2" customFormat="1" ht="12.75" customHeight="1" x14ac:dyDescent="0.4">
      <c r="A10" s="26" t="s">
        <v>1</v>
      </c>
      <c r="B10" s="27" t="s">
        <v>2</v>
      </c>
      <c r="C10" s="5"/>
      <c r="D10" s="6" t="s">
        <v>3</v>
      </c>
      <c r="E10" s="7" t="s">
        <v>4</v>
      </c>
      <c r="F10" s="7" t="s">
        <v>5</v>
      </c>
      <c r="G10" s="23"/>
      <c r="H10" s="112"/>
      <c r="I10" s="112"/>
      <c r="J10" s="13"/>
    </row>
    <row r="11" spans="1:10" s="2" customFormat="1" ht="12.75" customHeight="1" x14ac:dyDescent="0.2">
      <c r="A11" s="89">
        <v>45036</v>
      </c>
      <c r="B11" s="91" t="s">
        <v>11</v>
      </c>
      <c r="C11" s="29" t="s">
        <v>7</v>
      </c>
      <c r="D11" s="25"/>
      <c r="E11" s="31"/>
      <c r="F11" s="2">
        <v>347736820.88000023</v>
      </c>
      <c r="G11" s="30"/>
      <c r="I11" s="13"/>
      <c r="J11" s="13"/>
    </row>
    <row r="12" spans="1:10" s="2" customFormat="1" ht="12.75" customHeight="1" x14ac:dyDescent="0.2">
      <c r="A12" s="89">
        <v>45036</v>
      </c>
      <c r="B12" s="91" t="s">
        <v>6</v>
      </c>
      <c r="C12" s="76" t="s">
        <v>220</v>
      </c>
      <c r="D12" s="116" t="s">
        <v>13</v>
      </c>
      <c r="E12" s="31">
        <v>2535526</v>
      </c>
      <c r="G12" s="30"/>
      <c r="I12" s="13"/>
      <c r="J12" s="13"/>
    </row>
    <row r="13" spans="1:10" s="2" customFormat="1" ht="12.75" customHeight="1" x14ac:dyDescent="0.2">
      <c r="A13" s="89">
        <v>45036</v>
      </c>
      <c r="B13" s="91" t="s">
        <v>6</v>
      </c>
      <c r="C13" s="76" t="s">
        <v>311</v>
      </c>
      <c r="D13" s="116" t="s">
        <v>13</v>
      </c>
      <c r="E13" s="31">
        <v>135575</v>
      </c>
      <c r="G13" s="30"/>
      <c r="I13" s="13"/>
      <c r="J13" s="13"/>
    </row>
    <row r="14" spans="1:10" s="2" customFormat="1" ht="12.75" customHeight="1" x14ac:dyDescent="0.2">
      <c r="A14" s="89">
        <v>45036</v>
      </c>
      <c r="B14" s="91" t="s">
        <v>6</v>
      </c>
      <c r="C14" s="76" t="s">
        <v>283</v>
      </c>
      <c r="D14" s="116" t="s">
        <v>13</v>
      </c>
      <c r="E14" s="31">
        <f>4670486.66+14249235.6</f>
        <v>18919722.259999998</v>
      </c>
      <c r="G14" s="30"/>
      <c r="I14" s="13"/>
      <c r="J14" s="13"/>
    </row>
    <row r="15" spans="1:10" s="2" customFormat="1" ht="12.75" customHeight="1" x14ac:dyDescent="0.2">
      <c r="A15" s="89">
        <v>45036</v>
      </c>
      <c r="B15" s="91" t="s">
        <v>6</v>
      </c>
      <c r="C15" s="76" t="s">
        <v>480</v>
      </c>
      <c r="D15" s="116" t="s">
        <v>13</v>
      </c>
      <c r="E15" s="31">
        <v>1008624</v>
      </c>
      <c r="G15" s="30"/>
      <c r="I15" s="13"/>
      <c r="J15" s="13"/>
    </row>
    <row r="16" spans="1:10" s="2" customFormat="1" ht="12.75" customHeight="1" x14ac:dyDescent="0.2">
      <c r="A16" s="89">
        <v>45036</v>
      </c>
      <c r="B16" s="91" t="s">
        <v>6</v>
      </c>
      <c r="C16" s="76" t="s">
        <v>147</v>
      </c>
      <c r="D16" s="116" t="s">
        <v>13</v>
      </c>
      <c r="E16" s="31">
        <v>700000</v>
      </c>
      <c r="G16" s="30"/>
      <c r="I16" s="13"/>
      <c r="J16" s="13"/>
    </row>
    <row r="17" spans="1:10" s="2" customFormat="1" ht="12.75" customHeight="1" x14ac:dyDescent="0.2">
      <c r="A17" s="89">
        <v>45036</v>
      </c>
      <c r="B17" s="91" t="s">
        <v>6</v>
      </c>
      <c r="C17" s="76" t="s">
        <v>163</v>
      </c>
      <c r="D17" s="116" t="s">
        <v>13</v>
      </c>
      <c r="E17" s="31">
        <v>172920</v>
      </c>
      <c r="G17" s="30"/>
      <c r="I17" s="13"/>
      <c r="J17" s="13"/>
    </row>
    <row r="18" spans="1:10" s="2" customFormat="1" ht="12.75" customHeight="1" x14ac:dyDescent="0.2">
      <c r="A18" s="89">
        <v>45036</v>
      </c>
      <c r="B18" s="91" t="s">
        <v>6</v>
      </c>
      <c r="C18" s="76" t="s">
        <v>21</v>
      </c>
      <c r="D18" s="116" t="s">
        <v>13</v>
      </c>
      <c r="E18" s="31">
        <v>400000</v>
      </c>
      <c r="G18" s="30"/>
      <c r="I18" s="13"/>
      <c r="J18" s="13"/>
    </row>
    <row r="19" spans="1:10" s="2" customFormat="1" ht="12.75" customHeight="1" x14ac:dyDescent="0.2">
      <c r="A19" s="89">
        <v>45036</v>
      </c>
      <c r="B19" s="91" t="s">
        <v>6</v>
      </c>
      <c r="C19" s="76" t="s">
        <v>149</v>
      </c>
      <c r="D19" s="116" t="s">
        <v>13</v>
      </c>
      <c r="E19" s="31">
        <v>467431</v>
      </c>
      <c r="G19" s="30"/>
      <c r="I19" s="13"/>
      <c r="J19" s="13"/>
    </row>
    <row r="20" spans="1:10" s="2" customFormat="1" ht="12.75" customHeight="1" x14ac:dyDescent="0.2">
      <c r="A20" s="89">
        <v>45036</v>
      </c>
      <c r="B20" s="91" t="s">
        <v>6</v>
      </c>
      <c r="C20" s="76" t="s">
        <v>903</v>
      </c>
      <c r="D20" s="116" t="s">
        <v>13</v>
      </c>
      <c r="E20" s="31">
        <v>2428624</v>
      </c>
      <c r="G20" s="30"/>
      <c r="I20" s="13"/>
      <c r="J20" s="13"/>
    </row>
    <row r="21" spans="1:10" s="2" customFormat="1" ht="12.75" customHeight="1" x14ac:dyDescent="0.2">
      <c r="A21" s="89">
        <v>45036</v>
      </c>
      <c r="B21" s="91" t="s">
        <v>6</v>
      </c>
      <c r="C21" s="76" t="s">
        <v>773</v>
      </c>
      <c r="D21" s="116" t="s">
        <v>13</v>
      </c>
      <c r="E21" s="31">
        <v>936464.13</v>
      </c>
      <c r="G21" s="30"/>
      <c r="I21" s="13"/>
      <c r="J21" s="13"/>
    </row>
    <row r="22" spans="1:10" s="2" customFormat="1" ht="12.75" customHeight="1" x14ac:dyDescent="0.2">
      <c r="A22" s="89">
        <v>45036</v>
      </c>
      <c r="B22" s="91" t="s">
        <v>6</v>
      </c>
      <c r="C22" s="76" t="s">
        <v>759</v>
      </c>
      <c r="D22" s="116" t="s">
        <v>13</v>
      </c>
      <c r="E22" s="31">
        <v>917925.07</v>
      </c>
      <c r="G22" s="30"/>
      <c r="I22" s="13"/>
      <c r="J22" s="13"/>
    </row>
    <row r="23" spans="1:10" s="2" customFormat="1" ht="12.75" customHeight="1" x14ac:dyDescent="0.2">
      <c r="A23" s="89">
        <v>45036</v>
      </c>
      <c r="B23" s="91" t="s">
        <v>6</v>
      </c>
      <c r="C23" s="76" t="s">
        <v>765</v>
      </c>
      <c r="D23" s="116" t="s">
        <v>13</v>
      </c>
      <c r="E23" s="31">
        <v>1481524.81</v>
      </c>
      <c r="G23" s="30"/>
      <c r="I23" s="13"/>
      <c r="J23" s="13"/>
    </row>
    <row r="24" spans="1:10" s="13" customFormat="1" ht="12.75" customHeight="1" x14ac:dyDescent="0.2">
      <c r="A24" s="97">
        <v>45036</v>
      </c>
      <c r="B24" s="102" t="s">
        <v>11</v>
      </c>
      <c r="C24" s="94" t="s">
        <v>555</v>
      </c>
      <c r="D24" s="119" t="s">
        <v>258</v>
      </c>
      <c r="E24" s="95"/>
      <c r="F24" s="13">
        <v>1938192</v>
      </c>
      <c r="G24" s="100"/>
    </row>
    <row r="25" spans="1:10" s="2" customFormat="1" ht="12.75" customHeight="1" x14ac:dyDescent="0.2">
      <c r="A25" s="89">
        <v>45036</v>
      </c>
      <c r="B25" s="91" t="s">
        <v>11</v>
      </c>
      <c r="C25" s="76" t="s">
        <v>64</v>
      </c>
      <c r="D25" s="116" t="s">
        <v>29</v>
      </c>
      <c r="E25" s="31"/>
      <c r="F25" s="2">
        <f>4456.86-0.5</f>
        <v>4456.3599999999997</v>
      </c>
      <c r="G25" s="30"/>
      <c r="I25" s="13"/>
      <c r="J25" s="13"/>
    </row>
    <row r="26" spans="1:10" s="2" customFormat="1" ht="12.75" customHeight="1" x14ac:dyDescent="0.2">
      <c r="A26" s="89">
        <v>45036</v>
      </c>
      <c r="B26" s="91" t="s">
        <v>11</v>
      </c>
      <c r="C26" s="76" t="s">
        <v>111</v>
      </c>
      <c r="D26" s="116" t="s">
        <v>29</v>
      </c>
      <c r="E26" s="31"/>
      <c r="F26" s="2">
        <v>9401421.1999999993</v>
      </c>
      <c r="G26" s="30"/>
      <c r="I26" s="13"/>
      <c r="J26" s="13"/>
    </row>
    <row r="27" spans="1:10" s="2" customFormat="1" ht="12.75" customHeight="1" x14ac:dyDescent="0.2">
      <c r="A27" s="89">
        <v>45036</v>
      </c>
      <c r="B27" s="91" t="s">
        <v>11</v>
      </c>
      <c r="C27" s="76" t="s">
        <v>49</v>
      </c>
      <c r="D27" s="116" t="s">
        <v>29</v>
      </c>
      <c r="E27" s="31"/>
      <c r="F27" s="2">
        <v>219722</v>
      </c>
      <c r="G27" s="30"/>
      <c r="I27" s="13"/>
      <c r="J27" s="13"/>
    </row>
    <row r="28" spans="1:10" s="2" customFormat="1" ht="12.75" customHeight="1" x14ac:dyDescent="0.2">
      <c r="A28" s="89">
        <v>45036</v>
      </c>
      <c r="B28" s="91" t="s">
        <v>11</v>
      </c>
      <c r="C28" s="76" t="s">
        <v>365</v>
      </c>
      <c r="D28" s="116" t="s">
        <v>29</v>
      </c>
      <c r="E28" s="31"/>
      <c r="F28" s="2">
        <v>348100</v>
      </c>
      <c r="G28" s="30"/>
      <c r="I28" s="13"/>
      <c r="J28" s="13"/>
    </row>
    <row r="29" spans="1:10" s="2" customFormat="1" ht="12.75" customHeight="1" x14ac:dyDescent="0.2">
      <c r="A29" s="89">
        <v>45036</v>
      </c>
      <c r="B29" s="91" t="s">
        <v>11</v>
      </c>
      <c r="C29" s="76" t="s">
        <v>210</v>
      </c>
      <c r="D29" s="116" t="s">
        <v>29</v>
      </c>
      <c r="E29" s="31"/>
      <c r="F29" s="2">
        <v>61950</v>
      </c>
      <c r="G29" s="30"/>
      <c r="I29" s="13"/>
      <c r="J29" s="13"/>
    </row>
    <row r="30" spans="1:10" s="2" customFormat="1" ht="12.75" customHeight="1" x14ac:dyDescent="0.2">
      <c r="A30" s="89">
        <v>45036</v>
      </c>
      <c r="B30" s="91" t="s">
        <v>11</v>
      </c>
      <c r="C30" s="76" t="s">
        <v>397</v>
      </c>
      <c r="D30" s="116" t="s">
        <v>29</v>
      </c>
      <c r="E30" s="31"/>
      <c r="F30" s="2">
        <v>146593</v>
      </c>
      <c r="G30" s="30"/>
      <c r="I30" s="13"/>
      <c r="J30" s="13"/>
    </row>
    <row r="31" spans="1:10" s="2" customFormat="1" ht="12.75" customHeight="1" x14ac:dyDescent="0.2">
      <c r="A31" s="89">
        <v>45036</v>
      </c>
      <c r="B31" s="91" t="s">
        <v>11</v>
      </c>
      <c r="C31" s="76" t="s">
        <v>107</v>
      </c>
      <c r="D31" s="116" t="s">
        <v>29</v>
      </c>
      <c r="E31" s="31"/>
      <c r="F31" s="2">
        <v>310743.38</v>
      </c>
      <c r="G31" s="30"/>
      <c r="I31" s="13"/>
      <c r="J31" s="13"/>
    </row>
    <row r="32" spans="1:10" s="2" customFormat="1" ht="12.75" customHeight="1" x14ac:dyDescent="0.2">
      <c r="A32" s="89">
        <v>45036</v>
      </c>
      <c r="B32" s="91" t="s">
        <v>11</v>
      </c>
      <c r="C32" s="76" t="s">
        <v>498</v>
      </c>
      <c r="D32" s="116" t="s">
        <v>29</v>
      </c>
      <c r="E32" s="31"/>
      <c r="F32" s="2">
        <v>321430.78000000003</v>
      </c>
      <c r="G32" s="30"/>
      <c r="I32" s="13"/>
      <c r="J32" s="13"/>
    </row>
    <row r="33" spans="1:10" s="2" customFormat="1" ht="12.75" customHeight="1" x14ac:dyDescent="0.2">
      <c r="A33" s="89">
        <v>45036</v>
      </c>
      <c r="B33" s="91" t="s">
        <v>11</v>
      </c>
      <c r="C33" s="76" t="s">
        <v>285</v>
      </c>
      <c r="D33" s="116" t="s">
        <v>29</v>
      </c>
      <c r="E33" s="31"/>
      <c r="F33" s="2">
        <v>462995.45</v>
      </c>
      <c r="G33" s="30"/>
      <c r="I33" s="13"/>
      <c r="J33" s="13"/>
    </row>
    <row r="34" spans="1:10" s="2" customFormat="1" ht="12.75" customHeight="1" x14ac:dyDescent="0.2">
      <c r="A34" s="89">
        <v>45036</v>
      </c>
      <c r="B34" s="91" t="s">
        <v>11</v>
      </c>
      <c r="C34" s="76" t="s">
        <v>478</v>
      </c>
      <c r="D34" s="116" t="s">
        <v>29</v>
      </c>
      <c r="E34" s="31"/>
      <c r="F34" s="2">
        <v>14272</v>
      </c>
      <c r="G34" s="30"/>
      <c r="I34" s="13"/>
      <c r="J34" s="13"/>
    </row>
    <row r="35" spans="1:10" s="2" customFormat="1" ht="12.75" customHeight="1" x14ac:dyDescent="0.2">
      <c r="A35" s="89">
        <v>45036</v>
      </c>
      <c r="B35" s="91" t="s">
        <v>11</v>
      </c>
      <c r="C35" s="76" t="s">
        <v>899</v>
      </c>
      <c r="D35" s="116" t="s">
        <v>29</v>
      </c>
      <c r="E35" s="31"/>
      <c r="F35" s="2">
        <v>8900</v>
      </c>
      <c r="G35" s="30"/>
      <c r="I35" s="13"/>
      <c r="J35" s="13"/>
    </row>
    <row r="36" spans="1:10" s="2" customFormat="1" ht="12.75" customHeight="1" x14ac:dyDescent="0.2">
      <c r="A36" s="89">
        <v>45036</v>
      </c>
      <c r="B36" s="91" t="s">
        <v>11</v>
      </c>
      <c r="C36" s="76" t="s">
        <v>900</v>
      </c>
      <c r="D36" s="116" t="s">
        <v>29</v>
      </c>
      <c r="E36" s="31"/>
      <c r="F36" s="2">
        <v>23450</v>
      </c>
      <c r="G36" s="30"/>
      <c r="I36" s="13"/>
      <c r="J36" s="13"/>
    </row>
    <row r="37" spans="1:10" s="2" customFormat="1" ht="12.75" customHeight="1" x14ac:dyDescent="0.2">
      <c r="A37" s="89">
        <v>45036</v>
      </c>
      <c r="B37" s="91" t="s">
        <v>11</v>
      </c>
      <c r="C37" s="76" t="s">
        <v>901</v>
      </c>
      <c r="D37" s="116" t="s">
        <v>29</v>
      </c>
      <c r="E37" s="31"/>
      <c r="F37" s="2">
        <v>20250</v>
      </c>
      <c r="G37" s="30"/>
      <c r="I37" s="13"/>
      <c r="J37" s="13"/>
    </row>
    <row r="38" spans="1:10" s="2" customFormat="1" ht="12.75" customHeight="1" x14ac:dyDescent="0.2">
      <c r="A38" s="89">
        <v>45036</v>
      </c>
      <c r="B38" s="91" t="s">
        <v>11</v>
      </c>
      <c r="C38" s="76" t="s">
        <v>509</v>
      </c>
      <c r="D38" s="116" t="s">
        <v>29</v>
      </c>
      <c r="E38" s="31"/>
      <c r="F38" s="2">
        <v>81915.600000000006</v>
      </c>
      <c r="G38" s="30"/>
      <c r="I38" s="13"/>
      <c r="J38" s="13"/>
    </row>
    <row r="39" spans="1:10" s="2" customFormat="1" ht="12.75" customHeight="1" x14ac:dyDescent="0.2">
      <c r="A39" s="89">
        <v>45036</v>
      </c>
      <c r="B39" s="91" t="s">
        <v>11</v>
      </c>
      <c r="C39" s="76" t="s">
        <v>62</v>
      </c>
      <c r="D39" s="116" t="s">
        <v>29</v>
      </c>
      <c r="E39" s="31"/>
      <c r="F39" s="2">
        <v>50000</v>
      </c>
      <c r="G39" s="30"/>
      <c r="I39" s="13"/>
      <c r="J39" s="13"/>
    </row>
    <row r="40" spans="1:10" s="2" customFormat="1" ht="12.75" customHeight="1" x14ac:dyDescent="0.2">
      <c r="A40" s="89">
        <v>45036</v>
      </c>
      <c r="B40" s="91" t="s">
        <v>11</v>
      </c>
      <c r="C40" s="76" t="s">
        <v>208</v>
      </c>
      <c r="D40" s="116" t="s">
        <v>29</v>
      </c>
      <c r="E40" s="31"/>
      <c r="F40" s="2">
        <v>27700.5</v>
      </c>
      <c r="G40" s="30"/>
      <c r="I40" s="13"/>
      <c r="J40" s="13"/>
    </row>
    <row r="41" spans="1:10" s="2" customFormat="1" ht="12.75" customHeight="1" x14ac:dyDescent="0.2">
      <c r="A41" s="89">
        <v>45036</v>
      </c>
      <c r="B41" s="91" t="s">
        <v>11</v>
      </c>
      <c r="C41" s="76" t="s">
        <v>902</v>
      </c>
      <c r="D41" s="116" t="s">
        <v>29</v>
      </c>
      <c r="E41" s="31"/>
      <c r="F41" s="2">
        <v>6195</v>
      </c>
      <c r="G41" s="30"/>
      <c r="I41" s="13"/>
      <c r="J41" s="13"/>
    </row>
    <row r="42" spans="1:10" s="2" customFormat="1" ht="12.75" customHeight="1" x14ac:dyDescent="0.2">
      <c r="A42" s="89">
        <v>45036</v>
      </c>
      <c r="B42" s="91" t="s">
        <v>11</v>
      </c>
      <c r="C42" s="76" t="s">
        <v>642</v>
      </c>
      <c r="D42" s="116" t="s">
        <v>29</v>
      </c>
      <c r="E42" s="31"/>
      <c r="F42" s="2">
        <v>19600</v>
      </c>
      <c r="G42" s="30"/>
      <c r="I42" s="13"/>
      <c r="J42" s="13"/>
    </row>
    <row r="43" spans="1:10" s="2" customFormat="1" ht="12.75" customHeight="1" x14ac:dyDescent="0.2">
      <c r="A43" s="89">
        <v>45036</v>
      </c>
      <c r="B43" s="91" t="s">
        <v>11</v>
      </c>
      <c r="C43" s="76" t="s">
        <v>259</v>
      </c>
      <c r="D43" s="116" t="s">
        <v>29</v>
      </c>
      <c r="E43" s="31"/>
      <c r="F43" s="2">
        <v>3142.16</v>
      </c>
      <c r="G43" s="30"/>
      <c r="I43" s="13"/>
      <c r="J43" s="13"/>
    </row>
    <row r="44" spans="1:10" s="2" customFormat="1" ht="12.75" customHeight="1" x14ac:dyDescent="0.2">
      <c r="A44" s="89">
        <v>45036</v>
      </c>
      <c r="B44" s="91" t="s">
        <v>11</v>
      </c>
      <c r="C44" s="76" t="s">
        <v>605</v>
      </c>
      <c r="D44" s="116" t="s">
        <v>29</v>
      </c>
      <c r="E44" s="31"/>
      <c r="F44" s="2">
        <v>4472682</v>
      </c>
      <c r="G44" s="30"/>
      <c r="I44" s="13"/>
      <c r="J44" s="13"/>
    </row>
    <row r="45" spans="1:10" s="2" customFormat="1" ht="12.75" customHeight="1" x14ac:dyDescent="0.2">
      <c r="A45" s="89">
        <v>45036</v>
      </c>
      <c r="B45" s="91" t="s">
        <v>11</v>
      </c>
      <c r="C45" s="76" t="s">
        <v>765</v>
      </c>
      <c r="D45" s="116" t="s">
        <v>29</v>
      </c>
      <c r="E45" s="31"/>
      <c r="F45" s="2">
        <v>2039644.8</v>
      </c>
      <c r="G45" s="30"/>
      <c r="I45" s="13"/>
      <c r="J45" s="13"/>
    </row>
    <row r="46" spans="1:10" s="2" customFormat="1" ht="12.75" customHeight="1" x14ac:dyDescent="0.2">
      <c r="A46" s="89">
        <v>45036</v>
      </c>
      <c r="B46" s="91" t="s">
        <v>11</v>
      </c>
      <c r="C46" s="76" t="s">
        <v>15</v>
      </c>
      <c r="D46" s="116" t="s">
        <v>29</v>
      </c>
      <c r="E46" s="31"/>
      <c r="F46" s="2">
        <v>1528.34</v>
      </c>
      <c r="G46" s="30"/>
      <c r="I46" s="13"/>
      <c r="J46" s="13"/>
    </row>
    <row r="47" spans="1:10" s="2" customFormat="1" ht="12.75" customHeight="1" x14ac:dyDescent="0.2">
      <c r="A47" s="89">
        <v>45036</v>
      </c>
      <c r="B47" s="91" t="s">
        <v>11</v>
      </c>
      <c r="C47" s="76" t="s">
        <v>135</v>
      </c>
      <c r="D47" s="116" t="s">
        <v>29</v>
      </c>
      <c r="E47" s="31"/>
      <c r="F47" s="2">
        <v>269394</v>
      </c>
      <c r="G47" s="30"/>
      <c r="I47" s="13"/>
      <c r="J47" s="13"/>
    </row>
    <row r="48" spans="1:10" s="2" customFormat="1" ht="12.75" customHeight="1" x14ac:dyDescent="0.2">
      <c r="A48" s="89">
        <v>45036</v>
      </c>
      <c r="B48" s="91" t="s">
        <v>11</v>
      </c>
      <c r="C48" s="76" t="s">
        <v>776</v>
      </c>
      <c r="D48" s="116" t="s">
        <v>29</v>
      </c>
      <c r="E48" s="31"/>
      <c r="F48" s="2">
        <v>297360</v>
      </c>
      <c r="G48" s="30"/>
      <c r="I48" s="13"/>
      <c r="J48" s="13"/>
    </row>
    <row r="49" spans="1:14" s="2" customFormat="1" ht="12.75" customHeight="1" x14ac:dyDescent="0.2">
      <c r="A49" s="89">
        <v>45036</v>
      </c>
      <c r="B49" s="91" t="s">
        <v>11</v>
      </c>
      <c r="C49" s="76" t="s">
        <v>340</v>
      </c>
      <c r="D49" s="116" t="s">
        <v>29</v>
      </c>
      <c r="E49" s="31"/>
      <c r="F49" s="2">
        <v>766350</v>
      </c>
      <c r="G49" s="30"/>
      <c r="I49" s="13"/>
      <c r="J49" s="13"/>
    </row>
    <row r="50" spans="1:14" s="2" customFormat="1" ht="12.75" customHeight="1" x14ac:dyDescent="0.2">
      <c r="A50" s="89">
        <v>45036</v>
      </c>
      <c r="B50" s="91" t="s">
        <v>11</v>
      </c>
      <c r="C50" s="76" t="s">
        <v>253</v>
      </c>
      <c r="D50" s="116" t="s">
        <v>29</v>
      </c>
      <c r="E50" s="31"/>
      <c r="F50" s="2">
        <v>251340</v>
      </c>
      <c r="G50" s="30"/>
      <c r="I50" s="13"/>
      <c r="J50" s="13"/>
    </row>
    <row r="51" spans="1:14" s="2" customFormat="1" ht="12.75" customHeight="1" x14ac:dyDescent="0.2">
      <c r="A51" s="89">
        <v>45036</v>
      </c>
      <c r="B51" s="91" t="s">
        <v>11</v>
      </c>
      <c r="C51" s="76" t="s">
        <v>308</v>
      </c>
      <c r="D51" s="116" t="s">
        <v>29</v>
      </c>
      <c r="E51" s="31"/>
      <c r="F51" s="2">
        <v>206500</v>
      </c>
      <c r="G51" s="30"/>
      <c r="I51" s="13"/>
      <c r="J51" s="13"/>
    </row>
    <row r="52" spans="1:14" s="2" customFormat="1" ht="12.75" customHeight="1" x14ac:dyDescent="0.2">
      <c r="A52" s="89">
        <v>45036</v>
      </c>
      <c r="B52" s="91" t="s">
        <v>11</v>
      </c>
      <c r="C52" s="76" t="s">
        <v>739</v>
      </c>
      <c r="D52" s="116" t="s">
        <v>29</v>
      </c>
      <c r="E52" s="31"/>
      <c r="F52" s="2">
        <v>699504</v>
      </c>
      <c r="G52" s="30"/>
      <c r="I52" s="13"/>
      <c r="J52" s="13"/>
    </row>
    <row r="53" spans="1:14" s="2" customFormat="1" ht="12.75" customHeight="1" x14ac:dyDescent="0.2">
      <c r="A53" s="89">
        <v>45036</v>
      </c>
      <c r="B53" s="91" t="s">
        <v>11</v>
      </c>
      <c r="C53" s="76" t="s">
        <v>341</v>
      </c>
      <c r="D53" s="116" t="s">
        <v>29</v>
      </c>
      <c r="E53" s="31"/>
      <c r="F53" s="2">
        <v>242981</v>
      </c>
      <c r="G53" s="30"/>
      <c r="I53" s="13"/>
      <c r="J53" s="13"/>
    </row>
    <row r="54" spans="1:14" s="2" customFormat="1" ht="12.75" customHeight="1" x14ac:dyDescent="0.2">
      <c r="A54" s="89">
        <v>45036</v>
      </c>
      <c r="B54" s="91" t="s">
        <v>11</v>
      </c>
      <c r="C54" s="76" t="s">
        <v>476</v>
      </c>
      <c r="D54" s="116" t="s">
        <v>29</v>
      </c>
      <c r="E54" s="31"/>
      <c r="F54" s="2">
        <v>155311</v>
      </c>
      <c r="G54" s="30"/>
      <c r="I54" s="13"/>
      <c r="J54" s="13"/>
    </row>
    <row r="55" spans="1:14" s="2" customFormat="1" ht="12.75" customHeight="1" x14ac:dyDescent="0.2">
      <c r="A55" s="89">
        <v>45036</v>
      </c>
      <c r="B55" s="91" t="s">
        <v>11</v>
      </c>
      <c r="C55" s="76" t="s">
        <v>685</v>
      </c>
      <c r="D55" s="116" t="s">
        <v>29</v>
      </c>
      <c r="E55" s="31"/>
      <c r="F55" s="2">
        <v>185260</v>
      </c>
      <c r="G55" s="30"/>
      <c r="I55" s="13"/>
      <c r="J55" s="13"/>
    </row>
    <row r="56" spans="1:14" s="2" customFormat="1" ht="12.75" customHeight="1" x14ac:dyDescent="0.2">
      <c r="A56" s="89">
        <v>45036</v>
      </c>
      <c r="B56" s="91" t="s">
        <v>11</v>
      </c>
      <c r="C56" s="76" t="s">
        <v>242</v>
      </c>
      <c r="D56" s="116" t="s">
        <v>29</v>
      </c>
      <c r="E56" s="31"/>
      <c r="F56" s="2">
        <v>101714</v>
      </c>
      <c r="G56" s="30"/>
      <c r="I56" s="13"/>
      <c r="J56" s="13"/>
    </row>
    <row r="57" spans="1:14" s="2" customFormat="1" ht="12.75" customHeight="1" x14ac:dyDescent="0.2">
      <c r="A57" s="89">
        <v>45036</v>
      </c>
      <c r="B57" s="91" t="s">
        <v>11</v>
      </c>
      <c r="C57" s="76" t="s">
        <v>463</v>
      </c>
      <c r="D57" s="116" t="s">
        <v>29</v>
      </c>
      <c r="E57" s="31"/>
      <c r="F57" s="2">
        <v>155222</v>
      </c>
      <c r="G57" s="30"/>
      <c r="I57" s="13"/>
      <c r="J57" s="99" t="s">
        <v>601</v>
      </c>
      <c r="K57" s="99" t="s">
        <v>779</v>
      </c>
    </row>
    <row r="58" spans="1:14" s="2" customFormat="1" ht="12.75" customHeight="1" x14ac:dyDescent="0.25">
      <c r="A58" s="32"/>
      <c r="B58" s="33"/>
      <c r="C58" s="14"/>
      <c r="D58" s="34"/>
      <c r="E58" s="16">
        <f>SUM(E11:E57)</f>
        <v>30104336.269999996</v>
      </c>
      <c r="F58" s="16">
        <f>SUM(F11:F57)</f>
        <v>371052641.45000023</v>
      </c>
      <c r="G58" s="30"/>
      <c r="H58" s="1"/>
      <c r="I58" s="39">
        <v>371371684.77999997</v>
      </c>
      <c r="J58" s="2">
        <f>1972203+1220426+1321352+3017518+1289323+6957541</f>
        <v>15778363</v>
      </c>
      <c r="K58" s="92">
        <f>E59-I58</f>
        <v>-30423379.599999726</v>
      </c>
      <c r="L58" s="41"/>
      <c r="M58" s="42">
        <f>K58+J58</f>
        <v>-14645016.599999726</v>
      </c>
      <c r="N58" s="1"/>
    </row>
    <row r="59" spans="1:14" s="2" customFormat="1" x14ac:dyDescent="0.2">
      <c r="A59" s="36"/>
      <c r="B59" s="28" t="s">
        <v>11</v>
      </c>
      <c r="C59" s="19" t="s">
        <v>65</v>
      </c>
      <c r="D59" s="37"/>
      <c r="E59" s="38">
        <f>F58-E58</f>
        <v>340948305.18000025</v>
      </c>
      <c r="F59" s="22"/>
      <c r="G59" s="1"/>
      <c r="H59" s="1"/>
      <c r="J59" s="1"/>
      <c r="K59" s="1"/>
      <c r="L59" s="1"/>
      <c r="M59" s="1"/>
      <c r="N59" s="1"/>
    </row>
    <row r="60" spans="1:14" x14ac:dyDescent="0.2">
      <c r="A60" s="36"/>
      <c r="B60" s="28" t="s">
        <v>66</v>
      </c>
      <c r="C60" s="43" t="s">
        <v>67</v>
      </c>
      <c r="D60" s="43"/>
      <c r="E60" s="12">
        <v>0</v>
      </c>
      <c r="F60" s="22"/>
      <c r="H60" s="40"/>
      <c r="I60" s="45">
        <v>1984.07</v>
      </c>
      <c r="J60" s="46"/>
      <c r="K60" s="46"/>
      <c r="L60" s="13"/>
      <c r="M60" s="2"/>
      <c r="N60" s="2"/>
    </row>
    <row r="61" spans="1:14" ht="15" x14ac:dyDescent="0.25">
      <c r="A61" s="36"/>
      <c r="B61" s="28"/>
      <c r="C61" s="44" t="s">
        <v>68</v>
      </c>
      <c r="D61" s="43"/>
      <c r="E61" s="7">
        <f>E59+E60</f>
        <v>340948305.18000025</v>
      </c>
      <c r="F61" s="22"/>
      <c r="H61" s="103" t="s">
        <v>69</v>
      </c>
      <c r="I61" s="45">
        <v>-32.04</v>
      </c>
      <c r="J61" s="46"/>
      <c r="K61" s="46"/>
      <c r="L61" s="2"/>
      <c r="M61" s="2"/>
      <c r="N61" s="2"/>
    </row>
    <row r="62" spans="1:14" s="2" customFormat="1" x14ac:dyDescent="0.2">
      <c r="A62" s="24"/>
      <c r="B62" s="1"/>
      <c r="C62" s="14"/>
      <c r="D62" s="25"/>
      <c r="E62" s="1"/>
      <c r="H62" s="35" t="s">
        <v>70</v>
      </c>
      <c r="I62" s="45">
        <v>0</v>
      </c>
      <c r="J62" s="46">
        <f>+I63-D65</f>
        <v>0</v>
      </c>
      <c r="M62" s="2">
        <v>19.57</v>
      </c>
      <c r="N62" s="2" t="s">
        <v>535</v>
      </c>
    </row>
    <row r="63" spans="1:14" s="2" customFormat="1" x14ac:dyDescent="0.2">
      <c r="A63" s="24"/>
      <c r="B63" s="1"/>
      <c r="C63" s="56"/>
      <c r="D63" s="56"/>
      <c r="E63" s="104"/>
      <c r="G63" s="1"/>
      <c r="I63" s="49">
        <f>SUM(I60:I62)</f>
        <v>1952.03</v>
      </c>
      <c r="J63" s="46"/>
      <c r="K63" s="46"/>
    </row>
    <row r="64" spans="1:14" s="2" customFormat="1" x14ac:dyDescent="0.2">
      <c r="A64" s="24"/>
      <c r="B64" s="1"/>
      <c r="C64" s="78" t="s">
        <v>575</v>
      </c>
      <c r="D64" s="48" t="s">
        <v>576</v>
      </c>
      <c r="E64" s="104"/>
      <c r="G64" s="1"/>
    </row>
    <row r="65" spans="1:13" s="2" customFormat="1" x14ac:dyDescent="0.2">
      <c r="A65" s="24"/>
      <c r="B65" s="1"/>
      <c r="C65" s="47" t="s">
        <v>570</v>
      </c>
      <c r="D65" s="111">
        <v>1952.03</v>
      </c>
      <c r="E65" s="104"/>
      <c r="G65" s="1"/>
      <c r="H65" s="110" t="s">
        <v>581</v>
      </c>
    </row>
    <row r="66" spans="1:13" s="2" customFormat="1" x14ac:dyDescent="0.2">
      <c r="A66" s="24"/>
      <c r="B66" s="1"/>
      <c r="C66" s="47" t="s">
        <v>571</v>
      </c>
      <c r="D66" s="111">
        <v>14.38</v>
      </c>
      <c r="E66" s="104"/>
      <c r="G66" s="1"/>
      <c r="H66" s="110" t="s">
        <v>580</v>
      </c>
    </row>
    <row r="67" spans="1:13" s="2" customFormat="1" x14ac:dyDescent="0.2">
      <c r="A67" s="24"/>
      <c r="B67" s="1"/>
      <c r="C67" s="47" t="s">
        <v>572</v>
      </c>
      <c r="D67" s="111">
        <f>+D100/100000</f>
        <v>249.19447270000001</v>
      </c>
      <c r="E67" s="104"/>
      <c r="G67" s="1"/>
      <c r="H67" s="90" t="s">
        <v>587</v>
      </c>
    </row>
    <row r="68" spans="1:13" s="2" customFormat="1" x14ac:dyDescent="0.2">
      <c r="A68" s="24"/>
      <c r="B68" s="1"/>
      <c r="C68" s="108" t="s">
        <v>578</v>
      </c>
      <c r="D68" s="48">
        <f>SUM(D65:D67)</f>
        <v>2215.6044726999999</v>
      </c>
      <c r="E68" s="104"/>
      <c r="G68" s="1"/>
    </row>
    <row r="69" spans="1:13" s="2" customFormat="1" x14ac:dyDescent="0.2">
      <c r="A69" s="24"/>
      <c r="B69" s="1"/>
      <c r="C69" s="47"/>
      <c r="D69" s="107"/>
      <c r="E69" s="104"/>
      <c r="G69" s="1"/>
    </row>
    <row r="70" spans="1:13" s="2" customFormat="1" x14ac:dyDescent="0.2">
      <c r="A70" s="24"/>
      <c r="B70" s="1"/>
      <c r="C70" s="47" t="s">
        <v>573</v>
      </c>
      <c r="D70" s="111">
        <v>3.36</v>
      </c>
      <c r="E70" s="104"/>
      <c r="G70" s="1"/>
      <c r="H70" s="110" t="s">
        <v>581</v>
      </c>
    </row>
    <row r="71" spans="1:13" s="2" customFormat="1" x14ac:dyDescent="0.2">
      <c r="A71" s="24"/>
      <c r="B71" s="1"/>
      <c r="C71" s="47" t="s">
        <v>574</v>
      </c>
      <c r="D71" s="111">
        <f>421.66-38.61</f>
        <v>383.05</v>
      </c>
      <c r="E71" s="104"/>
      <c r="G71" s="1"/>
      <c r="H71" s="110" t="s">
        <v>581</v>
      </c>
      <c r="J71" s="114" t="s">
        <v>713</v>
      </c>
    </row>
    <row r="72" spans="1:13" s="2" customFormat="1" x14ac:dyDescent="0.2">
      <c r="A72" s="24"/>
      <c r="B72" s="1"/>
      <c r="C72" s="78" t="s">
        <v>579</v>
      </c>
      <c r="D72" s="109">
        <f>D70+D71</f>
        <v>386.41</v>
      </c>
      <c r="E72" s="104"/>
      <c r="G72" s="1"/>
      <c r="I72" s="113"/>
      <c r="J72" s="113" t="s">
        <v>709</v>
      </c>
      <c r="K72" s="113" t="s">
        <v>710</v>
      </c>
      <c r="L72" s="113" t="s">
        <v>711</v>
      </c>
      <c r="M72" s="113" t="s">
        <v>712</v>
      </c>
    </row>
    <row r="73" spans="1:13" s="2" customFormat="1" x14ac:dyDescent="0.2">
      <c r="A73" s="24"/>
      <c r="B73" s="1"/>
      <c r="C73" s="105"/>
      <c r="D73" s="106"/>
      <c r="E73" s="104"/>
      <c r="G73" s="1"/>
      <c r="I73" s="113" t="s">
        <v>706</v>
      </c>
      <c r="J73" s="115"/>
      <c r="K73" s="115">
        <v>968.99</v>
      </c>
      <c r="L73" s="115">
        <v>968.99</v>
      </c>
      <c r="M73" s="113">
        <f>+J73+L73-K73</f>
        <v>0</v>
      </c>
    </row>
    <row r="74" spans="1:13" s="2" customFormat="1" x14ac:dyDescent="0.2">
      <c r="A74" s="24"/>
      <c r="B74" s="1"/>
      <c r="C74" s="78" t="s">
        <v>577</v>
      </c>
      <c r="D74" s="109">
        <f>D65+D72</f>
        <v>2338.44</v>
      </c>
      <c r="E74" s="104"/>
      <c r="G74" s="1"/>
      <c r="I74" s="113" t="s">
        <v>707</v>
      </c>
      <c r="J74" s="115">
        <v>183.1</v>
      </c>
      <c r="K74" s="115">
        <v>1455.92</v>
      </c>
      <c r="L74" s="115">
        <v>1918.56</v>
      </c>
      <c r="M74" s="113">
        <f>+J74+L74-K74</f>
        <v>645.73999999999978</v>
      </c>
    </row>
    <row r="75" spans="1:13" s="2" customFormat="1" x14ac:dyDescent="0.2">
      <c r="A75" s="24"/>
      <c r="B75" s="1"/>
      <c r="C75" s="56"/>
      <c r="D75" s="56"/>
      <c r="E75" s="104"/>
      <c r="G75" s="1"/>
      <c r="I75" s="113" t="s">
        <v>708</v>
      </c>
      <c r="J75" s="115">
        <v>1371.02</v>
      </c>
      <c r="K75" s="115">
        <v>10227.31</v>
      </c>
      <c r="L75" s="115">
        <v>10714.95</v>
      </c>
      <c r="M75" s="113">
        <f>+J75+L75-K75</f>
        <v>1858.6600000000017</v>
      </c>
    </row>
    <row r="76" spans="1:13" s="2" customFormat="1" ht="38.25" x14ac:dyDescent="0.2">
      <c r="A76" s="24"/>
      <c r="B76" s="1"/>
      <c r="C76" s="79" t="str">
        <f>"Particulars ( 01-04-2021 to "&amp;TEXT(A5,"dd-mm-yyyy")&amp;" )"</f>
        <v>Particulars ( 01-04-2021 to 20-04-2023 )</v>
      </c>
      <c r="D76" s="80" t="s">
        <v>73</v>
      </c>
      <c r="E76" s="80" t="s">
        <v>74</v>
      </c>
      <c r="F76" s="81" t="s">
        <v>75</v>
      </c>
      <c r="G76" s="80" t="s">
        <v>76</v>
      </c>
      <c r="J76" s="118">
        <f>SUM(J73:J75)</f>
        <v>1554.12</v>
      </c>
      <c r="K76" s="118">
        <f>SUM(K73:K75)</f>
        <v>12652.22</v>
      </c>
      <c r="L76" s="118">
        <f>SUM(L73:L75)</f>
        <v>13602.5</v>
      </c>
      <c r="M76" s="118">
        <f>SUM(M73:M75)</f>
        <v>2504.4000000000015</v>
      </c>
    </row>
    <row r="77" spans="1:13" s="2" customFormat="1" x14ac:dyDescent="0.2">
      <c r="A77" s="24"/>
      <c r="B77" s="1"/>
      <c r="C77" s="50" t="s">
        <v>444</v>
      </c>
      <c r="D77" s="55">
        <f>+L73+L74+J74</f>
        <v>3070.65</v>
      </c>
      <c r="E77" s="55">
        <f>+K73+K74</f>
        <v>2424.91</v>
      </c>
      <c r="F77" s="55">
        <f>+D77-E77</f>
        <v>645.74000000000024</v>
      </c>
      <c r="G77" s="55">
        <f>1500-F77</f>
        <v>854.25999999999976</v>
      </c>
      <c r="H77" s="2" t="s">
        <v>396</v>
      </c>
    </row>
    <row r="78" spans="1:13" s="2" customFormat="1" x14ac:dyDescent="0.2">
      <c r="A78" s="24"/>
      <c r="B78" s="1"/>
      <c r="C78" s="50" t="s">
        <v>71</v>
      </c>
      <c r="D78" s="55">
        <f>+J75+L75</f>
        <v>12085.970000000001</v>
      </c>
      <c r="E78" s="55">
        <f>+K75</f>
        <v>10227.31</v>
      </c>
      <c r="F78" s="55">
        <f>+D78-E78</f>
        <v>1858.6600000000017</v>
      </c>
      <c r="G78" s="55">
        <f>1500+700-F78</f>
        <v>341.33999999999833</v>
      </c>
      <c r="H78" s="2" t="s">
        <v>396</v>
      </c>
    </row>
    <row r="79" spans="1:13" s="2" customFormat="1" x14ac:dyDescent="0.2">
      <c r="A79" s="24"/>
      <c r="B79" s="1"/>
      <c r="C79" s="14"/>
      <c r="D79" s="56"/>
      <c r="E79" s="13"/>
      <c r="G79" s="1"/>
    </row>
    <row r="80" spans="1:13" s="2" customFormat="1" x14ac:dyDescent="0.2">
      <c r="A80" s="215" t="s">
        <v>80</v>
      </c>
      <c r="B80" s="216"/>
      <c r="C80" s="216"/>
      <c r="D80" s="217"/>
      <c r="E80" s="69"/>
      <c r="F80" s="70"/>
      <c r="G80" s="1"/>
      <c r="H80" s="53"/>
    </row>
    <row r="81" spans="1:13" s="2" customFormat="1" x14ac:dyDescent="0.2">
      <c r="A81" s="71" t="s">
        <v>81</v>
      </c>
      <c r="B81" s="71"/>
      <c r="C81" s="72" t="s">
        <v>82</v>
      </c>
      <c r="D81" s="73" t="s">
        <v>83</v>
      </c>
      <c r="E81" s="69"/>
      <c r="F81" s="70"/>
      <c r="H81" s="53"/>
    </row>
    <row r="82" spans="1:13" s="2" customFormat="1" x14ac:dyDescent="0.2">
      <c r="A82" s="87">
        <v>45017</v>
      </c>
      <c r="B82" s="120" t="s">
        <v>6</v>
      </c>
      <c r="C82" s="75" t="s">
        <v>282</v>
      </c>
      <c r="D82" s="88">
        <v>12220</v>
      </c>
      <c r="G82" s="1"/>
      <c r="L82" s="1"/>
      <c r="M82" s="1"/>
    </row>
    <row r="83" spans="1:13" s="2" customFormat="1" x14ac:dyDescent="0.2">
      <c r="A83" s="87">
        <v>45020</v>
      </c>
      <c r="B83" s="120" t="s">
        <v>6</v>
      </c>
      <c r="C83" s="75" t="s">
        <v>271</v>
      </c>
      <c r="D83" s="88">
        <v>584074</v>
      </c>
      <c r="G83" s="1"/>
      <c r="L83" s="1"/>
      <c r="M83" s="1"/>
    </row>
    <row r="84" spans="1:13" s="2" customFormat="1" x14ac:dyDescent="0.2">
      <c r="A84" s="87">
        <v>45022</v>
      </c>
      <c r="B84" s="120" t="s">
        <v>6</v>
      </c>
      <c r="C84" s="75" t="s">
        <v>784</v>
      </c>
      <c r="D84" s="88">
        <v>283512</v>
      </c>
      <c r="G84" s="1"/>
      <c r="L84" s="1"/>
      <c r="M84" s="1"/>
    </row>
    <row r="85" spans="1:13" s="2" customFormat="1" x14ac:dyDescent="0.2">
      <c r="A85" s="87">
        <v>45022</v>
      </c>
      <c r="B85" s="120" t="s">
        <v>6</v>
      </c>
      <c r="C85" s="75" t="s">
        <v>84</v>
      </c>
      <c r="D85" s="88">
        <v>2500000</v>
      </c>
      <c r="G85" s="1"/>
      <c r="L85" s="1"/>
      <c r="M85" s="1"/>
    </row>
    <row r="86" spans="1:13" s="2" customFormat="1" x14ac:dyDescent="0.2">
      <c r="A86" s="87">
        <v>45023</v>
      </c>
      <c r="B86" s="120" t="s">
        <v>6</v>
      </c>
      <c r="C86" s="75" t="s">
        <v>270</v>
      </c>
      <c r="D86" s="88">
        <v>33748</v>
      </c>
      <c r="G86" s="1"/>
      <c r="L86" s="1"/>
      <c r="M86" s="1"/>
    </row>
    <row r="87" spans="1:13" s="2" customFormat="1" x14ac:dyDescent="0.2">
      <c r="A87" s="87">
        <v>45023</v>
      </c>
      <c r="B87" s="120" t="s">
        <v>6</v>
      </c>
      <c r="C87" s="75" t="s">
        <v>270</v>
      </c>
      <c r="D87" s="88">
        <v>114918</v>
      </c>
      <c r="G87" s="1"/>
      <c r="L87" s="1"/>
      <c r="M87" s="1"/>
    </row>
    <row r="88" spans="1:13" s="2" customFormat="1" x14ac:dyDescent="0.2">
      <c r="A88" s="87">
        <v>45027</v>
      </c>
      <c r="B88" s="120" t="s">
        <v>6</v>
      </c>
      <c r="C88" s="75" t="s">
        <v>767</v>
      </c>
      <c r="D88" s="88">
        <v>2093169</v>
      </c>
      <c r="G88" s="1"/>
      <c r="L88" s="1"/>
      <c r="M88" s="1"/>
    </row>
    <row r="89" spans="1:13" s="2" customFormat="1" x14ac:dyDescent="0.2">
      <c r="A89" s="87">
        <v>45027</v>
      </c>
      <c r="B89" s="120" t="s">
        <v>6</v>
      </c>
      <c r="C89" s="75" t="s">
        <v>594</v>
      </c>
      <c r="D89" s="88">
        <v>2500000</v>
      </c>
      <c r="G89" s="1"/>
      <c r="L89" s="1"/>
      <c r="M89" s="1"/>
    </row>
    <row r="90" spans="1:13" s="2" customFormat="1" x14ac:dyDescent="0.2">
      <c r="A90" s="87">
        <v>45028</v>
      </c>
      <c r="B90" s="120" t="s">
        <v>6</v>
      </c>
      <c r="C90" s="75" t="s">
        <v>84</v>
      </c>
      <c r="D90" s="88">
        <v>4000000</v>
      </c>
      <c r="G90" s="1"/>
      <c r="L90" s="1"/>
      <c r="M90" s="1"/>
    </row>
    <row r="91" spans="1:13" s="2" customFormat="1" x14ac:dyDescent="0.2">
      <c r="A91" s="87">
        <v>45028</v>
      </c>
      <c r="B91" s="120" t="s">
        <v>6</v>
      </c>
      <c r="C91" s="75" t="s">
        <v>606</v>
      </c>
      <c r="D91" s="88">
        <v>103240</v>
      </c>
      <c r="G91" s="1"/>
      <c r="L91" s="1"/>
      <c r="M91" s="1"/>
    </row>
    <row r="92" spans="1:13" s="2" customFormat="1" x14ac:dyDescent="0.2">
      <c r="A92" s="87">
        <v>45029</v>
      </c>
      <c r="B92" s="120" t="s">
        <v>6</v>
      </c>
      <c r="C92" s="75" t="s">
        <v>784</v>
      </c>
      <c r="D92" s="88">
        <v>451698</v>
      </c>
      <c r="G92" s="1"/>
      <c r="L92" s="1"/>
      <c r="M92" s="1"/>
    </row>
    <row r="93" spans="1:13" s="2" customFormat="1" x14ac:dyDescent="0.2">
      <c r="A93" s="87">
        <v>45030</v>
      </c>
      <c r="B93" s="120" t="s">
        <v>6</v>
      </c>
      <c r="C93" s="75" t="s">
        <v>270</v>
      </c>
      <c r="D93" s="88">
        <v>655766</v>
      </c>
      <c r="G93" s="1"/>
      <c r="L93" s="1"/>
      <c r="M93" s="1"/>
    </row>
    <row r="94" spans="1:13" s="2" customFormat="1" x14ac:dyDescent="0.2">
      <c r="A94" s="87">
        <v>45031</v>
      </c>
      <c r="B94" s="120" t="s">
        <v>6</v>
      </c>
      <c r="C94" s="75" t="s">
        <v>784</v>
      </c>
      <c r="D94" s="88">
        <v>539800</v>
      </c>
      <c r="G94" s="1"/>
      <c r="L94" s="1"/>
      <c r="M94" s="1"/>
    </row>
    <row r="95" spans="1:13" s="2" customFormat="1" x14ac:dyDescent="0.2">
      <c r="A95" s="87">
        <v>45031</v>
      </c>
      <c r="B95" s="120" t="s">
        <v>6</v>
      </c>
      <c r="C95" s="75" t="s">
        <v>784</v>
      </c>
      <c r="D95" s="88">
        <v>198679</v>
      </c>
      <c r="G95" s="1"/>
      <c r="L95" s="1"/>
      <c r="M95" s="1"/>
    </row>
    <row r="96" spans="1:13" s="2" customFormat="1" x14ac:dyDescent="0.2">
      <c r="A96" s="87">
        <v>45033</v>
      </c>
      <c r="B96" s="120" t="s">
        <v>6</v>
      </c>
      <c r="C96" s="75" t="s">
        <v>888</v>
      </c>
      <c r="D96" s="88">
        <v>5449818.2699999996</v>
      </c>
      <c r="G96" s="1"/>
      <c r="L96" s="1"/>
      <c r="M96" s="1"/>
    </row>
    <row r="97" spans="1:13" s="2" customFormat="1" x14ac:dyDescent="0.2">
      <c r="A97" s="87">
        <v>45033</v>
      </c>
      <c r="B97" s="120" t="s">
        <v>6</v>
      </c>
      <c r="C97" s="75" t="s">
        <v>594</v>
      </c>
      <c r="D97" s="88">
        <v>3094653</v>
      </c>
      <c r="G97" s="1"/>
      <c r="L97" s="1"/>
      <c r="M97" s="1"/>
    </row>
    <row r="98" spans="1:13" s="2" customFormat="1" x14ac:dyDescent="0.2">
      <c r="A98" s="87">
        <v>45033</v>
      </c>
      <c r="B98" s="120" t="s">
        <v>6</v>
      </c>
      <c r="C98" s="75" t="s">
        <v>594</v>
      </c>
      <c r="D98" s="88">
        <v>279152</v>
      </c>
      <c r="G98" s="1"/>
      <c r="L98" s="1"/>
      <c r="M98" s="1"/>
    </row>
    <row r="99" spans="1:13" s="2" customFormat="1" x14ac:dyDescent="0.2">
      <c r="A99" s="87">
        <v>45035</v>
      </c>
      <c r="B99" s="120" t="s">
        <v>6</v>
      </c>
      <c r="C99" s="75" t="s">
        <v>767</v>
      </c>
      <c r="D99" s="88">
        <v>2025000</v>
      </c>
      <c r="G99" s="1"/>
      <c r="L99" s="1"/>
      <c r="M99" s="1"/>
    </row>
    <row r="100" spans="1:13" s="2" customFormat="1" x14ac:dyDescent="0.2">
      <c r="A100" s="87"/>
      <c r="B100" s="74"/>
      <c r="C100" s="75"/>
      <c r="D100" s="51">
        <f>SUM(D82:D99)</f>
        <v>24919447.27</v>
      </c>
      <c r="F100" s="2" t="s">
        <v>396</v>
      </c>
      <c r="G100" s="1"/>
      <c r="I100" s="1"/>
      <c r="J100" s="1"/>
      <c r="K100" s="1"/>
      <c r="L100" s="1"/>
      <c r="M100" s="1"/>
    </row>
    <row r="101" spans="1:13" s="2" customFormat="1" x14ac:dyDescent="0.2">
      <c r="A101" s="8"/>
      <c r="B101" s="93"/>
      <c r="C101" s="76"/>
      <c r="D101" s="56"/>
      <c r="G101" s="1"/>
      <c r="I101" s="1"/>
      <c r="J101" s="1"/>
      <c r="K101" s="1"/>
      <c r="L101" s="1"/>
      <c r="M101" s="1"/>
    </row>
    <row r="102" spans="1:13" s="2" customFormat="1" x14ac:dyDescent="0.2">
      <c r="A102" s="24"/>
      <c r="B102" s="1"/>
      <c r="C102" s="218" t="s">
        <v>77</v>
      </c>
      <c r="D102" s="219"/>
      <c r="E102" s="219"/>
      <c r="F102" s="220"/>
      <c r="G102" s="54"/>
      <c r="I102" s="1"/>
      <c r="J102" s="1"/>
      <c r="K102" s="1"/>
      <c r="L102" s="1"/>
      <c r="M102" s="1"/>
    </row>
    <row r="103" spans="1:13" s="2" customFormat="1" x14ac:dyDescent="0.2">
      <c r="A103" s="24"/>
      <c r="B103" s="1"/>
      <c r="C103" s="50"/>
      <c r="D103" s="57" t="s">
        <v>78</v>
      </c>
      <c r="E103" s="58" t="s">
        <v>79</v>
      </c>
      <c r="F103" s="57" t="s">
        <v>72</v>
      </c>
      <c r="G103" s="54"/>
      <c r="I103" s="1"/>
      <c r="J103" s="1"/>
      <c r="K103" s="1"/>
      <c r="L103" s="1"/>
      <c r="M103" s="1"/>
    </row>
    <row r="104" spans="1:13" s="2" customFormat="1" x14ac:dyDescent="0.2">
      <c r="A104" s="24"/>
      <c r="B104" s="1"/>
      <c r="C104" s="59" t="str">
        <f>"01-04-2023 to "&amp;TEXT(A5-2,"dd-mm-yyyy")</f>
        <v>01-04-2023 to 18-04-2023</v>
      </c>
      <c r="D104" s="60">
        <v>2577.7800000000002</v>
      </c>
      <c r="E104" s="60">
        <v>341.89</v>
      </c>
      <c r="F104" s="61">
        <f>SUM(D104:E104)</f>
        <v>2919.67</v>
      </c>
      <c r="G104" s="54"/>
      <c r="I104" s="1"/>
      <c r="J104" s="1"/>
      <c r="K104" s="1"/>
      <c r="L104" s="1"/>
      <c r="M104" s="1"/>
    </row>
    <row r="105" spans="1:13" s="2" customFormat="1" x14ac:dyDescent="0.2">
      <c r="A105" s="24"/>
      <c r="B105" s="1"/>
      <c r="C105" s="62" t="str">
        <f>TEXT(A5-1,"dd-mm-yyyy")</f>
        <v>19-04-2023</v>
      </c>
      <c r="D105" s="60">
        <v>193.9</v>
      </c>
      <c r="E105" s="60">
        <v>20.25</v>
      </c>
      <c r="F105" s="61">
        <f>SUM(D105:E105)</f>
        <v>214.15</v>
      </c>
      <c r="G105" s="54"/>
      <c r="I105" s="1"/>
      <c r="J105" s="1"/>
      <c r="K105" s="1"/>
      <c r="L105" s="1"/>
      <c r="M105" s="1"/>
    </row>
    <row r="106" spans="1:13" ht="13.5" thickBot="1" x14ac:dyDescent="0.25">
      <c r="C106" s="63" t="str">
        <f>"01-04-2023 to "&amp;TEXT(A5-1,"dd-mm-yyyy")</f>
        <v>01-04-2023 to 19-04-2023</v>
      </c>
      <c r="D106" s="64">
        <f>SUM(D104:D105)</f>
        <v>2771.6800000000003</v>
      </c>
      <c r="E106" s="64">
        <f>SUM(E104:E105)</f>
        <v>362.14</v>
      </c>
      <c r="F106" s="64">
        <f>SUM(F104:F105)</f>
        <v>3133.82</v>
      </c>
      <c r="G106" s="54"/>
    </row>
    <row r="107" spans="1:13" s="2" customFormat="1" ht="13.5" thickTop="1" x14ac:dyDescent="0.2">
      <c r="A107" s="24"/>
      <c r="B107" s="1"/>
      <c r="C107" s="62"/>
      <c r="D107" s="65"/>
      <c r="E107" s="66"/>
      <c r="F107" s="67"/>
      <c r="G107" s="54"/>
      <c r="H107" s="53"/>
    </row>
    <row r="108" spans="1:13" x14ac:dyDescent="0.2">
      <c r="C108" s="62" t="str">
        <f>"01-04-2023 to " &amp;C105</f>
        <v>01-04-2023 to 19-04-2023</v>
      </c>
      <c r="D108" s="68">
        <f>+D106</f>
        <v>2771.6800000000003</v>
      </c>
      <c r="E108" s="68">
        <f>+E106</f>
        <v>362.14</v>
      </c>
      <c r="F108" s="68">
        <f>+F106</f>
        <v>3133.82</v>
      </c>
      <c r="G108" s="54"/>
      <c r="H108" s="53" t="s">
        <v>396</v>
      </c>
    </row>
    <row r="109" spans="1:13" x14ac:dyDescent="0.2">
      <c r="C109" s="52"/>
      <c r="D109" s="85"/>
      <c r="E109" s="53"/>
      <c r="F109" s="53"/>
      <c r="G109" s="54"/>
      <c r="H109" s="53" t="s">
        <v>396</v>
      </c>
      <c r="J109" s="42"/>
    </row>
    <row r="110" spans="1:13" x14ac:dyDescent="0.2">
      <c r="C110" s="52"/>
      <c r="D110" s="85"/>
      <c r="E110" s="53"/>
      <c r="F110" s="53"/>
      <c r="G110" s="54"/>
      <c r="H110" s="53"/>
      <c r="I110" s="101"/>
    </row>
    <row r="111" spans="1:13" x14ac:dyDescent="0.2">
      <c r="C111" s="52"/>
      <c r="D111" s="85"/>
      <c r="E111" s="53"/>
      <c r="F111" s="53"/>
      <c r="G111" s="54"/>
      <c r="H111" s="53"/>
    </row>
    <row r="112" spans="1:13" x14ac:dyDescent="0.2">
      <c r="C112" s="52"/>
      <c r="D112" s="85"/>
      <c r="E112" s="53"/>
      <c r="F112" s="53"/>
      <c r="G112" s="54"/>
      <c r="H112" s="53"/>
    </row>
    <row r="113" spans="8:8" x14ac:dyDescent="0.2">
      <c r="H113" s="53"/>
    </row>
  </sheetData>
  <mergeCells count="5">
    <mergeCell ref="A1:G1"/>
    <mergeCell ref="A3:F3"/>
    <mergeCell ref="A9:F9"/>
    <mergeCell ref="A80:D80"/>
    <mergeCell ref="C102:F102"/>
  </mergeCells>
  <conditionalFormatting sqref="G77:G78">
    <cfRule type="cellIs" dxfId="622" priority="1" operator="lessThan">
      <formula>0</formula>
    </cfRule>
  </conditionalFormatting>
  <conditionalFormatting sqref="C11">
    <cfRule type="duplicateValues" dxfId="621" priority="2"/>
  </conditionalFormatting>
  <conditionalFormatting sqref="C12:C18 C48:C57">
    <cfRule type="duplicateValues" dxfId="620" priority="449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312">
    <pageSetUpPr fitToPage="1"/>
  </sheetPr>
  <dimension ref="A1:N108"/>
  <sheetViews>
    <sheetView topLeftCell="A20" zoomScaleNormal="100" workbookViewId="0">
      <selection activeCell="C46" sqref="C46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49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904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2.75" customHeight="1" x14ac:dyDescent="0.4">
      <c r="A5" s="89">
        <v>45037</v>
      </c>
      <c r="B5" s="9" t="s">
        <v>6</v>
      </c>
      <c r="C5" s="10" t="s">
        <v>7</v>
      </c>
      <c r="D5" s="11"/>
      <c r="E5" s="12">
        <v>557118.69999999879</v>
      </c>
      <c r="F5" s="12"/>
      <c r="G5" s="1"/>
      <c r="H5" s="112"/>
      <c r="I5" s="112"/>
    </row>
    <row r="6" spans="1:10" s="2" customFormat="1" ht="12.75" customHeight="1" x14ac:dyDescent="0.4">
      <c r="A6" s="89">
        <v>45037</v>
      </c>
      <c r="B6" s="9" t="s">
        <v>6</v>
      </c>
      <c r="C6" s="10" t="s">
        <v>400</v>
      </c>
      <c r="D6" s="117" t="s">
        <v>13</v>
      </c>
      <c r="E6" s="12">
        <v>4500000</v>
      </c>
      <c r="F6" s="12"/>
      <c r="G6" s="1"/>
      <c r="H6" s="112"/>
      <c r="I6" s="112"/>
    </row>
    <row r="7" spans="1:10" s="2" customFormat="1" ht="12.75" customHeight="1" x14ac:dyDescent="0.4">
      <c r="D7" s="15" t="s">
        <v>8</v>
      </c>
      <c r="E7" s="16">
        <f>SUM(E5:E6)</f>
        <v>5057118.6999999993</v>
      </c>
      <c r="F7" s="16">
        <f>SUM(F5:F5)</f>
        <v>0</v>
      </c>
      <c r="G7" s="1"/>
      <c r="H7" s="112"/>
      <c r="I7" s="112"/>
    </row>
    <row r="8" spans="1:10" s="2" customFormat="1" ht="12.75" customHeight="1" x14ac:dyDescent="0.4">
      <c r="A8" s="17"/>
      <c r="B8" s="18"/>
      <c r="C8" s="19" t="s">
        <v>9</v>
      </c>
      <c r="D8" s="20"/>
      <c r="E8" s="21">
        <f>E7-F7</f>
        <v>5057118.6999999993</v>
      </c>
      <c r="F8" s="22"/>
      <c r="G8" s="23"/>
      <c r="H8" s="112"/>
      <c r="I8" s="112"/>
      <c r="J8" s="13"/>
    </row>
    <row r="9" spans="1:10" s="2" customFormat="1" ht="12.75" customHeight="1" x14ac:dyDescent="0.4">
      <c r="A9" s="24"/>
      <c r="B9" s="1"/>
      <c r="C9" s="14"/>
      <c r="D9" s="25"/>
      <c r="G9" s="23"/>
      <c r="H9" s="112"/>
      <c r="I9" s="112"/>
      <c r="J9" s="13"/>
    </row>
    <row r="10" spans="1:10" s="2" customFormat="1" ht="21.75" customHeight="1" x14ac:dyDescent="0.4">
      <c r="A10" s="214" t="s">
        <v>10</v>
      </c>
      <c r="B10" s="214"/>
      <c r="C10" s="214"/>
      <c r="D10" s="214"/>
      <c r="E10" s="214"/>
      <c r="F10" s="214"/>
      <c r="G10" s="13"/>
      <c r="H10" s="112"/>
      <c r="I10" s="112"/>
      <c r="J10" s="13"/>
    </row>
    <row r="11" spans="1:10" s="2" customFormat="1" ht="12.75" customHeight="1" x14ac:dyDescent="0.4">
      <c r="A11" s="26" t="s">
        <v>1</v>
      </c>
      <c r="B11" s="27" t="s">
        <v>2</v>
      </c>
      <c r="C11" s="5"/>
      <c r="D11" s="6" t="s">
        <v>3</v>
      </c>
      <c r="E11" s="7" t="s">
        <v>4</v>
      </c>
      <c r="F11" s="7" t="s">
        <v>5</v>
      </c>
      <c r="G11" s="23"/>
      <c r="H11" s="112"/>
      <c r="I11" s="112"/>
      <c r="J11" s="13"/>
    </row>
    <row r="12" spans="1:10" s="2" customFormat="1" ht="12.75" customHeight="1" x14ac:dyDescent="0.2">
      <c r="A12" s="89">
        <v>45037</v>
      </c>
      <c r="B12" s="91" t="s">
        <v>11</v>
      </c>
      <c r="C12" s="29" t="s">
        <v>7</v>
      </c>
      <c r="D12" s="25"/>
      <c r="E12" s="31"/>
      <c r="F12" s="2">
        <v>340948305.18000025</v>
      </c>
      <c r="G12" s="30"/>
      <c r="I12" s="13"/>
      <c r="J12" s="13"/>
    </row>
    <row r="13" spans="1:10" s="2" customFormat="1" ht="12.75" customHeight="1" x14ac:dyDescent="0.2">
      <c r="A13" s="89">
        <v>45037</v>
      </c>
      <c r="B13" s="91" t="s">
        <v>6</v>
      </c>
      <c r="C13" s="76" t="s">
        <v>681</v>
      </c>
      <c r="D13" s="116" t="s">
        <v>13</v>
      </c>
      <c r="E13" s="31">
        <f>31685653.97-14249235.6</f>
        <v>17436418.369999997</v>
      </c>
      <c r="G13" s="30"/>
      <c r="I13" s="13"/>
      <c r="J13" s="13"/>
    </row>
    <row r="14" spans="1:10" s="2" customFormat="1" ht="12.75" customHeight="1" x14ac:dyDescent="0.2">
      <c r="A14" s="89">
        <v>45037</v>
      </c>
      <c r="B14" s="91" t="s">
        <v>6</v>
      </c>
      <c r="C14" s="76" t="s">
        <v>244</v>
      </c>
      <c r="D14" s="116" t="s">
        <v>13</v>
      </c>
      <c r="E14" s="31">
        <v>648543</v>
      </c>
      <c r="G14" s="30"/>
      <c r="I14" s="13"/>
      <c r="J14" s="13"/>
    </row>
    <row r="15" spans="1:10" s="2" customFormat="1" ht="12.75" customHeight="1" x14ac:dyDescent="0.2">
      <c r="A15" s="89">
        <v>45037</v>
      </c>
      <c r="B15" s="91" t="s">
        <v>6</v>
      </c>
      <c r="C15" s="76" t="s">
        <v>16</v>
      </c>
      <c r="D15" s="116" t="s">
        <v>13</v>
      </c>
      <c r="E15" s="31">
        <v>1</v>
      </c>
      <c r="G15" s="30"/>
      <c r="I15" s="13"/>
      <c r="J15" s="13"/>
    </row>
    <row r="16" spans="1:10" s="2" customFormat="1" ht="12.75" customHeight="1" x14ac:dyDescent="0.2">
      <c r="A16" s="89">
        <v>45037</v>
      </c>
      <c r="B16" s="91" t="s">
        <v>6</v>
      </c>
      <c r="C16" s="76" t="s">
        <v>332</v>
      </c>
      <c r="D16" s="116" t="s">
        <v>13</v>
      </c>
      <c r="E16" s="31">
        <v>23730</v>
      </c>
      <c r="G16" s="30"/>
      <c r="I16" s="13"/>
      <c r="J16" s="13"/>
    </row>
    <row r="17" spans="1:10" s="2" customFormat="1" ht="12.75" customHeight="1" x14ac:dyDescent="0.2">
      <c r="A17" s="89">
        <v>45037</v>
      </c>
      <c r="B17" s="91" t="s">
        <v>6</v>
      </c>
      <c r="C17" s="76" t="s">
        <v>405</v>
      </c>
      <c r="D17" s="116" t="s">
        <v>13</v>
      </c>
      <c r="E17" s="31">
        <v>18731</v>
      </c>
      <c r="G17" s="30"/>
      <c r="I17" s="13"/>
      <c r="J17" s="13"/>
    </row>
    <row r="18" spans="1:10" s="2" customFormat="1" ht="12.75" customHeight="1" x14ac:dyDescent="0.2">
      <c r="A18" s="89">
        <v>45037</v>
      </c>
      <c r="B18" s="91" t="s">
        <v>6</v>
      </c>
      <c r="C18" s="76" t="s">
        <v>905</v>
      </c>
      <c r="D18" s="116" t="s">
        <v>13</v>
      </c>
      <c r="E18" s="31">
        <v>3928741.5</v>
      </c>
      <c r="G18" s="30"/>
      <c r="I18" s="13"/>
      <c r="J18" s="13"/>
    </row>
    <row r="19" spans="1:10" s="2" customFormat="1" ht="12.75" customHeight="1" x14ac:dyDescent="0.2">
      <c r="A19" s="89">
        <v>45037</v>
      </c>
      <c r="B19" s="91" t="s">
        <v>6</v>
      </c>
      <c r="C19" s="76" t="s">
        <v>233</v>
      </c>
      <c r="D19" s="116" t="s">
        <v>13</v>
      </c>
      <c r="E19" s="31">
        <v>5810</v>
      </c>
      <c r="G19" s="30"/>
      <c r="I19" s="13"/>
      <c r="J19" s="13"/>
    </row>
    <row r="20" spans="1:10" s="2" customFormat="1" ht="12.75" customHeight="1" x14ac:dyDescent="0.2">
      <c r="A20" s="89">
        <v>45037</v>
      </c>
      <c r="B20" s="91" t="s">
        <v>6</v>
      </c>
      <c r="C20" s="76" t="s">
        <v>14</v>
      </c>
      <c r="D20" s="116" t="s">
        <v>13</v>
      </c>
      <c r="E20" s="31">
        <v>5145</v>
      </c>
      <c r="G20" s="30"/>
      <c r="I20" s="13"/>
      <c r="J20" s="13"/>
    </row>
    <row r="21" spans="1:10" s="2" customFormat="1" ht="12.75" customHeight="1" x14ac:dyDescent="0.2">
      <c r="A21" s="89">
        <v>45037</v>
      </c>
      <c r="B21" s="91" t="s">
        <v>6</v>
      </c>
      <c r="C21" s="76" t="s">
        <v>364</v>
      </c>
      <c r="D21" s="116" t="s">
        <v>13</v>
      </c>
      <c r="E21" s="31">
        <v>1734286</v>
      </c>
      <c r="G21" s="30"/>
      <c r="I21" s="13"/>
      <c r="J21" s="13"/>
    </row>
    <row r="22" spans="1:10" s="2" customFormat="1" ht="12.75" customHeight="1" x14ac:dyDescent="0.2">
      <c r="A22" s="89">
        <v>45037</v>
      </c>
      <c r="B22" s="91" t="s">
        <v>11</v>
      </c>
      <c r="C22" s="76" t="s">
        <v>64</v>
      </c>
      <c r="D22" s="116" t="s">
        <v>29</v>
      </c>
      <c r="E22" s="31"/>
      <c r="F22" s="2">
        <v>28812.61</v>
      </c>
      <c r="G22" s="30"/>
      <c r="I22" s="13"/>
      <c r="J22" s="13"/>
    </row>
    <row r="23" spans="1:10" s="2" customFormat="1" ht="12.75" customHeight="1" x14ac:dyDescent="0.2">
      <c r="A23" s="89">
        <v>45037</v>
      </c>
      <c r="B23" s="91" t="s">
        <v>11</v>
      </c>
      <c r="C23" s="76" t="s">
        <v>125</v>
      </c>
      <c r="D23" s="116" t="s">
        <v>29</v>
      </c>
      <c r="E23" s="31"/>
      <c r="F23" s="2">
        <v>1841520</v>
      </c>
      <c r="G23" s="30"/>
      <c r="I23" s="13"/>
      <c r="J23" s="13"/>
    </row>
    <row r="24" spans="1:10" s="2" customFormat="1" ht="12.75" customHeight="1" x14ac:dyDescent="0.2">
      <c r="A24" s="89">
        <v>45037</v>
      </c>
      <c r="B24" s="91" t="s">
        <v>11</v>
      </c>
      <c r="C24" s="76" t="s">
        <v>109</v>
      </c>
      <c r="D24" s="116" t="s">
        <v>29</v>
      </c>
      <c r="E24" s="31"/>
      <c r="F24" s="2">
        <v>1683379</v>
      </c>
      <c r="G24" s="30"/>
      <c r="I24" s="13"/>
      <c r="J24" s="13"/>
    </row>
    <row r="25" spans="1:10" s="13" customFormat="1" ht="12.75" customHeight="1" x14ac:dyDescent="0.2">
      <c r="A25" s="89">
        <v>45037</v>
      </c>
      <c r="B25" s="91" t="s">
        <v>11</v>
      </c>
      <c r="C25" s="76" t="s">
        <v>110</v>
      </c>
      <c r="D25" s="116" t="s">
        <v>29</v>
      </c>
      <c r="E25" s="31"/>
      <c r="F25" s="2">
        <v>600488.22</v>
      </c>
      <c r="G25" s="100"/>
    </row>
    <row r="26" spans="1:10" s="2" customFormat="1" ht="12.75" customHeight="1" x14ac:dyDescent="0.2">
      <c r="A26" s="89">
        <v>45037</v>
      </c>
      <c r="B26" s="91" t="s">
        <v>11</v>
      </c>
      <c r="C26" s="76" t="s">
        <v>348</v>
      </c>
      <c r="D26" s="116" t="s">
        <v>29</v>
      </c>
      <c r="E26" s="31"/>
      <c r="F26" s="2">
        <v>83160</v>
      </c>
      <c r="G26" s="30"/>
      <c r="I26" s="13"/>
      <c r="J26" s="13"/>
    </row>
    <row r="27" spans="1:10" s="2" customFormat="1" ht="12.75" customHeight="1" x14ac:dyDescent="0.2">
      <c r="A27" s="89">
        <v>45037</v>
      </c>
      <c r="B27" s="91" t="s">
        <v>11</v>
      </c>
      <c r="C27" s="76" t="s">
        <v>561</v>
      </c>
      <c r="D27" s="116" t="s">
        <v>29</v>
      </c>
      <c r="E27" s="31"/>
      <c r="F27" s="2">
        <v>322596</v>
      </c>
      <c r="G27" s="30"/>
      <c r="I27" s="13"/>
      <c r="J27" s="13"/>
    </row>
    <row r="28" spans="1:10" s="2" customFormat="1" ht="12.75" customHeight="1" x14ac:dyDescent="0.2">
      <c r="A28" s="89">
        <v>45037</v>
      </c>
      <c r="B28" s="91" t="s">
        <v>11</v>
      </c>
      <c r="C28" s="76" t="s">
        <v>397</v>
      </c>
      <c r="D28" s="116" t="s">
        <v>29</v>
      </c>
      <c r="E28" s="31"/>
      <c r="F28" s="2">
        <v>390456</v>
      </c>
      <c r="G28" s="30"/>
      <c r="I28" s="13"/>
      <c r="J28" s="13"/>
    </row>
    <row r="29" spans="1:10" s="2" customFormat="1" ht="12.75" customHeight="1" x14ac:dyDescent="0.2">
      <c r="A29" s="89">
        <v>45037</v>
      </c>
      <c r="B29" s="91" t="s">
        <v>11</v>
      </c>
      <c r="C29" s="76" t="s">
        <v>357</v>
      </c>
      <c r="D29" s="116" t="s">
        <v>29</v>
      </c>
      <c r="E29" s="31"/>
      <c r="F29" s="2">
        <v>250000</v>
      </c>
      <c r="G29" s="30"/>
      <c r="I29" s="13"/>
      <c r="J29" s="13"/>
    </row>
    <row r="30" spans="1:10" s="2" customFormat="1" ht="12.75" customHeight="1" x14ac:dyDescent="0.2">
      <c r="A30" s="89">
        <v>45037</v>
      </c>
      <c r="B30" s="91" t="s">
        <v>11</v>
      </c>
      <c r="C30" s="76" t="s">
        <v>15</v>
      </c>
      <c r="D30" s="116" t="s">
        <v>29</v>
      </c>
      <c r="E30" s="31"/>
      <c r="F30" s="2">
        <v>44497.03</v>
      </c>
      <c r="G30" s="30"/>
      <c r="I30" s="13"/>
      <c r="J30" s="13"/>
    </row>
    <row r="31" spans="1:10" s="2" customFormat="1" ht="12.75" customHeight="1" x14ac:dyDescent="0.2">
      <c r="A31" s="89">
        <v>45037</v>
      </c>
      <c r="B31" s="91" t="s">
        <v>11</v>
      </c>
      <c r="C31" s="76" t="s">
        <v>63</v>
      </c>
      <c r="D31" s="116" t="s">
        <v>29</v>
      </c>
      <c r="E31" s="31"/>
      <c r="F31" s="2">
        <v>500000</v>
      </c>
      <c r="G31" s="30"/>
      <c r="I31" s="13"/>
      <c r="J31" s="13"/>
    </row>
    <row r="32" spans="1:10" s="2" customFormat="1" ht="12.75" customHeight="1" x14ac:dyDescent="0.2">
      <c r="A32" s="89">
        <v>45037</v>
      </c>
      <c r="B32" s="91" t="s">
        <v>11</v>
      </c>
      <c r="C32" s="76" t="s">
        <v>330</v>
      </c>
      <c r="D32" s="116" t="s">
        <v>29</v>
      </c>
      <c r="E32" s="31"/>
      <c r="F32" s="2">
        <v>3731500</v>
      </c>
      <c r="G32" s="30"/>
      <c r="I32" s="13"/>
      <c r="J32" s="13"/>
    </row>
    <row r="33" spans="1:10" s="2" customFormat="1" ht="12.75" customHeight="1" x14ac:dyDescent="0.2">
      <c r="A33" s="89">
        <v>45037</v>
      </c>
      <c r="B33" s="91" t="s">
        <v>11</v>
      </c>
      <c r="C33" s="76" t="s">
        <v>906</v>
      </c>
      <c r="D33" s="116" t="s">
        <v>29</v>
      </c>
      <c r="E33" s="31"/>
      <c r="F33" s="2">
        <v>28980</v>
      </c>
      <c r="G33" s="30"/>
      <c r="I33" s="13"/>
      <c r="J33" s="13"/>
    </row>
    <row r="34" spans="1:10" s="2" customFormat="1" ht="12.75" customHeight="1" x14ac:dyDescent="0.2">
      <c r="A34" s="89">
        <v>45037</v>
      </c>
      <c r="B34" s="91" t="s">
        <v>11</v>
      </c>
      <c r="C34" s="76" t="s">
        <v>62</v>
      </c>
      <c r="D34" s="116" t="s">
        <v>29</v>
      </c>
      <c r="E34" s="31"/>
      <c r="F34" s="2">
        <v>50000</v>
      </c>
      <c r="G34" s="30"/>
      <c r="I34" s="13"/>
      <c r="J34" s="13"/>
    </row>
    <row r="35" spans="1:10" s="2" customFormat="1" ht="12.75" customHeight="1" x14ac:dyDescent="0.2">
      <c r="A35" s="89">
        <v>45037</v>
      </c>
      <c r="B35" s="91" t="s">
        <v>11</v>
      </c>
      <c r="C35" s="76" t="s">
        <v>610</v>
      </c>
      <c r="D35" s="116" t="s">
        <v>29</v>
      </c>
      <c r="E35" s="31"/>
      <c r="F35" s="2">
        <v>23860</v>
      </c>
      <c r="G35" s="30"/>
      <c r="I35" s="13"/>
      <c r="J35" s="13"/>
    </row>
    <row r="36" spans="1:10" s="2" customFormat="1" ht="12.75" customHeight="1" x14ac:dyDescent="0.2">
      <c r="A36" s="89">
        <v>45037</v>
      </c>
      <c r="B36" s="91" t="s">
        <v>11</v>
      </c>
      <c r="C36" s="76" t="s">
        <v>747</v>
      </c>
      <c r="D36" s="116" t="s">
        <v>29</v>
      </c>
      <c r="E36" s="31"/>
      <c r="F36" s="2">
        <v>100000</v>
      </c>
      <c r="G36" s="30"/>
      <c r="I36" s="13"/>
      <c r="J36" s="13"/>
    </row>
    <row r="37" spans="1:10" s="2" customFormat="1" ht="12.75" customHeight="1" x14ac:dyDescent="0.2">
      <c r="A37" s="89">
        <v>45037</v>
      </c>
      <c r="B37" s="91" t="s">
        <v>11</v>
      </c>
      <c r="C37" s="76" t="s">
        <v>138</v>
      </c>
      <c r="D37" s="116" t="s">
        <v>29</v>
      </c>
      <c r="E37" s="31"/>
      <c r="F37" s="2">
        <v>2074180</v>
      </c>
      <c r="G37" s="30"/>
      <c r="I37" s="13"/>
      <c r="J37" s="13"/>
    </row>
    <row r="38" spans="1:10" s="2" customFormat="1" ht="12.75" customHeight="1" x14ac:dyDescent="0.2">
      <c r="A38" s="89">
        <v>45037</v>
      </c>
      <c r="B38" s="91" t="s">
        <v>11</v>
      </c>
      <c r="C38" s="76" t="s">
        <v>402</v>
      </c>
      <c r="D38" s="116" t="s">
        <v>29</v>
      </c>
      <c r="E38" s="31"/>
      <c r="F38" s="2">
        <v>4500000</v>
      </c>
      <c r="G38" s="30"/>
      <c r="I38" s="13"/>
      <c r="J38" s="13"/>
    </row>
    <row r="39" spans="1:10" s="2" customFormat="1" ht="12.75" customHeight="1" x14ac:dyDescent="0.2">
      <c r="A39" s="89">
        <v>45037</v>
      </c>
      <c r="B39" s="91" t="s">
        <v>11</v>
      </c>
      <c r="C39" s="76" t="s">
        <v>306</v>
      </c>
      <c r="D39" s="116" t="s">
        <v>29</v>
      </c>
      <c r="E39" s="31"/>
      <c r="F39" s="2">
        <v>1879514</v>
      </c>
      <c r="G39" s="30"/>
      <c r="I39" s="13"/>
      <c r="J39" s="13"/>
    </row>
    <row r="40" spans="1:10" s="2" customFormat="1" ht="12.75" customHeight="1" x14ac:dyDescent="0.2">
      <c r="A40" s="89">
        <v>45037</v>
      </c>
      <c r="B40" s="91" t="s">
        <v>11</v>
      </c>
      <c r="C40" s="76" t="s">
        <v>48</v>
      </c>
      <c r="D40" s="116" t="s">
        <v>29</v>
      </c>
      <c r="E40" s="31"/>
      <c r="F40" s="2">
        <v>240401</v>
      </c>
      <c r="G40" s="30"/>
      <c r="I40" s="13"/>
      <c r="J40" s="13"/>
    </row>
    <row r="41" spans="1:10" s="2" customFormat="1" ht="12.75" customHeight="1" x14ac:dyDescent="0.2">
      <c r="A41" s="89">
        <v>45037</v>
      </c>
      <c r="B41" s="91" t="s">
        <v>11</v>
      </c>
      <c r="C41" s="76" t="s">
        <v>40</v>
      </c>
      <c r="D41" s="116" t="s">
        <v>29</v>
      </c>
      <c r="E41" s="31"/>
      <c r="F41" s="2">
        <v>113661</v>
      </c>
      <c r="G41" s="30"/>
      <c r="I41" s="13"/>
      <c r="J41" s="13"/>
    </row>
    <row r="42" spans="1:10" s="2" customFormat="1" ht="12.75" customHeight="1" x14ac:dyDescent="0.2">
      <c r="A42" s="89">
        <v>45037</v>
      </c>
      <c r="B42" s="91" t="s">
        <v>11</v>
      </c>
      <c r="C42" s="76" t="s">
        <v>251</v>
      </c>
      <c r="D42" s="116" t="s">
        <v>29</v>
      </c>
      <c r="E42" s="31"/>
      <c r="F42" s="2">
        <v>477544</v>
      </c>
      <c r="G42" s="30"/>
      <c r="I42" s="13"/>
      <c r="J42" s="13"/>
    </row>
    <row r="43" spans="1:10" s="2" customFormat="1" ht="12.75" customHeight="1" x14ac:dyDescent="0.2">
      <c r="A43" s="89">
        <v>45037</v>
      </c>
      <c r="B43" s="91" t="s">
        <v>11</v>
      </c>
      <c r="C43" s="76" t="s">
        <v>28</v>
      </c>
      <c r="D43" s="116" t="s">
        <v>29</v>
      </c>
      <c r="E43" s="31"/>
      <c r="F43" s="2">
        <v>100960.8</v>
      </c>
      <c r="G43" s="30"/>
      <c r="I43" s="13"/>
      <c r="J43" s="13"/>
    </row>
    <row r="44" spans="1:10" s="2" customFormat="1" ht="12.75" customHeight="1" x14ac:dyDescent="0.2">
      <c r="A44" s="89">
        <v>45037</v>
      </c>
      <c r="B44" s="91" t="s">
        <v>11</v>
      </c>
      <c r="C44" s="76" t="s">
        <v>269</v>
      </c>
      <c r="D44" s="116" t="s">
        <v>29</v>
      </c>
      <c r="E44" s="31"/>
      <c r="F44" s="2">
        <v>6702311</v>
      </c>
      <c r="G44" s="30"/>
      <c r="I44" s="13"/>
      <c r="J44" s="13"/>
    </row>
    <row r="45" spans="1:10" s="2" customFormat="1" ht="12.75" customHeight="1" x14ac:dyDescent="0.2">
      <c r="A45" s="89">
        <v>45037</v>
      </c>
      <c r="B45" s="91" t="s">
        <v>11</v>
      </c>
      <c r="C45" s="76" t="s">
        <v>279</v>
      </c>
      <c r="D45" s="116" t="s">
        <v>29</v>
      </c>
      <c r="E45" s="31"/>
      <c r="F45" s="2">
        <v>1910393</v>
      </c>
      <c r="G45" s="30"/>
      <c r="I45" s="13"/>
      <c r="J45" s="13"/>
    </row>
    <row r="46" spans="1:10" s="2" customFormat="1" ht="12.75" customHeight="1" x14ac:dyDescent="0.2">
      <c r="A46" s="89">
        <v>45037</v>
      </c>
      <c r="B46" s="91" t="s">
        <v>11</v>
      </c>
      <c r="C46" s="76" t="s">
        <v>280</v>
      </c>
      <c r="D46" s="116" t="s">
        <v>29</v>
      </c>
      <c r="E46" s="31"/>
      <c r="F46" s="2">
        <v>1441530</v>
      </c>
      <c r="G46" s="30"/>
      <c r="I46" s="13"/>
      <c r="J46" s="13"/>
    </row>
    <row r="47" spans="1:10" s="2" customFormat="1" ht="12.75" customHeight="1" x14ac:dyDescent="0.2">
      <c r="A47" s="89">
        <v>45037</v>
      </c>
      <c r="B47" s="91" t="s">
        <v>11</v>
      </c>
      <c r="C47" s="76" t="s">
        <v>32</v>
      </c>
      <c r="D47" s="116" t="s">
        <v>29</v>
      </c>
      <c r="E47" s="31"/>
      <c r="F47" s="2">
        <v>856190</v>
      </c>
      <c r="G47" s="30"/>
      <c r="I47" s="13"/>
      <c r="J47" s="13"/>
    </row>
    <row r="48" spans="1:10" s="2" customFormat="1" ht="12.75" customHeight="1" x14ac:dyDescent="0.2">
      <c r="A48" s="89">
        <v>45037</v>
      </c>
      <c r="B48" s="91" t="s">
        <v>11</v>
      </c>
      <c r="C48" s="76" t="s">
        <v>35</v>
      </c>
      <c r="D48" s="116" t="s">
        <v>29</v>
      </c>
      <c r="E48" s="31"/>
      <c r="F48" s="2">
        <v>117011.8</v>
      </c>
      <c r="G48" s="30"/>
      <c r="I48" s="13"/>
      <c r="J48" s="13"/>
    </row>
    <row r="49" spans="1:14" s="2" customFormat="1" ht="12.75" customHeight="1" x14ac:dyDescent="0.2">
      <c r="A49" s="89">
        <v>45037</v>
      </c>
      <c r="B49" s="91" t="s">
        <v>11</v>
      </c>
      <c r="C49" s="76" t="s">
        <v>907</v>
      </c>
      <c r="D49" s="116" t="s">
        <v>29</v>
      </c>
      <c r="E49" s="31"/>
      <c r="F49" s="2">
        <v>53100</v>
      </c>
      <c r="G49" s="30"/>
      <c r="I49" s="13"/>
      <c r="J49" s="13"/>
    </row>
    <row r="50" spans="1:14" s="2" customFormat="1" ht="12.75" customHeight="1" x14ac:dyDescent="0.2">
      <c r="A50" s="89">
        <v>45037</v>
      </c>
      <c r="B50" s="91" t="s">
        <v>11</v>
      </c>
      <c r="C50" s="76" t="s">
        <v>533</v>
      </c>
      <c r="D50" s="116" t="s">
        <v>29</v>
      </c>
      <c r="E50" s="31"/>
      <c r="F50" s="2">
        <v>8246864</v>
      </c>
      <c r="G50" s="30"/>
      <c r="I50" s="13"/>
      <c r="J50" s="99" t="s">
        <v>601</v>
      </c>
      <c r="K50" s="99" t="s">
        <v>779</v>
      </c>
    </row>
    <row r="51" spans="1:14" s="2" customFormat="1" ht="12.75" customHeight="1" x14ac:dyDescent="0.25">
      <c r="A51" s="32"/>
      <c r="B51" s="33"/>
      <c r="C51" s="14"/>
      <c r="D51" s="34"/>
      <c r="E51" s="16">
        <f>SUM(E12:E50)</f>
        <v>23801405.869999997</v>
      </c>
      <c r="F51" s="16">
        <f>SUM(F12:F50)</f>
        <v>379341214.64000028</v>
      </c>
      <c r="G51" s="30"/>
      <c r="H51" s="1"/>
      <c r="I51" s="39">
        <v>363467088.76999998</v>
      </c>
      <c r="J51" s="2">
        <f>1972203+1220426+1321352+3017518</f>
        <v>7531499</v>
      </c>
      <c r="K51" s="92">
        <f>E52-I51</f>
        <v>-7927279.999999702</v>
      </c>
      <c r="L51" s="41"/>
      <c r="M51" s="42">
        <f>K51+J51</f>
        <v>-395780.99999970198</v>
      </c>
      <c r="N51" s="1"/>
    </row>
    <row r="52" spans="1:14" s="2" customFormat="1" x14ac:dyDescent="0.2">
      <c r="A52" s="36"/>
      <c r="B52" s="28" t="s">
        <v>11</v>
      </c>
      <c r="C52" s="19" t="s">
        <v>65</v>
      </c>
      <c r="D52" s="37"/>
      <c r="E52" s="38">
        <f>F51-E51</f>
        <v>355539808.77000028</v>
      </c>
      <c r="F52" s="22"/>
      <c r="G52" s="1"/>
      <c r="H52" s="1"/>
      <c r="J52" s="1"/>
      <c r="K52" s="1"/>
      <c r="L52" s="1"/>
      <c r="M52" s="1"/>
      <c r="N52" s="1"/>
    </row>
    <row r="53" spans="1:14" x14ac:dyDescent="0.2">
      <c r="A53" s="36"/>
      <c r="B53" s="28" t="s">
        <v>66</v>
      </c>
      <c r="C53" s="43" t="s">
        <v>67</v>
      </c>
      <c r="D53" s="43"/>
      <c r="E53" s="12">
        <v>0</v>
      </c>
      <c r="F53" s="22"/>
      <c r="H53" s="40"/>
      <c r="I53" s="45">
        <v>2183.88</v>
      </c>
      <c r="J53" s="46"/>
      <c r="K53" s="46"/>
      <c r="L53" s="13"/>
      <c r="M53" s="2"/>
      <c r="N53" s="2"/>
    </row>
    <row r="54" spans="1:14" ht="15" x14ac:dyDescent="0.25">
      <c r="A54" s="36"/>
      <c r="B54" s="28"/>
      <c r="C54" s="44" t="s">
        <v>68</v>
      </c>
      <c r="D54" s="43"/>
      <c r="E54" s="7">
        <f>E52+E53</f>
        <v>355539808.77000028</v>
      </c>
      <c r="F54" s="22"/>
      <c r="H54" s="103" t="s">
        <v>69</v>
      </c>
      <c r="I54" s="45">
        <v>-32.04</v>
      </c>
      <c r="J54" s="46"/>
      <c r="K54" s="46"/>
      <c r="L54" s="2"/>
      <c r="M54" s="2"/>
      <c r="N54" s="2"/>
    </row>
    <row r="55" spans="1:14" s="2" customFormat="1" x14ac:dyDescent="0.2">
      <c r="A55" s="24"/>
      <c r="B55" s="1"/>
      <c r="C55" s="14"/>
      <c r="D55" s="25"/>
      <c r="E55" s="1"/>
      <c r="H55" s="35" t="s">
        <v>70</v>
      </c>
      <c r="I55" s="45">
        <v>0</v>
      </c>
      <c r="J55" s="46">
        <f>+I56-D58</f>
        <v>0</v>
      </c>
      <c r="M55" s="2">
        <v>19.57</v>
      </c>
      <c r="N55" s="2" t="s">
        <v>535</v>
      </c>
    </row>
    <row r="56" spans="1:14" s="2" customFormat="1" x14ac:dyDescent="0.2">
      <c r="A56" s="24"/>
      <c r="B56" s="1"/>
      <c r="C56" s="56"/>
      <c r="D56" s="56"/>
      <c r="E56" s="104"/>
      <c r="G56" s="1"/>
      <c r="I56" s="49">
        <f>SUM(I53:I55)</f>
        <v>2151.84</v>
      </c>
      <c r="J56" s="46"/>
      <c r="K56" s="46"/>
    </row>
    <row r="57" spans="1:14" s="2" customFormat="1" x14ac:dyDescent="0.2">
      <c r="A57" s="24"/>
      <c r="B57" s="1"/>
      <c r="C57" s="78" t="s">
        <v>575</v>
      </c>
      <c r="D57" s="48" t="s">
        <v>576</v>
      </c>
      <c r="E57" s="104"/>
      <c r="G57" s="1"/>
    </row>
    <row r="58" spans="1:14" s="2" customFormat="1" x14ac:dyDescent="0.2">
      <c r="A58" s="24"/>
      <c r="B58" s="1"/>
      <c r="C58" s="47" t="s">
        <v>570</v>
      </c>
      <c r="D58" s="111">
        <v>2151.84</v>
      </c>
      <c r="E58" s="104"/>
      <c r="G58" s="1"/>
      <c r="H58" s="110" t="s">
        <v>581</v>
      </c>
    </row>
    <row r="59" spans="1:14" s="2" customFormat="1" x14ac:dyDescent="0.2">
      <c r="A59" s="24"/>
      <c r="B59" s="1"/>
      <c r="C59" s="47" t="s">
        <v>571</v>
      </c>
      <c r="D59" s="111">
        <v>14.38</v>
      </c>
      <c r="E59" s="104"/>
      <c r="G59" s="1"/>
      <c r="H59" s="110" t="s">
        <v>580</v>
      </c>
    </row>
    <row r="60" spans="1:14" s="2" customFormat="1" x14ac:dyDescent="0.2">
      <c r="A60" s="24"/>
      <c r="B60" s="1"/>
      <c r="C60" s="47" t="s">
        <v>572</v>
      </c>
      <c r="D60" s="111">
        <f>+D95/100000</f>
        <v>328.60543269999999</v>
      </c>
      <c r="E60" s="104"/>
      <c r="G60" s="1"/>
      <c r="H60" s="90" t="s">
        <v>587</v>
      </c>
    </row>
    <row r="61" spans="1:14" s="2" customFormat="1" x14ac:dyDescent="0.2">
      <c r="A61" s="24"/>
      <c r="B61" s="1"/>
      <c r="C61" s="108" t="s">
        <v>578</v>
      </c>
      <c r="D61" s="48">
        <f>SUM(D58:D60)</f>
        <v>2494.8254327000004</v>
      </c>
      <c r="E61" s="104"/>
      <c r="G61" s="1"/>
    </row>
    <row r="62" spans="1:14" s="2" customFormat="1" x14ac:dyDescent="0.2">
      <c r="A62" s="24"/>
      <c r="B62" s="1"/>
      <c r="C62" s="47"/>
      <c r="D62" s="107"/>
      <c r="E62" s="104"/>
      <c r="G62" s="1"/>
    </row>
    <row r="63" spans="1:14" s="2" customFormat="1" x14ac:dyDescent="0.2">
      <c r="A63" s="24"/>
      <c r="B63" s="1"/>
      <c r="C63" s="47" t="s">
        <v>573</v>
      </c>
      <c r="D63" s="111">
        <v>42.65</v>
      </c>
      <c r="E63" s="104"/>
      <c r="G63" s="1"/>
      <c r="H63" s="110" t="s">
        <v>581</v>
      </c>
    </row>
    <row r="64" spans="1:14" s="2" customFormat="1" x14ac:dyDescent="0.2">
      <c r="A64" s="24"/>
      <c r="B64" s="1"/>
      <c r="C64" s="47" t="s">
        <v>574</v>
      </c>
      <c r="D64" s="111">
        <f>421.66-38.61</f>
        <v>383.05</v>
      </c>
      <c r="E64" s="104"/>
      <c r="G64" s="1"/>
      <c r="H64" s="110" t="s">
        <v>581</v>
      </c>
      <c r="J64" s="114" t="s">
        <v>713</v>
      </c>
    </row>
    <row r="65" spans="1:13" s="2" customFormat="1" x14ac:dyDescent="0.2">
      <c r="A65" s="24"/>
      <c r="B65" s="1"/>
      <c r="C65" s="78" t="s">
        <v>579</v>
      </c>
      <c r="D65" s="109">
        <f>D63+D64</f>
        <v>425.7</v>
      </c>
      <c r="E65" s="104"/>
      <c r="G65" s="1"/>
      <c r="I65" s="113"/>
      <c r="J65" s="113" t="s">
        <v>709</v>
      </c>
      <c r="K65" s="113" t="s">
        <v>710</v>
      </c>
      <c r="L65" s="113" t="s">
        <v>711</v>
      </c>
      <c r="M65" s="113" t="s">
        <v>712</v>
      </c>
    </row>
    <row r="66" spans="1:13" s="2" customFormat="1" x14ac:dyDescent="0.2">
      <c r="A66" s="24"/>
      <c r="B66" s="1"/>
      <c r="C66" s="105"/>
      <c r="D66" s="106"/>
      <c r="E66" s="104"/>
      <c r="G66" s="1"/>
      <c r="I66" s="113" t="s">
        <v>706</v>
      </c>
      <c r="J66" s="115"/>
      <c r="K66" s="115">
        <v>968.99</v>
      </c>
      <c r="L66" s="115">
        <v>968.99</v>
      </c>
      <c r="M66" s="113">
        <f>+J66+L66-K66</f>
        <v>0</v>
      </c>
    </row>
    <row r="67" spans="1:13" s="2" customFormat="1" x14ac:dyDescent="0.2">
      <c r="A67" s="24"/>
      <c r="B67" s="1"/>
      <c r="C67" s="78" t="s">
        <v>577</v>
      </c>
      <c r="D67" s="109">
        <f>D58+D65</f>
        <v>2577.54</v>
      </c>
      <c r="E67" s="104"/>
      <c r="G67" s="1"/>
      <c r="I67" s="113" t="s">
        <v>707</v>
      </c>
      <c r="J67" s="115">
        <v>183.1</v>
      </c>
      <c r="K67" s="115">
        <v>1455.92</v>
      </c>
      <c r="L67" s="115">
        <v>1957.84</v>
      </c>
      <c r="M67" s="113">
        <f>+J67+L67-K67</f>
        <v>685.02</v>
      </c>
    </row>
    <row r="68" spans="1:13" s="2" customFormat="1" x14ac:dyDescent="0.2">
      <c r="A68" s="24"/>
      <c r="B68" s="1"/>
      <c r="C68" s="56"/>
      <c r="D68" s="56"/>
      <c r="E68" s="104"/>
      <c r="G68" s="1"/>
      <c r="I68" s="113" t="s">
        <v>708</v>
      </c>
      <c r="J68" s="115">
        <v>1371.02</v>
      </c>
      <c r="K68" s="115">
        <v>10306.719999999999</v>
      </c>
      <c r="L68" s="115">
        <v>10714.95</v>
      </c>
      <c r="M68" s="113">
        <f>+J68+L68-K68</f>
        <v>1779.2500000000018</v>
      </c>
    </row>
    <row r="69" spans="1:13" s="2" customFormat="1" ht="38.25" x14ac:dyDescent="0.2">
      <c r="A69" s="24"/>
      <c r="B69" s="1"/>
      <c r="C69" s="79" t="str">
        <f>"Particulars ( 01-04-2021 to "&amp;TEXT(A5,"dd-mm-yyyy")&amp;" )"</f>
        <v>Particulars ( 01-04-2021 to 21-04-2023 )</v>
      </c>
      <c r="D69" s="80" t="s">
        <v>73</v>
      </c>
      <c r="E69" s="80" t="s">
        <v>74</v>
      </c>
      <c r="F69" s="81" t="s">
        <v>75</v>
      </c>
      <c r="G69" s="80" t="s">
        <v>76</v>
      </c>
      <c r="J69" s="118">
        <f>SUM(J66:J68)</f>
        <v>1554.12</v>
      </c>
      <c r="K69" s="118">
        <f>SUM(K66:K68)</f>
        <v>12731.63</v>
      </c>
      <c r="L69" s="118">
        <f>SUM(L66:L68)</f>
        <v>13641.78</v>
      </c>
      <c r="M69" s="118">
        <f>SUM(M66:M68)</f>
        <v>2464.2700000000018</v>
      </c>
    </row>
    <row r="70" spans="1:13" s="2" customFormat="1" x14ac:dyDescent="0.2">
      <c r="A70" s="24"/>
      <c r="B70" s="1"/>
      <c r="C70" s="50" t="s">
        <v>444</v>
      </c>
      <c r="D70" s="55">
        <f>+L66+L67+J67</f>
        <v>3109.93</v>
      </c>
      <c r="E70" s="55">
        <f>+K66+K67</f>
        <v>2424.91</v>
      </c>
      <c r="F70" s="55">
        <f>+D70-E70</f>
        <v>685.02</v>
      </c>
      <c r="G70" s="55">
        <f>1500-F70</f>
        <v>814.98</v>
      </c>
      <c r="H70" s="2" t="s">
        <v>396</v>
      </c>
    </row>
    <row r="71" spans="1:13" s="2" customFormat="1" x14ac:dyDescent="0.2">
      <c r="A71" s="24"/>
      <c r="B71" s="1"/>
      <c r="C71" s="50" t="s">
        <v>71</v>
      </c>
      <c r="D71" s="55">
        <f>+J68+L68</f>
        <v>12085.970000000001</v>
      </c>
      <c r="E71" s="55">
        <f>+K68</f>
        <v>10306.719999999999</v>
      </c>
      <c r="F71" s="55">
        <f>+D71-E71</f>
        <v>1779.2500000000018</v>
      </c>
      <c r="G71" s="55">
        <f>1500+700-F71</f>
        <v>420.74999999999818</v>
      </c>
      <c r="H71" s="2" t="s">
        <v>396</v>
      </c>
    </row>
    <row r="72" spans="1:13" s="2" customFormat="1" x14ac:dyDescent="0.2">
      <c r="A72" s="24"/>
      <c r="B72" s="1"/>
      <c r="C72" s="14"/>
      <c r="D72" s="56"/>
      <c r="E72" s="13"/>
      <c r="G72" s="1"/>
    </row>
    <row r="73" spans="1:13" s="2" customFormat="1" x14ac:dyDescent="0.2">
      <c r="A73" s="215" t="s">
        <v>80</v>
      </c>
      <c r="B73" s="216"/>
      <c r="C73" s="216"/>
      <c r="D73" s="217"/>
      <c r="E73" s="69"/>
      <c r="F73" s="70"/>
      <c r="G73" s="1"/>
      <c r="H73" s="53"/>
    </row>
    <row r="74" spans="1:13" s="2" customFormat="1" x14ac:dyDescent="0.2">
      <c r="A74" s="71" t="s">
        <v>81</v>
      </c>
      <c r="B74" s="71"/>
      <c r="C74" s="72" t="s">
        <v>82</v>
      </c>
      <c r="D74" s="73" t="s">
        <v>83</v>
      </c>
      <c r="E74" s="69"/>
      <c r="F74" s="70"/>
      <c r="H74" s="53"/>
    </row>
    <row r="75" spans="1:13" s="2" customFormat="1" x14ac:dyDescent="0.2">
      <c r="A75" s="87">
        <v>45017</v>
      </c>
      <c r="B75" s="120" t="s">
        <v>6</v>
      </c>
      <c r="C75" s="75" t="s">
        <v>282</v>
      </c>
      <c r="D75" s="88">
        <v>12220</v>
      </c>
      <c r="G75" s="1"/>
      <c r="L75" s="1"/>
      <c r="M75" s="1"/>
    </row>
    <row r="76" spans="1:13" s="2" customFormat="1" x14ac:dyDescent="0.2">
      <c r="A76" s="87">
        <v>45020</v>
      </c>
      <c r="B76" s="120" t="s">
        <v>6</v>
      </c>
      <c r="C76" s="75" t="s">
        <v>271</v>
      </c>
      <c r="D76" s="88">
        <v>584074</v>
      </c>
      <c r="G76" s="1"/>
      <c r="L76" s="1"/>
      <c r="M76" s="1"/>
    </row>
    <row r="77" spans="1:13" s="2" customFormat="1" x14ac:dyDescent="0.2">
      <c r="A77" s="87">
        <v>45022</v>
      </c>
      <c r="B77" s="120" t="s">
        <v>6</v>
      </c>
      <c r="C77" s="75" t="s">
        <v>784</v>
      </c>
      <c r="D77" s="88">
        <v>283512</v>
      </c>
      <c r="G77" s="1"/>
      <c r="L77" s="1"/>
      <c r="M77" s="1"/>
    </row>
    <row r="78" spans="1:13" s="2" customFormat="1" x14ac:dyDescent="0.2">
      <c r="A78" s="87">
        <v>45022</v>
      </c>
      <c r="B78" s="120" t="s">
        <v>6</v>
      </c>
      <c r="C78" s="75" t="s">
        <v>84</v>
      </c>
      <c r="D78" s="88">
        <v>2500000</v>
      </c>
      <c r="G78" s="1"/>
      <c r="L78" s="1"/>
      <c r="M78" s="1"/>
    </row>
    <row r="79" spans="1:13" s="2" customFormat="1" x14ac:dyDescent="0.2">
      <c r="A79" s="87">
        <v>45023</v>
      </c>
      <c r="B79" s="120" t="s">
        <v>6</v>
      </c>
      <c r="C79" s="75" t="s">
        <v>270</v>
      </c>
      <c r="D79" s="88">
        <v>33748</v>
      </c>
      <c r="G79" s="1"/>
      <c r="L79" s="1"/>
      <c r="M79" s="1"/>
    </row>
    <row r="80" spans="1:13" s="2" customFormat="1" x14ac:dyDescent="0.2">
      <c r="A80" s="87">
        <v>45023</v>
      </c>
      <c r="B80" s="120" t="s">
        <v>6</v>
      </c>
      <c r="C80" s="75" t="s">
        <v>270</v>
      </c>
      <c r="D80" s="88">
        <v>114918</v>
      </c>
      <c r="G80" s="1"/>
      <c r="L80" s="1"/>
      <c r="M80" s="1"/>
    </row>
    <row r="81" spans="1:13" s="2" customFormat="1" x14ac:dyDescent="0.2">
      <c r="A81" s="87">
        <v>45027</v>
      </c>
      <c r="B81" s="120" t="s">
        <v>6</v>
      </c>
      <c r="C81" s="75" t="s">
        <v>767</v>
      </c>
      <c r="D81" s="88">
        <v>2093169</v>
      </c>
      <c r="G81" s="1"/>
      <c r="L81" s="1"/>
      <c r="M81" s="1"/>
    </row>
    <row r="82" spans="1:13" s="2" customFormat="1" x14ac:dyDescent="0.2">
      <c r="A82" s="87">
        <v>45027</v>
      </c>
      <c r="B82" s="120" t="s">
        <v>6</v>
      </c>
      <c r="C82" s="75" t="s">
        <v>594</v>
      </c>
      <c r="D82" s="88">
        <v>2500000</v>
      </c>
      <c r="G82" s="1"/>
      <c r="L82" s="1"/>
      <c r="M82" s="1"/>
    </row>
    <row r="83" spans="1:13" s="2" customFormat="1" x14ac:dyDescent="0.2">
      <c r="A83" s="87">
        <v>45028</v>
      </c>
      <c r="B83" s="120" t="s">
        <v>6</v>
      </c>
      <c r="C83" s="75" t="s">
        <v>84</v>
      </c>
      <c r="D83" s="88">
        <v>4000000</v>
      </c>
      <c r="G83" s="1"/>
      <c r="L83" s="1"/>
      <c r="M83" s="1"/>
    </row>
    <row r="84" spans="1:13" s="2" customFormat="1" x14ac:dyDescent="0.2">
      <c r="A84" s="87">
        <v>45028</v>
      </c>
      <c r="B84" s="120" t="s">
        <v>6</v>
      </c>
      <c r="C84" s="75" t="s">
        <v>606</v>
      </c>
      <c r="D84" s="88">
        <v>103240</v>
      </c>
      <c r="G84" s="1"/>
      <c r="L84" s="1"/>
      <c r="M84" s="1"/>
    </row>
    <row r="85" spans="1:13" s="2" customFormat="1" x14ac:dyDescent="0.2">
      <c r="A85" s="87">
        <v>45029</v>
      </c>
      <c r="B85" s="120" t="s">
        <v>6</v>
      </c>
      <c r="C85" s="75" t="s">
        <v>784</v>
      </c>
      <c r="D85" s="88">
        <v>451698</v>
      </c>
      <c r="G85" s="1"/>
      <c r="L85" s="1"/>
      <c r="M85" s="1"/>
    </row>
    <row r="86" spans="1:13" s="2" customFormat="1" x14ac:dyDescent="0.2">
      <c r="A86" s="87">
        <v>45030</v>
      </c>
      <c r="B86" s="120" t="s">
        <v>6</v>
      </c>
      <c r="C86" s="75" t="s">
        <v>270</v>
      </c>
      <c r="D86" s="88">
        <v>655766</v>
      </c>
      <c r="G86" s="1"/>
      <c r="L86" s="1"/>
      <c r="M86" s="1"/>
    </row>
    <row r="87" spans="1:13" s="2" customFormat="1" x14ac:dyDescent="0.2">
      <c r="A87" s="87">
        <v>45031</v>
      </c>
      <c r="B87" s="120" t="s">
        <v>6</v>
      </c>
      <c r="C87" s="75" t="s">
        <v>784</v>
      </c>
      <c r="D87" s="88">
        <v>539800</v>
      </c>
      <c r="G87" s="1"/>
      <c r="L87" s="1"/>
      <c r="M87" s="1"/>
    </row>
    <row r="88" spans="1:13" s="2" customFormat="1" x14ac:dyDescent="0.2">
      <c r="A88" s="87">
        <v>45031</v>
      </c>
      <c r="B88" s="120" t="s">
        <v>6</v>
      </c>
      <c r="C88" s="75" t="s">
        <v>784</v>
      </c>
      <c r="D88" s="88">
        <v>198679</v>
      </c>
      <c r="G88" s="1"/>
      <c r="L88" s="1"/>
      <c r="M88" s="1"/>
    </row>
    <row r="89" spans="1:13" s="2" customFormat="1" x14ac:dyDescent="0.2">
      <c r="A89" s="87">
        <v>45033</v>
      </c>
      <c r="B89" s="120" t="s">
        <v>6</v>
      </c>
      <c r="C89" s="75" t="s">
        <v>888</v>
      </c>
      <c r="D89" s="88">
        <v>5449818.2699999996</v>
      </c>
      <c r="G89" s="1"/>
      <c r="L89" s="1"/>
      <c r="M89" s="1"/>
    </row>
    <row r="90" spans="1:13" s="2" customFormat="1" x14ac:dyDescent="0.2">
      <c r="A90" s="87">
        <v>45033</v>
      </c>
      <c r="B90" s="120" t="s">
        <v>6</v>
      </c>
      <c r="C90" s="75" t="s">
        <v>594</v>
      </c>
      <c r="D90" s="88">
        <v>3094653</v>
      </c>
      <c r="G90" s="1"/>
      <c r="L90" s="1"/>
      <c r="M90" s="1"/>
    </row>
    <row r="91" spans="1:13" s="2" customFormat="1" x14ac:dyDescent="0.2">
      <c r="A91" s="87">
        <v>45033</v>
      </c>
      <c r="B91" s="120" t="s">
        <v>6</v>
      </c>
      <c r="C91" s="75" t="s">
        <v>594</v>
      </c>
      <c r="D91" s="88">
        <v>279152</v>
      </c>
      <c r="G91" s="1"/>
      <c r="L91" s="1"/>
      <c r="M91" s="1"/>
    </row>
    <row r="92" spans="1:13" s="2" customFormat="1" x14ac:dyDescent="0.2">
      <c r="A92" s="87">
        <v>45035</v>
      </c>
      <c r="B92" s="120" t="s">
        <v>6</v>
      </c>
      <c r="C92" s="75" t="s">
        <v>767</v>
      </c>
      <c r="D92" s="88">
        <v>2025000</v>
      </c>
      <c r="G92" s="1"/>
      <c r="L92" s="1"/>
      <c r="M92" s="1"/>
    </row>
    <row r="93" spans="1:13" s="2" customFormat="1" x14ac:dyDescent="0.2">
      <c r="A93" s="87">
        <v>45036</v>
      </c>
      <c r="B93" s="120" t="s">
        <v>6</v>
      </c>
      <c r="C93" s="75" t="s">
        <v>84</v>
      </c>
      <c r="D93" s="88">
        <v>3500000</v>
      </c>
      <c r="G93" s="1"/>
      <c r="L93" s="1"/>
      <c r="M93" s="1"/>
    </row>
    <row r="94" spans="1:13" s="2" customFormat="1" x14ac:dyDescent="0.2">
      <c r="A94" s="87">
        <v>45036</v>
      </c>
      <c r="B94" s="120" t="s">
        <v>6</v>
      </c>
      <c r="C94" s="75" t="s">
        <v>606</v>
      </c>
      <c r="D94" s="88">
        <v>4441096</v>
      </c>
      <c r="G94" s="1"/>
      <c r="L94" s="1"/>
      <c r="M94" s="1"/>
    </row>
    <row r="95" spans="1:13" s="2" customFormat="1" x14ac:dyDescent="0.2">
      <c r="A95" s="87"/>
      <c r="B95" s="74"/>
      <c r="C95" s="75"/>
      <c r="D95" s="51">
        <f>SUM(D75:D94)</f>
        <v>32860543.27</v>
      </c>
      <c r="F95" s="2" t="s">
        <v>396</v>
      </c>
      <c r="G95" s="1"/>
      <c r="I95" s="1"/>
      <c r="J95" s="1"/>
      <c r="K95" s="1"/>
      <c r="L95" s="1"/>
      <c r="M95" s="1"/>
    </row>
    <row r="96" spans="1:13" s="2" customFormat="1" x14ac:dyDescent="0.2">
      <c r="A96" s="8"/>
      <c r="B96" s="93"/>
      <c r="C96" s="76"/>
      <c r="D96" s="56"/>
      <c r="G96" s="1"/>
      <c r="I96" s="1"/>
      <c r="J96" s="1"/>
      <c r="K96" s="1"/>
      <c r="L96" s="1"/>
      <c r="M96" s="1"/>
    </row>
    <row r="97" spans="1:13" s="2" customFormat="1" x14ac:dyDescent="0.2">
      <c r="A97" s="24"/>
      <c r="B97" s="1"/>
      <c r="C97" s="218" t="s">
        <v>77</v>
      </c>
      <c r="D97" s="219"/>
      <c r="E97" s="219"/>
      <c r="F97" s="220"/>
      <c r="G97" s="54"/>
      <c r="I97" s="1"/>
      <c r="J97" s="1"/>
      <c r="K97" s="1"/>
      <c r="L97" s="1"/>
      <c r="M97" s="1"/>
    </row>
    <row r="98" spans="1:13" s="2" customFormat="1" x14ac:dyDescent="0.2">
      <c r="A98" s="24"/>
      <c r="B98" s="1"/>
      <c r="C98" s="50"/>
      <c r="D98" s="57" t="s">
        <v>78</v>
      </c>
      <c r="E98" s="58" t="s">
        <v>79</v>
      </c>
      <c r="F98" s="57" t="s">
        <v>72</v>
      </c>
      <c r="G98" s="54"/>
      <c r="I98" s="1"/>
      <c r="J98" s="1"/>
      <c r="K98" s="1"/>
      <c r="L98" s="1"/>
      <c r="M98" s="1"/>
    </row>
    <row r="99" spans="1:13" s="2" customFormat="1" x14ac:dyDescent="0.2">
      <c r="A99" s="24"/>
      <c r="B99" s="1"/>
      <c r="C99" s="59" t="str">
        <f>"01-04-2023 to "&amp;TEXT(A5-2,"dd-mm-yyyy")</f>
        <v>01-04-2023 to 19-04-2023</v>
      </c>
      <c r="D99" s="60">
        <v>2771.68</v>
      </c>
      <c r="E99" s="60">
        <v>362.13</v>
      </c>
      <c r="F99" s="61">
        <f>SUM(D99:E99)</f>
        <v>3133.81</v>
      </c>
      <c r="G99" s="54"/>
      <c r="I99" s="1"/>
      <c r="J99" s="1"/>
      <c r="K99" s="1"/>
      <c r="L99" s="1"/>
      <c r="M99" s="1"/>
    </row>
    <row r="100" spans="1:13" s="2" customFormat="1" x14ac:dyDescent="0.2">
      <c r="A100" s="24"/>
      <c r="B100" s="1"/>
      <c r="C100" s="62" t="str">
        <f>TEXT(A5-1,"dd-mm-yyyy")</f>
        <v>20-04-2023</v>
      </c>
      <c r="D100" s="60">
        <v>137.44999999999999</v>
      </c>
      <c r="E100" s="60">
        <v>23.09</v>
      </c>
      <c r="F100" s="61">
        <f>SUM(D100:E100)</f>
        <v>160.54</v>
      </c>
      <c r="G100" s="54"/>
      <c r="I100" s="1"/>
      <c r="J100" s="1"/>
      <c r="K100" s="1"/>
      <c r="L100" s="1"/>
      <c r="M100" s="1"/>
    </row>
    <row r="101" spans="1:13" ht="13.5" thickBot="1" x14ac:dyDescent="0.25">
      <c r="C101" s="63" t="str">
        <f>"01-04-2023 to "&amp;TEXT(A5-1,"dd-mm-yyyy")</f>
        <v>01-04-2023 to 20-04-2023</v>
      </c>
      <c r="D101" s="64">
        <f>SUM(D99:D100)</f>
        <v>2909.1299999999997</v>
      </c>
      <c r="E101" s="64">
        <f>SUM(E99:E100)</f>
        <v>385.21999999999997</v>
      </c>
      <c r="F101" s="64">
        <f>SUM(F99:F100)</f>
        <v>3294.35</v>
      </c>
      <c r="G101" s="54"/>
    </row>
    <row r="102" spans="1:13" s="2" customFormat="1" ht="13.5" thickTop="1" x14ac:dyDescent="0.2">
      <c r="A102" s="24"/>
      <c r="B102" s="1"/>
      <c r="C102" s="62"/>
      <c r="D102" s="65"/>
      <c r="E102" s="66"/>
      <c r="F102" s="67"/>
      <c r="G102" s="54"/>
      <c r="H102" s="53"/>
    </row>
    <row r="103" spans="1:13" x14ac:dyDescent="0.2">
      <c r="C103" s="62" t="str">
        <f>"01-04-2023 to " &amp;C100</f>
        <v>01-04-2023 to 20-04-2023</v>
      </c>
      <c r="D103" s="68">
        <f>+D101</f>
        <v>2909.1299999999997</v>
      </c>
      <c r="E103" s="68">
        <f>+E101</f>
        <v>385.21999999999997</v>
      </c>
      <c r="F103" s="68">
        <f>+F101</f>
        <v>3294.35</v>
      </c>
      <c r="G103" s="54"/>
      <c r="H103" s="53" t="s">
        <v>396</v>
      </c>
    </row>
    <row r="104" spans="1:13" x14ac:dyDescent="0.2">
      <c r="C104" s="52"/>
      <c r="D104" s="85"/>
      <c r="E104" s="53"/>
      <c r="F104" s="53"/>
      <c r="G104" s="54"/>
      <c r="H104" s="53" t="s">
        <v>396</v>
      </c>
      <c r="J104" s="42"/>
    </row>
    <row r="105" spans="1:13" x14ac:dyDescent="0.2">
      <c r="C105" s="52"/>
      <c r="D105" s="85"/>
      <c r="E105" s="53"/>
      <c r="F105" s="53"/>
      <c r="G105" s="54"/>
      <c r="H105" s="53"/>
      <c r="I105" s="101"/>
    </row>
    <row r="106" spans="1:13" x14ac:dyDescent="0.2">
      <c r="C106" s="52"/>
      <c r="D106" s="85"/>
      <c r="E106" s="53"/>
      <c r="F106" s="53"/>
      <c r="G106" s="54"/>
      <c r="H106" s="53"/>
    </row>
    <row r="107" spans="1:13" x14ac:dyDescent="0.2">
      <c r="C107" s="52"/>
      <c r="D107" s="85"/>
      <c r="E107" s="53"/>
      <c r="F107" s="53"/>
      <c r="G107" s="54"/>
      <c r="H107" s="53"/>
    </row>
    <row r="108" spans="1:13" x14ac:dyDescent="0.2">
      <c r="H108" s="53"/>
    </row>
  </sheetData>
  <mergeCells count="5">
    <mergeCell ref="A1:G1"/>
    <mergeCell ref="A3:F3"/>
    <mergeCell ref="A10:F10"/>
    <mergeCell ref="A73:D73"/>
    <mergeCell ref="C97:F97"/>
  </mergeCells>
  <conditionalFormatting sqref="G70:G71">
    <cfRule type="cellIs" dxfId="619" priority="2" operator="lessThan">
      <formula>0</formula>
    </cfRule>
  </conditionalFormatting>
  <conditionalFormatting sqref="C12">
    <cfRule type="duplicateValues" dxfId="618" priority="3"/>
  </conditionalFormatting>
  <conditionalFormatting sqref="C13:C19 C49">
    <cfRule type="duplicateValues" dxfId="617" priority="451"/>
  </conditionalFormatting>
  <conditionalFormatting sqref="C50">
    <cfRule type="duplicateValues" dxfId="616" priority="1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13">
    <pageSetUpPr fitToPage="1"/>
  </sheetPr>
  <dimension ref="A1:N85"/>
  <sheetViews>
    <sheetView zoomScaleNormal="100" workbookViewId="0">
      <selection activeCell="C46" sqref="C46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49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908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2.75" customHeight="1" x14ac:dyDescent="0.4">
      <c r="A5" s="89">
        <v>45038</v>
      </c>
      <c r="B5" s="9" t="s">
        <v>6</v>
      </c>
      <c r="C5" s="10" t="s">
        <v>7</v>
      </c>
      <c r="D5" s="11"/>
      <c r="E5" s="12">
        <v>5057118.6999999993</v>
      </c>
      <c r="F5" s="12"/>
      <c r="G5" s="1"/>
      <c r="H5" s="112"/>
      <c r="I5" s="112"/>
    </row>
    <row r="6" spans="1:10" s="2" customFormat="1" ht="17.25" customHeight="1" x14ac:dyDescent="0.4">
      <c r="A6" s="89">
        <v>45038</v>
      </c>
      <c r="B6" s="91" t="s">
        <v>11</v>
      </c>
      <c r="C6" s="10" t="s">
        <v>380</v>
      </c>
      <c r="D6" s="116" t="s">
        <v>29</v>
      </c>
      <c r="E6" s="12"/>
      <c r="F6" s="12">
        <v>4393649</v>
      </c>
      <c r="G6" s="1"/>
      <c r="H6" s="112"/>
      <c r="I6" s="112"/>
    </row>
    <row r="7" spans="1:10" s="2" customFormat="1" ht="17.25" customHeight="1" x14ac:dyDescent="0.4">
      <c r="A7" s="89">
        <v>45038</v>
      </c>
      <c r="B7" s="91" t="s">
        <v>11</v>
      </c>
      <c r="C7" s="10" t="s">
        <v>524</v>
      </c>
      <c r="D7" s="116" t="s">
        <v>29</v>
      </c>
      <c r="E7" s="12"/>
      <c r="F7" s="12">
        <v>300000</v>
      </c>
      <c r="G7" s="1"/>
      <c r="H7" s="112"/>
      <c r="I7" s="112"/>
    </row>
    <row r="8" spans="1:10" s="2" customFormat="1" ht="12.75" customHeight="1" x14ac:dyDescent="0.4">
      <c r="D8" s="15" t="s">
        <v>8</v>
      </c>
      <c r="E8" s="16">
        <f>SUM(E5:E7)</f>
        <v>5057118.6999999993</v>
      </c>
      <c r="F8" s="16">
        <f>SUM(F5:F7)</f>
        <v>4693649</v>
      </c>
      <c r="G8" s="1"/>
      <c r="H8" s="112"/>
      <c r="I8" s="112"/>
    </row>
    <row r="9" spans="1:10" s="2" customFormat="1" ht="12.75" customHeight="1" x14ac:dyDescent="0.4">
      <c r="A9" s="17"/>
      <c r="B9" s="18"/>
      <c r="C9" s="19" t="s">
        <v>9</v>
      </c>
      <c r="D9" s="20"/>
      <c r="E9" s="21">
        <f>E8-F8</f>
        <v>363469.69999999925</v>
      </c>
      <c r="F9" s="22"/>
      <c r="G9" s="23"/>
      <c r="H9" s="112"/>
      <c r="I9" s="112"/>
      <c r="J9" s="13"/>
    </row>
    <row r="10" spans="1:10" s="2" customFormat="1" ht="12.75" customHeight="1" x14ac:dyDescent="0.4">
      <c r="A10" s="24"/>
      <c r="B10" s="1"/>
      <c r="C10" s="14"/>
      <c r="D10" s="25"/>
      <c r="G10" s="23"/>
      <c r="H10" s="112"/>
      <c r="I10" s="112"/>
      <c r="J10" s="13"/>
    </row>
    <row r="11" spans="1:10" s="2" customFormat="1" ht="21.75" customHeight="1" x14ac:dyDescent="0.4">
      <c r="A11" s="214" t="s">
        <v>10</v>
      </c>
      <c r="B11" s="214"/>
      <c r="C11" s="214"/>
      <c r="D11" s="214"/>
      <c r="E11" s="214"/>
      <c r="F11" s="214"/>
      <c r="G11" s="13"/>
      <c r="H11" s="112"/>
      <c r="I11" s="112"/>
      <c r="J11" s="13"/>
    </row>
    <row r="12" spans="1:10" s="2" customFormat="1" ht="12.75" customHeight="1" x14ac:dyDescent="0.4">
      <c r="A12" s="26" t="s">
        <v>1</v>
      </c>
      <c r="B12" s="27" t="s">
        <v>2</v>
      </c>
      <c r="C12" s="5"/>
      <c r="D12" s="6" t="s">
        <v>3</v>
      </c>
      <c r="E12" s="7" t="s">
        <v>4</v>
      </c>
      <c r="F12" s="7" t="s">
        <v>5</v>
      </c>
      <c r="G12" s="23"/>
      <c r="H12" s="112"/>
      <c r="I12" s="112"/>
      <c r="J12" s="13"/>
    </row>
    <row r="13" spans="1:10" s="2" customFormat="1" ht="12.75" customHeight="1" x14ac:dyDescent="0.2">
      <c r="A13" s="89">
        <v>45038</v>
      </c>
      <c r="B13" s="91" t="s">
        <v>11</v>
      </c>
      <c r="C13" s="29" t="s">
        <v>7</v>
      </c>
      <c r="D13" s="25"/>
      <c r="E13" s="31"/>
      <c r="F13" s="2">
        <v>355539808.77000028</v>
      </c>
      <c r="G13" s="30"/>
      <c r="I13" s="13"/>
      <c r="J13" s="13"/>
    </row>
    <row r="14" spans="1:10" s="2" customFormat="1" ht="12.75" customHeight="1" x14ac:dyDescent="0.2">
      <c r="A14" s="89">
        <v>45038</v>
      </c>
      <c r="B14" s="91" t="s">
        <v>6</v>
      </c>
      <c r="C14" s="76" t="s">
        <v>761</v>
      </c>
      <c r="D14" s="116" t="s">
        <v>13</v>
      </c>
      <c r="E14" s="31">
        <v>207086</v>
      </c>
      <c r="G14" s="30"/>
      <c r="I14" s="13"/>
      <c r="J14" s="13"/>
    </row>
    <row r="15" spans="1:10" s="2" customFormat="1" ht="12.75" customHeight="1" x14ac:dyDescent="0.2">
      <c r="A15" s="89">
        <v>45038</v>
      </c>
      <c r="B15" s="91" t="s">
        <v>6</v>
      </c>
      <c r="C15" s="76" t="s">
        <v>332</v>
      </c>
      <c r="D15" s="116" t="s">
        <v>13</v>
      </c>
      <c r="E15" s="31">
        <v>66434</v>
      </c>
      <c r="G15" s="30"/>
      <c r="I15" s="13"/>
      <c r="J15" s="13"/>
    </row>
    <row r="16" spans="1:10" s="2" customFormat="1" ht="12.75" customHeight="1" x14ac:dyDescent="0.2">
      <c r="A16" s="89">
        <v>45038</v>
      </c>
      <c r="B16" s="91" t="s">
        <v>6</v>
      </c>
      <c r="C16" s="76" t="s">
        <v>351</v>
      </c>
      <c r="D16" s="116" t="s">
        <v>13</v>
      </c>
      <c r="E16" s="31">
        <v>830960</v>
      </c>
      <c r="G16" s="30"/>
      <c r="I16" s="13"/>
      <c r="J16" s="13"/>
    </row>
    <row r="17" spans="1:14" s="2" customFormat="1" ht="12.75" customHeight="1" x14ac:dyDescent="0.2">
      <c r="A17" s="89">
        <v>45038</v>
      </c>
      <c r="B17" s="91" t="s">
        <v>6</v>
      </c>
      <c r="C17" s="76" t="s">
        <v>391</v>
      </c>
      <c r="D17" s="116" t="s">
        <v>13</v>
      </c>
      <c r="E17" s="31">
        <v>119188</v>
      </c>
      <c r="G17" s="30"/>
      <c r="I17" s="13"/>
      <c r="J17" s="13"/>
    </row>
    <row r="18" spans="1:14" s="2" customFormat="1" ht="12.75" customHeight="1" x14ac:dyDescent="0.2">
      <c r="A18" s="89">
        <v>45038</v>
      </c>
      <c r="B18" s="91" t="s">
        <v>6</v>
      </c>
      <c r="C18" s="76" t="s">
        <v>674</v>
      </c>
      <c r="D18" s="116" t="s">
        <v>13</v>
      </c>
      <c r="E18" s="31">
        <v>200000</v>
      </c>
      <c r="G18" s="30"/>
      <c r="I18" s="13"/>
      <c r="J18" s="13"/>
    </row>
    <row r="19" spans="1:14" s="2" customFormat="1" ht="12.75" customHeight="1" x14ac:dyDescent="0.2">
      <c r="A19" s="89">
        <v>45038</v>
      </c>
      <c r="B19" s="91" t="s">
        <v>11</v>
      </c>
      <c r="C19" s="76" t="s">
        <v>64</v>
      </c>
      <c r="D19" s="116" t="s">
        <v>29</v>
      </c>
      <c r="E19" s="31"/>
      <c r="F19" s="2">
        <f>12986.62+9073.22-106.22</f>
        <v>21953.62</v>
      </c>
      <c r="G19" s="30"/>
      <c r="I19" s="13"/>
      <c r="J19" s="13"/>
    </row>
    <row r="20" spans="1:14" s="2" customFormat="1" ht="12.75" customHeight="1" x14ac:dyDescent="0.2">
      <c r="A20" s="89">
        <v>45038</v>
      </c>
      <c r="B20" s="91" t="s">
        <v>11</v>
      </c>
      <c r="C20" s="76" t="s">
        <v>109</v>
      </c>
      <c r="D20" s="116" t="s">
        <v>29</v>
      </c>
      <c r="E20" s="31"/>
      <c r="F20" s="2">
        <v>795833</v>
      </c>
      <c r="G20" s="30"/>
      <c r="I20" s="13"/>
      <c r="J20" s="13"/>
    </row>
    <row r="21" spans="1:14" s="2" customFormat="1" ht="12.75" customHeight="1" x14ac:dyDescent="0.2">
      <c r="A21" s="89">
        <v>45038</v>
      </c>
      <c r="B21" s="91" t="s">
        <v>11</v>
      </c>
      <c r="C21" s="76" t="s">
        <v>111</v>
      </c>
      <c r="D21" s="116" t="s">
        <v>29</v>
      </c>
      <c r="E21" s="31"/>
      <c r="F21" s="2">
        <v>1204544.33</v>
      </c>
      <c r="G21" s="30"/>
      <c r="I21" s="13"/>
      <c r="J21" s="13"/>
    </row>
    <row r="22" spans="1:14" s="2" customFormat="1" ht="12.75" customHeight="1" x14ac:dyDescent="0.2">
      <c r="A22" s="89">
        <v>45038</v>
      </c>
      <c r="B22" s="91" t="s">
        <v>11</v>
      </c>
      <c r="C22" s="76" t="s">
        <v>110</v>
      </c>
      <c r="D22" s="116" t="s">
        <v>29</v>
      </c>
      <c r="E22" s="31"/>
      <c r="F22" s="2">
        <v>664398.01</v>
      </c>
      <c r="G22" s="30"/>
      <c r="I22" s="13"/>
      <c r="J22" s="13"/>
    </row>
    <row r="23" spans="1:14" s="2" customFormat="1" ht="12.75" customHeight="1" x14ac:dyDescent="0.2">
      <c r="A23" s="89">
        <v>45038</v>
      </c>
      <c r="B23" s="91" t="s">
        <v>11</v>
      </c>
      <c r="C23" s="76" t="s">
        <v>52</v>
      </c>
      <c r="D23" s="116" t="s">
        <v>29</v>
      </c>
      <c r="E23" s="31"/>
      <c r="F23" s="2">
        <v>232585</v>
      </c>
      <c r="G23" s="30"/>
      <c r="I23" s="13"/>
      <c r="J23" s="13"/>
    </row>
    <row r="24" spans="1:14" s="2" customFormat="1" ht="12.75" customHeight="1" x14ac:dyDescent="0.2">
      <c r="A24" s="89">
        <v>45038</v>
      </c>
      <c r="B24" s="91" t="s">
        <v>11</v>
      </c>
      <c r="C24" s="76" t="s">
        <v>51</v>
      </c>
      <c r="D24" s="116" t="s">
        <v>29</v>
      </c>
      <c r="E24" s="31"/>
      <c r="F24" s="2">
        <v>63120</v>
      </c>
      <c r="G24" s="30"/>
      <c r="I24" s="13"/>
      <c r="J24" s="13"/>
    </row>
    <row r="25" spans="1:14" s="2" customFormat="1" ht="12.75" customHeight="1" x14ac:dyDescent="0.2">
      <c r="A25" s="89">
        <v>45038</v>
      </c>
      <c r="B25" s="91" t="s">
        <v>11</v>
      </c>
      <c r="C25" s="76" t="s">
        <v>62</v>
      </c>
      <c r="D25" s="116" t="s">
        <v>29</v>
      </c>
      <c r="E25" s="31"/>
      <c r="F25" s="2">
        <v>20000</v>
      </c>
      <c r="G25" s="30"/>
      <c r="I25" s="13"/>
      <c r="J25" s="99" t="s">
        <v>601</v>
      </c>
      <c r="K25" s="99" t="s">
        <v>779</v>
      </c>
    </row>
    <row r="26" spans="1:14" s="2" customFormat="1" ht="12.75" customHeight="1" x14ac:dyDescent="0.25">
      <c r="A26" s="32"/>
      <c r="B26" s="33"/>
      <c r="C26" s="14"/>
      <c r="D26" s="34"/>
      <c r="E26" s="16">
        <f>SUM(E13:E25)</f>
        <v>1423668</v>
      </c>
      <c r="F26" s="16">
        <f>SUM(F13:F25)</f>
        <v>358542242.73000026</v>
      </c>
      <c r="G26" s="30"/>
      <c r="H26" s="1"/>
      <c r="I26" s="39">
        <v>365045854.73000002</v>
      </c>
      <c r="J26" s="2">
        <f>1972203+1220426+1321352+3017518</f>
        <v>7531499</v>
      </c>
      <c r="K26" s="92">
        <f>E27-I26</f>
        <v>-7927279.9999997616</v>
      </c>
      <c r="L26" s="41"/>
      <c r="M26" s="42">
        <f>K26+J26</f>
        <v>-395780.99999976158</v>
      </c>
      <c r="N26" s="1"/>
    </row>
    <row r="27" spans="1:14" s="2" customFormat="1" x14ac:dyDescent="0.2">
      <c r="A27" s="36"/>
      <c r="B27" s="28" t="s">
        <v>11</v>
      </c>
      <c r="C27" s="19" t="s">
        <v>65</v>
      </c>
      <c r="D27" s="37"/>
      <c r="E27" s="38">
        <f>F26-E26</f>
        <v>357118574.73000026</v>
      </c>
      <c r="F27" s="22"/>
      <c r="G27" s="1"/>
      <c r="H27" s="1"/>
      <c r="J27" s="1"/>
      <c r="K27" s="1"/>
      <c r="L27" s="1"/>
      <c r="M27" s="1"/>
      <c r="N27" s="1"/>
    </row>
    <row r="28" spans="1:14" x14ac:dyDescent="0.2">
      <c r="A28" s="36"/>
      <c r="B28" s="28" t="s">
        <v>66</v>
      </c>
      <c r="C28" s="43" t="s">
        <v>67</v>
      </c>
      <c r="D28" s="43"/>
      <c r="E28" s="12">
        <v>0</v>
      </c>
      <c r="F28" s="22"/>
      <c r="H28" s="40"/>
      <c r="I28" s="45">
        <v>2198.11</v>
      </c>
      <c r="J28" s="46"/>
      <c r="K28" s="46"/>
      <c r="L28" s="13"/>
      <c r="M28" s="2"/>
      <c r="N28" s="2"/>
    </row>
    <row r="29" spans="1:14" ht="15" x14ac:dyDescent="0.25">
      <c r="A29" s="36"/>
      <c r="B29" s="28"/>
      <c r="C29" s="44" t="s">
        <v>68</v>
      </c>
      <c r="D29" s="43"/>
      <c r="E29" s="7">
        <f>E27+E28</f>
        <v>357118574.73000026</v>
      </c>
      <c r="F29" s="22"/>
      <c r="H29" s="103" t="s">
        <v>69</v>
      </c>
      <c r="I29" s="45">
        <v>-32.04</v>
      </c>
      <c r="J29" s="46"/>
      <c r="K29" s="46"/>
      <c r="L29" s="2"/>
      <c r="M29" s="2"/>
      <c r="N29" s="2"/>
    </row>
    <row r="30" spans="1:14" s="2" customFormat="1" x14ac:dyDescent="0.2">
      <c r="A30" s="24"/>
      <c r="B30" s="1"/>
      <c r="C30" s="14"/>
      <c r="D30" s="25"/>
      <c r="E30" s="1"/>
      <c r="H30" s="35" t="s">
        <v>70</v>
      </c>
      <c r="I30" s="45">
        <v>0</v>
      </c>
      <c r="J30" s="46">
        <f>+I31-D33</f>
        <v>0</v>
      </c>
      <c r="M30" s="2">
        <v>19.57</v>
      </c>
      <c r="N30" s="2" t="s">
        <v>535</v>
      </c>
    </row>
    <row r="31" spans="1:14" s="2" customFormat="1" x14ac:dyDescent="0.2">
      <c r="A31" s="24"/>
      <c r="B31" s="1"/>
      <c r="C31" s="56"/>
      <c r="D31" s="56"/>
      <c r="E31" s="104"/>
      <c r="G31" s="1"/>
      <c r="I31" s="49">
        <f>SUM(I28:I30)</f>
        <v>2166.0700000000002</v>
      </c>
      <c r="J31" s="46"/>
      <c r="K31" s="46"/>
    </row>
    <row r="32" spans="1:14" s="2" customFormat="1" x14ac:dyDescent="0.2">
      <c r="A32" s="24"/>
      <c r="B32" s="1"/>
      <c r="C32" s="78" t="s">
        <v>575</v>
      </c>
      <c r="D32" s="48" t="s">
        <v>576</v>
      </c>
      <c r="E32" s="104"/>
      <c r="G32" s="1"/>
    </row>
    <row r="33" spans="1:13" s="2" customFormat="1" x14ac:dyDescent="0.2">
      <c r="A33" s="24"/>
      <c r="B33" s="1"/>
      <c r="C33" s="47" t="s">
        <v>570</v>
      </c>
      <c r="D33" s="111">
        <v>2166.0700000000002</v>
      </c>
      <c r="E33" s="104"/>
      <c r="G33" s="1"/>
      <c r="H33" s="110" t="s">
        <v>581</v>
      </c>
    </row>
    <row r="34" spans="1:13" s="2" customFormat="1" x14ac:dyDescent="0.2">
      <c r="A34" s="24"/>
      <c r="B34" s="1"/>
      <c r="C34" s="47" t="s">
        <v>571</v>
      </c>
      <c r="D34" s="111">
        <v>14.38</v>
      </c>
      <c r="E34" s="104"/>
      <c r="G34" s="1"/>
      <c r="H34" s="110" t="s">
        <v>580</v>
      </c>
    </row>
    <row r="35" spans="1:13" s="2" customFormat="1" x14ac:dyDescent="0.2">
      <c r="A35" s="24"/>
      <c r="B35" s="1"/>
      <c r="C35" s="47" t="s">
        <v>572</v>
      </c>
      <c r="D35" s="111">
        <f>+D72/100000</f>
        <v>430.30275269999998</v>
      </c>
      <c r="E35" s="104"/>
      <c r="G35" s="1"/>
      <c r="H35" s="90" t="s">
        <v>587</v>
      </c>
    </row>
    <row r="36" spans="1:13" s="2" customFormat="1" x14ac:dyDescent="0.2">
      <c r="A36" s="24"/>
      <c r="B36" s="1"/>
      <c r="C36" s="108" t="s">
        <v>578</v>
      </c>
      <c r="D36" s="48">
        <f>SUM(D33:D35)</f>
        <v>2610.7527527000002</v>
      </c>
      <c r="E36" s="104"/>
      <c r="G36" s="1"/>
    </row>
    <row r="37" spans="1:13" s="2" customFormat="1" x14ac:dyDescent="0.2">
      <c r="A37" s="24"/>
      <c r="B37" s="1"/>
      <c r="C37" s="47"/>
      <c r="D37" s="107"/>
      <c r="E37" s="104"/>
      <c r="G37" s="1"/>
    </row>
    <row r="38" spans="1:13" s="2" customFormat="1" x14ac:dyDescent="0.2">
      <c r="A38" s="24"/>
      <c r="B38" s="1"/>
      <c r="C38" s="47" t="s">
        <v>573</v>
      </c>
      <c r="D38" s="111">
        <v>42.66</v>
      </c>
      <c r="E38" s="104"/>
      <c r="G38" s="1"/>
      <c r="H38" s="110" t="s">
        <v>581</v>
      </c>
    </row>
    <row r="39" spans="1:13" s="2" customFormat="1" x14ac:dyDescent="0.2">
      <c r="A39" s="24"/>
      <c r="B39" s="1"/>
      <c r="C39" s="47" t="s">
        <v>574</v>
      </c>
      <c r="D39" s="111">
        <f>421.66-38.61</f>
        <v>383.05</v>
      </c>
      <c r="E39" s="104"/>
      <c r="G39" s="1"/>
      <c r="H39" s="110" t="s">
        <v>581</v>
      </c>
      <c r="J39" s="114" t="s">
        <v>713</v>
      </c>
    </row>
    <row r="40" spans="1:13" s="2" customFormat="1" x14ac:dyDescent="0.2">
      <c r="A40" s="24"/>
      <c r="B40" s="1"/>
      <c r="C40" s="78" t="s">
        <v>579</v>
      </c>
      <c r="D40" s="109">
        <f>D38+D39</f>
        <v>425.71000000000004</v>
      </c>
      <c r="E40" s="104"/>
      <c r="G40" s="1"/>
      <c r="I40" s="113"/>
      <c r="J40" s="113" t="s">
        <v>709</v>
      </c>
      <c r="K40" s="113" t="s">
        <v>710</v>
      </c>
      <c r="L40" s="113" t="s">
        <v>711</v>
      </c>
      <c r="M40" s="113" t="s">
        <v>712</v>
      </c>
    </row>
    <row r="41" spans="1:13" s="2" customFormat="1" x14ac:dyDescent="0.2">
      <c r="A41" s="24"/>
      <c r="B41" s="1"/>
      <c r="C41" s="105"/>
      <c r="D41" s="106"/>
      <c r="E41" s="104"/>
      <c r="G41" s="1"/>
      <c r="I41" s="113" t="s">
        <v>706</v>
      </c>
      <c r="J41" s="115"/>
      <c r="K41" s="115">
        <v>968.99</v>
      </c>
      <c r="L41" s="115">
        <v>968.99</v>
      </c>
      <c r="M41" s="113">
        <f>+J41+L41-K41</f>
        <v>0</v>
      </c>
    </row>
    <row r="42" spans="1:13" s="2" customFormat="1" x14ac:dyDescent="0.2">
      <c r="A42" s="24"/>
      <c r="B42" s="1"/>
      <c r="C42" s="78" t="s">
        <v>577</v>
      </c>
      <c r="D42" s="109">
        <f>D33+D40</f>
        <v>2591.7800000000002</v>
      </c>
      <c r="E42" s="104"/>
      <c r="G42" s="1"/>
      <c r="I42" s="113" t="s">
        <v>707</v>
      </c>
      <c r="J42" s="115">
        <v>183.1</v>
      </c>
      <c r="K42" s="115">
        <v>1455.92</v>
      </c>
      <c r="L42" s="115">
        <v>1957.85</v>
      </c>
      <c r="M42" s="113">
        <f>+J42+L42-K42</f>
        <v>685.02999999999975</v>
      </c>
    </row>
    <row r="43" spans="1:13" s="2" customFormat="1" x14ac:dyDescent="0.2">
      <c r="A43" s="24"/>
      <c r="B43" s="1"/>
      <c r="C43" s="56"/>
      <c r="D43" s="56"/>
      <c r="E43" s="104"/>
      <c r="G43" s="1"/>
      <c r="I43" s="113" t="s">
        <v>708</v>
      </c>
      <c r="J43" s="115">
        <v>1371.02</v>
      </c>
      <c r="K43" s="115">
        <v>10408.42</v>
      </c>
      <c r="L43" s="115">
        <v>10714.95</v>
      </c>
      <c r="M43" s="113">
        <f>+J43+L43-K43</f>
        <v>1677.5500000000011</v>
      </c>
    </row>
    <row r="44" spans="1:13" s="2" customFormat="1" ht="38.25" x14ac:dyDescent="0.2">
      <c r="A44" s="24"/>
      <c r="B44" s="1"/>
      <c r="C44" s="79" t="str">
        <f>"Particulars ( 01-04-2021 to "&amp;TEXT(A5,"dd-mm-yyyy")&amp;" )"</f>
        <v>Particulars ( 01-04-2021 to 22-04-2023 )</v>
      </c>
      <c r="D44" s="80" t="s">
        <v>73</v>
      </c>
      <c r="E44" s="80" t="s">
        <v>74</v>
      </c>
      <c r="F44" s="81" t="s">
        <v>75</v>
      </c>
      <c r="G44" s="80" t="s">
        <v>76</v>
      </c>
      <c r="J44" s="118">
        <f>SUM(J41:J43)</f>
        <v>1554.12</v>
      </c>
      <c r="K44" s="118">
        <f>SUM(K41:K43)</f>
        <v>12833.33</v>
      </c>
      <c r="L44" s="118">
        <f>SUM(L41:L43)</f>
        <v>13641.79</v>
      </c>
      <c r="M44" s="118">
        <f>SUM(M41:M43)</f>
        <v>2362.5800000000008</v>
      </c>
    </row>
    <row r="45" spans="1:13" s="2" customFormat="1" x14ac:dyDescent="0.2">
      <c r="A45" s="24"/>
      <c r="B45" s="1"/>
      <c r="C45" s="50" t="s">
        <v>444</v>
      </c>
      <c r="D45" s="55">
        <f>+L41+L42+J42</f>
        <v>3109.94</v>
      </c>
      <c r="E45" s="55">
        <f>+K41+K42</f>
        <v>2424.91</v>
      </c>
      <c r="F45" s="55">
        <f>+D45-E45</f>
        <v>685.0300000000002</v>
      </c>
      <c r="G45" s="55">
        <f>1500-F45</f>
        <v>814.9699999999998</v>
      </c>
      <c r="H45" s="2" t="s">
        <v>396</v>
      </c>
    </row>
    <row r="46" spans="1:13" s="2" customFormat="1" x14ac:dyDescent="0.2">
      <c r="A46" s="24"/>
      <c r="B46" s="1"/>
      <c r="C46" s="50" t="s">
        <v>71</v>
      </c>
      <c r="D46" s="55">
        <f>+J43+L43</f>
        <v>12085.970000000001</v>
      </c>
      <c r="E46" s="55">
        <f>+K43</f>
        <v>10408.42</v>
      </c>
      <c r="F46" s="55">
        <f>+D46-E46</f>
        <v>1677.5500000000011</v>
      </c>
      <c r="G46" s="55">
        <f>1500+700-F46</f>
        <v>522.44999999999891</v>
      </c>
      <c r="H46" s="2" t="s">
        <v>396</v>
      </c>
    </row>
    <row r="47" spans="1:13" s="2" customFormat="1" x14ac:dyDescent="0.2">
      <c r="A47" s="24"/>
      <c r="B47" s="1"/>
      <c r="C47" s="14"/>
      <c r="D47" s="56"/>
      <c r="E47" s="13"/>
      <c r="G47" s="1"/>
    </row>
    <row r="48" spans="1:13" s="2" customFormat="1" x14ac:dyDescent="0.2">
      <c r="A48" s="215" t="s">
        <v>80</v>
      </c>
      <c r="B48" s="216"/>
      <c r="C48" s="216"/>
      <c r="D48" s="217"/>
      <c r="E48" s="69"/>
      <c r="F48" s="70"/>
      <c r="G48" s="1"/>
      <c r="H48" s="53"/>
    </row>
    <row r="49" spans="1:13" s="2" customFormat="1" x14ac:dyDescent="0.2">
      <c r="A49" s="71" t="s">
        <v>81</v>
      </c>
      <c r="B49" s="71"/>
      <c r="C49" s="72" t="s">
        <v>82</v>
      </c>
      <c r="D49" s="73" t="s">
        <v>83</v>
      </c>
      <c r="E49" s="69"/>
      <c r="F49" s="70"/>
      <c r="H49" s="53"/>
    </row>
    <row r="50" spans="1:13" s="2" customFormat="1" x14ac:dyDescent="0.2">
      <c r="A50" s="87">
        <v>45017</v>
      </c>
      <c r="B50" s="120" t="s">
        <v>6</v>
      </c>
      <c r="C50" s="75" t="s">
        <v>282</v>
      </c>
      <c r="D50" s="88">
        <v>12220</v>
      </c>
      <c r="G50" s="1"/>
      <c r="L50" s="1"/>
      <c r="M50" s="1"/>
    </row>
    <row r="51" spans="1:13" s="2" customFormat="1" x14ac:dyDescent="0.2">
      <c r="A51" s="87">
        <v>45020</v>
      </c>
      <c r="B51" s="120" t="s">
        <v>6</v>
      </c>
      <c r="C51" s="75" t="s">
        <v>271</v>
      </c>
      <c r="D51" s="88">
        <v>584074</v>
      </c>
      <c r="G51" s="1"/>
      <c r="L51" s="1"/>
      <c r="M51" s="1"/>
    </row>
    <row r="52" spans="1:13" s="2" customFormat="1" x14ac:dyDescent="0.2">
      <c r="A52" s="87">
        <v>45022</v>
      </c>
      <c r="B52" s="120" t="s">
        <v>6</v>
      </c>
      <c r="C52" s="75" t="s">
        <v>784</v>
      </c>
      <c r="D52" s="88">
        <v>283512</v>
      </c>
      <c r="G52" s="1"/>
      <c r="L52" s="1"/>
      <c r="M52" s="1"/>
    </row>
    <row r="53" spans="1:13" s="2" customFormat="1" x14ac:dyDescent="0.2">
      <c r="A53" s="87">
        <v>45022</v>
      </c>
      <c r="B53" s="120" t="s">
        <v>6</v>
      </c>
      <c r="C53" s="75" t="s">
        <v>84</v>
      </c>
      <c r="D53" s="88">
        <v>2500000</v>
      </c>
      <c r="G53" s="1"/>
      <c r="L53" s="1"/>
      <c r="M53" s="1"/>
    </row>
    <row r="54" spans="1:13" s="2" customFormat="1" x14ac:dyDescent="0.2">
      <c r="A54" s="87">
        <v>45023</v>
      </c>
      <c r="B54" s="120" t="s">
        <v>6</v>
      </c>
      <c r="C54" s="75" t="s">
        <v>270</v>
      </c>
      <c r="D54" s="88">
        <v>33748</v>
      </c>
      <c r="G54" s="1"/>
      <c r="L54" s="1"/>
      <c r="M54" s="1"/>
    </row>
    <row r="55" spans="1:13" s="2" customFormat="1" x14ac:dyDescent="0.2">
      <c r="A55" s="87">
        <v>45023</v>
      </c>
      <c r="B55" s="120" t="s">
        <v>6</v>
      </c>
      <c r="C55" s="75" t="s">
        <v>270</v>
      </c>
      <c r="D55" s="88">
        <v>114918</v>
      </c>
      <c r="G55" s="1"/>
      <c r="L55" s="1"/>
      <c r="M55" s="1"/>
    </row>
    <row r="56" spans="1:13" s="2" customFormat="1" x14ac:dyDescent="0.2">
      <c r="A56" s="87">
        <v>45027</v>
      </c>
      <c r="B56" s="120" t="s">
        <v>6</v>
      </c>
      <c r="C56" s="75" t="s">
        <v>767</v>
      </c>
      <c r="D56" s="88">
        <v>2093169</v>
      </c>
      <c r="G56" s="1"/>
      <c r="L56" s="1"/>
      <c r="M56" s="1"/>
    </row>
    <row r="57" spans="1:13" s="2" customFormat="1" x14ac:dyDescent="0.2">
      <c r="A57" s="87">
        <v>45027</v>
      </c>
      <c r="B57" s="120" t="s">
        <v>6</v>
      </c>
      <c r="C57" s="75" t="s">
        <v>594</v>
      </c>
      <c r="D57" s="88">
        <v>2500000</v>
      </c>
      <c r="G57" s="1"/>
      <c r="L57" s="1"/>
      <c r="M57" s="1"/>
    </row>
    <row r="58" spans="1:13" s="2" customFormat="1" x14ac:dyDescent="0.2">
      <c r="A58" s="87">
        <v>45028</v>
      </c>
      <c r="B58" s="120" t="s">
        <v>6</v>
      </c>
      <c r="C58" s="75" t="s">
        <v>84</v>
      </c>
      <c r="D58" s="88">
        <v>4000000</v>
      </c>
      <c r="G58" s="1"/>
      <c r="L58" s="1"/>
      <c r="M58" s="1"/>
    </row>
    <row r="59" spans="1:13" s="2" customFormat="1" x14ac:dyDescent="0.2">
      <c r="A59" s="87">
        <v>45028</v>
      </c>
      <c r="B59" s="120" t="s">
        <v>6</v>
      </c>
      <c r="C59" s="75" t="s">
        <v>606</v>
      </c>
      <c r="D59" s="88">
        <v>103240</v>
      </c>
      <c r="G59" s="1"/>
      <c r="L59" s="1"/>
      <c r="M59" s="1"/>
    </row>
    <row r="60" spans="1:13" s="2" customFormat="1" x14ac:dyDescent="0.2">
      <c r="A60" s="87">
        <v>45029</v>
      </c>
      <c r="B60" s="120" t="s">
        <v>6</v>
      </c>
      <c r="C60" s="75" t="s">
        <v>784</v>
      </c>
      <c r="D60" s="88">
        <v>451698</v>
      </c>
      <c r="G60" s="1"/>
      <c r="L60" s="1"/>
      <c r="M60" s="1"/>
    </row>
    <row r="61" spans="1:13" s="2" customFormat="1" x14ac:dyDescent="0.2">
      <c r="A61" s="87">
        <v>45030</v>
      </c>
      <c r="B61" s="120" t="s">
        <v>6</v>
      </c>
      <c r="C61" s="75" t="s">
        <v>270</v>
      </c>
      <c r="D61" s="88">
        <v>655766</v>
      </c>
      <c r="G61" s="1"/>
      <c r="L61" s="1"/>
      <c r="M61" s="1"/>
    </row>
    <row r="62" spans="1:13" s="2" customFormat="1" x14ac:dyDescent="0.2">
      <c r="A62" s="87">
        <v>45031</v>
      </c>
      <c r="B62" s="120" t="s">
        <v>6</v>
      </c>
      <c r="C62" s="75" t="s">
        <v>784</v>
      </c>
      <c r="D62" s="88">
        <v>539800</v>
      </c>
      <c r="G62" s="1"/>
      <c r="L62" s="1"/>
      <c r="M62" s="1"/>
    </row>
    <row r="63" spans="1:13" s="2" customFormat="1" x14ac:dyDescent="0.2">
      <c r="A63" s="87">
        <v>45031</v>
      </c>
      <c r="B63" s="120" t="s">
        <v>6</v>
      </c>
      <c r="C63" s="75" t="s">
        <v>784</v>
      </c>
      <c r="D63" s="88">
        <v>198679</v>
      </c>
      <c r="G63" s="1"/>
      <c r="L63" s="1"/>
      <c r="M63" s="1"/>
    </row>
    <row r="64" spans="1:13" s="2" customFormat="1" x14ac:dyDescent="0.2">
      <c r="A64" s="87">
        <v>45033</v>
      </c>
      <c r="B64" s="120" t="s">
        <v>6</v>
      </c>
      <c r="C64" s="75" t="s">
        <v>888</v>
      </c>
      <c r="D64" s="88">
        <v>5449818.2699999996</v>
      </c>
      <c r="G64" s="1"/>
      <c r="L64" s="1"/>
      <c r="M64" s="1"/>
    </row>
    <row r="65" spans="1:13" s="2" customFormat="1" x14ac:dyDescent="0.2">
      <c r="A65" s="87">
        <v>45033</v>
      </c>
      <c r="B65" s="120" t="s">
        <v>6</v>
      </c>
      <c r="C65" s="75" t="s">
        <v>594</v>
      </c>
      <c r="D65" s="88">
        <v>3094653</v>
      </c>
      <c r="G65" s="1"/>
      <c r="L65" s="1"/>
      <c r="M65" s="1"/>
    </row>
    <row r="66" spans="1:13" s="2" customFormat="1" x14ac:dyDescent="0.2">
      <c r="A66" s="87">
        <v>45033</v>
      </c>
      <c r="B66" s="120" t="s">
        <v>6</v>
      </c>
      <c r="C66" s="75" t="s">
        <v>594</v>
      </c>
      <c r="D66" s="88">
        <v>279152</v>
      </c>
      <c r="G66" s="1"/>
      <c r="L66" s="1"/>
      <c r="M66" s="1"/>
    </row>
    <row r="67" spans="1:13" s="2" customFormat="1" x14ac:dyDescent="0.2">
      <c r="A67" s="87">
        <v>45035</v>
      </c>
      <c r="B67" s="120" t="s">
        <v>6</v>
      </c>
      <c r="C67" s="75" t="s">
        <v>767</v>
      </c>
      <c r="D67" s="88">
        <v>2025000</v>
      </c>
      <c r="G67" s="1"/>
      <c r="L67" s="1"/>
      <c r="M67" s="1"/>
    </row>
    <row r="68" spans="1:13" s="2" customFormat="1" x14ac:dyDescent="0.2">
      <c r="A68" s="87">
        <v>45036</v>
      </c>
      <c r="B68" s="120" t="s">
        <v>6</v>
      </c>
      <c r="C68" s="75" t="s">
        <v>84</v>
      </c>
      <c r="D68" s="88">
        <v>3500000</v>
      </c>
      <c r="G68" s="1"/>
      <c r="L68" s="1"/>
      <c r="M68" s="1"/>
    </row>
    <row r="69" spans="1:13" s="2" customFormat="1" x14ac:dyDescent="0.2">
      <c r="A69" s="87">
        <v>45036</v>
      </c>
      <c r="B69" s="120" t="s">
        <v>6</v>
      </c>
      <c r="C69" s="75" t="s">
        <v>606</v>
      </c>
      <c r="D69" s="88">
        <v>4441096</v>
      </c>
      <c r="G69" s="1"/>
      <c r="L69" s="1"/>
      <c r="M69" s="1"/>
    </row>
    <row r="70" spans="1:13" s="2" customFormat="1" x14ac:dyDescent="0.2">
      <c r="A70" s="87">
        <v>45037</v>
      </c>
      <c r="B70" s="120" t="s">
        <v>6</v>
      </c>
      <c r="C70" s="75" t="s">
        <v>909</v>
      </c>
      <c r="D70" s="88">
        <v>3481381</v>
      </c>
      <c r="G70" s="1"/>
      <c r="L70" s="1"/>
      <c r="M70" s="1"/>
    </row>
    <row r="71" spans="1:13" s="2" customFormat="1" x14ac:dyDescent="0.2">
      <c r="A71" s="87">
        <v>45037</v>
      </c>
      <c r="B71" s="120" t="s">
        <v>6</v>
      </c>
      <c r="C71" s="75" t="s">
        <v>909</v>
      </c>
      <c r="D71" s="88">
        <v>6688351</v>
      </c>
      <c r="G71" s="1"/>
      <c r="L71" s="1"/>
      <c r="M71" s="1"/>
    </row>
    <row r="72" spans="1:13" s="2" customFormat="1" x14ac:dyDescent="0.2">
      <c r="A72" s="87"/>
      <c r="B72" s="74"/>
      <c r="C72" s="75"/>
      <c r="D72" s="51">
        <f>SUM(D50:D71)</f>
        <v>43030275.269999996</v>
      </c>
      <c r="F72" s="2" t="s">
        <v>396</v>
      </c>
      <c r="G72" s="1"/>
      <c r="I72" s="1"/>
      <c r="J72" s="1"/>
      <c r="K72" s="1"/>
      <c r="L72" s="1"/>
      <c r="M72" s="1"/>
    </row>
    <row r="73" spans="1:13" s="2" customFormat="1" x14ac:dyDescent="0.2">
      <c r="A73" s="8"/>
      <c r="B73" s="93"/>
      <c r="C73" s="76"/>
      <c r="D73" s="56"/>
      <c r="G73" s="1"/>
      <c r="I73" s="1"/>
      <c r="J73" s="1"/>
      <c r="K73" s="1"/>
      <c r="L73" s="1"/>
      <c r="M73" s="1"/>
    </row>
    <row r="74" spans="1:13" s="2" customFormat="1" x14ac:dyDescent="0.2">
      <c r="A74" s="24"/>
      <c r="B74" s="1"/>
      <c r="C74" s="218" t="s">
        <v>77</v>
      </c>
      <c r="D74" s="219"/>
      <c r="E74" s="219"/>
      <c r="F74" s="220"/>
      <c r="G74" s="54"/>
      <c r="I74" s="1"/>
      <c r="J74" s="1"/>
      <c r="K74" s="1"/>
      <c r="L74" s="1"/>
      <c r="M74" s="1"/>
    </row>
    <row r="75" spans="1:13" s="2" customFormat="1" x14ac:dyDescent="0.2">
      <c r="A75" s="24"/>
      <c r="B75" s="1"/>
      <c r="C75" s="50"/>
      <c r="D75" s="57" t="s">
        <v>78</v>
      </c>
      <c r="E75" s="58" t="s">
        <v>79</v>
      </c>
      <c r="F75" s="57" t="s">
        <v>72</v>
      </c>
      <c r="G75" s="54"/>
      <c r="I75" s="1"/>
      <c r="J75" s="1"/>
      <c r="K75" s="1"/>
      <c r="L75" s="1"/>
      <c r="M75" s="1"/>
    </row>
    <row r="76" spans="1:13" s="2" customFormat="1" x14ac:dyDescent="0.2">
      <c r="A76" s="24"/>
      <c r="B76" s="1"/>
      <c r="C76" s="59" t="str">
        <f>"01-04-2023 to "&amp;TEXT(A5-2,"dd-mm-yyyy")</f>
        <v>01-04-2023 to 20-04-2023</v>
      </c>
      <c r="D76" s="60">
        <v>2909.13</v>
      </c>
      <c r="E76" s="60">
        <v>385.23</v>
      </c>
      <c r="F76" s="61">
        <f>SUM(D76:E76)</f>
        <v>3294.36</v>
      </c>
      <c r="G76" s="54"/>
      <c r="I76" s="1"/>
      <c r="J76" s="1"/>
      <c r="K76" s="1"/>
      <c r="L76" s="1"/>
      <c r="M76" s="1"/>
    </row>
    <row r="77" spans="1:13" s="2" customFormat="1" x14ac:dyDescent="0.2">
      <c r="A77" s="24"/>
      <c r="B77" s="1"/>
      <c r="C77" s="62" t="str">
        <f>TEXT(A5-1,"dd-mm-yyyy")</f>
        <v>21-04-2023</v>
      </c>
      <c r="D77" s="60">
        <v>146.83000000000001</v>
      </c>
      <c r="E77" s="60">
        <v>14.14</v>
      </c>
      <c r="F77" s="61">
        <f>SUM(D77:E77)</f>
        <v>160.97000000000003</v>
      </c>
      <c r="G77" s="54"/>
      <c r="I77" s="1"/>
      <c r="J77" s="1"/>
      <c r="K77" s="1"/>
      <c r="L77" s="1"/>
      <c r="M77" s="1"/>
    </row>
    <row r="78" spans="1:13" ht="13.5" thickBot="1" x14ac:dyDescent="0.25">
      <c r="C78" s="63" t="str">
        <f>"01-04-2023 to "&amp;TEXT(A5-1,"dd-mm-yyyy")</f>
        <v>01-04-2023 to 21-04-2023</v>
      </c>
      <c r="D78" s="64">
        <f>SUM(D76:D77)</f>
        <v>3055.96</v>
      </c>
      <c r="E78" s="64">
        <f>SUM(E76:E77)</f>
        <v>399.37</v>
      </c>
      <c r="F78" s="64">
        <f>SUM(F76:F77)</f>
        <v>3455.33</v>
      </c>
      <c r="G78" s="54"/>
    </row>
    <row r="79" spans="1:13" s="2" customFormat="1" ht="13.5" thickTop="1" x14ac:dyDescent="0.2">
      <c r="A79" s="24"/>
      <c r="B79" s="1"/>
      <c r="C79" s="62"/>
      <c r="D79" s="65"/>
      <c r="E79" s="66"/>
      <c r="F79" s="67"/>
      <c r="G79" s="54"/>
      <c r="H79" s="53"/>
    </row>
    <row r="80" spans="1:13" x14ac:dyDescent="0.2">
      <c r="C80" s="62" t="str">
        <f>"01-04-2023 to " &amp;C77</f>
        <v>01-04-2023 to 21-04-2023</v>
      </c>
      <c r="D80" s="68">
        <f>+D78</f>
        <v>3055.96</v>
      </c>
      <c r="E80" s="68">
        <f>+E78</f>
        <v>399.37</v>
      </c>
      <c r="F80" s="68">
        <f>+F78</f>
        <v>3455.33</v>
      </c>
      <c r="G80" s="54"/>
      <c r="H80" s="53" t="s">
        <v>396</v>
      </c>
    </row>
    <row r="81" spans="3:10" x14ac:dyDescent="0.2">
      <c r="C81" s="52"/>
      <c r="D81" s="85"/>
      <c r="E81" s="53"/>
      <c r="F81" s="53"/>
      <c r="G81" s="54"/>
      <c r="H81" s="53" t="s">
        <v>396</v>
      </c>
      <c r="J81" s="42"/>
    </row>
    <row r="82" spans="3:10" x14ac:dyDescent="0.2">
      <c r="C82" s="52"/>
      <c r="D82" s="85"/>
      <c r="E82" s="53"/>
      <c r="F82" s="53"/>
      <c r="G82" s="54"/>
      <c r="H82" s="53"/>
      <c r="I82" s="101"/>
    </row>
    <row r="83" spans="3:10" x14ac:dyDescent="0.2">
      <c r="C83" s="52"/>
      <c r="D83" s="85"/>
      <c r="E83" s="53"/>
      <c r="F83" s="53"/>
      <c r="G83" s="54"/>
      <c r="H83" s="53"/>
    </row>
    <row r="84" spans="3:10" x14ac:dyDescent="0.2">
      <c r="C84" s="52"/>
      <c r="D84" s="85"/>
      <c r="E84" s="53"/>
      <c r="F84" s="53"/>
      <c r="G84" s="54"/>
      <c r="H84" s="53"/>
    </row>
    <row r="85" spans="3:10" x14ac:dyDescent="0.2">
      <c r="H85" s="53"/>
    </row>
  </sheetData>
  <mergeCells count="5">
    <mergeCell ref="A1:G1"/>
    <mergeCell ref="A3:F3"/>
    <mergeCell ref="A11:F11"/>
    <mergeCell ref="A48:D48"/>
    <mergeCell ref="C74:F74"/>
  </mergeCells>
  <conditionalFormatting sqref="G45:G46">
    <cfRule type="cellIs" dxfId="615" priority="2" operator="lessThan">
      <formula>0</formula>
    </cfRule>
  </conditionalFormatting>
  <conditionalFormatting sqref="C13">
    <cfRule type="duplicateValues" dxfId="614" priority="3"/>
  </conditionalFormatting>
  <conditionalFormatting sqref="C14:C20">
    <cfRule type="duplicateValues" dxfId="613" priority="452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314">
    <pageSetUpPr fitToPage="1"/>
  </sheetPr>
  <dimension ref="A1:N104"/>
  <sheetViews>
    <sheetView topLeftCell="A69" zoomScaleNormal="100" workbookViewId="0">
      <selection activeCell="C46" sqref="C46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49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910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2.75" customHeight="1" x14ac:dyDescent="0.4">
      <c r="A5" s="89">
        <v>45040</v>
      </c>
      <c r="B5" s="9" t="s">
        <v>6</v>
      </c>
      <c r="C5" s="10" t="s">
        <v>7</v>
      </c>
      <c r="D5" s="11"/>
      <c r="E5" s="12">
        <v>363469.69999999925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363469.69999999925</v>
      </c>
      <c r="F6" s="16">
        <f>SUM(F5:F5)</f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E6-F6</f>
        <v>363469.69999999925</v>
      </c>
      <c r="F7" s="22"/>
      <c r="G7" s="23"/>
      <c r="H7" s="112"/>
      <c r="I7" s="112"/>
      <c r="J7" s="13"/>
    </row>
    <row r="8" spans="1:10" s="2" customFormat="1" ht="12.75" customHeight="1" x14ac:dyDescent="0.4">
      <c r="A8" s="24"/>
      <c r="B8" s="1"/>
      <c r="C8" s="14"/>
      <c r="D8" s="25"/>
      <c r="G8" s="23"/>
      <c r="H8" s="112"/>
      <c r="I8" s="112"/>
      <c r="J8" s="13"/>
    </row>
    <row r="9" spans="1:10" s="2" customFormat="1" ht="21.75" customHeight="1" x14ac:dyDescent="0.4">
      <c r="A9" s="214" t="s">
        <v>10</v>
      </c>
      <c r="B9" s="214"/>
      <c r="C9" s="214"/>
      <c r="D9" s="214"/>
      <c r="E9" s="214"/>
      <c r="F9" s="214"/>
      <c r="G9" s="13"/>
      <c r="H9" s="112"/>
      <c r="I9" s="112"/>
      <c r="J9" s="13"/>
    </row>
    <row r="10" spans="1:10" s="2" customFormat="1" ht="12.75" customHeight="1" x14ac:dyDescent="0.4">
      <c r="A10" s="26" t="s">
        <v>1</v>
      </c>
      <c r="B10" s="27" t="s">
        <v>2</v>
      </c>
      <c r="C10" s="5"/>
      <c r="D10" s="6" t="s">
        <v>3</v>
      </c>
      <c r="E10" s="7" t="s">
        <v>4</v>
      </c>
      <c r="F10" s="7" t="s">
        <v>5</v>
      </c>
      <c r="G10" s="23"/>
      <c r="H10" s="112"/>
      <c r="I10" s="112"/>
      <c r="J10" s="13"/>
    </row>
    <row r="11" spans="1:10" s="2" customFormat="1" ht="12.75" customHeight="1" x14ac:dyDescent="0.2">
      <c r="A11" s="89">
        <v>45040</v>
      </c>
      <c r="B11" s="91" t="s">
        <v>11</v>
      </c>
      <c r="C11" s="29" t="s">
        <v>7</v>
      </c>
      <c r="D11" s="25"/>
      <c r="E11" s="31"/>
      <c r="F11" s="2">
        <v>357118574.73000026</v>
      </c>
      <c r="G11" s="30"/>
      <c r="I11" s="13"/>
      <c r="J11" s="13"/>
    </row>
    <row r="12" spans="1:10" s="2" customFormat="1" ht="12.75" customHeight="1" x14ac:dyDescent="0.2">
      <c r="A12" s="89">
        <v>45040</v>
      </c>
      <c r="B12" s="91" t="s">
        <v>6</v>
      </c>
      <c r="C12" s="76" t="s">
        <v>178</v>
      </c>
      <c r="D12" s="116" t="s">
        <v>13</v>
      </c>
      <c r="E12" s="31">
        <v>1000000</v>
      </c>
      <c r="G12" s="30"/>
      <c r="I12" s="13"/>
      <c r="J12" s="13"/>
    </row>
    <row r="13" spans="1:10" s="2" customFormat="1" ht="12.75" customHeight="1" x14ac:dyDescent="0.2">
      <c r="A13" s="89">
        <v>45040</v>
      </c>
      <c r="B13" s="91" t="s">
        <v>6</v>
      </c>
      <c r="C13" s="76" t="s">
        <v>468</v>
      </c>
      <c r="D13" s="116" t="s">
        <v>13</v>
      </c>
      <c r="E13" s="31">
        <v>698156</v>
      </c>
      <c r="G13" s="30"/>
      <c r="I13" s="13"/>
      <c r="J13" s="13"/>
    </row>
    <row r="14" spans="1:10" s="2" customFormat="1" ht="12.75" customHeight="1" x14ac:dyDescent="0.2">
      <c r="A14" s="89">
        <v>45040</v>
      </c>
      <c r="B14" s="91" t="s">
        <v>6</v>
      </c>
      <c r="C14" s="76" t="s">
        <v>336</v>
      </c>
      <c r="D14" s="116" t="s">
        <v>13</v>
      </c>
      <c r="E14" s="31">
        <v>2500000</v>
      </c>
      <c r="G14" s="30"/>
      <c r="I14" s="13"/>
      <c r="J14" s="13"/>
    </row>
    <row r="15" spans="1:10" s="2" customFormat="1" ht="12.75" customHeight="1" x14ac:dyDescent="0.2">
      <c r="A15" s="89">
        <v>45040</v>
      </c>
      <c r="B15" s="91" t="s">
        <v>6</v>
      </c>
      <c r="C15" s="76" t="s">
        <v>105</v>
      </c>
      <c r="D15" s="116" t="s">
        <v>13</v>
      </c>
      <c r="E15" s="31">
        <v>5245</v>
      </c>
      <c r="G15" s="30"/>
      <c r="I15" s="13"/>
      <c r="J15" s="13"/>
    </row>
    <row r="16" spans="1:10" s="2" customFormat="1" ht="12.75" customHeight="1" x14ac:dyDescent="0.2">
      <c r="A16" s="89">
        <v>45040</v>
      </c>
      <c r="B16" s="91" t="s">
        <v>6</v>
      </c>
      <c r="C16" s="76" t="s">
        <v>726</v>
      </c>
      <c r="D16" s="116" t="s">
        <v>13</v>
      </c>
      <c r="E16" s="31">
        <v>57855</v>
      </c>
      <c r="G16" s="30"/>
      <c r="I16" s="13"/>
      <c r="J16" s="13"/>
    </row>
    <row r="17" spans="1:10" s="2" customFormat="1" ht="12.75" customHeight="1" x14ac:dyDescent="0.2">
      <c r="A17" s="89">
        <v>45040</v>
      </c>
      <c r="B17" s="91" t="s">
        <v>6</v>
      </c>
      <c r="C17" s="76" t="s">
        <v>15</v>
      </c>
      <c r="D17" s="116" t="s">
        <v>13</v>
      </c>
      <c r="E17" s="31">
        <v>5488.84</v>
      </c>
      <c r="G17" s="30"/>
      <c r="I17" s="13"/>
      <c r="J17" s="13"/>
    </row>
    <row r="18" spans="1:10" s="2" customFormat="1" ht="12.75" customHeight="1" x14ac:dyDescent="0.2">
      <c r="A18" s="89">
        <v>45040</v>
      </c>
      <c r="B18" s="91" t="s">
        <v>6</v>
      </c>
      <c r="C18" s="76" t="s">
        <v>326</v>
      </c>
      <c r="D18" s="116" t="s">
        <v>13</v>
      </c>
      <c r="E18" s="31">
        <v>206233</v>
      </c>
      <c r="G18" s="30"/>
      <c r="I18" s="13"/>
      <c r="J18" s="13"/>
    </row>
    <row r="19" spans="1:10" s="2" customFormat="1" ht="12.75" customHeight="1" x14ac:dyDescent="0.2">
      <c r="A19" s="89">
        <v>45040</v>
      </c>
      <c r="B19" s="91" t="s">
        <v>6</v>
      </c>
      <c r="C19" s="76" t="s">
        <v>93</v>
      </c>
      <c r="D19" s="116" t="s">
        <v>13</v>
      </c>
      <c r="E19" s="31">
        <v>1010804</v>
      </c>
      <c r="G19" s="30"/>
      <c r="I19" s="13"/>
      <c r="J19" s="13"/>
    </row>
    <row r="20" spans="1:10" s="2" customFormat="1" ht="12.75" customHeight="1" x14ac:dyDescent="0.2">
      <c r="A20" s="89">
        <v>45040</v>
      </c>
      <c r="B20" s="91" t="s">
        <v>6</v>
      </c>
      <c r="C20" s="76" t="s">
        <v>912</v>
      </c>
      <c r="D20" s="116" t="s">
        <v>13</v>
      </c>
      <c r="E20" s="31">
        <v>174713</v>
      </c>
      <c r="G20" s="30"/>
      <c r="I20" s="13"/>
      <c r="J20" s="13"/>
    </row>
    <row r="21" spans="1:10" s="2" customFormat="1" ht="12.75" customHeight="1" x14ac:dyDescent="0.2">
      <c r="A21" s="89">
        <v>45040</v>
      </c>
      <c r="B21" s="91" t="s">
        <v>6</v>
      </c>
      <c r="C21" s="76" t="s">
        <v>487</v>
      </c>
      <c r="D21" s="116" t="s">
        <v>13</v>
      </c>
      <c r="E21" s="31">
        <v>177979.99</v>
      </c>
      <c r="G21" s="30"/>
      <c r="I21" s="13"/>
      <c r="J21" s="13"/>
    </row>
    <row r="22" spans="1:10" s="2" customFormat="1" ht="12.75" customHeight="1" x14ac:dyDescent="0.2">
      <c r="A22" s="89">
        <v>45040</v>
      </c>
      <c r="B22" s="91" t="s">
        <v>6</v>
      </c>
      <c r="C22" s="76" t="s">
        <v>913</v>
      </c>
      <c r="D22" s="116" t="s">
        <v>13</v>
      </c>
      <c r="E22" s="31">
        <v>32393</v>
      </c>
      <c r="G22" s="30"/>
      <c r="I22" s="13"/>
      <c r="J22" s="13"/>
    </row>
    <row r="23" spans="1:10" s="2" customFormat="1" ht="12.75" customHeight="1" x14ac:dyDescent="0.2">
      <c r="A23" s="89">
        <v>45040</v>
      </c>
      <c r="B23" s="91" t="s">
        <v>6</v>
      </c>
      <c r="C23" s="76" t="s">
        <v>200</v>
      </c>
      <c r="D23" s="116" t="s">
        <v>13</v>
      </c>
      <c r="E23" s="31">
        <v>75528</v>
      </c>
      <c r="G23" s="30"/>
      <c r="I23" s="13"/>
      <c r="J23" s="13"/>
    </row>
    <row r="24" spans="1:10" s="2" customFormat="1" ht="12.75" customHeight="1" x14ac:dyDescent="0.2">
      <c r="A24" s="89">
        <v>45040</v>
      </c>
      <c r="B24" s="91" t="s">
        <v>6</v>
      </c>
      <c r="C24" s="76" t="s">
        <v>543</v>
      </c>
      <c r="D24" s="116" t="s">
        <v>13</v>
      </c>
      <c r="E24" s="31">
        <v>231919</v>
      </c>
      <c r="G24" s="30"/>
      <c r="I24" s="13"/>
      <c r="J24" s="13"/>
    </row>
    <row r="25" spans="1:10" s="2" customFormat="1" ht="12.75" customHeight="1" x14ac:dyDescent="0.2">
      <c r="A25" s="89">
        <v>45040</v>
      </c>
      <c r="B25" s="91" t="s">
        <v>6</v>
      </c>
      <c r="C25" s="76" t="s">
        <v>27</v>
      </c>
      <c r="D25" s="116" t="s">
        <v>13</v>
      </c>
      <c r="E25" s="31">
        <v>10496459.85</v>
      </c>
      <c r="G25" s="30"/>
      <c r="I25" s="13"/>
      <c r="J25" s="13"/>
    </row>
    <row r="26" spans="1:10" s="2" customFormat="1" ht="12.75" customHeight="1" x14ac:dyDescent="0.2">
      <c r="A26" s="89">
        <v>45040</v>
      </c>
      <c r="B26" s="91" t="s">
        <v>6</v>
      </c>
      <c r="C26" s="76" t="s">
        <v>145</v>
      </c>
      <c r="D26" s="116" t="s">
        <v>13</v>
      </c>
      <c r="E26" s="31">
        <v>950532</v>
      </c>
      <c r="G26" s="30"/>
      <c r="I26" s="13"/>
      <c r="J26" s="13"/>
    </row>
    <row r="27" spans="1:10" s="2" customFormat="1" ht="12.75" customHeight="1" x14ac:dyDescent="0.2">
      <c r="A27" s="89">
        <v>45040</v>
      </c>
      <c r="B27" s="91" t="s">
        <v>11</v>
      </c>
      <c r="C27" s="76" t="s">
        <v>911</v>
      </c>
      <c r="D27" s="116" t="s">
        <v>29</v>
      </c>
      <c r="E27" s="31"/>
      <c r="F27" s="2">
        <v>10000</v>
      </c>
      <c r="G27" s="30"/>
      <c r="I27" s="13"/>
      <c r="J27" s="13"/>
    </row>
    <row r="28" spans="1:10" s="2" customFormat="1" ht="12.75" customHeight="1" x14ac:dyDescent="0.2">
      <c r="A28" s="89">
        <v>45040</v>
      </c>
      <c r="B28" s="91" t="s">
        <v>11</v>
      </c>
      <c r="C28" s="76" t="s">
        <v>109</v>
      </c>
      <c r="D28" s="116" t="s">
        <v>29</v>
      </c>
      <c r="E28" s="31"/>
      <c r="F28" s="2">
        <v>1672537</v>
      </c>
      <c r="G28" s="30"/>
      <c r="I28" s="13"/>
      <c r="J28" s="13"/>
    </row>
    <row r="29" spans="1:10" s="2" customFormat="1" ht="12.75" customHeight="1" x14ac:dyDescent="0.2">
      <c r="A29" s="89">
        <v>45040</v>
      </c>
      <c r="B29" s="91" t="s">
        <v>11</v>
      </c>
      <c r="C29" s="76" t="s">
        <v>111</v>
      </c>
      <c r="D29" s="116" t="s">
        <v>29</v>
      </c>
      <c r="E29" s="31"/>
      <c r="F29" s="2">
        <v>4604332.33</v>
      </c>
      <c r="G29" s="30"/>
      <c r="I29" s="13"/>
      <c r="J29" s="13"/>
    </row>
    <row r="30" spans="1:10" s="2" customFormat="1" ht="12.75" customHeight="1" x14ac:dyDescent="0.2">
      <c r="A30" s="89">
        <v>45040</v>
      </c>
      <c r="B30" s="91" t="s">
        <v>11</v>
      </c>
      <c r="C30" s="76" t="s">
        <v>127</v>
      </c>
      <c r="D30" s="116" t="s">
        <v>29</v>
      </c>
      <c r="E30" s="31"/>
      <c r="F30" s="2">
        <v>1027250</v>
      </c>
      <c r="G30" s="30"/>
      <c r="I30" s="13"/>
      <c r="J30" s="13"/>
    </row>
    <row r="31" spans="1:10" s="2" customFormat="1" ht="12.75" customHeight="1" x14ac:dyDescent="0.2">
      <c r="A31" s="89">
        <v>45040</v>
      </c>
      <c r="B31" s="91" t="s">
        <v>11</v>
      </c>
      <c r="C31" s="76" t="s">
        <v>123</v>
      </c>
      <c r="D31" s="116" t="s">
        <v>29</v>
      </c>
      <c r="E31" s="31"/>
      <c r="F31" s="2">
        <v>433890</v>
      </c>
      <c r="G31" s="30"/>
      <c r="I31" s="13"/>
      <c r="J31" s="13"/>
    </row>
    <row r="32" spans="1:10" s="2" customFormat="1" ht="12.75" customHeight="1" x14ac:dyDescent="0.2">
      <c r="A32" s="89">
        <v>45040</v>
      </c>
      <c r="B32" s="91" t="s">
        <v>11</v>
      </c>
      <c r="C32" s="76" t="s">
        <v>235</v>
      </c>
      <c r="D32" s="116" t="s">
        <v>29</v>
      </c>
      <c r="E32" s="31"/>
      <c r="F32" s="2">
        <v>6213</v>
      </c>
      <c r="G32" s="30"/>
      <c r="I32" s="13"/>
      <c r="J32" s="13"/>
    </row>
    <row r="33" spans="1:14" s="2" customFormat="1" ht="12.75" customHeight="1" x14ac:dyDescent="0.2">
      <c r="A33" s="89">
        <v>45040</v>
      </c>
      <c r="B33" s="91" t="s">
        <v>11</v>
      </c>
      <c r="C33" s="76" t="s">
        <v>62</v>
      </c>
      <c r="D33" s="116" t="s">
        <v>29</v>
      </c>
      <c r="E33" s="31"/>
      <c r="F33" s="2">
        <v>200000</v>
      </c>
      <c r="G33" s="30"/>
      <c r="I33" s="13"/>
      <c r="J33" s="13"/>
    </row>
    <row r="34" spans="1:14" s="2" customFormat="1" ht="12.75" customHeight="1" x14ac:dyDescent="0.2">
      <c r="A34" s="89">
        <v>45040</v>
      </c>
      <c r="B34" s="91" t="s">
        <v>11</v>
      </c>
      <c r="C34" s="76" t="s">
        <v>196</v>
      </c>
      <c r="D34" s="116" t="s">
        <v>29</v>
      </c>
      <c r="E34" s="31"/>
      <c r="F34" s="2">
        <v>64224</v>
      </c>
      <c r="G34" s="30"/>
      <c r="I34" s="13"/>
      <c r="J34" s="13"/>
    </row>
    <row r="35" spans="1:14" s="2" customFormat="1" ht="12.75" customHeight="1" x14ac:dyDescent="0.2">
      <c r="A35" s="89">
        <v>45040</v>
      </c>
      <c r="B35" s="91" t="s">
        <v>11</v>
      </c>
      <c r="C35" s="76" t="s">
        <v>291</v>
      </c>
      <c r="D35" s="116" t="s">
        <v>29</v>
      </c>
      <c r="E35" s="31"/>
      <c r="F35" s="2">
        <v>14900</v>
      </c>
      <c r="G35" s="30"/>
      <c r="I35" s="13"/>
      <c r="J35" s="13"/>
    </row>
    <row r="36" spans="1:14" s="2" customFormat="1" ht="12.75" customHeight="1" x14ac:dyDescent="0.2">
      <c r="A36" s="89">
        <v>45040</v>
      </c>
      <c r="B36" s="91" t="s">
        <v>11</v>
      </c>
      <c r="C36" s="76" t="s">
        <v>522</v>
      </c>
      <c r="D36" s="116" t="s">
        <v>29</v>
      </c>
      <c r="E36" s="31"/>
      <c r="F36" s="2">
        <v>25500</v>
      </c>
      <c r="G36" s="30"/>
      <c r="I36" s="13"/>
      <c r="J36" s="13"/>
    </row>
    <row r="37" spans="1:14" s="2" customFormat="1" ht="12.75" customHeight="1" x14ac:dyDescent="0.2">
      <c r="A37" s="89">
        <v>45040</v>
      </c>
      <c r="B37" s="91" t="s">
        <v>11</v>
      </c>
      <c r="C37" s="76" t="s">
        <v>464</v>
      </c>
      <c r="D37" s="116" t="s">
        <v>29</v>
      </c>
      <c r="E37" s="31"/>
      <c r="F37" s="2">
        <v>4130</v>
      </c>
      <c r="G37" s="30"/>
      <c r="I37" s="13"/>
      <c r="J37" s="13"/>
    </row>
    <row r="38" spans="1:14" s="2" customFormat="1" ht="12.75" customHeight="1" x14ac:dyDescent="0.2">
      <c r="A38" s="89">
        <v>45040</v>
      </c>
      <c r="B38" s="91" t="s">
        <v>11</v>
      </c>
      <c r="C38" s="76" t="s">
        <v>34</v>
      </c>
      <c r="D38" s="116" t="s">
        <v>29</v>
      </c>
      <c r="E38" s="31"/>
      <c r="F38" s="2">
        <v>20000</v>
      </c>
      <c r="G38" s="30"/>
      <c r="I38" s="13"/>
      <c r="J38" s="13"/>
    </row>
    <row r="39" spans="1:14" s="2" customFormat="1" ht="12.75" customHeight="1" x14ac:dyDescent="0.2">
      <c r="A39" s="89">
        <v>45040</v>
      </c>
      <c r="B39" s="91" t="s">
        <v>11</v>
      </c>
      <c r="C39" s="76" t="s">
        <v>472</v>
      </c>
      <c r="D39" s="116" t="s">
        <v>29</v>
      </c>
      <c r="E39" s="31"/>
      <c r="F39" s="2">
        <v>64039</v>
      </c>
      <c r="G39" s="30"/>
      <c r="I39" s="13"/>
      <c r="J39" s="13"/>
    </row>
    <row r="40" spans="1:14" s="2" customFormat="1" ht="12.75" customHeight="1" x14ac:dyDescent="0.2">
      <c r="A40" s="89">
        <v>45040</v>
      </c>
      <c r="B40" s="91" t="s">
        <v>11</v>
      </c>
      <c r="C40" s="76" t="s">
        <v>765</v>
      </c>
      <c r="D40" s="116" t="s">
        <v>29</v>
      </c>
      <c r="E40" s="31"/>
      <c r="F40" s="2">
        <v>1725385.5</v>
      </c>
      <c r="G40" s="30"/>
      <c r="I40" s="13"/>
      <c r="J40" s="13"/>
    </row>
    <row r="41" spans="1:14" s="2" customFormat="1" ht="12.75" customHeight="1" x14ac:dyDescent="0.2">
      <c r="A41" s="89">
        <v>45040</v>
      </c>
      <c r="B41" s="91" t="s">
        <v>11</v>
      </c>
      <c r="C41" s="76" t="s">
        <v>759</v>
      </c>
      <c r="D41" s="116" t="s">
        <v>29</v>
      </c>
      <c r="E41" s="31"/>
      <c r="F41" s="2">
        <v>90394</v>
      </c>
      <c r="G41" s="30"/>
      <c r="I41" s="13"/>
      <c r="J41" s="13"/>
    </row>
    <row r="42" spans="1:14" s="2" customFormat="1" ht="12.75" customHeight="1" x14ac:dyDescent="0.2">
      <c r="A42" s="89">
        <v>45040</v>
      </c>
      <c r="B42" s="91" t="s">
        <v>11</v>
      </c>
      <c r="C42" s="76" t="s">
        <v>64</v>
      </c>
      <c r="D42" s="116" t="s">
        <v>29</v>
      </c>
      <c r="E42" s="31"/>
      <c r="F42" s="2">
        <v>21049.43</v>
      </c>
      <c r="G42" s="30"/>
      <c r="I42" s="13"/>
      <c r="J42" s="13"/>
    </row>
    <row r="43" spans="1:14" s="2" customFormat="1" ht="12.75" customHeight="1" x14ac:dyDescent="0.2">
      <c r="A43" s="89">
        <v>45040</v>
      </c>
      <c r="B43" s="91" t="s">
        <v>11</v>
      </c>
      <c r="C43" s="76" t="s">
        <v>328</v>
      </c>
      <c r="D43" s="116" t="s">
        <v>29</v>
      </c>
      <c r="E43" s="31"/>
      <c r="F43" s="2">
        <v>850</v>
      </c>
      <c r="G43" s="30"/>
      <c r="I43" s="13"/>
      <c r="J43" s="99" t="s">
        <v>601</v>
      </c>
      <c r="K43" s="99" t="s">
        <v>779</v>
      </c>
    </row>
    <row r="44" spans="1:14" s="2" customFormat="1" ht="12.75" customHeight="1" x14ac:dyDescent="0.25">
      <c r="A44" s="32"/>
      <c r="B44" s="33"/>
      <c r="C44" s="14"/>
      <c r="D44" s="34"/>
      <c r="E44" s="16">
        <f>SUM(E11:E43)</f>
        <v>17623306.68</v>
      </c>
      <c r="F44" s="16">
        <f>SUM(F11:F43)</f>
        <v>367103268.99000025</v>
      </c>
      <c r="G44" s="30"/>
      <c r="H44" s="1"/>
      <c r="I44" s="39">
        <v>357407242.31</v>
      </c>
      <c r="J44" s="2">
        <f>1972203+1220426+1321352+3017518</f>
        <v>7531499</v>
      </c>
      <c r="K44" s="92">
        <f>E45-I44</f>
        <v>-7927279.9999997616</v>
      </c>
      <c r="L44" s="41"/>
      <c r="M44" s="42">
        <f>K44+J44</f>
        <v>-395780.99999976158</v>
      </c>
      <c r="N44" s="1"/>
    </row>
    <row r="45" spans="1:14" s="2" customFormat="1" x14ac:dyDescent="0.2">
      <c r="A45" s="36"/>
      <c r="B45" s="28" t="s">
        <v>11</v>
      </c>
      <c r="C45" s="19" t="s">
        <v>65</v>
      </c>
      <c r="D45" s="37"/>
      <c r="E45" s="38">
        <f>F44-E44</f>
        <v>349479962.31000024</v>
      </c>
      <c r="F45" s="22"/>
      <c r="G45" s="1"/>
      <c r="H45" s="1"/>
      <c r="J45" s="1"/>
      <c r="K45" s="1"/>
      <c r="L45" s="1"/>
      <c r="M45" s="1"/>
      <c r="N45" s="1"/>
    </row>
    <row r="46" spans="1:14" x14ac:dyDescent="0.2">
      <c r="A46" s="36"/>
      <c r="B46" s="28" t="s">
        <v>66</v>
      </c>
      <c r="C46" s="43" t="s">
        <v>67</v>
      </c>
      <c r="D46" s="43"/>
      <c r="E46" s="12">
        <v>0</v>
      </c>
      <c r="F46" s="22"/>
      <c r="H46" s="40"/>
      <c r="I46" s="45">
        <v>2269.33</v>
      </c>
      <c r="J46" s="46"/>
      <c r="K46" s="46"/>
      <c r="L46" s="13"/>
      <c r="M46" s="2"/>
      <c r="N46" s="2"/>
    </row>
    <row r="47" spans="1:14" ht="15" x14ac:dyDescent="0.25">
      <c r="A47" s="36"/>
      <c r="B47" s="28"/>
      <c r="C47" s="44" t="s">
        <v>68</v>
      </c>
      <c r="D47" s="43"/>
      <c r="E47" s="7">
        <f>E45+E46</f>
        <v>349479962.31000024</v>
      </c>
      <c r="F47" s="22"/>
      <c r="H47" s="103" t="s">
        <v>69</v>
      </c>
      <c r="I47" s="45">
        <v>-32.04</v>
      </c>
      <c r="J47" s="46"/>
      <c r="K47" s="46"/>
      <c r="L47" s="2"/>
      <c r="M47" s="2"/>
      <c r="N47" s="2"/>
    </row>
    <row r="48" spans="1:14" s="2" customFormat="1" x14ac:dyDescent="0.2">
      <c r="A48" s="24"/>
      <c r="B48" s="1"/>
      <c r="C48" s="14"/>
      <c r="D48" s="25"/>
      <c r="E48" s="1"/>
      <c r="H48" s="35" t="s">
        <v>70</v>
      </c>
      <c r="I48" s="45">
        <v>0</v>
      </c>
      <c r="J48" s="46">
        <f>+I49-D51</f>
        <v>0</v>
      </c>
      <c r="M48" s="2">
        <v>19.57</v>
      </c>
      <c r="N48" s="2" t="s">
        <v>535</v>
      </c>
    </row>
    <row r="49" spans="1:13" s="2" customFormat="1" x14ac:dyDescent="0.2">
      <c r="A49" s="24"/>
      <c r="B49" s="1"/>
      <c r="C49" s="56"/>
      <c r="D49" s="56"/>
      <c r="E49" s="104"/>
      <c r="G49" s="1"/>
      <c r="I49" s="49">
        <f>SUM(I46:I48)</f>
        <v>2237.29</v>
      </c>
      <c r="J49" s="46"/>
      <c r="K49" s="46"/>
    </row>
    <row r="50" spans="1:13" s="2" customFormat="1" x14ac:dyDescent="0.2">
      <c r="A50" s="24"/>
      <c r="B50" s="1"/>
      <c r="C50" s="78" t="s">
        <v>575</v>
      </c>
      <c r="D50" s="48" t="s">
        <v>576</v>
      </c>
      <c r="E50" s="104"/>
      <c r="G50" s="1"/>
    </row>
    <row r="51" spans="1:13" s="2" customFormat="1" x14ac:dyDescent="0.2">
      <c r="A51" s="24"/>
      <c r="B51" s="1"/>
      <c r="C51" s="47" t="s">
        <v>570</v>
      </c>
      <c r="D51" s="111">
        <v>2237.29</v>
      </c>
      <c r="E51" s="104"/>
      <c r="G51" s="1"/>
      <c r="H51" s="110" t="s">
        <v>581</v>
      </c>
    </row>
    <row r="52" spans="1:13" s="2" customFormat="1" x14ac:dyDescent="0.2">
      <c r="A52" s="24"/>
      <c r="B52" s="1"/>
      <c r="C52" s="47" t="s">
        <v>571</v>
      </c>
      <c r="D52" s="111">
        <v>42.94</v>
      </c>
      <c r="E52" s="104"/>
      <c r="G52" s="1"/>
      <c r="H52" s="110" t="s">
        <v>580</v>
      </c>
    </row>
    <row r="53" spans="1:13" s="2" customFormat="1" x14ac:dyDescent="0.2">
      <c r="A53" s="24"/>
      <c r="B53" s="1"/>
      <c r="C53" s="47" t="s">
        <v>572</v>
      </c>
      <c r="D53" s="111">
        <f>+D91/100000</f>
        <v>431.84793269999994</v>
      </c>
      <c r="E53" s="104"/>
      <c r="G53" s="1"/>
      <c r="H53" s="90" t="s">
        <v>587</v>
      </c>
    </row>
    <row r="54" spans="1:13" s="2" customFormat="1" x14ac:dyDescent="0.2">
      <c r="A54" s="24"/>
      <c r="B54" s="1"/>
      <c r="C54" s="108" t="s">
        <v>578</v>
      </c>
      <c r="D54" s="48">
        <f>SUM(D51:D53)</f>
        <v>2712.0779327</v>
      </c>
      <c r="E54" s="104"/>
      <c r="G54" s="1"/>
    </row>
    <row r="55" spans="1:13" s="2" customFormat="1" x14ac:dyDescent="0.2">
      <c r="A55" s="24"/>
      <c r="B55" s="1"/>
      <c r="C55" s="47"/>
      <c r="D55" s="107"/>
      <c r="E55" s="104"/>
      <c r="G55" s="1"/>
    </row>
    <row r="56" spans="1:13" s="2" customFormat="1" x14ac:dyDescent="0.2">
      <c r="A56" s="24"/>
      <c r="B56" s="1"/>
      <c r="C56" s="47" t="s">
        <v>573</v>
      </c>
      <c r="D56" s="111">
        <v>42.66</v>
      </c>
      <c r="E56" s="104"/>
      <c r="G56" s="1"/>
      <c r="H56" s="110" t="s">
        <v>581</v>
      </c>
    </row>
    <row r="57" spans="1:13" s="2" customFormat="1" x14ac:dyDescent="0.2">
      <c r="A57" s="24"/>
      <c r="B57" s="1"/>
      <c r="C57" s="47" t="s">
        <v>574</v>
      </c>
      <c r="D57" s="111">
        <f>529.03-56.77</f>
        <v>472.26</v>
      </c>
      <c r="E57" s="104"/>
      <c r="G57" s="1"/>
      <c r="H57" s="110" t="s">
        <v>581</v>
      </c>
      <c r="J57" s="114" t="s">
        <v>713</v>
      </c>
    </row>
    <row r="58" spans="1:13" s="2" customFormat="1" x14ac:dyDescent="0.2">
      <c r="A58" s="24"/>
      <c r="B58" s="1"/>
      <c r="C58" s="78" t="s">
        <v>579</v>
      </c>
      <c r="D58" s="109">
        <f>D56+D57</f>
        <v>514.91999999999996</v>
      </c>
      <c r="E58" s="104"/>
      <c r="G58" s="1"/>
      <c r="I58" s="113"/>
      <c r="J58" s="113" t="s">
        <v>709</v>
      </c>
      <c r="K58" s="113" t="s">
        <v>710</v>
      </c>
      <c r="L58" s="113" t="s">
        <v>711</v>
      </c>
      <c r="M58" s="113" t="s">
        <v>712</v>
      </c>
    </row>
    <row r="59" spans="1:13" s="2" customFormat="1" x14ac:dyDescent="0.2">
      <c r="A59" s="24"/>
      <c r="B59" s="1"/>
      <c r="C59" s="105"/>
      <c r="D59" s="106"/>
      <c r="E59" s="104"/>
      <c r="G59" s="1"/>
      <c r="I59" s="113" t="s">
        <v>706</v>
      </c>
      <c r="J59" s="115"/>
      <c r="K59" s="115">
        <v>968.99</v>
      </c>
      <c r="L59" s="115">
        <v>968.99</v>
      </c>
      <c r="M59" s="113">
        <f>+J59+L59-K59</f>
        <v>0</v>
      </c>
    </row>
    <row r="60" spans="1:13" s="2" customFormat="1" x14ac:dyDescent="0.2">
      <c r="A60" s="24"/>
      <c r="B60" s="1"/>
      <c r="C60" s="78" t="s">
        <v>577</v>
      </c>
      <c r="D60" s="109">
        <f>D51+D58</f>
        <v>2752.21</v>
      </c>
      <c r="E60" s="104"/>
      <c r="G60" s="1"/>
      <c r="I60" s="113" t="s">
        <v>707</v>
      </c>
      <c r="J60" s="115">
        <v>183.1</v>
      </c>
      <c r="K60" s="115">
        <v>1484.48</v>
      </c>
      <c r="L60" s="115">
        <v>1957.82</v>
      </c>
      <c r="M60" s="113">
        <f>+J60+L60-K60</f>
        <v>656.44</v>
      </c>
    </row>
    <row r="61" spans="1:13" s="2" customFormat="1" x14ac:dyDescent="0.2">
      <c r="A61" s="24"/>
      <c r="B61" s="1"/>
      <c r="C61" s="56"/>
      <c r="D61" s="56"/>
      <c r="E61" s="104"/>
      <c r="G61" s="1"/>
      <c r="I61" s="113" t="s">
        <v>708</v>
      </c>
      <c r="J61" s="115">
        <v>1371.02</v>
      </c>
      <c r="K61" s="115">
        <v>10428.120000000001</v>
      </c>
      <c r="L61" s="115">
        <v>10822.32</v>
      </c>
      <c r="M61" s="113">
        <f>+J61+L61-K61</f>
        <v>1765.2199999999993</v>
      </c>
    </row>
    <row r="62" spans="1:13" s="2" customFormat="1" ht="38.25" x14ac:dyDescent="0.2">
      <c r="A62" s="24"/>
      <c r="B62" s="1"/>
      <c r="C62" s="79" t="str">
        <f>"Particulars ( 01-04-2021 to "&amp;TEXT(A5,"dd-mm-yyyy")&amp;" )"</f>
        <v>Particulars ( 01-04-2021 to 24-04-2023 )</v>
      </c>
      <c r="D62" s="80" t="s">
        <v>73</v>
      </c>
      <c r="E62" s="80" t="s">
        <v>74</v>
      </c>
      <c r="F62" s="81" t="s">
        <v>75</v>
      </c>
      <c r="G62" s="80" t="s">
        <v>76</v>
      </c>
      <c r="J62" s="118">
        <f>SUM(J59:J61)</f>
        <v>1554.12</v>
      </c>
      <c r="K62" s="118">
        <f>SUM(K59:K61)</f>
        <v>12881.59</v>
      </c>
      <c r="L62" s="118">
        <f>SUM(L59:L61)</f>
        <v>13749.13</v>
      </c>
      <c r="M62" s="118">
        <f>SUM(M59:M61)</f>
        <v>2421.6599999999994</v>
      </c>
    </row>
    <row r="63" spans="1:13" s="2" customFormat="1" x14ac:dyDescent="0.2">
      <c r="A63" s="24"/>
      <c r="B63" s="1"/>
      <c r="C63" s="50" t="s">
        <v>444</v>
      </c>
      <c r="D63" s="55">
        <f>+L59+L60+J60</f>
        <v>3109.91</v>
      </c>
      <c r="E63" s="55">
        <f>+K59+K60</f>
        <v>2453.4700000000003</v>
      </c>
      <c r="F63" s="55">
        <f>+D63-E63</f>
        <v>656.4399999999996</v>
      </c>
      <c r="G63" s="55">
        <f>1500-F63</f>
        <v>843.5600000000004</v>
      </c>
      <c r="H63" s="2" t="s">
        <v>396</v>
      </c>
    </row>
    <row r="64" spans="1:13" s="2" customFormat="1" x14ac:dyDescent="0.2">
      <c r="A64" s="24"/>
      <c r="B64" s="1"/>
      <c r="C64" s="50" t="s">
        <v>71</v>
      </c>
      <c r="D64" s="55">
        <f>+J61+L61</f>
        <v>12193.34</v>
      </c>
      <c r="E64" s="55">
        <f>+K61</f>
        <v>10428.120000000001</v>
      </c>
      <c r="F64" s="55">
        <f>+D64-E64</f>
        <v>1765.2199999999993</v>
      </c>
      <c r="G64" s="55">
        <f>1500+700-F64</f>
        <v>434.78000000000065</v>
      </c>
      <c r="H64" s="2" t="s">
        <v>396</v>
      </c>
    </row>
    <row r="65" spans="1:13" s="2" customFormat="1" x14ac:dyDescent="0.2">
      <c r="A65" s="24"/>
      <c r="B65" s="1"/>
      <c r="C65" s="14"/>
      <c r="D65" s="56"/>
      <c r="E65" s="13"/>
      <c r="G65" s="1"/>
    </row>
    <row r="66" spans="1:13" s="2" customFormat="1" x14ac:dyDescent="0.2">
      <c r="A66" s="215" t="s">
        <v>80</v>
      </c>
      <c r="B66" s="216"/>
      <c r="C66" s="216"/>
      <c r="D66" s="217"/>
      <c r="E66" s="69"/>
      <c r="F66" s="70"/>
      <c r="G66" s="1"/>
      <c r="H66" s="53"/>
    </row>
    <row r="67" spans="1:13" s="2" customFormat="1" x14ac:dyDescent="0.2">
      <c r="A67" s="71" t="s">
        <v>81</v>
      </c>
      <c r="B67" s="71"/>
      <c r="C67" s="72" t="s">
        <v>82</v>
      </c>
      <c r="D67" s="73" t="s">
        <v>83</v>
      </c>
      <c r="E67" s="69"/>
      <c r="F67" s="70"/>
      <c r="H67" s="53"/>
    </row>
    <row r="68" spans="1:13" s="2" customFormat="1" x14ac:dyDescent="0.2">
      <c r="A68" s="87">
        <v>45017</v>
      </c>
      <c r="B68" s="120" t="s">
        <v>6</v>
      </c>
      <c r="C68" s="75" t="s">
        <v>282</v>
      </c>
      <c r="D68" s="88">
        <v>12220</v>
      </c>
      <c r="G68" s="1"/>
      <c r="L68" s="1"/>
      <c r="M68" s="1"/>
    </row>
    <row r="69" spans="1:13" s="2" customFormat="1" x14ac:dyDescent="0.2">
      <c r="A69" s="87">
        <v>45020</v>
      </c>
      <c r="B69" s="120" t="s">
        <v>6</v>
      </c>
      <c r="C69" s="75" t="s">
        <v>271</v>
      </c>
      <c r="D69" s="88">
        <v>584074</v>
      </c>
      <c r="G69" s="1"/>
      <c r="L69" s="1"/>
      <c r="M69" s="1"/>
    </row>
    <row r="70" spans="1:13" s="2" customFormat="1" x14ac:dyDescent="0.2">
      <c r="A70" s="87">
        <v>45022</v>
      </c>
      <c r="B70" s="120" t="s">
        <v>6</v>
      </c>
      <c r="C70" s="75" t="s">
        <v>784</v>
      </c>
      <c r="D70" s="88">
        <v>283512</v>
      </c>
      <c r="G70" s="1"/>
      <c r="L70" s="1"/>
      <c r="M70" s="1"/>
    </row>
    <row r="71" spans="1:13" s="2" customFormat="1" x14ac:dyDescent="0.2">
      <c r="A71" s="87">
        <v>45022</v>
      </c>
      <c r="B71" s="120" t="s">
        <v>6</v>
      </c>
      <c r="C71" s="75" t="s">
        <v>84</v>
      </c>
      <c r="D71" s="88">
        <v>2500000</v>
      </c>
      <c r="G71" s="1"/>
      <c r="L71" s="1"/>
      <c r="M71" s="1"/>
    </row>
    <row r="72" spans="1:13" s="2" customFormat="1" x14ac:dyDescent="0.2">
      <c r="A72" s="87">
        <v>45023</v>
      </c>
      <c r="B72" s="120" t="s">
        <v>6</v>
      </c>
      <c r="C72" s="75" t="s">
        <v>270</v>
      </c>
      <c r="D72" s="88">
        <v>33748</v>
      </c>
      <c r="G72" s="1"/>
      <c r="L72" s="1"/>
      <c r="M72" s="1"/>
    </row>
    <row r="73" spans="1:13" s="2" customFormat="1" x14ac:dyDescent="0.2">
      <c r="A73" s="87">
        <v>45023</v>
      </c>
      <c r="B73" s="120" t="s">
        <v>6</v>
      </c>
      <c r="C73" s="75" t="s">
        <v>270</v>
      </c>
      <c r="D73" s="88">
        <v>114918</v>
      </c>
      <c r="G73" s="1"/>
      <c r="L73" s="1"/>
      <c r="M73" s="1"/>
    </row>
    <row r="74" spans="1:13" s="2" customFormat="1" x14ac:dyDescent="0.2">
      <c r="A74" s="87">
        <v>45027</v>
      </c>
      <c r="B74" s="120" t="s">
        <v>6</v>
      </c>
      <c r="C74" s="75" t="s">
        <v>767</v>
      </c>
      <c r="D74" s="88">
        <v>2093169</v>
      </c>
      <c r="G74" s="1"/>
      <c r="L74" s="1"/>
      <c r="M74" s="1"/>
    </row>
    <row r="75" spans="1:13" s="2" customFormat="1" x14ac:dyDescent="0.2">
      <c r="A75" s="87">
        <v>45027</v>
      </c>
      <c r="B75" s="120" t="s">
        <v>6</v>
      </c>
      <c r="C75" s="75" t="s">
        <v>594</v>
      </c>
      <c r="D75" s="88">
        <v>2500000</v>
      </c>
      <c r="G75" s="1"/>
      <c r="L75" s="1"/>
      <c r="M75" s="1"/>
    </row>
    <row r="76" spans="1:13" s="2" customFormat="1" x14ac:dyDescent="0.2">
      <c r="A76" s="87">
        <v>45028</v>
      </c>
      <c r="B76" s="120" t="s">
        <v>6</v>
      </c>
      <c r="C76" s="75" t="s">
        <v>84</v>
      </c>
      <c r="D76" s="88">
        <v>4000000</v>
      </c>
      <c r="G76" s="1"/>
      <c r="L76" s="1"/>
      <c r="M76" s="1"/>
    </row>
    <row r="77" spans="1:13" s="2" customFormat="1" x14ac:dyDescent="0.2">
      <c r="A77" s="87">
        <v>45028</v>
      </c>
      <c r="B77" s="120" t="s">
        <v>6</v>
      </c>
      <c r="C77" s="75" t="s">
        <v>606</v>
      </c>
      <c r="D77" s="88">
        <v>103240</v>
      </c>
      <c r="G77" s="1"/>
      <c r="L77" s="1"/>
      <c r="M77" s="1"/>
    </row>
    <row r="78" spans="1:13" s="2" customFormat="1" x14ac:dyDescent="0.2">
      <c r="A78" s="87">
        <v>45029</v>
      </c>
      <c r="B78" s="120" t="s">
        <v>6</v>
      </c>
      <c r="C78" s="75" t="s">
        <v>784</v>
      </c>
      <c r="D78" s="88">
        <v>451698</v>
      </c>
      <c r="G78" s="1"/>
      <c r="L78" s="1"/>
      <c r="M78" s="1"/>
    </row>
    <row r="79" spans="1:13" s="2" customFormat="1" x14ac:dyDescent="0.2">
      <c r="A79" s="87">
        <v>45030</v>
      </c>
      <c r="B79" s="120" t="s">
        <v>6</v>
      </c>
      <c r="C79" s="75" t="s">
        <v>270</v>
      </c>
      <c r="D79" s="88">
        <v>655766</v>
      </c>
      <c r="G79" s="1"/>
      <c r="L79" s="1"/>
      <c r="M79" s="1"/>
    </row>
    <row r="80" spans="1:13" s="2" customFormat="1" x14ac:dyDescent="0.2">
      <c r="A80" s="87">
        <v>45031</v>
      </c>
      <c r="B80" s="120" t="s">
        <v>6</v>
      </c>
      <c r="C80" s="75" t="s">
        <v>784</v>
      </c>
      <c r="D80" s="88">
        <v>539800</v>
      </c>
      <c r="G80" s="1"/>
      <c r="L80" s="1"/>
      <c r="M80" s="1"/>
    </row>
    <row r="81" spans="1:13" s="2" customFormat="1" x14ac:dyDescent="0.2">
      <c r="A81" s="87">
        <v>45031</v>
      </c>
      <c r="B81" s="120" t="s">
        <v>6</v>
      </c>
      <c r="C81" s="75" t="s">
        <v>784</v>
      </c>
      <c r="D81" s="88">
        <v>198679</v>
      </c>
      <c r="G81" s="1"/>
      <c r="L81" s="1"/>
      <c r="M81" s="1"/>
    </row>
    <row r="82" spans="1:13" s="2" customFormat="1" x14ac:dyDescent="0.2">
      <c r="A82" s="87">
        <v>45033</v>
      </c>
      <c r="B82" s="120" t="s">
        <v>6</v>
      </c>
      <c r="C82" s="75" t="s">
        <v>888</v>
      </c>
      <c r="D82" s="88">
        <v>5449818.2699999996</v>
      </c>
      <c r="G82" s="1"/>
      <c r="L82" s="1"/>
      <c r="M82" s="1"/>
    </row>
    <row r="83" spans="1:13" s="2" customFormat="1" x14ac:dyDescent="0.2">
      <c r="A83" s="87">
        <v>45033</v>
      </c>
      <c r="B83" s="120" t="s">
        <v>6</v>
      </c>
      <c r="C83" s="75" t="s">
        <v>594</v>
      </c>
      <c r="D83" s="88">
        <v>3094653</v>
      </c>
      <c r="G83" s="1"/>
      <c r="L83" s="1"/>
      <c r="M83" s="1"/>
    </row>
    <row r="84" spans="1:13" s="2" customFormat="1" x14ac:dyDescent="0.2">
      <c r="A84" s="87">
        <v>45033</v>
      </c>
      <c r="B84" s="120" t="s">
        <v>6</v>
      </c>
      <c r="C84" s="75" t="s">
        <v>594</v>
      </c>
      <c r="D84" s="88">
        <v>279152</v>
      </c>
      <c r="G84" s="1"/>
      <c r="L84" s="1"/>
      <c r="M84" s="1"/>
    </row>
    <row r="85" spans="1:13" s="2" customFormat="1" x14ac:dyDescent="0.2">
      <c r="A85" s="87">
        <v>45035</v>
      </c>
      <c r="B85" s="120" t="s">
        <v>6</v>
      </c>
      <c r="C85" s="75" t="s">
        <v>767</v>
      </c>
      <c r="D85" s="88">
        <v>2025000</v>
      </c>
      <c r="G85" s="1"/>
      <c r="L85" s="1"/>
      <c r="M85" s="1"/>
    </row>
    <row r="86" spans="1:13" s="2" customFormat="1" x14ac:dyDescent="0.2">
      <c r="A86" s="87">
        <v>45036</v>
      </c>
      <c r="B86" s="120" t="s">
        <v>6</v>
      </c>
      <c r="C86" s="75" t="s">
        <v>84</v>
      </c>
      <c r="D86" s="88">
        <v>3500000</v>
      </c>
      <c r="G86" s="1"/>
      <c r="L86" s="1"/>
      <c r="M86" s="1"/>
    </row>
    <row r="87" spans="1:13" s="2" customFormat="1" x14ac:dyDescent="0.2">
      <c r="A87" s="87">
        <v>45036</v>
      </c>
      <c r="B87" s="120" t="s">
        <v>6</v>
      </c>
      <c r="C87" s="75" t="s">
        <v>606</v>
      </c>
      <c r="D87" s="88">
        <v>4441096</v>
      </c>
      <c r="G87" s="1"/>
      <c r="L87" s="1"/>
      <c r="M87" s="1"/>
    </row>
    <row r="88" spans="1:13" s="2" customFormat="1" x14ac:dyDescent="0.2">
      <c r="A88" s="87">
        <v>45037</v>
      </c>
      <c r="B88" s="120" t="s">
        <v>6</v>
      </c>
      <c r="C88" s="75" t="s">
        <v>909</v>
      </c>
      <c r="D88" s="88">
        <v>3481381</v>
      </c>
      <c r="G88" s="1"/>
      <c r="L88" s="1"/>
      <c r="M88" s="1"/>
    </row>
    <row r="89" spans="1:13" s="2" customFormat="1" x14ac:dyDescent="0.2">
      <c r="A89" s="87">
        <v>45037</v>
      </c>
      <c r="B89" s="120" t="s">
        <v>6</v>
      </c>
      <c r="C89" s="75" t="s">
        <v>909</v>
      </c>
      <c r="D89" s="88">
        <v>6688351</v>
      </c>
      <c r="G89" s="1"/>
      <c r="L89" s="1"/>
      <c r="M89" s="1"/>
    </row>
    <row r="90" spans="1:13" s="2" customFormat="1" x14ac:dyDescent="0.2">
      <c r="A90" s="87">
        <v>45038</v>
      </c>
      <c r="B90" s="120" t="s">
        <v>6</v>
      </c>
      <c r="C90" s="75" t="s">
        <v>270</v>
      </c>
      <c r="D90" s="88">
        <v>154518</v>
      </c>
      <c r="G90" s="1"/>
      <c r="L90" s="1"/>
      <c r="M90" s="1"/>
    </row>
    <row r="91" spans="1:13" s="2" customFormat="1" x14ac:dyDescent="0.2">
      <c r="A91" s="87"/>
      <c r="B91" s="74"/>
      <c r="C91" s="75"/>
      <c r="D91" s="51">
        <f>SUM(D68:D90)</f>
        <v>43184793.269999996</v>
      </c>
      <c r="F91" s="2" t="s">
        <v>396</v>
      </c>
      <c r="G91" s="1"/>
      <c r="I91" s="1"/>
      <c r="J91" s="1"/>
      <c r="K91" s="1"/>
      <c r="L91" s="1"/>
      <c r="M91" s="1"/>
    </row>
    <row r="92" spans="1:13" s="2" customFormat="1" x14ac:dyDescent="0.2">
      <c r="A92" s="8"/>
      <c r="B92" s="93"/>
      <c r="C92" s="76"/>
      <c r="D92" s="56"/>
      <c r="G92" s="1"/>
      <c r="I92" s="1"/>
      <c r="J92" s="1"/>
      <c r="K92" s="1"/>
      <c r="L92" s="1"/>
      <c r="M92" s="1"/>
    </row>
    <row r="93" spans="1:13" s="2" customFormat="1" x14ac:dyDescent="0.2">
      <c r="A93" s="24"/>
      <c r="B93" s="1"/>
      <c r="C93" s="218" t="s">
        <v>77</v>
      </c>
      <c r="D93" s="219"/>
      <c r="E93" s="219"/>
      <c r="F93" s="220"/>
      <c r="G93" s="54"/>
      <c r="I93" s="1"/>
      <c r="J93" s="1"/>
      <c r="K93" s="1"/>
      <c r="L93" s="1"/>
      <c r="M93" s="1"/>
    </row>
    <row r="94" spans="1:13" s="2" customFormat="1" x14ac:dyDescent="0.2">
      <c r="A94" s="24"/>
      <c r="B94" s="1"/>
      <c r="C94" s="50"/>
      <c r="D94" s="57" t="s">
        <v>78</v>
      </c>
      <c r="E94" s="58" t="s">
        <v>79</v>
      </c>
      <c r="F94" s="57" t="s">
        <v>72</v>
      </c>
      <c r="G94" s="54"/>
      <c r="I94" s="1"/>
      <c r="J94" s="1"/>
      <c r="K94" s="1"/>
      <c r="L94" s="1"/>
      <c r="M94" s="1"/>
    </row>
    <row r="95" spans="1:13" s="2" customFormat="1" x14ac:dyDescent="0.2">
      <c r="A95" s="24"/>
      <c r="B95" s="1"/>
      <c r="C95" s="59" t="str">
        <f>"01-04-2023 to "&amp;TEXT(A5-2,"dd-mm-yyyy")</f>
        <v>01-04-2023 to 22-04-2023</v>
      </c>
      <c r="D95" s="60">
        <v>3104.76</v>
      </c>
      <c r="E95" s="60">
        <v>417.07</v>
      </c>
      <c r="F95" s="61">
        <f>SUM(D95:E95)</f>
        <v>3521.8300000000004</v>
      </c>
      <c r="G95" s="54"/>
      <c r="I95" s="1"/>
      <c r="J95" s="1"/>
      <c r="K95" s="1"/>
      <c r="L95" s="1"/>
      <c r="M95" s="1"/>
    </row>
    <row r="96" spans="1:13" s="2" customFormat="1" x14ac:dyDescent="0.2">
      <c r="A96" s="24"/>
      <c r="B96" s="1"/>
      <c r="C96" s="62" t="str">
        <f>TEXT(A5-1,"dd-mm-yyyy")</f>
        <v>23-04-2023</v>
      </c>
      <c r="D96" s="60">
        <v>62.29</v>
      </c>
      <c r="E96" s="60">
        <v>2.7</v>
      </c>
      <c r="F96" s="61">
        <f>SUM(D96:E96)</f>
        <v>64.989999999999995</v>
      </c>
      <c r="G96" s="54"/>
      <c r="I96" s="1"/>
      <c r="J96" s="1"/>
      <c r="K96" s="1"/>
      <c r="L96" s="1"/>
      <c r="M96" s="1"/>
    </row>
    <row r="97" spans="1:10" ht="13.5" thickBot="1" x14ac:dyDescent="0.25">
      <c r="C97" s="63" t="str">
        <f>"01-04-2023 to "&amp;TEXT(A5-1,"dd-mm-yyyy")</f>
        <v>01-04-2023 to 23-04-2023</v>
      </c>
      <c r="D97" s="64">
        <f>SUM(D95:D96)</f>
        <v>3167.05</v>
      </c>
      <c r="E97" s="64">
        <f>SUM(E95:E96)</f>
        <v>419.77</v>
      </c>
      <c r="F97" s="64">
        <f>SUM(F95:F96)</f>
        <v>3586.82</v>
      </c>
      <c r="G97" s="54"/>
    </row>
    <row r="98" spans="1:10" s="2" customFormat="1" ht="13.5" thickTop="1" x14ac:dyDescent="0.2">
      <c r="A98" s="24"/>
      <c r="B98" s="1"/>
      <c r="C98" s="62"/>
      <c r="D98" s="65"/>
      <c r="E98" s="66"/>
      <c r="F98" s="67"/>
      <c r="G98" s="54"/>
      <c r="H98" s="53"/>
    </row>
    <row r="99" spans="1:10" x14ac:dyDescent="0.2">
      <c r="C99" s="62" t="str">
        <f>"01-04-2023 to " &amp;C96</f>
        <v>01-04-2023 to 23-04-2023</v>
      </c>
      <c r="D99" s="68">
        <f>+D97</f>
        <v>3167.05</v>
      </c>
      <c r="E99" s="68">
        <f>+E97</f>
        <v>419.77</v>
      </c>
      <c r="F99" s="68">
        <f>+F97</f>
        <v>3586.82</v>
      </c>
      <c r="G99" s="54"/>
      <c r="H99" s="53" t="s">
        <v>396</v>
      </c>
    </row>
    <row r="100" spans="1:10" x14ac:dyDescent="0.2">
      <c r="C100" s="52"/>
      <c r="D100" s="85"/>
      <c r="E100" s="53"/>
      <c r="F100" s="53"/>
      <c r="G100" s="54"/>
      <c r="H100" s="53" t="s">
        <v>396</v>
      </c>
      <c r="J100" s="42"/>
    </row>
    <row r="101" spans="1:10" x14ac:dyDescent="0.2">
      <c r="C101" s="52"/>
      <c r="D101" s="85"/>
      <c r="E101" s="53"/>
      <c r="F101" s="53"/>
      <c r="G101" s="54"/>
      <c r="H101" s="53"/>
      <c r="I101" s="101"/>
    </row>
    <row r="102" spans="1:10" x14ac:dyDescent="0.2">
      <c r="C102" s="52"/>
      <c r="D102" s="85"/>
      <c r="E102" s="53"/>
      <c r="F102" s="53"/>
      <c r="G102" s="54"/>
      <c r="H102" s="53"/>
    </row>
    <row r="103" spans="1:10" x14ac:dyDescent="0.2">
      <c r="C103" s="52"/>
      <c r="D103" s="85"/>
      <c r="E103" s="53"/>
      <c r="F103" s="53"/>
      <c r="G103" s="54"/>
      <c r="H103" s="53"/>
    </row>
    <row r="104" spans="1:10" x14ac:dyDescent="0.2">
      <c r="H104" s="53"/>
    </row>
  </sheetData>
  <mergeCells count="5">
    <mergeCell ref="A1:G1"/>
    <mergeCell ref="A3:F3"/>
    <mergeCell ref="A9:F9"/>
    <mergeCell ref="A66:D66"/>
    <mergeCell ref="C93:F93"/>
  </mergeCells>
  <conditionalFormatting sqref="G63:G64">
    <cfRule type="cellIs" dxfId="612" priority="1" operator="lessThan">
      <formula>0</formula>
    </cfRule>
  </conditionalFormatting>
  <conditionalFormatting sqref="C11">
    <cfRule type="duplicateValues" dxfId="611" priority="2"/>
  </conditionalFormatting>
  <conditionalFormatting sqref="C12:C42">
    <cfRule type="duplicateValues" dxfId="610" priority="454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315">
    <pageSetUpPr fitToPage="1"/>
  </sheetPr>
  <dimension ref="A1:N75"/>
  <sheetViews>
    <sheetView topLeftCell="A60" zoomScaleNormal="100" workbookViewId="0">
      <selection activeCell="C46" sqref="C46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49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914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2.75" customHeight="1" x14ac:dyDescent="0.4">
      <c r="A5" s="89">
        <v>45049</v>
      </c>
      <c r="B5" s="9" t="s">
        <v>6</v>
      </c>
      <c r="C5" s="10" t="s">
        <v>7</v>
      </c>
      <c r="D5" s="11"/>
      <c r="E5" s="12">
        <v>706509.70000000019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706509.70000000019</v>
      </c>
      <c r="F6" s="16">
        <f>SUM(F5:F5)</f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E6-F6</f>
        <v>706509.70000000019</v>
      </c>
      <c r="F7" s="22"/>
      <c r="G7" s="23"/>
      <c r="H7" s="112"/>
      <c r="I7" s="112"/>
      <c r="J7" s="13"/>
    </row>
    <row r="8" spans="1:10" s="2" customFormat="1" ht="12.75" customHeight="1" x14ac:dyDescent="0.4">
      <c r="A8" s="24"/>
      <c r="B8" s="1"/>
      <c r="C8" s="14"/>
      <c r="D8" s="25"/>
      <c r="G8" s="23"/>
      <c r="H8" s="112"/>
      <c r="I8" s="112"/>
      <c r="J8" s="13"/>
    </row>
    <row r="9" spans="1:10" s="2" customFormat="1" ht="21.75" customHeight="1" x14ac:dyDescent="0.4">
      <c r="A9" s="214" t="s">
        <v>10</v>
      </c>
      <c r="B9" s="214"/>
      <c r="C9" s="214"/>
      <c r="D9" s="214"/>
      <c r="E9" s="214"/>
      <c r="F9" s="214"/>
      <c r="G9" s="13"/>
      <c r="H9" s="112"/>
      <c r="I9" s="112"/>
      <c r="J9" s="13"/>
    </row>
    <row r="10" spans="1:10" s="2" customFormat="1" ht="12.75" customHeight="1" x14ac:dyDescent="0.4">
      <c r="A10" s="26" t="s">
        <v>1</v>
      </c>
      <c r="B10" s="27" t="s">
        <v>2</v>
      </c>
      <c r="C10" s="5"/>
      <c r="D10" s="6" t="s">
        <v>3</v>
      </c>
      <c r="E10" s="7" t="s">
        <v>4</v>
      </c>
      <c r="F10" s="7" t="s">
        <v>5</v>
      </c>
      <c r="G10" s="23"/>
      <c r="H10" s="112"/>
      <c r="I10" s="112"/>
      <c r="J10" s="13"/>
    </row>
    <row r="11" spans="1:10" s="2" customFormat="1" ht="12.75" customHeight="1" x14ac:dyDescent="0.2">
      <c r="A11" s="89">
        <v>45049</v>
      </c>
      <c r="B11" s="91" t="s">
        <v>11</v>
      </c>
      <c r="C11" s="29" t="s">
        <v>7</v>
      </c>
      <c r="D11" s="25"/>
      <c r="E11" s="31"/>
      <c r="F11" s="2">
        <v>348980077.67000002</v>
      </c>
      <c r="G11" s="30"/>
      <c r="I11" s="13"/>
      <c r="J11" s="13"/>
    </row>
    <row r="12" spans="1:10" s="2" customFormat="1" ht="12.75" customHeight="1" x14ac:dyDescent="0.2">
      <c r="A12" s="89">
        <v>45049</v>
      </c>
      <c r="B12" s="91" t="s">
        <v>6</v>
      </c>
      <c r="C12" s="76" t="s">
        <v>771</v>
      </c>
      <c r="D12" s="116" t="s">
        <v>13</v>
      </c>
      <c r="E12" s="31">
        <v>569634</v>
      </c>
      <c r="G12" s="30"/>
      <c r="I12" s="13"/>
      <c r="J12" s="13"/>
    </row>
    <row r="13" spans="1:10" s="2" customFormat="1" ht="12.75" customHeight="1" x14ac:dyDescent="0.2">
      <c r="A13" s="89">
        <v>45049</v>
      </c>
      <c r="B13" s="91" t="s">
        <v>6</v>
      </c>
      <c r="C13" s="76" t="s">
        <v>296</v>
      </c>
      <c r="D13" s="116" t="s">
        <v>13</v>
      </c>
      <c r="E13" s="31">
        <v>127000</v>
      </c>
      <c r="G13" s="30"/>
      <c r="I13" s="13"/>
      <c r="J13" s="13"/>
    </row>
    <row r="14" spans="1:10" s="2" customFormat="1" ht="12.75" customHeight="1" x14ac:dyDescent="0.2">
      <c r="A14" s="89">
        <v>45049</v>
      </c>
      <c r="B14" s="91" t="s">
        <v>6</v>
      </c>
      <c r="C14" s="76" t="s">
        <v>468</v>
      </c>
      <c r="D14" s="116" t="s">
        <v>13</v>
      </c>
      <c r="E14" s="31">
        <v>762733</v>
      </c>
      <c r="G14" s="30"/>
      <c r="I14" s="13"/>
      <c r="J14" s="13"/>
    </row>
    <row r="15" spans="1:10" s="2" customFormat="1" ht="12.75" customHeight="1" x14ac:dyDescent="0.2">
      <c r="A15" s="89">
        <v>45049</v>
      </c>
      <c r="B15" s="91" t="s">
        <v>6</v>
      </c>
      <c r="C15" s="76" t="s">
        <v>915</v>
      </c>
      <c r="D15" s="116" t="s">
        <v>13</v>
      </c>
      <c r="E15" s="31">
        <v>126564</v>
      </c>
      <c r="G15" s="30"/>
      <c r="I15" s="13"/>
      <c r="J15" s="13"/>
    </row>
    <row r="16" spans="1:10" s="2" customFormat="1" ht="12.75" customHeight="1" x14ac:dyDescent="0.2">
      <c r="A16" s="89">
        <v>45049</v>
      </c>
      <c r="B16" s="91" t="s">
        <v>6</v>
      </c>
      <c r="C16" s="76" t="s">
        <v>916</v>
      </c>
      <c r="D16" s="116" t="s">
        <v>13</v>
      </c>
      <c r="E16" s="31">
        <v>254592</v>
      </c>
      <c r="G16" s="30"/>
      <c r="I16" s="13"/>
      <c r="J16" s="13"/>
    </row>
    <row r="17" spans="1:10" s="2" customFormat="1" ht="12.75" customHeight="1" x14ac:dyDescent="0.2">
      <c r="A17" s="89">
        <v>45049</v>
      </c>
      <c r="B17" s="91" t="s">
        <v>6</v>
      </c>
      <c r="C17" s="76" t="s">
        <v>625</v>
      </c>
      <c r="D17" s="116" t="s">
        <v>13</v>
      </c>
      <c r="E17" s="31">
        <v>19514</v>
      </c>
      <c r="G17" s="30"/>
      <c r="I17" s="13"/>
      <c r="J17" s="13"/>
    </row>
    <row r="18" spans="1:10" s="2" customFormat="1" ht="12.75" customHeight="1" x14ac:dyDescent="0.2">
      <c r="A18" s="89">
        <v>45049</v>
      </c>
      <c r="B18" s="91" t="s">
        <v>6</v>
      </c>
      <c r="C18" s="76" t="s">
        <v>329</v>
      </c>
      <c r="D18" s="116" t="s">
        <v>13</v>
      </c>
      <c r="E18" s="31">
        <v>2931</v>
      </c>
      <c r="G18" s="30"/>
      <c r="I18" s="13"/>
      <c r="J18" s="13"/>
    </row>
    <row r="19" spans="1:10" s="2" customFormat="1" ht="12.75" customHeight="1" x14ac:dyDescent="0.2">
      <c r="A19" s="89">
        <v>45049</v>
      </c>
      <c r="B19" s="91" t="s">
        <v>6</v>
      </c>
      <c r="C19" s="76" t="s">
        <v>761</v>
      </c>
      <c r="D19" s="116" t="s">
        <v>13</v>
      </c>
      <c r="E19" s="31">
        <v>590</v>
      </c>
      <c r="G19" s="30"/>
      <c r="I19" s="13"/>
      <c r="J19" s="13"/>
    </row>
    <row r="20" spans="1:10" s="2" customFormat="1" ht="12.75" customHeight="1" x14ac:dyDescent="0.2">
      <c r="A20" s="89">
        <v>45049</v>
      </c>
      <c r="B20" s="91" t="s">
        <v>6</v>
      </c>
      <c r="C20" s="76" t="s">
        <v>15</v>
      </c>
      <c r="D20" s="116" t="s">
        <v>13</v>
      </c>
      <c r="E20" s="31">
        <v>2385.44</v>
      </c>
      <c r="G20" s="30"/>
      <c r="I20" s="13"/>
      <c r="J20" s="13"/>
    </row>
    <row r="21" spans="1:10" s="2" customFormat="1" ht="12.75" customHeight="1" x14ac:dyDescent="0.2">
      <c r="A21" s="89">
        <v>45049</v>
      </c>
      <c r="B21" s="91" t="s">
        <v>6</v>
      </c>
      <c r="C21" s="76" t="s">
        <v>458</v>
      </c>
      <c r="D21" s="116" t="s">
        <v>13</v>
      </c>
      <c r="E21" s="31">
        <v>808500</v>
      </c>
      <c r="G21" s="30"/>
      <c r="I21" s="13"/>
      <c r="J21" s="13"/>
    </row>
    <row r="22" spans="1:10" s="2" customFormat="1" ht="12.75" customHeight="1" x14ac:dyDescent="0.2">
      <c r="A22" s="89">
        <v>45049</v>
      </c>
      <c r="B22" s="91" t="s">
        <v>6</v>
      </c>
      <c r="C22" s="76" t="s">
        <v>674</v>
      </c>
      <c r="D22" s="116" t="s">
        <v>13</v>
      </c>
      <c r="E22" s="31">
        <v>101142</v>
      </c>
      <c r="G22" s="30"/>
      <c r="I22" s="13"/>
      <c r="J22" s="13"/>
    </row>
    <row r="23" spans="1:10" s="2" customFormat="1" ht="12.75" customHeight="1" x14ac:dyDescent="0.2">
      <c r="A23" s="89">
        <v>45049</v>
      </c>
      <c r="B23" s="91" t="s">
        <v>6</v>
      </c>
      <c r="C23" s="76" t="s">
        <v>120</v>
      </c>
      <c r="D23" s="116" t="s">
        <v>13</v>
      </c>
      <c r="E23" s="31">
        <v>2443696</v>
      </c>
      <c r="G23" s="30"/>
      <c r="I23" s="13"/>
      <c r="J23" s="13"/>
    </row>
    <row r="24" spans="1:10" s="2" customFormat="1" ht="12.75" customHeight="1" x14ac:dyDescent="0.2">
      <c r="A24" s="89">
        <v>45049</v>
      </c>
      <c r="B24" s="91" t="s">
        <v>6</v>
      </c>
      <c r="C24" s="76" t="s">
        <v>917</v>
      </c>
      <c r="D24" s="116" t="s">
        <v>13</v>
      </c>
      <c r="E24" s="31">
        <v>6983</v>
      </c>
      <c r="G24" s="30"/>
      <c r="I24" s="13"/>
      <c r="J24" s="13"/>
    </row>
    <row r="25" spans="1:10" s="2" customFormat="1" ht="12.75" customHeight="1" x14ac:dyDescent="0.2">
      <c r="A25" s="89">
        <v>45049</v>
      </c>
      <c r="B25" s="91" t="s">
        <v>6</v>
      </c>
      <c r="C25" s="76" t="s">
        <v>24</v>
      </c>
      <c r="D25" s="116" t="s">
        <v>13</v>
      </c>
      <c r="E25" s="31">
        <v>80089</v>
      </c>
      <c r="G25" s="30"/>
      <c r="I25" s="13"/>
      <c r="J25" s="13"/>
    </row>
    <row r="26" spans="1:10" s="2" customFormat="1" ht="12.75" customHeight="1" x14ac:dyDescent="0.2">
      <c r="A26" s="89">
        <v>45049</v>
      </c>
      <c r="B26" s="91" t="s">
        <v>6</v>
      </c>
      <c r="C26" s="76" t="s">
        <v>435</v>
      </c>
      <c r="D26" s="116" t="s">
        <v>13</v>
      </c>
      <c r="E26" s="31">
        <v>716987.26</v>
      </c>
      <c r="G26" s="30"/>
      <c r="I26" s="13"/>
      <c r="J26" s="13"/>
    </row>
    <row r="27" spans="1:10" s="2" customFormat="1" ht="12.75" customHeight="1" x14ac:dyDescent="0.2">
      <c r="A27" s="89">
        <v>45049</v>
      </c>
      <c r="B27" s="91" t="s">
        <v>11</v>
      </c>
      <c r="C27" s="76" t="s">
        <v>64</v>
      </c>
      <c r="D27" s="116" t="s">
        <v>29</v>
      </c>
      <c r="E27" s="31"/>
      <c r="F27" s="2">
        <v>3863.32</v>
      </c>
      <c r="G27" s="30"/>
      <c r="I27" s="13"/>
      <c r="J27" s="13"/>
    </row>
    <row r="28" spans="1:10" s="2" customFormat="1" ht="12.75" customHeight="1" x14ac:dyDescent="0.2">
      <c r="A28" s="89">
        <v>45049</v>
      </c>
      <c r="B28" s="91" t="s">
        <v>11</v>
      </c>
      <c r="C28" s="76" t="s">
        <v>111</v>
      </c>
      <c r="D28" s="116" t="s">
        <v>29</v>
      </c>
      <c r="E28" s="31"/>
      <c r="F28" s="2">
        <v>3208282.76</v>
      </c>
      <c r="G28" s="30"/>
      <c r="I28" s="13"/>
      <c r="J28" s="13"/>
    </row>
    <row r="29" spans="1:10" s="2" customFormat="1" ht="12.75" customHeight="1" x14ac:dyDescent="0.2">
      <c r="A29" s="89">
        <v>45049</v>
      </c>
      <c r="B29" s="91" t="s">
        <v>11</v>
      </c>
      <c r="C29" s="76" t="s">
        <v>550</v>
      </c>
      <c r="D29" s="116" t="s">
        <v>29</v>
      </c>
      <c r="E29" s="31"/>
      <c r="F29" s="2">
        <v>500000</v>
      </c>
      <c r="G29" s="30"/>
      <c r="I29" s="13"/>
      <c r="J29" s="13"/>
    </row>
    <row r="30" spans="1:10" s="2" customFormat="1" ht="12.75" customHeight="1" x14ac:dyDescent="0.2">
      <c r="A30" s="89">
        <v>45049</v>
      </c>
      <c r="B30" s="91" t="s">
        <v>11</v>
      </c>
      <c r="C30" s="76" t="s">
        <v>918</v>
      </c>
      <c r="D30" s="116" t="s">
        <v>29</v>
      </c>
      <c r="E30" s="31"/>
      <c r="F30" s="2">
        <v>76700</v>
      </c>
      <c r="G30" s="30"/>
      <c r="I30" s="13"/>
      <c r="J30" s="13"/>
    </row>
    <row r="31" spans="1:10" s="2" customFormat="1" ht="12.75" customHeight="1" x14ac:dyDescent="0.2">
      <c r="A31" s="89">
        <v>45049</v>
      </c>
      <c r="B31" s="91" t="s">
        <v>11</v>
      </c>
      <c r="C31" s="76" t="s">
        <v>919</v>
      </c>
      <c r="D31" s="116" t="s">
        <v>29</v>
      </c>
      <c r="E31" s="31"/>
      <c r="F31" s="2">
        <v>147736</v>
      </c>
      <c r="G31" s="30"/>
      <c r="I31" s="13"/>
      <c r="J31" s="13"/>
    </row>
    <row r="32" spans="1:10" s="2" customFormat="1" ht="12.75" customHeight="1" x14ac:dyDescent="0.2">
      <c r="A32" s="89">
        <v>45049</v>
      </c>
      <c r="B32" s="91" t="s">
        <v>11</v>
      </c>
      <c r="C32" s="76" t="s">
        <v>167</v>
      </c>
      <c r="D32" s="116" t="s">
        <v>29</v>
      </c>
      <c r="E32" s="31"/>
      <c r="F32" s="2">
        <v>59895</v>
      </c>
      <c r="G32" s="30"/>
      <c r="I32" s="13"/>
      <c r="J32" s="13"/>
    </row>
    <row r="33" spans="1:14" s="2" customFormat="1" ht="12.75" customHeight="1" x14ac:dyDescent="0.2">
      <c r="A33" s="89">
        <v>45049</v>
      </c>
      <c r="B33" s="91" t="s">
        <v>11</v>
      </c>
      <c r="C33" s="76" t="s">
        <v>170</v>
      </c>
      <c r="D33" s="116" t="s">
        <v>29</v>
      </c>
      <c r="E33" s="31"/>
      <c r="F33" s="2">
        <v>10000</v>
      </c>
      <c r="G33" s="30"/>
      <c r="I33" s="13"/>
      <c r="J33" s="13"/>
    </row>
    <row r="34" spans="1:14" s="2" customFormat="1" ht="12.75" customHeight="1" x14ac:dyDescent="0.2">
      <c r="A34" s="89">
        <v>45049</v>
      </c>
      <c r="B34" s="91" t="s">
        <v>11</v>
      </c>
      <c r="C34" s="76" t="s">
        <v>169</v>
      </c>
      <c r="D34" s="116" t="s">
        <v>29</v>
      </c>
      <c r="E34" s="31"/>
      <c r="F34" s="2">
        <v>8500</v>
      </c>
      <c r="G34" s="30"/>
      <c r="I34" s="13"/>
      <c r="J34" s="13"/>
    </row>
    <row r="35" spans="1:14" s="2" customFormat="1" ht="12.75" customHeight="1" x14ac:dyDescent="0.2">
      <c r="A35" s="89">
        <v>45049</v>
      </c>
      <c r="B35" s="91" t="s">
        <v>11</v>
      </c>
      <c r="C35" s="76" t="s">
        <v>168</v>
      </c>
      <c r="D35" s="116" t="s">
        <v>29</v>
      </c>
      <c r="E35" s="31"/>
      <c r="F35" s="2">
        <v>3600</v>
      </c>
      <c r="G35" s="30"/>
      <c r="I35" s="13"/>
      <c r="J35" s="13"/>
    </row>
    <row r="36" spans="1:14" s="2" customFormat="1" ht="12.75" customHeight="1" x14ac:dyDescent="0.2">
      <c r="A36" s="89">
        <v>45049</v>
      </c>
      <c r="B36" s="91" t="s">
        <v>11</v>
      </c>
      <c r="C36" s="76" t="s">
        <v>672</v>
      </c>
      <c r="D36" s="116" t="s">
        <v>29</v>
      </c>
      <c r="E36" s="31"/>
      <c r="F36" s="2">
        <v>5874</v>
      </c>
      <c r="G36" s="30"/>
      <c r="I36" s="13"/>
      <c r="J36" s="13"/>
    </row>
    <row r="37" spans="1:14" s="2" customFormat="1" ht="12.75" customHeight="1" x14ac:dyDescent="0.2">
      <c r="A37" s="89">
        <v>45049</v>
      </c>
      <c r="B37" s="91" t="s">
        <v>11</v>
      </c>
      <c r="C37" s="76" t="s">
        <v>345</v>
      </c>
      <c r="D37" s="116" t="s">
        <v>29</v>
      </c>
      <c r="E37" s="31"/>
      <c r="F37" s="2">
        <v>16755</v>
      </c>
      <c r="G37" s="30"/>
      <c r="I37" s="13"/>
      <c r="J37" s="13"/>
    </row>
    <row r="38" spans="1:14" s="2" customFormat="1" ht="12.75" customHeight="1" x14ac:dyDescent="0.2">
      <c r="A38" s="89">
        <v>45049</v>
      </c>
      <c r="B38" s="91" t="s">
        <v>11</v>
      </c>
      <c r="C38" s="76" t="s">
        <v>34</v>
      </c>
      <c r="D38" s="116" t="s">
        <v>29</v>
      </c>
      <c r="E38" s="31"/>
      <c r="F38" s="2">
        <v>25000</v>
      </c>
      <c r="G38" s="30"/>
      <c r="I38" s="13"/>
      <c r="J38" s="13"/>
    </row>
    <row r="39" spans="1:14" s="2" customFormat="1" ht="12.75" customHeight="1" x14ac:dyDescent="0.2">
      <c r="A39" s="89">
        <v>45049</v>
      </c>
      <c r="B39" s="91" t="s">
        <v>11</v>
      </c>
      <c r="C39" s="76" t="s">
        <v>57</v>
      </c>
      <c r="D39" s="116" t="s">
        <v>29</v>
      </c>
      <c r="E39" s="31"/>
      <c r="F39" s="2">
        <v>1500000</v>
      </c>
      <c r="G39" s="30"/>
      <c r="I39" s="13"/>
      <c r="J39" s="13"/>
    </row>
    <row r="40" spans="1:14" s="2" customFormat="1" ht="12.75" customHeight="1" x14ac:dyDescent="0.2">
      <c r="A40" s="89">
        <v>45049</v>
      </c>
      <c r="B40" s="91" t="s">
        <v>11</v>
      </c>
      <c r="C40" s="76" t="s">
        <v>256</v>
      </c>
      <c r="D40" s="116" t="s">
        <v>29</v>
      </c>
      <c r="E40" s="31"/>
      <c r="F40" s="2">
        <v>367407</v>
      </c>
      <c r="G40" s="30"/>
      <c r="I40" s="13"/>
      <c r="J40" s="99" t="s">
        <v>601</v>
      </c>
      <c r="K40" s="99" t="s">
        <v>779</v>
      </c>
    </row>
    <row r="41" spans="1:14" s="2" customFormat="1" ht="12.75" customHeight="1" x14ac:dyDescent="0.25">
      <c r="A41" s="32"/>
      <c r="B41" s="33"/>
      <c r="C41" s="14"/>
      <c r="D41" s="34"/>
      <c r="E41" s="16">
        <f>SUM(E11:E40)</f>
        <v>6023340.6999999993</v>
      </c>
      <c r="F41" s="16">
        <f>SUM(F11:F40)</f>
        <v>354913690.75</v>
      </c>
      <c r="G41" s="30"/>
      <c r="H41" s="1"/>
      <c r="I41" s="39">
        <v>351419109.05000001</v>
      </c>
      <c r="J41" s="2">
        <v>2132978</v>
      </c>
      <c r="K41" s="92">
        <f>E42-I41</f>
        <v>-2528759</v>
      </c>
      <c r="L41" s="41"/>
      <c r="M41" s="42">
        <f>K41+J41</f>
        <v>-395781</v>
      </c>
      <c r="N41" s="1"/>
    </row>
    <row r="42" spans="1:14" s="2" customFormat="1" x14ac:dyDescent="0.2">
      <c r="A42" s="36"/>
      <c r="B42" s="28" t="s">
        <v>11</v>
      </c>
      <c r="C42" s="19" t="s">
        <v>65</v>
      </c>
      <c r="D42" s="37"/>
      <c r="E42" s="38">
        <f>F41-E41</f>
        <v>348890350.05000001</v>
      </c>
      <c r="F42" s="22"/>
      <c r="G42" s="1"/>
      <c r="H42" s="1"/>
      <c r="J42" s="1"/>
      <c r="K42" s="1"/>
      <c r="L42" s="1"/>
      <c r="M42" s="1"/>
      <c r="N42" s="1"/>
    </row>
    <row r="43" spans="1:14" x14ac:dyDescent="0.2">
      <c r="A43" s="36"/>
      <c r="B43" s="28" t="s">
        <v>66</v>
      </c>
      <c r="C43" s="43" t="s">
        <v>67</v>
      </c>
      <c r="D43" s="43"/>
      <c r="E43" s="12">
        <v>0</v>
      </c>
      <c r="F43" s="22"/>
      <c r="H43" s="40"/>
      <c r="I43" s="45">
        <v>146.22999999999999</v>
      </c>
      <c r="J43" s="46"/>
      <c r="K43" s="46"/>
      <c r="L43" s="13"/>
      <c r="M43" s="2"/>
      <c r="N43" s="2"/>
    </row>
    <row r="44" spans="1:14" ht="15" x14ac:dyDescent="0.25">
      <c r="A44" s="36"/>
      <c r="B44" s="28"/>
      <c r="C44" s="44" t="s">
        <v>68</v>
      </c>
      <c r="D44" s="43"/>
      <c r="E44" s="7">
        <f>E42+E43</f>
        <v>348890350.05000001</v>
      </c>
      <c r="F44" s="22"/>
      <c r="H44" s="103" t="s">
        <v>69</v>
      </c>
      <c r="I44" s="45">
        <v>-42.1</v>
      </c>
      <c r="J44" s="46"/>
      <c r="K44" s="46"/>
      <c r="L44" s="2"/>
      <c r="M44" s="2"/>
      <c r="N44" s="2"/>
    </row>
    <row r="45" spans="1:14" s="2" customFormat="1" x14ac:dyDescent="0.2">
      <c r="A45" s="24"/>
      <c r="B45" s="1"/>
      <c r="C45" s="14"/>
      <c r="D45" s="25"/>
      <c r="E45" s="1"/>
      <c r="H45" s="35" t="s">
        <v>70</v>
      </c>
      <c r="I45" s="45">
        <v>0</v>
      </c>
      <c r="J45" s="46">
        <f>+I46-D48</f>
        <v>0</v>
      </c>
      <c r="M45" s="2">
        <v>19.57</v>
      </c>
      <c r="N45" s="2" t="s">
        <v>535</v>
      </c>
    </row>
    <row r="46" spans="1:14" s="2" customFormat="1" x14ac:dyDescent="0.2">
      <c r="A46" s="24"/>
      <c r="B46" s="1"/>
      <c r="C46" s="56"/>
      <c r="D46" s="56"/>
      <c r="E46" s="104"/>
      <c r="G46" s="1"/>
      <c r="I46" s="49">
        <f>SUM(I43:I45)</f>
        <v>104.13</v>
      </c>
      <c r="J46" s="46"/>
      <c r="K46" s="46"/>
    </row>
    <row r="47" spans="1:14" s="2" customFormat="1" x14ac:dyDescent="0.2">
      <c r="A47" s="24"/>
      <c r="B47" s="1"/>
      <c r="C47" s="78" t="s">
        <v>575</v>
      </c>
      <c r="D47" s="48" t="s">
        <v>576</v>
      </c>
      <c r="E47" s="104"/>
      <c r="G47" s="1"/>
    </row>
    <row r="48" spans="1:14" s="2" customFormat="1" x14ac:dyDescent="0.2">
      <c r="A48" s="24"/>
      <c r="B48" s="1"/>
      <c r="C48" s="47" t="s">
        <v>570</v>
      </c>
      <c r="D48" s="111">
        <v>104.13</v>
      </c>
      <c r="E48" s="104"/>
      <c r="G48" s="1"/>
      <c r="H48" s="110" t="s">
        <v>581</v>
      </c>
    </row>
    <row r="49" spans="1:13" s="2" customFormat="1" x14ac:dyDescent="0.2">
      <c r="A49" s="24"/>
      <c r="B49" s="1"/>
      <c r="C49" s="47" t="s">
        <v>571</v>
      </c>
      <c r="D49" s="111">
        <v>156.93</v>
      </c>
      <c r="E49" s="104"/>
      <c r="G49" s="1"/>
      <c r="H49" s="110" t="s">
        <v>580</v>
      </c>
    </row>
    <row r="50" spans="1:13" s="2" customFormat="1" x14ac:dyDescent="0.2">
      <c r="A50" s="24"/>
      <c r="B50" s="1"/>
      <c r="C50" s="47" t="s">
        <v>572</v>
      </c>
      <c r="D50" s="111">
        <v>0</v>
      </c>
      <c r="E50" s="104"/>
      <c r="G50" s="1"/>
      <c r="H50" s="90" t="s">
        <v>587</v>
      </c>
    </row>
    <row r="51" spans="1:13" s="2" customFormat="1" x14ac:dyDescent="0.2">
      <c r="A51" s="24"/>
      <c r="B51" s="1"/>
      <c r="C51" s="108" t="s">
        <v>578</v>
      </c>
      <c r="D51" s="48">
        <f>SUM(D48:D50)</f>
        <v>261.06</v>
      </c>
      <c r="E51" s="104"/>
      <c r="G51" s="1"/>
    </row>
    <row r="52" spans="1:13" s="2" customFormat="1" x14ac:dyDescent="0.2">
      <c r="A52" s="24"/>
      <c r="B52" s="1"/>
      <c r="C52" s="47"/>
      <c r="D52" s="107"/>
      <c r="E52" s="104"/>
      <c r="G52" s="1"/>
    </row>
    <row r="53" spans="1:13" s="2" customFormat="1" x14ac:dyDescent="0.2">
      <c r="A53" s="24"/>
      <c r="B53" s="1"/>
      <c r="C53" s="47" t="s">
        <v>573</v>
      </c>
      <c r="D53" s="111">
        <v>136.5</v>
      </c>
      <c r="E53" s="104"/>
      <c r="G53" s="1"/>
      <c r="H53" s="110" t="s">
        <v>581</v>
      </c>
    </row>
    <row r="54" spans="1:13" s="2" customFormat="1" x14ac:dyDescent="0.2">
      <c r="A54" s="24"/>
      <c r="B54" s="1"/>
      <c r="C54" s="47" t="s">
        <v>574</v>
      </c>
      <c r="D54" s="111">
        <v>13.7</v>
      </c>
      <c r="E54" s="104"/>
      <c r="G54" s="1"/>
      <c r="H54" s="110" t="s">
        <v>581</v>
      </c>
      <c r="J54" s="114" t="s">
        <v>713</v>
      </c>
    </row>
    <row r="55" spans="1:13" s="2" customFormat="1" x14ac:dyDescent="0.2">
      <c r="A55" s="24"/>
      <c r="B55" s="1"/>
      <c r="C55" s="78" t="s">
        <v>579</v>
      </c>
      <c r="D55" s="109">
        <f>D53+D54</f>
        <v>150.19999999999999</v>
      </c>
      <c r="E55" s="104"/>
      <c r="G55" s="1"/>
      <c r="I55" s="113"/>
      <c r="J55" s="113" t="s">
        <v>709</v>
      </c>
      <c r="K55" s="113" t="s">
        <v>710</v>
      </c>
      <c r="L55" s="113" t="s">
        <v>711</v>
      </c>
      <c r="M55" s="113" t="s">
        <v>712</v>
      </c>
    </row>
    <row r="56" spans="1:13" s="2" customFormat="1" x14ac:dyDescent="0.2">
      <c r="A56" s="24"/>
      <c r="B56" s="1"/>
      <c r="C56" s="105"/>
      <c r="D56" s="106"/>
      <c r="E56" s="104"/>
      <c r="G56" s="1"/>
      <c r="I56" s="113" t="s">
        <v>706</v>
      </c>
      <c r="J56" s="115"/>
      <c r="K56" s="115">
        <v>968.99</v>
      </c>
      <c r="L56" s="115">
        <v>968.99</v>
      </c>
      <c r="M56" s="113">
        <f>+J56+L56-K56</f>
        <v>0</v>
      </c>
    </row>
    <row r="57" spans="1:13" s="2" customFormat="1" x14ac:dyDescent="0.2">
      <c r="A57" s="24"/>
      <c r="B57" s="1"/>
      <c r="C57" s="78" t="s">
        <v>577</v>
      </c>
      <c r="D57" s="109">
        <f>D48+D55</f>
        <v>254.32999999999998</v>
      </c>
      <c r="E57" s="104"/>
      <c r="G57" s="1"/>
      <c r="I57" s="113" t="s">
        <v>707</v>
      </c>
      <c r="J57" s="115">
        <v>183.1</v>
      </c>
      <c r="K57" s="115">
        <v>1674.32</v>
      </c>
      <c r="L57" s="115">
        <v>2310.0300000000002</v>
      </c>
      <c r="M57" s="113">
        <f>+J57+L57-K57</f>
        <v>818.81000000000017</v>
      </c>
    </row>
    <row r="58" spans="1:13" s="2" customFormat="1" x14ac:dyDescent="0.2">
      <c r="A58" s="24"/>
      <c r="B58" s="1"/>
      <c r="C58" s="56"/>
      <c r="D58" s="56"/>
      <c r="E58" s="104"/>
      <c r="G58" s="1"/>
      <c r="I58" s="113" t="s">
        <v>708</v>
      </c>
      <c r="J58" s="115">
        <v>1371.02</v>
      </c>
      <c r="K58" s="115">
        <v>10649.37</v>
      </c>
      <c r="L58" s="115">
        <v>11037.95</v>
      </c>
      <c r="M58" s="113">
        <f>+J58+L58-K58</f>
        <v>1759.6000000000004</v>
      </c>
    </row>
    <row r="59" spans="1:13" s="2" customFormat="1" ht="38.25" x14ac:dyDescent="0.2">
      <c r="A59" s="24"/>
      <c r="B59" s="1"/>
      <c r="C59" s="79" t="str">
        <f>"Particulars ( 01-04-2021 to "&amp;TEXT(A5,"dd-mm-yyyy")&amp;" )"</f>
        <v>Particulars ( 01-04-2021 to 03-05-2023 )</v>
      </c>
      <c r="D59" s="80" t="s">
        <v>73</v>
      </c>
      <c r="E59" s="80" t="s">
        <v>74</v>
      </c>
      <c r="F59" s="81" t="s">
        <v>75</v>
      </c>
      <c r="G59" s="80" t="s">
        <v>76</v>
      </c>
      <c r="J59" s="118">
        <f>SUM(J56:J58)</f>
        <v>1554.12</v>
      </c>
      <c r="K59" s="118">
        <f>SUM(K56:K58)</f>
        <v>13292.68</v>
      </c>
      <c r="L59" s="118">
        <f>SUM(L56:L58)</f>
        <v>14316.970000000001</v>
      </c>
      <c r="M59" s="118">
        <f>SUM(M56:M58)</f>
        <v>2578.4100000000008</v>
      </c>
    </row>
    <row r="60" spans="1:13" s="2" customFormat="1" x14ac:dyDescent="0.2">
      <c r="A60" s="24"/>
      <c r="B60" s="1"/>
      <c r="C60" s="50" t="s">
        <v>444</v>
      </c>
      <c r="D60" s="55">
        <f>+L56+L57+J57</f>
        <v>3462.1200000000003</v>
      </c>
      <c r="E60" s="55">
        <f>+K56+K57</f>
        <v>2643.31</v>
      </c>
      <c r="F60" s="55">
        <f>+D60-E60</f>
        <v>818.8100000000004</v>
      </c>
      <c r="G60" s="55">
        <f>1500-F60</f>
        <v>681.1899999999996</v>
      </c>
      <c r="H60" s="2" t="s">
        <v>396</v>
      </c>
    </row>
    <row r="61" spans="1:13" s="2" customFormat="1" x14ac:dyDescent="0.2">
      <c r="A61" s="24"/>
      <c r="B61" s="1"/>
      <c r="C61" s="50" t="s">
        <v>71</v>
      </c>
      <c r="D61" s="55">
        <f>+J58+L58</f>
        <v>12408.970000000001</v>
      </c>
      <c r="E61" s="55">
        <f>+K58</f>
        <v>10649.37</v>
      </c>
      <c r="F61" s="55">
        <f>+D61-E61</f>
        <v>1759.6000000000004</v>
      </c>
      <c r="G61" s="55">
        <f>1500+700-F61</f>
        <v>440.39999999999964</v>
      </c>
      <c r="H61" s="2" t="s">
        <v>396</v>
      </c>
    </row>
    <row r="62" spans="1:13" s="2" customFormat="1" x14ac:dyDescent="0.2">
      <c r="A62" s="24"/>
      <c r="B62" s="1"/>
      <c r="C62" s="14"/>
      <c r="D62" s="56"/>
      <c r="E62" s="13"/>
      <c r="G62" s="1"/>
    </row>
    <row r="63" spans="1:13" s="2" customFormat="1" x14ac:dyDescent="0.2">
      <c r="A63" s="8"/>
      <c r="B63" s="93"/>
      <c r="C63" s="76"/>
      <c r="D63" s="56"/>
      <c r="G63" s="1"/>
      <c r="I63" s="1"/>
      <c r="J63" s="1"/>
      <c r="K63" s="1"/>
      <c r="L63" s="1"/>
      <c r="M63" s="1"/>
    </row>
    <row r="64" spans="1:13" s="2" customFormat="1" x14ac:dyDescent="0.2">
      <c r="A64" s="24"/>
      <c r="B64" s="1"/>
      <c r="C64" s="218" t="s">
        <v>77</v>
      </c>
      <c r="D64" s="219"/>
      <c r="E64" s="219"/>
      <c r="F64" s="220"/>
      <c r="G64" s="54"/>
      <c r="I64" s="1"/>
      <c r="J64" s="1"/>
      <c r="K64" s="1"/>
      <c r="L64" s="1"/>
      <c r="M64" s="1"/>
    </row>
    <row r="65" spans="1:13" s="2" customFormat="1" x14ac:dyDescent="0.2">
      <c r="A65" s="24"/>
      <c r="B65" s="1"/>
      <c r="C65" s="50"/>
      <c r="D65" s="57" t="s">
        <v>78</v>
      </c>
      <c r="E65" s="58" t="s">
        <v>79</v>
      </c>
      <c r="F65" s="57" t="s">
        <v>72</v>
      </c>
      <c r="G65" s="54"/>
      <c r="I65" s="1"/>
      <c r="J65" s="1"/>
      <c r="K65" s="1"/>
      <c r="L65" s="1"/>
      <c r="M65" s="1"/>
    </row>
    <row r="66" spans="1:13" s="2" customFormat="1" x14ac:dyDescent="0.2">
      <c r="A66" s="24"/>
      <c r="B66" s="1"/>
      <c r="C66" s="59" t="str">
        <f>"01-05-2023 to "&amp;TEXT(A5-2,"dd-mm-yyyy")</f>
        <v>01-05-2023 to 01-05-2023</v>
      </c>
      <c r="D66" s="60">
        <v>150.62</v>
      </c>
      <c r="E66" s="60">
        <v>11.26</v>
      </c>
      <c r="F66" s="61">
        <f>SUM(D66:E66)</f>
        <v>161.88</v>
      </c>
      <c r="G66" s="54"/>
      <c r="I66" s="1"/>
      <c r="J66" s="1"/>
      <c r="K66" s="1"/>
      <c r="L66" s="1"/>
      <c r="M66" s="1"/>
    </row>
    <row r="67" spans="1:13" s="2" customFormat="1" x14ac:dyDescent="0.2">
      <c r="A67" s="24"/>
      <c r="B67" s="1"/>
      <c r="C67" s="62" t="str">
        <f>TEXT(A5-1,"dd-mm-yyyy")</f>
        <v>02-05-2023</v>
      </c>
      <c r="D67" s="60">
        <v>118.71</v>
      </c>
      <c r="E67" s="60">
        <v>14.43</v>
      </c>
      <c r="F67" s="61">
        <f>SUM(D67:E67)</f>
        <v>133.13999999999999</v>
      </c>
      <c r="G67" s="54"/>
      <c r="I67" s="1"/>
      <c r="J67" s="1"/>
      <c r="K67" s="1"/>
      <c r="L67" s="1"/>
      <c r="M67" s="1"/>
    </row>
    <row r="68" spans="1:13" ht="13.5" thickBot="1" x14ac:dyDescent="0.25">
      <c r="C68" s="63" t="str">
        <f>"01-05-2023 to "&amp;TEXT(A5-1,"dd-mm-yyyy")</f>
        <v>01-05-2023 to 02-05-2023</v>
      </c>
      <c r="D68" s="64">
        <f>SUM(D66:D67)</f>
        <v>269.33</v>
      </c>
      <c r="E68" s="64">
        <f>SUM(E66:E67)</f>
        <v>25.689999999999998</v>
      </c>
      <c r="F68" s="64">
        <f>SUM(F66:F67)</f>
        <v>295.02</v>
      </c>
      <c r="G68" s="54"/>
    </row>
    <row r="69" spans="1:13" s="2" customFormat="1" ht="13.5" thickTop="1" x14ac:dyDescent="0.2">
      <c r="A69" s="24"/>
      <c r="B69" s="1"/>
      <c r="C69" s="62"/>
      <c r="D69" s="65"/>
      <c r="E69" s="66"/>
      <c r="F69" s="67"/>
      <c r="G69" s="54"/>
      <c r="H69" s="53"/>
    </row>
    <row r="70" spans="1:13" x14ac:dyDescent="0.2">
      <c r="C70" s="62" t="str">
        <f>"01-04-2023 to " &amp;C67</f>
        <v>01-04-2023 to 02-05-2023</v>
      </c>
      <c r="D70" s="68">
        <f>+D68+4320.26</f>
        <v>4589.59</v>
      </c>
      <c r="E70" s="68">
        <f>+E68+536.17</f>
        <v>561.8599999999999</v>
      </c>
      <c r="F70" s="68">
        <f>+F68+4856.44</f>
        <v>5151.4599999999991</v>
      </c>
      <c r="G70" s="54"/>
      <c r="H70" s="53" t="s">
        <v>396</v>
      </c>
    </row>
    <row r="71" spans="1:13" x14ac:dyDescent="0.2">
      <c r="C71" s="52"/>
      <c r="D71" s="85"/>
      <c r="E71" s="53"/>
      <c r="F71" s="53"/>
      <c r="G71" s="54"/>
      <c r="H71" s="53" t="s">
        <v>396</v>
      </c>
      <c r="J71" s="42"/>
    </row>
    <row r="72" spans="1:13" x14ac:dyDescent="0.2">
      <c r="C72" s="52"/>
      <c r="D72" s="85"/>
      <c r="E72" s="53"/>
      <c r="F72" s="53"/>
      <c r="G72" s="54"/>
      <c r="H72" s="53"/>
      <c r="I72" s="101"/>
    </row>
    <row r="73" spans="1:13" x14ac:dyDescent="0.2">
      <c r="C73" s="52"/>
      <c r="D73" s="85"/>
      <c r="E73" s="53"/>
      <c r="F73" s="53"/>
      <c r="G73" s="54"/>
      <c r="H73" s="53"/>
    </row>
    <row r="74" spans="1:13" x14ac:dyDescent="0.2">
      <c r="C74" s="52"/>
      <c r="D74" s="85"/>
      <c r="E74" s="53"/>
      <c r="F74" s="53"/>
      <c r="G74" s="54"/>
      <c r="H74" s="53"/>
    </row>
    <row r="75" spans="1:13" x14ac:dyDescent="0.2">
      <c r="H75" s="53"/>
    </row>
  </sheetData>
  <mergeCells count="4">
    <mergeCell ref="A1:G1"/>
    <mergeCell ref="A3:F3"/>
    <mergeCell ref="A9:F9"/>
    <mergeCell ref="C64:F64"/>
  </mergeCells>
  <conditionalFormatting sqref="G60:G61">
    <cfRule type="cellIs" dxfId="609" priority="1" operator="lessThan">
      <formula>0</formula>
    </cfRule>
  </conditionalFormatting>
  <conditionalFormatting sqref="C11">
    <cfRule type="duplicateValues" dxfId="608" priority="2"/>
  </conditionalFormatting>
  <conditionalFormatting sqref="C12:C40">
    <cfRule type="duplicateValues" dxfId="607" priority="455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316">
    <pageSetUpPr fitToPage="1"/>
  </sheetPr>
  <dimension ref="A1:N109"/>
  <sheetViews>
    <sheetView topLeftCell="A27" zoomScaleNormal="100" workbookViewId="0">
      <selection activeCell="C46" sqref="C46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49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920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2.75" customHeight="1" x14ac:dyDescent="0.4">
      <c r="A5" s="89">
        <v>45050</v>
      </c>
      <c r="B5" s="9" t="s">
        <v>6</v>
      </c>
      <c r="C5" s="10" t="s">
        <v>7</v>
      </c>
      <c r="D5" s="11"/>
      <c r="E5" s="12">
        <v>706509.70000000019</v>
      </c>
      <c r="F5" s="12"/>
      <c r="G5" s="1"/>
      <c r="H5" s="112"/>
      <c r="I5" s="112"/>
    </row>
    <row r="6" spans="1:10" s="2" customFormat="1" ht="12.75" customHeight="1" x14ac:dyDescent="0.4">
      <c r="A6" s="89">
        <v>45050</v>
      </c>
      <c r="B6" s="9" t="s">
        <v>6</v>
      </c>
      <c r="C6" s="10" t="s">
        <v>400</v>
      </c>
      <c r="D6" s="117" t="s">
        <v>13</v>
      </c>
      <c r="E6" s="12">
        <v>1800000</v>
      </c>
      <c r="F6" s="12"/>
      <c r="G6" s="1"/>
      <c r="H6" s="112"/>
      <c r="I6" s="112"/>
    </row>
    <row r="7" spans="1:10" s="2" customFormat="1" ht="12.75" customHeight="1" x14ac:dyDescent="0.4">
      <c r="D7" s="15" t="s">
        <v>8</v>
      </c>
      <c r="E7" s="16">
        <f>SUM(E5:E6)</f>
        <v>2506509.7000000002</v>
      </c>
      <c r="F7" s="16">
        <f>SUM(F5:F5)</f>
        <v>0</v>
      </c>
      <c r="G7" s="1"/>
      <c r="H7" s="112"/>
      <c r="I7" s="112"/>
    </row>
    <row r="8" spans="1:10" s="2" customFormat="1" ht="12.75" customHeight="1" x14ac:dyDescent="0.4">
      <c r="A8" s="17"/>
      <c r="B8" s="18"/>
      <c r="C8" s="19" t="s">
        <v>9</v>
      </c>
      <c r="D8" s="20"/>
      <c r="E8" s="21">
        <f>E7-F7</f>
        <v>2506509.7000000002</v>
      </c>
      <c r="F8" s="22"/>
      <c r="G8" s="23"/>
      <c r="H8" s="112"/>
      <c r="I8" s="112"/>
      <c r="J8" s="13"/>
    </row>
    <row r="9" spans="1:10" s="2" customFormat="1" ht="12.75" customHeight="1" x14ac:dyDescent="0.4">
      <c r="A9" s="24"/>
      <c r="B9" s="1"/>
      <c r="C9" s="14"/>
      <c r="D9" s="25"/>
      <c r="G9" s="23"/>
      <c r="H9" s="112"/>
      <c r="I9" s="112"/>
      <c r="J9" s="13"/>
    </row>
    <row r="10" spans="1:10" s="2" customFormat="1" ht="21.75" customHeight="1" x14ac:dyDescent="0.4">
      <c r="A10" s="214" t="s">
        <v>10</v>
      </c>
      <c r="B10" s="214"/>
      <c r="C10" s="214"/>
      <c r="D10" s="214"/>
      <c r="E10" s="214"/>
      <c r="F10" s="214"/>
      <c r="G10" s="13"/>
      <c r="H10" s="112"/>
      <c r="I10" s="112"/>
      <c r="J10" s="13"/>
    </row>
    <row r="11" spans="1:10" s="2" customFormat="1" ht="12.75" customHeight="1" x14ac:dyDescent="0.4">
      <c r="A11" s="26" t="s">
        <v>1</v>
      </c>
      <c r="B11" s="27" t="s">
        <v>2</v>
      </c>
      <c r="C11" s="5"/>
      <c r="D11" s="6" t="s">
        <v>3</v>
      </c>
      <c r="E11" s="7" t="s">
        <v>4</v>
      </c>
      <c r="F11" s="7" t="s">
        <v>5</v>
      </c>
      <c r="G11" s="23"/>
      <c r="H11" s="112"/>
      <c r="I11" s="112"/>
      <c r="J11" s="13"/>
    </row>
    <row r="12" spans="1:10" s="2" customFormat="1" ht="12.75" customHeight="1" x14ac:dyDescent="0.2">
      <c r="A12" s="89">
        <v>45050</v>
      </c>
      <c r="B12" s="91" t="s">
        <v>11</v>
      </c>
      <c r="C12" s="29" t="s">
        <v>7</v>
      </c>
      <c r="D12" s="25"/>
      <c r="E12" s="31"/>
      <c r="F12" s="2">
        <v>348890350.05000001</v>
      </c>
      <c r="G12" s="30"/>
      <c r="I12" s="13"/>
      <c r="J12" s="13"/>
    </row>
    <row r="13" spans="1:10" s="2" customFormat="1" ht="12.75" customHeight="1" x14ac:dyDescent="0.2">
      <c r="A13" s="89">
        <v>45050</v>
      </c>
      <c r="B13" s="91" t="s">
        <v>6</v>
      </c>
      <c r="C13" s="76" t="s">
        <v>866</v>
      </c>
      <c r="D13" s="116" t="s">
        <v>13</v>
      </c>
      <c r="E13" s="31">
        <v>8721628.6899999995</v>
      </c>
      <c r="G13" s="30"/>
      <c r="I13" s="13"/>
      <c r="J13" s="13"/>
    </row>
    <row r="14" spans="1:10" s="2" customFormat="1" ht="12.75" customHeight="1" x14ac:dyDescent="0.2">
      <c r="A14" s="89">
        <v>45050</v>
      </c>
      <c r="B14" s="91" t="s">
        <v>6</v>
      </c>
      <c r="C14" s="76" t="s">
        <v>921</v>
      </c>
      <c r="D14" s="116" t="s">
        <v>13</v>
      </c>
      <c r="E14" s="31">
        <v>641154.21</v>
      </c>
      <c r="G14" s="30"/>
      <c r="I14" s="13"/>
      <c r="J14" s="13"/>
    </row>
    <row r="15" spans="1:10" s="2" customFormat="1" ht="12.75" customHeight="1" x14ac:dyDescent="0.2">
      <c r="A15" s="89">
        <v>45050</v>
      </c>
      <c r="B15" s="91" t="s">
        <v>6</v>
      </c>
      <c r="C15" s="76" t="s">
        <v>922</v>
      </c>
      <c r="D15" s="116" t="s">
        <v>13</v>
      </c>
      <c r="E15" s="31">
        <v>5803935.4000000004</v>
      </c>
      <c r="G15" s="30"/>
      <c r="I15" s="13"/>
      <c r="J15" s="13"/>
    </row>
    <row r="16" spans="1:10" s="2" customFormat="1" ht="12.75" customHeight="1" x14ac:dyDescent="0.2">
      <c r="A16" s="89">
        <v>45050</v>
      </c>
      <c r="B16" s="91" t="s">
        <v>6</v>
      </c>
      <c r="C16" s="76" t="s">
        <v>332</v>
      </c>
      <c r="D16" s="116" t="s">
        <v>13</v>
      </c>
      <c r="E16" s="31">
        <v>977477</v>
      </c>
      <c r="G16" s="30"/>
      <c r="I16" s="13"/>
      <c r="J16" s="13"/>
    </row>
    <row r="17" spans="1:10" s="2" customFormat="1" ht="12.75" customHeight="1" x14ac:dyDescent="0.2">
      <c r="A17" s="89">
        <v>45050</v>
      </c>
      <c r="B17" s="91" t="s">
        <v>6</v>
      </c>
      <c r="C17" s="76" t="s">
        <v>120</v>
      </c>
      <c r="D17" s="116" t="s">
        <v>13</v>
      </c>
      <c r="E17" s="31">
        <v>1151960.1000000001</v>
      </c>
      <c r="G17" s="30"/>
      <c r="I17" s="13"/>
      <c r="J17" s="13"/>
    </row>
    <row r="18" spans="1:10" s="2" customFormat="1" ht="12.75" customHeight="1" x14ac:dyDescent="0.2">
      <c r="A18" s="89">
        <v>45050</v>
      </c>
      <c r="B18" s="91" t="s">
        <v>6</v>
      </c>
      <c r="C18" s="76" t="s">
        <v>157</v>
      </c>
      <c r="D18" s="116" t="s">
        <v>13</v>
      </c>
      <c r="E18" s="31">
        <v>141624</v>
      </c>
      <c r="G18" s="30"/>
      <c r="I18" s="13"/>
      <c r="J18" s="13"/>
    </row>
    <row r="19" spans="1:10" s="2" customFormat="1" ht="12.75" customHeight="1" x14ac:dyDescent="0.2">
      <c r="A19" s="89">
        <v>45050</v>
      </c>
      <c r="B19" s="91" t="s">
        <v>6</v>
      </c>
      <c r="C19" s="76" t="s">
        <v>465</v>
      </c>
      <c r="D19" s="116" t="s">
        <v>13</v>
      </c>
      <c r="E19" s="31">
        <v>2667524</v>
      </c>
      <c r="G19" s="30"/>
      <c r="I19" s="13"/>
      <c r="J19" s="13"/>
    </row>
    <row r="20" spans="1:10" s="2" customFormat="1" ht="12.75" customHeight="1" x14ac:dyDescent="0.2">
      <c r="A20" s="89">
        <v>45050</v>
      </c>
      <c r="B20" s="91" t="s">
        <v>6</v>
      </c>
      <c r="C20" s="76" t="s">
        <v>145</v>
      </c>
      <c r="D20" s="116" t="s">
        <v>13</v>
      </c>
      <c r="E20" s="31">
        <v>1338568</v>
      </c>
      <c r="G20" s="30"/>
      <c r="I20" s="13"/>
      <c r="J20" s="13"/>
    </row>
    <row r="21" spans="1:10" s="2" customFormat="1" ht="12.75" customHeight="1" x14ac:dyDescent="0.2">
      <c r="A21" s="89">
        <v>45050</v>
      </c>
      <c r="B21" s="91" t="s">
        <v>6</v>
      </c>
      <c r="C21" s="76" t="s">
        <v>200</v>
      </c>
      <c r="D21" s="116" t="s">
        <v>13</v>
      </c>
      <c r="E21" s="31">
        <v>37554</v>
      </c>
      <c r="G21" s="30"/>
      <c r="I21" s="13"/>
      <c r="J21" s="13"/>
    </row>
    <row r="22" spans="1:10" s="2" customFormat="1" ht="12.75" customHeight="1" x14ac:dyDescent="0.2">
      <c r="A22" s="89">
        <v>45050</v>
      </c>
      <c r="B22" s="91" t="s">
        <v>6</v>
      </c>
      <c r="C22" s="76" t="s">
        <v>761</v>
      </c>
      <c r="D22" s="116" t="s">
        <v>13</v>
      </c>
      <c r="E22" s="31">
        <v>602739</v>
      </c>
      <c r="G22" s="30"/>
      <c r="I22" s="13"/>
      <c r="J22" s="13"/>
    </row>
    <row r="23" spans="1:10" s="2" customFormat="1" ht="12.75" customHeight="1" x14ac:dyDescent="0.2">
      <c r="A23" s="89">
        <v>45050</v>
      </c>
      <c r="B23" s="91" t="s">
        <v>6</v>
      </c>
      <c r="C23" s="76" t="s">
        <v>752</v>
      </c>
      <c r="D23" s="116" t="s">
        <v>13</v>
      </c>
      <c r="E23" s="31">
        <v>422899</v>
      </c>
      <c r="G23" s="30"/>
      <c r="I23" s="13"/>
      <c r="J23" s="13"/>
    </row>
    <row r="24" spans="1:10" s="2" customFormat="1" ht="12.75" customHeight="1" x14ac:dyDescent="0.2">
      <c r="A24" s="89">
        <v>45050</v>
      </c>
      <c r="B24" s="91" t="s">
        <v>6</v>
      </c>
      <c r="C24" s="76" t="s">
        <v>149</v>
      </c>
      <c r="D24" s="116" t="s">
        <v>13</v>
      </c>
      <c r="E24" s="31">
        <v>23799</v>
      </c>
      <c r="G24" s="30"/>
      <c r="I24" s="13"/>
      <c r="J24" s="13"/>
    </row>
    <row r="25" spans="1:10" s="2" customFormat="1" ht="12.75" customHeight="1" x14ac:dyDescent="0.2">
      <c r="A25" s="89">
        <v>45050</v>
      </c>
      <c r="B25" s="91" t="s">
        <v>6</v>
      </c>
      <c r="C25" s="76" t="s">
        <v>317</v>
      </c>
      <c r="D25" s="116" t="s">
        <v>13</v>
      </c>
      <c r="E25" s="31">
        <v>484759</v>
      </c>
      <c r="G25" s="30"/>
      <c r="I25" s="13"/>
      <c r="J25" s="13"/>
    </row>
    <row r="26" spans="1:10" s="2" customFormat="1" ht="12.75" customHeight="1" x14ac:dyDescent="0.2">
      <c r="A26" s="89">
        <v>45050</v>
      </c>
      <c r="B26" s="91" t="s">
        <v>6</v>
      </c>
      <c r="C26" s="76" t="s">
        <v>583</v>
      </c>
      <c r="D26" s="116" t="s">
        <v>13</v>
      </c>
      <c r="E26" s="31">
        <v>274772</v>
      </c>
      <c r="G26" s="30"/>
      <c r="I26" s="13"/>
      <c r="J26" s="13"/>
    </row>
    <row r="27" spans="1:10" s="2" customFormat="1" ht="12.75" customHeight="1" x14ac:dyDescent="0.2">
      <c r="A27" s="89">
        <v>45050</v>
      </c>
      <c r="B27" s="91" t="s">
        <v>6</v>
      </c>
      <c r="C27" s="76" t="s">
        <v>526</v>
      </c>
      <c r="D27" s="116" t="s">
        <v>13</v>
      </c>
      <c r="E27" s="31">
        <v>2744384.75</v>
      </c>
      <c r="G27" s="30"/>
      <c r="I27" s="13"/>
      <c r="J27" s="13"/>
    </row>
    <row r="28" spans="1:10" s="2" customFormat="1" ht="12.75" customHeight="1" x14ac:dyDescent="0.2">
      <c r="A28" s="89">
        <v>45050</v>
      </c>
      <c r="B28" s="91" t="s">
        <v>6</v>
      </c>
      <c r="C28" s="76" t="s">
        <v>27</v>
      </c>
      <c r="D28" s="116" t="s">
        <v>13</v>
      </c>
      <c r="E28" s="31">
        <v>1085484.5900000001</v>
      </c>
      <c r="G28" s="30"/>
      <c r="I28" s="13"/>
      <c r="J28" s="13"/>
    </row>
    <row r="29" spans="1:10" s="2" customFormat="1" ht="12.75" customHeight="1" x14ac:dyDescent="0.2">
      <c r="A29" s="89">
        <v>45050</v>
      </c>
      <c r="B29" s="91" t="s">
        <v>6</v>
      </c>
      <c r="C29" s="76" t="s">
        <v>311</v>
      </c>
      <c r="D29" s="116" t="s">
        <v>13</v>
      </c>
      <c r="E29" s="31">
        <v>678144</v>
      </c>
      <c r="G29" s="30"/>
      <c r="I29" s="13"/>
      <c r="J29" s="13"/>
    </row>
    <row r="30" spans="1:10" s="2" customFormat="1" ht="12.75" customHeight="1" x14ac:dyDescent="0.2">
      <c r="A30" s="89">
        <v>45050</v>
      </c>
      <c r="B30" s="91" t="s">
        <v>6</v>
      </c>
      <c r="C30" s="76" t="s">
        <v>123</v>
      </c>
      <c r="D30" s="116" t="s">
        <v>13</v>
      </c>
      <c r="E30" s="31">
        <v>44634</v>
      </c>
      <c r="G30" s="30"/>
      <c r="I30" s="13"/>
      <c r="J30" s="13"/>
    </row>
    <row r="31" spans="1:10" s="2" customFormat="1" ht="12.75" customHeight="1" x14ac:dyDescent="0.2">
      <c r="A31" s="89">
        <v>45050</v>
      </c>
      <c r="B31" s="91" t="s">
        <v>11</v>
      </c>
      <c r="C31" s="76" t="s">
        <v>64</v>
      </c>
      <c r="D31" s="116" t="s">
        <v>29</v>
      </c>
      <c r="E31" s="31"/>
      <c r="F31" s="2">
        <v>42105.48</v>
      </c>
      <c r="G31" s="30"/>
      <c r="I31" s="13"/>
      <c r="J31" s="13"/>
    </row>
    <row r="32" spans="1:10" s="2" customFormat="1" ht="12.75" customHeight="1" x14ac:dyDescent="0.2">
      <c r="A32" s="89">
        <v>45050</v>
      </c>
      <c r="B32" s="91" t="s">
        <v>11</v>
      </c>
      <c r="C32" s="76" t="s">
        <v>533</v>
      </c>
      <c r="D32" s="116" t="s">
        <v>29</v>
      </c>
      <c r="E32" s="31"/>
      <c r="F32" s="2">
        <v>2132978</v>
      </c>
      <c r="G32" s="30"/>
      <c r="I32" s="13"/>
      <c r="J32" s="13"/>
    </row>
    <row r="33" spans="1:10" s="2" customFormat="1" ht="12.75" customHeight="1" x14ac:dyDescent="0.2">
      <c r="A33" s="89">
        <v>45050</v>
      </c>
      <c r="B33" s="91" t="s">
        <v>11</v>
      </c>
      <c r="C33" s="76" t="s">
        <v>110</v>
      </c>
      <c r="D33" s="116" t="s">
        <v>29</v>
      </c>
      <c r="E33" s="31"/>
      <c r="F33" s="2">
        <v>1045397.52</v>
      </c>
      <c r="G33" s="30"/>
      <c r="I33" s="13"/>
      <c r="J33" s="13"/>
    </row>
    <row r="34" spans="1:10" s="2" customFormat="1" ht="12.75" customHeight="1" x14ac:dyDescent="0.2">
      <c r="A34" s="89">
        <v>45050</v>
      </c>
      <c r="B34" s="91" t="s">
        <v>11</v>
      </c>
      <c r="C34" s="76" t="s">
        <v>284</v>
      </c>
      <c r="D34" s="116" t="s">
        <v>29</v>
      </c>
      <c r="E34" s="31"/>
      <c r="F34" s="2">
        <v>2112099</v>
      </c>
      <c r="G34" s="30"/>
      <c r="I34" s="13"/>
      <c r="J34" s="13"/>
    </row>
    <row r="35" spans="1:10" s="2" customFormat="1" ht="12.75" customHeight="1" x14ac:dyDescent="0.2">
      <c r="A35" s="89">
        <v>45050</v>
      </c>
      <c r="B35" s="91" t="s">
        <v>11</v>
      </c>
      <c r="C35" s="76" t="s">
        <v>123</v>
      </c>
      <c r="D35" s="116" t="s">
        <v>29</v>
      </c>
      <c r="E35" s="31"/>
      <c r="F35" s="2">
        <v>2664383</v>
      </c>
      <c r="G35" s="30"/>
      <c r="I35" s="13"/>
      <c r="J35" s="13"/>
    </row>
    <row r="36" spans="1:10" s="2" customFormat="1" ht="12.75" customHeight="1" x14ac:dyDescent="0.2">
      <c r="A36" s="89">
        <v>45050</v>
      </c>
      <c r="B36" s="91" t="s">
        <v>11</v>
      </c>
      <c r="C36" s="76" t="s">
        <v>42</v>
      </c>
      <c r="D36" s="116" t="s">
        <v>29</v>
      </c>
      <c r="E36" s="31"/>
      <c r="F36" s="2">
        <v>41932</v>
      </c>
      <c r="G36" s="30"/>
      <c r="I36" s="13"/>
      <c r="J36" s="13"/>
    </row>
    <row r="37" spans="1:10" s="2" customFormat="1" ht="12.75" customHeight="1" x14ac:dyDescent="0.2">
      <c r="A37" s="89">
        <v>45050</v>
      </c>
      <c r="B37" s="91" t="s">
        <v>11</v>
      </c>
      <c r="C37" s="76" t="s">
        <v>870</v>
      </c>
      <c r="D37" s="116" t="s">
        <v>29</v>
      </c>
      <c r="E37" s="31"/>
      <c r="F37" s="2">
        <v>15570</v>
      </c>
      <c r="G37" s="30"/>
      <c r="I37" s="13"/>
      <c r="J37" s="13"/>
    </row>
    <row r="38" spans="1:10" s="2" customFormat="1" ht="12.75" customHeight="1" x14ac:dyDescent="0.2">
      <c r="A38" s="89">
        <v>45050</v>
      </c>
      <c r="B38" s="91" t="s">
        <v>11</v>
      </c>
      <c r="C38" s="76" t="s">
        <v>184</v>
      </c>
      <c r="D38" s="116" t="s">
        <v>29</v>
      </c>
      <c r="E38" s="31"/>
      <c r="F38" s="2">
        <v>53856</v>
      </c>
      <c r="G38" s="30"/>
      <c r="I38" s="13"/>
      <c r="J38" s="13"/>
    </row>
    <row r="39" spans="1:10" s="2" customFormat="1" ht="12.75" customHeight="1" x14ac:dyDescent="0.2">
      <c r="A39" s="89">
        <v>45050</v>
      </c>
      <c r="B39" s="91" t="s">
        <v>11</v>
      </c>
      <c r="C39" s="76" t="s">
        <v>185</v>
      </c>
      <c r="D39" s="116" t="s">
        <v>29</v>
      </c>
      <c r="E39" s="31"/>
      <c r="F39" s="2">
        <v>929246</v>
      </c>
      <c r="G39" s="30"/>
      <c r="I39" s="13"/>
      <c r="J39" s="13"/>
    </row>
    <row r="40" spans="1:10" s="2" customFormat="1" ht="12.75" customHeight="1" x14ac:dyDescent="0.2">
      <c r="A40" s="89">
        <v>45050</v>
      </c>
      <c r="B40" s="91" t="s">
        <v>11</v>
      </c>
      <c r="C40" s="76" t="s">
        <v>187</v>
      </c>
      <c r="D40" s="116" t="s">
        <v>29</v>
      </c>
      <c r="E40" s="31"/>
      <c r="F40" s="2">
        <v>1294689</v>
      </c>
      <c r="G40" s="30"/>
      <c r="I40" s="13"/>
      <c r="J40" s="13"/>
    </row>
    <row r="41" spans="1:10" s="2" customFormat="1" ht="12.75" customHeight="1" x14ac:dyDescent="0.2">
      <c r="A41" s="89">
        <v>45050</v>
      </c>
      <c r="B41" s="91" t="s">
        <v>11</v>
      </c>
      <c r="C41" s="76" t="s">
        <v>188</v>
      </c>
      <c r="D41" s="116" t="s">
        <v>29</v>
      </c>
      <c r="E41" s="31"/>
      <c r="F41" s="2">
        <v>235998</v>
      </c>
      <c r="G41" s="30"/>
      <c r="I41" s="13"/>
      <c r="J41" s="13"/>
    </row>
    <row r="42" spans="1:10" s="2" customFormat="1" ht="12.75" customHeight="1" x14ac:dyDescent="0.2">
      <c r="A42" s="89">
        <v>45050</v>
      </c>
      <c r="B42" s="91" t="s">
        <v>11</v>
      </c>
      <c r="C42" s="76" t="s">
        <v>630</v>
      </c>
      <c r="D42" s="116" t="s">
        <v>29</v>
      </c>
      <c r="E42" s="31"/>
      <c r="F42" s="2">
        <v>22500</v>
      </c>
      <c r="G42" s="30"/>
      <c r="I42" s="13"/>
      <c r="J42" s="13"/>
    </row>
    <row r="43" spans="1:10" s="2" customFormat="1" ht="12.75" customHeight="1" x14ac:dyDescent="0.2">
      <c r="A43" s="89">
        <v>45050</v>
      </c>
      <c r="B43" s="91" t="s">
        <v>11</v>
      </c>
      <c r="C43" s="76" t="s">
        <v>190</v>
      </c>
      <c r="D43" s="116" t="s">
        <v>29</v>
      </c>
      <c r="E43" s="31"/>
      <c r="F43" s="2">
        <v>1417797</v>
      </c>
      <c r="G43" s="30"/>
      <c r="I43" s="13"/>
      <c r="J43" s="13"/>
    </row>
    <row r="44" spans="1:10" s="2" customFormat="1" ht="12.75" customHeight="1" x14ac:dyDescent="0.2">
      <c r="A44" s="89">
        <v>45050</v>
      </c>
      <c r="B44" s="91" t="s">
        <v>11</v>
      </c>
      <c r="C44" s="76" t="s">
        <v>189</v>
      </c>
      <c r="D44" s="116" t="s">
        <v>29</v>
      </c>
      <c r="E44" s="31"/>
      <c r="F44" s="2">
        <v>513181</v>
      </c>
      <c r="G44" s="30"/>
      <c r="I44" s="13"/>
      <c r="J44" s="13"/>
    </row>
    <row r="45" spans="1:10" s="2" customFormat="1" ht="12.75" customHeight="1" x14ac:dyDescent="0.2">
      <c r="A45" s="89">
        <v>45050</v>
      </c>
      <c r="B45" s="91" t="s">
        <v>11</v>
      </c>
      <c r="C45" s="76" t="s">
        <v>191</v>
      </c>
      <c r="D45" s="116" t="s">
        <v>29</v>
      </c>
      <c r="E45" s="31"/>
      <c r="F45" s="2">
        <v>101326</v>
      </c>
      <c r="G45" s="30"/>
      <c r="I45" s="13"/>
      <c r="J45" s="13"/>
    </row>
    <row r="46" spans="1:10" s="2" customFormat="1" ht="12.75" customHeight="1" x14ac:dyDescent="0.2">
      <c r="A46" s="89">
        <v>45050</v>
      </c>
      <c r="B46" s="91" t="s">
        <v>11</v>
      </c>
      <c r="C46" s="76" t="s">
        <v>588</v>
      </c>
      <c r="D46" s="116" t="s">
        <v>29</v>
      </c>
      <c r="E46" s="31"/>
      <c r="F46" s="2">
        <v>224403</v>
      </c>
      <c r="G46" s="30"/>
      <c r="I46" s="13"/>
      <c r="J46" s="13"/>
    </row>
    <row r="47" spans="1:10" s="2" customFormat="1" ht="12.75" customHeight="1" x14ac:dyDescent="0.2">
      <c r="A47" s="89">
        <v>45050</v>
      </c>
      <c r="B47" s="91" t="s">
        <v>11</v>
      </c>
      <c r="C47" s="76" t="s">
        <v>206</v>
      </c>
      <c r="D47" s="116" t="s">
        <v>29</v>
      </c>
      <c r="E47" s="31"/>
      <c r="F47" s="2">
        <v>1126297</v>
      </c>
      <c r="G47" s="30"/>
      <c r="I47" s="13"/>
      <c r="J47" s="13"/>
    </row>
    <row r="48" spans="1:10" s="2" customFormat="1" ht="12.75" customHeight="1" x14ac:dyDescent="0.2">
      <c r="A48" s="89">
        <v>45050</v>
      </c>
      <c r="B48" s="91" t="s">
        <v>11</v>
      </c>
      <c r="C48" s="76" t="s">
        <v>192</v>
      </c>
      <c r="D48" s="116" t="s">
        <v>29</v>
      </c>
      <c r="E48" s="31"/>
      <c r="F48" s="2">
        <v>536732</v>
      </c>
      <c r="G48" s="30"/>
      <c r="I48" s="13"/>
      <c r="J48" s="13"/>
    </row>
    <row r="49" spans="1:10" s="2" customFormat="1" ht="12.75" customHeight="1" x14ac:dyDescent="0.2">
      <c r="A49" s="89">
        <v>45050</v>
      </c>
      <c r="B49" s="91" t="s">
        <v>11</v>
      </c>
      <c r="C49" s="76" t="s">
        <v>804</v>
      </c>
      <c r="D49" s="116" t="s">
        <v>29</v>
      </c>
      <c r="E49" s="31"/>
      <c r="F49" s="2">
        <v>420032</v>
      </c>
      <c r="G49" s="30"/>
      <c r="I49" s="13"/>
      <c r="J49" s="13"/>
    </row>
    <row r="50" spans="1:10" s="2" customFormat="1" ht="12.75" customHeight="1" x14ac:dyDescent="0.2">
      <c r="A50" s="89">
        <v>45050</v>
      </c>
      <c r="B50" s="91" t="s">
        <v>11</v>
      </c>
      <c r="C50" s="76" t="s">
        <v>664</v>
      </c>
      <c r="D50" s="116" t="s">
        <v>29</v>
      </c>
      <c r="E50" s="31"/>
      <c r="F50" s="2">
        <v>46342</v>
      </c>
      <c r="G50" s="30"/>
      <c r="I50" s="13"/>
      <c r="J50" s="13"/>
    </row>
    <row r="51" spans="1:10" s="2" customFormat="1" ht="12.75" customHeight="1" x14ac:dyDescent="0.2">
      <c r="A51" s="89">
        <v>45050</v>
      </c>
      <c r="B51" s="91" t="s">
        <v>11</v>
      </c>
      <c r="C51" s="76" t="s">
        <v>387</v>
      </c>
      <c r="D51" s="116" t="s">
        <v>29</v>
      </c>
      <c r="E51" s="31"/>
      <c r="F51" s="2">
        <v>33452</v>
      </c>
      <c r="G51" s="30"/>
      <c r="I51" s="13"/>
      <c r="J51" s="13"/>
    </row>
    <row r="52" spans="1:10" s="2" customFormat="1" ht="12.75" customHeight="1" x14ac:dyDescent="0.2">
      <c r="A52" s="89">
        <v>45050</v>
      </c>
      <c r="B52" s="91" t="s">
        <v>11</v>
      </c>
      <c r="C52" s="76" t="s">
        <v>789</v>
      </c>
      <c r="D52" s="116" t="s">
        <v>29</v>
      </c>
      <c r="E52" s="31"/>
      <c r="F52" s="2">
        <v>639299</v>
      </c>
      <c r="G52" s="30"/>
      <c r="I52" s="13"/>
      <c r="J52" s="13"/>
    </row>
    <row r="53" spans="1:10" s="2" customFormat="1" ht="12.75" customHeight="1" x14ac:dyDescent="0.2">
      <c r="A53" s="89">
        <v>45050</v>
      </c>
      <c r="B53" s="91" t="s">
        <v>11</v>
      </c>
      <c r="C53" s="76" t="s">
        <v>561</v>
      </c>
      <c r="D53" s="116" t="s">
        <v>29</v>
      </c>
      <c r="E53" s="31"/>
      <c r="F53" s="2">
        <v>430128</v>
      </c>
      <c r="G53" s="30"/>
      <c r="I53" s="13"/>
      <c r="J53" s="13"/>
    </row>
    <row r="54" spans="1:10" s="2" customFormat="1" ht="12.75" customHeight="1" x14ac:dyDescent="0.2">
      <c r="A54" s="89">
        <v>45050</v>
      </c>
      <c r="B54" s="91" t="s">
        <v>11</v>
      </c>
      <c r="C54" s="76" t="s">
        <v>207</v>
      </c>
      <c r="D54" s="116" t="s">
        <v>29</v>
      </c>
      <c r="E54" s="31"/>
      <c r="F54" s="2">
        <v>204228</v>
      </c>
      <c r="G54" s="30"/>
      <c r="I54" s="13"/>
      <c r="J54" s="13"/>
    </row>
    <row r="55" spans="1:10" s="2" customFormat="1" ht="12.75" customHeight="1" x14ac:dyDescent="0.2">
      <c r="A55" s="89">
        <v>45050</v>
      </c>
      <c r="B55" s="91" t="s">
        <v>11</v>
      </c>
      <c r="C55" s="76" t="s">
        <v>186</v>
      </c>
      <c r="D55" s="116" t="s">
        <v>29</v>
      </c>
      <c r="E55" s="31"/>
      <c r="F55" s="2">
        <v>564928</v>
      </c>
      <c r="G55" s="30"/>
      <c r="I55" s="13"/>
      <c r="J55" s="13"/>
    </row>
    <row r="56" spans="1:10" s="2" customFormat="1" ht="12.75" customHeight="1" x14ac:dyDescent="0.2">
      <c r="A56" s="89">
        <v>45050</v>
      </c>
      <c r="B56" s="91" t="s">
        <v>11</v>
      </c>
      <c r="C56" s="76" t="s">
        <v>58</v>
      </c>
      <c r="D56" s="116" t="s">
        <v>29</v>
      </c>
      <c r="E56" s="31"/>
      <c r="F56" s="2">
        <v>331338</v>
      </c>
      <c r="G56" s="30"/>
      <c r="I56" s="13"/>
      <c r="J56" s="13"/>
    </row>
    <row r="57" spans="1:10" s="2" customFormat="1" ht="12.75" customHeight="1" x14ac:dyDescent="0.2">
      <c r="A57" s="89">
        <v>45050</v>
      </c>
      <c r="B57" s="91" t="s">
        <v>11</v>
      </c>
      <c r="C57" s="76" t="s">
        <v>171</v>
      </c>
      <c r="D57" s="116" t="s">
        <v>29</v>
      </c>
      <c r="E57" s="31"/>
      <c r="F57" s="2">
        <v>429</v>
      </c>
      <c r="G57" s="30"/>
      <c r="I57" s="13"/>
      <c r="J57" s="13"/>
    </row>
    <row r="58" spans="1:10" s="2" customFormat="1" ht="12.75" customHeight="1" x14ac:dyDescent="0.2">
      <c r="A58" s="89">
        <v>45050</v>
      </c>
      <c r="B58" s="91" t="s">
        <v>11</v>
      </c>
      <c r="C58" s="76" t="s">
        <v>349</v>
      </c>
      <c r="D58" s="116" t="s">
        <v>29</v>
      </c>
      <c r="E58" s="31"/>
      <c r="F58" s="2">
        <v>5151</v>
      </c>
      <c r="G58" s="30"/>
      <c r="I58" s="13"/>
      <c r="J58" s="13"/>
    </row>
    <row r="59" spans="1:10" s="2" customFormat="1" ht="12.75" customHeight="1" x14ac:dyDescent="0.2">
      <c r="A59" s="89">
        <v>45050</v>
      </c>
      <c r="B59" s="91" t="s">
        <v>11</v>
      </c>
      <c r="C59" s="76" t="s">
        <v>823</v>
      </c>
      <c r="D59" s="116" t="s">
        <v>29</v>
      </c>
      <c r="E59" s="31"/>
      <c r="F59" s="2">
        <v>16593</v>
      </c>
      <c r="G59" s="30"/>
      <c r="I59" s="13"/>
      <c r="J59" s="13"/>
    </row>
    <row r="60" spans="1:10" s="2" customFormat="1" ht="12.75" customHeight="1" x14ac:dyDescent="0.2">
      <c r="A60" s="89">
        <v>45050</v>
      </c>
      <c r="B60" s="91" t="s">
        <v>11</v>
      </c>
      <c r="C60" s="76" t="s">
        <v>63</v>
      </c>
      <c r="D60" s="116" t="s">
        <v>29</v>
      </c>
      <c r="E60" s="31"/>
      <c r="F60" s="2">
        <v>1000000</v>
      </c>
      <c r="G60" s="30"/>
      <c r="I60" s="13"/>
      <c r="J60" s="13"/>
    </row>
    <row r="61" spans="1:10" s="2" customFormat="1" ht="12.75" customHeight="1" x14ac:dyDescent="0.2">
      <c r="A61" s="89">
        <v>45050</v>
      </c>
      <c r="B61" s="91" t="s">
        <v>11</v>
      </c>
      <c r="C61" s="76" t="s">
        <v>735</v>
      </c>
      <c r="D61" s="116" t="s">
        <v>29</v>
      </c>
      <c r="E61" s="31"/>
      <c r="F61" s="2">
        <v>1520662</v>
      </c>
      <c r="G61" s="30"/>
      <c r="I61" s="13"/>
      <c r="J61" s="13"/>
    </row>
    <row r="62" spans="1:10" s="2" customFormat="1" ht="12.75" customHeight="1" x14ac:dyDescent="0.2">
      <c r="A62" s="89">
        <v>45050</v>
      </c>
      <c r="B62" s="91" t="s">
        <v>11</v>
      </c>
      <c r="C62" s="76" t="s">
        <v>649</v>
      </c>
      <c r="D62" s="116" t="s">
        <v>29</v>
      </c>
      <c r="E62" s="31"/>
      <c r="F62" s="2">
        <v>500000</v>
      </c>
      <c r="G62" s="30"/>
      <c r="I62" s="13"/>
      <c r="J62" s="13"/>
    </row>
    <row r="63" spans="1:10" s="2" customFormat="1" ht="12.75" customHeight="1" x14ac:dyDescent="0.2">
      <c r="A63" s="89">
        <v>45050</v>
      </c>
      <c r="B63" s="91" t="s">
        <v>11</v>
      </c>
      <c r="C63" s="76" t="s">
        <v>443</v>
      </c>
      <c r="D63" s="116" t="s">
        <v>29</v>
      </c>
      <c r="E63" s="31"/>
      <c r="F63" s="2">
        <v>750000</v>
      </c>
      <c r="G63" s="30"/>
      <c r="I63" s="13"/>
      <c r="J63" s="13"/>
    </row>
    <row r="64" spans="1:10" s="2" customFormat="1" ht="12.75" customHeight="1" x14ac:dyDescent="0.2">
      <c r="A64" s="89">
        <v>45050</v>
      </c>
      <c r="B64" s="91" t="s">
        <v>11</v>
      </c>
      <c r="C64" s="76" t="s">
        <v>98</v>
      </c>
      <c r="D64" s="116" t="s">
        <v>29</v>
      </c>
      <c r="E64" s="31"/>
      <c r="F64" s="2">
        <v>4640</v>
      </c>
      <c r="G64" s="30"/>
      <c r="I64" s="13"/>
      <c r="J64" s="13"/>
    </row>
    <row r="65" spans="1:14" s="2" customFormat="1" ht="12.75" customHeight="1" x14ac:dyDescent="0.2">
      <c r="A65" s="89">
        <v>45050</v>
      </c>
      <c r="B65" s="91" t="s">
        <v>11</v>
      </c>
      <c r="C65" s="76" t="s">
        <v>57</v>
      </c>
      <c r="D65" s="116" t="s">
        <v>29</v>
      </c>
      <c r="E65" s="31"/>
      <c r="F65" s="2">
        <v>3200000</v>
      </c>
      <c r="G65" s="30"/>
      <c r="I65" s="13"/>
      <c r="J65" s="13"/>
    </row>
    <row r="66" spans="1:14" s="2" customFormat="1" ht="12.75" customHeight="1" x14ac:dyDescent="0.2">
      <c r="A66" s="89">
        <v>45050</v>
      </c>
      <c r="B66" s="91" t="s">
        <v>11</v>
      </c>
      <c r="C66" s="76" t="s">
        <v>554</v>
      </c>
      <c r="D66" s="116" t="s">
        <v>29</v>
      </c>
      <c r="E66" s="31"/>
      <c r="F66" s="2">
        <v>231392</v>
      </c>
      <c r="G66" s="30"/>
      <c r="I66" s="13"/>
      <c r="J66" s="13"/>
    </row>
    <row r="67" spans="1:14" s="2" customFormat="1" ht="12.75" customHeight="1" x14ac:dyDescent="0.2">
      <c r="A67" s="89">
        <v>45050</v>
      </c>
      <c r="B67" s="91" t="s">
        <v>11</v>
      </c>
      <c r="C67" s="76" t="s">
        <v>483</v>
      </c>
      <c r="D67" s="116" t="s">
        <v>29</v>
      </c>
      <c r="E67" s="31"/>
      <c r="F67" s="2">
        <v>3500</v>
      </c>
      <c r="G67" s="30"/>
      <c r="I67" s="13"/>
      <c r="J67" s="13"/>
    </row>
    <row r="68" spans="1:14" s="2" customFormat="1" ht="12.75" customHeight="1" x14ac:dyDescent="0.2">
      <c r="A68" s="89">
        <v>45050</v>
      </c>
      <c r="B68" s="91" t="s">
        <v>11</v>
      </c>
      <c r="C68" s="76" t="s">
        <v>232</v>
      </c>
      <c r="D68" s="116" t="s">
        <v>29</v>
      </c>
      <c r="E68" s="31"/>
      <c r="F68" s="2">
        <v>10733.48</v>
      </c>
      <c r="G68" s="30"/>
      <c r="I68" s="13"/>
      <c r="J68" s="13"/>
    </row>
    <row r="69" spans="1:14" s="2" customFormat="1" ht="12.75" customHeight="1" x14ac:dyDescent="0.2">
      <c r="A69" s="89">
        <v>45050</v>
      </c>
      <c r="B69" s="91" t="s">
        <v>11</v>
      </c>
      <c r="C69" s="76" t="s">
        <v>698</v>
      </c>
      <c r="D69" s="116" t="s">
        <v>29</v>
      </c>
      <c r="E69" s="31"/>
      <c r="F69" s="2">
        <v>7130</v>
      </c>
      <c r="G69" s="30"/>
      <c r="I69" s="13"/>
      <c r="J69" s="13"/>
    </row>
    <row r="70" spans="1:14" s="2" customFormat="1" ht="12.75" customHeight="1" x14ac:dyDescent="0.2">
      <c r="A70" s="89">
        <v>45050</v>
      </c>
      <c r="B70" s="91" t="s">
        <v>11</v>
      </c>
      <c r="C70" s="76" t="s">
        <v>685</v>
      </c>
      <c r="D70" s="116" t="s">
        <v>29</v>
      </c>
      <c r="E70" s="31"/>
      <c r="F70" s="2">
        <v>2079</v>
      </c>
      <c r="G70" s="30"/>
      <c r="I70" s="13"/>
      <c r="J70" s="13"/>
    </row>
    <row r="71" spans="1:14" s="2" customFormat="1" ht="12.75" customHeight="1" x14ac:dyDescent="0.2">
      <c r="A71" s="89">
        <v>45050</v>
      </c>
      <c r="B71" s="91" t="s">
        <v>11</v>
      </c>
      <c r="C71" s="76" t="s">
        <v>923</v>
      </c>
      <c r="D71" s="116" t="s">
        <v>29</v>
      </c>
      <c r="E71" s="31"/>
      <c r="F71" s="2">
        <v>1047402</v>
      </c>
      <c r="G71" s="30"/>
      <c r="I71" s="13"/>
      <c r="J71" s="13"/>
    </row>
    <row r="72" spans="1:14" s="2" customFormat="1" ht="12.75" customHeight="1" x14ac:dyDescent="0.2">
      <c r="A72" s="89">
        <v>45050</v>
      </c>
      <c r="B72" s="91" t="s">
        <v>11</v>
      </c>
      <c r="C72" s="76" t="s">
        <v>402</v>
      </c>
      <c r="D72" s="116" t="s">
        <v>29</v>
      </c>
      <c r="E72" s="31"/>
      <c r="F72" s="2">
        <v>1800000</v>
      </c>
      <c r="G72" s="30"/>
      <c r="I72" s="13"/>
      <c r="J72" s="13"/>
    </row>
    <row r="73" spans="1:14" s="2" customFormat="1" ht="12.75" customHeight="1" x14ac:dyDescent="0.2">
      <c r="A73" s="89">
        <v>45050</v>
      </c>
      <c r="B73" s="91" t="s">
        <v>11</v>
      </c>
      <c r="C73" s="76" t="s">
        <v>631</v>
      </c>
      <c r="D73" s="116" t="s">
        <v>29</v>
      </c>
      <c r="E73" s="31"/>
      <c r="F73" s="2">
        <v>100000</v>
      </c>
      <c r="G73" s="30"/>
      <c r="I73" s="13"/>
      <c r="J73" s="13"/>
    </row>
    <row r="74" spans="1:14" s="2" customFormat="1" ht="12.75" customHeight="1" x14ac:dyDescent="0.2">
      <c r="A74" s="89">
        <v>45050</v>
      </c>
      <c r="B74" s="91" t="s">
        <v>11</v>
      </c>
      <c r="C74" s="76" t="s">
        <v>525</v>
      </c>
      <c r="D74" s="116" t="s">
        <v>29</v>
      </c>
      <c r="E74" s="31"/>
      <c r="F74" s="2">
        <v>700000</v>
      </c>
      <c r="G74" s="30"/>
      <c r="I74" s="13"/>
      <c r="J74" s="99"/>
      <c r="K74" s="99" t="s">
        <v>779</v>
      </c>
    </row>
    <row r="75" spans="1:14" s="2" customFormat="1" ht="12.75" customHeight="1" x14ac:dyDescent="0.25">
      <c r="A75" s="32"/>
      <c r="B75" s="33"/>
      <c r="C75" s="14"/>
      <c r="D75" s="34"/>
      <c r="E75" s="16">
        <f>SUM(E12:E74)</f>
        <v>27843040.739999998</v>
      </c>
      <c r="F75" s="16">
        <f>SUM(F12:F74)</f>
        <v>376970298.53000003</v>
      </c>
      <c r="G75" s="30"/>
      <c r="H75" s="1"/>
      <c r="I75" s="39">
        <v>349523038.79000002</v>
      </c>
      <c r="K75" s="92">
        <f>E76-I75</f>
        <v>-395781</v>
      </c>
      <c r="L75" s="41"/>
      <c r="M75" s="42">
        <f>K75+J75</f>
        <v>-395781</v>
      </c>
      <c r="N75" s="1"/>
    </row>
    <row r="76" spans="1:14" s="2" customFormat="1" x14ac:dyDescent="0.2">
      <c r="A76" s="36"/>
      <c r="B76" s="28" t="s">
        <v>11</v>
      </c>
      <c r="C76" s="19" t="s">
        <v>65</v>
      </c>
      <c r="D76" s="37"/>
      <c r="E76" s="38">
        <f>F75-E75</f>
        <v>349127257.79000002</v>
      </c>
      <c r="F76" s="22"/>
      <c r="G76" s="1"/>
      <c r="H76" s="1"/>
      <c r="J76" s="1"/>
      <c r="K76" s="1"/>
      <c r="L76" s="1"/>
      <c r="M76" s="1"/>
      <c r="N76" s="1"/>
    </row>
    <row r="77" spans="1:14" x14ac:dyDescent="0.2">
      <c r="A77" s="36"/>
      <c r="B77" s="28" t="s">
        <v>66</v>
      </c>
      <c r="C77" s="43" t="s">
        <v>67</v>
      </c>
      <c r="D77" s="43"/>
      <c r="E77" s="12">
        <v>0</v>
      </c>
      <c r="F77" s="22"/>
      <c r="H77" s="40"/>
      <c r="I77" s="45">
        <v>414.43</v>
      </c>
      <c r="J77" s="46"/>
      <c r="K77" s="46"/>
      <c r="L77" s="13"/>
      <c r="M77" s="2"/>
      <c r="N77" s="2"/>
    </row>
    <row r="78" spans="1:14" ht="15" x14ac:dyDescent="0.25">
      <c r="A78" s="36"/>
      <c r="B78" s="28"/>
      <c r="C78" s="44" t="s">
        <v>68</v>
      </c>
      <c r="D78" s="43"/>
      <c r="E78" s="7">
        <f>E76+E77</f>
        <v>349127257.79000002</v>
      </c>
      <c r="F78" s="22"/>
      <c r="H78" s="103" t="s">
        <v>69</v>
      </c>
      <c r="I78" s="45">
        <v>-42.1</v>
      </c>
      <c r="J78" s="46"/>
      <c r="K78" s="46"/>
      <c r="L78" s="2"/>
      <c r="M78" s="2"/>
      <c r="N78" s="2"/>
    </row>
    <row r="79" spans="1:14" s="2" customFormat="1" x14ac:dyDescent="0.2">
      <c r="A79" s="24"/>
      <c r="B79" s="1"/>
      <c r="C79" s="14"/>
      <c r="D79" s="25"/>
      <c r="E79" s="1"/>
      <c r="H79" s="35" t="s">
        <v>70</v>
      </c>
      <c r="I79" s="45">
        <v>0</v>
      </c>
      <c r="J79" s="46">
        <f>+I80-D82</f>
        <v>0</v>
      </c>
      <c r="M79" s="2">
        <v>19.57</v>
      </c>
      <c r="N79" s="2" t="s">
        <v>535</v>
      </c>
    </row>
    <row r="80" spans="1:14" s="2" customFormat="1" x14ac:dyDescent="0.2">
      <c r="A80" s="24"/>
      <c r="B80" s="1"/>
      <c r="C80" s="56"/>
      <c r="D80" s="56"/>
      <c r="E80" s="104"/>
      <c r="G80" s="1"/>
      <c r="I80" s="49">
        <f>SUM(I77:I79)</f>
        <v>372.33</v>
      </c>
      <c r="J80" s="46"/>
      <c r="K80" s="46"/>
    </row>
    <row r="81" spans="1:13" s="2" customFormat="1" x14ac:dyDescent="0.2">
      <c r="A81" s="24"/>
      <c r="B81" s="1"/>
      <c r="C81" s="78" t="s">
        <v>575</v>
      </c>
      <c r="D81" s="48" t="s">
        <v>576</v>
      </c>
      <c r="E81" s="104"/>
      <c r="G81" s="1"/>
    </row>
    <row r="82" spans="1:13" s="2" customFormat="1" x14ac:dyDescent="0.2">
      <c r="A82" s="24"/>
      <c r="B82" s="1"/>
      <c r="C82" s="47" t="s">
        <v>570</v>
      </c>
      <c r="D82" s="111">
        <v>372.33</v>
      </c>
      <c r="E82" s="104"/>
      <c r="G82" s="1"/>
      <c r="H82" s="110" t="s">
        <v>581</v>
      </c>
    </row>
    <row r="83" spans="1:13" s="2" customFormat="1" x14ac:dyDescent="0.2">
      <c r="A83" s="24"/>
      <c r="B83" s="1"/>
      <c r="C83" s="47" t="s">
        <v>571</v>
      </c>
      <c r="D83" s="111">
        <v>156.93</v>
      </c>
      <c r="E83" s="104"/>
      <c r="G83" s="1"/>
      <c r="H83" s="110" t="s">
        <v>580</v>
      </c>
    </row>
    <row r="84" spans="1:13" s="2" customFormat="1" x14ac:dyDescent="0.2">
      <c r="A84" s="24"/>
      <c r="B84" s="1"/>
      <c r="C84" s="47" t="s">
        <v>572</v>
      </c>
      <c r="D84" s="111">
        <v>0</v>
      </c>
      <c r="E84" s="104"/>
      <c r="G84" s="1"/>
      <c r="H84" s="90" t="s">
        <v>587</v>
      </c>
    </row>
    <row r="85" spans="1:13" s="2" customFormat="1" x14ac:dyDescent="0.2">
      <c r="A85" s="24"/>
      <c r="B85" s="1"/>
      <c r="C85" s="108" t="s">
        <v>578</v>
      </c>
      <c r="D85" s="48">
        <f>SUM(D82:D84)</f>
        <v>529.26</v>
      </c>
      <c r="E85" s="104"/>
      <c r="G85" s="1"/>
    </row>
    <row r="86" spans="1:13" s="2" customFormat="1" x14ac:dyDescent="0.2">
      <c r="A86" s="24"/>
      <c r="B86" s="1"/>
      <c r="C86" s="47"/>
      <c r="D86" s="107"/>
      <c r="E86" s="104"/>
      <c r="G86" s="1"/>
    </row>
    <row r="87" spans="1:13" s="2" customFormat="1" x14ac:dyDescent="0.2">
      <c r="A87" s="24"/>
      <c r="B87" s="1"/>
      <c r="C87" s="47" t="s">
        <v>573</v>
      </c>
      <c r="D87" s="111">
        <v>136.5</v>
      </c>
      <c r="E87" s="104"/>
      <c r="G87" s="1"/>
      <c r="H87" s="110" t="s">
        <v>581</v>
      </c>
    </row>
    <row r="88" spans="1:13" s="2" customFormat="1" x14ac:dyDescent="0.2">
      <c r="A88" s="24"/>
      <c r="B88" s="1"/>
      <c r="C88" s="47" t="s">
        <v>574</v>
      </c>
      <c r="D88" s="111">
        <v>24.55</v>
      </c>
      <c r="E88" s="104"/>
      <c r="G88" s="1"/>
      <c r="H88" s="110" t="s">
        <v>581</v>
      </c>
      <c r="J88" s="114" t="s">
        <v>713</v>
      </c>
    </row>
    <row r="89" spans="1:13" s="2" customFormat="1" x14ac:dyDescent="0.2">
      <c r="A89" s="24"/>
      <c r="B89" s="1"/>
      <c r="C89" s="78" t="s">
        <v>579</v>
      </c>
      <c r="D89" s="109">
        <f>D87+D88</f>
        <v>161.05000000000001</v>
      </c>
      <c r="E89" s="104"/>
      <c r="G89" s="1"/>
      <c r="I89" s="113"/>
      <c r="J89" s="113" t="s">
        <v>709</v>
      </c>
      <c r="K89" s="113" t="s">
        <v>710</v>
      </c>
      <c r="L89" s="113" t="s">
        <v>711</v>
      </c>
      <c r="M89" s="113" t="s">
        <v>712</v>
      </c>
    </row>
    <row r="90" spans="1:13" s="2" customFormat="1" x14ac:dyDescent="0.2">
      <c r="A90" s="24"/>
      <c r="B90" s="1"/>
      <c r="C90" s="105"/>
      <c r="D90" s="106"/>
      <c r="E90" s="104"/>
      <c r="G90" s="1"/>
      <c r="I90" s="113" t="s">
        <v>706</v>
      </c>
      <c r="J90" s="115"/>
      <c r="K90" s="115">
        <v>968.99</v>
      </c>
      <c r="L90" s="115">
        <v>968.99</v>
      </c>
      <c r="M90" s="113">
        <f>+J90+L90-K90</f>
        <v>0</v>
      </c>
    </row>
    <row r="91" spans="1:13" s="2" customFormat="1" x14ac:dyDescent="0.2">
      <c r="A91" s="24"/>
      <c r="B91" s="1"/>
      <c r="C91" s="78" t="s">
        <v>577</v>
      </c>
      <c r="D91" s="109">
        <f>D82+D89</f>
        <v>533.38</v>
      </c>
      <c r="E91" s="104"/>
      <c r="G91" s="1"/>
      <c r="I91" s="113" t="s">
        <v>707</v>
      </c>
      <c r="J91" s="115">
        <v>183.1</v>
      </c>
      <c r="K91" s="115">
        <v>1674.32</v>
      </c>
      <c r="L91" s="115">
        <v>2310.0300000000002</v>
      </c>
      <c r="M91" s="113">
        <f>+J91+L91-K91</f>
        <v>818.81000000000017</v>
      </c>
    </row>
    <row r="92" spans="1:13" s="2" customFormat="1" x14ac:dyDescent="0.2">
      <c r="A92" s="24"/>
      <c r="B92" s="1"/>
      <c r="C92" s="56"/>
      <c r="D92" s="56"/>
      <c r="E92" s="104"/>
      <c r="G92" s="1"/>
      <c r="I92" s="113" t="s">
        <v>708</v>
      </c>
      <c r="J92" s="115">
        <v>1371.02</v>
      </c>
      <c r="K92" s="115">
        <v>10680.07</v>
      </c>
      <c r="L92" s="115">
        <v>11048.8</v>
      </c>
      <c r="M92" s="113">
        <f>+J92+L92-K92</f>
        <v>1739.75</v>
      </c>
    </row>
    <row r="93" spans="1:13" s="2" customFormat="1" ht="38.25" x14ac:dyDescent="0.2">
      <c r="A93" s="24"/>
      <c r="B93" s="1"/>
      <c r="C93" s="79" t="str">
        <f>"Particulars ( 01-04-2021 to "&amp;TEXT(A5,"dd-mm-yyyy")&amp;" )"</f>
        <v>Particulars ( 01-04-2021 to 04-05-2023 )</v>
      </c>
      <c r="D93" s="80" t="s">
        <v>73</v>
      </c>
      <c r="E93" s="80" t="s">
        <v>74</v>
      </c>
      <c r="F93" s="81" t="s">
        <v>75</v>
      </c>
      <c r="G93" s="80" t="s">
        <v>76</v>
      </c>
      <c r="J93" s="118">
        <f>SUM(J90:J92)</f>
        <v>1554.12</v>
      </c>
      <c r="K93" s="118">
        <f>SUM(K90:K92)</f>
        <v>13323.38</v>
      </c>
      <c r="L93" s="118">
        <f>SUM(L90:L92)</f>
        <v>14327.82</v>
      </c>
      <c r="M93" s="118">
        <f>SUM(M90:M92)</f>
        <v>2558.5600000000004</v>
      </c>
    </row>
    <row r="94" spans="1:13" s="2" customFormat="1" x14ac:dyDescent="0.2">
      <c r="A94" s="24"/>
      <c r="B94" s="1"/>
      <c r="C94" s="50" t="s">
        <v>444</v>
      </c>
      <c r="D94" s="55">
        <f>+L90+L91+J91</f>
        <v>3462.1200000000003</v>
      </c>
      <c r="E94" s="55">
        <f>+K90+K91</f>
        <v>2643.31</v>
      </c>
      <c r="F94" s="55">
        <f>+D94-E94</f>
        <v>818.8100000000004</v>
      </c>
      <c r="G94" s="55">
        <f>1500-F94</f>
        <v>681.1899999999996</v>
      </c>
      <c r="H94" s="2" t="s">
        <v>396</v>
      </c>
    </row>
    <row r="95" spans="1:13" s="2" customFormat="1" x14ac:dyDescent="0.2">
      <c r="A95" s="24"/>
      <c r="B95" s="1"/>
      <c r="C95" s="50" t="s">
        <v>71</v>
      </c>
      <c r="D95" s="55">
        <f>+J92+L92</f>
        <v>12419.82</v>
      </c>
      <c r="E95" s="55">
        <f>+K92</f>
        <v>10680.07</v>
      </c>
      <c r="F95" s="55">
        <f>+D95-E95</f>
        <v>1739.75</v>
      </c>
      <c r="G95" s="55">
        <f>1500+700-F95</f>
        <v>460.25</v>
      </c>
      <c r="H95" s="2" t="s">
        <v>396</v>
      </c>
    </row>
    <row r="96" spans="1:13" s="2" customFormat="1" x14ac:dyDescent="0.2">
      <c r="A96" s="24"/>
      <c r="B96" s="1"/>
      <c r="C96" s="14"/>
      <c r="D96" s="56"/>
      <c r="E96" s="13"/>
      <c r="G96" s="1"/>
    </row>
    <row r="97" spans="1:13" s="2" customFormat="1" x14ac:dyDescent="0.2">
      <c r="A97" s="8"/>
      <c r="B97" s="93"/>
      <c r="C97" s="76"/>
      <c r="D97" s="56"/>
      <c r="G97" s="1"/>
      <c r="I97" s="1"/>
      <c r="J97" s="1"/>
      <c r="K97" s="1"/>
      <c r="L97" s="1"/>
      <c r="M97" s="1"/>
    </row>
    <row r="98" spans="1:13" s="2" customFormat="1" x14ac:dyDescent="0.2">
      <c r="A98" s="24"/>
      <c r="B98" s="1"/>
      <c r="C98" s="218" t="s">
        <v>77</v>
      </c>
      <c r="D98" s="219"/>
      <c r="E98" s="219"/>
      <c r="F98" s="220"/>
      <c r="G98" s="54"/>
      <c r="I98" s="1"/>
      <c r="J98" s="1"/>
      <c r="K98" s="1"/>
      <c r="L98" s="1"/>
      <c r="M98" s="1"/>
    </row>
    <row r="99" spans="1:13" s="2" customFormat="1" x14ac:dyDescent="0.2">
      <c r="A99" s="24"/>
      <c r="B99" s="1"/>
      <c r="C99" s="50"/>
      <c r="D99" s="57" t="s">
        <v>78</v>
      </c>
      <c r="E99" s="58" t="s">
        <v>79</v>
      </c>
      <c r="F99" s="57" t="s">
        <v>72</v>
      </c>
      <c r="G99" s="54"/>
      <c r="I99" s="1"/>
      <c r="J99" s="1"/>
      <c r="K99" s="1"/>
      <c r="L99" s="1"/>
      <c r="M99" s="1"/>
    </row>
    <row r="100" spans="1:13" s="2" customFormat="1" x14ac:dyDescent="0.2">
      <c r="A100" s="24"/>
      <c r="B100" s="1"/>
      <c r="C100" s="59" t="str">
        <f>"01-05-2023 to "&amp;TEXT(A5-2,"dd-mm-yyyy")</f>
        <v>01-05-2023 to 02-05-2023</v>
      </c>
      <c r="D100" s="60">
        <v>269.33</v>
      </c>
      <c r="E100" s="60">
        <v>25.7</v>
      </c>
      <c r="F100" s="61">
        <f>SUM(D100:E100)</f>
        <v>295.02999999999997</v>
      </c>
      <c r="G100" s="54"/>
      <c r="I100" s="1"/>
      <c r="J100" s="1"/>
      <c r="K100" s="1"/>
      <c r="L100" s="1"/>
      <c r="M100" s="1"/>
    </row>
    <row r="101" spans="1:13" s="2" customFormat="1" x14ac:dyDescent="0.2">
      <c r="A101" s="24"/>
      <c r="B101" s="1"/>
      <c r="C101" s="62" t="str">
        <f>TEXT(A5-1,"dd-mm-yyyy")</f>
        <v>03-05-2023</v>
      </c>
      <c r="D101" s="60">
        <v>126.19</v>
      </c>
      <c r="E101" s="60">
        <v>16.149999999999999</v>
      </c>
      <c r="F101" s="61">
        <f>SUM(D101:E101)</f>
        <v>142.34</v>
      </c>
      <c r="G101" s="54"/>
      <c r="I101" s="1"/>
      <c r="J101" s="1"/>
      <c r="K101" s="1"/>
      <c r="L101" s="1"/>
      <c r="M101" s="1"/>
    </row>
    <row r="102" spans="1:13" ht="13.5" thickBot="1" x14ac:dyDescent="0.25">
      <c r="C102" s="63" t="str">
        <f>"01-05-2023 to "&amp;TEXT(A5-1,"dd-mm-yyyy")</f>
        <v>01-05-2023 to 03-05-2023</v>
      </c>
      <c r="D102" s="64">
        <f>SUM(D100:D101)</f>
        <v>395.52</v>
      </c>
      <c r="E102" s="64">
        <f>SUM(E100:E101)</f>
        <v>41.849999999999994</v>
      </c>
      <c r="F102" s="64">
        <f>SUM(F100:F101)</f>
        <v>437.37</v>
      </c>
      <c r="G102" s="54"/>
    </row>
    <row r="103" spans="1:13" s="2" customFormat="1" ht="13.5" thickTop="1" x14ac:dyDescent="0.2">
      <c r="A103" s="24"/>
      <c r="B103" s="1"/>
      <c r="C103" s="62"/>
      <c r="D103" s="65"/>
      <c r="E103" s="66"/>
      <c r="F103" s="67"/>
      <c r="G103" s="54"/>
      <c r="H103" s="53"/>
    </row>
    <row r="104" spans="1:13" x14ac:dyDescent="0.2">
      <c r="C104" s="62" t="str">
        <f>"01-04-2023 to " &amp;C101</f>
        <v>01-04-2023 to 03-05-2023</v>
      </c>
      <c r="D104" s="68">
        <f>+D102+4320.26</f>
        <v>4715.7800000000007</v>
      </c>
      <c r="E104" s="68">
        <f>+E102+536.17</f>
        <v>578.02</v>
      </c>
      <c r="F104" s="68">
        <f>+F102+4856.44</f>
        <v>5293.8099999999995</v>
      </c>
      <c r="G104" s="54"/>
      <c r="H104" s="53" t="s">
        <v>396</v>
      </c>
    </row>
    <row r="105" spans="1:13" x14ac:dyDescent="0.2">
      <c r="C105" s="52"/>
      <c r="D105" s="85"/>
      <c r="E105" s="53"/>
      <c r="F105" s="53"/>
      <c r="G105" s="54"/>
      <c r="H105" s="53" t="s">
        <v>396</v>
      </c>
      <c r="J105" s="42"/>
    </row>
    <row r="106" spans="1:13" x14ac:dyDescent="0.2">
      <c r="C106" s="52"/>
      <c r="D106" s="85"/>
      <c r="E106" s="53"/>
      <c r="F106" s="53"/>
      <c r="G106" s="54"/>
      <c r="H106" s="53"/>
      <c r="I106" s="101"/>
    </row>
    <row r="107" spans="1:13" x14ac:dyDescent="0.2">
      <c r="C107" s="52"/>
      <c r="D107" s="85"/>
      <c r="E107" s="53"/>
      <c r="F107" s="53"/>
      <c r="G107" s="54"/>
      <c r="H107" s="53"/>
    </row>
    <row r="108" spans="1:13" x14ac:dyDescent="0.2">
      <c r="C108" s="52"/>
      <c r="D108" s="85"/>
      <c r="E108" s="53"/>
      <c r="F108" s="53"/>
      <c r="G108" s="54"/>
      <c r="H108" s="53"/>
    </row>
    <row r="109" spans="1:13" x14ac:dyDescent="0.2">
      <c r="H109" s="53"/>
    </row>
  </sheetData>
  <mergeCells count="4">
    <mergeCell ref="A1:G1"/>
    <mergeCell ref="A3:F3"/>
    <mergeCell ref="A10:F10"/>
    <mergeCell ref="C98:F98"/>
  </mergeCells>
  <conditionalFormatting sqref="G94:G95">
    <cfRule type="cellIs" dxfId="606" priority="1" operator="lessThan">
      <formula>0</formula>
    </cfRule>
  </conditionalFormatting>
  <conditionalFormatting sqref="C12">
    <cfRule type="duplicateValues" dxfId="605" priority="2"/>
  </conditionalFormatting>
  <conditionalFormatting sqref="C13:C74">
    <cfRule type="duplicateValues" dxfId="604" priority="458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317">
    <pageSetUpPr fitToPage="1"/>
  </sheetPr>
  <dimension ref="A1:N88"/>
  <sheetViews>
    <sheetView topLeftCell="B44" zoomScaleNormal="100" workbookViewId="0">
      <selection activeCell="C46" sqref="C46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47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924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2.75" customHeight="1" x14ac:dyDescent="0.4">
      <c r="A5" s="89">
        <v>45051</v>
      </c>
      <c r="B5" s="9" t="s">
        <v>6</v>
      </c>
      <c r="C5" s="10" t="s">
        <v>7</v>
      </c>
      <c r="D5" s="11"/>
      <c r="E5" s="12">
        <v>2506509.7000000002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2506509.7000000002</v>
      </c>
      <c r="F6" s="16">
        <f>SUM(F5:F5)</f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E6-F6</f>
        <v>2506509.7000000002</v>
      </c>
      <c r="F7" s="22"/>
      <c r="G7" s="23"/>
      <c r="H7" s="112"/>
      <c r="I7" s="112"/>
      <c r="J7" s="13"/>
    </row>
    <row r="8" spans="1:10" s="2" customFormat="1" ht="12.75" customHeight="1" x14ac:dyDescent="0.4">
      <c r="A8" s="24"/>
      <c r="B8" s="1"/>
      <c r="C8" s="14"/>
      <c r="D8" s="25"/>
      <c r="G8" s="23"/>
      <c r="H8" s="112"/>
      <c r="I8" s="112"/>
      <c r="J8" s="13"/>
    </row>
    <row r="9" spans="1:10" s="2" customFormat="1" ht="21.75" customHeight="1" x14ac:dyDescent="0.4">
      <c r="A9" s="214" t="s">
        <v>10</v>
      </c>
      <c r="B9" s="214"/>
      <c r="C9" s="214"/>
      <c r="D9" s="214"/>
      <c r="E9" s="214"/>
      <c r="F9" s="214"/>
      <c r="G9" s="13"/>
      <c r="H9" s="112"/>
      <c r="I9" s="112"/>
      <c r="J9" s="13"/>
    </row>
    <row r="10" spans="1:10" s="2" customFormat="1" ht="12.75" customHeight="1" x14ac:dyDescent="0.4">
      <c r="A10" s="26" t="s">
        <v>1</v>
      </c>
      <c r="B10" s="27" t="s">
        <v>2</v>
      </c>
      <c r="C10" s="5"/>
      <c r="D10" s="6" t="s">
        <v>3</v>
      </c>
      <c r="E10" s="7" t="s">
        <v>4</v>
      </c>
      <c r="F10" s="7" t="s">
        <v>5</v>
      </c>
      <c r="G10" s="23"/>
      <c r="H10" s="112"/>
      <c r="I10" s="112"/>
      <c r="J10" s="13"/>
    </row>
    <row r="11" spans="1:10" s="2" customFormat="1" ht="12.75" customHeight="1" x14ac:dyDescent="0.2">
      <c r="A11" s="89">
        <v>45051</v>
      </c>
      <c r="B11" s="91" t="s">
        <v>11</v>
      </c>
      <c r="C11" s="29" t="s">
        <v>7</v>
      </c>
      <c r="D11" s="25"/>
      <c r="E11" s="31"/>
      <c r="F11" s="2">
        <v>349127257.79000002</v>
      </c>
      <c r="G11" s="30"/>
      <c r="I11" s="13"/>
      <c r="J11" s="13"/>
    </row>
    <row r="12" spans="1:10" s="2" customFormat="1" ht="12.75" customHeight="1" x14ac:dyDescent="0.2">
      <c r="A12" s="89">
        <v>45051</v>
      </c>
      <c r="B12" s="91" t="s">
        <v>6</v>
      </c>
      <c r="C12" s="76" t="s">
        <v>165</v>
      </c>
      <c r="D12" s="116" t="s">
        <v>13</v>
      </c>
      <c r="E12" s="31">
        <v>4542</v>
      </c>
      <c r="G12" s="30"/>
      <c r="I12" s="13"/>
      <c r="J12" s="13"/>
    </row>
    <row r="13" spans="1:10" s="2" customFormat="1" ht="12.75" customHeight="1" x14ac:dyDescent="0.2">
      <c r="A13" s="89">
        <v>45051</v>
      </c>
      <c r="B13" s="91" t="s">
        <v>6</v>
      </c>
      <c r="C13" s="76" t="s">
        <v>146</v>
      </c>
      <c r="D13" s="116" t="s">
        <v>13</v>
      </c>
      <c r="E13" s="31">
        <v>648474.67000000004</v>
      </c>
      <c r="G13" s="30"/>
      <c r="I13" s="13"/>
      <c r="J13" s="13"/>
    </row>
    <row r="14" spans="1:10" s="2" customFormat="1" ht="12.75" customHeight="1" x14ac:dyDescent="0.2">
      <c r="A14" s="89">
        <v>45051</v>
      </c>
      <c r="B14" s="91" t="s">
        <v>6</v>
      </c>
      <c r="C14" s="76" t="s">
        <v>755</v>
      </c>
      <c r="D14" s="116" t="s">
        <v>13</v>
      </c>
      <c r="E14" s="31">
        <v>807088.21</v>
      </c>
      <c r="G14" s="30"/>
      <c r="I14" s="13"/>
      <c r="J14" s="13"/>
    </row>
    <row r="15" spans="1:10" s="2" customFormat="1" ht="12.75" customHeight="1" x14ac:dyDescent="0.2">
      <c r="A15" s="89">
        <v>45051</v>
      </c>
      <c r="B15" s="91" t="s">
        <v>6</v>
      </c>
      <c r="C15" s="76" t="s">
        <v>759</v>
      </c>
      <c r="D15" s="116" t="s">
        <v>13</v>
      </c>
      <c r="E15" s="31">
        <v>862557.51</v>
      </c>
      <c r="G15" s="30"/>
      <c r="I15" s="13"/>
      <c r="J15" s="13"/>
    </row>
    <row r="16" spans="1:10" s="2" customFormat="1" ht="12.75" customHeight="1" x14ac:dyDescent="0.2">
      <c r="A16" s="89">
        <v>45051</v>
      </c>
      <c r="B16" s="91" t="s">
        <v>6</v>
      </c>
      <c r="C16" s="76" t="s">
        <v>764</v>
      </c>
      <c r="D16" s="116" t="s">
        <v>13</v>
      </c>
      <c r="E16" s="31">
        <v>1234153.96</v>
      </c>
      <c r="G16" s="30"/>
      <c r="I16" s="13"/>
      <c r="J16" s="13"/>
    </row>
    <row r="17" spans="1:10" s="2" customFormat="1" ht="12.75" customHeight="1" x14ac:dyDescent="0.2">
      <c r="A17" s="89">
        <v>45051</v>
      </c>
      <c r="B17" s="91" t="s">
        <v>6</v>
      </c>
      <c r="C17" s="76" t="s">
        <v>760</v>
      </c>
      <c r="D17" s="116" t="s">
        <v>13</v>
      </c>
      <c r="E17" s="31">
        <v>1931042.18</v>
      </c>
      <c r="G17" s="30"/>
      <c r="I17" s="13"/>
      <c r="J17" s="13"/>
    </row>
    <row r="18" spans="1:10" s="2" customFormat="1" ht="12.75" customHeight="1" x14ac:dyDescent="0.2">
      <c r="A18" s="89">
        <v>45051</v>
      </c>
      <c r="B18" s="91" t="s">
        <v>6</v>
      </c>
      <c r="C18" s="76" t="s">
        <v>17</v>
      </c>
      <c r="D18" s="116" t="s">
        <v>13</v>
      </c>
      <c r="E18" s="31">
        <v>1058086</v>
      </c>
      <c r="G18" s="30"/>
      <c r="I18" s="13"/>
      <c r="J18" s="13"/>
    </row>
    <row r="19" spans="1:10" s="2" customFormat="1" ht="12.75" customHeight="1" x14ac:dyDescent="0.2">
      <c r="A19" s="89">
        <v>45051</v>
      </c>
      <c r="B19" s="91" t="s">
        <v>6</v>
      </c>
      <c r="C19" s="76" t="s">
        <v>15</v>
      </c>
      <c r="D19" s="116" t="s">
        <v>13</v>
      </c>
      <c r="E19" s="31">
        <v>677.45999999999992</v>
      </c>
      <c r="G19" s="30"/>
      <c r="I19" s="13"/>
      <c r="J19" s="13"/>
    </row>
    <row r="20" spans="1:10" s="2" customFormat="1" ht="12.75" customHeight="1" x14ac:dyDescent="0.2">
      <c r="A20" s="89">
        <v>45051</v>
      </c>
      <c r="B20" s="91" t="s">
        <v>6</v>
      </c>
      <c r="C20" s="76" t="s">
        <v>761</v>
      </c>
      <c r="D20" s="116" t="s">
        <v>13</v>
      </c>
      <c r="E20" s="31">
        <v>59206</v>
      </c>
      <c r="G20" s="30"/>
      <c r="I20" s="13"/>
      <c r="J20" s="13"/>
    </row>
    <row r="21" spans="1:10" s="2" customFormat="1" ht="12.75" customHeight="1" x14ac:dyDescent="0.2">
      <c r="A21" s="89">
        <v>45051</v>
      </c>
      <c r="B21" s="91" t="s">
        <v>6</v>
      </c>
      <c r="C21" s="76" t="s">
        <v>119</v>
      </c>
      <c r="D21" s="116" t="s">
        <v>13</v>
      </c>
      <c r="E21" s="31">
        <v>823016</v>
      </c>
      <c r="G21" s="30"/>
      <c r="I21" s="13"/>
      <c r="J21" s="13"/>
    </row>
    <row r="22" spans="1:10" s="2" customFormat="1" ht="12.75" customHeight="1" x14ac:dyDescent="0.2">
      <c r="A22" s="89">
        <v>45051</v>
      </c>
      <c r="B22" s="91" t="s">
        <v>6</v>
      </c>
      <c r="C22" s="76" t="s">
        <v>23</v>
      </c>
      <c r="D22" s="116" t="s">
        <v>13</v>
      </c>
      <c r="E22" s="31">
        <v>601632</v>
      </c>
      <c r="G22" s="30"/>
      <c r="I22" s="13"/>
      <c r="J22" s="13"/>
    </row>
    <row r="23" spans="1:10" s="2" customFormat="1" ht="12.75" customHeight="1" x14ac:dyDescent="0.2">
      <c r="A23" s="89">
        <v>45051</v>
      </c>
      <c r="B23" s="91" t="s">
        <v>6</v>
      </c>
      <c r="C23" s="76" t="s">
        <v>430</v>
      </c>
      <c r="D23" s="116" t="s">
        <v>13</v>
      </c>
      <c r="E23" s="31">
        <v>323400</v>
      </c>
      <c r="G23" s="30"/>
      <c r="I23" s="13"/>
      <c r="J23" s="13"/>
    </row>
    <row r="24" spans="1:10" s="2" customFormat="1" ht="12.75" customHeight="1" x14ac:dyDescent="0.2">
      <c r="A24" s="89">
        <v>45051</v>
      </c>
      <c r="B24" s="91" t="s">
        <v>6</v>
      </c>
      <c r="C24" s="76" t="s">
        <v>927</v>
      </c>
      <c r="D24" s="116" t="s">
        <v>13</v>
      </c>
      <c r="E24" s="31">
        <v>94243</v>
      </c>
      <c r="G24" s="30"/>
      <c r="I24" s="13"/>
      <c r="J24" s="13"/>
    </row>
    <row r="25" spans="1:10" s="2" customFormat="1" ht="12.75" customHeight="1" x14ac:dyDescent="0.2">
      <c r="A25" s="89">
        <v>45051</v>
      </c>
      <c r="B25" s="91" t="s">
        <v>6</v>
      </c>
      <c r="C25" s="76" t="s">
        <v>727</v>
      </c>
      <c r="D25" s="116" t="s">
        <v>13</v>
      </c>
      <c r="E25" s="31">
        <v>150000</v>
      </c>
      <c r="G25" s="30"/>
      <c r="I25" s="13"/>
      <c r="J25" s="13"/>
    </row>
    <row r="26" spans="1:10" s="2" customFormat="1" ht="12.75" customHeight="1" x14ac:dyDescent="0.2">
      <c r="A26" s="89">
        <v>45051</v>
      </c>
      <c r="B26" s="91" t="s">
        <v>6</v>
      </c>
      <c r="C26" s="76" t="s">
        <v>200</v>
      </c>
      <c r="D26" s="116" t="s">
        <v>13</v>
      </c>
      <c r="E26" s="31">
        <v>47939</v>
      </c>
      <c r="G26" s="30"/>
      <c r="I26" s="13"/>
      <c r="J26" s="13"/>
    </row>
    <row r="27" spans="1:10" s="2" customFormat="1" ht="12.75" customHeight="1" x14ac:dyDescent="0.2">
      <c r="A27" s="89">
        <v>45051</v>
      </c>
      <c r="B27" s="91" t="s">
        <v>6</v>
      </c>
      <c r="C27" s="76" t="s">
        <v>121</v>
      </c>
      <c r="D27" s="116" t="s">
        <v>13</v>
      </c>
      <c r="E27" s="31">
        <v>400000</v>
      </c>
      <c r="G27" s="30"/>
      <c r="I27" s="13"/>
      <c r="J27" s="13"/>
    </row>
    <row r="28" spans="1:10" s="2" customFormat="1" ht="12.75" customHeight="1" x14ac:dyDescent="0.2">
      <c r="A28" s="89">
        <v>45051</v>
      </c>
      <c r="B28" s="91" t="s">
        <v>11</v>
      </c>
      <c r="C28" s="76" t="s">
        <v>64</v>
      </c>
      <c r="D28" s="116" t="s">
        <v>29</v>
      </c>
      <c r="E28" s="31"/>
      <c r="F28" s="2">
        <v>5943.66</v>
      </c>
      <c r="G28" s="30"/>
      <c r="I28" s="13"/>
      <c r="J28" s="13"/>
    </row>
    <row r="29" spans="1:10" s="2" customFormat="1" ht="12.75" customHeight="1" x14ac:dyDescent="0.2">
      <c r="A29" s="89">
        <v>45051</v>
      </c>
      <c r="B29" s="91" t="s">
        <v>11</v>
      </c>
      <c r="C29" s="76" t="s">
        <v>550</v>
      </c>
      <c r="D29" s="116" t="s">
        <v>29</v>
      </c>
      <c r="E29" s="31"/>
      <c r="F29" s="2">
        <v>187500</v>
      </c>
      <c r="G29" s="30"/>
      <c r="I29" s="13"/>
      <c r="J29" s="13"/>
    </row>
    <row r="30" spans="1:10" s="2" customFormat="1" ht="12.75" customHeight="1" x14ac:dyDescent="0.2">
      <c r="A30" s="89">
        <v>45051</v>
      </c>
      <c r="B30" s="91" t="s">
        <v>11</v>
      </c>
      <c r="C30" s="76" t="s">
        <v>289</v>
      </c>
      <c r="D30" s="116" t="s">
        <v>29</v>
      </c>
      <c r="E30" s="31"/>
      <c r="F30" s="2">
        <v>250000</v>
      </c>
      <c r="G30" s="30"/>
      <c r="I30" s="13"/>
      <c r="J30" s="13"/>
    </row>
    <row r="31" spans="1:10" s="2" customFormat="1" ht="12.75" customHeight="1" x14ac:dyDescent="0.2">
      <c r="A31" s="89">
        <v>45051</v>
      </c>
      <c r="B31" s="91" t="s">
        <v>11</v>
      </c>
      <c r="C31" s="76" t="s">
        <v>137</v>
      </c>
      <c r="D31" s="116" t="s">
        <v>29</v>
      </c>
      <c r="E31" s="31"/>
      <c r="F31" s="2">
        <v>321618</v>
      </c>
      <c r="G31" s="30"/>
      <c r="I31" s="13"/>
      <c r="J31" s="13"/>
    </row>
    <row r="32" spans="1:10" s="2" customFormat="1" ht="12.75" customHeight="1" x14ac:dyDescent="0.2">
      <c r="A32" s="89">
        <v>45051</v>
      </c>
      <c r="B32" s="91" t="s">
        <v>11</v>
      </c>
      <c r="C32" s="76" t="s">
        <v>204</v>
      </c>
      <c r="D32" s="116" t="s">
        <v>29</v>
      </c>
      <c r="E32" s="31"/>
      <c r="F32" s="2">
        <v>1092094</v>
      </c>
      <c r="G32" s="30"/>
      <c r="I32" s="13"/>
      <c r="J32" s="13"/>
    </row>
    <row r="33" spans="1:14" s="2" customFormat="1" ht="12.75" customHeight="1" x14ac:dyDescent="0.2">
      <c r="A33" s="89">
        <v>45051</v>
      </c>
      <c r="B33" s="91" t="s">
        <v>11</v>
      </c>
      <c r="C33" s="76" t="s">
        <v>232</v>
      </c>
      <c r="D33" s="116" t="s">
        <v>29</v>
      </c>
      <c r="E33" s="31"/>
      <c r="F33" s="2">
        <v>12260</v>
      </c>
      <c r="G33" s="30"/>
      <c r="I33" s="13"/>
      <c r="J33" s="13"/>
    </row>
    <row r="34" spans="1:14" s="2" customFormat="1" ht="12.75" customHeight="1" x14ac:dyDescent="0.2">
      <c r="A34" s="89">
        <v>45051</v>
      </c>
      <c r="B34" s="91" t="s">
        <v>11</v>
      </c>
      <c r="C34" s="76" t="s">
        <v>333</v>
      </c>
      <c r="D34" s="116" t="s">
        <v>29</v>
      </c>
      <c r="E34" s="31"/>
      <c r="F34" s="2">
        <v>599499</v>
      </c>
      <c r="G34" s="30"/>
      <c r="I34" s="13"/>
      <c r="J34" s="13"/>
    </row>
    <row r="35" spans="1:14" s="2" customFormat="1" ht="12.75" customHeight="1" x14ac:dyDescent="0.2">
      <c r="A35" s="89">
        <v>45051</v>
      </c>
      <c r="B35" s="91" t="s">
        <v>11</v>
      </c>
      <c r="C35" s="76" t="s">
        <v>502</v>
      </c>
      <c r="D35" s="116" t="s">
        <v>29</v>
      </c>
      <c r="E35" s="31"/>
      <c r="F35" s="2">
        <v>1286168</v>
      </c>
      <c r="G35" s="30"/>
      <c r="I35" s="13"/>
      <c r="J35" s="13"/>
    </row>
    <row r="36" spans="1:14" s="2" customFormat="1" ht="12.75" customHeight="1" x14ac:dyDescent="0.2">
      <c r="A36" s="89">
        <v>45051</v>
      </c>
      <c r="B36" s="91" t="s">
        <v>11</v>
      </c>
      <c r="C36" s="76" t="s">
        <v>222</v>
      </c>
      <c r="D36" s="116" t="s">
        <v>29</v>
      </c>
      <c r="E36" s="31"/>
      <c r="F36" s="2">
        <v>1000</v>
      </c>
      <c r="G36" s="30"/>
      <c r="I36" s="13"/>
      <c r="J36" s="13"/>
    </row>
    <row r="37" spans="1:14" s="2" customFormat="1" ht="12.75" customHeight="1" x14ac:dyDescent="0.2">
      <c r="A37" s="89">
        <v>45051</v>
      </c>
      <c r="B37" s="91" t="s">
        <v>11</v>
      </c>
      <c r="C37" s="76" t="s">
        <v>196</v>
      </c>
      <c r="D37" s="116" t="s">
        <v>29</v>
      </c>
      <c r="E37" s="31"/>
      <c r="F37" s="2">
        <v>63693</v>
      </c>
      <c r="G37" s="30"/>
      <c r="I37" s="13"/>
      <c r="J37" s="13"/>
    </row>
    <row r="38" spans="1:14" s="2" customFormat="1" ht="12.75" customHeight="1" x14ac:dyDescent="0.2">
      <c r="A38" s="89">
        <v>45051</v>
      </c>
      <c r="B38" s="91" t="s">
        <v>11</v>
      </c>
      <c r="C38" s="76" t="s">
        <v>925</v>
      </c>
      <c r="D38" s="116" t="s">
        <v>29</v>
      </c>
      <c r="E38" s="31"/>
      <c r="F38" s="2">
        <v>549243</v>
      </c>
      <c r="G38" s="30"/>
      <c r="I38" s="13"/>
      <c r="J38" s="13"/>
    </row>
    <row r="39" spans="1:14" s="2" customFormat="1" ht="12.75" customHeight="1" x14ac:dyDescent="0.2">
      <c r="A39" s="89">
        <v>45051</v>
      </c>
      <c r="B39" s="91" t="s">
        <v>11</v>
      </c>
      <c r="C39" s="76" t="s">
        <v>549</v>
      </c>
      <c r="D39" s="116" t="s">
        <v>29</v>
      </c>
      <c r="E39" s="31"/>
      <c r="F39" s="2">
        <v>138786</v>
      </c>
      <c r="G39" s="30"/>
      <c r="I39" s="13"/>
      <c r="J39" s="13"/>
    </row>
    <row r="40" spans="1:14" s="2" customFormat="1" ht="12.75" customHeight="1" x14ac:dyDescent="0.2">
      <c r="A40" s="89">
        <v>45051</v>
      </c>
      <c r="B40" s="91" t="s">
        <v>11</v>
      </c>
      <c r="C40" s="76" t="s">
        <v>926</v>
      </c>
      <c r="D40" s="116" t="s">
        <v>29</v>
      </c>
      <c r="E40" s="31"/>
      <c r="F40" s="2">
        <v>31094</v>
      </c>
      <c r="G40" s="30"/>
      <c r="I40" s="13"/>
      <c r="J40" s="13"/>
    </row>
    <row r="41" spans="1:14" s="2" customFormat="1" ht="12.75" customHeight="1" x14ac:dyDescent="0.2">
      <c r="A41" s="89">
        <v>45051</v>
      </c>
      <c r="B41" s="91" t="s">
        <v>11</v>
      </c>
      <c r="C41" s="76" t="s">
        <v>769</v>
      </c>
      <c r="D41" s="116" t="s">
        <v>29</v>
      </c>
      <c r="E41" s="31"/>
      <c r="F41" s="2">
        <v>33181</v>
      </c>
      <c r="G41" s="30"/>
      <c r="I41" s="13"/>
      <c r="J41" s="13"/>
    </row>
    <row r="42" spans="1:14" s="2" customFormat="1" ht="12.75" customHeight="1" x14ac:dyDescent="0.2">
      <c r="A42" s="89">
        <v>45051</v>
      </c>
      <c r="B42" s="91" t="s">
        <v>11</v>
      </c>
      <c r="C42" s="76" t="s">
        <v>139</v>
      </c>
      <c r="D42" s="116" t="s">
        <v>29</v>
      </c>
      <c r="E42" s="31"/>
      <c r="F42" s="2">
        <v>1783764</v>
      </c>
      <c r="G42" s="30"/>
      <c r="I42" s="13"/>
      <c r="J42" s="13"/>
    </row>
    <row r="43" spans="1:14" s="2" customFormat="1" ht="12.75" customHeight="1" x14ac:dyDescent="0.2">
      <c r="A43" s="89">
        <v>45051</v>
      </c>
      <c r="B43" s="91" t="s">
        <v>11</v>
      </c>
      <c r="C43" s="76" t="s">
        <v>182</v>
      </c>
      <c r="D43" s="116" t="s">
        <v>29</v>
      </c>
      <c r="E43" s="31"/>
      <c r="F43" s="2">
        <v>164557</v>
      </c>
      <c r="G43" s="30"/>
      <c r="I43" s="13"/>
      <c r="J43" s="13"/>
    </row>
    <row r="44" spans="1:14" s="2" customFormat="1" ht="12.75" customHeight="1" x14ac:dyDescent="0.2">
      <c r="A44" s="89">
        <v>45051</v>
      </c>
      <c r="B44" s="91" t="s">
        <v>11</v>
      </c>
      <c r="C44" s="76" t="s">
        <v>183</v>
      </c>
      <c r="D44" s="116" t="s">
        <v>29</v>
      </c>
      <c r="E44" s="31"/>
      <c r="F44" s="2">
        <v>20623</v>
      </c>
      <c r="G44" s="30"/>
      <c r="I44" s="13"/>
      <c r="J44" s="13"/>
    </row>
    <row r="45" spans="1:14" s="2" customFormat="1" ht="12.75" customHeight="1" x14ac:dyDescent="0.2">
      <c r="A45" s="89">
        <v>45051</v>
      </c>
      <c r="B45" s="91" t="s">
        <v>11</v>
      </c>
      <c r="C45" s="76" t="s">
        <v>181</v>
      </c>
      <c r="D45" s="116" t="s">
        <v>29</v>
      </c>
      <c r="E45" s="31"/>
      <c r="F45" s="2">
        <v>48600</v>
      </c>
      <c r="G45" s="30"/>
      <c r="I45" s="13"/>
      <c r="J45" s="13"/>
    </row>
    <row r="46" spans="1:14" s="2" customFormat="1" ht="12.75" customHeight="1" x14ac:dyDescent="0.2">
      <c r="A46" s="89">
        <v>45051</v>
      </c>
      <c r="B46" s="91" t="s">
        <v>11</v>
      </c>
      <c r="C46" s="76" t="s">
        <v>345</v>
      </c>
      <c r="D46" s="116" t="s">
        <v>29</v>
      </c>
      <c r="E46" s="31"/>
      <c r="F46" s="2">
        <v>17741</v>
      </c>
      <c r="G46" s="30"/>
      <c r="I46" s="13"/>
      <c r="J46" s="13"/>
    </row>
    <row r="47" spans="1:14" s="2" customFormat="1" ht="12.75" customHeight="1" x14ac:dyDescent="0.2">
      <c r="A47" s="89">
        <v>45051</v>
      </c>
      <c r="B47" s="91" t="s">
        <v>11</v>
      </c>
      <c r="C47" s="76" t="s">
        <v>57</v>
      </c>
      <c r="D47" s="116" t="s">
        <v>29</v>
      </c>
      <c r="E47" s="31"/>
      <c r="F47" s="2">
        <v>300000</v>
      </c>
      <c r="G47" s="30"/>
      <c r="I47" s="13"/>
      <c r="J47" s="13"/>
      <c r="K47" s="99" t="s">
        <v>779</v>
      </c>
    </row>
    <row r="48" spans="1:14" s="2" customFormat="1" ht="12.75" customHeight="1" x14ac:dyDescent="0.25">
      <c r="A48" s="32"/>
      <c r="B48" s="33"/>
      <c r="C48" s="14"/>
      <c r="D48" s="34"/>
      <c r="E48" s="16">
        <f>SUM(E11:E47)</f>
        <v>9046057.9899999984</v>
      </c>
      <c r="F48" s="16">
        <f>SUM(F11:F47)</f>
        <v>356034622.45000005</v>
      </c>
      <c r="G48" s="30"/>
      <c r="H48" s="1"/>
      <c r="I48" s="39">
        <v>347384345.45999998</v>
      </c>
      <c r="K48" s="92">
        <f>E49-I48</f>
        <v>-395780.9999999404</v>
      </c>
      <c r="L48" s="41"/>
      <c r="M48" s="42">
        <f>K48+J48</f>
        <v>-395780.9999999404</v>
      </c>
      <c r="N48" s="1"/>
    </row>
    <row r="49" spans="1:14" s="2" customFormat="1" x14ac:dyDescent="0.2">
      <c r="A49" s="36"/>
      <c r="B49" s="28" t="s">
        <v>11</v>
      </c>
      <c r="C49" s="19" t="s">
        <v>65</v>
      </c>
      <c r="D49" s="37"/>
      <c r="E49" s="38">
        <f>F48-E48</f>
        <v>346988564.46000004</v>
      </c>
      <c r="F49" s="22"/>
      <c r="G49" s="1"/>
      <c r="H49" s="1"/>
      <c r="J49" s="1"/>
      <c r="K49" s="1"/>
      <c r="L49" s="1"/>
      <c r="M49" s="1"/>
      <c r="N49" s="1"/>
    </row>
    <row r="50" spans="1:14" x14ac:dyDescent="0.2">
      <c r="A50" s="36"/>
      <c r="B50" s="28" t="s">
        <v>66</v>
      </c>
      <c r="C50" s="43" t="s">
        <v>67</v>
      </c>
      <c r="D50" s="43"/>
      <c r="E50" s="12">
        <v>0</v>
      </c>
      <c r="F50" s="22"/>
      <c r="H50" s="40"/>
      <c r="I50" s="45">
        <v>456.54</v>
      </c>
      <c r="J50" s="46"/>
      <c r="K50" s="46"/>
      <c r="L50" s="13"/>
      <c r="M50" s="2"/>
      <c r="N50" s="2"/>
    </row>
    <row r="51" spans="1:14" ht="15" x14ac:dyDescent="0.25">
      <c r="A51" s="36"/>
      <c r="B51" s="28"/>
      <c r="C51" s="44" t="s">
        <v>68</v>
      </c>
      <c r="D51" s="43"/>
      <c r="E51" s="7">
        <f>E49+E50</f>
        <v>346988564.46000004</v>
      </c>
      <c r="F51" s="22"/>
      <c r="H51" s="103" t="s">
        <v>69</v>
      </c>
      <c r="I51" s="45">
        <v>-42.1</v>
      </c>
      <c r="J51" s="46"/>
      <c r="K51" s="46"/>
      <c r="L51" s="2"/>
      <c r="M51" s="2"/>
      <c r="N51" s="2"/>
    </row>
    <row r="52" spans="1:14" s="2" customFormat="1" x14ac:dyDescent="0.2">
      <c r="A52" s="24"/>
      <c r="B52" s="1"/>
      <c r="C52" s="14"/>
      <c r="D52" s="25"/>
      <c r="E52" s="1"/>
      <c r="H52" s="35" t="s">
        <v>70</v>
      </c>
      <c r="I52" s="45">
        <v>0</v>
      </c>
      <c r="J52" s="46">
        <f>+I53-D55</f>
        <v>0</v>
      </c>
      <c r="M52" s="2">
        <v>19.57</v>
      </c>
      <c r="N52" s="2" t="s">
        <v>535</v>
      </c>
    </row>
    <row r="53" spans="1:14" s="2" customFormat="1" x14ac:dyDescent="0.2">
      <c r="A53" s="24"/>
      <c r="B53" s="1"/>
      <c r="C53" s="56"/>
      <c r="D53" s="56"/>
      <c r="E53" s="104"/>
      <c r="G53" s="1"/>
      <c r="I53" s="49">
        <f>SUM(I50:I52)</f>
        <v>414.44</v>
      </c>
      <c r="J53" s="46"/>
      <c r="K53" s="46"/>
    </row>
    <row r="54" spans="1:14" s="2" customFormat="1" x14ac:dyDescent="0.2">
      <c r="A54" s="24"/>
      <c r="B54" s="1"/>
      <c r="C54" s="78" t="s">
        <v>575</v>
      </c>
      <c r="D54" s="48" t="s">
        <v>576</v>
      </c>
      <c r="E54" s="104"/>
      <c r="G54" s="1"/>
    </row>
    <row r="55" spans="1:14" s="2" customFormat="1" x14ac:dyDescent="0.2">
      <c r="A55" s="24"/>
      <c r="B55" s="1"/>
      <c r="C55" s="47" t="s">
        <v>570</v>
      </c>
      <c r="D55" s="111">
        <v>414.44</v>
      </c>
      <c r="E55" s="104"/>
      <c r="G55" s="1"/>
      <c r="H55" s="110" t="s">
        <v>581</v>
      </c>
    </row>
    <row r="56" spans="1:14" s="2" customFormat="1" x14ac:dyDescent="0.2">
      <c r="A56" s="24"/>
      <c r="B56" s="1"/>
      <c r="C56" s="47" t="s">
        <v>571</v>
      </c>
      <c r="D56" s="111">
        <v>166.69</v>
      </c>
      <c r="E56" s="104"/>
      <c r="G56" s="1"/>
      <c r="H56" s="110" t="s">
        <v>580</v>
      </c>
    </row>
    <row r="57" spans="1:14" s="2" customFormat="1" x14ac:dyDescent="0.2">
      <c r="A57" s="24"/>
      <c r="B57" s="1"/>
      <c r="C57" s="47" t="s">
        <v>572</v>
      </c>
      <c r="D57" s="111">
        <v>0</v>
      </c>
      <c r="E57" s="104"/>
      <c r="G57" s="1"/>
      <c r="H57" s="90" t="s">
        <v>587</v>
      </c>
    </row>
    <row r="58" spans="1:14" s="2" customFormat="1" x14ac:dyDescent="0.2">
      <c r="A58" s="24"/>
      <c r="B58" s="1"/>
      <c r="C58" s="108" t="s">
        <v>578</v>
      </c>
      <c r="D58" s="48">
        <f>SUM(D55:D57)</f>
        <v>581.13</v>
      </c>
      <c r="E58" s="104"/>
      <c r="G58" s="1"/>
    </row>
    <row r="59" spans="1:14" s="2" customFormat="1" x14ac:dyDescent="0.2">
      <c r="A59" s="24"/>
      <c r="B59" s="1"/>
      <c r="C59" s="47"/>
      <c r="D59" s="107"/>
      <c r="E59" s="104"/>
      <c r="G59" s="1"/>
    </row>
    <row r="60" spans="1:14" s="2" customFormat="1" x14ac:dyDescent="0.2">
      <c r="A60" s="24"/>
      <c r="B60" s="1"/>
      <c r="C60" s="47" t="s">
        <v>573</v>
      </c>
      <c r="D60" s="111">
        <v>136.5</v>
      </c>
      <c r="E60" s="104"/>
      <c r="G60" s="1"/>
      <c r="H60" s="110" t="s">
        <v>581</v>
      </c>
    </row>
    <row r="61" spans="1:14" s="2" customFormat="1" x14ac:dyDescent="0.2">
      <c r="A61" s="24"/>
      <c r="B61" s="1"/>
      <c r="C61" s="47" t="s">
        <v>574</v>
      </c>
      <c r="D61" s="111">
        <v>74.28</v>
      </c>
      <c r="E61" s="104"/>
      <c r="G61" s="1"/>
      <c r="H61" s="110" t="s">
        <v>581</v>
      </c>
      <c r="J61" s="114" t="s">
        <v>713</v>
      </c>
    </row>
    <row r="62" spans="1:14" s="2" customFormat="1" x14ac:dyDescent="0.2">
      <c r="A62" s="24"/>
      <c r="B62" s="1"/>
      <c r="C62" s="78" t="s">
        <v>579</v>
      </c>
      <c r="D62" s="109">
        <f>D60+D61</f>
        <v>210.78</v>
      </c>
      <c r="E62" s="104"/>
      <c r="G62" s="1"/>
      <c r="I62" s="113"/>
      <c r="J62" s="113" t="s">
        <v>709</v>
      </c>
      <c r="K62" s="113" t="s">
        <v>710</v>
      </c>
      <c r="L62" s="113" t="s">
        <v>711</v>
      </c>
      <c r="M62" s="113" t="s">
        <v>712</v>
      </c>
    </row>
    <row r="63" spans="1:14" s="2" customFormat="1" x14ac:dyDescent="0.2">
      <c r="A63" s="24"/>
      <c r="B63" s="1"/>
      <c r="C63" s="105"/>
      <c r="D63" s="106"/>
      <c r="E63" s="104"/>
      <c r="G63" s="1"/>
      <c r="I63" s="113" t="s">
        <v>706</v>
      </c>
      <c r="J63" s="115"/>
      <c r="K63" s="115">
        <v>968.99</v>
      </c>
      <c r="L63" s="115">
        <v>968.99</v>
      </c>
      <c r="M63" s="113">
        <f>+J63+L63-K63</f>
        <v>0</v>
      </c>
    </row>
    <row r="64" spans="1:14" s="2" customFormat="1" x14ac:dyDescent="0.2">
      <c r="A64" s="24"/>
      <c r="B64" s="1"/>
      <c r="C64" s="78" t="s">
        <v>577</v>
      </c>
      <c r="D64" s="109">
        <f>D55+D62</f>
        <v>625.22</v>
      </c>
      <c r="E64" s="104"/>
      <c r="G64" s="1"/>
      <c r="I64" s="113" t="s">
        <v>707</v>
      </c>
      <c r="J64" s="115">
        <v>183.1</v>
      </c>
      <c r="K64" s="115">
        <v>1684.08</v>
      </c>
      <c r="L64" s="115">
        <v>2310.02</v>
      </c>
      <c r="M64" s="113">
        <f>+J64+L64-K64</f>
        <v>809.04</v>
      </c>
    </row>
    <row r="65" spans="1:13" s="2" customFormat="1" x14ac:dyDescent="0.2">
      <c r="A65" s="24"/>
      <c r="B65" s="1"/>
      <c r="C65" s="56"/>
      <c r="D65" s="56"/>
      <c r="E65" s="104"/>
      <c r="G65" s="1"/>
      <c r="I65" s="113" t="s">
        <v>708</v>
      </c>
      <c r="J65" s="115">
        <v>1371.02</v>
      </c>
      <c r="K65" s="115">
        <v>10789.46</v>
      </c>
      <c r="L65" s="115">
        <v>11098.53</v>
      </c>
      <c r="M65" s="113">
        <f>+J65+L65-K65</f>
        <v>1680.090000000002</v>
      </c>
    </row>
    <row r="66" spans="1:13" s="2" customFormat="1" ht="38.25" x14ac:dyDescent="0.2">
      <c r="A66" s="24"/>
      <c r="B66" s="1"/>
      <c r="C66" s="79" t="str">
        <f>"Particulars ( 01-04-2021 to "&amp;TEXT(A5,"dd-mm-yyyy")&amp;" )"</f>
        <v>Particulars ( 01-04-2021 to 05-05-2023 )</v>
      </c>
      <c r="D66" s="80" t="s">
        <v>73</v>
      </c>
      <c r="E66" s="80" t="s">
        <v>74</v>
      </c>
      <c r="F66" s="81" t="s">
        <v>75</v>
      </c>
      <c r="G66" s="80" t="s">
        <v>76</v>
      </c>
      <c r="J66" s="118">
        <f>SUM(J63:J65)</f>
        <v>1554.12</v>
      </c>
      <c r="K66" s="118">
        <f>SUM(K63:K65)</f>
        <v>13442.529999999999</v>
      </c>
      <c r="L66" s="118">
        <f>SUM(L63:L65)</f>
        <v>14377.54</v>
      </c>
      <c r="M66" s="118">
        <f>SUM(M63:M65)</f>
        <v>2489.1300000000019</v>
      </c>
    </row>
    <row r="67" spans="1:13" s="2" customFormat="1" x14ac:dyDescent="0.2">
      <c r="A67" s="24"/>
      <c r="B67" s="1"/>
      <c r="C67" s="50" t="s">
        <v>444</v>
      </c>
      <c r="D67" s="55">
        <f>+L63+L64+J64</f>
        <v>3462.11</v>
      </c>
      <c r="E67" s="55">
        <f>+K63+K64</f>
        <v>2653.0699999999997</v>
      </c>
      <c r="F67" s="55">
        <f>+D67-E67</f>
        <v>809.04000000000042</v>
      </c>
      <c r="G67" s="55">
        <f>1500-F67</f>
        <v>690.95999999999958</v>
      </c>
      <c r="H67" s="2" t="s">
        <v>396</v>
      </c>
    </row>
    <row r="68" spans="1:13" s="2" customFormat="1" x14ac:dyDescent="0.2">
      <c r="A68" s="24"/>
      <c r="B68" s="1"/>
      <c r="C68" s="50" t="s">
        <v>71</v>
      </c>
      <c r="D68" s="55">
        <f>+J65+L65</f>
        <v>12469.550000000001</v>
      </c>
      <c r="E68" s="55">
        <f>+K65</f>
        <v>10789.46</v>
      </c>
      <c r="F68" s="55">
        <f>+D68-E68</f>
        <v>1680.090000000002</v>
      </c>
      <c r="G68" s="55">
        <f>1500+700-F68</f>
        <v>519.90999999999804</v>
      </c>
      <c r="H68" s="2" t="s">
        <v>396</v>
      </c>
    </row>
    <row r="69" spans="1:13" s="2" customFormat="1" x14ac:dyDescent="0.2">
      <c r="A69" s="24"/>
      <c r="B69" s="1"/>
      <c r="C69" s="14"/>
      <c r="D69" s="56"/>
      <c r="E69" s="13"/>
      <c r="G69" s="1"/>
    </row>
    <row r="70" spans="1:13" s="2" customFormat="1" x14ac:dyDescent="0.2">
      <c r="A70" s="215" t="s">
        <v>80</v>
      </c>
      <c r="B70" s="216"/>
      <c r="C70" s="216"/>
      <c r="D70" s="217"/>
      <c r="E70" s="69"/>
      <c r="F70" s="70"/>
      <c r="G70" s="1"/>
      <c r="H70" s="53"/>
    </row>
    <row r="71" spans="1:13" s="2" customFormat="1" x14ac:dyDescent="0.2">
      <c r="A71" s="71" t="s">
        <v>81</v>
      </c>
      <c r="B71" s="71"/>
      <c r="C71" s="72" t="s">
        <v>82</v>
      </c>
      <c r="D71" s="73" t="s">
        <v>83</v>
      </c>
      <c r="E71" s="69"/>
      <c r="F71" s="70"/>
      <c r="H71" s="53"/>
    </row>
    <row r="72" spans="1:13" s="2" customFormat="1" x14ac:dyDescent="0.2">
      <c r="A72" s="87">
        <v>45050</v>
      </c>
      <c r="B72" s="120" t="s">
        <v>6</v>
      </c>
      <c r="C72" s="75" t="s">
        <v>282</v>
      </c>
      <c r="D72" s="88">
        <v>1562637</v>
      </c>
      <c r="G72" s="1"/>
      <c r="L72" s="1"/>
      <c r="M72" s="1"/>
    </row>
    <row r="73" spans="1:13" s="2" customFormat="1" x14ac:dyDescent="0.2">
      <c r="A73" s="87">
        <v>45050</v>
      </c>
      <c r="B73" s="120" t="s">
        <v>6</v>
      </c>
      <c r="C73" s="75" t="s">
        <v>86</v>
      </c>
      <c r="D73" s="88">
        <v>2499321</v>
      </c>
      <c r="G73" s="1"/>
      <c r="L73" s="1"/>
      <c r="M73" s="1"/>
    </row>
    <row r="74" spans="1:13" s="2" customFormat="1" x14ac:dyDescent="0.2">
      <c r="A74" s="87">
        <v>45050</v>
      </c>
      <c r="B74" s="120" t="s">
        <v>6</v>
      </c>
      <c r="C74" s="75" t="s">
        <v>86</v>
      </c>
      <c r="D74" s="88">
        <v>6876102</v>
      </c>
      <c r="G74" s="1"/>
      <c r="L74" s="1"/>
      <c r="M74" s="1"/>
    </row>
    <row r="75" spans="1:13" s="2" customFormat="1" x14ac:dyDescent="0.2">
      <c r="A75" s="87"/>
      <c r="B75" s="74"/>
      <c r="C75" s="75"/>
      <c r="D75" s="51">
        <f>SUM(D72:D74)</f>
        <v>10938060</v>
      </c>
      <c r="F75" s="2" t="s">
        <v>396</v>
      </c>
      <c r="G75" s="1"/>
      <c r="I75" s="1"/>
      <c r="J75" s="1"/>
      <c r="K75" s="1"/>
      <c r="L75" s="1"/>
      <c r="M75" s="1"/>
    </row>
    <row r="76" spans="1:13" s="2" customFormat="1" x14ac:dyDescent="0.2">
      <c r="A76" s="24"/>
      <c r="B76" s="1"/>
      <c r="C76" s="14"/>
      <c r="D76" s="56"/>
      <c r="E76" s="13"/>
      <c r="G76" s="1"/>
    </row>
    <row r="77" spans="1:13" s="2" customFormat="1" x14ac:dyDescent="0.2">
      <c r="A77" s="24"/>
      <c r="B77" s="1"/>
      <c r="C77" s="218" t="s">
        <v>77</v>
      </c>
      <c r="D77" s="219"/>
      <c r="E77" s="219"/>
      <c r="F77" s="220"/>
      <c r="G77" s="54"/>
      <c r="I77" s="1"/>
      <c r="J77" s="1"/>
      <c r="K77" s="1"/>
      <c r="L77" s="1"/>
      <c r="M77" s="1"/>
    </row>
    <row r="78" spans="1:13" s="2" customFormat="1" x14ac:dyDescent="0.2">
      <c r="A78" s="24"/>
      <c r="B78" s="1"/>
      <c r="C78" s="50"/>
      <c r="D78" s="57" t="s">
        <v>78</v>
      </c>
      <c r="E78" s="58" t="s">
        <v>79</v>
      </c>
      <c r="F78" s="57" t="s">
        <v>72</v>
      </c>
      <c r="G78" s="54"/>
      <c r="I78" s="1"/>
      <c r="J78" s="1"/>
      <c r="K78" s="1"/>
      <c r="L78" s="1"/>
      <c r="M78" s="1"/>
    </row>
    <row r="79" spans="1:13" s="2" customFormat="1" x14ac:dyDescent="0.2">
      <c r="A79" s="24"/>
      <c r="B79" s="1"/>
      <c r="C79" s="59" t="str">
        <f>"01-05-2023 to "&amp;TEXT(A5-2,"dd-mm-yyyy")</f>
        <v>01-05-2023 to 03-05-2023</v>
      </c>
      <c r="D79" s="60">
        <v>395.52</v>
      </c>
      <c r="E79" s="60">
        <v>41.85</v>
      </c>
      <c r="F79" s="61">
        <f>SUM(D79:E79)</f>
        <v>437.37</v>
      </c>
      <c r="G79" s="54"/>
      <c r="I79" s="1"/>
      <c r="J79" s="1"/>
      <c r="K79" s="1"/>
      <c r="L79" s="1"/>
      <c r="M79" s="1"/>
    </row>
    <row r="80" spans="1:13" s="2" customFormat="1" x14ac:dyDescent="0.2">
      <c r="A80" s="24"/>
      <c r="B80" s="1"/>
      <c r="C80" s="62" t="str">
        <f>TEXT(A5-1,"dd-mm-yyyy")</f>
        <v>04-05-2023</v>
      </c>
      <c r="D80" s="60">
        <v>26.05</v>
      </c>
      <c r="E80" s="60">
        <v>2.3199999999999998</v>
      </c>
      <c r="F80" s="61">
        <f>SUM(D80:E80)</f>
        <v>28.37</v>
      </c>
      <c r="G80" s="54"/>
      <c r="I80" s="1"/>
      <c r="J80" s="1"/>
      <c r="K80" s="1"/>
      <c r="L80" s="1"/>
      <c r="M80" s="1"/>
    </row>
    <row r="81" spans="1:10" ht="13.5" thickBot="1" x14ac:dyDescent="0.25">
      <c r="C81" s="63" t="str">
        <f>"01-05-2023 to "&amp;TEXT(A5-1,"dd-mm-yyyy")</f>
        <v>01-05-2023 to 04-05-2023</v>
      </c>
      <c r="D81" s="64">
        <f>SUM(D79:D80)</f>
        <v>421.57</v>
      </c>
      <c r="E81" s="64">
        <f>SUM(E79:E80)</f>
        <v>44.17</v>
      </c>
      <c r="F81" s="64">
        <f>SUM(F79:F80)</f>
        <v>465.74</v>
      </c>
      <c r="G81" s="54"/>
      <c r="H81" s="2" t="s">
        <v>396</v>
      </c>
    </row>
    <row r="82" spans="1:10" s="2" customFormat="1" ht="13.5" thickTop="1" x14ac:dyDescent="0.2">
      <c r="A82" s="24"/>
      <c r="B82" s="1"/>
      <c r="C82" s="62"/>
      <c r="D82" s="65"/>
      <c r="E82" s="66"/>
      <c r="F82" s="67"/>
      <c r="G82" s="54"/>
      <c r="H82" s="53"/>
    </row>
    <row r="83" spans="1:10" x14ac:dyDescent="0.2">
      <c r="C83" s="62" t="str">
        <f>"01-04-2023 to " &amp;C80</f>
        <v>01-04-2023 to 04-05-2023</v>
      </c>
      <c r="D83" s="68">
        <f>+D81+4320.26</f>
        <v>4741.83</v>
      </c>
      <c r="E83" s="68">
        <f>+E81+536.17</f>
        <v>580.33999999999992</v>
      </c>
      <c r="F83" s="68">
        <f>+F81+4856.44</f>
        <v>5322.1799999999994</v>
      </c>
      <c r="G83" s="54"/>
      <c r="H83" s="53" t="s">
        <v>396</v>
      </c>
    </row>
    <row r="84" spans="1:10" x14ac:dyDescent="0.2">
      <c r="C84" s="52"/>
      <c r="D84" s="85"/>
      <c r="E84" s="53"/>
      <c r="F84" s="53"/>
      <c r="G84" s="54"/>
      <c r="H84" s="53" t="s">
        <v>396</v>
      </c>
      <c r="J84" s="42"/>
    </row>
    <row r="85" spans="1:10" x14ac:dyDescent="0.2">
      <c r="C85" s="52"/>
      <c r="D85" s="85"/>
      <c r="E85" s="53"/>
      <c r="F85" s="53"/>
      <c r="G85" s="54"/>
      <c r="H85" s="53"/>
      <c r="I85" s="101"/>
    </row>
    <row r="86" spans="1:10" x14ac:dyDescent="0.2">
      <c r="C86" s="52"/>
      <c r="D86" s="85"/>
      <c r="E86" s="53"/>
      <c r="F86" s="53"/>
      <c r="G86" s="54"/>
      <c r="H86" s="53"/>
    </row>
    <row r="87" spans="1:10" x14ac:dyDescent="0.2">
      <c r="C87" s="52"/>
      <c r="D87" s="85"/>
      <c r="E87" s="53"/>
      <c r="F87" s="53"/>
      <c r="G87" s="54"/>
      <c r="H87" s="53"/>
    </row>
    <row r="88" spans="1:10" x14ac:dyDescent="0.2">
      <c r="H88" s="53"/>
    </row>
  </sheetData>
  <mergeCells count="5">
    <mergeCell ref="A1:G1"/>
    <mergeCell ref="A3:F3"/>
    <mergeCell ref="A9:F9"/>
    <mergeCell ref="C77:F77"/>
    <mergeCell ref="A70:D70"/>
  </mergeCells>
  <conditionalFormatting sqref="G67:G68">
    <cfRule type="cellIs" dxfId="603" priority="1" operator="lessThan">
      <formula>0</formula>
    </cfRule>
  </conditionalFormatting>
  <conditionalFormatting sqref="C11">
    <cfRule type="duplicateValues" dxfId="602" priority="2"/>
  </conditionalFormatting>
  <conditionalFormatting sqref="C12:C47">
    <cfRule type="duplicateValues" dxfId="601" priority="460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318">
    <pageSetUpPr fitToPage="1"/>
  </sheetPr>
  <dimension ref="A1:N80"/>
  <sheetViews>
    <sheetView zoomScaleNormal="100" workbookViewId="0">
      <selection activeCell="C46" sqref="C46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47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928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2.75" customHeight="1" x14ac:dyDescent="0.4">
      <c r="A5" s="89">
        <v>45052</v>
      </c>
      <c r="B5" s="9" t="s">
        <v>6</v>
      </c>
      <c r="C5" s="10" t="s">
        <v>7</v>
      </c>
      <c r="D5" s="11"/>
      <c r="E5" s="12">
        <v>2506509.7000000002</v>
      </c>
      <c r="F5" s="12"/>
      <c r="G5" s="1"/>
      <c r="H5" s="112"/>
      <c r="I5" s="112"/>
    </row>
    <row r="6" spans="1:10" s="2" customFormat="1" ht="12.75" customHeight="1" x14ac:dyDescent="0.4">
      <c r="A6" s="89">
        <v>45052</v>
      </c>
      <c r="B6" s="9" t="s">
        <v>6</v>
      </c>
      <c r="C6" s="10" t="s">
        <v>702</v>
      </c>
      <c r="D6" s="117" t="s">
        <v>13</v>
      </c>
      <c r="E6" s="12">
        <v>250000</v>
      </c>
      <c r="F6" s="12"/>
      <c r="G6" s="1"/>
      <c r="H6" s="112"/>
      <c r="I6" s="112"/>
    </row>
    <row r="7" spans="1:10" s="2" customFormat="1" ht="12.75" customHeight="1" x14ac:dyDescent="0.4">
      <c r="A7" s="89">
        <v>45052</v>
      </c>
      <c r="B7" s="9" t="s">
        <v>6</v>
      </c>
      <c r="C7" s="10" t="s">
        <v>380</v>
      </c>
      <c r="D7" s="117" t="s">
        <v>29</v>
      </c>
      <c r="E7" s="12"/>
      <c r="F7" s="12">
        <v>2020035</v>
      </c>
      <c r="G7" s="1"/>
      <c r="H7" s="112"/>
      <c r="I7" s="112"/>
    </row>
    <row r="8" spans="1:10" s="2" customFormat="1" ht="12.75" customHeight="1" x14ac:dyDescent="0.4">
      <c r="D8" s="15" t="s">
        <v>8</v>
      </c>
      <c r="E8" s="16">
        <f>SUM(E5:E6)</f>
        <v>2756509.7</v>
      </c>
      <c r="F8" s="16">
        <f>SUM(F5:F7)</f>
        <v>2020035</v>
      </c>
      <c r="G8" s="1"/>
      <c r="H8" s="112"/>
      <c r="I8" s="112"/>
    </row>
    <row r="9" spans="1:10" s="2" customFormat="1" ht="12.75" customHeight="1" x14ac:dyDescent="0.4">
      <c r="A9" s="17"/>
      <c r="B9" s="18"/>
      <c r="C9" s="19" t="s">
        <v>9</v>
      </c>
      <c r="D9" s="20"/>
      <c r="E9" s="21">
        <f>E8-F8</f>
        <v>736474.70000000019</v>
      </c>
      <c r="F9" s="22"/>
      <c r="G9" s="23"/>
      <c r="H9" s="112"/>
      <c r="I9" s="112"/>
      <c r="J9" s="13"/>
    </row>
    <row r="10" spans="1:10" s="2" customFormat="1" ht="12.75" customHeight="1" x14ac:dyDescent="0.4">
      <c r="A10" s="24"/>
      <c r="B10" s="1"/>
      <c r="C10" s="14"/>
      <c r="D10" s="25"/>
      <c r="G10" s="23"/>
      <c r="H10" s="112"/>
      <c r="I10" s="112"/>
      <c r="J10" s="13"/>
    </row>
    <row r="11" spans="1:10" s="2" customFormat="1" ht="21.75" customHeight="1" x14ac:dyDescent="0.4">
      <c r="A11" s="214" t="s">
        <v>10</v>
      </c>
      <c r="B11" s="214"/>
      <c r="C11" s="214"/>
      <c r="D11" s="214"/>
      <c r="E11" s="214"/>
      <c r="F11" s="214"/>
      <c r="G11" s="13"/>
      <c r="H11" s="112"/>
      <c r="I11" s="112"/>
      <c r="J11" s="13"/>
    </row>
    <row r="12" spans="1:10" s="2" customFormat="1" ht="12.75" customHeight="1" x14ac:dyDescent="0.4">
      <c r="A12" s="26" t="s">
        <v>1</v>
      </c>
      <c r="B12" s="27" t="s">
        <v>2</v>
      </c>
      <c r="C12" s="5"/>
      <c r="D12" s="6" t="s">
        <v>3</v>
      </c>
      <c r="E12" s="7" t="s">
        <v>4</v>
      </c>
      <c r="F12" s="7" t="s">
        <v>5</v>
      </c>
      <c r="G12" s="23"/>
      <c r="H12" s="112"/>
      <c r="I12" s="112"/>
      <c r="J12" s="13"/>
    </row>
    <row r="13" spans="1:10" s="2" customFormat="1" ht="12.75" customHeight="1" x14ac:dyDescent="0.2">
      <c r="A13" s="89">
        <v>45052</v>
      </c>
      <c r="B13" s="91" t="s">
        <v>11</v>
      </c>
      <c r="C13" s="29" t="s">
        <v>7</v>
      </c>
      <c r="D13" s="25"/>
      <c r="E13" s="31"/>
      <c r="F13" s="2">
        <v>346988564.46000004</v>
      </c>
      <c r="G13" s="30"/>
      <c r="I13" s="13"/>
      <c r="J13" s="13"/>
    </row>
    <row r="14" spans="1:10" s="2" customFormat="1" ht="12.75" customHeight="1" x14ac:dyDescent="0.2">
      <c r="A14" s="89">
        <v>45052</v>
      </c>
      <c r="B14" s="91" t="s">
        <v>6</v>
      </c>
      <c r="C14" s="76" t="s">
        <v>311</v>
      </c>
      <c r="D14" s="116" t="s">
        <v>13</v>
      </c>
      <c r="E14" s="31">
        <v>5749</v>
      </c>
      <c r="G14" s="30"/>
      <c r="I14" s="13"/>
      <c r="J14" s="13"/>
    </row>
    <row r="15" spans="1:10" s="2" customFormat="1" ht="12.75" customHeight="1" x14ac:dyDescent="0.2">
      <c r="A15" s="89">
        <v>45052</v>
      </c>
      <c r="B15" s="91" t="s">
        <v>6</v>
      </c>
      <c r="C15" s="76" t="s">
        <v>272</v>
      </c>
      <c r="D15" s="116" t="s">
        <v>13</v>
      </c>
      <c r="E15" s="31">
        <v>2460774</v>
      </c>
      <c r="G15" s="30"/>
      <c r="I15" s="13"/>
      <c r="J15" s="13"/>
    </row>
    <row r="16" spans="1:10" s="2" customFormat="1" ht="12.75" customHeight="1" x14ac:dyDescent="0.2">
      <c r="A16" s="89">
        <v>45052</v>
      </c>
      <c r="B16" s="91" t="s">
        <v>6</v>
      </c>
      <c r="C16" s="76" t="s">
        <v>245</v>
      </c>
      <c r="D16" s="116" t="s">
        <v>13</v>
      </c>
      <c r="E16" s="31">
        <v>207572</v>
      </c>
      <c r="G16" s="30"/>
      <c r="I16" s="13"/>
      <c r="J16" s="13"/>
    </row>
    <row r="17" spans="1:10" s="2" customFormat="1" ht="12.75" customHeight="1" x14ac:dyDescent="0.2">
      <c r="A17" s="89">
        <v>45052</v>
      </c>
      <c r="B17" s="91" t="s">
        <v>6</v>
      </c>
      <c r="C17" s="76" t="s">
        <v>17</v>
      </c>
      <c r="D17" s="116" t="s">
        <v>13</v>
      </c>
      <c r="E17" s="31">
        <v>75549</v>
      </c>
      <c r="G17" s="30"/>
      <c r="I17" s="13"/>
      <c r="J17" s="13"/>
    </row>
    <row r="18" spans="1:10" s="2" customFormat="1" ht="12.75" customHeight="1" x14ac:dyDescent="0.2">
      <c r="A18" s="89">
        <v>45052</v>
      </c>
      <c r="B18" s="91" t="s">
        <v>6</v>
      </c>
      <c r="C18" s="76" t="s">
        <v>336</v>
      </c>
      <c r="D18" s="116" t="s">
        <v>13</v>
      </c>
      <c r="E18" s="31">
        <v>2134998</v>
      </c>
      <c r="G18" s="30"/>
      <c r="I18" s="13"/>
      <c r="J18" s="13"/>
    </row>
    <row r="19" spans="1:10" s="2" customFormat="1" ht="12.75" customHeight="1" x14ac:dyDescent="0.2">
      <c r="A19" s="89">
        <v>45052</v>
      </c>
      <c r="B19" s="91" t="s">
        <v>6</v>
      </c>
      <c r="C19" s="76" t="s">
        <v>622</v>
      </c>
      <c r="D19" s="116" t="s">
        <v>13</v>
      </c>
      <c r="E19" s="31">
        <v>735</v>
      </c>
      <c r="G19" s="30"/>
      <c r="I19" s="13"/>
      <c r="J19" s="13"/>
    </row>
    <row r="20" spans="1:10" s="2" customFormat="1" ht="12.75" customHeight="1" x14ac:dyDescent="0.2">
      <c r="A20" s="89">
        <v>45052</v>
      </c>
      <c r="B20" s="91" t="s">
        <v>6</v>
      </c>
      <c r="C20" s="76" t="s">
        <v>299</v>
      </c>
      <c r="D20" s="116" t="s">
        <v>13</v>
      </c>
      <c r="E20" s="31">
        <v>66780</v>
      </c>
      <c r="G20" s="30"/>
      <c r="I20" s="13"/>
      <c r="J20" s="13"/>
    </row>
    <row r="21" spans="1:10" s="2" customFormat="1" ht="12.75" customHeight="1" x14ac:dyDescent="0.2">
      <c r="A21" s="89">
        <v>45052</v>
      </c>
      <c r="B21" s="91" t="s">
        <v>6</v>
      </c>
      <c r="C21" s="76" t="s">
        <v>93</v>
      </c>
      <c r="D21" s="116" t="s">
        <v>13</v>
      </c>
      <c r="E21" s="31">
        <v>2571632</v>
      </c>
      <c r="G21" s="30"/>
      <c r="I21" s="13"/>
      <c r="J21" s="13"/>
    </row>
    <row r="22" spans="1:10" s="2" customFormat="1" ht="12.75" customHeight="1" x14ac:dyDescent="0.2">
      <c r="A22" s="89">
        <v>45052</v>
      </c>
      <c r="B22" s="91" t="s">
        <v>6</v>
      </c>
      <c r="C22" s="76" t="s">
        <v>149</v>
      </c>
      <c r="D22" s="116" t="s">
        <v>13</v>
      </c>
      <c r="E22" s="31">
        <v>184016</v>
      </c>
      <c r="G22" s="30"/>
      <c r="I22" s="13"/>
      <c r="J22" s="13"/>
    </row>
    <row r="23" spans="1:10" s="2" customFormat="1" ht="12.75" customHeight="1" x14ac:dyDescent="0.2">
      <c r="A23" s="89">
        <v>45052</v>
      </c>
      <c r="B23" s="91" t="s">
        <v>6</v>
      </c>
      <c r="C23" s="76" t="s">
        <v>15</v>
      </c>
      <c r="D23" s="116" t="s">
        <v>13</v>
      </c>
      <c r="E23" s="31">
        <v>221.56</v>
      </c>
      <c r="G23" s="30"/>
      <c r="I23" s="13"/>
      <c r="J23" s="13"/>
    </row>
    <row r="24" spans="1:10" s="2" customFormat="1" ht="12.75" customHeight="1" x14ac:dyDescent="0.2">
      <c r="A24" s="89">
        <v>45052</v>
      </c>
      <c r="B24" s="91" t="s">
        <v>6</v>
      </c>
      <c r="C24" s="76" t="s">
        <v>615</v>
      </c>
      <c r="D24" s="116" t="s">
        <v>13</v>
      </c>
      <c r="E24" s="31">
        <v>50000</v>
      </c>
      <c r="G24" s="30"/>
      <c r="I24" s="13"/>
      <c r="J24" s="13"/>
    </row>
    <row r="25" spans="1:10" s="2" customFormat="1" ht="12.75" customHeight="1" x14ac:dyDescent="0.2">
      <c r="A25" s="89">
        <v>45052</v>
      </c>
      <c r="B25" s="91" t="s">
        <v>6</v>
      </c>
      <c r="C25" s="76" t="s">
        <v>152</v>
      </c>
      <c r="D25" s="116" t="s">
        <v>13</v>
      </c>
      <c r="E25" s="31">
        <v>5093199.9400000004</v>
      </c>
      <c r="G25" s="30"/>
      <c r="I25" s="13"/>
      <c r="J25" s="13"/>
    </row>
    <row r="26" spans="1:10" s="2" customFormat="1" ht="12.75" customHeight="1" x14ac:dyDescent="0.2">
      <c r="A26" s="89">
        <v>45052</v>
      </c>
      <c r="B26" s="91" t="s">
        <v>11</v>
      </c>
      <c r="C26" s="76" t="s">
        <v>64</v>
      </c>
      <c r="D26" s="116" t="s">
        <v>29</v>
      </c>
      <c r="E26" s="31"/>
      <c r="F26" s="2">
        <v>2439.2599999999998</v>
      </c>
      <c r="G26" s="30"/>
      <c r="I26" s="13"/>
      <c r="J26" s="13"/>
    </row>
    <row r="27" spans="1:10" s="2" customFormat="1" ht="12.75" customHeight="1" x14ac:dyDescent="0.2">
      <c r="A27" s="89">
        <v>45052</v>
      </c>
      <c r="B27" s="91" t="s">
        <v>11</v>
      </c>
      <c r="C27" s="76" t="s">
        <v>127</v>
      </c>
      <c r="D27" s="116" t="s">
        <v>29</v>
      </c>
      <c r="E27" s="31"/>
      <c r="F27" s="2">
        <v>9343530</v>
      </c>
      <c r="G27" s="30"/>
      <c r="I27" s="13"/>
      <c r="J27" s="13"/>
    </row>
    <row r="28" spans="1:10" s="2" customFormat="1" ht="12.75" customHeight="1" x14ac:dyDescent="0.2">
      <c r="A28" s="89">
        <v>45052</v>
      </c>
      <c r="B28" s="91" t="s">
        <v>11</v>
      </c>
      <c r="C28" s="76" t="s">
        <v>95</v>
      </c>
      <c r="D28" s="116" t="s">
        <v>29</v>
      </c>
      <c r="E28" s="31"/>
      <c r="F28" s="2">
        <v>14850</v>
      </c>
      <c r="G28" s="30"/>
      <c r="I28" s="13"/>
      <c r="J28" s="13"/>
    </row>
    <row r="29" spans="1:10" s="2" customFormat="1" ht="12.75" customHeight="1" x14ac:dyDescent="0.2">
      <c r="A29" s="89">
        <v>45052</v>
      </c>
      <c r="B29" s="91" t="s">
        <v>11</v>
      </c>
      <c r="C29" s="76" t="s">
        <v>248</v>
      </c>
      <c r="D29" s="116" t="s">
        <v>29</v>
      </c>
      <c r="E29" s="31"/>
      <c r="F29" s="2">
        <v>76972</v>
      </c>
      <c r="G29" s="30"/>
      <c r="I29" s="13"/>
      <c r="J29" s="13"/>
    </row>
    <row r="30" spans="1:10" s="2" customFormat="1" ht="12.75" customHeight="1" x14ac:dyDescent="0.2">
      <c r="A30" s="89">
        <v>45052</v>
      </c>
      <c r="B30" s="91" t="s">
        <v>11</v>
      </c>
      <c r="C30" s="76" t="s">
        <v>561</v>
      </c>
      <c r="D30" s="116" t="s">
        <v>29</v>
      </c>
      <c r="E30" s="31"/>
      <c r="F30" s="2">
        <v>645192</v>
      </c>
      <c r="G30" s="30"/>
      <c r="I30" s="13"/>
      <c r="J30" s="13"/>
    </row>
    <row r="31" spans="1:10" s="2" customFormat="1" ht="12.75" customHeight="1" x14ac:dyDescent="0.2">
      <c r="A31" s="89">
        <v>45052</v>
      </c>
      <c r="B31" s="91" t="s">
        <v>11</v>
      </c>
      <c r="C31" s="76" t="s">
        <v>195</v>
      </c>
      <c r="D31" s="116" t="s">
        <v>29</v>
      </c>
      <c r="E31" s="31"/>
      <c r="F31" s="2">
        <v>3060</v>
      </c>
      <c r="G31" s="30"/>
      <c r="I31" s="13"/>
      <c r="J31" s="13"/>
    </row>
    <row r="32" spans="1:10" s="2" customFormat="1" ht="12.75" customHeight="1" x14ac:dyDescent="0.2">
      <c r="A32" s="89">
        <v>45052</v>
      </c>
      <c r="B32" s="91" t="s">
        <v>11</v>
      </c>
      <c r="C32" s="76" t="s">
        <v>221</v>
      </c>
      <c r="D32" s="116" t="s">
        <v>29</v>
      </c>
      <c r="E32" s="31"/>
      <c r="F32" s="2">
        <v>1865</v>
      </c>
      <c r="G32" s="30"/>
      <c r="I32" s="13"/>
      <c r="J32" s="13"/>
    </row>
    <row r="33" spans="1:14" s="2" customFormat="1" ht="12.75" customHeight="1" x14ac:dyDescent="0.2">
      <c r="A33" s="89">
        <v>45052</v>
      </c>
      <c r="B33" s="91" t="s">
        <v>11</v>
      </c>
      <c r="C33" s="76" t="s">
        <v>929</v>
      </c>
      <c r="D33" s="116" t="s">
        <v>29</v>
      </c>
      <c r="E33" s="31"/>
      <c r="F33" s="2">
        <v>11210</v>
      </c>
      <c r="G33" s="30"/>
      <c r="I33" s="13"/>
      <c r="J33" s="13"/>
    </row>
    <row r="34" spans="1:14" s="2" customFormat="1" ht="12.75" customHeight="1" x14ac:dyDescent="0.2">
      <c r="A34" s="89">
        <v>45052</v>
      </c>
      <c r="B34" s="91" t="s">
        <v>11</v>
      </c>
      <c r="C34" s="76" t="s">
        <v>930</v>
      </c>
      <c r="D34" s="116" t="s">
        <v>29</v>
      </c>
      <c r="E34" s="31"/>
      <c r="F34" s="2">
        <v>9676</v>
      </c>
      <c r="G34" s="30"/>
      <c r="I34" s="13"/>
      <c r="J34" s="13"/>
    </row>
    <row r="35" spans="1:14" s="2" customFormat="1" ht="12.75" customHeight="1" x14ac:dyDescent="0.2">
      <c r="A35" s="89">
        <v>45052</v>
      </c>
      <c r="B35" s="91" t="s">
        <v>11</v>
      </c>
      <c r="C35" s="76" t="s">
        <v>663</v>
      </c>
      <c r="D35" s="116" t="s">
        <v>29</v>
      </c>
      <c r="E35" s="31"/>
      <c r="F35" s="2">
        <v>55440</v>
      </c>
      <c r="G35" s="30"/>
      <c r="I35" s="13"/>
      <c r="J35" s="13"/>
    </row>
    <row r="36" spans="1:14" s="2" customFormat="1" ht="12.75" customHeight="1" x14ac:dyDescent="0.2">
      <c r="A36" s="89">
        <v>45052</v>
      </c>
      <c r="B36" s="91" t="s">
        <v>11</v>
      </c>
      <c r="C36" s="76" t="s">
        <v>352</v>
      </c>
      <c r="D36" s="116" t="s">
        <v>29</v>
      </c>
      <c r="E36" s="31"/>
      <c r="F36" s="2">
        <v>27306</v>
      </c>
      <c r="G36" s="30"/>
      <c r="I36" s="13"/>
      <c r="J36" s="13"/>
    </row>
    <row r="37" spans="1:14" s="2" customFormat="1" ht="12.75" customHeight="1" x14ac:dyDescent="0.2">
      <c r="A37" s="89">
        <v>45052</v>
      </c>
      <c r="B37" s="91" t="s">
        <v>11</v>
      </c>
      <c r="C37" s="76" t="s">
        <v>57</v>
      </c>
      <c r="D37" s="116" t="s">
        <v>29</v>
      </c>
      <c r="E37" s="31"/>
      <c r="F37" s="2">
        <v>400000</v>
      </c>
      <c r="G37" s="30"/>
      <c r="I37" s="13"/>
      <c r="J37" s="13"/>
    </row>
    <row r="38" spans="1:14" s="2" customFormat="1" ht="12.75" customHeight="1" x14ac:dyDescent="0.2">
      <c r="A38" s="89">
        <v>45052</v>
      </c>
      <c r="B38" s="91" t="s">
        <v>11</v>
      </c>
      <c r="C38" s="76" t="s">
        <v>223</v>
      </c>
      <c r="D38" s="116" t="s">
        <v>29</v>
      </c>
      <c r="E38" s="31"/>
      <c r="F38" s="2">
        <v>4941743</v>
      </c>
      <c r="G38" s="30"/>
      <c r="I38" s="13"/>
      <c r="J38" s="13"/>
      <c r="K38" s="99" t="s">
        <v>779</v>
      </c>
    </row>
    <row r="39" spans="1:14" s="2" customFormat="1" ht="12.75" customHeight="1" x14ac:dyDescent="0.25">
      <c r="A39" s="32"/>
      <c r="B39" s="33"/>
      <c r="C39" s="14"/>
      <c r="D39" s="34"/>
      <c r="E39" s="16">
        <f>SUM(E13:E38)</f>
        <v>12851226.5</v>
      </c>
      <c r="F39" s="16">
        <f>SUM(F13:F38)</f>
        <v>362521847.72000003</v>
      </c>
      <c r="G39" s="30"/>
      <c r="H39" s="1"/>
      <c r="I39" s="39">
        <v>350066402.22000003</v>
      </c>
      <c r="K39" s="92">
        <f>E40-I39</f>
        <v>-395781</v>
      </c>
      <c r="L39" s="41"/>
      <c r="M39" s="42">
        <f>K39+J39</f>
        <v>-395781</v>
      </c>
      <c r="N39" s="1"/>
    </row>
    <row r="40" spans="1:14" s="2" customFormat="1" x14ac:dyDescent="0.2">
      <c r="A40" s="36"/>
      <c r="B40" s="28" t="s">
        <v>11</v>
      </c>
      <c r="C40" s="19" t="s">
        <v>65</v>
      </c>
      <c r="D40" s="37"/>
      <c r="E40" s="38">
        <f>F39-E39</f>
        <v>349670621.22000003</v>
      </c>
      <c r="F40" s="22"/>
      <c r="G40" s="1"/>
      <c r="H40" s="1"/>
      <c r="J40" s="1"/>
      <c r="K40" s="1"/>
      <c r="L40" s="1"/>
      <c r="M40" s="1"/>
      <c r="N40" s="1"/>
    </row>
    <row r="41" spans="1:14" x14ac:dyDescent="0.2">
      <c r="A41" s="36"/>
      <c r="B41" s="28" t="s">
        <v>66</v>
      </c>
      <c r="C41" s="43" t="s">
        <v>67</v>
      </c>
      <c r="D41" s="43"/>
      <c r="E41" s="12">
        <v>0</v>
      </c>
      <c r="F41" s="22"/>
      <c r="H41" s="40"/>
      <c r="I41" s="45">
        <v>583.21</v>
      </c>
      <c r="J41" s="46"/>
      <c r="K41" s="46"/>
      <c r="L41" s="13"/>
      <c r="M41" s="2"/>
      <c r="N41" s="2"/>
    </row>
    <row r="42" spans="1:14" ht="15" x14ac:dyDescent="0.25">
      <c r="A42" s="36"/>
      <c r="B42" s="28"/>
      <c r="C42" s="44" t="s">
        <v>68</v>
      </c>
      <c r="D42" s="43"/>
      <c r="E42" s="7">
        <f>E40+E41</f>
        <v>349670621.22000003</v>
      </c>
      <c r="F42" s="22"/>
      <c r="H42" s="103" t="s">
        <v>69</v>
      </c>
      <c r="I42" s="45">
        <v>-42.1</v>
      </c>
      <c r="J42" s="46"/>
      <c r="K42" s="46"/>
      <c r="L42" s="2"/>
      <c r="M42" s="2"/>
      <c r="N42" s="2"/>
    </row>
    <row r="43" spans="1:14" s="2" customFormat="1" x14ac:dyDescent="0.2">
      <c r="A43" s="24"/>
      <c r="B43" s="1"/>
      <c r="C43" s="14"/>
      <c r="D43" s="25"/>
      <c r="E43" s="1"/>
      <c r="H43" s="35" t="s">
        <v>70</v>
      </c>
      <c r="I43" s="45">
        <v>0</v>
      </c>
      <c r="J43" s="46">
        <f>+I44-D46</f>
        <v>0</v>
      </c>
      <c r="M43" s="2">
        <v>19.57</v>
      </c>
      <c r="N43" s="2" t="s">
        <v>535</v>
      </c>
    </row>
    <row r="44" spans="1:14" s="2" customFormat="1" x14ac:dyDescent="0.2">
      <c r="A44" s="24"/>
      <c r="B44" s="1"/>
      <c r="C44" s="56"/>
      <c r="D44" s="56"/>
      <c r="E44" s="104"/>
      <c r="G44" s="1"/>
      <c r="I44" s="49">
        <f>SUM(I41:I43)</f>
        <v>541.11</v>
      </c>
      <c r="J44" s="46"/>
      <c r="K44" s="46"/>
    </row>
    <row r="45" spans="1:14" s="2" customFormat="1" x14ac:dyDescent="0.2">
      <c r="A45" s="24"/>
      <c r="B45" s="1"/>
      <c r="C45" s="78" t="s">
        <v>575</v>
      </c>
      <c r="D45" s="48" t="s">
        <v>576</v>
      </c>
      <c r="E45" s="104"/>
      <c r="G45" s="1"/>
    </row>
    <row r="46" spans="1:14" s="2" customFormat="1" x14ac:dyDescent="0.2">
      <c r="A46" s="24"/>
      <c r="B46" s="1"/>
      <c r="C46" s="47" t="s">
        <v>570</v>
      </c>
      <c r="D46" s="111">
        <v>541.11</v>
      </c>
      <c r="E46" s="104"/>
      <c r="G46" s="1"/>
      <c r="H46" s="110" t="s">
        <v>581</v>
      </c>
    </row>
    <row r="47" spans="1:14" s="2" customFormat="1" x14ac:dyDescent="0.2">
      <c r="A47" s="24"/>
      <c r="B47" s="1"/>
      <c r="C47" s="47" t="s">
        <v>931</v>
      </c>
      <c r="D47" s="111">
        <v>166.69</v>
      </c>
      <c r="E47" s="104"/>
      <c r="G47" s="1"/>
      <c r="H47" s="110" t="s">
        <v>580</v>
      </c>
    </row>
    <row r="48" spans="1:14" s="2" customFormat="1" x14ac:dyDescent="0.2">
      <c r="A48" s="24"/>
      <c r="B48" s="1"/>
      <c r="C48" s="47" t="s">
        <v>572</v>
      </c>
      <c r="D48" s="111">
        <f>+D67/100000</f>
        <v>120.62201</v>
      </c>
      <c r="E48" s="104"/>
      <c r="G48" s="1"/>
      <c r="H48" s="90" t="s">
        <v>587</v>
      </c>
    </row>
    <row r="49" spans="1:13" s="2" customFormat="1" x14ac:dyDescent="0.2">
      <c r="A49" s="24"/>
      <c r="B49" s="1"/>
      <c r="C49" s="108" t="s">
        <v>578</v>
      </c>
      <c r="D49" s="48">
        <f>SUM(D46:D48)</f>
        <v>828.42201</v>
      </c>
      <c r="E49" s="104"/>
      <c r="G49" s="1"/>
    </row>
    <row r="50" spans="1:13" s="2" customFormat="1" x14ac:dyDescent="0.2">
      <c r="A50" s="24"/>
      <c r="B50" s="1"/>
      <c r="C50" s="47"/>
      <c r="D50" s="107"/>
      <c r="E50" s="104"/>
      <c r="G50" s="1"/>
    </row>
    <row r="51" spans="1:13" s="2" customFormat="1" x14ac:dyDescent="0.2">
      <c r="A51" s="24"/>
      <c r="B51" s="1"/>
      <c r="C51" s="47" t="s">
        <v>932</v>
      </c>
      <c r="D51" s="111">
        <v>136.5</v>
      </c>
      <c r="E51" s="104"/>
      <c r="G51" s="1"/>
      <c r="H51" s="110" t="s">
        <v>581</v>
      </c>
    </row>
    <row r="52" spans="1:13" s="2" customFormat="1" x14ac:dyDescent="0.2">
      <c r="A52" s="24"/>
      <c r="B52" s="1"/>
      <c r="C52" s="47" t="s">
        <v>933</v>
      </c>
      <c r="D52" s="111">
        <v>74.28</v>
      </c>
      <c r="E52" s="104"/>
      <c r="G52" s="1"/>
      <c r="H52" s="110" t="s">
        <v>581</v>
      </c>
      <c r="J52" s="114" t="s">
        <v>713</v>
      </c>
    </row>
    <row r="53" spans="1:13" s="2" customFormat="1" x14ac:dyDescent="0.2">
      <c r="A53" s="24"/>
      <c r="B53" s="1"/>
      <c r="C53" s="78" t="s">
        <v>579</v>
      </c>
      <c r="D53" s="109">
        <f>D51+D52</f>
        <v>210.78</v>
      </c>
      <c r="E53" s="104"/>
      <c r="G53" s="1"/>
      <c r="I53" s="113"/>
      <c r="J53" s="113" t="s">
        <v>709</v>
      </c>
      <c r="K53" s="113" t="s">
        <v>710</v>
      </c>
      <c r="L53" s="113" t="s">
        <v>711</v>
      </c>
      <c r="M53" s="113" t="s">
        <v>712</v>
      </c>
    </row>
    <row r="54" spans="1:13" s="2" customFormat="1" x14ac:dyDescent="0.2">
      <c r="A54" s="24"/>
      <c r="B54" s="1"/>
      <c r="C54" s="105"/>
      <c r="D54" s="106"/>
      <c r="E54" s="104"/>
      <c r="G54" s="1"/>
      <c r="I54" s="113" t="s">
        <v>706</v>
      </c>
      <c r="J54" s="115"/>
      <c r="K54" s="115">
        <v>968.99</v>
      </c>
      <c r="L54" s="115">
        <v>968.99</v>
      </c>
      <c r="M54" s="113">
        <f>+J54+L54-K54</f>
        <v>0</v>
      </c>
    </row>
    <row r="55" spans="1:13" s="2" customFormat="1" x14ac:dyDescent="0.2">
      <c r="A55" s="24"/>
      <c r="B55" s="1"/>
      <c r="C55" s="78" t="s">
        <v>577</v>
      </c>
      <c r="D55" s="109">
        <f>D46+D53</f>
        <v>751.89</v>
      </c>
      <c r="E55" s="104"/>
      <c r="G55" s="1"/>
      <c r="I55" s="113" t="s">
        <v>707</v>
      </c>
      <c r="J55" s="115">
        <v>183.1</v>
      </c>
      <c r="K55" s="115">
        <v>1684.08</v>
      </c>
      <c r="L55" s="115">
        <v>2309.98</v>
      </c>
      <c r="M55" s="113">
        <f>+J55+L55-K55</f>
        <v>809</v>
      </c>
    </row>
    <row r="56" spans="1:13" s="2" customFormat="1" x14ac:dyDescent="0.2">
      <c r="A56" s="24"/>
      <c r="B56" s="1"/>
      <c r="C56" s="56"/>
      <c r="D56" s="56"/>
      <c r="E56" s="104"/>
      <c r="G56" s="1"/>
      <c r="I56" s="113" t="s">
        <v>708</v>
      </c>
      <c r="J56" s="115">
        <v>1371.02</v>
      </c>
      <c r="K56" s="115">
        <v>10802.39</v>
      </c>
      <c r="L56" s="115">
        <v>11098.53</v>
      </c>
      <c r="M56" s="113">
        <f>+J56+L56-K56</f>
        <v>1667.1600000000017</v>
      </c>
    </row>
    <row r="57" spans="1:13" s="2" customFormat="1" ht="38.25" x14ac:dyDescent="0.2">
      <c r="A57" s="24"/>
      <c r="B57" s="1"/>
      <c r="C57" s="79" t="str">
        <f>"Particulars ( 01-04-2021 to "&amp;TEXT(A5,"dd-mm-yyyy")&amp;" )"</f>
        <v>Particulars ( 01-04-2021 to 06-05-2023 )</v>
      </c>
      <c r="D57" s="80" t="s">
        <v>73</v>
      </c>
      <c r="E57" s="80" t="s">
        <v>74</v>
      </c>
      <c r="F57" s="81" t="s">
        <v>75</v>
      </c>
      <c r="G57" s="80" t="s">
        <v>76</v>
      </c>
      <c r="J57" s="118">
        <f>SUM(J54:J56)</f>
        <v>1554.12</v>
      </c>
      <c r="K57" s="118">
        <f>SUM(K54:K56)</f>
        <v>13455.46</v>
      </c>
      <c r="L57" s="118">
        <f>SUM(L54:L56)</f>
        <v>14377.5</v>
      </c>
      <c r="M57" s="118">
        <f>SUM(M54:M56)</f>
        <v>2476.1600000000017</v>
      </c>
    </row>
    <row r="58" spans="1:13" s="2" customFormat="1" x14ac:dyDescent="0.2">
      <c r="A58" s="24"/>
      <c r="B58" s="1"/>
      <c r="C58" s="50" t="s">
        <v>444</v>
      </c>
      <c r="D58" s="55">
        <f>+L54+L55+J55</f>
        <v>3462.07</v>
      </c>
      <c r="E58" s="55">
        <f>+K54+K55</f>
        <v>2653.0699999999997</v>
      </c>
      <c r="F58" s="55">
        <f>+D58-E58</f>
        <v>809.00000000000045</v>
      </c>
      <c r="G58" s="55">
        <f>1500-F58</f>
        <v>690.99999999999955</v>
      </c>
      <c r="H58" s="2" t="s">
        <v>396</v>
      </c>
    </row>
    <row r="59" spans="1:13" s="2" customFormat="1" x14ac:dyDescent="0.2">
      <c r="A59" s="24"/>
      <c r="B59" s="1"/>
      <c r="C59" s="50" t="s">
        <v>71</v>
      </c>
      <c r="D59" s="55">
        <f>+J56+L56</f>
        <v>12469.550000000001</v>
      </c>
      <c r="E59" s="55">
        <f>+K56</f>
        <v>10802.39</v>
      </c>
      <c r="F59" s="55">
        <f>+D59-E59</f>
        <v>1667.1600000000017</v>
      </c>
      <c r="G59" s="55">
        <f>1500+700-F59</f>
        <v>532.83999999999833</v>
      </c>
      <c r="H59" s="2" t="s">
        <v>396</v>
      </c>
    </row>
    <row r="60" spans="1:13" s="2" customFormat="1" x14ac:dyDescent="0.2">
      <c r="A60" s="24"/>
      <c r="B60" s="1"/>
      <c r="C60" s="14"/>
      <c r="D60" s="56"/>
      <c r="E60" s="13"/>
      <c r="G60" s="1"/>
    </row>
    <row r="61" spans="1:13" s="2" customFormat="1" x14ac:dyDescent="0.2">
      <c r="A61" s="215" t="s">
        <v>80</v>
      </c>
      <c r="B61" s="216"/>
      <c r="C61" s="216"/>
      <c r="D61" s="217"/>
      <c r="E61" s="69"/>
      <c r="F61" s="70"/>
      <c r="G61" s="1"/>
      <c r="H61" s="53"/>
    </row>
    <row r="62" spans="1:13" s="2" customFormat="1" x14ac:dyDescent="0.2">
      <c r="A62" s="71" t="s">
        <v>81</v>
      </c>
      <c r="B62" s="71"/>
      <c r="C62" s="72" t="s">
        <v>82</v>
      </c>
      <c r="D62" s="73" t="s">
        <v>83</v>
      </c>
      <c r="E62" s="69"/>
      <c r="F62" s="70"/>
      <c r="H62" s="53"/>
    </row>
    <row r="63" spans="1:13" s="2" customFormat="1" x14ac:dyDescent="0.2">
      <c r="A63" s="87">
        <v>45050</v>
      </c>
      <c r="B63" s="120" t="s">
        <v>6</v>
      </c>
      <c r="C63" s="75" t="s">
        <v>282</v>
      </c>
      <c r="D63" s="88">
        <v>1562637</v>
      </c>
      <c r="G63" s="1"/>
      <c r="L63" s="1"/>
      <c r="M63" s="1"/>
    </row>
    <row r="64" spans="1:13" s="2" customFormat="1" x14ac:dyDescent="0.2">
      <c r="A64" s="87">
        <v>45050</v>
      </c>
      <c r="B64" s="120" t="s">
        <v>6</v>
      </c>
      <c r="C64" s="75" t="s">
        <v>86</v>
      </c>
      <c r="D64" s="88">
        <v>2499321</v>
      </c>
      <c r="G64" s="1"/>
      <c r="L64" s="1"/>
      <c r="M64" s="1"/>
    </row>
    <row r="65" spans="1:13" s="2" customFormat="1" x14ac:dyDescent="0.2">
      <c r="A65" s="87">
        <v>45050</v>
      </c>
      <c r="B65" s="120" t="s">
        <v>6</v>
      </c>
      <c r="C65" s="75" t="s">
        <v>86</v>
      </c>
      <c r="D65" s="88">
        <v>6876102</v>
      </c>
      <c r="G65" s="1"/>
      <c r="L65" s="1"/>
      <c r="M65" s="1"/>
    </row>
    <row r="66" spans="1:13" s="2" customFormat="1" x14ac:dyDescent="0.2">
      <c r="A66" s="87">
        <v>45052</v>
      </c>
      <c r="B66" s="120" t="s">
        <v>6</v>
      </c>
      <c r="C66" s="75" t="s">
        <v>270</v>
      </c>
      <c r="D66" s="88">
        <v>1124141</v>
      </c>
      <c r="G66" s="1"/>
      <c r="L66" s="1"/>
      <c r="M66" s="1"/>
    </row>
    <row r="67" spans="1:13" s="2" customFormat="1" x14ac:dyDescent="0.2">
      <c r="A67" s="87"/>
      <c r="B67" s="74"/>
      <c r="C67" s="75"/>
      <c r="D67" s="51">
        <f>SUM(D63:D66)</f>
        <v>12062201</v>
      </c>
      <c r="F67" s="2" t="s">
        <v>396</v>
      </c>
      <c r="G67" s="1"/>
      <c r="I67" s="1"/>
      <c r="J67" s="1"/>
      <c r="K67" s="1"/>
      <c r="L67" s="1"/>
      <c r="M67" s="1"/>
    </row>
    <row r="68" spans="1:13" s="2" customFormat="1" x14ac:dyDescent="0.2">
      <c r="A68" s="24"/>
      <c r="B68" s="1"/>
      <c r="C68" s="14"/>
      <c r="D68" s="56"/>
      <c r="E68" s="13"/>
      <c r="G68" s="1"/>
    </row>
    <row r="69" spans="1:13" s="2" customFormat="1" x14ac:dyDescent="0.2">
      <c r="A69" s="24"/>
      <c r="B69" s="1"/>
      <c r="C69" s="218" t="s">
        <v>77</v>
      </c>
      <c r="D69" s="219"/>
      <c r="E69" s="219"/>
      <c r="F69" s="220"/>
      <c r="G69" s="54"/>
      <c r="I69" s="1"/>
      <c r="J69" s="1"/>
      <c r="K69" s="1"/>
      <c r="L69" s="1"/>
      <c r="M69" s="1"/>
    </row>
    <row r="70" spans="1:13" s="2" customFormat="1" x14ac:dyDescent="0.2">
      <c r="A70" s="24"/>
      <c r="B70" s="1"/>
      <c r="C70" s="50"/>
      <c r="D70" s="57" t="s">
        <v>78</v>
      </c>
      <c r="E70" s="58" t="s">
        <v>79</v>
      </c>
      <c r="F70" s="57" t="s">
        <v>72</v>
      </c>
      <c r="G70" s="54"/>
      <c r="I70" s="1"/>
      <c r="J70" s="1"/>
      <c r="K70" s="1"/>
      <c r="L70" s="1"/>
      <c r="M70" s="1"/>
    </row>
    <row r="71" spans="1:13" s="2" customFormat="1" x14ac:dyDescent="0.2">
      <c r="A71" s="24"/>
      <c r="B71" s="1"/>
      <c r="C71" s="59" t="str">
        <f>"01-05-2023 to "&amp;TEXT(A5-2,"dd-mm-yyyy")</f>
        <v>01-05-2023 to 04-05-2023</v>
      </c>
      <c r="D71" s="60">
        <v>421.57</v>
      </c>
      <c r="E71" s="60">
        <v>44.19</v>
      </c>
      <c r="F71" s="61">
        <f>SUM(D71:E71)</f>
        <v>465.76</v>
      </c>
      <c r="G71" s="54"/>
      <c r="I71" s="1"/>
      <c r="J71" s="1"/>
      <c r="K71" s="1"/>
      <c r="L71" s="1"/>
      <c r="M71" s="1"/>
    </row>
    <row r="72" spans="1:13" s="2" customFormat="1" x14ac:dyDescent="0.2">
      <c r="A72" s="24"/>
      <c r="B72" s="1"/>
      <c r="C72" s="62" t="str">
        <f>TEXT(A5-1,"dd-mm-yyyy")</f>
        <v>05-05-2023</v>
      </c>
      <c r="D72" s="60">
        <v>193.28</v>
      </c>
      <c r="E72" s="60">
        <v>28.72</v>
      </c>
      <c r="F72" s="61">
        <f>SUM(D72:E72)</f>
        <v>222</v>
      </c>
      <c r="G72" s="54"/>
      <c r="I72" s="1"/>
      <c r="J72" s="1"/>
      <c r="K72" s="1"/>
      <c r="L72" s="1"/>
      <c r="M72" s="1"/>
    </row>
    <row r="73" spans="1:13" ht="13.5" thickBot="1" x14ac:dyDescent="0.25">
      <c r="C73" s="63" t="str">
        <f>"01-05-2023 to "&amp;TEXT(A5-1,"dd-mm-yyyy")</f>
        <v>01-05-2023 to 05-05-2023</v>
      </c>
      <c r="D73" s="64">
        <f>SUM(D71:D72)</f>
        <v>614.85</v>
      </c>
      <c r="E73" s="64">
        <f>SUM(E71:E72)</f>
        <v>72.91</v>
      </c>
      <c r="F73" s="64">
        <f>SUM(F71:F72)</f>
        <v>687.76</v>
      </c>
      <c r="G73" s="54"/>
      <c r="H73" s="2" t="s">
        <v>396</v>
      </c>
    </row>
    <row r="74" spans="1:13" s="2" customFormat="1" ht="13.5" thickTop="1" x14ac:dyDescent="0.2">
      <c r="A74" s="24"/>
      <c r="B74" s="1"/>
      <c r="C74" s="62"/>
      <c r="D74" s="65"/>
      <c r="E74" s="66"/>
      <c r="F74" s="67"/>
      <c r="G74" s="54"/>
      <c r="H74" s="53"/>
    </row>
    <row r="75" spans="1:13" x14ac:dyDescent="0.2">
      <c r="C75" s="62" t="str">
        <f>"01-04-2023 to " &amp;C72</f>
        <v>01-04-2023 to 05-05-2023</v>
      </c>
      <c r="D75" s="68">
        <f>+D73+4320.26</f>
        <v>4935.1100000000006</v>
      </c>
      <c r="E75" s="68">
        <f>+E73+536.17</f>
        <v>609.07999999999993</v>
      </c>
      <c r="F75" s="68">
        <f>+F73+4856.44</f>
        <v>5544.2</v>
      </c>
      <c r="G75" s="54"/>
      <c r="H75" s="53" t="s">
        <v>396</v>
      </c>
    </row>
    <row r="76" spans="1:13" x14ac:dyDescent="0.2">
      <c r="C76" s="52"/>
      <c r="D76" s="85"/>
      <c r="E76" s="53"/>
      <c r="F76" s="53"/>
      <c r="G76" s="54"/>
      <c r="H76" s="53" t="s">
        <v>396</v>
      </c>
      <c r="J76" s="42"/>
    </row>
    <row r="77" spans="1:13" x14ac:dyDescent="0.2">
      <c r="C77" s="52"/>
      <c r="D77" s="85"/>
      <c r="E77" s="53"/>
      <c r="F77" s="53"/>
      <c r="G77" s="54"/>
      <c r="H77" s="53"/>
      <c r="I77" s="101"/>
    </row>
    <row r="78" spans="1:13" x14ac:dyDescent="0.2">
      <c r="C78" s="52"/>
      <c r="D78" s="85"/>
      <c r="E78" s="53"/>
      <c r="F78" s="53"/>
      <c r="G78" s="54"/>
      <c r="H78" s="53"/>
    </row>
    <row r="79" spans="1:13" x14ac:dyDescent="0.2">
      <c r="C79" s="52"/>
      <c r="D79" s="85"/>
      <c r="E79" s="53"/>
      <c r="F79" s="53"/>
      <c r="G79" s="54"/>
      <c r="H79" s="53"/>
    </row>
    <row r="80" spans="1:13" x14ac:dyDescent="0.2">
      <c r="H80" s="53"/>
    </row>
  </sheetData>
  <mergeCells count="5">
    <mergeCell ref="A1:G1"/>
    <mergeCell ref="A3:F3"/>
    <mergeCell ref="A11:F11"/>
    <mergeCell ref="A61:D61"/>
    <mergeCell ref="C69:F69"/>
  </mergeCells>
  <conditionalFormatting sqref="G58:G59">
    <cfRule type="cellIs" dxfId="600" priority="1" operator="lessThan">
      <formula>0</formula>
    </cfRule>
  </conditionalFormatting>
  <conditionalFormatting sqref="C13">
    <cfRule type="duplicateValues" dxfId="599" priority="2"/>
  </conditionalFormatting>
  <conditionalFormatting sqref="C14:C38">
    <cfRule type="duplicateValues" dxfId="598" priority="462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19">
    <pageSetUpPr fitToPage="1"/>
  </sheetPr>
  <dimension ref="A1:N104"/>
  <sheetViews>
    <sheetView topLeftCell="A22" zoomScaleNormal="100" workbookViewId="0">
      <selection activeCell="C46" sqref="C46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47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934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2.75" customHeight="1" x14ac:dyDescent="0.4">
      <c r="A5" s="89">
        <v>45054</v>
      </c>
      <c r="B5" s="9" t="s">
        <v>6</v>
      </c>
      <c r="C5" s="10" t="s">
        <v>7</v>
      </c>
      <c r="D5" s="11"/>
      <c r="E5" s="12">
        <v>736474.70000000019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736474.70000000019</v>
      </c>
      <c r="F6" s="16">
        <f>SUM(F5:F5)</f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E6-F6</f>
        <v>736474.70000000019</v>
      </c>
      <c r="F7" s="22"/>
      <c r="G7" s="23"/>
      <c r="H7" s="112"/>
      <c r="I7" s="112"/>
      <c r="J7" s="13"/>
    </row>
    <row r="8" spans="1:10" s="2" customFormat="1" ht="12.75" customHeight="1" x14ac:dyDescent="0.4">
      <c r="A8" s="24"/>
      <c r="B8" s="1"/>
      <c r="C8" s="14"/>
      <c r="D8" s="25"/>
      <c r="G8" s="23"/>
      <c r="H8" s="112"/>
      <c r="I8" s="112"/>
      <c r="J8" s="13"/>
    </row>
    <row r="9" spans="1:10" s="2" customFormat="1" ht="21.75" customHeight="1" x14ac:dyDescent="0.4">
      <c r="A9" s="214" t="s">
        <v>10</v>
      </c>
      <c r="B9" s="214"/>
      <c r="C9" s="214"/>
      <c r="D9" s="214"/>
      <c r="E9" s="214"/>
      <c r="F9" s="214"/>
      <c r="G9" s="13"/>
      <c r="H9" s="112"/>
      <c r="I9" s="112"/>
      <c r="J9" s="13"/>
    </row>
    <row r="10" spans="1:10" s="2" customFormat="1" ht="12.75" customHeight="1" x14ac:dyDescent="0.4">
      <c r="A10" s="26" t="s">
        <v>1</v>
      </c>
      <c r="B10" s="27" t="s">
        <v>2</v>
      </c>
      <c r="C10" s="5"/>
      <c r="D10" s="6" t="s">
        <v>3</v>
      </c>
      <c r="E10" s="7" t="s">
        <v>4</v>
      </c>
      <c r="F10" s="7" t="s">
        <v>5</v>
      </c>
      <c r="G10" s="23"/>
      <c r="H10" s="112"/>
      <c r="I10" s="112"/>
      <c r="J10" s="13"/>
    </row>
    <row r="11" spans="1:10" s="2" customFormat="1" ht="12.75" customHeight="1" x14ac:dyDescent="0.2">
      <c r="A11" s="89">
        <v>45054</v>
      </c>
      <c r="B11" s="91" t="s">
        <v>11</v>
      </c>
      <c r="C11" s="29" t="s">
        <v>7</v>
      </c>
      <c r="D11" s="25"/>
      <c r="E11" s="31"/>
      <c r="F11" s="2">
        <v>349670621.22000003</v>
      </c>
      <c r="G11" s="30"/>
      <c r="I11" s="13"/>
      <c r="J11" s="13"/>
    </row>
    <row r="12" spans="1:10" s="2" customFormat="1" ht="12.75" customHeight="1" x14ac:dyDescent="0.2">
      <c r="A12" s="89">
        <v>45054</v>
      </c>
      <c r="B12" s="91" t="s">
        <v>6</v>
      </c>
      <c r="C12" s="76" t="s">
        <v>153</v>
      </c>
      <c r="D12" s="116" t="s">
        <v>13</v>
      </c>
      <c r="E12" s="31">
        <v>2075</v>
      </c>
      <c r="G12" s="30"/>
      <c r="I12" s="13"/>
      <c r="J12" s="13"/>
    </row>
    <row r="13" spans="1:10" s="2" customFormat="1" ht="12.75" customHeight="1" x14ac:dyDescent="0.2">
      <c r="A13" s="89">
        <v>45054</v>
      </c>
      <c r="B13" s="91" t="s">
        <v>6</v>
      </c>
      <c r="C13" s="76" t="s">
        <v>19</v>
      </c>
      <c r="D13" s="116" t="s">
        <v>13</v>
      </c>
      <c r="E13" s="31">
        <v>1380009</v>
      </c>
      <c r="G13" s="30"/>
      <c r="I13" s="13"/>
      <c r="J13" s="13"/>
    </row>
    <row r="14" spans="1:10" s="2" customFormat="1" ht="12.75" customHeight="1" x14ac:dyDescent="0.2">
      <c r="A14" s="89">
        <v>45054</v>
      </c>
      <c r="B14" s="91" t="s">
        <v>6</v>
      </c>
      <c r="C14" s="76" t="s">
        <v>905</v>
      </c>
      <c r="D14" s="116" t="s">
        <v>13</v>
      </c>
      <c r="E14" s="31">
        <v>3485263</v>
      </c>
      <c r="G14" s="30"/>
      <c r="I14" s="13"/>
      <c r="J14" s="13"/>
    </row>
    <row r="15" spans="1:10" s="2" customFormat="1" ht="12.75" customHeight="1" x14ac:dyDescent="0.2">
      <c r="A15" s="89">
        <v>45054</v>
      </c>
      <c r="B15" s="91" t="s">
        <v>6</v>
      </c>
      <c r="C15" s="76" t="s">
        <v>120</v>
      </c>
      <c r="D15" s="116" t="s">
        <v>13</v>
      </c>
      <c r="E15" s="31">
        <v>1690039</v>
      </c>
      <c r="G15" s="30"/>
      <c r="I15" s="13"/>
      <c r="J15" s="13"/>
    </row>
    <row r="16" spans="1:10" s="2" customFormat="1" ht="12.75" customHeight="1" x14ac:dyDescent="0.2">
      <c r="A16" s="89">
        <v>45054</v>
      </c>
      <c r="B16" s="91" t="s">
        <v>6</v>
      </c>
      <c r="C16" s="76" t="s">
        <v>785</v>
      </c>
      <c r="D16" s="116" t="s">
        <v>13</v>
      </c>
      <c r="E16" s="31">
        <v>2976217</v>
      </c>
      <c r="G16" s="30"/>
      <c r="I16" s="13"/>
      <c r="J16" s="13"/>
    </row>
    <row r="17" spans="1:10" s="2" customFormat="1" ht="12.75" customHeight="1" x14ac:dyDescent="0.2">
      <c r="A17" s="89">
        <v>45054</v>
      </c>
      <c r="B17" s="91" t="s">
        <v>6</v>
      </c>
      <c r="C17" s="76" t="s">
        <v>164</v>
      </c>
      <c r="D17" s="116" t="s">
        <v>13</v>
      </c>
      <c r="E17" s="31">
        <v>500000</v>
      </c>
      <c r="G17" s="30"/>
      <c r="I17" s="13"/>
      <c r="J17" s="13"/>
    </row>
    <row r="18" spans="1:10" s="2" customFormat="1" ht="12.75" customHeight="1" x14ac:dyDescent="0.2">
      <c r="A18" s="89">
        <v>45054</v>
      </c>
      <c r="B18" s="91" t="s">
        <v>6</v>
      </c>
      <c r="C18" s="76" t="s">
        <v>678</v>
      </c>
      <c r="D18" s="116" t="s">
        <v>13</v>
      </c>
      <c r="E18" s="31">
        <v>250000</v>
      </c>
      <c r="G18" s="30"/>
      <c r="I18" s="13"/>
      <c r="J18" s="13"/>
    </row>
    <row r="19" spans="1:10" s="2" customFormat="1" ht="12.75" customHeight="1" x14ac:dyDescent="0.2">
      <c r="A19" s="89">
        <v>45054</v>
      </c>
      <c r="B19" s="91" t="s">
        <v>6</v>
      </c>
      <c r="C19" s="76" t="s">
        <v>421</v>
      </c>
      <c r="D19" s="116" t="s">
        <v>13</v>
      </c>
      <c r="E19" s="31">
        <v>500000</v>
      </c>
      <c r="G19" s="30"/>
      <c r="I19" s="13"/>
      <c r="J19" s="13"/>
    </row>
    <row r="20" spans="1:10" s="2" customFormat="1" ht="12.75" customHeight="1" x14ac:dyDescent="0.2">
      <c r="A20" s="89">
        <v>45054</v>
      </c>
      <c r="B20" s="91" t="s">
        <v>6</v>
      </c>
      <c r="C20" s="76" t="s">
        <v>448</v>
      </c>
      <c r="D20" s="116" t="s">
        <v>13</v>
      </c>
      <c r="E20" s="31">
        <v>36690</v>
      </c>
      <c r="G20" s="30"/>
      <c r="I20" s="13"/>
      <c r="J20" s="13"/>
    </row>
    <row r="21" spans="1:10" s="2" customFormat="1" ht="12.75" customHeight="1" x14ac:dyDescent="0.2">
      <c r="A21" s="89">
        <v>45054</v>
      </c>
      <c r="B21" s="91" t="s">
        <v>6</v>
      </c>
      <c r="C21" s="76" t="s">
        <v>468</v>
      </c>
      <c r="D21" s="116" t="s">
        <v>13</v>
      </c>
      <c r="E21" s="31">
        <v>591524</v>
      </c>
      <c r="G21" s="30"/>
      <c r="I21" s="13"/>
      <c r="J21" s="13"/>
    </row>
    <row r="22" spans="1:10" s="2" customFormat="1" ht="12.75" customHeight="1" x14ac:dyDescent="0.2">
      <c r="A22" s="89">
        <v>45054</v>
      </c>
      <c r="B22" s="91" t="s">
        <v>6</v>
      </c>
      <c r="C22" s="76" t="s">
        <v>351</v>
      </c>
      <c r="D22" s="116" t="s">
        <v>13</v>
      </c>
      <c r="E22" s="31">
        <v>1017352</v>
      </c>
      <c r="G22" s="30"/>
      <c r="I22" s="13"/>
      <c r="J22" s="13"/>
    </row>
    <row r="23" spans="1:10" s="2" customFormat="1" ht="12.75" customHeight="1" x14ac:dyDescent="0.2">
      <c r="A23" s="89">
        <v>45054</v>
      </c>
      <c r="B23" s="91" t="s">
        <v>6</v>
      </c>
      <c r="C23" s="76" t="s">
        <v>142</v>
      </c>
      <c r="D23" s="116" t="s">
        <v>13</v>
      </c>
      <c r="E23" s="31">
        <v>267699</v>
      </c>
      <c r="G23" s="30"/>
      <c r="I23" s="13"/>
      <c r="J23" s="13"/>
    </row>
    <row r="24" spans="1:10" s="2" customFormat="1" ht="12.75" customHeight="1" x14ac:dyDescent="0.2">
      <c r="A24" s="89">
        <v>45054</v>
      </c>
      <c r="B24" s="91" t="s">
        <v>6</v>
      </c>
      <c r="C24" s="76" t="s">
        <v>375</v>
      </c>
      <c r="D24" s="116" t="s">
        <v>13</v>
      </c>
      <c r="E24" s="31">
        <v>384705</v>
      </c>
      <c r="G24" s="30"/>
      <c r="I24" s="13"/>
      <c r="J24" s="13"/>
    </row>
    <row r="25" spans="1:10" s="2" customFormat="1" ht="12.75" customHeight="1" x14ac:dyDescent="0.2">
      <c r="A25" s="89">
        <v>45054</v>
      </c>
      <c r="B25" s="91" t="s">
        <v>6</v>
      </c>
      <c r="C25" s="76" t="s">
        <v>144</v>
      </c>
      <c r="D25" s="116" t="s">
        <v>13</v>
      </c>
      <c r="E25" s="31">
        <v>625541</v>
      </c>
      <c r="G25" s="30"/>
      <c r="I25" s="13"/>
      <c r="J25" s="13"/>
    </row>
    <row r="26" spans="1:10" s="2" customFormat="1" ht="12.75" customHeight="1" x14ac:dyDescent="0.2">
      <c r="A26" s="89">
        <v>45054</v>
      </c>
      <c r="B26" s="91" t="s">
        <v>6</v>
      </c>
      <c r="C26" s="76" t="s">
        <v>895</v>
      </c>
      <c r="D26" s="116" t="s">
        <v>13</v>
      </c>
      <c r="E26" s="31">
        <v>5005</v>
      </c>
      <c r="G26" s="30"/>
      <c r="I26" s="13"/>
      <c r="J26" s="13"/>
    </row>
    <row r="27" spans="1:10" s="2" customFormat="1" ht="12.75" customHeight="1" x14ac:dyDescent="0.2">
      <c r="A27" s="89">
        <v>45054</v>
      </c>
      <c r="B27" s="91" t="s">
        <v>6</v>
      </c>
      <c r="C27" s="76" t="s">
        <v>555</v>
      </c>
      <c r="D27" s="116" t="s">
        <v>13</v>
      </c>
      <c r="E27" s="31">
        <v>242400</v>
      </c>
      <c r="G27" s="30"/>
      <c r="I27" s="13"/>
      <c r="J27" s="13"/>
    </row>
    <row r="28" spans="1:10" s="2" customFormat="1" ht="12.75" customHeight="1" x14ac:dyDescent="0.2">
      <c r="A28" s="89">
        <v>45054</v>
      </c>
      <c r="B28" s="91" t="s">
        <v>6</v>
      </c>
      <c r="C28" s="76" t="s">
        <v>935</v>
      </c>
      <c r="D28" s="116" t="s">
        <v>13</v>
      </c>
      <c r="E28" s="31">
        <v>15908</v>
      </c>
      <c r="G28" s="30"/>
      <c r="I28" s="13"/>
      <c r="J28" s="13"/>
    </row>
    <row r="29" spans="1:10" s="2" customFormat="1" ht="12.75" customHeight="1" x14ac:dyDescent="0.2">
      <c r="A29" s="89">
        <v>45054</v>
      </c>
      <c r="B29" s="91" t="s">
        <v>6</v>
      </c>
      <c r="C29" s="76" t="s">
        <v>936</v>
      </c>
      <c r="D29" s="116" t="s">
        <v>13</v>
      </c>
      <c r="E29" s="31">
        <v>24675</v>
      </c>
      <c r="G29" s="30"/>
      <c r="I29" s="13"/>
      <c r="J29" s="13"/>
    </row>
    <row r="30" spans="1:10" s="2" customFormat="1" ht="12.75" customHeight="1" x14ac:dyDescent="0.2">
      <c r="A30" s="89">
        <v>45054</v>
      </c>
      <c r="B30" s="91" t="s">
        <v>6</v>
      </c>
      <c r="C30" s="76" t="s">
        <v>469</v>
      </c>
      <c r="D30" s="116" t="s">
        <v>13</v>
      </c>
      <c r="E30" s="31">
        <v>147875</v>
      </c>
      <c r="G30" s="30"/>
      <c r="I30" s="13"/>
      <c r="J30" s="13"/>
    </row>
    <row r="31" spans="1:10" s="2" customFormat="1" ht="12.75" customHeight="1" x14ac:dyDescent="0.2">
      <c r="A31" s="89">
        <v>45054</v>
      </c>
      <c r="B31" s="91" t="s">
        <v>6</v>
      </c>
      <c r="C31" s="76" t="s">
        <v>276</v>
      </c>
      <c r="D31" s="116" t="s">
        <v>13</v>
      </c>
      <c r="E31" s="31">
        <v>4957</v>
      </c>
      <c r="G31" s="30"/>
      <c r="I31" s="13"/>
      <c r="J31" s="13"/>
    </row>
    <row r="32" spans="1:10" s="2" customFormat="1" ht="12.75" customHeight="1" x14ac:dyDescent="0.2">
      <c r="A32" s="89">
        <v>45054</v>
      </c>
      <c r="B32" s="91" t="s">
        <v>6</v>
      </c>
      <c r="C32" s="76" t="s">
        <v>141</v>
      </c>
      <c r="D32" s="116" t="s">
        <v>13</v>
      </c>
      <c r="E32" s="31">
        <v>458217</v>
      </c>
      <c r="G32" s="30"/>
      <c r="I32" s="13"/>
      <c r="J32" s="13"/>
    </row>
    <row r="33" spans="1:10" s="2" customFormat="1" ht="12.75" customHeight="1" x14ac:dyDescent="0.2">
      <c r="A33" s="89">
        <v>45054</v>
      </c>
      <c r="B33" s="91" t="s">
        <v>6</v>
      </c>
      <c r="C33" s="76" t="s">
        <v>298</v>
      </c>
      <c r="D33" s="116" t="s">
        <v>13</v>
      </c>
      <c r="E33" s="31">
        <v>64197</v>
      </c>
      <c r="G33" s="30"/>
      <c r="I33" s="13"/>
      <c r="J33" s="13"/>
    </row>
    <row r="34" spans="1:10" s="2" customFormat="1" ht="12.75" customHeight="1" x14ac:dyDescent="0.2">
      <c r="A34" s="89">
        <v>45054</v>
      </c>
      <c r="B34" s="91" t="s">
        <v>6</v>
      </c>
      <c r="C34" s="76" t="s">
        <v>320</v>
      </c>
      <c r="D34" s="116" t="s">
        <v>13</v>
      </c>
      <c r="E34" s="31">
        <v>13886</v>
      </c>
      <c r="G34" s="30"/>
      <c r="I34" s="13"/>
      <c r="J34" s="13"/>
    </row>
    <row r="35" spans="1:10" s="2" customFormat="1" ht="12.75" customHeight="1" x14ac:dyDescent="0.2">
      <c r="A35" s="89">
        <v>45054</v>
      </c>
      <c r="B35" s="91" t="s">
        <v>6</v>
      </c>
      <c r="C35" s="76" t="s">
        <v>202</v>
      </c>
      <c r="D35" s="116" t="s">
        <v>13</v>
      </c>
      <c r="E35" s="31">
        <v>70000</v>
      </c>
      <c r="G35" s="30"/>
      <c r="I35" s="13"/>
      <c r="J35" s="13"/>
    </row>
    <row r="36" spans="1:10" s="2" customFormat="1" ht="12.75" customHeight="1" x14ac:dyDescent="0.2">
      <c r="A36" s="89">
        <v>45054</v>
      </c>
      <c r="B36" s="91" t="s">
        <v>6</v>
      </c>
      <c r="C36" s="76" t="s">
        <v>389</v>
      </c>
      <c r="D36" s="116" t="s">
        <v>13</v>
      </c>
      <c r="E36" s="31">
        <v>1414830.05</v>
      </c>
      <c r="G36" s="30"/>
      <c r="I36" s="13"/>
      <c r="J36" s="13"/>
    </row>
    <row r="37" spans="1:10" s="2" customFormat="1" ht="12.75" customHeight="1" x14ac:dyDescent="0.2">
      <c r="A37" s="89">
        <v>45054</v>
      </c>
      <c r="B37" s="91" t="s">
        <v>6</v>
      </c>
      <c r="C37" s="76" t="s">
        <v>413</v>
      </c>
      <c r="D37" s="116" t="s">
        <v>13</v>
      </c>
      <c r="E37" s="31">
        <v>680000</v>
      </c>
      <c r="G37" s="30"/>
      <c r="I37" s="13"/>
      <c r="J37" s="13"/>
    </row>
    <row r="38" spans="1:10" s="2" customFormat="1" ht="12.75" customHeight="1" x14ac:dyDescent="0.2">
      <c r="A38" s="89">
        <v>45054</v>
      </c>
      <c r="B38" s="91" t="s">
        <v>6</v>
      </c>
      <c r="C38" s="76" t="s">
        <v>62</v>
      </c>
      <c r="D38" s="116" t="s">
        <v>13</v>
      </c>
      <c r="E38" s="31">
        <v>5000</v>
      </c>
      <c r="G38" s="30"/>
      <c r="I38" s="13"/>
      <c r="J38" s="13"/>
    </row>
    <row r="39" spans="1:10" s="2" customFormat="1" ht="12.75" customHeight="1" x14ac:dyDescent="0.2">
      <c r="A39" s="89">
        <v>45054</v>
      </c>
      <c r="B39" s="91" t="s">
        <v>6</v>
      </c>
      <c r="C39" s="76" t="s">
        <v>827</v>
      </c>
      <c r="D39" s="116" t="s">
        <v>13</v>
      </c>
      <c r="E39" s="31">
        <v>69930</v>
      </c>
      <c r="G39" s="30"/>
      <c r="I39" s="13"/>
      <c r="J39" s="13"/>
    </row>
    <row r="40" spans="1:10" s="2" customFormat="1" ht="12.75" customHeight="1" x14ac:dyDescent="0.2">
      <c r="A40" s="89">
        <v>45054</v>
      </c>
      <c r="B40" s="91" t="s">
        <v>6</v>
      </c>
      <c r="C40" s="76" t="s">
        <v>27</v>
      </c>
      <c r="D40" s="116" t="s">
        <v>13</v>
      </c>
      <c r="E40" s="31">
        <v>1528519.62</v>
      </c>
      <c r="G40" s="30"/>
      <c r="I40" s="13"/>
      <c r="J40" s="13"/>
    </row>
    <row r="41" spans="1:10" s="2" customFormat="1" ht="12.75" customHeight="1" x14ac:dyDescent="0.2">
      <c r="A41" s="89">
        <v>45054</v>
      </c>
      <c r="B41" s="91" t="s">
        <v>6</v>
      </c>
      <c r="C41" s="76" t="s">
        <v>547</v>
      </c>
      <c r="D41" s="116" t="s">
        <v>13</v>
      </c>
      <c r="E41" s="31">
        <v>69010</v>
      </c>
      <c r="G41" s="30"/>
      <c r="I41" s="13"/>
      <c r="J41" s="13"/>
    </row>
    <row r="42" spans="1:10" s="2" customFormat="1" ht="12.75" customHeight="1" x14ac:dyDescent="0.2">
      <c r="A42" s="89">
        <v>45054</v>
      </c>
      <c r="B42" s="91" t="s">
        <v>6</v>
      </c>
      <c r="C42" s="76" t="s">
        <v>647</v>
      </c>
      <c r="D42" s="116" t="s">
        <v>13</v>
      </c>
      <c r="E42" s="31">
        <v>200000</v>
      </c>
      <c r="G42" s="30"/>
      <c r="I42" s="13"/>
      <c r="J42" s="13"/>
    </row>
    <row r="43" spans="1:10" s="2" customFormat="1" ht="12.75" customHeight="1" x14ac:dyDescent="0.2">
      <c r="A43" s="89">
        <v>45054</v>
      </c>
      <c r="B43" s="91" t="s">
        <v>938</v>
      </c>
      <c r="C43" s="76" t="s">
        <v>64</v>
      </c>
      <c r="D43" s="116" t="s">
        <v>29</v>
      </c>
      <c r="E43" s="31"/>
      <c r="F43" s="2">
        <v>21582.37</v>
      </c>
      <c r="G43" s="30"/>
      <c r="I43" s="13"/>
      <c r="J43" s="13"/>
    </row>
    <row r="44" spans="1:10" s="2" customFormat="1" ht="12.75" customHeight="1" x14ac:dyDescent="0.2">
      <c r="A44" s="89">
        <v>45054</v>
      </c>
      <c r="B44" s="91" t="s">
        <v>938</v>
      </c>
      <c r="C44" s="76" t="s">
        <v>15</v>
      </c>
      <c r="D44" s="116" t="s">
        <v>29</v>
      </c>
      <c r="E44" s="31"/>
      <c r="F44" s="2">
        <v>79564.76999999999</v>
      </c>
      <c r="G44" s="30"/>
      <c r="I44" s="13"/>
      <c r="J44" s="13"/>
    </row>
    <row r="45" spans="1:10" s="2" customFormat="1" ht="12.75" customHeight="1" x14ac:dyDescent="0.2">
      <c r="A45" s="89">
        <v>45054</v>
      </c>
      <c r="B45" s="91" t="s">
        <v>938</v>
      </c>
      <c r="C45" s="76" t="s">
        <v>111</v>
      </c>
      <c r="D45" s="116" t="s">
        <v>29</v>
      </c>
      <c r="E45" s="31"/>
      <c r="F45" s="2">
        <v>5690848.7300000004</v>
      </c>
      <c r="G45" s="30"/>
      <c r="I45" s="13"/>
      <c r="J45" s="13"/>
    </row>
    <row r="46" spans="1:10" s="2" customFormat="1" ht="12.75" customHeight="1" x14ac:dyDescent="0.2">
      <c r="A46" s="89">
        <v>45054</v>
      </c>
      <c r="B46" s="91" t="s">
        <v>938</v>
      </c>
      <c r="C46" s="76" t="s">
        <v>123</v>
      </c>
      <c r="D46" s="116" t="s">
        <v>29</v>
      </c>
      <c r="E46" s="31"/>
      <c r="F46" s="2">
        <v>44634</v>
      </c>
      <c r="G46" s="30"/>
      <c r="I46" s="13"/>
      <c r="J46" s="13"/>
    </row>
    <row r="47" spans="1:10" s="2" customFormat="1" ht="12.75" customHeight="1" x14ac:dyDescent="0.2">
      <c r="A47" s="89">
        <v>45054</v>
      </c>
      <c r="B47" s="91" t="s">
        <v>938</v>
      </c>
      <c r="C47" s="76" t="s">
        <v>937</v>
      </c>
      <c r="D47" s="116" t="s">
        <v>29</v>
      </c>
      <c r="E47" s="31"/>
      <c r="F47" s="2">
        <v>4580</v>
      </c>
      <c r="G47" s="30"/>
      <c r="I47" s="13"/>
      <c r="J47" s="13"/>
    </row>
    <row r="48" spans="1:10" s="2" customFormat="1" ht="12.75" customHeight="1" x14ac:dyDescent="0.2">
      <c r="A48" s="89">
        <v>45054</v>
      </c>
      <c r="B48" s="91" t="s">
        <v>938</v>
      </c>
      <c r="C48" s="76" t="s">
        <v>629</v>
      </c>
      <c r="D48" s="116" t="s">
        <v>29</v>
      </c>
      <c r="E48" s="31"/>
      <c r="F48" s="2">
        <v>295000</v>
      </c>
      <c r="G48" s="30"/>
      <c r="I48" s="13"/>
      <c r="J48" s="13"/>
    </row>
    <row r="49" spans="1:14" s="2" customFormat="1" ht="12.75" customHeight="1" x14ac:dyDescent="0.2">
      <c r="A49" s="89">
        <v>45054</v>
      </c>
      <c r="B49" s="91" t="s">
        <v>938</v>
      </c>
      <c r="C49" s="76" t="s">
        <v>223</v>
      </c>
      <c r="D49" s="116" t="s">
        <v>29</v>
      </c>
      <c r="E49" s="31"/>
      <c r="F49" s="2">
        <v>3735325</v>
      </c>
      <c r="G49" s="30"/>
      <c r="I49" s="13"/>
      <c r="J49" s="13"/>
    </row>
    <row r="50" spans="1:14" s="2" customFormat="1" ht="12.75" customHeight="1" x14ac:dyDescent="0.2">
      <c r="A50" s="89">
        <v>45054</v>
      </c>
      <c r="B50" s="91" t="s">
        <v>938</v>
      </c>
      <c r="C50" s="76" t="s">
        <v>63</v>
      </c>
      <c r="D50" s="116" t="s">
        <v>29</v>
      </c>
      <c r="E50" s="31"/>
      <c r="F50" s="2">
        <v>3500000</v>
      </c>
      <c r="G50" s="30"/>
      <c r="I50" s="13"/>
      <c r="J50" s="13"/>
    </row>
    <row r="51" spans="1:14" s="2" customFormat="1" ht="12.75" customHeight="1" x14ac:dyDescent="0.2">
      <c r="A51" s="89">
        <v>45054</v>
      </c>
      <c r="B51" s="91" t="s">
        <v>938</v>
      </c>
      <c r="C51" s="76" t="s">
        <v>57</v>
      </c>
      <c r="D51" s="116" t="s">
        <v>29</v>
      </c>
      <c r="E51" s="31"/>
      <c r="F51" s="2">
        <v>3500000</v>
      </c>
      <c r="G51" s="30"/>
      <c r="I51" s="13"/>
      <c r="J51" s="13"/>
    </row>
    <row r="52" spans="1:14" s="2" customFormat="1" ht="12.75" customHeight="1" x14ac:dyDescent="0.2">
      <c r="A52" s="89">
        <v>45054</v>
      </c>
      <c r="B52" s="91" t="s">
        <v>938</v>
      </c>
      <c r="C52" s="76" t="s">
        <v>314</v>
      </c>
      <c r="D52" s="116" t="s">
        <v>29</v>
      </c>
      <c r="E52" s="31"/>
      <c r="F52" s="2">
        <v>669275</v>
      </c>
      <c r="G52" s="30"/>
      <c r="I52" s="13"/>
      <c r="J52" s="13"/>
    </row>
    <row r="53" spans="1:14" s="2" customFormat="1" ht="12.75" customHeight="1" x14ac:dyDescent="0.2">
      <c r="A53" s="89">
        <v>45054</v>
      </c>
      <c r="B53" s="91" t="s">
        <v>938</v>
      </c>
      <c r="C53" s="76" t="s">
        <v>250</v>
      </c>
      <c r="D53" s="116" t="s">
        <v>29</v>
      </c>
      <c r="E53" s="31"/>
      <c r="F53" s="2">
        <v>6432</v>
      </c>
      <c r="G53" s="30"/>
      <c r="I53" s="13"/>
      <c r="J53" s="13"/>
    </row>
    <row r="54" spans="1:14" s="2" customFormat="1" ht="12.75" customHeight="1" x14ac:dyDescent="0.2">
      <c r="A54" s="89">
        <v>45054</v>
      </c>
      <c r="B54" s="91" t="s">
        <v>938</v>
      </c>
      <c r="C54" s="76" t="s">
        <v>631</v>
      </c>
      <c r="D54" s="116" t="s">
        <v>29</v>
      </c>
      <c r="E54" s="31"/>
      <c r="F54" s="2">
        <v>126500</v>
      </c>
      <c r="G54" s="30"/>
      <c r="I54" s="13"/>
      <c r="J54" s="13"/>
    </row>
    <row r="55" spans="1:14" s="2" customFormat="1" ht="12.75" customHeight="1" x14ac:dyDescent="0.2">
      <c r="A55" s="89">
        <v>45054</v>
      </c>
      <c r="B55" s="91" t="s">
        <v>938</v>
      </c>
      <c r="C55" s="76" t="s">
        <v>338</v>
      </c>
      <c r="D55" s="116" t="s">
        <v>29</v>
      </c>
      <c r="E55" s="31"/>
      <c r="F55" s="2">
        <v>97180</v>
      </c>
      <c r="G55" s="30"/>
      <c r="I55" s="13"/>
      <c r="J55" s="13"/>
    </row>
    <row r="56" spans="1:14" s="2" customFormat="1" ht="12.75" customHeight="1" x14ac:dyDescent="0.2">
      <c r="A56" s="89">
        <v>45054</v>
      </c>
      <c r="B56" s="91" t="s">
        <v>938</v>
      </c>
      <c r="C56" s="76" t="s">
        <v>242</v>
      </c>
      <c r="D56" s="116" t="s">
        <v>29</v>
      </c>
      <c r="E56" s="31"/>
      <c r="F56" s="2">
        <v>151590</v>
      </c>
      <c r="G56" s="30"/>
      <c r="I56" s="13"/>
      <c r="J56" s="13"/>
    </row>
    <row r="57" spans="1:14" s="2" customFormat="1" ht="12.75" customHeight="1" x14ac:dyDescent="0.2">
      <c r="A57" s="89">
        <v>45054</v>
      </c>
      <c r="B57" s="91" t="s">
        <v>938</v>
      </c>
      <c r="C57" s="76" t="s">
        <v>911</v>
      </c>
      <c r="D57" s="116" t="s">
        <v>29</v>
      </c>
      <c r="E57" s="31"/>
      <c r="F57" s="2">
        <v>14160</v>
      </c>
      <c r="G57" s="30"/>
      <c r="I57" s="13"/>
      <c r="J57" s="13"/>
      <c r="K57" s="99" t="s">
        <v>779</v>
      </c>
    </row>
    <row r="58" spans="1:14" s="2" customFormat="1" ht="12.75" customHeight="1" x14ac:dyDescent="0.25">
      <c r="A58" s="32"/>
      <c r="B58" s="33"/>
      <c r="C58" s="14"/>
      <c r="D58" s="34"/>
      <c r="E58" s="16">
        <f>SUM(E11:E57)</f>
        <v>18721523.670000002</v>
      </c>
      <c r="F58" s="16">
        <f>SUM(F11:F57)</f>
        <v>367607293.09000003</v>
      </c>
      <c r="G58" s="30"/>
      <c r="H58" s="1"/>
      <c r="I58" s="39">
        <v>349281550.42000002</v>
      </c>
      <c r="K58" s="92">
        <f>E59-I58</f>
        <v>-395781</v>
      </c>
      <c r="L58" s="41"/>
      <c r="M58" s="42">
        <f>K58+J58</f>
        <v>-395781</v>
      </c>
      <c r="N58" s="1"/>
    </row>
    <row r="59" spans="1:14" s="2" customFormat="1" x14ac:dyDescent="0.2">
      <c r="A59" s="36"/>
      <c r="B59" s="28" t="s">
        <v>11</v>
      </c>
      <c r="C59" s="19" t="s">
        <v>65</v>
      </c>
      <c r="D59" s="37"/>
      <c r="E59" s="38">
        <f>F58-E58</f>
        <v>348885769.42000002</v>
      </c>
      <c r="F59" s="22"/>
      <c r="G59" s="1"/>
      <c r="H59" s="1"/>
      <c r="J59" s="1"/>
      <c r="K59" s="1"/>
      <c r="L59" s="1"/>
      <c r="M59" s="1"/>
      <c r="N59" s="1"/>
    </row>
    <row r="60" spans="1:14" x14ac:dyDescent="0.2">
      <c r="A60" s="36"/>
      <c r="B60" s="28" t="s">
        <v>66</v>
      </c>
      <c r="C60" s="43" t="s">
        <v>67</v>
      </c>
      <c r="D60" s="43"/>
      <c r="E60" s="12">
        <v>0</v>
      </c>
      <c r="F60" s="22"/>
      <c r="H60" s="40"/>
      <c r="I60" s="45">
        <v>690.42</v>
      </c>
      <c r="J60" s="46"/>
      <c r="K60" s="46"/>
      <c r="L60" s="13"/>
      <c r="M60" s="2"/>
      <c r="N60" s="2"/>
    </row>
    <row r="61" spans="1:14" ht="15" x14ac:dyDescent="0.25">
      <c r="A61" s="36"/>
      <c r="B61" s="28"/>
      <c r="C61" s="44" t="s">
        <v>68</v>
      </c>
      <c r="D61" s="43"/>
      <c r="E61" s="7">
        <f>E59+E60</f>
        <v>348885769.42000002</v>
      </c>
      <c r="F61" s="22"/>
      <c r="H61" s="103" t="s">
        <v>69</v>
      </c>
      <c r="I61" s="45">
        <v>-42.1</v>
      </c>
      <c r="J61" s="46"/>
      <c r="K61" s="46"/>
      <c r="L61" s="2"/>
      <c r="M61" s="2"/>
      <c r="N61" s="2"/>
    </row>
    <row r="62" spans="1:14" s="2" customFormat="1" x14ac:dyDescent="0.2">
      <c r="A62" s="24"/>
      <c r="B62" s="1"/>
      <c r="C62" s="14"/>
      <c r="D62" s="25"/>
      <c r="E62" s="1"/>
      <c r="H62" s="35" t="s">
        <v>70</v>
      </c>
      <c r="I62" s="45">
        <v>0</v>
      </c>
      <c r="J62" s="46">
        <f>+I63-D65</f>
        <v>0</v>
      </c>
      <c r="M62" s="2">
        <v>19.57</v>
      </c>
      <c r="N62" s="2" t="s">
        <v>535</v>
      </c>
    </row>
    <row r="63" spans="1:14" s="2" customFormat="1" x14ac:dyDescent="0.2">
      <c r="A63" s="24"/>
      <c r="B63" s="1"/>
      <c r="C63" s="56"/>
      <c r="D63" s="56"/>
      <c r="E63" s="104"/>
      <c r="G63" s="1"/>
      <c r="I63" s="49">
        <f>SUM(I60:I62)</f>
        <v>648.31999999999994</v>
      </c>
      <c r="J63" s="46"/>
      <c r="K63" s="46"/>
    </row>
    <row r="64" spans="1:14" s="2" customFormat="1" x14ac:dyDescent="0.2">
      <c r="A64" s="24"/>
      <c r="B64" s="1"/>
      <c r="C64" s="78" t="s">
        <v>575</v>
      </c>
      <c r="D64" s="48" t="s">
        <v>576</v>
      </c>
      <c r="E64" s="104"/>
      <c r="G64" s="1"/>
    </row>
    <row r="65" spans="1:13" s="2" customFormat="1" x14ac:dyDescent="0.2">
      <c r="A65" s="24"/>
      <c r="B65" s="1"/>
      <c r="C65" s="47" t="s">
        <v>570</v>
      </c>
      <c r="D65" s="111">
        <v>648.32000000000005</v>
      </c>
      <c r="E65" s="104"/>
      <c r="G65" s="1"/>
      <c r="H65" s="110" t="s">
        <v>581</v>
      </c>
    </row>
    <row r="66" spans="1:13" s="2" customFormat="1" x14ac:dyDescent="0.2">
      <c r="A66" s="24"/>
      <c r="B66" s="1"/>
      <c r="C66" s="47" t="s">
        <v>931</v>
      </c>
      <c r="D66" s="111">
        <v>169.57</v>
      </c>
      <c r="E66" s="104"/>
      <c r="G66" s="1"/>
      <c r="H66" s="110" t="s">
        <v>580</v>
      </c>
    </row>
    <row r="67" spans="1:13" s="2" customFormat="1" x14ac:dyDescent="0.2">
      <c r="A67" s="24"/>
      <c r="B67" s="1"/>
      <c r="C67" s="47" t="s">
        <v>572</v>
      </c>
      <c r="D67" s="111">
        <f>+D91/100000</f>
        <v>187.96243000000001</v>
      </c>
      <c r="E67" s="104"/>
      <c r="G67" s="1"/>
      <c r="H67" s="90" t="s">
        <v>587</v>
      </c>
    </row>
    <row r="68" spans="1:13" s="2" customFormat="1" x14ac:dyDescent="0.2">
      <c r="A68" s="24"/>
      <c r="B68" s="1"/>
      <c r="C68" s="108" t="s">
        <v>578</v>
      </c>
      <c r="D68" s="48">
        <f>SUM(D65:D67)</f>
        <v>1005.8524300000001</v>
      </c>
      <c r="E68" s="104"/>
      <c r="G68" s="1"/>
    </row>
    <row r="69" spans="1:13" s="2" customFormat="1" x14ac:dyDescent="0.2">
      <c r="A69" s="24"/>
      <c r="B69" s="1"/>
      <c r="C69" s="47"/>
      <c r="D69" s="107"/>
      <c r="E69" s="104"/>
      <c r="G69" s="1"/>
    </row>
    <row r="70" spans="1:13" s="2" customFormat="1" x14ac:dyDescent="0.2">
      <c r="A70" s="24"/>
      <c r="B70" s="1"/>
      <c r="C70" s="47" t="s">
        <v>932</v>
      </c>
      <c r="D70" s="111">
        <v>201.12</v>
      </c>
      <c r="E70" s="104"/>
      <c r="G70" s="1"/>
      <c r="H70" s="110" t="s">
        <v>581</v>
      </c>
    </row>
    <row r="71" spans="1:13" s="2" customFormat="1" x14ac:dyDescent="0.2">
      <c r="A71" s="24"/>
      <c r="B71" s="1"/>
      <c r="C71" s="47" t="s">
        <v>933</v>
      </c>
      <c r="D71" s="111">
        <v>89.56</v>
      </c>
      <c r="E71" s="104"/>
      <c r="G71" s="1"/>
      <c r="H71" s="110" t="s">
        <v>581</v>
      </c>
      <c r="J71" s="114" t="s">
        <v>713</v>
      </c>
    </row>
    <row r="72" spans="1:13" s="2" customFormat="1" x14ac:dyDescent="0.2">
      <c r="A72" s="24"/>
      <c r="B72" s="1"/>
      <c r="C72" s="78" t="s">
        <v>579</v>
      </c>
      <c r="D72" s="109">
        <f>D70+D71</f>
        <v>290.68</v>
      </c>
      <c r="E72" s="104"/>
      <c r="G72" s="1"/>
      <c r="I72" s="113"/>
      <c r="J72" s="113" t="s">
        <v>709</v>
      </c>
      <c r="K72" s="113" t="s">
        <v>710</v>
      </c>
      <c r="L72" s="113" t="s">
        <v>711</v>
      </c>
      <c r="M72" s="113" t="s">
        <v>712</v>
      </c>
    </row>
    <row r="73" spans="1:13" s="2" customFormat="1" x14ac:dyDescent="0.2">
      <c r="A73" s="24"/>
      <c r="B73" s="1"/>
      <c r="C73" s="105"/>
      <c r="D73" s="106"/>
      <c r="E73" s="104"/>
      <c r="G73" s="1"/>
      <c r="I73" s="113" t="s">
        <v>706</v>
      </c>
      <c r="J73" s="115"/>
      <c r="K73" s="115">
        <v>968.99</v>
      </c>
      <c r="L73" s="115">
        <v>968.99</v>
      </c>
      <c r="M73" s="113">
        <f>+J73+L73-K73</f>
        <v>0</v>
      </c>
    </row>
    <row r="74" spans="1:13" s="2" customFormat="1" x14ac:dyDescent="0.2">
      <c r="A74" s="24"/>
      <c r="B74" s="1"/>
      <c r="C74" s="78" t="s">
        <v>577</v>
      </c>
      <c r="D74" s="109">
        <f>D65+D72</f>
        <v>939</v>
      </c>
      <c r="E74" s="104"/>
      <c r="G74" s="1"/>
      <c r="I74" s="113" t="s">
        <v>707</v>
      </c>
      <c r="J74" s="115">
        <v>183.1</v>
      </c>
      <c r="K74" s="115">
        <v>1686.96</v>
      </c>
      <c r="L74" s="115">
        <v>2374.61</v>
      </c>
      <c r="M74" s="113">
        <f>+J74+L74-K74</f>
        <v>870.75</v>
      </c>
    </row>
    <row r="75" spans="1:13" s="2" customFormat="1" x14ac:dyDescent="0.2">
      <c r="A75" s="24"/>
      <c r="B75" s="1"/>
      <c r="C75" s="56"/>
      <c r="D75" s="56"/>
      <c r="E75" s="104"/>
      <c r="G75" s="1"/>
      <c r="I75" s="113" t="s">
        <v>708</v>
      </c>
      <c r="J75" s="115">
        <v>1371.02</v>
      </c>
      <c r="K75" s="115">
        <v>10869.73</v>
      </c>
      <c r="L75" s="115">
        <v>11113.82</v>
      </c>
      <c r="M75" s="113">
        <f>+J75+L75-K75</f>
        <v>1615.1100000000006</v>
      </c>
    </row>
    <row r="76" spans="1:13" s="2" customFormat="1" ht="38.25" x14ac:dyDescent="0.2">
      <c r="A76" s="24"/>
      <c r="B76" s="1"/>
      <c r="C76" s="79" t="str">
        <f>"Particulars ( 01-04-2021 to "&amp;TEXT(A5,"dd-mm-yyyy")&amp;" )"</f>
        <v>Particulars ( 01-04-2021 to 08-05-2023 )</v>
      </c>
      <c r="D76" s="80" t="s">
        <v>73</v>
      </c>
      <c r="E76" s="80" t="s">
        <v>74</v>
      </c>
      <c r="F76" s="81" t="s">
        <v>75</v>
      </c>
      <c r="G76" s="80" t="s">
        <v>76</v>
      </c>
      <c r="J76" s="118">
        <f>SUM(J73:J75)</f>
        <v>1554.12</v>
      </c>
      <c r="K76" s="118">
        <f>SUM(K73:K75)</f>
        <v>13525.68</v>
      </c>
      <c r="L76" s="118">
        <f>SUM(L73:L75)</f>
        <v>14457.42</v>
      </c>
      <c r="M76" s="118">
        <f>SUM(M73:M75)</f>
        <v>2485.8600000000006</v>
      </c>
    </row>
    <row r="77" spans="1:13" s="2" customFormat="1" x14ac:dyDescent="0.2">
      <c r="A77" s="24"/>
      <c r="B77" s="1"/>
      <c r="C77" s="50" t="s">
        <v>444</v>
      </c>
      <c r="D77" s="55">
        <f>+L73+L74+J74</f>
        <v>3526.7000000000003</v>
      </c>
      <c r="E77" s="55">
        <f>+K73+K74</f>
        <v>2655.95</v>
      </c>
      <c r="F77" s="55">
        <f>+D77-E77</f>
        <v>870.75000000000045</v>
      </c>
      <c r="G77" s="55">
        <f>1500-F77</f>
        <v>629.24999999999955</v>
      </c>
      <c r="H77" s="2" t="s">
        <v>396</v>
      </c>
    </row>
    <row r="78" spans="1:13" s="2" customFormat="1" x14ac:dyDescent="0.2">
      <c r="A78" s="24"/>
      <c r="B78" s="1"/>
      <c r="C78" s="50" t="s">
        <v>71</v>
      </c>
      <c r="D78" s="55">
        <f>+J75+L75</f>
        <v>12484.84</v>
      </c>
      <c r="E78" s="55">
        <f>+K75</f>
        <v>10869.73</v>
      </c>
      <c r="F78" s="55">
        <f>+D78-E78</f>
        <v>1615.1100000000006</v>
      </c>
      <c r="G78" s="55">
        <f>1500+700-F78</f>
        <v>584.88999999999942</v>
      </c>
      <c r="H78" s="2" t="s">
        <v>396</v>
      </c>
    </row>
    <row r="79" spans="1:13" s="2" customFormat="1" x14ac:dyDescent="0.2">
      <c r="A79" s="24"/>
      <c r="B79" s="1"/>
      <c r="C79" s="14"/>
      <c r="D79" s="56"/>
      <c r="E79" s="13"/>
      <c r="G79" s="1"/>
    </row>
    <row r="80" spans="1:13" s="2" customFormat="1" x14ac:dyDescent="0.2">
      <c r="A80" s="215" t="s">
        <v>80</v>
      </c>
      <c r="B80" s="216"/>
      <c r="C80" s="216"/>
      <c r="D80" s="217"/>
      <c r="E80" s="69"/>
      <c r="F80" s="70"/>
      <c r="G80" s="1"/>
      <c r="H80" s="53"/>
    </row>
    <row r="81" spans="1:13" s="2" customFormat="1" x14ac:dyDescent="0.2">
      <c r="A81" s="71" t="s">
        <v>81</v>
      </c>
      <c r="B81" s="71"/>
      <c r="C81" s="72" t="s">
        <v>82</v>
      </c>
      <c r="D81" s="73" t="s">
        <v>83</v>
      </c>
      <c r="E81" s="69"/>
      <c r="F81" s="70"/>
      <c r="H81" s="53"/>
    </row>
    <row r="82" spans="1:13" s="2" customFormat="1" x14ac:dyDescent="0.2">
      <c r="A82" s="87">
        <v>45050</v>
      </c>
      <c r="B82" s="120" t="s">
        <v>6</v>
      </c>
      <c r="C82" s="75" t="s">
        <v>282</v>
      </c>
      <c r="D82" s="88">
        <v>1562637</v>
      </c>
      <c r="G82" s="1"/>
      <c r="L82" s="1"/>
      <c r="M82" s="1"/>
    </row>
    <row r="83" spans="1:13" s="2" customFormat="1" x14ac:dyDescent="0.2">
      <c r="A83" s="87">
        <v>45050</v>
      </c>
      <c r="B83" s="120" t="s">
        <v>6</v>
      </c>
      <c r="C83" s="75" t="s">
        <v>86</v>
      </c>
      <c r="D83" s="88">
        <v>2499321</v>
      </c>
      <c r="G83" s="1"/>
      <c r="L83" s="1"/>
      <c r="M83" s="1"/>
    </row>
    <row r="84" spans="1:13" s="2" customFormat="1" x14ac:dyDescent="0.2">
      <c r="A84" s="87">
        <v>45050</v>
      </c>
      <c r="B84" s="120" t="s">
        <v>6</v>
      </c>
      <c r="C84" s="75" t="s">
        <v>86</v>
      </c>
      <c r="D84" s="88">
        <v>6876102</v>
      </c>
      <c r="G84" s="1"/>
      <c r="L84" s="1"/>
      <c r="M84" s="1"/>
    </row>
    <row r="85" spans="1:13" s="2" customFormat="1" x14ac:dyDescent="0.2">
      <c r="A85" s="87">
        <v>45052</v>
      </c>
      <c r="B85" s="120" t="s">
        <v>6</v>
      </c>
      <c r="C85" s="75" t="s">
        <v>270</v>
      </c>
      <c r="D85" s="88">
        <v>1124141</v>
      </c>
      <c r="G85" s="1"/>
      <c r="L85" s="1"/>
      <c r="M85" s="1"/>
    </row>
    <row r="86" spans="1:13" s="2" customFormat="1" x14ac:dyDescent="0.2">
      <c r="A86" s="87">
        <v>45054</v>
      </c>
      <c r="B86" s="120" t="s">
        <v>6</v>
      </c>
      <c r="C86" s="75" t="s">
        <v>271</v>
      </c>
      <c r="D86" s="88">
        <v>476726</v>
      </c>
      <c r="G86" s="1"/>
      <c r="L86" s="1"/>
      <c r="M86" s="1"/>
    </row>
    <row r="87" spans="1:13" s="2" customFormat="1" x14ac:dyDescent="0.2">
      <c r="A87" s="87">
        <v>45054</v>
      </c>
      <c r="B87" s="120" t="s">
        <v>6</v>
      </c>
      <c r="C87" s="75" t="s">
        <v>271</v>
      </c>
      <c r="D87" s="88">
        <v>926688</v>
      </c>
      <c r="G87" s="1"/>
      <c r="L87" s="1"/>
      <c r="M87" s="1"/>
    </row>
    <row r="88" spans="1:13" s="2" customFormat="1" x14ac:dyDescent="0.2">
      <c r="A88" s="87">
        <v>45054</v>
      </c>
      <c r="B88" s="120" t="s">
        <v>6</v>
      </c>
      <c r="C88" s="75" t="s">
        <v>606</v>
      </c>
      <c r="D88" s="88">
        <v>1844917</v>
      </c>
      <c r="G88" s="1"/>
      <c r="L88" s="1"/>
      <c r="M88" s="1"/>
    </row>
    <row r="89" spans="1:13" s="2" customFormat="1" x14ac:dyDescent="0.2">
      <c r="A89" s="87">
        <v>45054</v>
      </c>
      <c r="B89" s="120" t="s">
        <v>6</v>
      </c>
      <c r="C89" s="75" t="s">
        <v>606</v>
      </c>
      <c r="D89" s="88">
        <v>1844917</v>
      </c>
      <c r="G89" s="1"/>
      <c r="L89" s="1"/>
      <c r="M89" s="1"/>
    </row>
    <row r="90" spans="1:13" s="2" customFormat="1" x14ac:dyDescent="0.2">
      <c r="A90" s="87">
        <v>45054</v>
      </c>
      <c r="B90" s="120" t="s">
        <v>6</v>
      </c>
      <c r="C90" s="75" t="s">
        <v>271</v>
      </c>
      <c r="D90" s="88">
        <v>1640794</v>
      </c>
      <c r="G90" s="1"/>
      <c r="L90" s="1"/>
      <c r="M90" s="1"/>
    </row>
    <row r="91" spans="1:13" s="2" customFormat="1" x14ac:dyDescent="0.2">
      <c r="A91" s="87"/>
      <c r="B91" s="74"/>
      <c r="C91" s="75"/>
      <c r="D91" s="51">
        <f>SUM(D82:D90)</f>
        <v>18796243</v>
      </c>
      <c r="F91" s="2" t="s">
        <v>396</v>
      </c>
      <c r="G91" s="1"/>
      <c r="I91" s="1"/>
      <c r="J91" s="1"/>
      <c r="K91" s="1"/>
      <c r="L91" s="1"/>
      <c r="M91" s="1"/>
    </row>
    <row r="92" spans="1:13" s="2" customFormat="1" x14ac:dyDescent="0.2">
      <c r="A92" s="24"/>
      <c r="B92" s="1"/>
      <c r="C92" s="14"/>
      <c r="D92" s="56"/>
      <c r="E92" s="13"/>
      <c r="G92" s="1"/>
    </row>
    <row r="93" spans="1:13" s="2" customFormat="1" x14ac:dyDescent="0.2">
      <c r="A93" s="24"/>
      <c r="B93" s="1"/>
      <c r="C93" s="218" t="s">
        <v>77</v>
      </c>
      <c r="D93" s="219"/>
      <c r="E93" s="219"/>
      <c r="F93" s="220"/>
      <c r="G93" s="54"/>
      <c r="I93" s="1"/>
      <c r="J93" s="1"/>
      <c r="K93" s="1"/>
      <c r="L93" s="1"/>
      <c r="M93" s="1"/>
    </row>
    <row r="94" spans="1:13" s="2" customFormat="1" x14ac:dyDescent="0.2">
      <c r="A94" s="24"/>
      <c r="B94" s="1"/>
      <c r="C94" s="50"/>
      <c r="D94" s="57" t="s">
        <v>78</v>
      </c>
      <c r="E94" s="58" t="s">
        <v>79</v>
      </c>
      <c r="F94" s="57" t="s">
        <v>72</v>
      </c>
      <c r="G94" s="54"/>
      <c r="I94" s="1"/>
      <c r="J94" s="1"/>
      <c r="K94" s="1"/>
      <c r="L94" s="1"/>
      <c r="M94" s="1"/>
    </row>
    <row r="95" spans="1:13" s="2" customFormat="1" x14ac:dyDescent="0.2">
      <c r="A95" s="24"/>
      <c r="B95" s="1"/>
      <c r="C95" s="59" t="str">
        <f>"01-05-2023 to "&amp;TEXT(A5-2,"dd-mm-yyyy")</f>
        <v>01-05-2023 to 06-05-2023</v>
      </c>
      <c r="D95" s="60">
        <v>744.2</v>
      </c>
      <c r="E95" s="60">
        <v>84.32</v>
      </c>
      <c r="F95" s="61">
        <f>SUM(D95:E95)</f>
        <v>828.52</v>
      </c>
      <c r="G95" s="54"/>
      <c r="I95" s="1"/>
      <c r="J95" s="1"/>
      <c r="K95" s="1"/>
      <c r="L95" s="1"/>
      <c r="M95" s="1"/>
    </row>
    <row r="96" spans="1:13" s="2" customFormat="1" x14ac:dyDescent="0.2">
      <c r="A96" s="24"/>
      <c r="B96" s="1"/>
      <c r="C96" s="62" t="str">
        <f>TEXT(A5-1,"dd-mm-yyyy")</f>
        <v>07-05-2023</v>
      </c>
      <c r="D96" s="60">
        <v>59.17</v>
      </c>
      <c r="E96" s="60">
        <v>3.26</v>
      </c>
      <c r="F96" s="61">
        <f>SUM(D96:E96)</f>
        <v>62.43</v>
      </c>
      <c r="G96" s="54"/>
      <c r="I96" s="1"/>
      <c r="J96" s="1"/>
      <c r="K96" s="1"/>
      <c r="L96" s="1"/>
      <c r="M96" s="1"/>
    </row>
    <row r="97" spans="1:10" ht="13.5" thickBot="1" x14ac:dyDescent="0.25">
      <c r="C97" s="63" t="str">
        <f>"01-05-2023 to "&amp;TEXT(A5-1,"dd-mm-yyyy")</f>
        <v>01-05-2023 to 07-05-2023</v>
      </c>
      <c r="D97" s="64">
        <f>SUM(D95:D96)</f>
        <v>803.37</v>
      </c>
      <c r="E97" s="64">
        <f>SUM(E95:E96)</f>
        <v>87.58</v>
      </c>
      <c r="F97" s="64">
        <f>SUM(F95:F96)</f>
        <v>890.94999999999993</v>
      </c>
      <c r="G97" s="54"/>
      <c r="H97" s="2" t="s">
        <v>396</v>
      </c>
    </row>
    <row r="98" spans="1:10" s="2" customFormat="1" ht="13.5" thickTop="1" x14ac:dyDescent="0.2">
      <c r="A98" s="24"/>
      <c r="B98" s="1"/>
      <c r="C98" s="62"/>
      <c r="D98" s="65"/>
      <c r="E98" s="66"/>
      <c r="F98" s="67"/>
      <c r="G98" s="54"/>
      <c r="H98" s="53"/>
    </row>
    <row r="99" spans="1:10" x14ac:dyDescent="0.2">
      <c r="C99" s="62" t="str">
        <f>"01-04-2023 to " &amp;C96</f>
        <v>01-04-2023 to 07-05-2023</v>
      </c>
      <c r="D99" s="68">
        <f>+D97+4320.26</f>
        <v>5123.63</v>
      </c>
      <c r="E99" s="68">
        <f>+E97+536.17</f>
        <v>623.75</v>
      </c>
      <c r="F99" s="68">
        <f>+F97+4856.44</f>
        <v>5747.3899999999994</v>
      </c>
      <c r="G99" s="54"/>
      <c r="H99" s="53" t="s">
        <v>396</v>
      </c>
    </row>
    <row r="100" spans="1:10" x14ac:dyDescent="0.2">
      <c r="C100" s="52"/>
      <c r="D100" s="85"/>
      <c r="E100" s="53"/>
      <c r="F100" s="53"/>
      <c r="G100" s="54"/>
      <c r="H100" s="53" t="s">
        <v>396</v>
      </c>
      <c r="J100" s="42"/>
    </row>
    <row r="101" spans="1:10" x14ac:dyDescent="0.2">
      <c r="C101" s="52"/>
      <c r="D101" s="85"/>
      <c r="E101" s="53"/>
      <c r="F101" s="53"/>
      <c r="G101" s="54"/>
      <c r="H101" s="53"/>
      <c r="I101" s="101"/>
    </row>
    <row r="102" spans="1:10" x14ac:dyDescent="0.2">
      <c r="C102" s="52"/>
      <c r="D102" s="85"/>
      <c r="E102" s="53"/>
      <c r="F102" s="53"/>
      <c r="G102" s="54"/>
      <c r="H102" s="53"/>
    </row>
    <row r="103" spans="1:10" x14ac:dyDescent="0.2">
      <c r="C103" s="52"/>
      <c r="D103" s="85"/>
      <c r="E103" s="53"/>
      <c r="F103" s="53"/>
      <c r="G103" s="54"/>
      <c r="H103" s="53"/>
    </row>
    <row r="104" spans="1:10" x14ac:dyDescent="0.2">
      <c r="H104" s="53"/>
    </row>
  </sheetData>
  <mergeCells count="5">
    <mergeCell ref="A1:G1"/>
    <mergeCell ref="A3:F3"/>
    <mergeCell ref="A9:F9"/>
    <mergeCell ref="A80:D80"/>
    <mergeCell ref="C93:F93"/>
  </mergeCells>
  <conditionalFormatting sqref="G77:G78">
    <cfRule type="cellIs" dxfId="597" priority="1" operator="lessThan">
      <formula>0</formula>
    </cfRule>
  </conditionalFormatting>
  <conditionalFormatting sqref="C11">
    <cfRule type="duplicateValues" dxfId="596" priority="2"/>
  </conditionalFormatting>
  <conditionalFormatting sqref="C12:C57">
    <cfRule type="duplicateValues" dxfId="595" priority="464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20">
    <pageSetUpPr fitToPage="1"/>
  </sheetPr>
  <dimension ref="A1:N122"/>
  <sheetViews>
    <sheetView topLeftCell="A7" zoomScaleNormal="100" workbookViewId="0">
      <selection activeCell="C46" sqref="C46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47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939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2.75" customHeight="1" x14ac:dyDescent="0.4">
      <c r="A5" s="89">
        <v>45055</v>
      </c>
      <c r="B5" s="9" t="s">
        <v>6</v>
      </c>
      <c r="C5" s="10" t="s">
        <v>7</v>
      </c>
      <c r="D5" s="11"/>
      <c r="E5" s="12">
        <v>736474.70000000019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736474.70000000019</v>
      </c>
      <c r="F6" s="16">
        <f>SUM(F5:F5)</f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E6-F6</f>
        <v>736474.70000000019</v>
      </c>
      <c r="F7" s="22"/>
      <c r="G7" s="23"/>
      <c r="H7" s="112"/>
      <c r="I7" s="112"/>
      <c r="J7" s="13"/>
    </row>
    <row r="8" spans="1:10" s="2" customFormat="1" ht="12.75" customHeight="1" x14ac:dyDescent="0.4">
      <c r="A8" s="24"/>
      <c r="B8" s="1"/>
      <c r="C8" s="14"/>
      <c r="D8" s="25"/>
      <c r="G8" s="23"/>
      <c r="H8" s="112"/>
      <c r="I8" s="112"/>
      <c r="J8" s="13"/>
    </row>
    <row r="9" spans="1:10" s="2" customFormat="1" ht="21.75" customHeight="1" x14ac:dyDescent="0.4">
      <c r="A9" s="214" t="s">
        <v>10</v>
      </c>
      <c r="B9" s="214"/>
      <c r="C9" s="214"/>
      <c r="D9" s="214"/>
      <c r="E9" s="214"/>
      <c r="F9" s="214"/>
      <c r="G9" s="13"/>
      <c r="H9" s="112"/>
      <c r="I9" s="112"/>
      <c r="J9" s="13"/>
    </row>
    <row r="10" spans="1:10" s="2" customFormat="1" ht="12.75" customHeight="1" x14ac:dyDescent="0.4">
      <c r="A10" s="26" t="s">
        <v>1</v>
      </c>
      <c r="B10" s="27" t="s">
        <v>2</v>
      </c>
      <c r="C10" s="5"/>
      <c r="D10" s="6" t="s">
        <v>3</v>
      </c>
      <c r="E10" s="7" t="s">
        <v>4</v>
      </c>
      <c r="F10" s="7" t="s">
        <v>5</v>
      </c>
      <c r="G10" s="23"/>
      <c r="H10" s="112"/>
      <c r="I10" s="112"/>
      <c r="J10" s="13"/>
    </row>
    <row r="11" spans="1:10" s="2" customFormat="1" ht="12.75" customHeight="1" x14ac:dyDescent="0.2">
      <c r="A11" s="89">
        <v>45055</v>
      </c>
      <c r="B11" s="91" t="s">
        <v>11</v>
      </c>
      <c r="C11" s="29" t="s">
        <v>7</v>
      </c>
      <c r="D11" s="25"/>
      <c r="E11" s="31"/>
      <c r="F11" s="2">
        <v>348885769.42000002</v>
      </c>
      <c r="G11" s="30"/>
      <c r="I11" s="13"/>
      <c r="J11" s="13"/>
    </row>
    <row r="12" spans="1:10" s="2" customFormat="1" ht="12.75" customHeight="1" x14ac:dyDescent="0.2">
      <c r="A12" s="89">
        <v>45055</v>
      </c>
      <c r="B12" s="91" t="s">
        <v>6</v>
      </c>
      <c r="C12" s="76" t="s">
        <v>750</v>
      </c>
      <c r="D12" s="116" t="s">
        <v>13</v>
      </c>
      <c r="E12" s="31">
        <v>427397.49</v>
      </c>
      <c r="G12" s="30"/>
      <c r="I12" s="13"/>
      <c r="J12" s="13"/>
    </row>
    <row r="13" spans="1:10" s="2" customFormat="1" ht="12.75" customHeight="1" x14ac:dyDescent="0.2">
      <c r="A13" s="89">
        <v>45055</v>
      </c>
      <c r="B13" s="91" t="s">
        <v>6</v>
      </c>
      <c r="C13" s="76" t="s">
        <v>764</v>
      </c>
      <c r="D13" s="116" t="s">
        <v>13</v>
      </c>
      <c r="E13" s="31">
        <v>1579003.44</v>
      </c>
      <c r="G13" s="30"/>
      <c r="I13" s="13"/>
      <c r="J13" s="13"/>
    </row>
    <row r="14" spans="1:10" s="2" customFormat="1" ht="12.75" customHeight="1" x14ac:dyDescent="0.2">
      <c r="A14" s="89">
        <v>45055</v>
      </c>
      <c r="B14" s="91" t="s">
        <v>6</v>
      </c>
      <c r="C14" s="76" t="s">
        <v>759</v>
      </c>
      <c r="D14" s="116" t="s">
        <v>13</v>
      </c>
      <c r="E14" s="31">
        <v>3900290.04</v>
      </c>
      <c r="G14" s="30"/>
      <c r="I14" s="13"/>
      <c r="J14" s="13"/>
    </row>
    <row r="15" spans="1:10" s="2" customFormat="1" ht="12.75" customHeight="1" x14ac:dyDescent="0.2">
      <c r="A15" s="89">
        <v>45055</v>
      </c>
      <c r="B15" s="91" t="s">
        <v>6</v>
      </c>
      <c r="C15" s="76" t="s">
        <v>755</v>
      </c>
      <c r="D15" s="116" t="s">
        <v>13</v>
      </c>
      <c r="E15" s="31">
        <v>1310162.7</v>
      </c>
      <c r="G15" s="30"/>
      <c r="I15" s="13"/>
      <c r="J15" s="13"/>
    </row>
    <row r="16" spans="1:10" s="2" customFormat="1" ht="12.75" customHeight="1" x14ac:dyDescent="0.2">
      <c r="A16" s="89">
        <v>45055</v>
      </c>
      <c r="B16" s="91" t="s">
        <v>6</v>
      </c>
      <c r="C16" s="76" t="s">
        <v>765</v>
      </c>
      <c r="D16" s="116" t="s">
        <v>13</v>
      </c>
      <c r="E16" s="31">
        <v>494380.97</v>
      </c>
      <c r="G16" s="30"/>
      <c r="I16" s="13"/>
      <c r="J16" s="13"/>
    </row>
    <row r="17" spans="1:10" s="2" customFormat="1" ht="12.75" customHeight="1" x14ac:dyDescent="0.2">
      <c r="A17" s="89">
        <v>45055</v>
      </c>
      <c r="B17" s="91" t="s">
        <v>6</v>
      </c>
      <c r="C17" s="76" t="s">
        <v>761</v>
      </c>
      <c r="D17" s="116" t="s">
        <v>13</v>
      </c>
      <c r="E17" s="31">
        <v>262234</v>
      </c>
      <c r="G17" s="30"/>
      <c r="I17" s="13"/>
      <c r="J17" s="13"/>
    </row>
    <row r="18" spans="1:10" s="2" customFormat="1" ht="12.75" customHeight="1" x14ac:dyDescent="0.2">
      <c r="A18" s="89">
        <v>45055</v>
      </c>
      <c r="B18" s="91" t="s">
        <v>6</v>
      </c>
      <c r="C18" s="76" t="s">
        <v>244</v>
      </c>
      <c r="D18" s="116" t="s">
        <v>13</v>
      </c>
      <c r="E18" s="31">
        <v>653570</v>
      </c>
      <c r="G18" s="30"/>
      <c r="I18" s="13"/>
      <c r="J18" s="13"/>
    </row>
    <row r="19" spans="1:10" s="2" customFormat="1" ht="12.75" customHeight="1" x14ac:dyDescent="0.2">
      <c r="A19" s="89">
        <v>45055</v>
      </c>
      <c r="B19" s="91" t="s">
        <v>6</v>
      </c>
      <c r="C19" s="76" t="s">
        <v>648</v>
      </c>
      <c r="D19" s="116" t="s">
        <v>13</v>
      </c>
      <c r="E19" s="31">
        <v>54713</v>
      </c>
      <c r="G19" s="30"/>
      <c r="I19" s="13"/>
      <c r="J19" s="13"/>
    </row>
    <row r="20" spans="1:10" s="2" customFormat="1" ht="12.75" customHeight="1" x14ac:dyDescent="0.2">
      <c r="A20" s="89">
        <v>45055</v>
      </c>
      <c r="B20" s="91" t="s">
        <v>6</v>
      </c>
      <c r="C20" s="76" t="s">
        <v>675</v>
      </c>
      <c r="D20" s="116" t="s">
        <v>13</v>
      </c>
      <c r="E20" s="31">
        <v>50000</v>
      </c>
      <c r="G20" s="30"/>
      <c r="I20" s="13"/>
      <c r="J20" s="13"/>
    </row>
    <row r="21" spans="1:10" s="2" customFormat="1" ht="12.75" customHeight="1" x14ac:dyDescent="0.2">
      <c r="A21" s="89">
        <v>45055</v>
      </c>
      <c r="B21" s="91" t="s">
        <v>6</v>
      </c>
      <c r="C21" s="76" t="s">
        <v>516</v>
      </c>
      <c r="D21" s="116" t="s">
        <v>13</v>
      </c>
      <c r="E21" s="31">
        <v>54596</v>
      </c>
      <c r="G21" s="30"/>
      <c r="I21" s="13"/>
      <c r="J21" s="13"/>
    </row>
    <row r="22" spans="1:10" s="2" customFormat="1" ht="12.75" customHeight="1" x14ac:dyDescent="0.2">
      <c r="A22" s="89">
        <v>45055</v>
      </c>
      <c r="B22" s="91" t="s">
        <v>6</v>
      </c>
      <c r="C22" s="76" t="s">
        <v>461</v>
      </c>
      <c r="D22" s="116" t="s">
        <v>13</v>
      </c>
      <c r="E22" s="31">
        <v>420243</v>
      </c>
      <c r="G22" s="30"/>
      <c r="I22" s="13"/>
      <c r="J22" s="13"/>
    </row>
    <row r="23" spans="1:10" s="2" customFormat="1" ht="12.75" customHeight="1" x14ac:dyDescent="0.2">
      <c r="A23" s="89">
        <v>45055</v>
      </c>
      <c r="B23" s="91" t="s">
        <v>6</v>
      </c>
      <c r="C23" s="76" t="s">
        <v>817</v>
      </c>
      <c r="D23" s="116" t="s">
        <v>13</v>
      </c>
      <c r="E23" s="31">
        <v>10500</v>
      </c>
      <c r="G23" s="30"/>
      <c r="I23" s="13"/>
      <c r="J23" s="13"/>
    </row>
    <row r="24" spans="1:10" s="2" customFormat="1" ht="12.75" customHeight="1" x14ac:dyDescent="0.2">
      <c r="A24" s="89">
        <v>45055</v>
      </c>
      <c r="B24" s="91" t="s">
        <v>6</v>
      </c>
      <c r="C24" s="76" t="s">
        <v>329</v>
      </c>
      <c r="D24" s="116" t="s">
        <v>13</v>
      </c>
      <c r="E24" s="31">
        <v>501883</v>
      </c>
      <c r="G24" s="30"/>
      <c r="I24" s="13"/>
      <c r="J24" s="13"/>
    </row>
    <row r="25" spans="1:10" s="2" customFormat="1" ht="12.75" customHeight="1" x14ac:dyDescent="0.2">
      <c r="A25" s="89">
        <v>45055</v>
      </c>
      <c r="B25" s="91" t="s">
        <v>6</v>
      </c>
      <c r="C25" s="76" t="s">
        <v>15</v>
      </c>
      <c r="D25" s="116" t="s">
        <v>13</v>
      </c>
      <c r="E25" s="31">
        <v>83119.399999999994</v>
      </c>
      <c r="G25" s="30"/>
      <c r="I25" s="13"/>
      <c r="J25" s="13"/>
    </row>
    <row r="26" spans="1:10" s="2" customFormat="1" ht="12.75" customHeight="1" x14ac:dyDescent="0.2">
      <c r="A26" s="89">
        <v>45055</v>
      </c>
      <c r="B26" s="91" t="s">
        <v>6</v>
      </c>
      <c r="C26" s="76" t="s">
        <v>614</v>
      </c>
      <c r="D26" s="116" t="s">
        <v>13</v>
      </c>
      <c r="E26" s="31">
        <v>2730</v>
      </c>
      <c r="G26" s="30"/>
      <c r="I26" s="13"/>
      <c r="J26" s="13"/>
    </row>
    <row r="27" spans="1:10" s="2" customFormat="1" ht="12.75" customHeight="1" x14ac:dyDescent="0.2">
      <c r="A27" s="89">
        <v>45055</v>
      </c>
      <c r="B27" s="91" t="s">
        <v>6</v>
      </c>
      <c r="C27" s="76" t="s">
        <v>456</v>
      </c>
      <c r="D27" s="116" t="s">
        <v>13</v>
      </c>
      <c r="E27" s="31">
        <v>126600</v>
      </c>
      <c r="G27" s="30"/>
      <c r="I27" s="13"/>
      <c r="J27" s="13"/>
    </row>
    <row r="28" spans="1:10" s="2" customFormat="1" ht="12.75" customHeight="1" x14ac:dyDescent="0.2">
      <c r="A28" s="89">
        <v>45055</v>
      </c>
      <c r="B28" s="91" t="s">
        <v>6</v>
      </c>
      <c r="C28" s="76" t="s">
        <v>942</v>
      </c>
      <c r="D28" s="116" t="s">
        <v>13</v>
      </c>
      <c r="E28" s="31">
        <v>4410</v>
      </c>
      <c r="G28" s="30"/>
      <c r="I28" s="13"/>
      <c r="J28" s="13"/>
    </row>
    <row r="29" spans="1:10" s="2" customFormat="1" ht="12.75" customHeight="1" x14ac:dyDescent="0.2">
      <c r="A29" s="89">
        <v>45055</v>
      </c>
      <c r="B29" s="91" t="s">
        <v>6</v>
      </c>
      <c r="C29" s="76" t="s">
        <v>903</v>
      </c>
      <c r="D29" s="116" t="s">
        <v>13</v>
      </c>
      <c r="E29" s="31">
        <v>590515</v>
      </c>
      <c r="G29" s="30"/>
      <c r="I29" s="13"/>
      <c r="J29" s="13"/>
    </row>
    <row r="30" spans="1:10" s="2" customFormat="1" ht="12.75" customHeight="1" x14ac:dyDescent="0.2">
      <c r="A30" s="89">
        <v>45055</v>
      </c>
      <c r="B30" s="91" t="s">
        <v>6</v>
      </c>
      <c r="C30" s="76" t="s">
        <v>379</v>
      </c>
      <c r="D30" s="116" t="s">
        <v>13</v>
      </c>
      <c r="E30" s="31">
        <v>2225073.6</v>
      </c>
      <c r="G30" s="30"/>
      <c r="I30" s="13"/>
      <c r="J30" s="13"/>
    </row>
    <row r="31" spans="1:10" s="2" customFormat="1" ht="12.75" customHeight="1" x14ac:dyDescent="0.2">
      <c r="A31" s="89">
        <v>45055</v>
      </c>
      <c r="B31" s="91" t="s">
        <v>6</v>
      </c>
      <c r="C31" s="76" t="s">
        <v>943</v>
      </c>
      <c r="D31" s="116" t="s">
        <v>13</v>
      </c>
      <c r="E31" s="31">
        <v>191270.84</v>
      </c>
      <c r="G31" s="30"/>
      <c r="I31" s="13"/>
      <c r="J31" s="13"/>
    </row>
    <row r="32" spans="1:10" s="2" customFormat="1" ht="12.75" customHeight="1" x14ac:dyDescent="0.2">
      <c r="A32" s="89">
        <v>45055</v>
      </c>
      <c r="B32" s="91" t="s">
        <v>6</v>
      </c>
      <c r="C32" s="76" t="s">
        <v>321</v>
      </c>
      <c r="D32" s="116" t="s">
        <v>13</v>
      </c>
      <c r="E32" s="31">
        <v>31430.62</v>
      </c>
      <c r="G32" s="30"/>
      <c r="I32" s="13"/>
      <c r="J32" s="13"/>
    </row>
    <row r="33" spans="1:10" s="2" customFormat="1" ht="12.75" customHeight="1" x14ac:dyDescent="0.2">
      <c r="A33" s="89">
        <v>45055</v>
      </c>
      <c r="B33" s="91" t="s">
        <v>6</v>
      </c>
      <c r="C33" s="76" t="s">
        <v>157</v>
      </c>
      <c r="D33" s="116" t="s">
        <v>13</v>
      </c>
      <c r="E33" s="31">
        <v>1189982</v>
      </c>
      <c r="G33" s="30"/>
      <c r="I33" s="13"/>
      <c r="J33" s="13"/>
    </row>
    <row r="34" spans="1:10" s="2" customFormat="1" ht="12.75" customHeight="1" x14ac:dyDescent="0.2">
      <c r="A34" s="89">
        <v>45055</v>
      </c>
      <c r="B34" s="91" t="s">
        <v>6</v>
      </c>
      <c r="C34" s="76" t="s">
        <v>111</v>
      </c>
      <c r="D34" s="116" t="s">
        <v>258</v>
      </c>
      <c r="E34" s="31">
        <v>614840.43999999994</v>
      </c>
      <c r="G34" s="30"/>
      <c r="I34" s="13"/>
      <c r="J34" s="13"/>
    </row>
    <row r="35" spans="1:10" s="2" customFormat="1" ht="12.75" customHeight="1" x14ac:dyDescent="0.2">
      <c r="A35" s="89">
        <v>45055</v>
      </c>
      <c r="B35" s="91" t="s">
        <v>6</v>
      </c>
      <c r="C35" s="76" t="s">
        <v>16</v>
      </c>
      <c r="D35" s="116" t="s">
        <v>13</v>
      </c>
      <c r="E35" s="31">
        <v>2940</v>
      </c>
      <c r="G35" s="30"/>
      <c r="I35" s="13"/>
      <c r="J35" s="13"/>
    </row>
    <row r="36" spans="1:10" s="2" customFormat="1" ht="12.75" customHeight="1" x14ac:dyDescent="0.2">
      <c r="A36" s="89">
        <v>45055</v>
      </c>
      <c r="B36" s="91" t="s">
        <v>6</v>
      </c>
      <c r="C36" s="76" t="s">
        <v>62</v>
      </c>
      <c r="D36" s="116" t="s">
        <v>13</v>
      </c>
      <c r="E36" s="31">
        <v>5000</v>
      </c>
      <c r="G36" s="30"/>
      <c r="I36" s="13"/>
      <c r="J36" s="13"/>
    </row>
    <row r="37" spans="1:10" s="2" customFormat="1" ht="12.75" customHeight="1" x14ac:dyDescent="0.2">
      <c r="A37" s="89">
        <v>45055</v>
      </c>
      <c r="B37" s="91" t="s">
        <v>6</v>
      </c>
      <c r="C37" s="76" t="s">
        <v>12</v>
      </c>
      <c r="D37" s="116" t="s">
        <v>13</v>
      </c>
      <c r="E37" s="31">
        <v>10674726.239999998</v>
      </c>
      <c r="G37" s="30"/>
      <c r="I37" s="13"/>
      <c r="J37" s="13"/>
    </row>
    <row r="38" spans="1:10" s="2" customFormat="1" ht="12.75" customHeight="1" x14ac:dyDescent="0.2">
      <c r="A38" s="89">
        <v>45055</v>
      </c>
      <c r="B38" s="91" t="s">
        <v>6</v>
      </c>
      <c r="C38" s="76" t="s">
        <v>179</v>
      </c>
      <c r="D38" s="116" t="s">
        <v>13</v>
      </c>
      <c r="E38" s="31">
        <v>60000</v>
      </c>
      <c r="G38" s="30"/>
      <c r="I38" s="13"/>
      <c r="J38" s="13"/>
    </row>
    <row r="39" spans="1:10" s="2" customFormat="1" ht="12.75" customHeight="1" x14ac:dyDescent="0.2">
      <c r="A39" s="89">
        <v>45055</v>
      </c>
      <c r="B39" s="91" t="s">
        <v>11</v>
      </c>
      <c r="C39" s="76" t="s">
        <v>64</v>
      </c>
      <c r="D39" s="116" t="s">
        <v>29</v>
      </c>
      <c r="E39" s="31"/>
      <c r="F39" s="2">
        <f>19731.17+28197.87</f>
        <v>47929.039999999994</v>
      </c>
      <c r="G39" s="30"/>
      <c r="I39" s="13"/>
      <c r="J39" s="13"/>
    </row>
    <row r="40" spans="1:10" s="2" customFormat="1" ht="12.75" customHeight="1" x14ac:dyDescent="0.2">
      <c r="A40" s="89">
        <v>45055</v>
      </c>
      <c r="B40" s="91" t="s">
        <v>11</v>
      </c>
      <c r="C40" s="76" t="s">
        <v>111</v>
      </c>
      <c r="D40" s="116" t="s">
        <v>29</v>
      </c>
      <c r="E40" s="31"/>
      <c r="F40" s="2">
        <v>6483888.9200000009</v>
      </c>
      <c r="G40" s="30"/>
      <c r="I40" s="13"/>
      <c r="J40" s="13"/>
    </row>
    <row r="41" spans="1:10" s="2" customFormat="1" ht="12.75" customHeight="1" x14ac:dyDescent="0.2">
      <c r="A41" s="89">
        <v>45055</v>
      </c>
      <c r="B41" s="91" t="s">
        <v>11</v>
      </c>
      <c r="C41" s="76" t="s">
        <v>210</v>
      </c>
      <c r="D41" s="116" t="s">
        <v>29</v>
      </c>
      <c r="E41" s="31"/>
      <c r="F41" s="2">
        <v>67909</v>
      </c>
      <c r="G41" s="30"/>
      <c r="I41" s="13"/>
      <c r="J41" s="13"/>
    </row>
    <row r="42" spans="1:10" s="2" customFormat="1" ht="12.75" customHeight="1" x14ac:dyDescent="0.2">
      <c r="A42" s="89">
        <v>45055</v>
      </c>
      <c r="B42" s="91" t="s">
        <v>11</v>
      </c>
      <c r="C42" s="76" t="s">
        <v>438</v>
      </c>
      <c r="D42" s="116" t="s">
        <v>29</v>
      </c>
      <c r="E42" s="31"/>
      <c r="F42" s="2">
        <v>29034</v>
      </c>
      <c r="G42" s="30"/>
      <c r="I42" s="13"/>
      <c r="J42" s="13"/>
    </row>
    <row r="43" spans="1:10" s="2" customFormat="1" ht="12.75" customHeight="1" x14ac:dyDescent="0.2">
      <c r="A43" s="89">
        <v>45055</v>
      </c>
      <c r="B43" s="91" t="s">
        <v>11</v>
      </c>
      <c r="C43" s="76" t="s">
        <v>472</v>
      </c>
      <c r="D43" s="116" t="s">
        <v>29</v>
      </c>
      <c r="E43" s="31"/>
      <c r="F43" s="2">
        <v>47584</v>
      </c>
      <c r="G43" s="30"/>
      <c r="I43" s="13"/>
      <c r="J43" s="13"/>
    </row>
    <row r="44" spans="1:10" s="2" customFormat="1" ht="12.75" customHeight="1" x14ac:dyDescent="0.2">
      <c r="A44" s="89">
        <v>45055</v>
      </c>
      <c r="B44" s="91" t="s">
        <v>11</v>
      </c>
      <c r="C44" s="76" t="s">
        <v>388</v>
      </c>
      <c r="D44" s="116" t="s">
        <v>29</v>
      </c>
      <c r="E44" s="31"/>
      <c r="F44" s="2">
        <v>1239</v>
      </c>
      <c r="G44" s="30"/>
      <c r="I44" s="13"/>
      <c r="J44" s="13"/>
    </row>
    <row r="45" spans="1:10" s="2" customFormat="1" ht="12.75" customHeight="1" x14ac:dyDescent="0.2">
      <c r="A45" s="89">
        <v>45055</v>
      </c>
      <c r="B45" s="91" t="s">
        <v>11</v>
      </c>
      <c r="C45" s="76" t="s">
        <v>525</v>
      </c>
      <c r="D45" s="116" t="s">
        <v>29</v>
      </c>
      <c r="E45" s="31"/>
      <c r="F45" s="2">
        <v>1000000</v>
      </c>
      <c r="G45" s="30"/>
      <c r="I45" s="13"/>
      <c r="J45" s="13"/>
    </row>
    <row r="46" spans="1:10" s="2" customFormat="1" ht="12.75" customHeight="1" x14ac:dyDescent="0.2">
      <c r="A46" s="89">
        <v>45055</v>
      </c>
      <c r="B46" s="91" t="s">
        <v>11</v>
      </c>
      <c r="C46" s="76" t="s">
        <v>423</v>
      </c>
      <c r="D46" s="116" t="s">
        <v>29</v>
      </c>
      <c r="E46" s="31"/>
      <c r="F46" s="2">
        <v>15045</v>
      </c>
      <c r="G46" s="30"/>
      <c r="I46" s="13"/>
      <c r="J46" s="13"/>
    </row>
    <row r="47" spans="1:10" s="2" customFormat="1" ht="12.75" customHeight="1" x14ac:dyDescent="0.2">
      <c r="A47" s="89">
        <v>45055</v>
      </c>
      <c r="B47" s="91" t="s">
        <v>11</v>
      </c>
      <c r="C47" s="76" t="s">
        <v>729</v>
      </c>
      <c r="D47" s="116" t="s">
        <v>29</v>
      </c>
      <c r="E47" s="31"/>
      <c r="F47" s="2">
        <v>4400</v>
      </c>
      <c r="G47" s="30"/>
      <c r="I47" s="13"/>
      <c r="J47" s="13"/>
    </row>
    <row r="48" spans="1:10" s="2" customFormat="1" ht="12.75" customHeight="1" x14ac:dyDescent="0.2">
      <c r="A48" s="89">
        <v>45055</v>
      </c>
      <c r="B48" s="91" t="s">
        <v>11</v>
      </c>
      <c r="C48" s="76" t="s">
        <v>128</v>
      </c>
      <c r="D48" s="116" t="s">
        <v>29</v>
      </c>
      <c r="E48" s="31"/>
      <c r="F48" s="2">
        <v>17789</v>
      </c>
      <c r="G48" s="30"/>
      <c r="I48" s="13"/>
      <c r="J48" s="13"/>
    </row>
    <row r="49" spans="1:10" s="2" customFormat="1" ht="12.75" customHeight="1" x14ac:dyDescent="0.2">
      <c r="A49" s="89">
        <v>45055</v>
      </c>
      <c r="B49" s="91" t="s">
        <v>11</v>
      </c>
      <c r="C49" s="76" t="s">
        <v>561</v>
      </c>
      <c r="D49" s="116" t="s">
        <v>29</v>
      </c>
      <c r="E49" s="31"/>
      <c r="F49" s="2">
        <v>322596</v>
      </c>
      <c r="G49" s="30"/>
      <c r="I49" s="13"/>
      <c r="J49" s="13"/>
    </row>
    <row r="50" spans="1:10" s="2" customFormat="1" ht="12.75" customHeight="1" x14ac:dyDescent="0.2">
      <c r="A50" s="89">
        <v>45055</v>
      </c>
      <c r="B50" s="91" t="s">
        <v>11</v>
      </c>
      <c r="C50" s="76" t="s">
        <v>798</v>
      </c>
      <c r="D50" s="116" t="s">
        <v>29</v>
      </c>
      <c r="E50" s="31"/>
      <c r="F50" s="2">
        <v>335172.26</v>
      </c>
      <c r="G50" s="30"/>
      <c r="I50" s="13"/>
      <c r="J50" s="13"/>
    </row>
    <row r="51" spans="1:10" s="2" customFormat="1" ht="12.75" customHeight="1" x14ac:dyDescent="0.2">
      <c r="A51" s="89">
        <v>45055</v>
      </c>
      <c r="B51" s="91" t="s">
        <v>11</v>
      </c>
      <c r="C51" s="76" t="s">
        <v>197</v>
      </c>
      <c r="D51" s="116" t="s">
        <v>29</v>
      </c>
      <c r="E51" s="31"/>
      <c r="F51" s="2">
        <v>30090</v>
      </c>
      <c r="G51" s="30"/>
      <c r="I51" s="13"/>
      <c r="J51" s="13"/>
    </row>
    <row r="52" spans="1:10" s="2" customFormat="1" ht="12.75" customHeight="1" x14ac:dyDescent="0.2">
      <c r="A52" s="89">
        <v>45055</v>
      </c>
      <c r="B52" s="91" t="s">
        <v>11</v>
      </c>
      <c r="C52" s="76" t="s">
        <v>277</v>
      </c>
      <c r="D52" s="116" t="s">
        <v>29</v>
      </c>
      <c r="E52" s="31"/>
      <c r="F52" s="2">
        <v>42840</v>
      </c>
      <c r="G52" s="30"/>
      <c r="I52" s="13"/>
      <c r="J52" s="13"/>
    </row>
    <row r="53" spans="1:10" s="2" customFormat="1" ht="12.75" customHeight="1" x14ac:dyDescent="0.2">
      <c r="A53" s="89">
        <v>45055</v>
      </c>
      <c r="B53" s="91" t="s">
        <v>11</v>
      </c>
      <c r="C53" s="76" t="s">
        <v>25</v>
      </c>
      <c r="D53" s="116" t="s">
        <v>29</v>
      </c>
      <c r="E53" s="31"/>
      <c r="F53" s="2">
        <v>2000000</v>
      </c>
      <c r="G53" s="30"/>
      <c r="I53" s="13"/>
      <c r="J53" s="13"/>
    </row>
    <row r="54" spans="1:10" s="2" customFormat="1" ht="12.75" customHeight="1" x14ac:dyDescent="0.2">
      <c r="A54" s="89">
        <v>45055</v>
      </c>
      <c r="B54" s="91" t="s">
        <v>11</v>
      </c>
      <c r="C54" s="76" t="s">
        <v>235</v>
      </c>
      <c r="D54" s="116" t="s">
        <v>29</v>
      </c>
      <c r="E54" s="31"/>
      <c r="F54" s="2">
        <v>5629</v>
      </c>
      <c r="G54" s="30"/>
      <c r="I54" s="13"/>
      <c r="J54" s="13"/>
    </row>
    <row r="55" spans="1:10" s="2" customFormat="1" ht="12.75" customHeight="1" x14ac:dyDescent="0.2">
      <c r="A55" s="89">
        <v>45055</v>
      </c>
      <c r="B55" s="91" t="s">
        <v>11</v>
      </c>
      <c r="C55" s="76" t="s">
        <v>57</v>
      </c>
      <c r="D55" s="116" t="s">
        <v>29</v>
      </c>
      <c r="E55" s="31"/>
      <c r="F55" s="2">
        <v>4000000</v>
      </c>
      <c r="G55" s="30"/>
      <c r="I55" s="13"/>
      <c r="J55" s="13"/>
    </row>
    <row r="56" spans="1:10" s="2" customFormat="1" ht="12.75" customHeight="1" x14ac:dyDescent="0.2">
      <c r="A56" s="89">
        <v>45055</v>
      </c>
      <c r="B56" s="91" t="s">
        <v>11</v>
      </c>
      <c r="C56" s="76" t="s">
        <v>735</v>
      </c>
      <c r="D56" s="116" t="s">
        <v>29</v>
      </c>
      <c r="E56" s="31"/>
      <c r="F56" s="2">
        <v>2232655</v>
      </c>
      <c r="G56" s="30"/>
      <c r="I56" s="13"/>
      <c r="J56" s="13"/>
    </row>
    <row r="57" spans="1:10" s="2" customFormat="1" ht="12.75" customHeight="1" x14ac:dyDescent="0.2">
      <c r="A57" s="89">
        <v>45055</v>
      </c>
      <c r="B57" s="91" t="s">
        <v>11</v>
      </c>
      <c r="C57" s="76" t="s">
        <v>383</v>
      </c>
      <c r="D57" s="116" t="s">
        <v>29</v>
      </c>
      <c r="E57" s="31"/>
      <c r="F57" s="2">
        <v>176277</v>
      </c>
      <c r="G57" s="30"/>
      <c r="I57" s="13"/>
      <c r="J57" s="13"/>
    </row>
    <row r="58" spans="1:10" s="2" customFormat="1" ht="12.75" customHeight="1" x14ac:dyDescent="0.2">
      <c r="A58" s="89">
        <v>45055</v>
      </c>
      <c r="B58" s="91" t="s">
        <v>11</v>
      </c>
      <c r="C58" s="76" t="s">
        <v>300</v>
      </c>
      <c r="D58" s="116" t="s">
        <v>29</v>
      </c>
      <c r="E58" s="31"/>
      <c r="F58" s="2">
        <v>1240058</v>
      </c>
      <c r="G58" s="30"/>
      <c r="I58" s="13"/>
      <c r="J58" s="13"/>
    </row>
    <row r="59" spans="1:10" s="2" customFormat="1" ht="12.75" customHeight="1" x14ac:dyDescent="0.2">
      <c r="A59" s="89">
        <v>45055</v>
      </c>
      <c r="B59" s="91" t="s">
        <v>11</v>
      </c>
      <c r="C59" s="76" t="s">
        <v>814</v>
      </c>
      <c r="D59" s="116" t="s">
        <v>29</v>
      </c>
      <c r="E59" s="31"/>
      <c r="F59" s="2">
        <v>60168</v>
      </c>
      <c r="G59" s="30"/>
      <c r="I59" s="13"/>
      <c r="J59" s="13"/>
    </row>
    <row r="60" spans="1:10" s="2" customFormat="1" ht="12.75" customHeight="1" x14ac:dyDescent="0.2">
      <c r="A60" s="89">
        <v>45055</v>
      </c>
      <c r="B60" s="91" t="s">
        <v>11</v>
      </c>
      <c r="C60" s="76" t="s">
        <v>193</v>
      </c>
      <c r="D60" s="116" t="s">
        <v>29</v>
      </c>
      <c r="E60" s="31"/>
      <c r="F60" s="2">
        <v>388630</v>
      </c>
      <c r="G60" s="30"/>
      <c r="I60" s="13"/>
      <c r="J60" s="13"/>
    </row>
    <row r="61" spans="1:10" s="2" customFormat="1" ht="12.75" customHeight="1" x14ac:dyDescent="0.2">
      <c r="A61" s="89">
        <v>45055</v>
      </c>
      <c r="B61" s="91" t="s">
        <v>11</v>
      </c>
      <c r="C61" s="76" t="s">
        <v>849</v>
      </c>
      <c r="D61" s="116" t="s">
        <v>29</v>
      </c>
      <c r="E61" s="31"/>
      <c r="F61" s="2">
        <v>311972.5</v>
      </c>
      <c r="G61" s="30"/>
      <c r="I61" s="13"/>
      <c r="J61" s="13"/>
    </row>
    <row r="62" spans="1:10" s="2" customFormat="1" ht="12.75" customHeight="1" x14ac:dyDescent="0.2">
      <c r="A62" s="89">
        <v>45055</v>
      </c>
      <c r="B62" s="91" t="s">
        <v>11</v>
      </c>
      <c r="C62" s="76" t="s">
        <v>56</v>
      </c>
      <c r="D62" s="116" t="s">
        <v>29</v>
      </c>
      <c r="E62" s="31"/>
      <c r="F62" s="2">
        <v>278640</v>
      </c>
      <c r="G62" s="30"/>
      <c r="I62" s="13"/>
      <c r="J62" s="13"/>
    </row>
    <row r="63" spans="1:10" s="2" customFormat="1" ht="12.75" customHeight="1" x14ac:dyDescent="0.2">
      <c r="A63" s="89">
        <v>45055</v>
      </c>
      <c r="B63" s="91" t="s">
        <v>11</v>
      </c>
      <c r="C63" s="76" t="s">
        <v>790</v>
      </c>
      <c r="D63" s="116" t="s">
        <v>29</v>
      </c>
      <c r="E63" s="31"/>
      <c r="F63" s="2">
        <v>204221</v>
      </c>
      <c r="G63" s="30"/>
      <c r="I63" s="13"/>
      <c r="J63" s="13"/>
    </row>
    <row r="64" spans="1:10" s="2" customFormat="1" ht="12.75" customHeight="1" x14ac:dyDescent="0.2">
      <c r="A64" s="89">
        <v>45055</v>
      </c>
      <c r="B64" s="91" t="s">
        <v>11</v>
      </c>
      <c r="C64" s="76" t="s">
        <v>194</v>
      </c>
      <c r="D64" s="116" t="s">
        <v>29</v>
      </c>
      <c r="E64" s="31"/>
      <c r="F64" s="2">
        <v>697781</v>
      </c>
      <c r="G64" s="30"/>
      <c r="I64" s="13"/>
      <c r="J64" s="13"/>
    </row>
    <row r="65" spans="1:14" s="2" customFormat="1" ht="12.75" customHeight="1" x14ac:dyDescent="0.2">
      <c r="A65" s="89">
        <v>45055</v>
      </c>
      <c r="B65" s="91" t="s">
        <v>11</v>
      </c>
      <c r="C65" s="76" t="s">
        <v>825</v>
      </c>
      <c r="D65" s="116" t="s">
        <v>29</v>
      </c>
      <c r="E65" s="31"/>
      <c r="F65" s="2">
        <v>336450</v>
      </c>
      <c r="G65" s="30"/>
      <c r="I65" s="13"/>
      <c r="J65" s="13"/>
    </row>
    <row r="66" spans="1:14" s="2" customFormat="1" ht="12.75" customHeight="1" x14ac:dyDescent="0.2">
      <c r="A66" s="89">
        <v>45055</v>
      </c>
      <c r="B66" s="91" t="s">
        <v>11</v>
      </c>
      <c r="C66" s="76" t="s">
        <v>243</v>
      </c>
      <c r="D66" s="116" t="s">
        <v>29</v>
      </c>
      <c r="E66" s="31"/>
      <c r="F66" s="2">
        <v>2236.1</v>
      </c>
      <c r="G66" s="30"/>
      <c r="I66" s="13"/>
      <c r="J66" s="13"/>
    </row>
    <row r="67" spans="1:14" s="2" customFormat="1" ht="12.75" customHeight="1" x14ac:dyDescent="0.2">
      <c r="A67" s="89">
        <v>45055</v>
      </c>
      <c r="B67" s="91" t="s">
        <v>11</v>
      </c>
      <c r="C67" s="76" t="s">
        <v>940</v>
      </c>
      <c r="D67" s="116" t="s">
        <v>29</v>
      </c>
      <c r="E67" s="31"/>
      <c r="F67" s="2">
        <v>12464</v>
      </c>
      <c r="G67" s="30"/>
      <c r="I67" s="13"/>
      <c r="J67" s="13"/>
    </row>
    <row r="68" spans="1:14" s="2" customFormat="1" ht="12.75" customHeight="1" x14ac:dyDescent="0.2">
      <c r="A68" s="89">
        <v>45055</v>
      </c>
      <c r="B68" s="91" t="s">
        <v>11</v>
      </c>
      <c r="C68" s="76" t="s">
        <v>52</v>
      </c>
      <c r="D68" s="116" t="s">
        <v>29</v>
      </c>
      <c r="E68" s="31"/>
      <c r="F68" s="2">
        <v>55460</v>
      </c>
      <c r="G68" s="30"/>
      <c r="I68" s="13"/>
      <c r="J68" s="13"/>
    </row>
    <row r="69" spans="1:14" s="2" customFormat="1" ht="12.75" customHeight="1" x14ac:dyDescent="0.2">
      <c r="A69" s="89">
        <v>45055</v>
      </c>
      <c r="B69" s="91" t="s">
        <v>11</v>
      </c>
      <c r="C69" s="76" t="s">
        <v>941</v>
      </c>
      <c r="D69" s="116" t="s">
        <v>29</v>
      </c>
      <c r="E69" s="31"/>
      <c r="F69" s="2">
        <v>82360</v>
      </c>
      <c r="G69" s="30"/>
      <c r="I69" s="13"/>
      <c r="J69" s="13"/>
    </row>
    <row r="70" spans="1:14" s="2" customFormat="1" ht="12.75" customHeight="1" x14ac:dyDescent="0.2">
      <c r="A70" s="89">
        <v>45055</v>
      </c>
      <c r="B70" s="91" t="s">
        <v>11</v>
      </c>
      <c r="C70" s="76" t="s">
        <v>834</v>
      </c>
      <c r="D70" s="116" t="s">
        <v>29</v>
      </c>
      <c r="E70" s="31"/>
      <c r="F70" s="2">
        <v>9900</v>
      </c>
      <c r="G70" s="30"/>
      <c r="I70" s="13"/>
      <c r="J70" s="13"/>
    </row>
    <row r="71" spans="1:14" s="2" customFormat="1" ht="12.75" customHeight="1" x14ac:dyDescent="0.2">
      <c r="A71" s="89">
        <v>45055</v>
      </c>
      <c r="B71" s="91" t="s">
        <v>11</v>
      </c>
      <c r="C71" s="76" t="s">
        <v>685</v>
      </c>
      <c r="D71" s="116" t="s">
        <v>29</v>
      </c>
      <c r="E71" s="31"/>
      <c r="F71" s="2">
        <v>126260</v>
      </c>
      <c r="G71" s="30"/>
      <c r="I71" s="13"/>
      <c r="J71" s="13"/>
    </row>
    <row r="72" spans="1:14" s="2" customFormat="1" ht="12.75" customHeight="1" x14ac:dyDescent="0.2">
      <c r="A72" s="89">
        <v>45055</v>
      </c>
      <c r="B72" s="91" t="s">
        <v>11</v>
      </c>
      <c r="C72" s="76" t="s">
        <v>945</v>
      </c>
      <c r="D72" s="116" t="s">
        <v>29</v>
      </c>
      <c r="E72" s="31"/>
      <c r="F72" s="2">
        <v>28902</v>
      </c>
      <c r="G72" s="30"/>
      <c r="I72" s="13"/>
      <c r="J72" s="13"/>
    </row>
    <row r="73" spans="1:14" s="13" customFormat="1" ht="12.75" customHeight="1" x14ac:dyDescent="0.2">
      <c r="A73" s="97">
        <v>45055</v>
      </c>
      <c r="B73" s="102" t="s">
        <v>11</v>
      </c>
      <c r="C73" s="94" t="s">
        <v>351</v>
      </c>
      <c r="D73" s="119" t="s">
        <v>258</v>
      </c>
      <c r="E73" s="95"/>
      <c r="F73" s="13">
        <v>1017352</v>
      </c>
      <c r="G73" s="100"/>
    </row>
    <row r="74" spans="1:14" s="2" customFormat="1" ht="12.75" customHeight="1" x14ac:dyDescent="0.2">
      <c r="A74" s="89">
        <v>45055</v>
      </c>
      <c r="B74" s="91" t="s">
        <v>11</v>
      </c>
      <c r="C74" s="76" t="s">
        <v>944</v>
      </c>
      <c r="D74" s="116" t="s">
        <v>29</v>
      </c>
      <c r="E74" s="31"/>
      <c r="F74" s="2">
        <v>1416000</v>
      </c>
      <c r="G74" s="30"/>
      <c r="I74" s="13"/>
      <c r="J74" s="13"/>
    </row>
    <row r="75" spans="1:14" s="2" customFormat="1" ht="12.75" customHeight="1" x14ac:dyDescent="0.2">
      <c r="A75" s="89">
        <v>45055</v>
      </c>
      <c r="B75" s="91" t="s">
        <v>11</v>
      </c>
      <c r="C75" s="76" t="s">
        <v>676</v>
      </c>
      <c r="D75" s="116" t="s">
        <v>29</v>
      </c>
      <c r="E75" s="31"/>
      <c r="F75" s="2">
        <v>78750</v>
      </c>
      <c r="G75" s="30"/>
      <c r="I75" s="13"/>
      <c r="J75" s="13"/>
      <c r="K75" s="99" t="s">
        <v>779</v>
      </c>
    </row>
    <row r="76" spans="1:14" s="2" customFormat="1" ht="12.75" customHeight="1" x14ac:dyDescent="0.25">
      <c r="A76" s="32"/>
      <c r="B76" s="33"/>
      <c r="C76" s="14"/>
      <c r="D76" s="34"/>
      <c r="E76" s="16">
        <f>SUM(E11:E75)</f>
        <v>25521611.779999997</v>
      </c>
      <c r="F76" s="16">
        <f>SUM(F11:F75)</f>
        <v>372093451.24000007</v>
      </c>
      <c r="G76" s="30"/>
      <c r="H76" s="1"/>
      <c r="I76" s="39">
        <v>346967620.45999998</v>
      </c>
      <c r="K76" s="92">
        <f>E77-I76</f>
        <v>-395780.99999988079</v>
      </c>
      <c r="L76" s="41"/>
      <c r="M76" s="42">
        <f>K76+J76</f>
        <v>-395780.99999988079</v>
      </c>
      <c r="N76" s="1"/>
    </row>
    <row r="77" spans="1:14" s="2" customFormat="1" x14ac:dyDescent="0.2">
      <c r="A77" s="36"/>
      <c r="B77" s="28" t="s">
        <v>11</v>
      </c>
      <c r="C77" s="19" t="s">
        <v>65</v>
      </c>
      <c r="D77" s="37"/>
      <c r="E77" s="38">
        <f>F76-E76</f>
        <v>346571839.4600001</v>
      </c>
      <c r="F77" s="22"/>
      <c r="G77" s="1"/>
      <c r="H77" s="1"/>
      <c r="J77" s="1"/>
      <c r="K77" s="1"/>
      <c r="L77" s="1"/>
      <c r="M77" s="1"/>
      <c r="N77" s="1"/>
    </row>
    <row r="78" spans="1:14" x14ac:dyDescent="0.2">
      <c r="A78" s="36"/>
      <c r="B78" s="28" t="s">
        <v>66</v>
      </c>
      <c r="C78" s="43" t="s">
        <v>67</v>
      </c>
      <c r="D78" s="43"/>
      <c r="E78" s="12">
        <v>0</v>
      </c>
      <c r="F78" s="22"/>
      <c r="H78" s="40"/>
      <c r="I78" s="45">
        <v>861.21</v>
      </c>
      <c r="J78" s="46"/>
      <c r="K78" s="46"/>
      <c r="L78" s="13"/>
      <c r="M78" s="2"/>
      <c r="N78" s="2"/>
    </row>
    <row r="79" spans="1:14" ht="15" x14ac:dyDescent="0.25">
      <c r="A79" s="36"/>
      <c r="B79" s="28"/>
      <c r="C79" s="44" t="s">
        <v>68</v>
      </c>
      <c r="D79" s="43"/>
      <c r="E79" s="7">
        <f>E77+E78</f>
        <v>346571839.4600001</v>
      </c>
      <c r="F79" s="22"/>
      <c r="H79" s="103" t="s">
        <v>69</v>
      </c>
      <c r="I79" s="45">
        <v>-52.56</v>
      </c>
      <c r="J79" s="46"/>
      <c r="K79" s="46"/>
      <c r="L79" s="2"/>
      <c r="M79" s="2"/>
      <c r="N79" s="2"/>
    </row>
    <row r="80" spans="1:14" s="2" customFormat="1" x14ac:dyDescent="0.2">
      <c r="A80" s="24"/>
      <c r="B80" s="1"/>
      <c r="C80" s="14"/>
      <c r="D80" s="25"/>
      <c r="E80" s="1"/>
      <c r="H80" s="35" t="s">
        <v>70</v>
      </c>
      <c r="I80" s="45">
        <v>0</v>
      </c>
      <c r="J80" s="46">
        <f>+I81-D83</f>
        <v>0</v>
      </c>
      <c r="M80" s="2">
        <v>19.57</v>
      </c>
      <c r="N80" s="2" t="s">
        <v>535</v>
      </c>
    </row>
    <row r="81" spans="1:13" s="2" customFormat="1" x14ac:dyDescent="0.2">
      <c r="A81" s="24"/>
      <c r="B81" s="1"/>
      <c r="C81" s="56"/>
      <c r="D81" s="56"/>
      <c r="E81" s="104"/>
      <c r="G81" s="1"/>
      <c r="I81" s="49">
        <f>SUM(I78:I80)</f>
        <v>808.65000000000009</v>
      </c>
      <c r="J81" s="46"/>
      <c r="K81" s="46"/>
    </row>
    <row r="82" spans="1:13" s="2" customFormat="1" x14ac:dyDescent="0.2">
      <c r="A82" s="24"/>
      <c r="B82" s="1"/>
      <c r="C82" s="78" t="s">
        <v>575</v>
      </c>
      <c r="D82" s="48" t="s">
        <v>576</v>
      </c>
      <c r="E82" s="104"/>
      <c r="G82" s="1"/>
    </row>
    <row r="83" spans="1:13" s="2" customFormat="1" x14ac:dyDescent="0.2">
      <c r="A83" s="24"/>
      <c r="B83" s="1"/>
      <c r="C83" s="47" t="s">
        <v>570</v>
      </c>
      <c r="D83" s="111">
        <v>808.65</v>
      </c>
      <c r="E83" s="104"/>
      <c r="G83" s="1"/>
      <c r="H83" s="110" t="s">
        <v>581</v>
      </c>
    </row>
    <row r="84" spans="1:13" s="2" customFormat="1" x14ac:dyDescent="0.2">
      <c r="A84" s="24"/>
      <c r="B84" s="1"/>
      <c r="C84" s="47" t="s">
        <v>931</v>
      </c>
      <c r="D84" s="111">
        <v>199.21</v>
      </c>
      <c r="E84" s="104"/>
      <c r="G84" s="1"/>
      <c r="H84" s="110" t="s">
        <v>580</v>
      </c>
    </row>
    <row r="85" spans="1:13" s="2" customFormat="1" x14ac:dyDescent="0.2">
      <c r="A85" s="24"/>
      <c r="B85" s="1"/>
      <c r="C85" s="47" t="s">
        <v>572</v>
      </c>
      <c r="D85" s="111">
        <f>+D109/100000</f>
        <v>187.96243000000001</v>
      </c>
      <c r="E85" s="104"/>
      <c r="G85" s="1"/>
      <c r="H85" s="90" t="s">
        <v>587</v>
      </c>
    </row>
    <row r="86" spans="1:13" s="2" customFormat="1" x14ac:dyDescent="0.2">
      <c r="A86" s="24"/>
      <c r="B86" s="1"/>
      <c r="C86" s="108" t="s">
        <v>578</v>
      </c>
      <c r="D86" s="48">
        <f>SUM(D83:D85)</f>
        <v>1195.8224299999999</v>
      </c>
      <c r="E86" s="104"/>
      <c r="G86" s="1"/>
    </row>
    <row r="87" spans="1:13" s="2" customFormat="1" x14ac:dyDescent="0.2">
      <c r="A87" s="24"/>
      <c r="B87" s="1"/>
      <c r="C87" s="47"/>
      <c r="D87" s="107"/>
      <c r="E87" s="104"/>
      <c r="G87" s="1"/>
    </row>
    <row r="88" spans="1:13" s="2" customFormat="1" x14ac:dyDescent="0.2">
      <c r="A88" s="24"/>
      <c r="B88" s="1"/>
      <c r="C88" s="47" t="s">
        <v>932</v>
      </c>
      <c r="D88" s="111">
        <v>201.12</v>
      </c>
      <c r="E88" s="104"/>
      <c r="G88" s="1"/>
      <c r="H88" s="110" t="s">
        <v>581</v>
      </c>
    </row>
    <row r="89" spans="1:13" s="2" customFormat="1" x14ac:dyDescent="0.2">
      <c r="A89" s="24"/>
      <c r="B89" s="1"/>
      <c r="C89" s="47" t="s">
        <v>933</v>
      </c>
      <c r="D89" s="111">
        <v>168.58</v>
      </c>
      <c r="E89" s="104"/>
      <c r="G89" s="1"/>
      <c r="H89" s="110" t="s">
        <v>581</v>
      </c>
      <c r="J89" s="114" t="s">
        <v>713</v>
      </c>
    </row>
    <row r="90" spans="1:13" s="2" customFormat="1" x14ac:dyDescent="0.2">
      <c r="A90" s="24"/>
      <c r="B90" s="1"/>
      <c r="C90" s="78" t="s">
        <v>579</v>
      </c>
      <c r="D90" s="109">
        <f>D88+D89</f>
        <v>369.70000000000005</v>
      </c>
      <c r="E90" s="104"/>
      <c r="G90" s="1"/>
      <c r="I90" s="113"/>
      <c r="J90" s="113" t="s">
        <v>709</v>
      </c>
      <c r="K90" s="113" t="s">
        <v>710</v>
      </c>
      <c r="L90" s="113" t="s">
        <v>711</v>
      </c>
      <c r="M90" s="113" t="s">
        <v>712</v>
      </c>
    </row>
    <row r="91" spans="1:13" s="2" customFormat="1" x14ac:dyDescent="0.2">
      <c r="A91" s="24"/>
      <c r="B91" s="1"/>
      <c r="C91" s="105"/>
      <c r="D91" s="106"/>
      <c r="E91" s="104"/>
      <c r="G91" s="1"/>
      <c r="I91" s="113" t="s">
        <v>706</v>
      </c>
      <c r="J91" s="115"/>
      <c r="K91" s="115">
        <v>968.99</v>
      </c>
      <c r="L91" s="115">
        <v>968.99</v>
      </c>
      <c r="M91" s="113">
        <f>+J91+L91-K91</f>
        <v>0</v>
      </c>
    </row>
    <row r="92" spans="1:13" s="2" customFormat="1" x14ac:dyDescent="0.2">
      <c r="A92" s="24"/>
      <c r="B92" s="1"/>
      <c r="C92" s="78" t="s">
        <v>577</v>
      </c>
      <c r="D92" s="109">
        <f>D83+D90</f>
        <v>1178.3499999999999</v>
      </c>
      <c r="E92" s="104"/>
      <c r="G92" s="1"/>
      <c r="I92" s="113" t="s">
        <v>707</v>
      </c>
      <c r="J92" s="115">
        <v>183.1</v>
      </c>
      <c r="K92" s="115">
        <v>1716.6</v>
      </c>
      <c r="L92" s="115">
        <v>2374.61</v>
      </c>
      <c r="M92" s="113">
        <f>+J92+L92-K92</f>
        <v>841.11000000000013</v>
      </c>
    </row>
    <row r="93" spans="1:13" s="2" customFormat="1" x14ac:dyDescent="0.2">
      <c r="A93" s="24"/>
      <c r="B93" s="1"/>
      <c r="C93" s="56"/>
      <c r="D93" s="56"/>
      <c r="E93" s="104"/>
      <c r="G93" s="1"/>
      <c r="I93" s="113" t="s">
        <v>708</v>
      </c>
      <c r="J93" s="115">
        <v>1371.02</v>
      </c>
      <c r="K93" s="115">
        <v>10869.73</v>
      </c>
      <c r="L93" s="115">
        <v>11192.83</v>
      </c>
      <c r="M93" s="113">
        <f>+J93+L93-K93</f>
        <v>1694.1200000000008</v>
      </c>
    </row>
    <row r="94" spans="1:13" s="2" customFormat="1" ht="38.25" x14ac:dyDescent="0.2">
      <c r="A94" s="24"/>
      <c r="B94" s="1"/>
      <c r="C94" s="79" t="str">
        <f>"Particulars ( 01-04-2021 to "&amp;TEXT(A5,"dd-mm-yyyy")&amp;" )"</f>
        <v>Particulars ( 01-04-2021 to 09-05-2023 )</v>
      </c>
      <c r="D94" s="80" t="s">
        <v>73</v>
      </c>
      <c r="E94" s="80" t="s">
        <v>74</v>
      </c>
      <c r="F94" s="81" t="s">
        <v>75</v>
      </c>
      <c r="G94" s="80" t="s">
        <v>76</v>
      </c>
      <c r="J94" s="118">
        <f>SUM(J91:J93)</f>
        <v>1554.12</v>
      </c>
      <c r="K94" s="118">
        <f>SUM(K91:K93)</f>
        <v>13555.32</v>
      </c>
      <c r="L94" s="118">
        <f>SUM(L91:L93)</f>
        <v>14536.43</v>
      </c>
      <c r="M94" s="118">
        <f>SUM(M91:M93)</f>
        <v>2535.2300000000009</v>
      </c>
    </row>
    <row r="95" spans="1:13" s="2" customFormat="1" x14ac:dyDescent="0.2">
      <c r="A95" s="24"/>
      <c r="B95" s="1"/>
      <c r="C95" s="50" t="s">
        <v>444</v>
      </c>
      <c r="D95" s="55">
        <f>+L91+L92+J92</f>
        <v>3526.7000000000003</v>
      </c>
      <c r="E95" s="55">
        <f>+K91+K92</f>
        <v>2685.59</v>
      </c>
      <c r="F95" s="55">
        <f>+D95-E95</f>
        <v>841.11000000000013</v>
      </c>
      <c r="G95" s="55">
        <f>1500-F95</f>
        <v>658.88999999999987</v>
      </c>
      <c r="H95" s="2" t="s">
        <v>396</v>
      </c>
    </row>
    <row r="96" spans="1:13" s="2" customFormat="1" x14ac:dyDescent="0.2">
      <c r="A96" s="24"/>
      <c r="B96" s="1"/>
      <c r="C96" s="50" t="s">
        <v>71</v>
      </c>
      <c r="D96" s="55">
        <f>+J93+L93</f>
        <v>12563.85</v>
      </c>
      <c r="E96" s="55">
        <f>+K93</f>
        <v>10869.73</v>
      </c>
      <c r="F96" s="55">
        <f>+D96-E96</f>
        <v>1694.1200000000008</v>
      </c>
      <c r="G96" s="55">
        <f>1500+700-F96</f>
        <v>505.8799999999992</v>
      </c>
      <c r="H96" s="2" t="s">
        <v>396</v>
      </c>
    </row>
    <row r="97" spans="1:13" s="2" customFormat="1" x14ac:dyDescent="0.2">
      <c r="A97" s="24"/>
      <c r="B97" s="1"/>
      <c r="C97" s="14"/>
      <c r="D97" s="56"/>
      <c r="E97" s="13"/>
      <c r="G97" s="1"/>
    </row>
    <row r="98" spans="1:13" s="2" customFormat="1" x14ac:dyDescent="0.2">
      <c r="A98" s="215" t="s">
        <v>80</v>
      </c>
      <c r="B98" s="216"/>
      <c r="C98" s="216"/>
      <c r="D98" s="217"/>
      <c r="E98" s="69"/>
      <c r="F98" s="70"/>
      <c r="G98" s="1"/>
      <c r="H98" s="53"/>
    </row>
    <row r="99" spans="1:13" s="2" customFormat="1" x14ac:dyDescent="0.2">
      <c r="A99" s="71" t="s">
        <v>81</v>
      </c>
      <c r="B99" s="71"/>
      <c r="C99" s="72" t="s">
        <v>82</v>
      </c>
      <c r="D99" s="73" t="s">
        <v>83</v>
      </c>
      <c r="E99" s="69"/>
      <c r="F99" s="70"/>
      <c r="H99" s="53"/>
    </row>
    <row r="100" spans="1:13" s="2" customFormat="1" x14ac:dyDescent="0.2">
      <c r="A100" s="87">
        <v>45050</v>
      </c>
      <c r="B100" s="120" t="s">
        <v>6</v>
      </c>
      <c r="C100" s="75" t="s">
        <v>282</v>
      </c>
      <c r="D100" s="88">
        <v>1562637</v>
      </c>
      <c r="G100" s="1"/>
      <c r="L100" s="1"/>
      <c r="M100" s="1"/>
    </row>
    <row r="101" spans="1:13" s="2" customFormat="1" x14ac:dyDescent="0.2">
      <c r="A101" s="87">
        <v>45050</v>
      </c>
      <c r="B101" s="120" t="s">
        <v>6</v>
      </c>
      <c r="C101" s="75" t="s">
        <v>86</v>
      </c>
      <c r="D101" s="88">
        <v>2499321</v>
      </c>
      <c r="G101" s="1"/>
      <c r="L101" s="1"/>
      <c r="M101" s="1"/>
    </row>
    <row r="102" spans="1:13" s="2" customFormat="1" x14ac:dyDescent="0.2">
      <c r="A102" s="87">
        <v>45050</v>
      </c>
      <c r="B102" s="120" t="s">
        <v>6</v>
      </c>
      <c r="C102" s="75" t="s">
        <v>86</v>
      </c>
      <c r="D102" s="88">
        <v>6876102</v>
      </c>
      <c r="G102" s="1"/>
      <c r="L102" s="1"/>
      <c r="M102" s="1"/>
    </row>
    <row r="103" spans="1:13" s="2" customFormat="1" x14ac:dyDescent="0.2">
      <c r="A103" s="87">
        <v>45052</v>
      </c>
      <c r="B103" s="120" t="s">
        <v>6</v>
      </c>
      <c r="C103" s="75" t="s">
        <v>270</v>
      </c>
      <c r="D103" s="88">
        <v>1124141</v>
      </c>
      <c r="G103" s="1"/>
      <c r="L103" s="1"/>
      <c r="M103" s="1"/>
    </row>
    <row r="104" spans="1:13" s="2" customFormat="1" x14ac:dyDescent="0.2">
      <c r="A104" s="87">
        <v>45054</v>
      </c>
      <c r="B104" s="120" t="s">
        <v>6</v>
      </c>
      <c r="C104" s="75" t="s">
        <v>271</v>
      </c>
      <c r="D104" s="88">
        <v>476726</v>
      </c>
      <c r="G104" s="1"/>
      <c r="L104" s="1"/>
      <c r="M104" s="1"/>
    </row>
    <row r="105" spans="1:13" s="2" customFormat="1" x14ac:dyDescent="0.2">
      <c r="A105" s="87">
        <v>45054</v>
      </c>
      <c r="B105" s="120" t="s">
        <v>6</v>
      </c>
      <c r="C105" s="75" t="s">
        <v>271</v>
      </c>
      <c r="D105" s="88">
        <v>926688</v>
      </c>
      <c r="G105" s="1"/>
      <c r="L105" s="1"/>
      <c r="M105" s="1"/>
    </row>
    <row r="106" spans="1:13" s="2" customFormat="1" x14ac:dyDescent="0.2">
      <c r="A106" s="87">
        <v>45054</v>
      </c>
      <c r="B106" s="120" t="s">
        <v>6</v>
      </c>
      <c r="C106" s="75" t="s">
        <v>606</v>
      </c>
      <c r="D106" s="88">
        <v>1844917</v>
      </c>
      <c r="G106" s="1"/>
      <c r="L106" s="1"/>
      <c r="M106" s="1"/>
    </row>
    <row r="107" spans="1:13" s="2" customFormat="1" x14ac:dyDescent="0.2">
      <c r="A107" s="87">
        <v>45054</v>
      </c>
      <c r="B107" s="120" t="s">
        <v>6</v>
      </c>
      <c r="C107" s="75" t="s">
        <v>606</v>
      </c>
      <c r="D107" s="88">
        <v>1844917</v>
      </c>
      <c r="G107" s="1"/>
      <c r="L107" s="1"/>
      <c r="M107" s="1"/>
    </row>
    <row r="108" spans="1:13" s="2" customFormat="1" x14ac:dyDescent="0.2">
      <c r="A108" s="87">
        <v>45054</v>
      </c>
      <c r="B108" s="120" t="s">
        <v>6</v>
      </c>
      <c r="C108" s="75" t="s">
        <v>271</v>
      </c>
      <c r="D108" s="88">
        <v>1640794</v>
      </c>
      <c r="G108" s="1"/>
      <c r="L108" s="1"/>
      <c r="M108" s="1"/>
    </row>
    <row r="109" spans="1:13" s="2" customFormat="1" x14ac:dyDescent="0.2">
      <c r="A109" s="87"/>
      <c r="B109" s="74"/>
      <c r="C109" s="75"/>
      <c r="D109" s="51">
        <f>SUM(D100:D108)</f>
        <v>18796243</v>
      </c>
      <c r="F109" s="2" t="s">
        <v>396</v>
      </c>
      <c r="G109" s="1"/>
      <c r="I109" s="1"/>
      <c r="J109" s="1"/>
      <c r="K109" s="1"/>
      <c r="L109" s="1"/>
      <c r="M109" s="1"/>
    </row>
    <row r="110" spans="1:13" s="2" customFormat="1" x14ac:dyDescent="0.2">
      <c r="A110" s="24"/>
      <c r="B110" s="1"/>
      <c r="C110" s="14"/>
      <c r="D110" s="56"/>
      <c r="E110" s="13"/>
      <c r="G110" s="1"/>
    </row>
    <row r="111" spans="1:13" s="2" customFormat="1" x14ac:dyDescent="0.2">
      <c r="A111" s="24"/>
      <c r="B111" s="1"/>
      <c r="C111" s="218" t="s">
        <v>77</v>
      </c>
      <c r="D111" s="219"/>
      <c r="E111" s="219"/>
      <c r="F111" s="220"/>
      <c r="G111" s="54"/>
      <c r="I111" s="1"/>
      <c r="J111" s="1"/>
      <c r="K111" s="1"/>
      <c r="L111" s="1"/>
      <c r="M111" s="1"/>
    </row>
    <row r="112" spans="1:13" s="2" customFormat="1" x14ac:dyDescent="0.2">
      <c r="A112" s="24"/>
      <c r="B112" s="1"/>
      <c r="C112" s="50"/>
      <c r="D112" s="57" t="s">
        <v>78</v>
      </c>
      <c r="E112" s="58" t="s">
        <v>79</v>
      </c>
      <c r="F112" s="57" t="s">
        <v>72</v>
      </c>
      <c r="G112" s="54"/>
      <c r="I112" s="1"/>
      <c r="J112" s="1"/>
      <c r="K112" s="1"/>
      <c r="L112" s="1"/>
      <c r="M112" s="1"/>
    </row>
    <row r="113" spans="1:13" s="2" customFormat="1" x14ac:dyDescent="0.2">
      <c r="A113" s="24"/>
      <c r="B113" s="1"/>
      <c r="C113" s="59" t="str">
        <f>"01-05-2023 to "&amp;TEXT(A5-2,"dd-mm-yyyy")</f>
        <v>01-05-2023 to 07-05-2023</v>
      </c>
      <c r="D113" s="60">
        <v>803.37</v>
      </c>
      <c r="E113" s="60">
        <v>87.58</v>
      </c>
      <c r="F113" s="61">
        <f>SUM(D113:E113)</f>
        <v>890.95</v>
      </c>
      <c r="G113" s="54"/>
      <c r="I113" s="1"/>
      <c r="J113" s="1"/>
      <c r="K113" s="1"/>
      <c r="L113" s="1"/>
      <c r="M113" s="1"/>
    </row>
    <row r="114" spans="1:13" s="2" customFormat="1" x14ac:dyDescent="0.2">
      <c r="A114" s="24"/>
      <c r="B114" s="1"/>
      <c r="C114" s="62" t="str">
        <f>TEXT(A5-1,"dd-mm-yyyy")</f>
        <v>08-05-2023</v>
      </c>
      <c r="D114" s="60">
        <v>104.88</v>
      </c>
      <c r="E114" s="60">
        <v>8.9600000000000009</v>
      </c>
      <c r="F114" s="61">
        <f>SUM(D114:E114)</f>
        <v>113.84</v>
      </c>
      <c r="G114" s="54"/>
      <c r="I114" s="1"/>
      <c r="J114" s="1"/>
      <c r="K114" s="1"/>
      <c r="L114" s="1"/>
      <c r="M114" s="1"/>
    </row>
    <row r="115" spans="1:13" ht="13.5" thickBot="1" x14ac:dyDescent="0.25">
      <c r="C115" s="63" t="str">
        <f>"01-05-2023 to "&amp;TEXT(A5-1,"dd-mm-yyyy")</f>
        <v>01-05-2023 to 08-05-2023</v>
      </c>
      <c r="D115" s="64">
        <f>SUM(D113:D114)</f>
        <v>908.25</v>
      </c>
      <c r="E115" s="64">
        <f>SUM(E113:E114)</f>
        <v>96.539999999999992</v>
      </c>
      <c r="F115" s="64">
        <f>SUM(F113:F114)</f>
        <v>1004.7900000000001</v>
      </c>
      <c r="G115" s="54"/>
      <c r="H115" s="2" t="s">
        <v>396</v>
      </c>
    </row>
    <row r="116" spans="1:13" s="2" customFormat="1" ht="13.5" thickTop="1" x14ac:dyDescent="0.2">
      <c r="A116" s="24"/>
      <c r="B116" s="1"/>
      <c r="C116" s="62"/>
      <c r="D116" s="65"/>
      <c r="E116" s="66"/>
      <c r="F116" s="67"/>
      <c r="G116" s="54"/>
      <c r="H116" s="53"/>
    </row>
    <row r="117" spans="1:13" x14ac:dyDescent="0.2">
      <c r="C117" s="62" t="str">
        <f>"01-04-2023 to " &amp;C114</f>
        <v>01-04-2023 to 08-05-2023</v>
      </c>
      <c r="D117" s="68">
        <f>+D115+4320.26</f>
        <v>5228.51</v>
      </c>
      <c r="E117" s="68">
        <f>+E115+536.17</f>
        <v>632.70999999999992</v>
      </c>
      <c r="F117" s="68">
        <f>+F115+4856.44</f>
        <v>5861.23</v>
      </c>
      <c r="G117" s="54"/>
      <c r="H117" s="53" t="s">
        <v>396</v>
      </c>
    </row>
    <row r="118" spans="1:13" x14ac:dyDescent="0.2">
      <c r="C118" s="52"/>
      <c r="D118" s="85"/>
      <c r="E118" s="53"/>
      <c r="F118" s="53"/>
      <c r="G118" s="54"/>
      <c r="H118" s="53" t="s">
        <v>396</v>
      </c>
      <c r="J118" s="42"/>
    </row>
    <row r="119" spans="1:13" x14ac:dyDescent="0.2">
      <c r="C119" s="52"/>
      <c r="D119" s="85"/>
      <c r="E119" s="53"/>
      <c r="F119" s="53"/>
      <c r="G119" s="54"/>
      <c r="H119" s="53"/>
      <c r="I119" s="101"/>
    </row>
    <row r="120" spans="1:13" x14ac:dyDescent="0.2">
      <c r="C120" s="52"/>
      <c r="D120" s="85"/>
      <c r="E120" s="53"/>
      <c r="F120" s="53"/>
      <c r="G120" s="54"/>
      <c r="H120" s="53"/>
    </row>
    <row r="121" spans="1:13" x14ac:dyDescent="0.2">
      <c r="C121" s="52"/>
      <c r="D121" s="85"/>
      <c r="E121" s="53"/>
      <c r="F121" s="53"/>
      <c r="G121" s="54"/>
      <c r="H121" s="53"/>
    </row>
    <row r="122" spans="1:13" x14ac:dyDescent="0.2">
      <c r="H122" s="53"/>
    </row>
  </sheetData>
  <mergeCells count="5">
    <mergeCell ref="A1:G1"/>
    <mergeCell ref="A3:F3"/>
    <mergeCell ref="A9:F9"/>
    <mergeCell ref="A98:D98"/>
    <mergeCell ref="C111:F111"/>
  </mergeCells>
  <conditionalFormatting sqref="G95:G96">
    <cfRule type="cellIs" dxfId="594" priority="1" operator="lessThan">
      <formula>0</formula>
    </cfRule>
  </conditionalFormatting>
  <conditionalFormatting sqref="C11">
    <cfRule type="duplicateValues" dxfId="593" priority="2"/>
  </conditionalFormatting>
  <conditionalFormatting sqref="C12:C75">
    <cfRule type="duplicateValues" dxfId="592" priority="466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21">
    <pageSetUpPr fitToPage="1"/>
  </sheetPr>
  <dimension ref="A1:N124"/>
  <sheetViews>
    <sheetView topLeftCell="A9" zoomScaleNormal="100" workbookViewId="0">
      <selection activeCell="C46" sqref="C46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47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946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2.75" customHeight="1" x14ac:dyDescent="0.4">
      <c r="A5" s="89">
        <v>45056</v>
      </c>
      <c r="B5" s="9" t="s">
        <v>6</v>
      </c>
      <c r="C5" s="10" t="s">
        <v>7</v>
      </c>
      <c r="D5" s="11"/>
      <c r="E5" s="12">
        <v>736474.70000000019</v>
      </c>
      <c r="F5" s="12"/>
      <c r="G5" s="1"/>
      <c r="H5" s="112"/>
      <c r="I5" s="112"/>
    </row>
    <row r="6" spans="1:10" s="2" customFormat="1" ht="12.75" customHeight="1" x14ac:dyDescent="0.4">
      <c r="A6" s="89">
        <v>45056</v>
      </c>
      <c r="B6" s="9" t="s">
        <v>6</v>
      </c>
      <c r="C6" s="10" t="s">
        <v>400</v>
      </c>
      <c r="D6" s="117" t="s">
        <v>13</v>
      </c>
      <c r="E6" s="12">
        <v>1500000</v>
      </c>
      <c r="F6" s="12"/>
      <c r="G6" s="1"/>
      <c r="H6" s="112"/>
      <c r="I6" s="112"/>
    </row>
    <row r="7" spans="1:10" s="2" customFormat="1" ht="12.75" customHeight="1" x14ac:dyDescent="0.4">
      <c r="D7" s="15" t="s">
        <v>8</v>
      </c>
      <c r="E7" s="16">
        <f>SUM(E5:E6)</f>
        <v>2236474.7000000002</v>
      </c>
      <c r="F7" s="16">
        <f>SUM(F5:F5)</f>
        <v>0</v>
      </c>
      <c r="G7" s="1"/>
      <c r="H7" s="112"/>
      <c r="I7" s="112"/>
    </row>
    <row r="8" spans="1:10" s="2" customFormat="1" ht="12.75" customHeight="1" x14ac:dyDescent="0.4">
      <c r="A8" s="17"/>
      <c r="B8" s="18"/>
      <c r="C8" s="19" t="s">
        <v>9</v>
      </c>
      <c r="D8" s="20"/>
      <c r="E8" s="21">
        <f>E7-F7</f>
        <v>2236474.7000000002</v>
      </c>
      <c r="F8" s="22"/>
      <c r="G8" s="23"/>
      <c r="H8" s="112"/>
      <c r="I8" s="112"/>
      <c r="J8" s="13"/>
    </row>
    <row r="9" spans="1:10" s="2" customFormat="1" ht="12.75" customHeight="1" x14ac:dyDescent="0.4">
      <c r="A9" s="24"/>
      <c r="B9" s="1"/>
      <c r="C9" s="14"/>
      <c r="D9" s="25"/>
      <c r="G9" s="23"/>
      <c r="H9" s="112"/>
      <c r="I9" s="112"/>
      <c r="J9" s="13"/>
    </row>
    <row r="10" spans="1:10" s="2" customFormat="1" ht="21.75" customHeight="1" x14ac:dyDescent="0.4">
      <c r="A10" s="214" t="s">
        <v>10</v>
      </c>
      <c r="B10" s="214"/>
      <c r="C10" s="214"/>
      <c r="D10" s="214"/>
      <c r="E10" s="214"/>
      <c r="F10" s="214"/>
      <c r="G10" s="13"/>
      <c r="H10" s="112"/>
      <c r="I10" s="112"/>
      <c r="J10" s="13"/>
    </row>
    <row r="11" spans="1:10" s="2" customFormat="1" ht="12.75" customHeight="1" x14ac:dyDescent="0.4">
      <c r="A11" s="26" t="s">
        <v>1</v>
      </c>
      <c r="B11" s="27" t="s">
        <v>2</v>
      </c>
      <c r="C11" s="5"/>
      <c r="D11" s="6" t="s">
        <v>3</v>
      </c>
      <c r="E11" s="7" t="s">
        <v>4</v>
      </c>
      <c r="F11" s="7" t="s">
        <v>5</v>
      </c>
      <c r="G11" s="23"/>
      <c r="H11" s="112"/>
      <c r="I11" s="112"/>
      <c r="J11" s="13"/>
    </row>
    <row r="12" spans="1:10" s="2" customFormat="1" ht="12.75" customHeight="1" x14ac:dyDescent="0.2">
      <c r="A12" s="89">
        <v>45056</v>
      </c>
      <c r="B12" s="91" t="s">
        <v>11</v>
      </c>
      <c r="C12" s="29" t="s">
        <v>7</v>
      </c>
      <c r="D12" s="25"/>
      <c r="E12" s="31"/>
      <c r="F12" s="2">
        <v>346571839.4600001</v>
      </c>
      <c r="G12" s="30"/>
      <c r="I12" s="13"/>
      <c r="J12" s="13"/>
    </row>
    <row r="13" spans="1:10" s="2" customFormat="1" ht="12.75" customHeight="1" x14ac:dyDescent="0.2">
      <c r="A13" s="89">
        <v>45056</v>
      </c>
      <c r="B13" s="91" t="s">
        <v>6</v>
      </c>
      <c r="C13" s="76" t="s">
        <v>947</v>
      </c>
      <c r="D13" s="116" t="s">
        <v>13</v>
      </c>
      <c r="E13" s="31">
        <v>15488941</v>
      </c>
      <c r="G13" s="30"/>
      <c r="I13" s="13"/>
      <c r="J13" s="13"/>
    </row>
    <row r="14" spans="1:10" s="2" customFormat="1" ht="12.75" customHeight="1" x14ac:dyDescent="0.2">
      <c r="A14" s="89">
        <v>45056</v>
      </c>
      <c r="B14" s="91" t="s">
        <v>6</v>
      </c>
      <c r="C14" s="76" t="s">
        <v>785</v>
      </c>
      <c r="D14" s="116" t="s">
        <v>13</v>
      </c>
      <c r="E14" s="31">
        <v>28089596</v>
      </c>
      <c r="G14" s="30"/>
      <c r="I14" s="13"/>
      <c r="J14" s="13"/>
    </row>
    <row r="15" spans="1:10" s="2" customFormat="1" ht="12.75" customHeight="1" x14ac:dyDescent="0.2">
      <c r="A15" s="89">
        <v>45056</v>
      </c>
      <c r="B15" s="91" t="s">
        <v>6</v>
      </c>
      <c r="C15" s="76" t="s">
        <v>948</v>
      </c>
      <c r="D15" s="116" t="s">
        <v>13</v>
      </c>
      <c r="E15" s="31">
        <v>720579.31</v>
      </c>
      <c r="G15" s="30"/>
      <c r="I15" s="13"/>
      <c r="J15" s="13"/>
    </row>
    <row r="16" spans="1:10" s="2" customFormat="1" ht="12.75" customHeight="1" x14ac:dyDescent="0.2">
      <c r="A16" s="89">
        <v>45056</v>
      </c>
      <c r="B16" s="91" t="s">
        <v>6</v>
      </c>
      <c r="C16" s="76" t="s">
        <v>120</v>
      </c>
      <c r="D16" s="116" t="s">
        <v>13</v>
      </c>
      <c r="E16" s="31">
        <v>154195</v>
      </c>
      <c r="G16" s="30"/>
      <c r="I16" s="13"/>
      <c r="J16" s="13"/>
    </row>
    <row r="17" spans="1:10" s="2" customFormat="1" ht="12.75" customHeight="1" x14ac:dyDescent="0.2">
      <c r="A17" s="89">
        <v>45056</v>
      </c>
      <c r="B17" s="91" t="s">
        <v>6</v>
      </c>
      <c r="C17" s="76" t="s">
        <v>105</v>
      </c>
      <c r="D17" s="116" t="s">
        <v>13</v>
      </c>
      <c r="E17" s="31">
        <v>655604</v>
      </c>
      <c r="G17" s="30"/>
      <c r="I17" s="13"/>
      <c r="J17" s="13"/>
    </row>
    <row r="18" spans="1:10" s="2" customFormat="1" ht="12.75" customHeight="1" x14ac:dyDescent="0.2">
      <c r="A18" s="89">
        <v>45056</v>
      </c>
      <c r="B18" s="91" t="s">
        <v>6</v>
      </c>
      <c r="C18" s="76" t="s">
        <v>381</v>
      </c>
      <c r="D18" s="116" t="s">
        <v>13</v>
      </c>
      <c r="E18" s="31">
        <v>1102659</v>
      </c>
      <c r="G18" s="30"/>
      <c r="I18" s="13"/>
      <c r="J18" s="13"/>
    </row>
    <row r="19" spans="1:10" s="2" customFormat="1" ht="12.75" customHeight="1" x14ac:dyDescent="0.2">
      <c r="A19" s="89">
        <v>45056</v>
      </c>
      <c r="B19" s="91" t="s">
        <v>6</v>
      </c>
      <c r="C19" s="76" t="s">
        <v>405</v>
      </c>
      <c r="D19" s="116" t="s">
        <v>13</v>
      </c>
      <c r="E19" s="31">
        <v>8560</v>
      </c>
      <c r="G19" s="30"/>
      <c r="I19" s="13"/>
      <c r="J19" s="13"/>
    </row>
    <row r="20" spans="1:10" s="2" customFormat="1" ht="12.75" customHeight="1" x14ac:dyDescent="0.2">
      <c r="A20" s="89">
        <v>45056</v>
      </c>
      <c r="B20" s="91" t="s">
        <v>6</v>
      </c>
      <c r="C20" s="76" t="s">
        <v>331</v>
      </c>
      <c r="D20" s="116" t="s">
        <v>13</v>
      </c>
      <c r="E20" s="31">
        <v>4200</v>
      </c>
      <c r="G20" s="30"/>
      <c r="I20" s="13"/>
      <c r="J20" s="13"/>
    </row>
    <row r="21" spans="1:10" s="2" customFormat="1" ht="12.75" customHeight="1" x14ac:dyDescent="0.2">
      <c r="A21" s="89">
        <v>45056</v>
      </c>
      <c r="B21" s="91" t="s">
        <v>6</v>
      </c>
      <c r="C21" s="76" t="s">
        <v>234</v>
      </c>
      <c r="D21" s="116" t="s">
        <v>13</v>
      </c>
      <c r="E21" s="31">
        <v>38552</v>
      </c>
      <c r="G21" s="30"/>
      <c r="I21" s="13"/>
      <c r="J21" s="13"/>
    </row>
    <row r="22" spans="1:10" s="2" customFormat="1" ht="12.75" customHeight="1" x14ac:dyDescent="0.2">
      <c r="A22" s="89">
        <v>45056</v>
      </c>
      <c r="B22" s="91" t="s">
        <v>6</v>
      </c>
      <c r="C22" s="76" t="s">
        <v>144</v>
      </c>
      <c r="D22" s="116" t="s">
        <v>13</v>
      </c>
      <c r="E22" s="31">
        <v>2073601</v>
      </c>
      <c r="G22" s="30"/>
      <c r="I22" s="13"/>
      <c r="J22" s="13"/>
    </row>
    <row r="23" spans="1:10" s="2" customFormat="1" ht="12.75" customHeight="1" x14ac:dyDescent="0.2">
      <c r="A23" s="89">
        <v>45056</v>
      </c>
      <c r="B23" s="91" t="s">
        <v>6</v>
      </c>
      <c r="C23" s="76" t="s">
        <v>953</v>
      </c>
      <c r="D23" s="116" t="s">
        <v>13</v>
      </c>
      <c r="E23" s="31">
        <v>675832</v>
      </c>
      <c r="G23" s="30"/>
      <c r="I23" s="13"/>
      <c r="J23" s="13"/>
    </row>
    <row r="24" spans="1:10" s="2" customFormat="1" ht="12.75" customHeight="1" x14ac:dyDescent="0.2">
      <c r="A24" s="89">
        <v>45056</v>
      </c>
      <c r="B24" s="91" t="s">
        <v>6</v>
      </c>
      <c r="C24" s="76" t="s">
        <v>27</v>
      </c>
      <c r="D24" s="116" t="s">
        <v>13</v>
      </c>
      <c r="E24" s="31">
        <v>689693.6</v>
      </c>
      <c r="G24" s="30"/>
      <c r="I24" s="13"/>
      <c r="J24" s="13"/>
    </row>
    <row r="25" spans="1:10" s="2" customFormat="1" ht="12.75" customHeight="1" x14ac:dyDescent="0.2">
      <c r="A25" s="89">
        <v>45056</v>
      </c>
      <c r="B25" s="91" t="s">
        <v>6</v>
      </c>
      <c r="C25" s="76" t="s">
        <v>21</v>
      </c>
      <c r="D25" s="116" t="s">
        <v>13</v>
      </c>
      <c r="E25" s="31">
        <v>300000</v>
      </c>
      <c r="G25" s="30"/>
      <c r="I25" s="13"/>
      <c r="J25" s="13"/>
    </row>
    <row r="26" spans="1:10" s="2" customFormat="1" ht="12.75" customHeight="1" x14ac:dyDescent="0.2">
      <c r="A26" s="89">
        <v>45056</v>
      </c>
      <c r="B26" s="91" t="s">
        <v>6</v>
      </c>
      <c r="C26" s="76" t="s">
        <v>955</v>
      </c>
      <c r="D26" s="116" t="s">
        <v>13</v>
      </c>
      <c r="E26" s="31">
        <f>2996349.19+1534363.19</f>
        <v>4530712.38</v>
      </c>
      <c r="G26" s="30"/>
      <c r="I26" s="13"/>
      <c r="J26" s="13"/>
    </row>
    <row r="27" spans="1:10" s="2" customFormat="1" ht="12.75" customHeight="1" x14ac:dyDescent="0.2">
      <c r="A27" s="89">
        <v>45056</v>
      </c>
      <c r="B27" s="91" t="s">
        <v>6</v>
      </c>
      <c r="C27" s="76" t="s">
        <v>560</v>
      </c>
      <c r="D27" s="116" t="s">
        <v>13</v>
      </c>
      <c r="E27" s="31">
        <v>277518.07</v>
      </c>
      <c r="G27" s="30"/>
      <c r="I27" s="13"/>
      <c r="J27" s="13"/>
    </row>
    <row r="28" spans="1:10" s="2" customFormat="1" ht="12.75" customHeight="1" x14ac:dyDescent="0.2">
      <c r="A28" s="89">
        <v>45056</v>
      </c>
      <c r="B28" s="91" t="s">
        <v>6</v>
      </c>
      <c r="C28" s="76" t="s">
        <v>158</v>
      </c>
      <c r="D28" s="116" t="s">
        <v>13</v>
      </c>
      <c r="E28" s="31">
        <v>243147</v>
      </c>
      <c r="G28" s="30"/>
      <c r="I28" s="13"/>
      <c r="J28" s="13"/>
    </row>
    <row r="29" spans="1:10" s="2" customFormat="1" ht="12.75" customHeight="1" x14ac:dyDescent="0.2">
      <c r="A29" s="89">
        <v>45056</v>
      </c>
      <c r="B29" s="91" t="s">
        <v>11</v>
      </c>
      <c r="C29" s="76" t="s">
        <v>15</v>
      </c>
      <c r="D29" s="116" t="s">
        <v>29</v>
      </c>
      <c r="E29" s="31">
        <v>55352.130000000012</v>
      </c>
      <c r="F29" s="2">
        <v>443563.56999999995</v>
      </c>
      <c r="G29" s="30"/>
      <c r="I29" s="13"/>
      <c r="J29" s="13"/>
    </row>
    <row r="30" spans="1:10" s="2" customFormat="1" ht="12.75" customHeight="1" x14ac:dyDescent="0.2">
      <c r="A30" s="89">
        <v>45056</v>
      </c>
      <c r="B30" s="91" t="s">
        <v>11</v>
      </c>
      <c r="C30" s="76" t="s">
        <v>64</v>
      </c>
      <c r="D30" s="116" t="s">
        <v>29</v>
      </c>
      <c r="E30" s="31"/>
      <c r="F30" s="2">
        <f>27120.59+7113.43</f>
        <v>34234.020000000004</v>
      </c>
      <c r="G30" s="30"/>
      <c r="I30" s="13"/>
      <c r="J30" s="13"/>
    </row>
    <row r="31" spans="1:10" s="2" customFormat="1" ht="12.75" customHeight="1" x14ac:dyDescent="0.2">
      <c r="A31" s="89">
        <v>45056</v>
      </c>
      <c r="B31" s="91" t="s">
        <v>11</v>
      </c>
      <c r="C31" s="76" t="s">
        <v>111</v>
      </c>
      <c r="D31" s="116" t="s">
        <v>29</v>
      </c>
      <c r="E31" s="31"/>
      <c r="F31" s="2">
        <v>6845877.5299999993</v>
      </c>
      <c r="G31" s="30"/>
      <c r="I31" s="13"/>
      <c r="J31" s="13"/>
    </row>
    <row r="32" spans="1:10" s="2" customFormat="1" ht="12.75" customHeight="1" x14ac:dyDescent="0.2">
      <c r="A32" s="89">
        <v>45056</v>
      </c>
      <c r="B32" s="91" t="s">
        <v>11</v>
      </c>
      <c r="C32" s="76" t="s">
        <v>533</v>
      </c>
      <c r="D32" s="116" t="s">
        <v>29</v>
      </c>
      <c r="E32" s="31"/>
      <c r="F32" s="2">
        <v>2721731</v>
      </c>
      <c r="G32" s="30"/>
      <c r="I32" s="13"/>
      <c r="J32" s="13"/>
    </row>
    <row r="33" spans="1:10" s="2" customFormat="1" ht="12.75" customHeight="1" x14ac:dyDescent="0.2">
      <c r="A33" s="89">
        <v>45056</v>
      </c>
      <c r="B33" s="91" t="s">
        <v>11</v>
      </c>
      <c r="C33" s="76" t="s">
        <v>166</v>
      </c>
      <c r="D33" s="116" t="s">
        <v>29</v>
      </c>
      <c r="E33" s="31"/>
      <c r="F33" s="2">
        <v>1400365</v>
      </c>
      <c r="G33" s="30"/>
      <c r="I33" s="13"/>
      <c r="J33" s="13"/>
    </row>
    <row r="34" spans="1:10" s="2" customFormat="1" ht="12.75" customHeight="1" x14ac:dyDescent="0.2">
      <c r="A34" s="89">
        <v>45056</v>
      </c>
      <c r="B34" s="91" t="s">
        <v>11</v>
      </c>
      <c r="C34" s="76" t="s">
        <v>251</v>
      </c>
      <c r="D34" s="116" t="s">
        <v>29</v>
      </c>
      <c r="E34" s="31"/>
      <c r="F34" s="2">
        <v>330976</v>
      </c>
      <c r="G34" s="30"/>
      <c r="I34" s="13"/>
      <c r="J34" s="13"/>
    </row>
    <row r="35" spans="1:10" s="2" customFormat="1" ht="12.75" customHeight="1" x14ac:dyDescent="0.2">
      <c r="A35" s="89">
        <v>45056</v>
      </c>
      <c r="B35" s="91" t="s">
        <v>11</v>
      </c>
      <c r="C35" s="76" t="s">
        <v>139</v>
      </c>
      <c r="D35" s="116" t="s">
        <v>29</v>
      </c>
      <c r="E35" s="31"/>
      <c r="F35" s="2">
        <v>1854975</v>
      </c>
      <c r="G35" s="30"/>
      <c r="I35" s="13"/>
      <c r="J35" s="13"/>
    </row>
    <row r="36" spans="1:10" s="2" customFormat="1" ht="12.75" customHeight="1" x14ac:dyDescent="0.2">
      <c r="A36" s="89">
        <v>45056</v>
      </c>
      <c r="B36" s="91" t="s">
        <v>11</v>
      </c>
      <c r="C36" s="76" t="s">
        <v>107</v>
      </c>
      <c r="D36" s="116" t="s">
        <v>29</v>
      </c>
      <c r="E36" s="31"/>
      <c r="F36" s="2">
        <v>373052.14</v>
      </c>
      <c r="G36" s="30"/>
      <c r="I36" s="13"/>
      <c r="J36" s="13"/>
    </row>
    <row r="37" spans="1:10" s="2" customFormat="1" ht="12.75" customHeight="1" x14ac:dyDescent="0.2">
      <c r="A37" s="89">
        <v>45056</v>
      </c>
      <c r="B37" s="91" t="s">
        <v>11</v>
      </c>
      <c r="C37" s="76" t="s">
        <v>723</v>
      </c>
      <c r="D37" s="116" t="s">
        <v>29</v>
      </c>
      <c r="E37" s="31"/>
      <c r="F37" s="2">
        <v>2905445.57</v>
      </c>
      <c r="G37" s="30"/>
      <c r="I37" s="13"/>
      <c r="J37" s="13"/>
    </row>
    <row r="38" spans="1:10" s="2" customFormat="1" ht="12.75" customHeight="1" x14ac:dyDescent="0.2">
      <c r="A38" s="89">
        <v>45056</v>
      </c>
      <c r="B38" s="91" t="s">
        <v>11</v>
      </c>
      <c r="C38" s="76" t="s">
        <v>949</v>
      </c>
      <c r="D38" s="116" t="s">
        <v>29</v>
      </c>
      <c r="E38" s="31"/>
      <c r="F38" s="2">
        <v>78175</v>
      </c>
      <c r="G38" s="30"/>
      <c r="I38" s="13"/>
      <c r="J38" s="13"/>
    </row>
    <row r="39" spans="1:10" s="2" customFormat="1" ht="12.75" customHeight="1" x14ac:dyDescent="0.2">
      <c r="A39" s="89">
        <v>45056</v>
      </c>
      <c r="B39" s="91" t="s">
        <v>11</v>
      </c>
      <c r="C39" s="76" t="s">
        <v>738</v>
      </c>
      <c r="D39" s="116" t="s">
        <v>29</v>
      </c>
      <c r="E39" s="31"/>
      <c r="F39" s="2">
        <v>13375</v>
      </c>
      <c r="G39" s="30"/>
      <c r="I39" s="13"/>
      <c r="J39" s="13"/>
    </row>
    <row r="40" spans="1:10" s="2" customFormat="1" ht="12.75" customHeight="1" x14ac:dyDescent="0.2">
      <c r="A40" s="89">
        <v>45056</v>
      </c>
      <c r="B40" s="91" t="s">
        <v>11</v>
      </c>
      <c r="C40" s="76" t="s">
        <v>950</v>
      </c>
      <c r="D40" s="116" t="s">
        <v>29</v>
      </c>
      <c r="E40" s="31"/>
      <c r="F40" s="2">
        <v>9500</v>
      </c>
      <c r="G40" s="30"/>
      <c r="I40" s="13"/>
      <c r="J40" s="13"/>
    </row>
    <row r="41" spans="1:10" s="2" customFormat="1" ht="12.75" customHeight="1" x14ac:dyDescent="0.2">
      <c r="A41" s="89">
        <v>45056</v>
      </c>
      <c r="B41" s="91" t="s">
        <v>11</v>
      </c>
      <c r="C41" s="76" t="s">
        <v>792</v>
      </c>
      <c r="D41" s="116" t="s">
        <v>29</v>
      </c>
      <c r="E41" s="31"/>
      <c r="F41" s="2">
        <v>56260</v>
      </c>
      <c r="G41" s="30"/>
      <c r="I41" s="13"/>
      <c r="J41" s="13"/>
    </row>
    <row r="42" spans="1:10" s="2" customFormat="1" ht="12.75" customHeight="1" x14ac:dyDescent="0.2">
      <c r="A42" s="89">
        <v>45056</v>
      </c>
      <c r="B42" s="91" t="s">
        <v>11</v>
      </c>
      <c r="C42" s="76" t="s">
        <v>951</v>
      </c>
      <c r="D42" s="116" t="s">
        <v>29</v>
      </c>
      <c r="E42" s="31"/>
      <c r="F42" s="2">
        <v>4248</v>
      </c>
      <c r="G42" s="30"/>
      <c r="I42" s="13"/>
      <c r="J42" s="13"/>
    </row>
    <row r="43" spans="1:10" s="2" customFormat="1" ht="12.75" customHeight="1" x14ac:dyDescent="0.2">
      <c r="A43" s="89">
        <v>45056</v>
      </c>
      <c r="B43" s="91" t="s">
        <v>11</v>
      </c>
      <c r="C43" s="76" t="s">
        <v>49</v>
      </c>
      <c r="D43" s="116" t="s">
        <v>29</v>
      </c>
      <c r="E43" s="31"/>
      <c r="F43" s="2">
        <v>155897</v>
      </c>
      <c r="G43" s="30"/>
      <c r="I43" s="13"/>
      <c r="J43" s="13"/>
    </row>
    <row r="44" spans="1:10" s="2" customFormat="1" ht="12.75" customHeight="1" x14ac:dyDescent="0.2">
      <c r="A44" s="89">
        <v>45056</v>
      </c>
      <c r="B44" s="91" t="s">
        <v>11</v>
      </c>
      <c r="C44" s="76" t="s">
        <v>34</v>
      </c>
      <c r="D44" s="116" t="s">
        <v>29</v>
      </c>
      <c r="E44" s="31"/>
      <c r="F44" s="2">
        <v>75000</v>
      </c>
      <c r="G44" s="30"/>
      <c r="I44" s="13"/>
      <c r="J44" s="13"/>
    </row>
    <row r="45" spans="1:10" s="2" customFormat="1" ht="12.75" customHeight="1" x14ac:dyDescent="0.2">
      <c r="A45" s="89">
        <v>45056</v>
      </c>
      <c r="B45" s="91" t="s">
        <v>11</v>
      </c>
      <c r="C45" s="76" t="s">
        <v>952</v>
      </c>
      <c r="D45" s="116" t="s">
        <v>29</v>
      </c>
      <c r="E45" s="31"/>
      <c r="F45" s="2">
        <v>46972</v>
      </c>
      <c r="G45" s="30"/>
      <c r="I45" s="13"/>
      <c r="J45" s="13"/>
    </row>
    <row r="46" spans="1:10" s="2" customFormat="1" ht="12.75" customHeight="1" x14ac:dyDescent="0.2">
      <c r="A46" s="89">
        <v>45056</v>
      </c>
      <c r="B46" s="91" t="s">
        <v>11</v>
      </c>
      <c r="C46" s="76" t="s">
        <v>290</v>
      </c>
      <c r="D46" s="116" t="s">
        <v>29</v>
      </c>
      <c r="E46" s="31"/>
      <c r="F46" s="2">
        <v>12270</v>
      </c>
      <c r="G46" s="30"/>
      <c r="I46" s="13"/>
      <c r="J46" s="13"/>
    </row>
    <row r="47" spans="1:10" s="2" customFormat="1" ht="12.75" customHeight="1" x14ac:dyDescent="0.2">
      <c r="A47" s="89">
        <v>45056</v>
      </c>
      <c r="B47" s="91" t="s">
        <v>11</v>
      </c>
      <c r="C47" s="76" t="s">
        <v>172</v>
      </c>
      <c r="D47" s="116" t="s">
        <v>29</v>
      </c>
      <c r="E47" s="31"/>
      <c r="F47" s="2">
        <v>181720</v>
      </c>
      <c r="G47" s="30"/>
      <c r="I47" s="13"/>
      <c r="J47" s="13"/>
    </row>
    <row r="48" spans="1:10" s="2" customFormat="1" ht="12.75" customHeight="1" x14ac:dyDescent="0.2">
      <c r="A48" s="89">
        <v>45056</v>
      </c>
      <c r="B48" s="91" t="s">
        <v>11</v>
      </c>
      <c r="C48" s="76" t="s">
        <v>410</v>
      </c>
      <c r="D48" s="116" t="s">
        <v>29</v>
      </c>
      <c r="E48" s="31"/>
      <c r="F48" s="2">
        <v>186464</v>
      </c>
      <c r="G48" s="30"/>
      <c r="I48" s="13"/>
      <c r="J48" s="13"/>
    </row>
    <row r="49" spans="1:10" s="2" customFormat="1" ht="12.75" customHeight="1" x14ac:dyDescent="0.2">
      <c r="A49" s="89">
        <v>45056</v>
      </c>
      <c r="B49" s="91" t="s">
        <v>11</v>
      </c>
      <c r="C49" s="76" t="s">
        <v>216</v>
      </c>
      <c r="D49" s="116" t="s">
        <v>29</v>
      </c>
      <c r="E49" s="31"/>
      <c r="F49" s="2">
        <v>201889</v>
      </c>
      <c r="G49" s="30"/>
      <c r="I49" s="13"/>
      <c r="J49" s="13"/>
    </row>
    <row r="50" spans="1:10" s="2" customFormat="1" ht="12.75" customHeight="1" x14ac:dyDescent="0.2">
      <c r="A50" s="89">
        <v>45056</v>
      </c>
      <c r="B50" s="91" t="s">
        <v>11</v>
      </c>
      <c r="C50" s="76" t="s">
        <v>25</v>
      </c>
      <c r="D50" s="116" t="s">
        <v>29</v>
      </c>
      <c r="E50" s="31"/>
      <c r="F50" s="2">
        <v>1200000</v>
      </c>
      <c r="G50" s="30"/>
      <c r="I50" s="13"/>
      <c r="J50" s="13"/>
    </row>
    <row r="51" spans="1:10" s="2" customFormat="1" ht="12.75" customHeight="1" x14ac:dyDescent="0.2">
      <c r="A51" s="89">
        <v>45056</v>
      </c>
      <c r="B51" s="91" t="s">
        <v>11</v>
      </c>
      <c r="C51" s="76" t="s">
        <v>402</v>
      </c>
      <c r="D51" s="116" t="s">
        <v>29</v>
      </c>
      <c r="E51" s="31"/>
      <c r="F51" s="2">
        <v>1500000</v>
      </c>
      <c r="G51" s="30"/>
      <c r="I51" s="13"/>
      <c r="J51" s="13"/>
    </row>
    <row r="52" spans="1:10" s="2" customFormat="1" ht="12.75" customHeight="1" x14ac:dyDescent="0.2">
      <c r="A52" s="89">
        <v>45056</v>
      </c>
      <c r="B52" s="91" t="s">
        <v>11</v>
      </c>
      <c r="C52" s="76" t="s">
        <v>63</v>
      </c>
      <c r="D52" s="116" t="s">
        <v>29</v>
      </c>
      <c r="E52" s="31"/>
      <c r="F52" s="2">
        <v>4000000</v>
      </c>
      <c r="G52" s="30"/>
      <c r="I52" s="13"/>
      <c r="J52" s="13"/>
    </row>
    <row r="53" spans="1:10" s="2" customFormat="1" ht="12.75" customHeight="1" x14ac:dyDescent="0.2">
      <c r="A53" s="89">
        <v>45056</v>
      </c>
      <c r="B53" s="91" t="s">
        <v>11</v>
      </c>
      <c r="C53" s="76" t="s">
        <v>57</v>
      </c>
      <c r="D53" s="116" t="s">
        <v>29</v>
      </c>
      <c r="E53" s="31"/>
      <c r="F53" s="2">
        <v>9000000</v>
      </c>
      <c r="G53" s="30"/>
      <c r="I53" s="13"/>
      <c r="J53" s="13"/>
    </row>
    <row r="54" spans="1:10" s="2" customFormat="1" ht="12.75" customHeight="1" x14ac:dyDescent="0.2">
      <c r="A54" s="89">
        <v>45056</v>
      </c>
      <c r="B54" s="91" t="s">
        <v>11</v>
      </c>
      <c r="C54" s="76" t="s">
        <v>55</v>
      </c>
      <c r="D54" s="116" t="s">
        <v>29</v>
      </c>
      <c r="E54" s="31"/>
      <c r="F54" s="2">
        <v>2934262</v>
      </c>
      <c r="G54" s="30"/>
      <c r="I54" s="13"/>
      <c r="J54" s="13"/>
    </row>
    <row r="55" spans="1:10" s="2" customFormat="1" ht="12.75" customHeight="1" x14ac:dyDescent="0.2">
      <c r="A55" s="89">
        <v>45056</v>
      </c>
      <c r="B55" s="91" t="s">
        <v>11</v>
      </c>
      <c r="C55" s="76" t="s">
        <v>214</v>
      </c>
      <c r="D55" s="116" t="s">
        <v>29</v>
      </c>
      <c r="E55" s="31"/>
      <c r="F55" s="2">
        <v>4626936</v>
      </c>
      <c r="G55" s="30"/>
      <c r="I55" s="13"/>
      <c r="J55" s="13"/>
    </row>
    <row r="56" spans="1:10" s="2" customFormat="1" ht="12.75" customHeight="1" x14ac:dyDescent="0.2">
      <c r="A56" s="89">
        <v>45056</v>
      </c>
      <c r="B56" s="91" t="s">
        <v>11</v>
      </c>
      <c r="C56" s="76" t="s">
        <v>735</v>
      </c>
      <c r="D56" s="116" t="s">
        <v>29</v>
      </c>
      <c r="E56" s="31"/>
      <c r="F56" s="2">
        <v>2172091</v>
      </c>
      <c r="G56" s="30"/>
      <c r="I56" s="13"/>
      <c r="J56" s="13"/>
    </row>
    <row r="57" spans="1:10" s="2" customFormat="1" ht="12.75" customHeight="1" x14ac:dyDescent="0.2">
      <c r="A57" s="89">
        <v>45056</v>
      </c>
      <c r="B57" s="91" t="s">
        <v>11</v>
      </c>
      <c r="C57" s="76" t="s">
        <v>306</v>
      </c>
      <c r="D57" s="116" t="s">
        <v>29</v>
      </c>
      <c r="E57" s="31"/>
      <c r="F57" s="2">
        <v>2798312</v>
      </c>
      <c r="G57" s="30"/>
      <c r="I57" s="13"/>
      <c r="J57" s="13"/>
    </row>
    <row r="58" spans="1:10" s="2" customFormat="1" ht="12.75" customHeight="1" x14ac:dyDescent="0.2">
      <c r="A58" s="89">
        <v>45056</v>
      </c>
      <c r="B58" s="91" t="s">
        <v>11</v>
      </c>
      <c r="C58" s="76" t="s">
        <v>135</v>
      </c>
      <c r="D58" s="116" t="s">
        <v>29</v>
      </c>
      <c r="E58" s="31"/>
      <c r="F58" s="2">
        <v>442538</v>
      </c>
      <c r="G58" s="30"/>
      <c r="I58" s="13"/>
      <c r="J58" s="13"/>
    </row>
    <row r="59" spans="1:10" s="2" customFormat="1" ht="12.75" customHeight="1" x14ac:dyDescent="0.2">
      <c r="A59" s="89">
        <v>45056</v>
      </c>
      <c r="B59" s="91" t="s">
        <v>11</v>
      </c>
      <c r="C59" s="76" t="s">
        <v>254</v>
      </c>
      <c r="D59" s="116" t="s">
        <v>29</v>
      </c>
      <c r="E59" s="31"/>
      <c r="F59" s="2">
        <v>253691</v>
      </c>
      <c r="G59" s="30"/>
      <c r="I59" s="13"/>
      <c r="J59" s="13"/>
    </row>
    <row r="60" spans="1:10" s="2" customFormat="1" ht="12.75" customHeight="1" x14ac:dyDescent="0.2">
      <c r="A60" s="89">
        <v>45056</v>
      </c>
      <c r="B60" s="91" t="s">
        <v>11</v>
      </c>
      <c r="C60" s="76" t="s">
        <v>30</v>
      </c>
      <c r="D60" s="116" t="s">
        <v>29</v>
      </c>
      <c r="E60" s="31"/>
      <c r="F60" s="2">
        <v>1155213</v>
      </c>
      <c r="G60" s="30"/>
      <c r="I60" s="13"/>
      <c r="J60" s="13"/>
    </row>
    <row r="61" spans="1:10" s="2" customFormat="1" ht="12.75" customHeight="1" x14ac:dyDescent="0.2">
      <c r="A61" s="89">
        <v>45056</v>
      </c>
      <c r="B61" s="91" t="s">
        <v>11</v>
      </c>
      <c r="C61" s="76" t="s">
        <v>340</v>
      </c>
      <c r="D61" s="116" t="s">
        <v>29</v>
      </c>
      <c r="E61" s="31"/>
      <c r="F61" s="2">
        <v>499896</v>
      </c>
      <c r="G61" s="30"/>
      <c r="I61" s="13"/>
      <c r="J61" s="13"/>
    </row>
    <row r="62" spans="1:10" s="2" customFormat="1" ht="12.75" customHeight="1" x14ac:dyDescent="0.2">
      <c r="A62" s="89">
        <v>45056</v>
      </c>
      <c r="B62" s="91" t="s">
        <v>11</v>
      </c>
      <c r="C62" s="76" t="s">
        <v>255</v>
      </c>
      <c r="D62" s="116" t="s">
        <v>29</v>
      </c>
      <c r="E62" s="31"/>
      <c r="F62" s="2">
        <v>61655</v>
      </c>
      <c r="G62" s="30"/>
      <c r="I62" s="13"/>
      <c r="J62" s="13"/>
    </row>
    <row r="63" spans="1:10" s="2" customFormat="1" ht="12.75" customHeight="1" x14ac:dyDescent="0.2">
      <c r="A63" s="89">
        <v>45056</v>
      </c>
      <c r="B63" s="91" t="s">
        <v>11</v>
      </c>
      <c r="C63" s="76" t="s">
        <v>954</v>
      </c>
      <c r="D63" s="116" t="s">
        <v>29</v>
      </c>
      <c r="E63" s="31"/>
      <c r="F63" s="2">
        <v>174800</v>
      </c>
      <c r="G63" s="30"/>
      <c r="I63" s="13"/>
      <c r="J63" s="13"/>
    </row>
    <row r="64" spans="1:10" s="2" customFormat="1" ht="12.75" customHeight="1" x14ac:dyDescent="0.2">
      <c r="A64" s="89">
        <v>45056</v>
      </c>
      <c r="B64" s="91" t="s">
        <v>11</v>
      </c>
      <c r="C64" s="76" t="s">
        <v>696</v>
      </c>
      <c r="D64" s="116" t="s">
        <v>29</v>
      </c>
      <c r="E64" s="31"/>
      <c r="F64" s="2">
        <v>1454433</v>
      </c>
      <c r="G64" s="30"/>
      <c r="I64" s="13"/>
      <c r="J64" s="13"/>
    </row>
    <row r="65" spans="1:14" s="2" customFormat="1" ht="12.75" customHeight="1" x14ac:dyDescent="0.2">
      <c r="A65" s="89">
        <v>45056</v>
      </c>
      <c r="B65" s="91" t="s">
        <v>11</v>
      </c>
      <c r="C65" s="76" t="s">
        <v>563</v>
      </c>
      <c r="D65" s="116" t="s">
        <v>29</v>
      </c>
      <c r="E65" s="31"/>
      <c r="F65" s="2">
        <v>60274.400000000001</v>
      </c>
      <c r="G65" s="30"/>
      <c r="I65" s="13"/>
      <c r="J65" s="13"/>
    </row>
    <row r="66" spans="1:14" s="2" customFormat="1" ht="12.75" customHeight="1" x14ac:dyDescent="0.2">
      <c r="A66" s="89">
        <v>45056</v>
      </c>
      <c r="B66" s="91" t="s">
        <v>11</v>
      </c>
      <c r="C66" s="76" t="s">
        <v>372</v>
      </c>
      <c r="D66" s="116" t="s">
        <v>29</v>
      </c>
      <c r="E66" s="31"/>
      <c r="F66" s="2">
        <v>277043</v>
      </c>
      <c r="G66" s="30"/>
      <c r="I66" s="13"/>
      <c r="J66" s="13"/>
    </row>
    <row r="67" spans="1:14" s="2" customFormat="1" ht="12.75" customHeight="1" x14ac:dyDescent="0.2">
      <c r="A67" s="89">
        <v>45056</v>
      </c>
      <c r="B67" s="91" t="s">
        <v>11</v>
      </c>
      <c r="C67" s="76" t="s">
        <v>307</v>
      </c>
      <c r="D67" s="116" t="s">
        <v>29</v>
      </c>
      <c r="E67" s="31"/>
      <c r="F67" s="2">
        <v>106200</v>
      </c>
      <c r="G67" s="30"/>
      <c r="I67" s="13"/>
      <c r="J67" s="13"/>
    </row>
    <row r="68" spans="1:14" s="2" customFormat="1" ht="12.75" customHeight="1" x14ac:dyDescent="0.2">
      <c r="A68" s="89">
        <v>45056</v>
      </c>
      <c r="B68" s="91" t="s">
        <v>11</v>
      </c>
      <c r="C68" s="76" t="s">
        <v>253</v>
      </c>
      <c r="D68" s="116" t="s">
        <v>29</v>
      </c>
      <c r="E68" s="31"/>
      <c r="F68" s="2">
        <v>251340</v>
      </c>
      <c r="G68" s="30"/>
      <c r="I68" s="13"/>
      <c r="J68" s="13"/>
    </row>
    <row r="69" spans="1:14" s="2" customFormat="1" ht="12.75" customHeight="1" x14ac:dyDescent="0.2">
      <c r="A69" s="89">
        <v>45056</v>
      </c>
      <c r="B69" s="91" t="s">
        <v>11</v>
      </c>
      <c r="C69" s="76" t="s">
        <v>702</v>
      </c>
      <c r="D69" s="116" t="s">
        <v>29</v>
      </c>
      <c r="E69" s="31"/>
      <c r="F69" s="2">
        <v>100000</v>
      </c>
      <c r="G69" s="30"/>
      <c r="I69" s="13"/>
      <c r="J69" s="13"/>
    </row>
    <row r="70" spans="1:14" s="2" customFormat="1" ht="12.75" customHeight="1" x14ac:dyDescent="0.2">
      <c r="A70" s="89">
        <v>45056</v>
      </c>
      <c r="B70" s="91" t="s">
        <v>11</v>
      </c>
      <c r="C70" s="76" t="s">
        <v>217</v>
      </c>
      <c r="D70" s="116" t="s">
        <v>29</v>
      </c>
      <c r="E70" s="31"/>
      <c r="F70" s="2">
        <v>51995</v>
      </c>
      <c r="G70" s="30"/>
      <c r="I70" s="13"/>
      <c r="J70" s="13"/>
    </row>
    <row r="71" spans="1:14" s="2" customFormat="1" ht="12.75" customHeight="1" x14ac:dyDescent="0.2">
      <c r="A71" s="89">
        <v>45056</v>
      </c>
      <c r="B71" s="91" t="s">
        <v>11</v>
      </c>
      <c r="C71" s="76" t="s">
        <v>218</v>
      </c>
      <c r="D71" s="116" t="s">
        <v>29</v>
      </c>
      <c r="E71" s="31"/>
      <c r="F71" s="2">
        <v>53355</v>
      </c>
      <c r="G71" s="30"/>
      <c r="I71" s="13"/>
      <c r="J71" s="13"/>
    </row>
    <row r="72" spans="1:14" s="2" customFormat="1" ht="12.75" customHeight="1" x14ac:dyDescent="0.2">
      <c r="A72" s="89">
        <v>45056</v>
      </c>
      <c r="B72" s="91" t="s">
        <v>11</v>
      </c>
      <c r="C72" s="76" t="s">
        <v>313</v>
      </c>
      <c r="D72" s="116" t="s">
        <v>29</v>
      </c>
      <c r="E72" s="31"/>
      <c r="F72" s="2">
        <v>990314</v>
      </c>
      <c r="G72" s="30"/>
      <c r="I72" s="13"/>
      <c r="J72" s="13"/>
      <c r="K72" s="99" t="s">
        <v>779</v>
      </c>
    </row>
    <row r="73" spans="1:14" s="2" customFormat="1" ht="12.75" customHeight="1" x14ac:dyDescent="0.25">
      <c r="A73" s="32"/>
      <c r="B73" s="33"/>
      <c r="C73" s="14"/>
      <c r="D73" s="34"/>
      <c r="E73" s="16">
        <f>SUM(E12:E72)</f>
        <v>55108742.49000001</v>
      </c>
      <c r="F73" s="16">
        <f>SUM(F12:F72)</f>
        <v>398668177.69</v>
      </c>
      <c r="G73" s="30"/>
      <c r="H73" s="1"/>
      <c r="I73" s="39">
        <v>343945424.19999999</v>
      </c>
      <c r="K73" s="92">
        <f>E74-I73</f>
        <v>-385989</v>
      </c>
      <c r="L73" s="41"/>
      <c r="M73" s="42">
        <f>K73+J73</f>
        <v>-385989</v>
      </c>
      <c r="N73" s="1"/>
    </row>
    <row r="74" spans="1:14" s="2" customFormat="1" x14ac:dyDescent="0.2">
      <c r="A74" s="36"/>
      <c r="B74" s="28" t="s">
        <v>11</v>
      </c>
      <c r="C74" s="19" t="s">
        <v>65</v>
      </c>
      <c r="D74" s="37"/>
      <c r="E74" s="38">
        <f>F73-E73</f>
        <v>343559435.19999999</v>
      </c>
      <c r="F74" s="22"/>
      <c r="G74" s="1"/>
      <c r="H74" s="1"/>
      <c r="J74" s="1"/>
      <c r="K74" s="1"/>
      <c r="L74" s="1"/>
      <c r="M74" s="1"/>
      <c r="N74" s="1"/>
    </row>
    <row r="75" spans="1:14" x14ac:dyDescent="0.2">
      <c r="A75" s="36"/>
      <c r="B75" s="28" t="s">
        <v>66</v>
      </c>
      <c r="C75" s="43" t="s">
        <v>67</v>
      </c>
      <c r="D75" s="43"/>
      <c r="E75" s="12">
        <v>0</v>
      </c>
      <c r="F75" s="22"/>
      <c r="H75" s="40"/>
      <c r="I75" s="45">
        <v>1133.93</v>
      </c>
      <c r="J75" s="46"/>
      <c r="K75" s="46"/>
      <c r="L75" s="13"/>
      <c r="M75" s="2"/>
      <c r="N75" s="2"/>
    </row>
    <row r="76" spans="1:14" ht="15" x14ac:dyDescent="0.25">
      <c r="A76" s="36"/>
      <c r="B76" s="28"/>
      <c r="C76" s="44" t="s">
        <v>68</v>
      </c>
      <c r="D76" s="43"/>
      <c r="E76" s="7">
        <f>E74+E75</f>
        <v>343559435.19999999</v>
      </c>
      <c r="F76" s="22"/>
      <c r="H76" s="103" t="s">
        <v>69</v>
      </c>
      <c r="I76" s="45">
        <v>-62.73</v>
      </c>
      <c r="J76" s="46"/>
      <c r="K76" s="46"/>
      <c r="L76" s="2"/>
      <c r="M76" s="2"/>
      <c r="N76" s="2"/>
    </row>
    <row r="77" spans="1:14" s="2" customFormat="1" x14ac:dyDescent="0.2">
      <c r="A77" s="24"/>
      <c r="B77" s="1"/>
      <c r="C77" s="14"/>
      <c r="D77" s="25"/>
      <c r="E77" s="1"/>
      <c r="H77" s="35" t="s">
        <v>70</v>
      </c>
      <c r="I77" s="45">
        <v>0</v>
      </c>
      <c r="J77" s="46">
        <f>+I78-D80</f>
        <v>0</v>
      </c>
      <c r="M77" s="2">
        <v>19.57</v>
      </c>
      <c r="N77" s="2" t="s">
        <v>535</v>
      </c>
    </row>
    <row r="78" spans="1:14" s="2" customFormat="1" x14ac:dyDescent="0.2">
      <c r="A78" s="24"/>
      <c r="B78" s="1"/>
      <c r="C78" s="56"/>
      <c r="D78" s="56"/>
      <c r="E78" s="104"/>
      <c r="G78" s="1"/>
      <c r="I78" s="49">
        <f>SUM(I75:I77)</f>
        <v>1071.2</v>
      </c>
      <c r="J78" s="46"/>
      <c r="K78" s="46"/>
    </row>
    <row r="79" spans="1:14" s="2" customFormat="1" x14ac:dyDescent="0.2">
      <c r="A79" s="24"/>
      <c r="B79" s="1"/>
      <c r="C79" s="78" t="s">
        <v>575</v>
      </c>
      <c r="D79" s="48" t="s">
        <v>576</v>
      </c>
      <c r="E79" s="104"/>
      <c r="G79" s="1"/>
    </row>
    <row r="80" spans="1:14" s="2" customFormat="1" x14ac:dyDescent="0.2">
      <c r="A80" s="24"/>
      <c r="B80" s="1"/>
      <c r="C80" s="47" t="s">
        <v>570</v>
      </c>
      <c r="D80" s="111">
        <v>1071.2</v>
      </c>
      <c r="E80" s="104"/>
      <c r="G80" s="1"/>
      <c r="H80" s="110" t="s">
        <v>581</v>
      </c>
    </row>
    <row r="81" spans="1:13" s="2" customFormat="1" x14ac:dyDescent="0.2">
      <c r="A81" s="24"/>
      <c r="B81" s="1"/>
      <c r="C81" s="47" t="s">
        <v>931</v>
      </c>
      <c r="D81" s="111">
        <v>199.21</v>
      </c>
      <c r="E81" s="104"/>
      <c r="G81" s="1"/>
      <c r="H81" s="110" t="s">
        <v>580</v>
      </c>
    </row>
    <row r="82" spans="1:13" s="2" customFormat="1" x14ac:dyDescent="0.2">
      <c r="A82" s="24"/>
      <c r="B82" s="1"/>
      <c r="C82" s="47" t="s">
        <v>572</v>
      </c>
      <c r="D82" s="111">
        <f>+D111/100000</f>
        <v>252.23502999999999</v>
      </c>
      <c r="E82" s="104"/>
      <c r="G82" s="1"/>
      <c r="H82" s="90" t="s">
        <v>587</v>
      </c>
    </row>
    <row r="83" spans="1:13" s="2" customFormat="1" x14ac:dyDescent="0.2">
      <c r="A83" s="24"/>
      <c r="B83" s="1"/>
      <c r="C83" s="108" t="s">
        <v>578</v>
      </c>
      <c r="D83" s="48">
        <f>SUM(D80:D82)</f>
        <v>1522.6450300000001</v>
      </c>
      <c r="E83" s="104"/>
      <c r="G83" s="1"/>
    </row>
    <row r="84" spans="1:13" s="2" customFormat="1" x14ac:dyDescent="0.2">
      <c r="A84" s="24"/>
      <c r="B84" s="1"/>
      <c r="C84" s="47"/>
      <c r="D84" s="107"/>
      <c r="E84" s="104"/>
      <c r="G84" s="1"/>
    </row>
    <row r="85" spans="1:13" s="2" customFormat="1" x14ac:dyDescent="0.2">
      <c r="A85" s="24"/>
      <c r="B85" s="1"/>
      <c r="C85" s="47" t="s">
        <v>932</v>
      </c>
      <c r="D85" s="111">
        <v>482.02</v>
      </c>
      <c r="E85" s="104"/>
      <c r="G85" s="1"/>
      <c r="H85" s="110" t="s">
        <v>581</v>
      </c>
    </row>
    <row r="86" spans="1:13" s="2" customFormat="1" x14ac:dyDescent="0.2">
      <c r="A86" s="24"/>
      <c r="B86" s="1"/>
      <c r="C86" s="47" t="s">
        <v>933</v>
      </c>
      <c r="D86" s="111">
        <v>175.48</v>
      </c>
      <c r="E86" s="104"/>
      <c r="G86" s="1"/>
      <c r="H86" s="110" t="s">
        <v>581</v>
      </c>
      <c r="J86" s="114" t="s">
        <v>713</v>
      </c>
    </row>
    <row r="87" spans="1:13" s="2" customFormat="1" x14ac:dyDescent="0.2">
      <c r="A87" s="24"/>
      <c r="B87" s="1"/>
      <c r="C87" s="78" t="s">
        <v>579</v>
      </c>
      <c r="D87" s="109">
        <f>D85+D86</f>
        <v>657.5</v>
      </c>
      <c r="E87" s="104"/>
      <c r="G87" s="1"/>
      <c r="I87" s="113"/>
      <c r="J87" s="113" t="s">
        <v>709</v>
      </c>
      <c r="K87" s="113" t="s">
        <v>710</v>
      </c>
      <c r="L87" s="113" t="s">
        <v>711</v>
      </c>
      <c r="M87" s="113" t="s">
        <v>712</v>
      </c>
    </row>
    <row r="88" spans="1:13" s="2" customFormat="1" x14ac:dyDescent="0.2">
      <c r="A88" s="24"/>
      <c r="B88" s="1"/>
      <c r="C88" s="105"/>
      <c r="D88" s="106"/>
      <c r="E88" s="104"/>
      <c r="G88" s="1"/>
      <c r="I88" s="113" t="s">
        <v>706</v>
      </c>
      <c r="J88" s="115"/>
      <c r="K88" s="115">
        <v>968.99</v>
      </c>
      <c r="L88" s="115">
        <v>968.99</v>
      </c>
      <c r="M88" s="113">
        <f>+J88+L88-K88</f>
        <v>0</v>
      </c>
    </row>
    <row r="89" spans="1:13" s="2" customFormat="1" x14ac:dyDescent="0.2">
      <c r="A89" s="24"/>
      <c r="B89" s="1"/>
      <c r="C89" s="78" t="s">
        <v>577</v>
      </c>
      <c r="D89" s="109">
        <f>D80+D87</f>
        <v>1728.7</v>
      </c>
      <c r="E89" s="104"/>
      <c r="G89" s="1"/>
      <c r="I89" s="113" t="s">
        <v>707</v>
      </c>
      <c r="J89" s="115">
        <v>183.1</v>
      </c>
      <c r="K89" s="115">
        <v>1716.6</v>
      </c>
      <c r="L89" s="115">
        <v>2655.5</v>
      </c>
      <c r="M89" s="113">
        <f>+J89+L89-K89</f>
        <v>1122</v>
      </c>
    </row>
    <row r="90" spans="1:13" s="2" customFormat="1" x14ac:dyDescent="0.2">
      <c r="A90" s="24"/>
      <c r="B90" s="1"/>
      <c r="C90" s="56"/>
      <c r="D90" s="56"/>
      <c r="E90" s="104"/>
      <c r="G90" s="1"/>
      <c r="I90" s="113" t="s">
        <v>708</v>
      </c>
      <c r="J90" s="115">
        <v>1371.02</v>
      </c>
      <c r="K90" s="115">
        <v>10934.01</v>
      </c>
      <c r="L90" s="115">
        <v>11199.73</v>
      </c>
      <c r="M90" s="113">
        <f>+J90+L90-K90</f>
        <v>1636.7399999999998</v>
      </c>
    </row>
    <row r="91" spans="1:13" s="2" customFormat="1" ht="38.25" x14ac:dyDescent="0.2">
      <c r="A91" s="24"/>
      <c r="B91" s="1"/>
      <c r="C91" s="79" t="str">
        <f>"Particulars ( 01-04-2021 to "&amp;TEXT(A5,"dd-mm-yyyy")&amp;" )"</f>
        <v>Particulars ( 01-04-2021 to 10-05-2023 )</v>
      </c>
      <c r="D91" s="80" t="s">
        <v>73</v>
      </c>
      <c r="E91" s="80" t="s">
        <v>74</v>
      </c>
      <c r="F91" s="81" t="s">
        <v>75</v>
      </c>
      <c r="G91" s="80" t="s">
        <v>76</v>
      </c>
      <c r="J91" s="118">
        <f>SUM(J88:J90)</f>
        <v>1554.12</v>
      </c>
      <c r="K91" s="118">
        <f>SUM(K88:K90)</f>
        <v>13619.6</v>
      </c>
      <c r="L91" s="118">
        <f>SUM(L88:L90)</f>
        <v>14824.22</v>
      </c>
      <c r="M91" s="118">
        <f>SUM(M88:M90)</f>
        <v>2758.74</v>
      </c>
    </row>
    <row r="92" spans="1:13" s="2" customFormat="1" x14ac:dyDescent="0.2">
      <c r="A92" s="24"/>
      <c r="B92" s="1"/>
      <c r="C92" s="50" t="s">
        <v>444</v>
      </c>
      <c r="D92" s="55">
        <f>+L88+L89+J89</f>
        <v>3807.5899999999997</v>
      </c>
      <c r="E92" s="55">
        <f>+K88+K89</f>
        <v>2685.59</v>
      </c>
      <c r="F92" s="55">
        <f>+D92-E92</f>
        <v>1121.9999999999995</v>
      </c>
      <c r="G92" s="55">
        <f>1500-F92</f>
        <v>378.00000000000045</v>
      </c>
      <c r="H92" s="2" t="s">
        <v>396</v>
      </c>
    </row>
    <row r="93" spans="1:13" s="2" customFormat="1" x14ac:dyDescent="0.2">
      <c r="A93" s="24"/>
      <c r="B93" s="1"/>
      <c r="C93" s="50" t="s">
        <v>71</v>
      </c>
      <c r="D93" s="55">
        <f>+J90+L90</f>
        <v>12570.75</v>
      </c>
      <c r="E93" s="55">
        <f>+K90</f>
        <v>10934.01</v>
      </c>
      <c r="F93" s="55">
        <f>+D93-E93</f>
        <v>1636.7399999999998</v>
      </c>
      <c r="G93" s="55">
        <f>1500+700-F93</f>
        <v>563.26000000000022</v>
      </c>
      <c r="H93" s="2" t="s">
        <v>396</v>
      </c>
    </row>
    <row r="94" spans="1:13" s="2" customFormat="1" x14ac:dyDescent="0.2">
      <c r="A94" s="24"/>
      <c r="B94" s="1"/>
      <c r="C94" s="14"/>
      <c r="D94" s="56"/>
      <c r="E94" s="13"/>
      <c r="G94" s="1"/>
    </row>
    <row r="95" spans="1:13" s="2" customFormat="1" x14ac:dyDescent="0.2">
      <c r="A95" s="215" t="s">
        <v>80</v>
      </c>
      <c r="B95" s="216"/>
      <c r="C95" s="216"/>
      <c r="D95" s="217"/>
      <c r="E95" s="69"/>
      <c r="F95" s="70"/>
      <c r="G95" s="1"/>
      <c r="H95" s="53"/>
    </row>
    <row r="96" spans="1:13" s="2" customFormat="1" x14ac:dyDescent="0.2">
      <c r="A96" s="71" t="s">
        <v>81</v>
      </c>
      <c r="B96" s="71"/>
      <c r="C96" s="72" t="s">
        <v>82</v>
      </c>
      <c r="D96" s="73" t="s">
        <v>83</v>
      </c>
      <c r="E96" s="69"/>
      <c r="F96" s="70"/>
      <c r="H96" s="53"/>
    </row>
    <row r="97" spans="1:13" s="2" customFormat="1" x14ac:dyDescent="0.2">
      <c r="A97" s="87">
        <v>45050</v>
      </c>
      <c r="B97" s="120" t="s">
        <v>6</v>
      </c>
      <c r="C97" s="75" t="s">
        <v>282</v>
      </c>
      <c r="D97" s="88">
        <v>1562637</v>
      </c>
      <c r="G97" s="1"/>
      <c r="L97" s="1"/>
      <c r="M97" s="1"/>
    </row>
    <row r="98" spans="1:13" s="2" customFormat="1" x14ac:dyDescent="0.2">
      <c r="A98" s="87">
        <v>45050</v>
      </c>
      <c r="B98" s="120" t="s">
        <v>6</v>
      </c>
      <c r="C98" s="75" t="s">
        <v>86</v>
      </c>
      <c r="D98" s="88">
        <v>2499321</v>
      </c>
      <c r="G98" s="1"/>
      <c r="L98" s="1"/>
      <c r="M98" s="1"/>
    </row>
    <row r="99" spans="1:13" s="2" customFormat="1" x14ac:dyDescent="0.2">
      <c r="A99" s="87">
        <v>45050</v>
      </c>
      <c r="B99" s="120" t="s">
        <v>6</v>
      </c>
      <c r="C99" s="75" t="s">
        <v>86</v>
      </c>
      <c r="D99" s="88">
        <v>6876102</v>
      </c>
      <c r="G99" s="1"/>
      <c r="L99" s="1"/>
      <c r="M99" s="1"/>
    </row>
    <row r="100" spans="1:13" s="2" customFormat="1" x14ac:dyDescent="0.2">
      <c r="A100" s="87">
        <v>45052</v>
      </c>
      <c r="B100" s="120" t="s">
        <v>6</v>
      </c>
      <c r="C100" s="75" t="s">
        <v>270</v>
      </c>
      <c r="D100" s="88">
        <v>1124141</v>
      </c>
      <c r="G100" s="1"/>
      <c r="L100" s="1"/>
      <c r="M100" s="1"/>
    </row>
    <row r="101" spans="1:13" s="2" customFormat="1" x14ac:dyDescent="0.2">
      <c r="A101" s="87">
        <v>45054</v>
      </c>
      <c r="B101" s="120" t="s">
        <v>6</v>
      </c>
      <c r="C101" s="75" t="s">
        <v>271</v>
      </c>
      <c r="D101" s="88">
        <v>476726</v>
      </c>
      <c r="G101" s="1"/>
      <c r="L101" s="1"/>
      <c r="M101" s="1"/>
    </row>
    <row r="102" spans="1:13" s="2" customFormat="1" x14ac:dyDescent="0.2">
      <c r="A102" s="87">
        <v>45054</v>
      </c>
      <c r="B102" s="120" t="s">
        <v>6</v>
      </c>
      <c r="C102" s="75" t="s">
        <v>271</v>
      </c>
      <c r="D102" s="88">
        <v>926688</v>
      </c>
      <c r="G102" s="1"/>
      <c r="L102" s="1"/>
      <c r="M102" s="1"/>
    </row>
    <row r="103" spans="1:13" s="2" customFormat="1" x14ac:dyDescent="0.2">
      <c r="A103" s="87">
        <v>45054</v>
      </c>
      <c r="B103" s="120" t="s">
        <v>6</v>
      </c>
      <c r="C103" s="75" t="s">
        <v>606</v>
      </c>
      <c r="D103" s="88">
        <v>1844917</v>
      </c>
      <c r="G103" s="1"/>
      <c r="L103" s="1"/>
      <c r="M103" s="1"/>
    </row>
    <row r="104" spans="1:13" s="2" customFormat="1" x14ac:dyDescent="0.2">
      <c r="A104" s="87">
        <v>45054</v>
      </c>
      <c r="B104" s="120" t="s">
        <v>6</v>
      </c>
      <c r="C104" s="75" t="s">
        <v>606</v>
      </c>
      <c r="D104" s="88">
        <v>1844917</v>
      </c>
      <c r="G104" s="1"/>
      <c r="L104" s="1"/>
      <c r="M104" s="1"/>
    </row>
    <row r="105" spans="1:13" s="2" customFormat="1" x14ac:dyDescent="0.2">
      <c r="A105" s="87">
        <v>45054</v>
      </c>
      <c r="B105" s="120" t="s">
        <v>6</v>
      </c>
      <c r="C105" s="75" t="s">
        <v>271</v>
      </c>
      <c r="D105" s="88">
        <v>1640794</v>
      </c>
      <c r="G105" s="1"/>
      <c r="L105" s="1"/>
      <c r="M105" s="1"/>
    </row>
    <row r="106" spans="1:13" s="2" customFormat="1" x14ac:dyDescent="0.2">
      <c r="A106" s="87">
        <v>45055</v>
      </c>
      <c r="B106" s="120" t="s">
        <v>6</v>
      </c>
      <c r="C106" s="75" t="s">
        <v>84</v>
      </c>
      <c r="D106" s="88">
        <v>2000000</v>
      </c>
      <c r="G106" s="1"/>
      <c r="L106" s="1"/>
      <c r="M106" s="1"/>
    </row>
    <row r="107" spans="1:13" s="2" customFormat="1" x14ac:dyDescent="0.2">
      <c r="A107" s="87">
        <v>45055</v>
      </c>
      <c r="B107" s="120" t="s">
        <v>6</v>
      </c>
      <c r="C107" s="75" t="s">
        <v>87</v>
      </c>
      <c r="D107" s="88">
        <v>2540563</v>
      </c>
      <c r="G107" s="1"/>
      <c r="L107" s="1"/>
      <c r="M107" s="1"/>
    </row>
    <row r="108" spans="1:13" s="2" customFormat="1" x14ac:dyDescent="0.2">
      <c r="A108" s="87">
        <v>45056</v>
      </c>
      <c r="B108" s="120" t="s">
        <v>6</v>
      </c>
      <c r="C108" s="75" t="s">
        <v>271</v>
      </c>
      <c r="D108" s="88">
        <v>242417</v>
      </c>
      <c r="G108" s="1"/>
      <c r="L108" s="1"/>
      <c r="M108" s="1"/>
    </row>
    <row r="109" spans="1:13" s="2" customFormat="1" x14ac:dyDescent="0.2">
      <c r="A109" s="87">
        <v>45056</v>
      </c>
      <c r="B109" s="120" t="s">
        <v>6</v>
      </c>
      <c r="C109" s="75" t="s">
        <v>271</v>
      </c>
      <c r="D109" s="88">
        <v>674909</v>
      </c>
      <c r="G109" s="1"/>
      <c r="L109" s="1"/>
      <c r="M109" s="1"/>
    </row>
    <row r="110" spans="1:13" s="2" customFormat="1" x14ac:dyDescent="0.2">
      <c r="A110" s="87">
        <v>45056</v>
      </c>
      <c r="B110" s="120" t="s">
        <v>6</v>
      </c>
      <c r="C110" s="75" t="s">
        <v>271</v>
      </c>
      <c r="D110" s="88">
        <v>969371</v>
      </c>
      <c r="G110" s="1"/>
      <c r="L110" s="1"/>
      <c r="M110" s="1"/>
    </row>
    <row r="111" spans="1:13" s="2" customFormat="1" x14ac:dyDescent="0.2">
      <c r="A111" s="87"/>
      <c r="B111" s="74"/>
      <c r="C111" s="75"/>
      <c r="D111" s="51">
        <f>SUM(D97:D110)</f>
        <v>25223503</v>
      </c>
      <c r="F111" s="2" t="s">
        <v>396</v>
      </c>
      <c r="G111" s="1"/>
      <c r="I111" s="1"/>
      <c r="J111" s="1"/>
      <c r="K111" s="1"/>
      <c r="L111" s="1"/>
      <c r="M111" s="1"/>
    </row>
    <row r="112" spans="1:13" s="2" customFormat="1" x14ac:dyDescent="0.2">
      <c r="A112" s="24"/>
      <c r="B112" s="1"/>
      <c r="C112" s="14"/>
      <c r="D112" s="56"/>
      <c r="E112" s="13"/>
      <c r="G112" s="1"/>
    </row>
    <row r="113" spans="1:13" s="2" customFormat="1" x14ac:dyDescent="0.2">
      <c r="A113" s="24"/>
      <c r="B113" s="1"/>
      <c r="C113" s="218" t="s">
        <v>77</v>
      </c>
      <c r="D113" s="219"/>
      <c r="E113" s="219"/>
      <c r="F113" s="220"/>
      <c r="G113" s="54"/>
      <c r="I113" s="1"/>
      <c r="J113" s="1"/>
      <c r="K113" s="1"/>
      <c r="L113" s="1"/>
      <c r="M113" s="1"/>
    </row>
    <row r="114" spans="1:13" s="2" customFormat="1" x14ac:dyDescent="0.2">
      <c r="A114" s="24"/>
      <c r="B114" s="1"/>
      <c r="C114" s="50"/>
      <c r="D114" s="57" t="s">
        <v>78</v>
      </c>
      <c r="E114" s="58" t="s">
        <v>79</v>
      </c>
      <c r="F114" s="57" t="s">
        <v>72</v>
      </c>
      <c r="G114" s="54"/>
      <c r="I114" s="1"/>
      <c r="J114" s="1"/>
      <c r="K114" s="1"/>
      <c r="L114" s="1"/>
      <c r="M114" s="1"/>
    </row>
    <row r="115" spans="1:13" s="2" customFormat="1" x14ac:dyDescent="0.2">
      <c r="A115" s="24"/>
      <c r="B115" s="1"/>
      <c r="C115" s="59" t="str">
        <f>"01-05-2023 to "&amp;TEXT(A5-2,"dd-mm-yyyy")</f>
        <v>01-05-2023 to 08-05-2023</v>
      </c>
      <c r="D115" s="60">
        <v>908.25</v>
      </c>
      <c r="E115" s="60">
        <v>96.54</v>
      </c>
      <c r="F115" s="61">
        <f>SUM(D115:E115)</f>
        <v>1004.79</v>
      </c>
      <c r="G115" s="54"/>
      <c r="I115" s="1"/>
      <c r="J115" s="1"/>
      <c r="K115" s="1"/>
      <c r="L115" s="1"/>
      <c r="M115" s="1"/>
    </row>
    <row r="116" spans="1:13" s="2" customFormat="1" x14ac:dyDescent="0.2">
      <c r="A116" s="24"/>
      <c r="B116" s="1"/>
      <c r="C116" s="62" t="str">
        <f>TEXT(A5-1,"dd-mm-yyyy")</f>
        <v>09-05-2023</v>
      </c>
      <c r="D116" s="60">
        <v>116.45</v>
      </c>
      <c r="E116" s="60">
        <v>11.03</v>
      </c>
      <c r="F116" s="61">
        <f>SUM(D116:E116)</f>
        <v>127.48</v>
      </c>
      <c r="G116" s="54"/>
      <c r="I116" s="1"/>
      <c r="J116" s="1"/>
      <c r="K116" s="1"/>
      <c r="L116" s="1"/>
      <c r="M116" s="1"/>
    </row>
    <row r="117" spans="1:13" ht="13.5" thickBot="1" x14ac:dyDescent="0.25">
      <c r="C117" s="63" t="str">
        <f>"01-05-2023 to "&amp;TEXT(A5-1,"dd-mm-yyyy")</f>
        <v>01-05-2023 to 09-05-2023</v>
      </c>
      <c r="D117" s="64">
        <f>SUM(D115:D116)</f>
        <v>1024.7</v>
      </c>
      <c r="E117" s="64">
        <f>SUM(E115:E116)</f>
        <v>107.57000000000001</v>
      </c>
      <c r="F117" s="64">
        <f>SUM(F115:F116)</f>
        <v>1132.27</v>
      </c>
      <c r="G117" s="54"/>
      <c r="H117" s="2" t="s">
        <v>396</v>
      </c>
    </row>
    <row r="118" spans="1:13" s="2" customFormat="1" ht="13.5" thickTop="1" x14ac:dyDescent="0.2">
      <c r="A118" s="24"/>
      <c r="B118" s="1"/>
      <c r="C118" s="62"/>
      <c r="D118" s="65"/>
      <c r="E118" s="66"/>
      <c r="F118" s="67"/>
      <c r="G118" s="54"/>
      <c r="H118" s="53"/>
    </row>
    <row r="119" spans="1:13" x14ac:dyDescent="0.2">
      <c r="C119" s="62" t="str">
        <f>"01-04-2023 to " &amp;C116</f>
        <v>01-04-2023 to 09-05-2023</v>
      </c>
      <c r="D119" s="68">
        <f>+D117+4343.67</f>
        <v>5368.37</v>
      </c>
      <c r="E119" s="68">
        <f>+E117+536.17</f>
        <v>643.74</v>
      </c>
      <c r="F119" s="68">
        <f>+F117+4879.84</f>
        <v>6012.1100000000006</v>
      </c>
      <c r="G119" s="54"/>
      <c r="H119" s="53" t="s">
        <v>396</v>
      </c>
    </row>
    <row r="120" spans="1:13" x14ac:dyDescent="0.2">
      <c r="C120" s="52"/>
      <c r="D120" s="85"/>
      <c r="E120" s="53"/>
      <c r="F120" s="53"/>
      <c r="G120" s="54"/>
      <c r="H120" s="53" t="s">
        <v>396</v>
      </c>
      <c r="J120" s="42"/>
    </row>
    <row r="121" spans="1:13" x14ac:dyDescent="0.2">
      <c r="C121" s="52"/>
      <c r="D121" s="85"/>
      <c r="E121" s="53"/>
      <c r="F121" s="53"/>
      <c r="G121" s="54"/>
      <c r="H121" s="53"/>
      <c r="I121" s="101"/>
    </row>
    <row r="122" spans="1:13" x14ac:dyDescent="0.2">
      <c r="C122" s="52"/>
      <c r="D122" s="85"/>
      <c r="E122" s="53"/>
      <c r="F122" s="53"/>
      <c r="G122" s="54"/>
      <c r="H122" s="53"/>
    </row>
    <row r="123" spans="1:13" x14ac:dyDescent="0.2">
      <c r="C123" s="52"/>
      <c r="D123" s="85"/>
      <c r="E123" s="53"/>
      <c r="F123" s="53"/>
      <c r="G123" s="54"/>
      <c r="H123" s="53"/>
    </row>
    <row r="124" spans="1:13" x14ac:dyDescent="0.2">
      <c r="H124" s="53"/>
    </row>
  </sheetData>
  <mergeCells count="5">
    <mergeCell ref="A1:G1"/>
    <mergeCell ref="A3:F3"/>
    <mergeCell ref="A10:F10"/>
    <mergeCell ref="A95:D95"/>
    <mergeCell ref="C113:F113"/>
  </mergeCells>
  <conditionalFormatting sqref="G92:G93">
    <cfRule type="cellIs" dxfId="591" priority="1" operator="lessThan">
      <formula>0</formula>
    </cfRule>
  </conditionalFormatting>
  <conditionalFormatting sqref="C12">
    <cfRule type="duplicateValues" dxfId="590" priority="2"/>
  </conditionalFormatting>
  <conditionalFormatting sqref="C13:C72">
    <cfRule type="duplicateValues" dxfId="589" priority="469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22">
    <pageSetUpPr fitToPage="1"/>
  </sheetPr>
  <dimension ref="A1:N115"/>
  <sheetViews>
    <sheetView topLeftCell="A28" zoomScaleNormal="100" workbookViewId="0">
      <selection activeCell="C46" sqref="C46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47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956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2.75" customHeight="1" x14ac:dyDescent="0.4">
      <c r="A5" s="89">
        <v>45057</v>
      </c>
      <c r="B5" s="9" t="s">
        <v>6</v>
      </c>
      <c r="C5" s="10" t="s">
        <v>7</v>
      </c>
      <c r="D5" s="11"/>
      <c r="E5" s="12">
        <v>2236474.7000000002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2236474.7000000002</v>
      </c>
      <c r="F6" s="16">
        <f>SUM(F5:F5)</f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E6-F6</f>
        <v>2236474.7000000002</v>
      </c>
      <c r="F7" s="22"/>
      <c r="G7" s="23"/>
      <c r="H7" s="112"/>
      <c r="I7" s="112"/>
      <c r="J7" s="13"/>
    </row>
    <row r="8" spans="1:10" s="2" customFormat="1" ht="12.75" customHeight="1" x14ac:dyDescent="0.4">
      <c r="A8" s="24"/>
      <c r="B8" s="1"/>
      <c r="C8" s="14"/>
      <c r="D8" s="25"/>
      <c r="G8" s="23"/>
      <c r="H8" s="112"/>
      <c r="I8" s="112"/>
      <c r="J8" s="13"/>
    </row>
    <row r="9" spans="1:10" s="2" customFormat="1" ht="21.75" customHeight="1" x14ac:dyDescent="0.4">
      <c r="A9" s="214" t="s">
        <v>10</v>
      </c>
      <c r="B9" s="214"/>
      <c r="C9" s="214"/>
      <c r="D9" s="214"/>
      <c r="E9" s="214"/>
      <c r="F9" s="214"/>
      <c r="G9" s="13"/>
      <c r="H9" s="112"/>
      <c r="I9" s="112"/>
      <c r="J9" s="13"/>
    </row>
    <row r="10" spans="1:10" s="2" customFormat="1" ht="12.75" customHeight="1" x14ac:dyDescent="0.4">
      <c r="A10" s="26" t="s">
        <v>1</v>
      </c>
      <c r="B10" s="27" t="s">
        <v>2</v>
      </c>
      <c r="C10" s="5"/>
      <c r="D10" s="6" t="s">
        <v>3</v>
      </c>
      <c r="E10" s="7" t="s">
        <v>4</v>
      </c>
      <c r="F10" s="7" t="s">
        <v>5</v>
      </c>
      <c r="G10" s="23"/>
      <c r="H10" s="112"/>
      <c r="I10" s="112"/>
      <c r="J10" s="13"/>
    </row>
    <row r="11" spans="1:10" s="2" customFormat="1" ht="12.75" customHeight="1" x14ac:dyDescent="0.2">
      <c r="A11" s="89">
        <v>45057</v>
      </c>
      <c r="B11" s="91" t="s">
        <v>11</v>
      </c>
      <c r="C11" s="29" t="s">
        <v>7</v>
      </c>
      <c r="D11" s="25"/>
      <c r="E11" s="31"/>
      <c r="F11" s="2">
        <v>343559435.19999999</v>
      </c>
      <c r="G11" s="30"/>
      <c r="I11" s="13"/>
      <c r="J11" s="13"/>
    </row>
    <row r="12" spans="1:10" s="2" customFormat="1" ht="12.75" customHeight="1" x14ac:dyDescent="0.2">
      <c r="A12" s="89">
        <v>45057</v>
      </c>
      <c r="B12" s="91" t="s">
        <v>6</v>
      </c>
      <c r="C12" s="76" t="s">
        <v>955</v>
      </c>
      <c r="D12" s="116" t="s">
        <v>13</v>
      </c>
      <c r="E12" s="31">
        <f>7916050.57-1534363.19</f>
        <v>6381687.3800000008</v>
      </c>
      <c r="G12" s="30"/>
      <c r="I12" s="13"/>
      <c r="J12" s="13"/>
    </row>
    <row r="13" spans="1:10" s="2" customFormat="1" ht="12.75" customHeight="1" x14ac:dyDescent="0.2">
      <c r="A13" s="89">
        <v>45057</v>
      </c>
      <c r="B13" s="91" t="s">
        <v>6</v>
      </c>
      <c r="C13" s="76" t="s">
        <v>866</v>
      </c>
      <c r="D13" s="116" t="s">
        <v>13</v>
      </c>
      <c r="E13" s="31">
        <v>344910.52</v>
      </c>
      <c r="G13" s="30"/>
      <c r="I13" s="13"/>
      <c r="J13" s="13"/>
    </row>
    <row r="14" spans="1:10" s="2" customFormat="1" ht="12.75" customHeight="1" x14ac:dyDescent="0.2">
      <c r="A14" s="89">
        <v>45057</v>
      </c>
      <c r="B14" s="91" t="s">
        <v>6</v>
      </c>
      <c r="C14" s="76" t="s">
        <v>12</v>
      </c>
      <c r="D14" s="116" t="s">
        <v>13</v>
      </c>
      <c r="E14" s="31">
        <v>16094886.300000001</v>
      </c>
      <c r="G14" s="30"/>
      <c r="I14" s="13"/>
      <c r="J14" s="13"/>
    </row>
    <row r="15" spans="1:10" s="2" customFormat="1" ht="12.75" customHeight="1" x14ac:dyDescent="0.2">
      <c r="A15" s="89">
        <v>45057</v>
      </c>
      <c r="B15" s="91" t="s">
        <v>6</v>
      </c>
      <c r="C15" s="76" t="s">
        <v>419</v>
      </c>
      <c r="D15" s="116" t="s">
        <v>13</v>
      </c>
      <c r="E15" s="31">
        <v>538608</v>
      </c>
      <c r="G15" s="30"/>
      <c r="I15" s="13"/>
      <c r="J15" s="13"/>
    </row>
    <row r="16" spans="1:10" s="2" customFormat="1" ht="12.75" customHeight="1" x14ac:dyDescent="0.2">
      <c r="A16" s="89">
        <v>45057</v>
      </c>
      <c r="B16" s="91" t="s">
        <v>6</v>
      </c>
      <c r="C16" s="76" t="s">
        <v>957</v>
      </c>
      <c r="D16" s="116" t="s">
        <v>13</v>
      </c>
      <c r="E16" s="31">
        <v>36797</v>
      </c>
      <c r="G16" s="30"/>
      <c r="I16" s="13"/>
      <c r="J16" s="13"/>
    </row>
    <row r="17" spans="1:10" s="2" customFormat="1" ht="12.75" customHeight="1" x14ac:dyDescent="0.2">
      <c r="A17" s="89">
        <v>45057</v>
      </c>
      <c r="B17" s="91" t="s">
        <v>6</v>
      </c>
      <c r="C17" s="76" t="s">
        <v>627</v>
      </c>
      <c r="D17" s="116" t="s">
        <v>13</v>
      </c>
      <c r="E17" s="31">
        <v>286952</v>
      </c>
      <c r="G17" s="30"/>
      <c r="I17" s="13"/>
      <c r="J17" s="13"/>
    </row>
    <row r="18" spans="1:10" s="2" customFormat="1" ht="12.75" customHeight="1" x14ac:dyDescent="0.2">
      <c r="A18" s="89">
        <v>45057</v>
      </c>
      <c r="B18" s="91" t="s">
        <v>6</v>
      </c>
      <c r="C18" s="76" t="s">
        <v>487</v>
      </c>
      <c r="D18" s="116" t="s">
        <v>13</v>
      </c>
      <c r="E18" s="31">
        <v>169252.98</v>
      </c>
      <c r="G18" s="30"/>
      <c r="I18" s="13"/>
      <c r="J18" s="13"/>
    </row>
    <row r="19" spans="1:10" s="2" customFormat="1" ht="12.75" customHeight="1" x14ac:dyDescent="0.2">
      <c r="A19" s="89">
        <v>45057</v>
      </c>
      <c r="B19" s="91" t="s">
        <v>6</v>
      </c>
      <c r="C19" s="76" t="s">
        <v>16</v>
      </c>
      <c r="D19" s="116" t="s">
        <v>13</v>
      </c>
      <c r="E19" s="31">
        <v>486864</v>
      </c>
      <c r="G19" s="30"/>
      <c r="I19" s="13"/>
      <c r="J19" s="13"/>
    </row>
    <row r="20" spans="1:10" s="2" customFormat="1" ht="12.75" customHeight="1" x14ac:dyDescent="0.2">
      <c r="A20" s="89">
        <v>45057</v>
      </c>
      <c r="B20" s="91" t="s">
        <v>6</v>
      </c>
      <c r="C20" s="76" t="s">
        <v>947</v>
      </c>
      <c r="D20" s="116" t="s">
        <v>13</v>
      </c>
      <c r="E20" s="31">
        <v>5835940</v>
      </c>
      <c r="G20" s="30"/>
      <c r="I20" s="13"/>
      <c r="J20" s="13"/>
    </row>
    <row r="21" spans="1:10" s="2" customFormat="1" ht="12.75" customHeight="1" x14ac:dyDescent="0.2">
      <c r="A21" s="89">
        <v>45057</v>
      </c>
      <c r="B21" s="91" t="s">
        <v>6</v>
      </c>
      <c r="C21" s="76" t="s">
        <v>458</v>
      </c>
      <c r="D21" s="116" t="s">
        <v>13</v>
      </c>
      <c r="E21" s="31">
        <v>387030</v>
      </c>
      <c r="G21" s="30"/>
      <c r="I21" s="13"/>
      <c r="J21" s="13"/>
    </row>
    <row r="22" spans="1:10" s="2" customFormat="1" ht="12.75" customHeight="1" x14ac:dyDescent="0.2">
      <c r="A22" s="89">
        <v>45057</v>
      </c>
      <c r="B22" s="91" t="s">
        <v>6</v>
      </c>
      <c r="C22" s="76" t="s">
        <v>149</v>
      </c>
      <c r="D22" s="116" t="s">
        <v>13</v>
      </c>
      <c r="E22" s="31">
        <v>13405</v>
      </c>
      <c r="G22" s="30"/>
      <c r="I22" s="13"/>
      <c r="J22" s="13"/>
    </row>
    <row r="23" spans="1:10" s="2" customFormat="1" ht="12.75" customHeight="1" x14ac:dyDescent="0.2">
      <c r="A23" s="89">
        <v>45057</v>
      </c>
      <c r="B23" s="91" t="s">
        <v>6</v>
      </c>
      <c r="C23" s="76" t="s">
        <v>147</v>
      </c>
      <c r="D23" s="116" t="s">
        <v>13</v>
      </c>
      <c r="E23" s="31">
        <v>500000</v>
      </c>
      <c r="G23" s="30"/>
      <c r="I23" s="13"/>
      <c r="J23" s="13"/>
    </row>
    <row r="24" spans="1:10" s="2" customFormat="1" ht="12.75" customHeight="1" x14ac:dyDescent="0.2">
      <c r="A24" s="89">
        <v>45057</v>
      </c>
      <c r="B24" s="91" t="s">
        <v>6</v>
      </c>
      <c r="C24" s="76" t="s">
        <v>503</v>
      </c>
      <c r="D24" s="116" t="s">
        <v>13</v>
      </c>
      <c r="E24" s="31">
        <v>6078975.7000000002</v>
      </c>
      <c r="G24" s="30"/>
      <c r="I24" s="13"/>
      <c r="J24" s="13"/>
    </row>
    <row r="25" spans="1:10" s="2" customFormat="1" ht="12.75" customHeight="1" x14ac:dyDescent="0.2">
      <c r="A25" s="89">
        <v>45057</v>
      </c>
      <c r="B25" s="91" t="s">
        <v>6</v>
      </c>
      <c r="C25" s="76" t="s">
        <v>905</v>
      </c>
      <c r="D25" s="116" t="s">
        <v>13</v>
      </c>
      <c r="E25" s="31">
        <v>6640472.5</v>
      </c>
      <c r="G25" s="30"/>
      <c r="I25" s="13"/>
      <c r="J25" s="13"/>
    </row>
    <row r="26" spans="1:10" s="2" customFormat="1" ht="12.75" customHeight="1" x14ac:dyDescent="0.2">
      <c r="A26" s="89">
        <v>45057</v>
      </c>
      <c r="B26" s="91" t="s">
        <v>6</v>
      </c>
      <c r="C26" s="76" t="s">
        <v>62</v>
      </c>
      <c r="D26" s="116" t="s">
        <v>13</v>
      </c>
      <c r="E26" s="31">
        <v>4000</v>
      </c>
      <c r="G26" s="30"/>
      <c r="I26" s="13"/>
      <c r="J26" s="13"/>
    </row>
    <row r="27" spans="1:10" s="2" customFormat="1" ht="12.75" customHeight="1" x14ac:dyDescent="0.2">
      <c r="A27" s="89">
        <v>45057</v>
      </c>
      <c r="B27" s="91" t="s">
        <v>6</v>
      </c>
      <c r="C27" s="76" t="s">
        <v>533</v>
      </c>
      <c r="D27" s="116" t="s">
        <v>499</v>
      </c>
      <c r="E27" s="2">
        <v>2721731</v>
      </c>
      <c r="G27" s="30"/>
      <c r="I27" s="13"/>
      <c r="J27" s="13"/>
    </row>
    <row r="28" spans="1:10" s="2" customFormat="1" ht="12.75" customHeight="1" x14ac:dyDescent="0.2">
      <c r="A28" s="89">
        <v>45057</v>
      </c>
      <c r="B28" s="91" t="s">
        <v>11</v>
      </c>
      <c r="C28" s="76" t="s">
        <v>62</v>
      </c>
      <c r="D28" s="116" t="s">
        <v>29</v>
      </c>
      <c r="E28" s="31"/>
      <c r="F28" s="2">
        <v>100000</v>
      </c>
      <c r="G28" s="30"/>
      <c r="I28" s="13"/>
      <c r="J28" s="13"/>
    </row>
    <row r="29" spans="1:10" s="2" customFormat="1" ht="12.75" customHeight="1" x14ac:dyDescent="0.2">
      <c r="A29" s="89">
        <v>45057</v>
      </c>
      <c r="B29" s="91" t="s">
        <v>11</v>
      </c>
      <c r="C29" s="76" t="s">
        <v>64</v>
      </c>
      <c r="D29" s="116" t="s">
        <v>29</v>
      </c>
      <c r="E29" s="31"/>
      <c r="F29" s="2">
        <f>58789.76-7113.43-5792</f>
        <v>45884.33</v>
      </c>
      <c r="G29" s="30"/>
      <c r="I29" s="13"/>
      <c r="J29" s="13"/>
    </row>
    <row r="30" spans="1:10" s="2" customFormat="1" ht="12.75" customHeight="1" x14ac:dyDescent="0.2">
      <c r="A30" s="89">
        <v>45057</v>
      </c>
      <c r="B30" s="91" t="s">
        <v>11</v>
      </c>
      <c r="C30" s="76" t="s">
        <v>650</v>
      </c>
      <c r="D30" s="116" t="s">
        <v>29</v>
      </c>
      <c r="E30" s="31"/>
      <c r="F30" s="2">
        <v>1231669</v>
      </c>
      <c r="G30" s="30"/>
      <c r="I30" s="13"/>
      <c r="J30" s="13"/>
    </row>
    <row r="31" spans="1:10" s="2" customFormat="1" ht="12.75" customHeight="1" x14ac:dyDescent="0.2">
      <c r="A31" s="89">
        <v>45057</v>
      </c>
      <c r="B31" s="91" t="s">
        <v>11</v>
      </c>
      <c r="C31" s="76" t="s">
        <v>110</v>
      </c>
      <c r="D31" s="116" t="s">
        <v>29</v>
      </c>
      <c r="E31" s="31"/>
      <c r="F31" s="2">
        <v>92428.77</v>
      </c>
      <c r="G31" s="30"/>
      <c r="I31" s="13"/>
      <c r="J31" s="13"/>
    </row>
    <row r="32" spans="1:10" s="2" customFormat="1" ht="12.75" customHeight="1" x14ac:dyDescent="0.2">
      <c r="A32" s="89">
        <v>45057</v>
      </c>
      <c r="B32" s="91" t="s">
        <v>11</v>
      </c>
      <c r="C32" s="76" t="s">
        <v>128</v>
      </c>
      <c r="D32" s="116" t="s">
        <v>29</v>
      </c>
      <c r="E32" s="31"/>
      <c r="F32" s="2">
        <v>17789</v>
      </c>
      <c r="G32" s="30"/>
      <c r="I32" s="13"/>
      <c r="J32" s="13"/>
    </row>
    <row r="33" spans="1:10" s="2" customFormat="1" ht="12.75" customHeight="1" x14ac:dyDescent="0.2">
      <c r="A33" s="89">
        <v>45057</v>
      </c>
      <c r="B33" s="91" t="s">
        <v>11</v>
      </c>
      <c r="C33" s="76" t="s">
        <v>958</v>
      </c>
      <c r="D33" s="116" t="s">
        <v>29</v>
      </c>
      <c r="E33" s="31"/>
      <c r="F33" s="2">
        <v>7000</v>
      </c>
      <c r="G33" s="30"/>
      <c r="I33" s="13"/>
      <c r="J33" s="13"/>
    </row>
    <row r="34" spans="1:10" s="2" customFormat="1" ht="12.75" customHeight="1" x14ac:dyDescent="0.2">
      <c r="A34" s="89">
        <v>45057</v>
      </c>
      <c r="B34" s="91" t="s">
        <v>11</v>
      </c>
      <c r="C34" s="76" t="s">
        <v>714</v>
      </c>
      <c r="D34" s="116" t="s">
        <v>29</v>
      </c>
      <c r="E34" s="31"/>
      <c r="F34" s="2">
        <v>280309</v>
      </c>
      <c r="G34" s="30"/>
      <c r="I34" s="13"/>
      <c r="J34" s="13"/>
    </row>
    <row r="35" spans="1:10" s="2" customFormat="1" ht="12.75" customHeight="1" x14ac:dyDescent="0.2">
      <c r="A35" s="89">
        <v>45057</v>
      </c>
      <c r="B35" s="91" t="s">
        <v>11</v>
      </c>
      <c r="C35" s="76" t="s">
        <v>309</v>
      </c>
      <c r="D35" s="116" t="s">
        <v>29</v>
      </c>
      <c r="E35" s="31"/>
      <c r="F35" s="2">
        <v>392000</v>
      </c>
      <c r="G35" s="30"/>
      <c r="I35" s="13"/>
      <c r="J35" s="13"/>
    </row>
    <row r="36" spans="1:10" s="2" customFormat="1" ht="12.75" customHeight="1" x14ac:dyDescent="0.2">
      <c r="A36" s="89">
        <v>45057</v>
      </c>
      <c r="B36" s="91" t="s">
        <v>11</v>
      </c>
      <c r="C36" s="76" t="s">
        <v>631</v>
      </c>
      <c r="D36" s="116" t="s">
        <v>29</v>
      </c>
      <c r="E36" s="31"/>
      <c r="F36" s="2">
        <v>350000</v>
      </c>
      <c r="G36" s="30"/>
      <c r="I36" s="13"/>
      <c r="J36" s="13"/>
    </row>
    <row r="37" spans="1:10" s="2" customFormat="1" ht="12.75" customHeight="1" x14ac:dyDescent="0.2">
      <c r="A37" s="89">
        <v>45057</v>
      </c>
      <c r="B37" s="91" t="s">
        <v>11</v>
      </c>
      <c r="C37" s="76" t="s">
        <v>132</v>
      </c>
      <c r="D37" s="116" t="s">
        <v>29</v>
      </c>
      <c r="E37" s="31"/>
      <c r="F37" s="2">
        <v>7155</v>
      </c>
      <c r="G37" s="30"/>
      <c r="I37" s="13"/>
      <c r="J37" s="13"/>
    </row>
    <row r="38" spans="1:10" s="2" customFormat="1" ht="12.75" customHeight="1" x14ac:dyDescent="0.2">
      <c r="A38" s="89">
        <v>45057</v>
      </c>
      <c r="B38" s="91" t="s">
        <v>11</v>
      </c>
      <c r="C38" s="76" t="s">
        <v>415</v>
      </c>
      <c r="D38" s="116" t="s">
        <v>29</v>
      </c>
      <c r="E38" s="31"/>
      <c r="F38" s="2">
        <v>1859</v>
      </c>
      <c r="G38" s="30"/>
      <c r="I38" s="13"/>
      <c r="J38" s="13"/>
    </row>
    <row r="39" spans="1:10" s="2" customFormat="1" ht="12.75" customHeight="1" x14ac:dyDescent="0.2">
      <c r="A39" s="89">
        <v>45057</v>
      </c>
      <c r="B39" s="91" t="s">
        <v>11</v>
      </c>
      <c r="C39" s="76" t="s">
        <v>436</v>
      </c>
      <c r="D39" s="116" t="s">
        <v>29</v>
      </c>
      <c r="E39" s="31"/>
      <c r="F39" s="2">
        <v>284191</v>
      </c>
      <c r="G39" s="30"/>
      <c r="I39" s="13"/>
      <c r="J39" s="13"/>
    </row>
    <row r="40" spans="1:10" s="2" customFormat="1" ht="12.75" customHeight="1" x14ac:dyDescent="0.2">
      <c r="A40" s="89">
        <v>45057</v>
      </c>
      <c r="B40" s="91" t="s">
        <v>11</v>
      </c>
      <c r="C40" s="76" t="s">
        <v>40</v>
      </c>
      <c r="D40" s="116" t="s">
        <v>29</v>
      </c>
      <c r="E40" s="31"/>
      <c r="F40" s="2">
        <v>88695</v>
      </c>
      <c r="G40" s="30"/>
      <c r="I40" s="13"/>
      <c r="J40" s="13"/>
    </row>
    <row r="41" spans="1:10" s="2" customFormat="1" ht="12.75" customHeight="1" x14ac:dyDescent="0.2">
      <c r="A41" s="89">
        <v>45057</v>
      </c>
      <c r="B41" s="91" t="s">
        <v>11</v>
      </c>
      <c r="C41" s="76" t="s">
        <v>41</v>
      </c>
      <c r="D41" s="116" t="s">
        <v>29</v>
      </c>
      <c r="E41" s="31"/>
      <c r="F41" s="2">
        <v>77440</v>
      </c>
      <c r="G41" s="30"/>
      <c r="I41" s="13"/>
      <c r="J41" s="13"/>
    </row>
    <row r="42" spans="1:10" s="2" customFormat="1" ht="12.75" customHeight="1" x14ac:dyDescent="0.2">
      <c r="A42" s="89">
        <v>45057</v>
      </c>
      <c r="B42" s="91" t="s">
        <v>11</v>
      </c>
      <c r="C42" s="76" t="s">
        <v>49</v>
      </c>
      <c r="D42" s="116" t="s">
        <v>29</v>
      </c>
      <c r="E42" s="31"/>
      <c r="F42" s="2">
        <v>269023</v>
      </c>
      <c r="G42" s="30"/>
      <c r="I42" s="13"/>
      <c r="J42" s="13"/>
    </row>
    <row r="43" spans="1:10" s="2" customFormat="1" ht="12.75" customHeight="1" x14ac:dyDescent="0.2">
      <c r="A43" s="89">
        <v>45057</v>
      </c>
      <c r="B43" s="91" t="s">
        <v>11</v>
      </c>
      <c r="C43" s="76" t="s">
        <v>28</v>
      </c>
      <c r="D43" s="116" t="s">
        <v>29</v>
      </c>
      <c r="E43" s="31"/>
      <c r="F43" s="2">
        <v>408185.59999999998</v>
      </c>
      <c r="G43" s="30"/>
      <c r="I43" s="13"/>
      <c r="J43" s="13"/>
    </row>
    <row r="44" spans="1:10" s="2" customFormat="1" ht="12.75" customHeight="1" x14ac:dyDescent="0.2">
      <c r="A44" s="89">
        <v>45057</v>
      </c>
      <c r="B44" s="91" t="s">
        <v>11</v>
      </c>
      <c r="C44" s="76" t="s">
        <v>48</v>
      </c>
      <c r="D44" s="116" t="s">
        <v>29</v>
      </c>
      <c r="E44" s="31"/>
      <c r="F44" s="2">
        <v>308415</v>
      </c>
      <c r="G44" s="30"/>
      <c r="I44" s="13"/>
      <c r="J44" s="13"/>
    </row>
    <row r="45" spans="1:10" s="2" customFormat="1" ht="12.75" customHeight="1" x14ac:dyDescent="0.2">
      <c r="A45" s="89">
        <v>45057</v>
      </c>
      <c r="B45" s="91" t="s">
        <v>11</v>
      </c>
      <c r="C45" s="76" t="s">
        <v>313</v>
      </c>
      <c r="D45" s="116" t="s">
        <v>29</v>
      </c>
      <c r="E45" s="31"/>
      <c r="F45" s="2">
        <v>1593463</v>
      </c>
      <c r="G45" s="30"/>
      <c r="I45" s="13"/>
      <c r="J45" s="13"/>
    </row>
    <row r="46" spans="1:10" s="2" customFormat="1" ht="12.75" customHeight="1" x14ac:dyDescent="0.2">
      <c r="A46" s="89">
        <v>45057</v>
      </c>
      <c r="B46" s="91" t="s">
        <v>11</v>
      </c>
      <c r="C46" s="76" t="s">
        <v>306</v>
      </c>
      <c r="D46" s="116" t="s">
        <v>29</v>
      </c>
      <c r="E46" s="31"/>
      <c r="F46" s="2">
        <v>2798312</v>
      </c>
      <c r="G46" s="30"/>
      <c r="I46" s="13"/>
      <c r="J46" s="13"/>
    </row>
    <row r="47" spans="1:10" s="2" customFormat="1" ht="12.75" customHeight="1" x14ac:dyDescent="0.2">
      <c r="A47" s="89">
        <v>45057</v>
      </c>
      <c r="B47" s="91" t="s">
        <v>11</v>
      </c>
      <c r="C47" s="76" t="s">
        <v>214</v>
      </c>
      <c r="D47" s="116" t="s">
        <v>29</v>
      </c>
      <c r="E47" s="31"/>
      <c r="F47" s="2">
        <v>2461926</v>
      </c>
      <c r="G47" s="30"/>
      <c r="I47" s="13"/>
      <c r="J47" s="13"/>
    </row>
    <row r="48" spans="1:10" s="2" customFormat="1" ht="12.75" customHeight="1" x14ac:dyDescent="0.2">
      <c r="A48" s="89">
        <v>45057</v>
      </c>
      <c r="B48" s="91" t="s">
        <v>11</v>
      </c>
      <c r="C48" s="76" t="s">
        <v>57</v>
      </c>
      <c r="D48" s="116" t="s">
        <v>29</v>
      </c>
      <c r="E48" s="31"/>
      <c r="F48" s="2">
        <v>12000000</v>
      </c>
      <c r="G48" s="30"/>
      <c r="I48" s="13"/>
      <c r="J48" s="13"/>
    </row>
    <row r="49" spans="1:14" s="2" customFormat="1" ht="12.75" customHeight="1" x14ac:dyDescent="0.2">
      <c r="A49" s="89">
        <v>45057</v>
      </c>
      <c r="B49" s="91" t="s">
        <v>11</v>
      </c>
      <c r="C49" s="76" t="s">
        <v>63</v>
      </c>
      <c r="D49" s="116" t="s">
        <v>29</v>
      </c>
      <c r="E49" s="31"/>
      <c r="F49" s="2">
        <v>1200000</v>
      </c>
      <c r="G49" s="30"/>
      <c r="I49" s="13"/>
      <c r="J49" s="13"/>
    </row>
    <row r="50" spans="1:14" s="2" customFormat="1" ht="12.75" customHeight="1" x14ac:dyDescent="0.2">
      <c r="A50" s="89">
        <v>45057</v>
      </c>
      <c r="B50" s="91" t="s">
        <v>11</v>
      </c>
      <c r="C50" s="76" t="s">
        <v>301</v>
      </c>
      <c r="D50" s="116" t="s">
        <v>29</v>
      </c>
      <c r="E50" s="31"/>
      <c r="F50" s="2">
        <v>791728</v>
      </c>
      <c r="G50" s="30"/>
      <c r="I50" s="13"/>
      <c r="J50" s="13"/>
    </row>
    <row r="51" spans="1:14" s="2" customFormat="1" ht="12.75" customHeight="1" x14ac:dyDescent="0.2">
      <c r="A51" s="89">
        <v>45057</v>
      </c>
      <c r="B51" s="91" t="s">
        <v>11</v>
      </c>
      <c r="C51" s="76" t="s">
        <v>340</v>
      </c>
      <c r="D51" s="116" t="s">
        <v>29</v>
      </c>
      <c r="E51" s="31"/>
      <c r="F51" s="2">
        <v>1313259</v>
      </c>
      <c r="G51" s="30"/>
      <c r="I51" s="13"/>
      <c r="J51" s="13"/>
    </row>
    <row r="52" spans="1:14" s="2" customFormat="1" ht="12.75" customHeight="1" x14ac:dyDescent="0.2">
      <c r="A52" s="89">
        <v>45057</v>
      </c>
      <c r="B52" s="91" t="s">
        <v>11</v>
      </c>
      <c r="C52" s="76" t="s">
        <v>32</v>
      </c>
      <c r="D52" s="116" t="s">
        <v>29</v>
      </c>
      <c r="E52" s="31"/>
      <c r="F52" s="2">
        <v>372859</v>
      </c>
      <c r="G52" s="30"/>
      <c r="I52" s="13"/>
      <c r="J52" s="13"/>
    </row>
    <row r="53" spans="1:14" s="2" customFormat="1" ht="12.75" customHeight="1" x14ac:dyDescent="0.2">
      <c r="A53" s="89">
        <v>45057</v>
      </c>
      <c r="B53" s="91" t="s">
        <v>11</v>
      </c>
      <c r="C53" s="76" t="s">
        <v>279</v>
      </c>
      <c r="D53" s="116" t="s">
        <v>29</v>
      </c>
      <c r="E53" s="31"/>
      <c r="F53" s="2">
        <v>2599836</v>
      </c>
      <c r="G53" s="30"/>
      <c r="I53" s="13"/>
      <c r="J53" s="13"/>
    </row>
    <row r="54" spans="1:14" s="2" customFormat="1" ht="12.75" customHeight="1" x14ac:dyDescent="0.2">
      <c r="A54" s="89">
        <v>45057</v>
      </c>
      <c r="B54" s="91" t="s">
        <v>11</v>
      </c>
      <c r="C54" s="76" t="s">
        <v>15</v>
      </c>
      <c r="D54" s="116" t="s">
        <v>29</v>
      </c>
      <c r="E54" s="31"/>
      <c r="F54" s="2">
        <v>75062.11</v>
      </c>
      <c r="G54" s="30"/>
      <c r="I54" s="13"/>
      <c r="J54" s="13"/>
    </row>
    <row r="55" spans="1:14" s="2" customFormat="1" ht="12.75" customHeight="1" x14ac:dyDescent="0.2">
      <c r="A55" s="89">
        <v>45057</v>
      </c>
      <c r="B55" s="91" t="s">
        <v>11</v>
      </c>
      <c r="C55" s="76" t="s">
        <v>780</v>
      </c>
      <c r="D55" s="116" t="s">
        <v>29</v>
      </c>
      <c r="E55" s="31"/>
      <c r="F55" s="2">
        <v>2771422</v>
      </c>
      <c r="G55" s="30"/>
      <c r="I55" s="13"/>
      <c r="J55" s="13"/>
    </row>
    <row r="56" spans="1:14" s="2" customFormat="1" ht="12.75" customHeight="1" x14ac:dyDescent="0.2">
      <c r="A56" s="89">
        <v>45057</v>
      </c>
      <c r="B56" s="91" t="s">
        <v>11</v>
      </c>
      <c r="C56" s="76" t="s">
        <v>254</v>
      </c>
      <c r="D56" s="116" t="s">
        <v>29</v>
      </c>
      <c r="E56" s="31"/>
      <c r="F56" s="2">
        <v>222526</v>
      </c>
      <c r="G56" s="30"/>
      <c r="I56" s="13"/>
      <c r="J56" s="13"/>
    </row>
    <row r="57" spans="1:14" s="2" customFormat="1" ht="12.75" customHeight="1" x14ac:dyDescent="0.2">
      <c r="A57" s="89">
        <v>45057</v>
      </c>
      <c r="B57" s="91" t="s">
        <v>11</v>
      </c>
      <c r="C57" s="76" t="s">
        <v>696</v>
      </c>
      <c r="D57" s="116" t="s">
        <v>29</v>
      </c>
      <c r="E57" s="31"/>
      <c r="F57" s="2">
        <v>1116481</v>
      </c>
      <c r="G57" s="30"/>
      <c r="I57" s="13"/>
      <c r="J57" s="13"/>
    </row>
    <row r="58" spans="1:14" s="2" customFormat="1" ht="12.75" customHeight="1" x14ac:dyDescent="0.2">
      <c r="A58" s="89">
        <v>45057</v>
      </c>
      <c r="B58" s="91" t="s">
        <v>11</v>
      </c>
      <c r="C58" s="76" t="s">
        <v>372</v>
      </c>
      <c r="D58" s="116" t="s">
        <v>29</v>
      </c>
      <c r="E58" s="31"/>
      <c r="F58" s="2">
        <v>269280</v>
      </c>
      <c r="G58" s="30"/>
      <c r="I58" s="13"/>
      <c r="J58" s="13"/>
    </row>
    <row r="59" spans="1:14" s="2" customFormat="1" ht="12.75" customHeight="1" x14ac:dyDescent="0.2">
      <c r="A59" s="89">
        <v>45057</v>
      </c>
      <c r="B59" s="91" t="s">
        <v>11</v>
      </c>
      <c r="C59" s="76" t="s">
        <v>117</v>
      </c>
      <c r="D59" s="116" t="s">
        <v>29</v>
      </c>
      <c r="E59" s="31"/>
      <c r="F59" s="2">
        <v>539544</v>
      </c>
      <c r="G59" s="30"/>
      <c r="I59" s="13"/>
      <c r="J59" s="13"/>
    </row>
    <row r="60" spans="1:14" s="2" customFormat="1" ht="12.75" customHeight="1" x14ac:dyDescent="0.2">
      <c r="A60" s="89">
        <v>45057</v>
      </c>
      <c r="B60" s="91" t="s">
        <v>11</v>
      </c>
      <c r="C60" s="76" t="s">
        <v>799</v>
      </c>
      <c r="D60" s="116" t="s">
        <v>29</v>
      </c>
      <c r="E60" s="31"/>
      <c r="F60" s="2">
        <v>448400</v>
      </c>
      <c r="G60" s="30"/>
      <c r="I60" s="13"/>
      <c r="J60" s="13"/>
    </row>
    <row r="61" spans="1:14" s="2" customFormat="1" ht="12.75" customHeight="1" x14ac:dyDescent="0.2">
      <c r="A61" s="89">
        <v>45057</v>
      </c>
      <c r="B61" s="91" t="s">
        <v>11</v>
      </c>
      <c r="C61" s="76" t="s">
        <v>401</v>
      </c>
      <c r="D61" s="116" t="s">
        <v>29</v>
      </c>
      <c r="E61" s="31"/>
      <c r="F61" s="2">
        <v>270000</v>
      </c>
      <c r="G61" s="30"/>
      <c r="I61" s="13"/>
      <c r="J61" s="13"/>
    </row>
    <row r="62" spans="1:14" s="2" customFormat="1" ht="12.75" customHeight="1" x14ac:dyDescent="0.2">
      <c r="A62" s="89">
        <v>45057</v>
      </c>
      <c r="B62" s="91" t="s">
        <v>11</v>
      </c>
      <c r="C62" s="76" t="s">
        <v>660</v>
      </c>
      <c r="D62" s="116" t="s">
        <v>29</v>
      </c>
      <c r="E62" s="31"/>
      <c r="F62" s="2">
        <v>113512</v>
      </c>
      <c r="G62" s="30"/>
      <c r="I62" s="13"/>
      <c r="J62" s="13" t="s">
        <v>601</v>
      </c>
      <c r="K62" s="99" t="s">
        <v>779</v>
      </c>
    </row>
    <row r="63" spans="1:14" s="2" customFormat="1" ht="12.75" customHeight="1" x14ac:dyDescent="0.25">
      <c r="A63" s="32"/>
      <c r="B63" s="33"/>
      <c r="C63" s="14"/>
      <c r="D63" s="34"/>
      <c r="E63" s="16">
        <f>SUM(E11:E62)</f>
        <v>46521512.380000003</v>
      </c>
      <c r="F63" s="16">
        <f>SUM(F11:F62)</f>
        <v>378479089.00999999</v>
      </c>
      <c r="G63" s="30"/>
      <c r="H63" s="1"/>
      <c r="I63" s="39">
        <v>335075088.63</v>
      </c>
      <c r="J63" s="2">
        <v>2721731</v>
      </c>
      <c r="K63" s="92">
        <f>E64-I63</f>
        <v>-3117512</v>
      </c>
      <c r="L63" s="41"/>
      <c r="M63" s="42">
        <f>K63+J63</f>
        <v>-395781</v>
      </c>
      <c r="N63" s="1"/>
    </row>
    <row r="64" spans="1:14" s="2" customFormat="1" x14ac:dyDescent="0.2">
      <c r="A64" s="36"/>
      <c r="B64" s="28" t="s">
        <v>11</v>
      </c>
      <c r="C64" s="19" t="s">
        <v>65</v>
      </c>
      <c r="D64" s="37"/>
      <c r="E64" s="38">
        <f>F63-E63</f>
        <v>331957576.63</v>
      </c>
      <c r="F64" s="22"/>
      <c r="G64" s="1"/>
      <c r="H64" s="1"/>
      <c r="J64" s="1"/>
      <c r="K64" s="1"/>
      <c r="L64" s="1"/>
      <c r="M64" s="1"/>
      <c r="N64" s="1"/>
    </row>
    <row r="65" spans="1:14" x14ac:dyDescent="0.2">
      <c r="A65" s="36"/>
      <c r="B65" s="28" t="s">
        <v>66</v>
      </c>
      <c r="C65" s="43" t="s">
        <v>67</v>
      </c>
      <c r="D65" s="43"/>
      <c r="E65" s="12">
        <v>0</v>
      </c>
      <c r="F65" s="22"/>
      <c r="H65" s="40"/>
      <c r="I65" s="45">
        <v>1504.94</v>
      </c>
      <c r="J65" s="46"/>
      <c r="K65" s="46"/>
      <c r="L65" s="13"/>
      <c r="M65" s="2"/>
      <c r="N65" s="2"/>
    </row>
    <row r="66" spans="1:14" ht="15" x14ac:dyDescent="0.25">
      <c r="A66" s="36"/>
      <c r="B66" s="28"/>
      <c r="C66" s="44" t="s">
        <v>68</v>
      </c>
      <c r="D66" s="43"/>
      <c r="E66" s="7">
        <f>E64+E65</f>
        <v>331957576.63</v>
      </c>
      <c r="F66" s="22"/>
      <c r="H66" s="103" t="s">
        <v>69</v>
      </c>
      <c r="I66" s="45">
        <v>-62.73</v>
      </c>
      <c r="J66" s="46"/>
      <c r="K66" s="46"/>
      <c r="L66" s="2"/>
      <c r="M66" s="2"/>
      <c r="N66" s="2"/>
    </row>
    <row r="67" spans="1:14" s="2" customFormat="1" x14ac:dyDescent="0.2">
      <c r="A67" s="24"/>
      <c r="B67" s="1"/>
      <c r="C67" s="14"/>
      <c r="D67" s="25"/>
      <c r="E67" s="1"/>
      <c r="H67" s="35" t="s">
        <v>70</v>
      </c>
      <c r="I67" s="45">
        <v>0</v>
      </c>
      <c r="J67" s="46">
        <f>+I68-D70</f>
        <v>0</v>
      </c>
      <c r="M67" s="2">
        <v>19.57</v>
      </c>
      <c r="N67" s="2" t="s">
        <v>535</v>
      </c>
    </row>
    <row r="68" spans="1:14" s="2" customFormat="1" x14ac:dyDescent="0.2">
      <c r="A68" s="24"/>
      <c r="B68" s="1"/>
      <c r="C68" s="56"/>
      <c r="D68" s="56"/>
      <c r="E68" s="104"/>
      <c r="G68" s="1"/>
      <c r="I68" s="49">
        <f>SUM(I65:I67)</f>
        <v>1442.21</v>
      </c>
      <c r="J68" s="46"/>
      <c r="K68" s="46"/>
    </row>
    <row r="69" spans="1:14" s="2" customFormat="1" x14ac:dyDescent="0.2">
      <c r="A69" s="24"/>
      <c r="B69" s="1"/>
      <c r="C69" s="78" t="s">
        <v>575</v>
      </c>
      <c r="D69" s="48" t="s">
        <v>576</v>
      </c>
      <c r="E69" s="104"/>
      <c r="G69" s="1"/>
    </row>
    <row r="70" spans="1:14" s="2" customFormat="1" x14ac:dyDescent="0.2">
      <c r="A70" s="24"/>
      <c r="B70" s="1"/>
      <c r="C70" s="47" t="s">
        <v>570</v>
      </c>
      <c r="D70" s="111">
        <v>1442.21</v>
      </c>
      <c r="E70" s="104"/>
      <c r="G70" s="1"/>
      <c r="H70" s="110" t="s">
        <v>581</v>
      </c>
    </row>
    <row r="71" spans="1:14" s="2" customFormat="1" x14ac:dyDescent="0.2">
      <c r="A71" s="24"/>
      <c r="B71" s="1"/>
      <c r="C71" s="47" t="s">
        <v>931</v>
      </c>
      <c r="D71" s="111">
        <v>199.21</v>
      </c>
      <c r="E71" s="104"/>
      <c r="G71" s="1"/>
      <c r="H71" s="110" t="s">
        <v>580</v>
      </c>
    </row>
    <row r="72" spans="1:14" s="2" customFormat="1" x14ac:dyDescent="0.2">
      <c r="A72" s="24"/>
      <c r="B72" s="1"/>
      <c r="C72" s="47" t="s">
        <v>572</v>
      </c>
      <c r="D72" s="111">
        <f>+D102/100000</f>
        <v>261.7364</v>
      </c>
      <c r="E72" s="104"/>
      <c r="G72" s="1"/>
      <c r="H72" s="90" t="s">
        <v>587</v>
      </c>
    </row>
    <row r="73" spans="1:14" s="2" customFormat="1" x14ac:dyDescent="0.2">
      <c r="A73" s="24"/>
      <c r="B73" s="1"/>
      <c r="C73" s="108" t="s">
        <v>578</v>
      </c>
      <c r="D73" s="48">
        <f>SUM(D70:D72)</f>
        <v>1903.1564000000001</v>
      </c>
      <c r="E73" s="104"/>
      <c r="G73" s="1"/>
    </row>
    <row r="74" spans="1:14" s="2" customFormat="1" x14ac:dyDescent="0.2">
      <c r="A74" s="24"/>
      <c r="B74" s="1"/>
      <c r="C74" s="47"/>
      <c r="D74" s="107"/>
      <c r="E74" s="104"/>
      <c r="G74" s="1"/>
    </row>
    <row r="75" spans="1:14" s="2" customFormat="1" x14ac:dyDescent="0.2">
      <c r="A75" s="24"/>
      <c r="B75" s="1"/>
      <c r="C75" s="47" t="s">
        <v>932</v>
      </c>
      <c r="D75" s="111">
        <v>548.42999999999995</v>
      </c>
      <c r="E75" s="104"/>
      <c r="G75" s="1"/>
      <c r="H75" s="110" t="s">
        <v>581</v>
      </c>
    </row>
    <row r="76" spans="1:14" s="2" customFormat="1" x14ac:dyDescent="0.2">
      <c r="A76" s="24"/>
      <c r="B76" s="1"/>
      <c r="C76" s="47" t="s">
        <v>933</v>
      </c>
      <c r="D76" s="111">
        <v>175.48</v>
      </c>
      <c r="E76" s="104"/>
      <c r="G76" s="1"/>
      <c r="H76" s="110" t="s">
        <v>581</v>
      </c>
      <c r="J76" s="114" t="s">
        <v>713</v>
      </c>
    </row>
    <row r="77" spans="1:14" s="2" customFormat="1" x14ac:dyDescent="0.2">
      <c r="A77" s="24"/>
      <c r="B77" s="1"/>
      <c r="C77" s="78" t="s">
        <v>579</v>
      </c>
      <c r="D77" s="109">
        <f>D75+D76</f>
        <v>723.91</v>
      </c>
      <c r="E77" s="104"/>
      <c r="G77" s="1"/>
      <c r="I77" s="113"/>
      <c r="J77" s="113" t="s">
        <v>709</v>
      </c>
      <c r="K77" s="113" t="s">
        <v>710</v>
      </c>
      <c r="L77" s="113" t="s">
        <v>711</v>
      </c>
      <c r="M77" s="113" t="s">
        <v>712</v>
      </c>
    </row>
    <row r="78" spans="1:14" s="2" customFormat="1" x14ac:dyDescent="0.2">
      <c r="A78" s="24"/>
      <c r="B78" s="1"/>
      <c r="C78" s="105"/>
      <c r="D78" s="106"/>
      <c r="E78" s="104"/>
      <c r="G78" s="1"/>
      <c r="I78" s="113" t="s">
        <v>706</v>
      </c>
      <c r="J78" s="115"/>
      <c r="K78" s="115">
        <v>968.99</v>
      </c>
      <c r="L78" s="115">
        <v>968.99</v>
      </c>
      <c r="M78" s="113">
        <f>+J78+L78-K78</f>
        <v>0</v>
      </c>
    </row>
    <row r="79" spans="1:14" s="2" customFormat="1" x14ac:dyDescent="0.2">
      <c r="A79" s="24"/>
      <c r="B79" s="1"/>
      <c r="C79" s="78" t="s">
        <v>577</v>
      </c>
      <c r="D79" s="109">
        <f>D70+D77</f>
        <v>2166.12</v>
      </c>
      <c r="E79" s="104"/>
      <c r="G79" s="1"/>
      <c r="I79" s="113" t="s">
        <v>707</v>
      </c>
      <c r="J79" s="115">
        <v>183.1</v>
      </c>
      <c r="K79" s="115">
        <v>1716.6</v>
      </c>
      <c r="L79" s="115">
        <v>2721.9</v>
      </c>
      <c r="M79" s="113">
        <f>+J79+L79-K79</f>
        <v>1188.4000000000001</v>
      </c>
    </row>
    <row r="80" spans="1:14" s="2" customFormat="1" x14ac:dyDescent="0.2">
      <c r="A80" s="24"/>
      <c r="B80" s="1"/>
      <c r="C80" s="56"/>
      <c r="D80" s="56"/>
      <c r="E80" s="104"/>
      <c r="G80" s="1"/>
      <c r="I80" s="113" t="s">
        <v>708</v>
      </c>
      <c r="J80" s="115">
        <v>1371.02</v>
      </c>
      <c r="K80" s="115">
        <v>10943.51</v>
      </c>
      <c r="L80" s="115">
        <v>11199.73</v>
      </c>
      <c r="M80" s="113">
        <f>+J80+L80-K80</f>
        <v>1627.2399999999998</v>
      </c>
    </row>
    <row r="81" spans="1:13" s="2" customFormat="1" ht="38.25" x14ac:dyDescent="0.2">
      <c r="A81" s="24"/>
      <c r="B81" s="1"/>
      <c r="C81" s="79" t="str">
        <f>"Particulars ( 01-04-2021 to "&amp;TEXT(A5,"dd-mm-yyyy")&amp;" )"</f>
        <v>Particulars ( 01-04-2021 to 11-05-2023 )</v>
      </c>
      <c r="D81" s="80" t="s">
        <v>73</v>
      </c>
      <c r="E81" s="80" t="s">
        <v>74</v>
      </c>
      <c r="F81" s="81" t="s">
        <v>75</v>
      </c>
      <c r="G81" s="80" t="s">
        <v>76</v>
      </c>
      <c r="J81" s="118">
        <f>SUM(J78:J80)</f>
        <v>1554.12</v>
      </c>
      <c r="K81" s="118">
        <f>SUM(K78:K80)</f>
        <v>13629.1</v>
      </c>
      <c r="L81" s="118">
        <f>SUM(L78:L80)</f>
        <v>14890.619999999999</v>
      </c>
      <c r="M81" s="118">
        <f>SUM(M78:M80)</f>
        <v>2815.64</v>
      </c>
    </row>
    <row r="82" spans="1:13" s="2" customFormat="1" x14ac:dyDescent="0.2">
      <c r="A82" s="24"/>
      <c r="B82" s="1"/>
      <c r="C82" s="50" t="s">
        <v>444</v>
      </c>
      <c r="D82" s="55">
        <f>+L78+L79+J79</f>
        <v>3873.9900000000002</v>
      </c>
      <c r="E82" s="55">
        <f>+K78+K79</f>
        <v>2685.59</v>
      </c>
      <c r="F82" s="55">
        <f>+D82-E82</f>
        <v>1188.4000000000001</v>
      </c>
      <c r="G82" s="55">
        <f>1500-F82</f>
        <v>311.59999999999991</v>
      </c>
      <c r="H82" s="2" t="s">
        <v>396</v>
      </c>
    </row>
    <row r="83" spans="1:13" s="2" customFormat="1" x14ac:dyDescent="0.2">
      <c r="A83" s="24"/>
      <c r="B83" s="1"/>
      <c r="C83" s="50" t="s">
        <v>71</v>
      </c>
      <c r="D83" s="55">
        <f>+J80+L80</f>
        <v>12570.75</v>
      </c>
      <c r="E83" s="55">
        <f>+K80</f>
        <v>10943.51</v>
      </c>
      <c r="F83" s="55">
        <f>+D83-E83</f>
        <v>1627.2399999999998</v>
      </c>
      <c r="G83" s="55">
        <f>1500+700-F83</f>
        <v>572.76000000000022</v>
      </c>
      <c r="H83" s="2" t="s">
        <v>396</v>
      </c>
    </row>
    <row r="84" spans="1:13" s="2" customFormat="1" x14ac:dyDescent="0.2">
      <c r="A84" s="24"/>
      <c r="B84" s="1"/>
      <c r="C84" s="14"/>
      <c r="D84" s="56"/>
      <c r="E84" s="13"/>
      <c r="G84" s="1"/>
    </row>
    <row r="85" spans="1:13" s="2" customFormat="1" x14ac:dyDescent="0.2">
      <c r="A85" s="215" t="s">
        <v>80</v>
      </c>
      <c r="B85" s="216"/>
      <c r="C85" s="216"/>
      <c r="D85" s="217"/>
      <c r="E85" s="69"/>
      <c r="F85" s="70"/>
      <c r="G85" s="1"/>
      <c r="H85" s="53"/>
    </row>
    <row r="86" spans="1:13" s="2" customFormat="1" x14ac:dyDescent="0.2">
      <c r="A86" s="71" t="s">
        <v>81</v>
      </c>
      <c r="B86" s="71"/>
      <c r="C86" s="72" t="s">
        <v>82</v>
      </c>
      <c r="D86" s="73" t="s">
        <v>83</v>
      </c>
      <c r="E86" s="69"/>
      <c r="F86" s="70"/>
      <c r="H86" s="53"/>
    </row>
    <row r="87" spans="1:13" s="2" customFormat="1" x14ac:dyDescent="0.2">
      <c r="A87" s="87">
        <v>45050</v>
      </c>
      <c r="B87" s="120" t="s">
        <v>6</v>
      </c>
      <c r="C87" s="75" t="s">
        <v>282</v>
      </c>
      <c r="D87" s="88">
        <v>1562637</v>
      </c>
      <c r="G87" s="1"/>
      <c r="L87" s="1"/>
      <c r="M87" s="1"/>
    </row>
    <row r="88" spans="1:13" s="2" customFormat="1" x14ac:dyDescent="0.2">
      <c r="A88" s="87">
        <v>45050</v>
      </c>
      <c r="B88" s="120" t="s">
        <v>6</v>
      </c>
      <c r="C88" s="75" t="s">
        <v>86</v>
      </c>
      <c r="D88" s="88">
        <v>2499321</v>
      </c>
      <c r="G88" s="1"/>
      <c r="L88" s="1"/>
      <c r="M88" s="1"/>
    </row>
    <row r="89" spans="1:13" s="2" customFormat="1" x14ac:dyDescent="0.2">
      <c r="A89" s="87">
        <v>45050</v>
      </c>
      <c r="B89" s="120" t="s">
        <v>6</v>
      </c>
      <c r="C89" s="75" t="s">
        <v>86</v>
      </c>
      <c r="D89" s="88">
        <v>6876102</v>
      </c>
      <c r="G89" s="1"/>
      <c r="L89" s="1"/>
      <c r="M89" s="1"/>
    </row>
    <row r="90" spans="1:13" s="2" customFormat="1" x14ac:dyDescent="0.2">
      <c r="A90" s="87">
        <v>45052</v>
      </c>
      <c r="B90" s="120" t="s">
        <v>6</v>
      </c>
      <c r="C90" s="75" t="s">
        <v>270</v>
      </c>
      <c r="D90" s="88">
        <v>1124141</v>
      </c>
      <c r="G90" s="1"/>
      <c r="L90" s="1"/>
      <c r="M90" s="1"/>
    </row>
    <row r="91" spans="1:13" s="2" customFormat="1" x14ac:dyDescent="0.2">
      <c r="A91" s="87">
        <v>45054</v>
      </c>
      <c r="B91" s="120" t="s">
        <v>6</v>
      </c>
      <c r="C91" s="75" t="s">
        <v>271</v>
      </c>
      <c r="D91" s="88">
        <v>476726</v>
      </c>
      <c r="G91" s="1"/>
      <c r="L91" s="1"/>
      <c r="M91" s="1"/>
    </row>
    <row r="92" spans="1:13" s="2" customFormat="1" x14ac:dyDescent="0.2">
      <c r="A92" s="87">
        <v>45054</v>
      </c>
      <c r="B92" s="120" t="s">
        <v>6</v>
      </c>
      <c r="C92" s="75" t="s">
        <v>271</v>
      </c>
      <c r="D92" s="88">
        <v>926688</v>
      </c>
      <c r="G92" s="1"/>
      <c r="L92" s="1"/>
      <c r="M92" s="1"/>
    </row>
    <row r="93" spans="1:13" s="2" customFormat="1" x14ac:dyDescent="0.2">
      <c r="A93" s="87">
        <v>45054</v>
      </c>
      <c r="B93" s="120" t="s">
        <v>6</v>
      </c>
      <c r="C93" s="75" t="s">
        <v>606</v>
      </c>
      <c r="D93" s="88">
        <v>1844917</v>
      </c>
      <c r="G93" s="1"/>
      <c r="L93" s="1"/>
      <c r="M93" s="1"/>
    </row>
    <row r="94" spans="1:13" s="2" customFormat="1" x14ac:dyDescent="0.2">
      <c r="A94" s="87">
        <v>45054</v>
      </c>
      <c r="B94" s="120" t="s">
        <v>6</v>
      </c>
      <c r="C94" s="75" t="s">
        <v>606</v>
      </c>
      <c r="D94" s="88">
        <v>1844917</v>
      </c>
      <c r="G94" s="1"/>
      <c r="L94" s="1"/>
      <c r="M94" s="1"/>
    </row>
    <row r="95" spans="1:13" s="2" customFormat="1" x14ac:dyDescent="0.2">
      <c r="A95" s="87">
        <v>45054</v>
      </c>
      <c r="B95" s="120" t="s">
        <v>6</v>
      </c>
      <c r="C95" s="75" t="s">
        <v>271</v>
      </c>
      <c r="D95" s="88">
        <v>1640794</v>
      </c>
      <c r="G95" s="1"/>
      <c r="L95" s="1"/>
      <c r="M95" s="1"/>
    </row>
    <row r="96" spans="1:13" s="2" customFormat="1" x14ac:dyDescent="0.2">
      <c r="A96" s="87">
        <v>45055</v>
      </c>
      <c r="B96" s="120" t="s">
        <v>6</v>
      </c>
      <c r="C96" s="75" t="s">
        <v>84</v>
      </c>
      <c r="D96" s="88">
        <v>2000000</v>
      </c>
      <c r="G96" s="1"/>
      <c r="L96" s="1"/>
      <c r="M96" s="1"/>
    </row>
    <row r="97" spans="1:13" s="2" customFormat="1" x14ac:dyDescent="0.2">
      <c r="A97" s="87">
        <v>45055</v>
      </c>
      <c r="B97" s="120" t="s">
        <v>6</v>
      </c>
      <c r="C97" s="75" t="s">
        <v>87</v>
      </c>
      <c r="D97" s="88">
        <v>2540563</v>
      </c>
      <c r="G97" s="1"/>
      <c r="L97" s="1"/>
      <c r="M97" s="1"/>
    </row>
    <row r="98" spans="1:13" s="2" customFormat="1" x14ac:dyDescent="0.2">
      <c r="A98" s="87">
        <v>45055</v>
      </c>
      <c r="B98" s="120" t="s">
        <v>6</v>
      </c>
      <c r="C98" s="75" t="s">
        <v>767</v>
      </c>
      <c r="D98" s="88">
        <v>950137</v>
      </c>
      <c r="G98" s="1"/>
      <c r="L98" s="1"/>
      <c r="M98" s="1"/>
    </row>
    <row r="99" spans="1:13" s="2" customFormat="1" x14ac:dyDescent="0.2">
      <c r="A99" s="87">
        <v>45056</v>
      </c>
      <c r="B99" s="120" t="s">
        <v>6</v>
      </c>
      <c r="C99" s="75" t="s">
        <v>271</v>
      </c>
      <c r="D99" s="88">
        <v>242417</v>
      </c>
      <c r="G99" s="1"/>
      <c r="L99" s="1"/>
      <c r="M99" s="1"/>
    </row>
    <row r="100" spans="1:13" s="2" customFormat="1" x14ac:dyDescent="0.2">
      <c r="A100" s="87">
        <v>45056</v>
      </c>
      <c r="B100" s="120" t="s">
        <v>6</v>
      </c>
      <c r="C100" s="75" t="s">
        <v>271</v>
      </c>
      <c r="D100" s="88">
        <v>674909</v>
      </c>
      <c r="G100" s="1"/>
      <c r="L100" s="1"/>
      <c r="M100" s="1"/>
    </row>
    <row r="101" spans="1:13" s="2" customFormat="1" x14ac:dyDescent="0.2">
      <c r="A101" s="87">
        <v>45056</v>
      </c>
      <c r="B101" s="120" t="s">
        <v>6</v>
      </c>
      <c r="C101" s="75" t="s">
        <v>271</v>
      </c>
      <c r="D101" s="88">
        <v>969371</v>
      </c>
      <c r="G101" s="1"/>
      <c r="L101" s="1"/>
      <c r="M101" s="1"/>
    </row>
    <row r="102" spans="1:13" s="2" customFormat="1" x14ac:dyDescent="0.2">
      <c r="A102" s="87"/>
      <c r="B102" s="74"/>
      <c r="C102" s="75"/>
      <c r="D102" s="51">
        <f>SUM(D87:D101)</f>
        <v>26173640</v>
      </c>
      <c r="F102" s="2" t="s">
        <v>396</v>
      </c>
      <c r="G102" s="1"/>
      <c r="I102" s="1"/>
      <c r="J102" s="1"/>
      <c r="K102" s="1"/>
      <c r="L102" s="1"/>
      <c r="M102" s="1"/>
    </row>
    <row r="103" spans="1:13" s="2" customFormat="1" x14ac:dyDescent="0.2">
      <c r="A103" s="24"/>
      <c r="B103" s="1"/>
      <c r="C103" s="14"/>
      <c r="D103" s="56"/>
      <c r="E103" s="13"/>
      <c r="G103" s="1"/>
    </row>
    <row r="104" spans="1:13" s="2" customFormat="1" x14ac:dyDescent="0.2">
      <c r="A104" s="24"/>
      <c r="B104" s="1"/>
      <c r="C104" s="218" t="s">
        <v>77</v>
      </c>
      <c r="D104" s="219"/>
      <c r="E104" s="219"/>
      <c r="F104" s="220"/>
      <c r="G104" s="54"/>
      <c r="I104" s="1"/>
      <c r="J104" s="1"/>
      <c r="K104" s="1"/>
      <c r="L104" s="1"/>
      <c r="M104" s="1"/>
    </row>
    <row r="105" spans="1:13" s="2" customFormat="1" x14ac:dyDescent="0.2">
      <c r="A105" s="24"/>
      <c r="B105" s="1"/>
      <c r="C105" s="50"/>
      <c r="D105" s="57" t="s">
        <v>78</v>
      </c>
      <c r="E105" s="58" t="s">
        <v>79</v>
      </c>
      <c r="F105" s="57" t="s">
        <v>72</v>
      </c>
      <c r="G105" s="54"/>
      <c r="I105" s="1"/>
      <c r="J105" s="1"/>
      <c r="K105" s="1"/>
      <c r="L105" s="1"/>
      <c r="M105" s="1"/>
    </row>
    <row r="106" spans="1:13" s="2" customFormat="1" x14ac:dyDescent="0.2">
      <c r="A106" s="24"/>
      <c r="B106" s="1"/>
      <c r="C106" s="59" t="str">
        <f>"01-05-2023 to "&amp;TEXT(A5-2,"dd-mm-yyyy")</f>
        <v>01-05-2023 to 09-05-2023</v>
      </c>
      <c r="D106" s="60">
        <v>1024.71</v>
      </c>
      <c r="E106" s="60">
        <v>111.05</v>
      </c>
      <c r="F106" s="61">
        <f>SUM(D106:E106)</f>
        <v>1135.76</v>
      </c>
      <c r="G106" s="54"/>
      <c r="I106" s="1"/>
      <c r="J106" s="1"/>
      <c r="K106" s="1"/>
      <c r="L106" s="1"/>
      <c r="M106" s="1"/>
    </row>
    <row r="107" spans="1:13" s="2" customFormat="1" x14ac:dyDescent="0.2">
      <c r="A107" s="24"/>
      <c r="B107" s="1"/>
      <c r="C107" s="62" t="str">
        <f>TEXT(A5-1,"dd-mm-yyyy")</f>
        <v>10-05-2023</v>
      </c>
      <c r="D107" s="60">
        <v>183.9</v>
      </c>
      <c r="E107" s="60">
        <v>10.029999999999999</v>
      </c>
      <c r="F107" s="61">
        <f>SUM(D107:E107)</f>
        <v>193.93</v>
      </c>
      <c r="G107" s="54"/>
      <c r="I107" s="1"/>
      <c r="J107" s="1"/>
      <c r="K107" s="1"/>
      <c r="L107" s="1"/>
      <c r="M107" s="1"/>
    </row>
    <row r="108" spans="1:13" ht="13.5" thickBot="1" x14ac:dyDescent="0.25">
      <c r="C108" s="63" t="str">
        <f>"01-05-2023 to "&amp;TEXT(A5-1,"dd-mm-yyyy")</f>
        <v>01-05-2023 to 10-05-2023</v>
      </c>
      <c r="D108" s="64">
        <f>SUM(D106:D107)</f>
        <v>1208.6100000000001</v>
      </c>
      <c r="E108" s="64">
        <f>SUM(E106:E107)</f>
        <v>121.08</v>
      </c>
      <c r="F108" s="64">
        <f>SUM(F106:F107)</f>
        <v>1329.69</v>
      </c>
      <c r="G108" s="54"/>
      <c r="H108" s="2" t="s">
        <v>396</v>
      </c>
    </row>
    <row r="109" spans="1:13" s="2" customFormat="1" ht="13.5" thickTop="1" x14ac:dyDescent="0.2">
      <c r="A109" s="24"/>
      <c r="B109" s="1"/>
      <c r="C109" s="62"/>
      <c r="D109" s="65"/>
      <c r="E109" s="66"/>
      <c r="F109" s="67"/>
      <c r="G109" s="54"/>
      <c r="H109" s="53"/>
    </row>
    <row r="110" spans="1:13" x14ac:dyDescent="0.2">
      <c r="C110" s="62" t="str">
        <f>"01-04-2023 to " &amp;C107</f>
        <v>01-04-2023 to 10-05-2023</v>
      </c>
      <c r="D110" s="68">
        <f>+D108+4343.67</f>
        <v>5552.2800000000007</v>
      </c>
      <c r="E110" s="68">
        <f>+E108+536.17</f>
        <v>657.25</v>
      </c>
      <c r="F110" s="68">
        <f>+F108+4879.84</f>
        <v>6209.5300000000007</v>
      </c>
      <c r="G110" s="54"/>
      <c r="H110" s="53" t="s">
        <v>396</v>
      </c>
    </row>
    <row r="111" spans="1:13" x14ac:dyDescent="0.2">
      <c r="C111" s="52"/>
      <c r="D111" s="85"/>
      <c r="E111" s="53"/>
      <c r="F111" s="53"/>
      <c r="G111" s="54"/>
      <c r="H111" s="53" t="s">
        <v>396</v>
      </c>
      <c r="J111" s="42"/>
    </row>
    <row r="112" spans="1:13" x14ac:dyDescent="0.2">
      <c r="C112" s="52"/>
      <c r="D112" s="85"/>
      <c r="E112" s="53"/>
      <c r="F112" s="53"/>
      <c r="G112" s="54"/>
      <c r="H112" s="53"/>
      <c r="I112" s="101"/>
    </row>
    <row r="113" spans="3:8" x14ac:dyDescent="0.2">
      <c r="C113" s="52"/>
      <c r="D113" s="85"/>
      <c r="E113" s="53"/>
      <c r="F113" s="53"/>
      <c r="G113" s="54"/>
      <c r="H113" s="53"/>
    </row>
    <row r="114" spans="3:8" x14ac:dyDescent="0.2">
      <c r="C114" s="52"/>
      <c r="D114" s="85"/>
      <c r="E114" s="53"/>
      <c r="F114" s="53"/>
      <c r="G114" s="54"/>
      <c r="H114" s="53"/>
    </row>
    <row r="115" spans="3:8" x14ac:dyDescent="0.2">
      <c r="H115" s="53"/>
    </row>
  </sheetData>
  <mergeCells count="5">
    <mergeCell ref="A1:G1"/>
    <mergeCell ref="A3:F3"/>
    <mergeCell ref="A9:F9"/>
    <mergeCell ref="A85:D85"/>
    <mergeCell ref="C104:F104"/>
  </mergeCells>
  <conditionalFormatting sqref="G82:G83">
    <cfRule type="cellIs" dxfId="588" priority="2" operator="lessThan">
      <formula>0</formula>
    </cfRule>
  </conditionalFormatting>
  <conditionalFormatting sqref="C11">
    <cfRule type="duplicateValues" dxfId="587" priority="3"/>
  </conditionalFormatting>
  <conditionalFormatting sqref="C12:C26 C28:C62">
    <cfRule type="duplicateValues" dxfId="586" priority="472"/>
  </conditionalFormatting>
  <conditionalFormatting sqref="C27">
    <cfRule type="duplicateValues" dxfId="585" priority="1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323">
    <pageSetUpPr fitToPage="1"/>
  </sheetPr>
  <dimension ref="A1:N109"/>
  <sheetViews>
    <sheetView topLeftCell="A26" zoomScaleNormal="100" workbookViewId="0">
      <selection activeCell="C46" sqref="C46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47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959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2.75" customHeight="1" x14ac:dyDescent="0.4">
      <c r="A5" s="89">
        <v>45058</v>
      </c>
      <c r="B5" s="9" t="s">
        <v>6</v>
      </c>
      <c r="C5" s="10" t="s">
        <v>7</v>
      </c>
      <c r="D5" s="11"/>
      <c r="E5" s="12">
        <v>2236474.7000000002</v>
      </c>
      <c r="F5" s="12"/>
      <c r="G5" s="1"/>
      <c r="H5" s="112"/>
      <c r="I5" s="112"/>
    </row>
    <row r="6" spans="1:10" s="2" customFormat="1" ht="12.75" customHeight="1" x14ac:dyDescent="0.4">
      <c r="A6" s="89">
        <v>45058</v>
      </c>
      <c r="B6" s="9" t="s">
        <v>11</v>
      </c>
      <c r="C6" s="10" t="s">
        <v>134</v>
      </c>
      <c r="D6" s="117" t="s">
        <v>29</v>
      </c>
      <c r="E6" s="12"/>
      <c r="F6" s="12">
        <v>2000000</v>
      </c>
      <c r="G6" s="1"/>
      <c r="H6" s="112"/>
      <c r="I6" s="112"/>
    </row>
    <row r="7" spans="1:10" s="2" customFormat="1" ht="12.75" customHeight="1" x14ac:dyDescent="0.4">
      <c r="D7" s="15" t="s">
        <v>8</v>
      </c>
      <c r="E7" s="16">
        <f>SUM(E5:E5)</f>
        <v>2236474.7000000002</v>
      </c>
      <c r="F7" s="16">
        <f>SUM(F5:F6)</f>
        <v>2000000</v>
      </c>
      <c r="G7" s="1"/>
      <c r="H7" s="112"/>
      <c r="I7" s="112"/>
    </row>
    <row r="8" spans="1:10" s="2" customFormat="1" ht="12.75" customHeight="1" x14ac:dyDescent="0.4">
      <c r="A8" s="17"/>
      <c r="B8" s="18"/>
      <c r="C8" s="19" t="s">
        <v>9</v>
      </c>
      <c r="D8" s="20"/>
      <c r="E8" s="21">
        <f>E7-F7</f>
        <v>236474.70000000019</v>
      </c>
      <c r="F8" s="22"/>
      <c r="G8" s="23"/>
      <c r="H8" s="112"/>
      <c r="I8" s="112"/>
      <c r="J8" s="13"/>
    </row>
    <row r="9" spans="1:10" s="2" customFormat="1" ht="12.75" customHeight="1" x14ac:dyDescent="0.4">
      <c r="A9" s="24"/>
      <c r="B9" s="1"/>
      <c r="C9" s="14"/>
      <c r="D9" s="25"/>
      <c r="G9" s="23"/>
      <c r="H9" s="112"/>
      <c r="I9" s="112"/>
      <c r="J9" s="13"/>
    </row>
    <row r="10" spans="1:10" s="2" customFormat="1" ht="21.75" customHeight="1" x14ac:dyDescent="0.4">
      <c r="A10" s="214" t="s">
        <v>10</v>
      </c>
      <c r="B10" s="214"/>
      <c r="C10" s="214"/>
      <c r="D10" s="214"/>
      <c r="E10" s="214"/>
      <c r="F10" s="214"/>
      <c r="G10" s="13"/>
      <c r="H10" s="112"/>
      <c r="I10" s="112"/>
      <c r="J10" s="13"/>
    </row>
    <row r="11" spans="1:10" s="2" customFormat="1" ht="12.75" customHeight="1" x14ac:dyDescent="0.4">
      <c r="A11" s="26" t="s">
        <v>1</v>
      </c>
      <c r="B11" s="27" t="s">
        <v>2</v>
      </c>
      <c r="C11" s="5"/>
      <c r="D11" s="6" t="s">
        <v>3</v>
      </c>
      <c r="E11" s="7" t="s">
        <v>4</v>
      </c>
      <c r="F11" s="7" t="s">
        <v>5</v>
      </c>
      <c r="G11" s="23"/>
      <c r="H11" s="112"/>
      <c r="I11" s="112"/>
      <c r="J11" s="13"/>
    </row>
    <row r="12" spans="1:10" s="2" customFormat="1" ht="12.75" customHeight="1" x14ac:dyDescent="0.2">
      <c r="A12" s="89">
        <v>45058</v>
      </c>
      <c r="B12" s="91" t="s">
        <v>11</v>
      </c>
      <c r="C12" s="29" t="s">
        <v>7</v>
      </c>
      <c r="D12" s="25"/>
      <c r="E12" s="31"/>
      <c r="F12" s="2">
        <v>331957576.63</v>
      </c>
      <c r="G12" s="30"/>
      <c r="I12" s="13"/>
      <c r="J12" s="13"/>
    </row>
    <row r="13" spans="1:10" s="2" customFormat="1" ht="12.75" customHeight="1" x14ac:dyDescent="0.2">
      <c r="A13" s="89">
        <v>45058</v>
      </c>
      <c r="B13" s="91" t="s">
        <v>6</v>
      </c>
      <c r="C13" s="76" t="s">
        <v>761</v>
      </c>
      <c r="D13" s="116" t="s">
        <v>13</v>
      </c>
      <c r="E13" s="31">
        <v>590</v>
      </c>
      <c r="G13" s="30"/>
      <c r="I13" s="13"/>
      <c r="J13" s="13"/>
    </row>
    <row r="14" spans="1:10" s="2" customFormat="1" ht="12.75" customHeight="1" x14ac:dyDescent="0.2">
      <c r="A14" s="89">
        <v>45058</v>
      </c>
      <c r="B14" s="91" t="s">
        <v>6</v>
      </c>
      <c r="C14" s="76" t="s">
        <v>15</v>
      </c>
      <c r="D14" s="116" t="s">
        <v>13</v>
      </c>
      <c r="E14" s="31">
        <v>7752.3099999999995</v>
      </c>
      <c r="G14" s="30"/>
      <c r="I14" s="13"/>
      <c r="J14" s="13"/>
    </row>
    <row r="15" spans="1:10" s="2" customFormat="1" ht="12.75" customHeight="1" x14ac:dyDescent="0.2">
      <c r="A15" s="89">
        <v>45058</v>
      </c>
      <c r="B15" s="91" t="s">
        <v>6</v>
      </c>
      <c r="C15" s="76" t="s">
        <v>19</v>
      </c>
      <c r="D15" s="116" t="s">
        <v>13</v>
      </c>
      <c r="E15" s="31">
        <v>169770</v>
      </c>
      <c r="G15" s="30"/>
      <c r="I15" s="13"/>
      <c r="J15" s="13"/>
    </row>
    <row r="16" spans="1:10" s="2" customFormat="1" ht="12.75" customHeight="1" x14ac:dyDescent="0.2">
      <c r="A16" s="89">
        <v>45058</v>
      </c>
      <c r="B16" s="91" t="s">
        <v>6</v>
      </c>
      <c r="C16" s="76" t="s">
        <v>105</v>
      </c>
      <c r="D16" s="116" t="s">
        <v>13</v>
      </c>
      <c r="E16" s="31">
        <v>2151637</v>
      </c>
      <c r="G16" s="30"/>
      <c r="I16" s="13"/>
      <c r="J16" s="13"/>
    </row>
    <row r="17" spans="1:10" s="2" customFormat="1" ht="12.75" customHeight="1" x14ac:dyDescent="0.2">
      <c r="A17" s="89">
        <v>45058</v>
      </c>
      <c r="B17" s="91" t="s">
        <v>6</v>
      </c>
      <c r="C17" s="76" t="s">
        <v>859</v>
      </c>
      <c r="D17" s="116" t="s">
        <v>13</v>
      </c>
      <c r="E17" s="31">
        <v>75000</v>
      </c>
      <c r="G17" s="30"/>
      <c r="I17" s="13"/>
      <c r="J17" s="13"/>
    </row>
    <row r="18" spans="1:10" s="2" customFormat="1" ht="12.75" customHeight="1" x14ac:dyDescent="0.2">
      <c r="A18" s="89">
        <v>45058</v>
      </c>
      <c r="B18" s="91" t="s">
        <v>6</v>
      </c>
      <c r="C18" s="76" t="s">
        <v>960</v>
      </c>
      <c r="D18" s="116" t="s">
        <v>13</v>
      </c>
      <c r="E18" s="31">
        <v>29316181</v>
      </c>
      <c r="G18" s="30"/>
      <c r="I18" s="13"/>
      <c r="J18" s="13"/>
    </row>
    <row r="19" spans="1:10" s="2" customFormat="1" ht="12.75" customHeight="1" x14ac:dyDescent="0.2">
      <c r="A19" s="89">
        <v>45058</v>
      </c>
      <c r="B19" s="91" t="s">
        <v>6</v>
      </c>
      <c r="C19" s="76" t="s">
        <v>915</v>
      </c>
      <c r="D19" s="116" t="s">
        <v>13</v>
      </c>
      <c r="E19" s="31">
        <v>92598</v>
      </c>
      <c r="G19" s="30"/>
      <c r="I19" s="13"/>
      <c r="J19" s="13"/>
    </row>
    <row r="20" spans="1:10" s="2" customFormat="1" ht="12.75" customHeight="1" x14ac:dyDescent="0.2">
      <c r="A20" s="89">
        <v>45058</v>
      </c>
      <c r="B20" s="91" t="s">
        <v>6</v>
      </c>
      <c r="C20" s="76" t="s">
        <v>244</v>
      </c>
      <c r="D20" s="116" t="s">
        <v>13</v>
      </c>
      <c r="E20" s="31">
        <v>149556</v>
      </c>
      <c r="G20" s="30"/>
      <c r="I20" s="13"/>
      <c r="J20" s="13"/>
    </row>
    <row r="21" spans="1:10" s="2" customFormat="1" ht="12.75" customHeight="1" x14ac:dyDescent="0.2">
      <c r="A21" s="89">
        <v>45058</v>
      </c>
      <c r="B21" s="91" t="s">
        <v>6</v>
      </c>
      <c r="C21" s="76" t="s">
        <v>143</v>
      </c>
      <c r="D21" s="116" t="s">
        <v>13</v>
      </c>
      <c r="E21" s="31">
        <v>1350579</v>
      </c>
      <c r="G21" s="30"/>
      <c r="I21" s="13"/>
      <c r="J21" s="13"/>
    </row>
    <row r="22" spans="1:10" s="2" customFormat="1" ht="12.75" customHeight="1" x14ac:dyDescent="0.2">
      <c r="A22" s="89">
        <v>45058</v>
      </c>
      <c r="B22" s="91" t="s">
        <v>6</v>
      </c>
      <c r="C22" s="76" t="s">
        <v>144</v>
      </c>
      <c r="D22" s="116" t="s">
        <v>13</v>
      </c>
      <c r="E22" s="31">
        <v>773496</v>
      </c>
      <c r="G22" s="30"/>
      <c r="I22" s="13"/>
      <c r="J22" s="13"/>
    </row>
    <row r="23" spans="1:10" s="2" customFormat="1" ht="12.75" customHeight="1" x14ac:dyDescent="0.2">
      <c r="A23" s="89">
        <v>45058</v>
      </c>
      <c r="B23" s="91" t="s">
        <v>6</v>
      </c>
      <c r="C23" s="76" t="s">
        <v>963</v>
      </c>
      <c r="D23" s="116" t="s">
        <v>13</v>
      </c>
      <c r="E23" s="31">
        <v>1065709</v>
      </c>
      <c r="G23" s="30"/>
      <c r="I23" s="13"/>
      <c r="J23" s="13"/>
    </row>
    <row r="24" spans="1:10" s="2" customFormat="1" ht="12.75" customHeight="1" x14ac:dyDescent="0.2">
      <c r="A24" s="89">
        <v>45058</v>
      </c>
      <c r="B24" s="91" t="s">
        <v>6</v>
      </c>
      <c r="C24" s="76" t="s">
        <v>141</v>
      </c>
      <c r="D24" s="116" t="s">
        <v>13</v>
      </c>
      <c r="E24" s="31">
        <v>468561</v>
      </c>
      <c r="G24" s="30"/>
      <c r="I24" s="13"/>
      <c r="J24" s="13"/>
    </row>
    <row r="25" spans="1:10" s="2" customFormat="1" ht="12.75" customHeight="1" x14ac:dyDescent="0.2">
      <c r="A25" s="89">
        <v>45058</v>
      </c>
      <c r="B25" s="91" t="s">
        <v>6</v>
      </c>
      <c r="C25" s="76" t="s">
        <v>375</v>
      </c>
      <c r="D25" s="116" t="s">
        <v>13</v>
      </c>
      <c r="E25" s="31">
        <v>4673</v>
      </c>
      <c r="G25" s="30"/>
      <c r="I25" s="13"/>
      <c r="J25" s="13"/>
    </row>
    <row r="26" spans="1:10" s="2" customFormat="1" ht="12.75" customHeight="1" x14ac:dyDescent="0.2">
      <c r="A26" s="89">
        <v>45058</v>
      </c>
      <c r="B26" s="91" t="s">
        <v>6</v>
      </c>
      <c r="C26" s="76" t="s">
        <v>389</v>
      </c>
      <c r="D26" s="116" t="s">
        <v>13</v>
      </c>
      <c r="E26" s="31">
        <v>408906.28</v>
      </c>
      <c r="G26" s="30"/>
      <c r="I26" s="13"/>
      <c r="J26" s="13"/>
    </row>
    <row r="27" spans="1:10" s="2" customFormat="1" ht="12.75" customHeight="1" x14ac:dyDescent="0.2">
      <c r="A27" s="89">
        <v>45058</v>
      </c>
      <c r="B27" s="91" t="s">
        <v>6</v>
      </c>
      <c r="C27" s="76" t="s">
        <v>318</v>
      </c>
      <c r="D27" s="116" t="s">
        <v>13</v>
      </c>
      <c r="E27" s="31">
        <v>1000000</v>
      </c>
      <c r="G27" s="30"/>
      <c r="I27" s="13"/>
      <c r="J27" s="13"/>
    </row>
    <row r="28" spans="1:10" s="2" customFormat="1" ht="12.75" customHeight="1" x14ac:dyDescent="0.2">
      <c r="A28" s="89">
        <v>45058</v>
      </c>
      <c r="B28" s="91" t="s">
        <v>6</v>
      </c>
      <c r="C28" s="76" t="s">
        <v>636</v>
      </c>
      <c r="D28" s="116" t="s">
        <v>13</v>
      </c>
      <c r="E28" s="2">
        <v>104174.88</v>
      </c>
      <c r="G28" s="30"/>
      <c r="I28" s="13"/>
      <c r="J28" s="13"/>
    </row>
    <row r="29" spans="1:10" s="2" customFormat="1" ht="12.75" customHeight="1" x14ac:dyDescent="0.2">
      <c r="A29" s="89">
        <v>45058</v>
      </c>
      <c r="B29" s="91" t="s">
        <v>6</v>
      </c>
      <c r="C29" s="76" t="s">
        <v>618</v>
      </c>
      <c r="D29" s="116" t="s">
        <v>13</v>
      </c>
      <c r="E29" s="31">
        <v>972079.35</v>
      </c>
      <c r="G29" s="30"/>
      <c r="I29" s="13"/>
      <c r="J29" s="13"/>
    </row>
    <row r="30" spans="1:10" s="2" customFormat="1" ht="12.75" customHeight="1" x14ac:dyDescent="0.2">
      <c r="A30" s="89">
        <v>45058</v>
      </c>
      <c r="B30" s="91" t="s">
        <v>6</v>
      </c>
      <c r="C30" s="76" t="s">
        <v>445</v>
      </c>
      <c r="D30" s="116" t="s">
        <v>13</v>
      </c>
      <c r="E30" s="31">
        <v>735</v>
      </c>
      <c r="G30" s="30"/>
      <c r="I30" s="13"/>
      <c r="J30" s="13"/>
    </row>
    <row r="31" spans="1:10" s="2" customFormat="1" ht="12.75" customHeight="1" x14ac:dyDescent="0.2">
      <c r="A31" s="89">
        <v>45058</v>
      </c>
      <c r="B31" s="91" t="s">
        <v>6</v>
      </c>
      <c r="C31" s="76" t="s">
        <v>27</v>
      </c>
      <c r="D31" s="116" t="s">
        <v>13</v>
      </c>
      <c r="E31" s="31">
        <v>158991.63</v>
      </c>
      <c r="G31" s="30"/>
      <c r="I31" s="13"/>
      <c r="J31" s="13"/>
    </row>
    <row r="32" spans="1:10" s="2" customFormat="1" ht="12.75" customHeight="1" x14ac:dyDescent="0.2">
      <c r="A32" s="89">
        <v>45058</v>
      </c>
      <c r="B32" s="91" t="s">
        <v>6</v>
      </c>
      <c r="C32" s="76" t="s">
        <v>964</v>
      </c>
      <c r="D32" s="116" t="s">
        <v>13</v>
      </c>
      <c r="E32" s="31">
        <v>20738</v>
      </c>
      <c r="G32" s="30"/>
      <c r="I32" s="13"/>
      <c r="J32" s="13"/>
    </row>
    <row r="33" spans="1:10" s="2" customFormat="1" ht="12.75" customHeight="1" x14ac:dyDescent="0.2">
      <c r="A33" s="89">
        <v>45058</v>
      </c>
      <c r="B33" s="91" t="s">
        <v>6</v>
      </c>
      <c r="C33" s="76" t="s">
        <v>351</v>
      </c>
      <c r="D33" s="116" t="s">
        <v>13</v>
      </c>
      <c r="E33" s="31">
        <v>1017352</v>
      </c>
      <c r="G33" s="30"/>
      <c r="I33" s="13"/>
      <c r="J33" s="13"/>
    </row>
    <row r="34" spans="1:10" s="2" customFormat="1" ht="12.75" customHeight="1" x14ac:dyDescent="0.2">
      <c r="A34" s="89">
        <v>45058</v>
      </c>
      <c r="B34" s="91" t="s">
        <v>6</v>
      </c>
      <c r="C34" s="76" t="s">
        <v>157</v>
      </c>
      <c r="D34" s="116" t="s">
        <v>13</v>
      </c>
      <c r="E34" s="31">
        <v>388581</v>
      </c>
      <c r="G34" s="30"/>
      <c r="I34" s="13"/>
      <c r="J34" s="13"/>
    </row>
    <row r="35" spans="1:10" s="2" customFormat="1" ht="12.75" customHeight="1" x14ac:dyDescent="0.2">
      <c r="A35" s="89">
        <v>45058</v>
      </c>
      <c r="B35" s="91" t="s">
        <v>11</v>
      </c>
      <c r="C35" s="76" t="s">
        <v>533</v>
      </c>
      <c r="D35" s="116" t="s">
        <v>29</v>
      </c>
      <c r="E35" s="31"/>
      <c r="F35" s="2">
        <v>2667461</v>
      </c>
      <c r="G35" s="30"/>
      <c r="I35" s="13"/>
      <c r="J35" s="13"/>
    </row>
    <row r="36" spans="1:10" s="2" customFormat="1" ht="12.75" customHeight="1" x14ac:dyDescent="0.2">
      <c r="A36" s="89">
        <v>45058</v>
      </c>
      <c r="B36" s="91" t="s">
        <v>11</v>
      </c>
      <c r="C36" s="76" t="s">
        <v>64</v>
      </c>
      <c r="D36" s="116" t="s">
        <v>29</v>
      </c>
      <c r="E36" s="31"/>
      <c r="F36" s="2">
        <v>21164.57</v>
      </c>
      <c r="G36" s="30"/>
      <c r="I36" s="13"/>
      <c r="J36" s="13"/>
    </row>
    <row r="37" spans="1:10" s="2" customFormat="1" ht="12.75" customHeight="1" x14ac:dyDescent="0.2">
      <c r="A37" s="89">
        <v>45058</v>
      </c>
      <c r="B37" s="91" t="s">
        <v>11</v>
      </c>
      <c r="C37" s="76" t="s">
        <v>961</v>
      </c>
      <c r="D37" s="116" t="s">
        <v>29</v>
      </c>
      <c r="E37" s="31"/>
      <c r="F37" s="2">
        <v>24000</v>
      </c>
      <c r="G37" s="30"/>
      <c r="I37" s="13"/>
      <c r="J37" s="13"/>
    </row>
    <row r="38" spans="1:10" s="2" customFormat="1" ht="12.75" customHeight="1" x14ac:dyDescent="0.2">
      <c r="A38" s="89">
        <v>45058</v>
      </c>
      <c r="B38" s="91" t="s">
        <v>11</v>
      </c>
      <c r="C38" s="76" t="s">
        <v>962</v>
      </c>
      <c r="D38" s="116" t="s">
        <v>29</v>
      </c>
      <c r="E38" s="31"/>
      <c r="F38" s="2">
        <v>92775</v>
      </c>
      <c r="G38" s="30"/>
      <c r="I38" s="13"/>
      <c r="J38" s="13"/>
    </row>
    <row r="39" spans="1:10" s="2" customFormat="1" ht="12.75" customHeight="1" x14ac:dyDescent="0.2">
      <c r="A39" s="89">
        <v>45058</v>
      </c>
      <c r="B39" s="91" t="s">
        <v>11</v>
      </c>
      <c r="C39" s="76" t="s">
        <v>256</v>
      </c>
      <c r="D39" s="116" t="s">
        <v>29</v>
      </c>
      <c r="E39" s="31"/>
      <c r="F39" s="2">
        <v>366079</v>
      </c>
      <c r="G39" s="30"/>
      <c r="I39" s="13"/>
      <c r="J39" s="13"/>
    </row>
    <row r="40" spans="1:10" s="2" customFormat="1" ht="12.75" customHeight="1" x14ac:dyDescent="0.2">
      <c r="A40" s="89">
        <v>45058</v>
      </c>
      <c r="B40" s="91" t="s">
        <v>11</v>
      </c>
      <c r="C40" s="76" t="s">
        <v>460</v>
      </c>
      <c r="D40" s="116" t="s">
        <v>29</v>
      </c>
      <c r="E40" s="31"/>
      <c r="F40" s="2">
        <v>839117</v>
      </c>
      <c r="G40" s="30"/>
      <c r="I40" s="13"/>
      <c r="J40" s="13"/>
    </row>
    <row r="41" spans="1:10" s="2" customFormat="1" ht="12.75" customHeight="1" x14ac:dyDescent="0.2">
      <c r="A41" s="89">
        <v>45058</v>
      </c>
      <c r="B41" s="91" t="s">
        <v>11</v>
      </c>
      <c r="C41" s="76" t="s">
        <v>62</v>
      </c>
      <c r="D41" s="116" t="s">
        <v>29</v>
      </c>
      <c r="E41" s="31"/>
      <c r="F41" s="2">
        <v>55000</v>
      </c>
      <c r="G41" s="30"/>
      <c r="I41" s="13"/>
      <c r="J41" s="13"/>
    </row>
    <row r="42" spans="1:10" s="2" customFormat="1" ht="12.75" customHeight="1" x14ac:dyDescent="0.2">
      <c r="A42" s="89">
        <v>45058</v>
      </c>
      <c r="B42" s="91" t="s">
        <v>11</v>
      </c>
      <c r="C42" s="76" t="s">
        <v>34</v>
      </c>
      <c r="D42" s="116" t="s">
        <v>29</v>
      </c>
      <c r="E42" s="31"/>
      <c r="F42" s="2">
        <v>40000</v>
      </c>
      <c r="G42" s="30"/>
      <c r="I42" s="13"/>
      <c r="J42" s="13"/>
    </row>
    <row r="43" spans="1:10" s="2" customFormat="1" ht="12.75" customHeight="1" x14ac:dyDescent="0.2">
      <c r="A43" s="89">
        <v>45058</v>
      </c>
      <c r="B43" s="91" t="s">
        <v>11</v>
      </c>
      <c r="C43" s="76" t="s">
        <v>719</v>
      </c>
      <c r="D43" s="116" t="s">
        <v>29</v>
      </c>
      <c r="E43" s="31"/>
      <c r="F43" s="2">
        <v>423799</v>
      </c>
      <c r="G43" s="30"/>
      <c r="I43" s="13"/>
      <c r="J43" s="13"/>
    </row>
    <row r="44" spans="1:10" s="2" customFormat="1" ht="12.75" customHeight="1" x14ac:dyDescent="0.2">
      <c r="A44" s="89">
        <v>45058</v>
      </c>
      <c r="B44" s="91" t="s">
        <v>11</v>
      </c>
      <c r="C44" s="76" t="s">
        <v>561</v>
      </c>
      <c r="D44" s="116" t="s">
        <v>29</v>
      </c>
      <c r="E44" s="31"/>
      <c r="F44" s="2">
        <v>23576</v>
      </c>
      <c r="G44" s="30"/>
      <c r="I44" s="13"/>
      <c r="J44" s="13"/>
    </row>
    <row r="45" spans="1:10" s="2" customFormat="1" ht="12.75" customHeight="1" x14ac:dyDescent="0.2">
      <c r="A45" s="89">
        <v>45058</v>
      </c>
      <c r="B45" s="91" t="s">
        <v>11</v>
      </c>
      <c r="C45" s="76" t="s">
        <v>16</v>
      </c>
      <c r="D45" s="116" t="s">
        <v>29</v>
      </c>
      <c r="E45" s="31"/>
      <c r="F45" s="2">
        <v>55490</v>
      </c>
      <c r="G45" s="30"/>
      <c r="I45" s="13"/>
      <c r="J45" s="13"/>
    </row>
    <row r="46" spans="1:10" s="2" customFormat="1" ht="12.75" customHeight="1" x14ac:dyDescent="0.2">
      <c r="A46" s="89">
        <v>45058</v>
      </c>
      <c r="B46" s="91" t="s">
        <v>11</v>
      </c>
      <c r="C46" s="76" t="s">
        <v>330</v>
      </c>
      <c r="D46" s="116" t="s">
        <v>29</v>
      </c>
      <c r="E46" s="31"/>
      <c r="F46" s="2">
        <v>1000000</v>
      </c>
      <c r="G46" s="30"/>
      <c r="I46" s="13"/>
      <c r="J46" s="13"/>
    </row>
    <row r="47" spans="1:10" s="2" customFormat="1" ht="12.75" customHeight="1" x14ac:dyDescent="0.2">
      <c r="A47" s="89">
        <v>45058</v>
      </c>
      <c r="B47" s="91" t="s">
        <v>11</v>
      </c>
      <c r="C47" s="76" t="s">
        <v>923</v>
      </c>
      <c r="D47" s="116" t="s">
        <v>29</v>
      </c>
      <c r="E47" s="31"/>
      <c r="F47" s="2">
        <v>200000</v>
      </c>
      <c r="G47" s="30"/>
      <c r="I47" s="13"/>
      <c r="J47" s="13"/>
    </row>
    <row r="48" spans="1:10" s="2" customFormat="1" ht="12.75" customHeight="1" x14ac:dyDescent="0.2">
      <c r="A48" s="89">
        <v>45058</v>
      </c>
      <c r="B48" s="91" t="s">
        <v>11</v>
      </c>
      <c r="C48" s="76" t="s">
        <v>437</v>
      </c>
      <c r="D48" s="116" t="s">
        <v>29</v>
      </c>
      <c r="E48" s="31"/>
      <c r="F48" s="2">
        <v>56140</v>
      </c>
      <c r="G48" s="30"/>
      <c r="I48" s="13"/>
      <c r="J48" s="13"/>
    </row>
    <row r="49" spans="1:14" s="2" customFormat="1" ht="12.75" customHeight="1" x14ac:dyDescent="0.2">
      <c r="A49" s="89">
        <v>45058</v>
      </c>
      <c r="B49" s="91" t="s">
        <v>11</v>
      </c>
      <c r="C49" s="76" t="s">
        <v>626</v>
      </c>
      <c r="D49" s="116" t="s">
        <v>29</v>
      </c>
      <c r="E49" s="31"/>
      <c r="F49" s="2">
        <v>93219</v>
      </c>
      <c r="G49" s="30"/>
      <c r="I49" s="13"/>
      <c r="J49" s="13"/>
    </row>
    <row r="50" spans="1:14" s="2" customFormat="1" ht="12.75" customHeight="1" x14ac:dyDescent="0.2">
      <c r="A50" s="89">
        <v>45058</v>
      </c>
      <c r="B50" s="91" t="s">
        <v>11</v>
      </c>
      <c r="C50" s="76" t="s">
        <v>303</v>
      </c>
      <c r="D50" s="116" t="s">
        <v>29</v>
      </c>
      <c r="E50" s="31"/>
      <c r="F50" s="2">
        <v>1227</v>
      </c>
      <c r="G50" s="30"/>
      <c r="I50" s="13"/>
      <c r="J50" s="13"/>
    </row>
    <row r="51" spans="1:14" s="2" customFormat="1" ht="12.75" customHeight="1" x14ac:dyDescent="0.2">
      <c r="A51" s="89">
        <v>45058</v>
      </c>
      <c r="B51" s="91" t="s">
        <v>11</v>
      </c>
      <c r="C51" s="76" t="s">
        <v>603</v>
      </c>
      <c r="D51" s="116" t="s">
        <v>29</v>
      </c>
      <c r="E51" s="31"/>
      <c r="F51" s="2">
        <v>16893</v>
      </c>
      <c r="G51" s="30"/>
      <c r="I51" s="13"/>
      <c r="J51" s="13"/>
    </row>
    <row r="52" spans="1:14" s="2" customFormat="1" ht="12.75" customHeight="1" x14ac:dyDescent="0.2">
      <c r="A52" s="89">
        <v>45058</v>
      </c>
      <c r="B52" s="91" t="s">
        <v>11</v>
      </c>
      <c r="C52" s="76" t="s">
        <v>138</v>
      </c>
      <c r="D52" s="116" t="s">
        <v>29</v>
      </c>
      <c r="E52" s="31"/>
      <c r="F52" s="2">
        <v>1272200</v>
      </c>
      <c r="G52" s="30"/>
      <c r="I52" s="13"/>
      <c r="J52" s="13"/>
    </row>
    <row r="53" spans="1:14" s="2" customFormat="1" ht="12.75" customHeight="1" x14ac:dyDescent="0.2">
      <c r="A53" s="89">
        <v>45058</v>
      </c>
      <c r="B53" s="91" t="s">
        <v>11</v>
      </c>
      <c r="C53" s="76" t="s">
        <v>242</v>
      </c>
      <c r="D53" s="116" t="s">
        <v>29</v>
      </c>
      <c r="E53" s="31"/>
      <c r="F53" s="2">
        <v>250000</v>
      </c>
      <c r="G53" s="30"/>
      <c r="I53" s="13"/>
      <c r="J53" s="13"/>
    </row>
    <row r="54" spans="1:14" s="2" customFormat="1" ht="12.75" customHeight="1" x14ac:dyDescent="0.2">
      <c r="A54" s="89">
        <v>45058</v>
      </c>
      <c r="B54" s="91" t="s">
        <v>11</v>
      </c>
      <c r="C54" s="76" t="s">
        <v>57</v>
      </c>
      <c r="D54" s="116" t="s">
        <v>29</v>
      </c>
      <c r="E54" s="31"/>
      <c r="F54" s="2">
        <v>2000000</v>
      </c>
      <c r="G54" s="30"/>
      <c r="I54" s="13"/>
      <c r="J54" s="13"/>
      <c r="K54" s="99" t="s">
        <v>779</v>
      </c>
    </row>
    <row r="55" spans="1:14" s="2" customFormat="1" ht="12.75" customHeight="1" x14ac:dyDescent="0.25">
      <c r="A55" s="32"/>
      <c r="B55" s="33"/>
      <c r="C55" s="14"/>
      <c r="D55" s="34"/>
      <c r="E55" s="16">
        <f>SUM(E12:E54)</f>
        <v>39697660.45000001</v>
      </c>
      <c r="F55" s="16">
        <f>SUM(F12:F54)</f>
        <v>341455717.19999999</v>
      </c>
      <c r="G55" s="30"/>
      <c r="H55" s="1"/>
      <c r="I55" s="39">
        <v>302208107.75</v>
      </c>
      <c r="K55" s="92">
        <f>E56-I55</f>
        <v>-450051</v>
      </c>
      <c r="L55" s="41"/>
      <c r="M55" s="42">
        <f>K55+J55</f>
        <v>-450051</v>
      </c>
      <c r="N55" s="1"/>
    </row>
    <row r="56" spans="1:14" s="2" customFormat="1" x14ac:dyDescent="0.2">
      <c r="A56" s="36"/>
      <c r="B56" s="28" t="s">
        <v>11</v>
      </c>
      <c r="C56" s="19" t="s">
        <v>65</v>
      </c>
      <c r="D56" s="37"/>
      <c r="E56" s="38">
        <f>F55-E55</f>
        <v>301758056.75</v>
      </c>
      <c r="F56" s="22"/>
      <c r="G56" s="1"/>
      <c r="H56" s="1"/>
      <c r="J56" s="1"/>
      <c r="K56" s="1"/>
      <c r="L56" s="1"/>
      <c r="M56" s="1"/>
      <c r="N56" s="1"/>
    </row>
    <row r="57" spans="1:14" x14ac:dyDescent="0.2">
      <c r="A57" s="36"/>
      <c r="B57" s="28" t="s">
        <v>66</v>
      </c>
      <c r="C57" s="43" t="s">
        <v>67</v>
      </c>
      <c r="D57" s="43"/>
      <c r="E57" s="12">
        <v>0</v>
      </c>
      <c r="F57" s="22"/>
      <c r="H57" s="40"/>
      <c r="I57" s="45">
        <v>1606.25</v>
      </c>
      <c r="J57" s="46"/>
      <c r="K57" s="46"/>
      <c r="L57" s="13"/>
      <c r="M57" s="2"/>
      <c r="N57" s="2"/>
    </row>
    <row r="58" spans="1:14" ht="15" x14ac:dyDescent="0.25">
      <c r="A58" s="36"/>
      <c r="B58" s="28"/>
      <c r="C58" s="44" t="s">
        <v>68</v>
      </c>
      <c r="D58" s="43"/>
      <c r="E58" s="7">
        <f>E56+E57</f>
        <v>301758056.75</v>
      </c>
      <c r="F58" s="22"/>
      <c r="H58" s="103" t="s">
        <v>69</v>
      </c>
      <c r="I58" s="45">
        <v>-63.29</v>
      </c>
      <c r="J58" s="46"/>
      <c r="K58" s="46"/>
      <c r="L58" s="2"/>
      <c r="M58" s="2"/>
      <c r="N58" s="2"/>
    </row>
    <row r="59" spans="1:14" s="2" customFormat="1" x14ac:dyDescent="0.2">
      <c r="A59" s="24"/>
      <c r="B59" s="1"/>
      <c r="C59" s="14"/>
      <c r="D59" s="25"/>
      <c r="E59" s="1"/>
      <c r="H59" s="35" t="s">
        <v>70</v>
      </c>
      <c r="I59" s="45">
        <v>0</v>
      </c>
      <c r="J59" s="46">
        <f>+I60-D62</f>
        <v>0</v>
      </c>
      <c r="M59" s="2">
        <v>19.57</v>
      </c>
      <c r="N59" s="2" t="s">
        <v>535</v>
      </c>
    </row>
    <row r="60" spans="1:14" s="2" customFormat="1" x14ac:dyDescent="0.2">
      <c r="A60" s="24"/>
      <c r="B60" s="1"/>
      <c r="C60" s="56"/>
      <c r="D60" s="56"/>
      <c r="E60" s="104"/>
      <c r="G60" s="1"/>
      <c r="I60" s="49">
        <f>SUM(I57:I59)</f>
        <v>1542.96</v>
      </c>
      <c r="J60" s="46"/>
      <c r="K60" s="46"/>
    </row>
    <row r="61" spans="1:14" s="2" customFormat="1" x14ac:dyDescent="0.2">
      <c r="A61" s="24"/>
      <c r="B61" s="1"/>
      <c r="C61" s="78" t="s">
        <v>575</v>
      </c>
      <c r="D61" s="48" t="s">
        <v>576</v>
      </c>
      <c r="E61" s="104"/>
      <c r="G61" s="1"/>
    </row>
    <row r="62" spans="1:14" s="2" customFormat="1" x14ac:dyDescent="0.2">
      <c r="A62" s="24"/>
      <c r="B62" s="1"/>
      <c r="C62" s="47" t="s">
        <v>570</v>
      </c>
      <c r="D62" s="111">
        <v>1542.96</v>
      </c>
      <c r="E62" s="104"/>
      <c r="G62" s="1"/>
      <c r="H62" s="110" t="s">
        <v>581</v>
      </c>
    </row>
    <row r="63" spans="1:14" s="2" customFormat="1" x14ac:dyDescent="0.2">
      <c r="A63" s="24"/>
      <c r="B63" s="1"/>
      <c r="C63" s="47" t="s">
        <v>931</v>
      </c>
      <c r="D63" s="111">
        <v>205.39</v>
      </c>
      <c r="E63" s="104"/>
      <c r="G63" s="1"/>
      <c r="H63" s="110" t="s">
        <v>580</v>
      </c>
    </row>
    <row r="64" spans="1:14" s="2" customFormat="1" x14ac:dyDescent="0.2">
      <c r="A64" s="24"/>
      <c r="B64" s="1"/>
      <c r="C64" s="47" t="s">
        <v>572</v>
      </c>
      <c r="D64" s="111">
        <f>+D96/100000</f>
        <v>258.24135000000001</v>
      </c>
      <c r="E64" s="104"/>
      <c r="G64" s="1"/>
      <c r="H64" s="90" t="s">
        <v>587</v>
      </c>
    </row>
    <row r="65" spans="1:13" s="2" customFormat="1" x14ac:dyDescent="0.2">
      <c r="A65" s="24"/>
      <c r="B65" s="1"/>
      <c r="C65" s="108" t="s">
        <v>578</v>
      </c>
      <c r="D65" s="48">
        <f>SUM(D62:D64)</f>
        <v>2006.5913499999999</v>
      </c>
      <c r="E65" s="104"/>
      <c r="G65" s="1"/>
    </row>
    <row r="66" spans="1:13" s="2" customFormat="1" x14ac:dyDescent="0.2">
      <c r="A66" s="24"/>
      <c r="B66" s="1"/>
      <c r="C66" s="47"/>
      <c r="D66" s="107"/>
      <c r="E66" s="104"/>
      <c r="G66" s="1"/>
    </row>
    <row r="67" spans="1:13" s="2" customFormat="1" x14ac:dyDescent="0.2">
      <c r="A67" s="24"/>
      <c r="B67" s="1"/>
      <c r="C67" s="47" t="s">
        <v>932</v>
      </c>
      <c r="D67" s="111">
        <v>548.42999999999995</v>
      </c>
      <c r="E67" s="104"/>
      <c r="G67" s="1"/>
      <c r="H67" s="110" t="s">
        <v>581</v>
      </c>
    </row>
    <row r="68" spans="1:13" s="2" customFormat="1" x14ac:dyDescent="0.2">
      <c r="A68" s="24"/>
      <c r="B68" s="1"/>
      <c r="C68" s="47" t="s">
        <v>933</v>
      </c>
      <c r="D68" s="111">
        <v>177.07</v>
      </c>
      <c r="E68" s="104"/>
      <c r="G68" s="1"/>
      <c r="H68" s="110" t="s">
        <v>581</v>
      </c>
      <c r="J68" s="114" t="s">
        <v>713</v>
      </c>
    </row>
    <row r="69" spans="1:13" s="2" customFormat="1" x14ac:dyDescent="0.2">
      <c r="A69" s="24"/>
      <c r="B69" s="1"/>
      <c r="C69" s="78" t="s">
        <v>579</v>
      </c>
      <c r="D69" s="109">
        <f>D67+D68</f>
        <v>725.5</v>
      </c>
      <c r="E69" s="104"/>
      <c r="G69" s="1"/>
      <c r="I69" s="113"/>
      <c r="J69" s="113" t="s">
        <v>709</v>
      </c>
      <c r="K69" s="113" t="s">
        <v>710</v>
      </c>
      <c r="L69" s="113" t="s">
        <v>711</v>
      </c>
      <c r="M69" s="113" t="s">
        <v>712</v>
      </c>
    </row>
    <row r="70" spans="1:13" s="2" customFormat="1" x14ac:dyDescent="0.2">
      <c r="A70" s="24"/>
      <c r="B70" s="1"/>
      <c r="C70" s="105"/>
      <c r="D70" s="106"/>
      <c r="E70" s="104"/>
      <c r="G70" s="1"/>
      <c r="I70" s="113" t="s">
        <v>706</v>
      </c>
      <c r="J70" s="115"/>
      <c r="K70" s="115">
        <v>968.99</v>
      </c>
      <c r="L70" s="115">
        <v>968.99</v>
      </c>
      <c r="M70" s="113">
        <f>+J70+L70-K70</f>
        <v>0</v>
      </c>
    </row>
    <row r="71" spans="1:13" s="2" customFormat="1" x14ac:dyDescent="0.2">
      <c r="A71" s="24"/>
      <c r="B71" s="1"/>
      <c r="C71" s="78" t="s">
        <v>577</v>
      </c>
      <c r="D71" s="109">
        <f>D62+D69</f>
        <v>2268.46</v>
      </c>
      <c r="E71" s="104"/>
      <c r="G71" s="1"/>
      <c r="I71" s="113" t="s">
        <v>707</v>
      </c>
      <c r="J71" s="115">
        <v>183.1</v>
      </c>
      <c r="K71" s="115">
        <v>1722.78</v>
      </c>
      <c r="L71" s="115">
        <v>2721.9</v>
      </c>
      <c r="M71" s="113">
        <f>+J71+L71-K71</f>
        <v>1182.22</v>
      </c>
    </row>
    <row r="72" spans="1:13" s="2" customFormat="1" x14ac:dyDescent="0.2">
      <c r="A72" s="24"/>
      <c r="B72" s="1"/>
      <c r="C72" s="56"/>
      <c r="D72" s="56"/>
      <c r="E72" s="104"/>
      <c r="G72" s="1"/>
      <c r="I72" s="113" t="s">
        <v>708</v>
      </c>
      <c r="J72" s="115">
        <v>1371.02</v>
      </c>
      <c r="K72" s="115">
        <v>10940.04</v>
      </c>
      <c r="L72" s="115">
        <v>11201.32</v>
      </c>
      <c r="M72" s="113">
        <f>+J72+L72-K72</f>
        <v>1632.2999999999993</v>
      </c>
    </row>
    <row r="73" spans="1:13" s="2" customFormat="1" ht="38.25" x14ac:dyDescent="0.2">
      <c r="A73" s="24"/>
      <c r="B73" s="1"/>
      <c r="C73" s="79" t="str">
        <f>"Particulars ( 01-04-2021 to "&amp;TEXT(A5,"dd-mm-yyyy")&amp;" )"</f>
        <v>Particulars ( 01-04-2021 to 12-05-2023 )</v>
      </c>
      <c r="D73" s="80" t="s">
        <v>73</v>
      </c>
      <c r="E73" s="80" t="s">
        <v>74</v>
      </c>
      <c r="F73" s="81" t="s">
        <v>75</v>
      </c>
      <c r="G73" s="80" t="s">
        <v>76</v>
      </c>
      <c r="J73" s="118">
        <f>SUM(J70:J72)</f>
        <v>1554.12</v>
      </c>
      <c r="K73" s="118">
        <f>SUM(K70:K72)</f>
        <v>13631.810000000001</v>
      </c>
      <c r="L73" s="118">
        <f>SUM(L70:L72)</f>
        <v>14892.21</v>
      </c>
      <c r="M73" s="118">
        <f>SUM(M70:M72)</f>
        <v>2814.5199999999995</v>
      </c>
    </row>
    <row r="74" spans="1:13" s="2" customFormat="1" x14ac:dyDescent="0.2">
      <c r="A74" s="24"/>
      <c r="B74" s="1"/>
      <c r="C74" s="50" t="s">
        <v>444</v>
      </c>
      <c r="D74" s="55">
        <f>+L70+L71+J71</f>
        <v>3873.9900000000002</v>
      </c>
      <c r="E74" s="55">
        <f>+K70+K71</f>
        <v>2691.77</v>
      </c>
      <c r="F74" s="55">
        <f>+D74-E74</f>
        <v>1182.2200000000003</v>
      </c>
      <c r="G74" s="55">
        <f>1500-F74</f>
        <v>317.77999999999975</v>
      </c>
      <c r="H74" s="2" t="s">
        <v>396</v>
      </c>
    </row>
    <row r="75" spans="1:13" s="2" customFormat="1" x14ac:dyDescent="0.2">
      <c r="A75" s="24"/>
      <c r="B75" s="1"/>
      <c r="C75" s="50" t="s">
        <v>71</v>
      </c>
      <c r="D75" s="55">
        <f>+J72+L72</f>
        <v>12572.34</v>
      </c>
      <c r="E75" s="55">
        <f>+K72</f>
        <v>10940.04</v>
      </c>
      <c r="F75" s="55">
        <f>+D75-E75</f>
        <v>1632.2999999999993</v>
      </c>
      <c r="G75" s="55">
        <f>1500+700-F75</f>
        <v>567.70000000000073</v>
      </c>
      <c r="H75" s="2" t="s">
        <v>396</v>
      </c>
    </row>
    <row r="76" spans="1:13" s="2" customFormat="1" x14ac:dyDescent="0.2">
      <c r="A76" s="24"/>
      <c r="B76" s="1"/>
      <c r="C76" s="14"/>
      <c r="D76" s="56"/>
      <c r="E76" s="13"/>
      <c r="G76" s="1"/>
    </row>
    <row r="77" spans="1:13" s="2" customFormat="1" x14ac:dyDescent="0.2">
      <c r="A77" s="215" t="s">
        <v>80</v>
      </c>
      <c r="B77" s="216"/>
      <c r="C77" s="216"/>
      <c r="D77" s="217"/>
      <c r="E77" s="69"/>
      <c r="F77" s="70"/>
      <c r="G77" s="1"/>
      <c r="H77" s="53"/>
    </row>
    <row r="78" spans="1:13" s="2" customFormat="1" x14ac:dyDescent="0.2">
      <c r="A78" s="71" t="s">
        <v>81</v>
      </c>
      <c r="B78" s="71"/>
      <c r="C78" s="72" t="s">
        <v>82</v>
      </c>
      <c r="D78" s="73" t="s">
        <v>83</v>
      </c>
      <c r="E78" s="69"/>
      <c r="F78" s="70"/>
      <c r="H78" s="53"/>
    </row>
    <row r="79" spans="1:13" s="2" customFormat="1" x14ac:dyDescent="0.2">
      <c r="A79" s="87">
        <v>45050</v>
      </c>
      <c r="B79" s="120" t="s">
        <v>6</v>
      </c>
      <c r="C79" s="75" t="s">
        <v>282</v>
      </c>
      <c r="D79" s="88">
        <v>1562637</v>
      </c>
      <c r="G79" s="1"/>
      <c r="L79" s="1"/>
      <c r="M79" s="1"/>
    </row>
    <row r="80" spans="1:13" s="2" customFormat="1" x14ac:dyDescent="0.2">
      <c r="A80" s="87">
        <v>45050</v>
      </c>
      <c r="B80" s="120" t="s">
        <v>6</v>
      </c>
      <c r="C80" s="75" t="s">
        <v>86</v>
      </c>
      <c r="D80" s="88">
        <v>2499321</v>
      </c>
      <c r="G80" s="1"/>
      <c r="L80" s="1"/>
      <c r="M80" s="1"/>
    </row>
    <row r="81" spans="1:13" s="2" customFormat="1" x14ac:dyDescent="0.2">
      <c r="A81" s="87">
        <v>45050</v>
      </c>
      <c r="B81" s="120" t="s">
        <v>6</v>
      </c>
      <c r="C81" s="75" t="s">
        <v>86</v>
      </c>
      <c r="D81" s="88">
        <v>6876102</v>
      </c>
      <c r="G81" s="1"/>
      <c r="L81" s="1"/>
      <c r="M81" s="1"/>
    </row>
    <row r="82" spans="1:13" s="2" customFormat="1" x14ac:dyDescent="0.2">
      <c r="A82" s="87">
        <v>45052</v>
      </c>
      <c r="B82" s="120" t="s">
        <v>6</v>
      </c>
      <c r="C82" s="75" t="s">
        <v>270</v>
      </c>
      <c r="D82" s="88">
        <v>1124141</v>
      </c>
      <c r="G82" s="1"/>
      <c r="L82" s="1"/>
      <c r="M82" s="1"/>
    </row>
    <row r="83" spans="1:13" s="2" customFormat="1" x14ac:dyDescent="0.2">
      <c r="A83" s="87">
        <v>45054</v>
      </c>
      <c r="B83" s="120" t="s">
        <v>6</v>
      </c>
      <c r="C83" s="75" t="s">
        <v>271</v>
      </c>
      <c r="D83" s="88">
        <v>476726</v>
      </c>
      <c r="G83" s="1"/>
      <c r="L83" s="1"/>
      <c r="M83" s="1"/>
    </row>
    <row r="84" spans="1:13" s="2" customFormat="1" x14ac:dyDescent="0.2">
      <c r="A84" s="87">
        <v>45054</v>
      </c>
      <c r="B84" s="120" t="s">
        <v>6</v>
      </c>
      <c r="C84" s="75" t="s">
        <v>271</v>
      </c>
      <c r="D84" s="88">
        <v>926688</v>
      </c>
      <c r="G84" s="1"/>
      <c r="L84" s="1"/>
      <c r="M84" s="1"/>
    </row>
    <row r="85" spans="1:13" s="2" customFormat="1" x14ac:dyDescent="0.2">
      <c r="A85" s="87">
        <v>45054</v>
      </c>
      <c r="B85" s="120" t="s">
        <v>6</v>
      </c>
      <c r="C85" s="75" t="s">
        <v>606</v>
      </c>
      <c r="D85" s="88">
        <v>1844917</v>
      </c>
      <c r="G85" s="1"/>
      <c r="L85" s="1"/>
      <c r="M85" s="1"/>
    </row>
    <row r="86" spans="1:13" s="2" customFormat="1" x14ac:dyDescent="0.2">
      <c r="A86" s="87">
        <v>45054</v>
      </c>
      <c r="B86" s="120" t="s">
        <v>6</v>
      </c>
      <c r="C86" s="75" t="s">
        <v>271</v>
      </c>
      <c r="D86" s="88">
        <v>1640794</v>
      </c>
      <c r="G86" s="1"/>
      <c r="L86" s="1"/>
      <c r="M86" s="1"/>
    </row>
    <row r="87" spans="1:13" s="2" customFormat="1" x14ac:dyDescent="0.2">
      <c r="A87" s="87">
        <v>45055</v>
      </c>
      <c r="B87" s="120" t="s">
        <v>6</v>
      </c>
      <c r="C87" s="75" t="s">
        <v>84</v>
      </c>
      <c r="D87" s="88">
        <v>2000000</v>
      </c>
      <c r="G87" s="1"/>
      <c r="L87" s="1"/>
      <c r="M87" s="1"/>
    </row>
    <row r="88" spans="1:13" s="2" customFormat="1" x14ac:dyDescent="0.2">
      <c r="A88" s="87">
        <v>45055</v>
      </c>
      <c r="B88" s="120" t="s">
        <v>6</v>
      </c>
      <c r="C88" s="75" t="s">
        <v>87</v>
      </c>
      <c r="D88" s="88">
        <v>2540563</v>
      </c>
      <c r="G88" s="1"/>
      <c r="L88" s="1"/>
      <c r="M88" s="1"/>
    </row>
    <row r="89" spans="1:13" s="2" customFormat="1" x14ac:dyDescent="0.2">
      <c r="A89" s="87">
        <v>45055</v>
      </c>
      <c r="B89" s="120" t="s">
        <v>6</v>
      </c>
      <c r="C89" s="75" t="s">
        <v>767</v>
      </c>
      <c r="D89" s="88">
        <v>950137</v>
      </c>
      <c r="G89" s="1"/>
      <c r="L89" s="1"/>
      <c r="M89" s="1"/>
    </row>
    <row r="90" spans="1:13" s="2" customFormat="1" x14ac:dyDescent="0.2">
      <c r="A90" s="87">
        <v>45056</v>
      </c>
      <c r="B90" s="120" t="s">
        <v>6</v>
      </c>
      <c r="C90" s="75" t="s">
        <v>271</v>
      </c>
      <c r="D90" s="88">
        <v>242417</v>
      </c>
      <c r="G90" s="1"/>
      <c r="L90" s="1"/>
      <c r="M90" s="1"/>
    </row>
    <row r="91" spans="1:13" s="2" customFormat="1" x14ac:dyDescent="0.2">
      <c r="A91" s="87">
        <v>45056</v>
      </c>
      <c r="B91" s="120" t="s">
        <v>6</v>
      </c>
      <c r="C91" s="75" t="s">
        <v>271</v>
      </c>
      <c r="D91" s="88">
        <v>674909</v>
      </c>
      <c r="G91" s="1"/>
      <c r="L91" s="1"/>
      <c r="M91" s="1"/>
    </row>
    <row r="92" spans="1:13" s="2" customFormat="1" x14ac:dyDescent="0.2">
      <c r="A92" s="87">
        <v>45056</v>
      </c>
      <c r="B92" s="120" t="s">
        <v>6</v>
      </c>
      <c r="C92" s="75" t="s">
        <v>271</v>
      </c>
      <c r="D92" s="88">
        <v>969371</v>
      </c>
      <c r="G92" s="1"/>
      <c r="L92" s="1"/>
      <c r="M92" s="1"/>
    </row>
    <row r="93" spans="1:13" s="2" customFormat="1" x14ac:dyDescent="0.2">
      <c r="A93" s="87">
        <v>45058</v>
      </c>
      <c r="B93" s="120" t="s">
        <v>6</v>
      </c>
      <c r="C93" s="75" t="s">
        <v>271</v>
      </c>
      <c r="D93" s="88">
        <v>650439</v>
      </c>
      <c r="G93" s="1"/>
      <c r="L93" s="1"/>
      <c r="M93" s="1"/>
    </row>
    <row r="94" spans="1:13" s="2" customFormat="1" x14ac:dyDescent="0.2">
      <c r="A94" s="87">
        <v>45058</v>
      </c>
      <c r="B94" s="120" t="s">
        <v>6</v>
      </c>
      <c r="C94" s="75" t="s">
        <v>271</v>
      </c>
      <c r="D94" s="88">
        <v>432067</v>
      </c>
      <c r="G94" s="1"/>
      <c r="L94" s="1"/>
      <c r="M94" s="1"/>
    </row>
    <row r="95" spans="1:13" s="2" customFormat="1" x14ac:dyDescent="0.2">
      <c r="A95" s="87">
        <v>45058</v>
      </c>
      <c r="B95" s="120" t="s">
        <v>6</v>
      </c>
      <c r="C95" s="75" t="s">
        <v>271</v>
      </c>
      <c r="D95" s="88">
        <v>412906</v>
      </c>
      <c r="G95" s="1"/>
      <c r="L95" s="1"/>
      <c r="M95" s="1"/>
    </row>
    <row r="96" spans="1:13" s="2" customFormat="1" x14ac:dyDescent="0.2">
      <c r="A96" s="87"/>
      <c r="B96" s="74"/>
      <c r="C96" s="75"/>
      <c r="D96" s="51">
        <f>SUM(D79:D95)</f>
        <v>25824135</v>
      </c>
      <c r="F96" s="2" t="s">
        <v>396</v>
      </c>
      <c r="G96" s="1"/>
      <c r="I96" s="1"/>
      <c r="J96" s="1"/>
      <c r="K96" s="1"/>
      <c r="L96" s="1"/>
      <c r="M96" s="1"/>
    </row>
    <row r="97" spans="1:13" s="2" customFormat="1" x14ac:dyDescent="0.2">
      <c r="A97" s="24"/>
      <c r="B97" s="1"/>
      <c r="C97" s="14"/>
      <c r="D97" s="56"/>
      <c r="E97" s="13"/>
      <c r="G97" s="1"/>
    </row>
    <row r="98" spans="1:13" s="2" customFormat="1" x14ac:dyDescent="0.2">
      <c r="A98" s="24"/>
      <c r="B98" s="1"/>
      <c r="C98" s="218" t="s">
        <v>77</v>
      </c>
      <c r="D98" s="219"/>
      <c r="E98" s="219"/>
      <c r="F98" s="220"/>
      <c r="G98" s="54"/>
      <c r="I98" s="1"/>
      <c r="J98" s="1"/>
      <c r="K98" s="1"/>
      <c r="L98" s="1"/>
      <c r="M98" s="1"/>
    </row>
    <row r="99" spans="1:13" s="2" customFormat="1" x14ac:dyDescent="0.2">
      <c r="A99" s="24"/>
      <c r="B99" s="1"/>
      <c r="C99" s="50"/>
      <c r="D99" s="57" t="s">
        <v>78</v>
      </c>
      <c r="E99" s="58" t="s">
        <v>79</v>
      </c>
      <c r="F99" s="57" t="s">
        <v>72</v>
      </c>
      <c r="G99" s="54"/>
      <c r="I99" s="1"/>
      <c r="J99" s="1"/>
      <c r="K99" s="1"/>
      <c r="L99" s="1"/>
      <c r="M99" s="1"/>
    </row>
    <row r="100" spans="1:13" s="2" customFormat="1" x14ac:dyDescent="0.2">
      <c r="A100" s="24"/>
      <c r="B100" s="1"/>
      <c r="C100" s="59" t="str">
        <f>"01-05-2023 to "&amp;TEXT(A5-2,"dd-mm-yyyy")</f>
        <v>01-05-2023 to 10-05-2023</v>
      </c>
      <c r="D100" s="60">
        <v>1209.42</v>
      </c>
      <c r="E100" s="60">
        <v>121.07</v>
      </c>
      <c r="F100" s="61">
        <f>SUM(D100:E100)</f>
        <v>1330.49</v>
      </c>
      <c r="G100" s="54"/>
      <c r="I100" s="1"/>
      <c r="J100" s="1"/>
      <c r="K100" s="1"/>
      <c r="L100" s="1"/>
      <c r="M100" s="1"/>
    </row>
    <row r="101" spans="1:13" s="2" customFormat="1" x14ac:dyDescent="0.2">
      <c r="A101" s="24"/>
      <c r="B101" s="1"/>
      <c r="C101" s="62" t="str">
        <f>TEXT(A5-1,"dd-mm-yyyy")</f>
        <v>11-05-2023</v>
      </c>
      <c r="D101" s="60">
        <v>224.77</v>
      </c>
      <c r="E101" s="60">
        <v>10.7</v>
      </c>
      <c r="F101" s="61">
        <f>SUM(D101:E101)</f>
        <v>235.47</v>
      </c>
      <c r="G101" s="54"/>
      <c r="I101" s="1"/>
      <c r="J101" s="1"/>
      <c r="K101" s="1"/>
      <c r="L101" s="1"/>
      <c r="M101" s="1"/>
    </row>
    <row r="102" spans="1:13" ht="13.5" thickBot="1" x14ac:dyDescent="0.25">
      <c r="C102" s="63" t="str">
        <f>"01-05-2023 to "&amp;TEXT(A5-1,"dd-mm-yyyy")</f>
        <v>01-05-2023 to 11-05-2023</v>
      </c>
      <c r="D102" s="64">
        <f>SUM(D100:D101)</f>
        <v>1434.19</v>
      </c>
      <c r="E102" s="64">
        <f>SUM(E100:E101)</f>
        <v>131.76999999999998</v>
      </c>
      <c r="F102" s="64">
        <f>SUM(F100:F101)</f>
        <v>1565.96</v>
      </c>
      <c r="G102" s="54"/>
      <c r="H102" s="2" t="s">
        <v>396</v>
      </c>
    </row>
    <row r="103" spans="1:13" s="2" customFormat="1" ht="13.5" thickTop="1" x14ac:dyDescent="0.2">
      <c r="A103" s="24"/>
      <c r="B103" s="1"/>
      <c r="C103" s="62"/>
      <c r="D103" s="65"/>
      <c r="E103" s="66"/>
      <c r="F103" s="67"/>
      <c r="G103" s="54"/>
      <c r="H103" s="53"/>
    </row>
    <row r="104" spans="1:13" x14ac:dyDescent="0.2">
      <c r="C104" s="62" t="str">
        <f>"01-04-2023 to " &amp;C101</f>
        <v>01-04-2023 to 11-05-2023</v>
      </c>
      <c r="D104" s="68">
        <f>+D102+4343.67</f>
        <v>5777.8600000000006</v>
      </c>
      <c r="E104" s="68">
        <f>+E102+536.17</f>
        <v>667.93999999999994</v>
      </c>
      <c r="F104" s="68">
        <f>+F102+4879.84</f>
        <v>6445.8</v>
      </c>
      <c r="G104" s="54"/>
      <c r="H104" s="53" t="s">
        <v>396</v>
      </c>
    </row>
    <row r="105" spans="1:13" x14ac:dyDescent="0.2">
      <c r="C105" s="52"/>
      <c r="D105" s="85"/>
      <c r="E105" s="53"/>
      <c r="F105" s="53"/>
      <c r="G105" s="54"/>
      <c r="H105" s="53" t="s">
        <v>396</v>
      </c>
      <c r="J105" s="42"/>
    </row>
    <row r="106" spans="1:13" x14ac:dyDescent="0.2">
      <c r="C106" s="52"/>
      <c r="D106" s="85"/>
      <c r="E106" s="53"/>
      <c r="F106" s="53"/>
      <c r="G106" s="54"/>
      <c r="H106" s="53"/>
      <c r="I106" s="101"/>
    </row>
    <row r="107" spans="1:13" x14ac:dyDescent="0.2">
      <c r="C107" s="52"/>
      <c r="D107" s="85"/>
      <c r="E107" s="53"/>
      <c r="F107" s="53"/>
      <c r="G107" s="54"/>
      <c r="H107" s="53"/>
    </row>
    <row r="108" spans="1:13" x14ac:dyDescent="0.2">
      <c r="C108" s="52"/>
      <c r="D108" s="85"/>
      <c r="E108" s="53"/>
      <c r="F108" s="53"/>
      <c r="G108" s="54"/>
      <c r="H108" s="53"/>
    </row>
    <row r="109" spans="1:13" x14ac:dyDescent="0.2">
      <c r="H109" s="53"/>
    </row>
  </sheetData>
  <mergeCells count="5">
    <mergeCell ref="A1:G1"/>
    <mergeCell ref="A3:F3"/>
    <mergeCell ref="A10:F10"/>
    <mergeCell ref="A77:D77"/>
    <mergeCell ref="C98:F98"/>
  </mergeCells>
  <conditionalFormatting sqref="G74:G75">
    <cfRule type="cellIs" dxfId="584" priority="2" operator="lessThan">
      <formula>0</formula>
    </cfRule>
  </conditionalFormatting>
  <conditionalFormatting sqref="C12">
    <cfRule type="duplicateValues" dxfId="583" priority="3"/>
  </conditionalFormatting>
  <conditionalFormatting sqref="C28">
    <cfRule type="duplicateValues" dxfId="582" priority="1"/>
  </conditionalFormatting>
  <conditionalFormatting sqref="C13:C27 C29:C54">
    <cfRule type="duplicateValues" dxfId="581" priority="476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24">
    <pageSetUpPr fitToPage="1"/>
  </sheetPr>
  <dimension ref="A1:N75"/>
  <sheetViews>
    <sheetView zoomScaleNormal="100" workbookViewId="0">
      <selection activeCell="C46" sqref="C46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47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965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2.75" customHeight="1" x14ac:dyDescent="0.4">
      <c r="A5" s="89">
        <v>45059</v>
      </c>
      <c r="B5" s="9" t="s">
        <v>6</v>
      </c>
      <c r="C5" s="10" t="s">
        <v>7</v>
      </c>
      <c r="D5" s="11"/>
      <c r="E5" s="12">
        <v>236474.70000000019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236474.70000000019</v>
      </c>
      <c r="F6" s="16">
        <f>SUM(F5:F5)</f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E6-F6</f>
        <v>236474.70000000019</v>
      </c>
      <c r="F7" s="22"/>
      <c r="G7" s="23"/>
      <c r="H7" s="112"/>
      <c r="I7" s="112"/>
      <c r="J7" s="13"/>
    </row>
    <row r="8" spans="1:10" s="2" customFormat="1" ht="12.75" customHeight="1" x14ac:dyDescent="0.4">
      <c r="A8" s="24"/>
      <c r="B8" s="1"/>
      <c r="C8" s="14"/>
      <c r="D8" s="25"/>
      <c r="G8" s="23"/>
      <c r="H8" s="112"/>
      <c r="I8" s="112"/>
      <c r="J8" s="13"/>
    </row>
    <row r="9" spans="1:10" s="2" customFormat="1" ht="21.75" customHeight="1" x14ac:dyDescent="0.4">
      <c r="A9" s="214" t="s">
        <v>10</v>
      </c>
      <c r="B9" s="214"/>
      <c r="C9" s="214"/>
      <c r="D9" s="214"/>
      <c r="E9" s="214"/>
      <c r="F9" s="214"/>
      <c r="G9" s="13"/>
      <c r="H9" s="112"/>
      <c r="I9" s="112"/>
      <c r="J9" s="13"/>
    </row>
    <row r="10" spans="1:10" s="2" customFormat="1" ht="12.75" customHeight="1" x14ac:dyDescent="0.4">
      <c r="A10" s="26" t="s">
        <v>1</v>
      </c>
      <c r="B10" s="27" t="s">
        <v>2</v>
      </c>
      <c r="C10" s="5"/>
      <c r="D10" s="6" t="s">
        <v>3</v>
      </c>
      <c r="E10" s="7" t="s">
        <v>4</v>
      </c>
      <c r="F10" s="7" t="s">
        <v>5</v>
      </c>
      <c r="G10" s="23"/>
      <c r="H10" s="112"/>
      <c r="I10" s="112"/>
      <c r="J10" s="13"/>
    </row>
    <row r="11" spans="1:10" s="2" customFormat="1" ht="12.75" customHeight="1" x14ac:dyDescent="0.2">
      <c r="A11" s="89">
        <v>45059</v>
      </c>
      <c r="B11" s="91" t="s">
        <v>11</v>
      </c>
      <c r="C11" s="29" t="s">
        <v>7</v>
      </c>
      <c r="D11" s="25"/>
      <c r="E11" s="31"/>
      <c r="F11" s="2">
        <v>301758056.75</v>
      </c>
      <c r="G11" s="30"/>
      <c r="I11" s="13"/>
      <c r="J11" s="13"/>
    </row>
    <row r="12" spans="1:10" s="2" customFormat="1" ht="12.75" customHeight="1" x14ac:dyDescent="0.2">
      <c r="A12" s="89">
        <v>45059</v>
      </c>
      <c r="B12" s="91" t="s">
        <v>6</v>
      </c>
      <c r="C12" s="76" t="s">
        <v>154</v>
      </c>
      <c r="D12" s="116" t="s">
        <v>13</v>
      </c>
      <c r="E12" s="31">
        <v>3098</v>
      </c>
      <c r="G12" s="30"/>
      <c r="I12" s="13"/>
      <c r="J12" s="13"/>
    </row>
    <row r="13" spans="1:10" s="2" customFormat="1" ht="12.75" customHeight="1" x14ac:dyDescent="0.2">
      <c r="A13" s="89">
        <v>45059</v>
      </c>
      <c r="B13" s="91" t="s">
        <v>6</v>
      </c>
      <c r="C13" s="76" t="s">
        <v>670</v>
      </c>
      <c r="D13" s="116" t="s">
        <v>13</v>
      </c>
      <c r="E13" s="31">
        <v>185304</v>
      </c>
      <c r="G13" s="30"/>
      <c r="I13" s="13"/>
      <c r="J13" s="13"/>
    </row>
    <row r="14" spans="1:10" s="2" customFormat="1" ht="12.75" customHeight="1" x14ac:dyDescent="0.2">
      <c r="A14" s="89">
        <v>45059</v>
      </c>
      <c r="B14" s="91" t="s">
        <v>6</v>
      </c>
      <c r="C14" s="76" t="s">
        <v>967</v>
      </c>
      <c r="D14" s="116" t="s">
        <v>13</v>
      </c>
      <c r="E14" s="31">
        <v>2694776.1</v>
      </c>
      <c r="G14" s="30"/>
      <c r="I14" s="13"/>
      <c r="J14" s="13"/>
    </row>
    <row r="15" spans="1:10" s="2" customFormat="1" ht="12.75" customHeight="1" x14ac:dyDescent="0.2">
      <c r="A15" s="89">
        <v>45059</v>
      </c>
      <c r="B15" s="91" t="s">
        <v>6</v>
      </c>
      <c r="C15" s="76" t="s">
        <v>760</v>
      </c>
      <c r="D15" s="116" t="s">
        <v>13</v>
      </c>
      <c r="E15" s="31">
        <v>1943493.01</v>
      </c>
      <c r="G15" s="30"/>
      <c r="I15" s="13"/>
      <c r="J15" s="13"/>
    </row>
    <row r="16" spans="1:10" s="2" customFormat="1" ht="12.75" customHeight="1" x14ac:dyDescent="0.2">
      <c r="A16" s="89">
        <v>45059</v>
      </c>
      <c r="B16" s="91" t="s">
        <v>6</v>
      </c>
      <c r="C16" s="76" t="s">
        <v>748</v>
      </c>
      <c r="D16" s="116" t="s">
        <v>13</v>
      </c>
      <c r="E16" s="31">
        <v>782608.48</v>
      </c>
      <c r="G16" s="30"/>
      <c r="I16" s="13"/>
      <c r="J16" s="13"/>
    </row>
    <row r="17" spans="1:14" s="2" customFormat="1" ht="12.75" customHeight="1" x14ac:dyDescent="0.2">
      <c r="A17" s="89">
        <v>45059</v>
      </c>
      <c r="B17" s="91" t="s">
        <v>6</v>
      </c>
      <c r="C17" s="76" t="s">
        <v>24</v>
      </c>
      <c r="D17" s="116" t="s">
        <v>13</v>
      </c>
      <c r="E17" s="31">
        <v>97164</v>
      </c>
      <c r="G17" s="30"/>
      <c r="I17" s="13"/>
      <c r="J17" s="13"/>
    </row>
    <row r="18" spans="1:14" s="2" customFormat="1" ht="12.75" customHeight="1" x14ac:dyDescent="0.2">
      <c r="A18" s="89">
        <v>45059</v>
      </c>
      <c r="B18" s="91" t="s">
        <v>6</v>
      </c>
      <c r="C18" s="76" t="s">
        <v>966</v>
      </c>
      <c r="D18" s="116" t="s">
        <v>13</v>
      </c>
      <c r="E18" s="31">
        <v>7553</v>
      </c>
      <c r="G18" s="30"/>
      <c r="I18" s="13"/>
      <c r="J18" s="13"/>
    </row>
    <row r="19" spans="1:14" s="2" customFormat="1" ht="12.75" customHeight="1" x14ac:dyDescent="0.2">
      <c r="A19" s="89">
        <v>45059</v>
      </c>
      <c r="B19" s="91" t="s">
        <v>11</v>
      </c>
      <c r="C19" s="76" t="s">
        <v>156</v>
      </c>
      <c r="D19" s="116" t="s">
        <v>29</v>
      </c>
      <c r="E19" s="31"/>
      <c r="F19" s="2">
        <v>234.82</v>
      </c>
      <c r="G19" s="30"/>
      <c r="I19" s="13"/>
      <c r="J19" s="13"/>
    </row>
    <row r="20" spans="1:14" s="2" customFormat="1" ht="12.75" customHeight="1" x14ac:dyDescent="0.2">
      <c r="A20" s="89">
        <v>45059</v>
      </c>
      <c r="B20" s="91" t="s">
        <v>11</v>
      </c>
      <c r="C20" s="76" t="s">
        <v>64</v>
      </c>
      <c r="D20" s="116" t="s">
        <v>29</v>
      </c>
      <c r="E20" s="31"/>
      <c r="F20" s="2">
        <v>2964.16</v>
      </c>
      <c r="G20" s="30"/>
      <c r="I20" s="13"/>
      <c r="J20" s="13"/>
      <c r="K20" s="99" t="s">
        <v>779</v>
      </c>
    </row>
    <row r="21" spans="1:14" s="2" customFormat="1" ht="12.75" customHeight="1" x14ac:dyDescent="0.25">
      <c r="A21" s="32"/>
      <c r="B21" s="33"/>
      <c r="C21" s="14"/>
      <c r="D21" s="34"/>
      <c r="E21" s="16">
        <f>SUM(E11:E20)</f>
        <v>5713996.5899999999</v>
      </c>
      <c r="F21" s="16">
        <f>SUM(F11:F20)</f>
        <v>301761255.73000002</v>
      </c>
      <c r="G21" s="30"/>
      <c r="H21" s="1"/>
      <c r="I21" s="39">
        <v>296473310.13999999</v>
      </c>
      <c r="K21" s="92">
        <f>E22-I21</f>
        <v>-426050.9999999404</v>
      </c>
      <c r="L21" s="41"/>
      <c r="M21" s="42">
        <f>K21+J21</f>
        <v>-426050.9999999404</v>
      </c>
      <c r="N21" s="1"/>
    </row>
    <row r="22" spans="1:14" s="2" customFormat="1" x14ac:dyDescent="0.2">
      <c r="A22" s="36"/>
      <c r="B22" s="28" t="s">
        <v>11</v>
      </c>
      <c r="C22" s="19" t="s">
        <v>65</v>
      </c>
      <c r="D22" s="37"/>
      <c r="E22" s="38">
        <f>F21-E21</f>
        <v>296047259.14000005</v>
      </c>
      <c r="F22" s="22"/>
      <c r="G22" s="1"/>
      <c r="H22" s="1"/>
      <c r="J22" s="1"/>
      <c r="K22" s="1"/>
      <c r="L22" s="1"/>
      <c r="M22" s="1"/>
      <c r="N22" s="1"/>
    </row>
    <row r="23" spans="1:14" x14ac:dyDescent="0.2">
      <c r="A23" s="36"/>
      <c r="B23" s="28" t="s">
        <v>66</v>
      </c>
      <c r="C23" s="43" t="s">
        <v>67</v>
      </c>
      <c r="D23" s="43"/>
      <c r="E23" s="12">
        <v>0</v>
      </c>
      <c r="F23" s="22"/>
      <c r="H23" s="40"/>
      <c r="I23" s="45">
        <v>1639.29</v>
      </c>
      <c r="J23" s="46"/>
      <c r="K23" s="46"/>
      <c r="L23" s="13"/>
      <c r="M23" s="2"/>
      <c r="N23" s="2"/>
    </row>
    <row r="24" spans="1:14" ht="15" x14ac:dyDescent="0.25">
      <c r="A24" s="36"/>
      <c r="B24" s="28"/>
      <c r="C24" s="44" t="s">
        <v>68</v>
      </c>
      <c r="D24" s="43"/>
      <c r="E24" s="7">
        <f>E22+E23</f>
        <v>296047259.14000005</v>
      </c>
      <c r="F24" s="22"/>
      <c r="H24" s="103" t="s">
        <v>69</v>
      </c>
      <c r="I24" s="45">
        <v>-63.29</v>
      </c>
      <c r="J24" s="46"/>
      <c r="K24" s="46"/>
      <c r="L24" s="2"/>
      <c r="M24" s="2"/>
      <c r="N24" s="2"/>
    </row>
    <row r="25" spans="1:14" s="2" customFormat="1" x14ac:dyDescent="0.2">
      <c r="A25" s="24"/>
      <c r="B25" s="1"/>
      <c r="C25" s="14"/>
      <c r="D25" s="25"/>
      <c r="E25" s="1"/>
      <c r="H25" s="35" t="s">
        <v>70</v>
      </c>
      <c r="I25" s="45">
        <v>0</v>
      </c>
      <c r="J25" s="46">
        <f>+I26-D28</f>
        <v>0</v>
      </c>
      <c r="M25" s="2">
        <v>19.57</v>
      </c>
      <c r="N25" s="2" t="s">
        <v>535</v>
      </c>
    </row>
    <row r="26" spans="1:14" s="2" customFormat="1" x14ac:dyDescent="0.2">
      <c r="A26" s="24"/>
      <c r="B26" s="1"/>
      <c r="C26" s="56"/>
      <c r="D26" s="56"/>
      <c r="E26" s="104"/>
      <c r="G26" s="1"/>
      <c r="I26" s="49">
        <f>SUM(I23:I25)</f>
        <v>1576</v>
      </c>
      <c r="J26" s="46"/>
      <c r="K26" s="46"/>
    </row>
    <row r="27" spans="1:14" s="2" customFormat="1" x14ac:dyDescent="0.2">
      <c r="A27" s="24"/>
      <c r="B27" s="1"/>
      <c r="C27" s="78" t="s">
        <v>575</v>
      </c>
      <c r="D27" s="48" t="s">
        <v>576</v>
      </c>
      <c r="E27" s="104"/>
      <c r="G27" s="1"/>
    </row>
    <row r="28" spans="1:14" s="2" customFormat="1" x14ac:dyDescent="0.2">
      <c r="A28" s="24"/>
      <c r="B28" s="1"/>
      <c r="C28" s="47" t="s">
        <v>570</v>
      </c>
      <c r="D28" s="111">
        <v>1576</v>
      </c>
      <c r="E28" s="104"/>
      <c r="G28" s="1"/>
      <c r="H28" s="110" t="s">
        <v>581</v>
      </c>
    </row>
    <row r="29" spans="1:14" s="2" customFormat="1" x14ac:dyDescent="0.2">
      <c r="A29" s="24"/>
      <c r="B29" s="1"/>
      <c r="C29" s="47" t="s">
        <v>931</v>
      </c>
      <c r="D29" s="111">
        <v>205.39</v>
      </c>
      <c r="E29" s="104"/>
      <c r="G29" s="1"/>
      <c r="H29" s="110" t="s">
        <v>580</v>
      </c>
    </row>
    <row r="30" spans="1:14" s="2" customFormat="1" x14ac:dyDescent="0.2">
      <c r="A30" s="24"/>
      <c r="B30" s="1"/>
      <c r="C30" s="47" t="s">
        <v>572</v>
      </c>
      <c r="D30" s="111">
        <f>+D62/100000</f>
        <v>258.24135000000001</v>
      </c>
      <c r="E30" s="104"/>
      <c r="G30" s="1"/>
      <c r="H30" s="90" t="s">
        <v>587</v>
      </c>
    </row>
    <row r="31" spans="1:14" s="2" customFormat="1" x14ac:dyDescent="0.2">
      <c r="A31" s="24"/>
      <c r="B31" s="1"/>
      <c r="C31" s="108" t="s">
        <v>578</v>
      </c>
      <c r="D31" s="48">
        <f>SUM(D28:D30)</f>
        <v>2039.6313499999999</v>
      </c>
      <c r="E31" s="104"/>
      <c r="G31" s="1"/>
    </row>
    <row r="32" spans="1:14" s="2" customFormat="1" x14ac:dyDescent="0.2">
      <c r="A32" s="24"/>
      <c r="B32" s="1"/>
      <c r="C32" s="47"/>
      <c r="D32" s="107"/>
      <c r="E32" s="104"/>
      <c r="G32" s="1"/>
    </row>
    <row r="33" spans="1:13" s="2" customFormat="1" x14ac:dyDescent="0.2">
      <c r="A33" s="24"/>
      <c r="B33" s="1"/>
      <c r="C33" s="47" t="s">
        <v>932</v>
      </c>
      <c r="D33" s="111">
        <v>548.42999999999995</v>
      </c>
      <c r="E33" s="104"/>
      <c r="G33" s="1"/>
      <c r="H33" s="110" t="s">
        <v>581</v>
      </c>
    </row>
    <row r="34" spans="1:13" s="2" customFormat="1" x14ac:dyDescent="0.2">
      <c r="A34" s="24"/>
      <c r="B34" s="1"/>
      <c r="C34" s="47" t="s">
        <v>933</v>
      </c>
      <c r="D34" s="111">
        <v>204.97</v>
      </c>
      <c r="E34" s="104"/>
      <c r="G34" s="1"/>
      <c r="H34" s="110" t="s">
        <v>581</v>
      </c>
      <c r="J34" s="114" t="s">
        <v>713</v>
      </c>
    </row>
    <row r="35" spans="1:13" s="2" customFormat="1" x14ac:dyDescent="0.2">
      <c r="A35" s="24"/>
      <c r="B35" s="1"/>
      <c r="C35" s="78" t="s">
        <v>579</v>
      </c>
      <c r="D35" s="109">
        <f>D33+D34</f>
        <v>753.4</v>
      </c>
      <c r="E35" s="104"/>
      <c r="G35" s="1"/>
      <c r="I35" s="113"/>
      <c r="J35" s="113" t="s">
        <v>709</v>
      </c>
      <c r="K35" s="113" t="s">
        <v>710</v>
      </c>
      <c r="L35" s="113" t="s">
        <v>711</v>
      </c>
      <c r="M35" s="113" t="s">
        <v>712</v>
      </c>
    </row>
    <row r="36" spans="1:13" s="2" customFormat="1" x14ac:dyDescent="0.2">
      <c r="A36" s="24"/>
      <c r="B36" s="1"/>
      <c r="C36" s="105"/>
      <c r="D36" s="106"/>
      <c r="E36" s="104"/>
      <c r="G36" s="1"/>
      <c r="I36" s="113" t="s">
        <v>706</v>
      </c>
      <c r="J36" s="115"/>
      <c r="K36" s="115">
        <v>968.99</v>
      </c>
      <c r="L36" s="115">
        <v>968.99</v>
      </c>
      <c r="M36" s="113">
        <f>+J36+L36-K36</f>
        <v>0</v>
      </c>
    </row>
    <row r="37" spans="1:13" s="2" customFormat="1" x14ac:dyDescent="0.2">
      <c r="A37" s="24"/>
      <c r="B37" s="1"/>
      <c r="C37" s="78" t="s">
        <v>577</v>
      </c>
      <c r="D37" s="109">
        <f>D28+D35</f>
        <v>2329.4</v>
      </c>
      <c r="E37" s="104"/>
      <c r="G37" s="1"/>
      <c r="I37" s="113" t="s">
        <v>707</v>
      </c>
      <c r="J37" s="115">
        <v>183.1</v>
      </c>
      <c r="K37" s="115">
        <v>1722.78</v>
      </c>
      <c r="L37" s="115">
        <v>2721.9</v>
      </c>
      <c r="M37" s="113">
        <f>+J37+L37-K37</f>
        <v>1182.22</v>
      </c>
    </row>
    <row r="38" spans="1:13" s="2" customFormat="1" x14ac:dyDescent="0.2">
      <c r="A38" s="24"/>
      <c r="B38" s="1"/>
      <c r="C38" s="56"/>
      <c r="D38" s="56"/>
      <c r="E38" s="104"/>
      <c r="G38" s="1"/>
      <c r="I38" s="113" t="s">
        <v>708</v>
      </c>
      <c r="J38" s="115">
        <v>1371.02</v>
      </c>
      <c r="K38" s="115">
        <v>10940.04</v>
      </c>
      <c r="L38" s="115">
        <v>11229.22</v>
      </c>
      <c r="M38" s="113">
        <f>+J38+L38-K38</f>
        <v>1660.1999999999989</v>
      </c>
    </row>
    <row r="39" spans="1:13" s="2" customFormat="1" ht="38.25" x14ac:dyDescent="0.2">
      <c r="A39" s="24"/>
      <c r="B39" s="1"/>
      <c r="C39" s="79" t="str">
        <f>"Particulars ( 01-04-2021 to "&amp;TEXT(A5,"dd-mm-yyyy")&amp;" )"</f>
        <v>Particulars ( 01-04-2021 to 13-05-2023 )</v>
      </c>
      <c r="D39" s="80" t="s">
        <v>73</v>
      </c>
      <c r="E39" s="80" t="s">
        <v>74</v>
      </c>
      <c r="F39" s="81" t="s">
        <v>75</v>
      </c>
      <c r="G39" s="80" t="s">
        <v>76</v>
      </c>
      <c r="J39" s="118">
        <f>SUM(J36:J38)</f>
        <v>1554.12</v>
      </c>
      <c r="K39" s="118">
        <f>SUM(K36:K38)</f>
        <v>13631.810000000001</v>
      </c>
      <c r="L39" s="118">
        <f>SUM(L36:L38)</f>
        <v>14920.11</v>
      </c>
      <c r="M39" s="118">
        <f>SUM(M36:M38)</f>
        <v>2842.4199999999992</v>
      </c>
    </row>
    <row r="40" spans="1:13" s="2" customFormat="1" x14ac:dyDescent="0.2">
      <c r="A40" s="24"/>
      <c r="B40" s="1"/>
      <c r="C40" s="50" t="s">
        <v>444</v>
      </c>
      <c r="D40" s="55">
        <f>+L36+L37+J37</f>
        <v>3873.9900000000002</v>
      </c>
      <c r="E40" s="55">
        <f>+K36+K37</f>
        <v>2691.77</v>
      </c>
      <c r="F40" s="55">
        <f>+D40-E40</f>
        <v>1182.2200000000003</v>
      </c>
      <c r="G40" s="55">
        <f>1500-F40</f>
        <v>317.77999999999975</v>
      </c>
      <c r="H40" s="2" t="s">
        <v>396</v>
      </c>
    </row>
    <row r="41" spans="1:13" s="2" customFormat="1" x14ac:dyDescent="0.2">
      <c r="A41" s="24"/>
      <c r="B41" s="1"/>
      <c r="C41" s="50" t="s">
        <v>71</v>
      </c>
      <c r="D41" s="55">
        <f>+J38+L38</f>
        <v>12600.24</v>
      </c>
      <c r="E41" s="55">
        <f>+K38</f>
        <v>10940.04</v>
      </c>
      <c r="F41" s="55">
        <f>+D41-E41</f>
        <v>1660.1999999999989</v>
      </c>
      <c r="G41" s="55">
        <f>1500+700-F41</f>
        <v>539.80000000000109</v>
      </c>
      <c r="H41" s="2" t="s">
        <v>396</v>
      </c>
    </row>
    <row r="42" spans="1:13" s="2" customFormat="1" x14ac:dyDescent="0.2">
      <c r="A42" s="24"/>
      <c r="B42" s="1"/>
      <c r="C42" s="14"/>
      <c r="D42" s="56"/>
      <c r="E42" s="13"/>
      <c r="G42" s="1"/>
    </row>
    <row r="43" spans="1:13" s="2" customFormat="1" x14ac:dyDescent="0.2">
      <c r="A43" s="215" t="s">
        <v>80</v>
      </c>
      <c r="B43" s="216"/>
      <c r="C43" s="216"/>
      <c r="D43" s="217"/>
      <c r="E43" s="69"/>
      <c r="F43" s="70"/>
      <c r="G43" s="1"/>
      <c r="H43" s="53"/>
    </row>
    <row r="44" spans="1:13" s="2" customFormat="1" x14ac:dyDescent="0.2">
      <c r="A44" s="71" t="s">
        <v>81</v>
      </c>
      <c r="B44" s="71"/>
      <c r="C44" s="72" t="s">
        <v>82</v>
      </c>
      <c r="D44" s="73" t="s">
        <v>83</v>
      </c>
      <c r="E44" s="69"/>
      <c r="F44" s="70"/>
      <c r="H44" s="53"/>
    </row>
    <row r="45" spans="1:13" s="2" customFormat="1" x14ac:dyDescent="0.2">
      <c r="A45" s="87">
        <v>45050</v>
      </c>
      <c r="B45" s="120" t="s">
        <v>6</v>
      </c>
      <c r="C45" s="75" t="s">
        <v>282</v>
      </c>
      <c r="D45" s="88">
        <v>1562637</v>
      </c>
      <c r="G45" s="1"/>
      <c r="L45" s="1"/>
      <c r="M45" s="1"/>
    </row>
    <row r="46" spans="1:13" s="2" customFormat="1" x14ac:dyDescent="0.2">
      <c r="A46" s="87">
        <v>45050</v>
      </c>
      <c r="B46" s="120" t="s">
        <v>6</v>
      </c>
      <c r="C46" s="75" t="s">
        <v>86</v>
      </c>
      <c r="D46" s="88">
        <v>2499321</v>
      </c>
      <c r="G46" s="1"/>
      <c r="L46" s="1"/>
      <c r="M46" s="1"/>
    </row>
    <row r="47" spans="1:13" s="2" customFormat="1" x14ac:dyDescent="0.2">
      <c r="A47" s="87">
        <v>45050</v>
      </c>
      <c r="B47" s="120" t="s">
        <v>6</v>
      </c>
      <c r="C47" s="75" t="s">
        <v>86</v>
      </c>
      <c r="D47" s="88">
        <v>6876102</v>
      </c>
      <c r="G47" s="1"/>
      <c r="L47" s="1"/>
      <c r="M47" s="1"/>
    </row>
    <row r="48" spans="1:13" s="2" customFormat="1" x14ac:dyDescent="0.2">
      <c r="A48" s="87">
        <v>45052</v>
      </c>
      <c r="B48" s="120" t="s">
        <v>6</v>
      </c>
      <c r="C48" s="75" t="s">
        <v>270</v>
      </c>
      <c r="D48" s="88">
        <v>1124141</v>
      </c>
      <c r="G48" s="1"/>
      <c r="L48" s="1"/>
      <c r="M48" s="1"/>
    </row>
    <row r="49" spans="1:13" s="2" customFormat="1" x14ac:dyDescent="0.2">
      <c r="A49" s="87">
        <v>45054</v>
      </c>
      <c r="B49" s="120" t="s">
        <v>6</v>
      </c>
      <c r="C49" s="75" t="s">
        <v>271</v>
      </c>
      <c r="D49" s="88">
        <v>476726</v>
      </c>
      <c r="G49" s="1"/>
      <c r="L49" s="1"/>
      <c r="M49" s="1"/>
    </row>
    <row r="50" spans="1:13" s="2" customFormat="1" x14ac:dyDescent="0.2">
      <c r="A50" s="87">
        <v>45054</v>
      </c>
      <c r="B50" s="120" t="s">
        <v>6</v>
      </c>
      <c r="C50" s="75" t="s">
        <v>271</v>
      </c>
      <c r="D50" s="88">
        <v>926688</v>
      </c>
      <c r="G50" s="1"/>
      <c r="L50" s="1"/>
      <c r="M50" s="1"/>
    </row>
    <row r="51" spans="1:13" s="2" customFormat="1" x14ac:dyDescent="0.2">
      <c r="A51" s="87">
        <v>45054</v>
      </c>
      <c r="B51" s="120" t="s">
        <v>6</v>
      </c>
      <c r="C51" s="75" t="s">
        <v>606</v>
      </c>
      <c r="D51" s="88">
        <v>1844917</v>
      </c>
      <c r="G51" s="1"/>
      <c r="L51" s="1"/>
      <c r="M51" s="1"/>
    </row>
    <row r="52" spans="1:13" s="2" customFormat="1" x14ac:dyDescent="0.2">
      <c r="A52" s="87">
        <v>45054</v>
      </c>
      <c r="B52" s="120" t="s">
        <v>6</v>
      </c>
      <c r="C52" s="75" t="s">
        <v>271</v>
      </c>
      <c r="D52" s="88">
        <v>1640794</v>
      </c>
      <c r="G52" s="1"/>
      <c r="L52" s="1"/>
      <c r="M52" s="1"/>
    </row>
    <row r="53" spans="1:13" s="2" customFormat="1" x14ac:dyDescent="0.2">
      <c r="A53" s="87">
        <v>45055</v>
      </c>
      <c r="B53" s="120" t="s">
        <v>6</v>
      </c>
      <c r="C53" s="75" t="s">
        <v>84</v>
      </c>
      <c r="D53" s="88">
        <v>2000000</v>
      </c>
      <c r="G53" s="1"/>
      <c r="L53" s="1"/>
      <c r="M53" s="1"/>
    </row>
    <row r="54" spans="1:13" s="2" customFormat="1" x14ac:dyDescent="0.2">
      <c r="A54" s="87">
        <v>45055</v>
      </c>
      <c r="B54" s="120" t="s">
        <v>6</v>
      </c>
      <c r="C54" s="75" t="s">
        <v>87</v>
      </c>
      <c r="D54" s="88">
        <v>2540563</v>
      </c>
      <c r="G54" s="1"/>
      <c r="L54" s="1"/>
      <c r="M54" s="1"/>
    </row>
    <row r="55" spans="1:13" s="2" customFormat="1" x14ac:dyDescent="0.2">
      <c r="A55" s="87">
        <v>45055</v>
      </c>
      <c r="B55" s="120" t="s">
        <v>6</v>
      </c>
      <c r="C55" s="75" t="s">
        <v>767</v>
      </c>
      <c r="D55" s="88">
        <v>950137</v>
      </c>
      <c r="G55" s="1"/>
      <c r="L55" s="1"/>
      <c r="M55" s="1"/>
    </row>
    <row r="56" spans="1:13" s="2" customFormat="1" x14ac:dyDescent="0.2">
      <c r="A56" s="87">
        <v>45056</v>
      </c>
      <c r="B56" s="120" t="s">
        <v>6</v>
      </c>
      <c r="C56" s="75" t="s">
        <v>271</v>
      </c>
      <c r="D56" s="88">
        <v>242417</v>
      </c>
      <c r="G56" s="1"/>
      <c r="L56" s="1"/>
      <c r="M56" s="1"/>
    </row>
    <row r="57" spans="1:13" s="2" customFormat="1" x14ac:dyDescent="0.2">
      <c r="A57" s="87">
        <v>45056</v>
      </c>
      <c r="B57" s="120" t="s">
        <v>6</v>
      </c>
      <c r="C57" s="75" t="s">
        <v>271</v>
      </c>
      <c r="D57" s="88">
        <v>674909</v>
      </c>
      <c r="G57" s="1"/>
      <c r="L57" s="1"/>
      <c r="M57" s="1"/>
    </row>
    <row r="58" spans="1:13" s="2" customFormat="1" x14ac:dyDescent="0.2">
      <c r="A58" s="87">
        <v>45056</v>
      </c>
      <c r="B58" s="120" t="s">
        <v>6</v>
      </c>
      <c r="C58" s="75" t="s">
        <v>271</v>
      </c>
      <c r="D58" s="88">
        <v>969371</v>
      </c>
      <c r="G58" s="1"/>
      <c r="L58" s="1"/>
      <c r="M58" s="1"/>
    </row>
    <row r="59" spans="1:13" s="2" customFormat="1" x14ac:dyDescent="0.2">
      <c r="A59" s="87">
        <v>45058</v>
      </c>
      <c r="B59" s="120" t="s">
        <v>6</v>
      </c>
      <c r="C59" s="75" t="s">
        <v>271</v>
      </c>
      <c r="D59" s="88">
        <v>650439</v>
      </c>
      <c r="G59" s="1"/>
      <c r="L59" s="1"/>
      <c r="M59" s="1"/>
    </row>
    <row r="60" spans="1:13" s="2" customFormat="1" x14ac:dyDescent="0.2">
      <c r="A60" s="87">
        <v>45058</v>
      </c>
      <c r="B60" s="120" t="s">
        <v>6</v>
      </c>
      <c r="C60" s="75" t="s">
        <v>271</v>
      </c>
      <c r="D60" s="88">
        <v>432067</v>
      </c>
      <c r="G60" s="1"/>
      <c r="L60" s="1"/>
      <c r="M60" s="1"/>
    </row>
    <row r="61" spans="1:13" s="2" customFormat="1" x14ac:dyDescent="0.2">
      <c r="A61" s="87">
        <v>45058</v>
      </c>
      <c r="B61" s="120" t="s">
        <v>6</v>
      </c>
      <c r="C61" s="75" t="s">
        <v>271</v>
      </c>
      <c r="D61" s="88">
        <v>412906</v>
      </c>
      <c r="G61" s="1"/>
      <c r="L61" s="1"/>
      <c r="M61" s="1"/>
    </row>
    <row r="62" spans="1:13" s="2" customFormat="1" x14ac:dyDescent="0.2">
      <c r="A62" s="87"/>
      <c r="B62" s="74"/>
      <c r="C62" s="75"/>
      <c r="D62" s="51">
        <f>SUM(D45:D61)</f>
        <v>25824135</v>
      </c>
      <c r="F62" s="2" t="s">
        <v>396</v>
      </c>
      <c r="G62" s="1"/>
      <c r="I62" s="1"/>
      <c r="J62" s="1"/>
      <c r="K62" s="1"/>
      <c r="L62" s="1"/>
      <c r="M62" s="1"/>
    </row>
    <row r="63" spans="1:13" s="2" customFormat="1" x14ac:dyDescent="0.2">
      <c r="A63" s="24"/>
      <c r="B63" s="1"/>
      <c r="C63" s="14"/>
      <c r="D63" s="56"/>
      <c r="E63" s="13"/>
      <c r="G63" s="1"/>
    </row>
    <row r="64" spans="1:13" s="2" customFormat="1" x14ac:dyDescent="0.2">
      <c r="A64" s="24"/>
      <c r="B64" s="1"/>
      <c r="C64" s="218" t="s">
        <v>77</v>
      </c>
      <c r="D64" s="219"/>
      <c r="E64" s="219"/>
      <c r="F64" s="220"/>
      <c r="G64" s="54"/>
      <c r="I64" s="1"/>
      <c r="J64" s="1"/>
      <c r="K64" s="1"/>
      <c r="L64" s="1"/>
      <c r="M64" s="1"/>
    </row>
    <row r="65" spans="1:13" s="2" customFormat="1" x14ac:dyDescent="0.2">
      <c r="A65" s="24"/>
      <c r="B65" s="1"/>
      <c r="C65" s="50"/>
      <c r="D65" s="57" t="s">
        <v>78</v>
      </c>
      <c r="E65" s="58" t="s">
        <v>79</v>
      </c>
      <c r="F65" s="57" t="s">
        <v>72</v>
      </c>
      <c r="G65" s="54"/>
      <c r="I65" s="1"/>
      <c r="J65" s="1"/>
      <c r="K65" s="1"/>
      <c r="L65" s="1"/>
      <c r="M65" s="1"/>
    </row>
    <row r="66" spans="1:13" s="2" customFormat="1" x14ac:dyDescent="0.2">
      <c r="A66" s="24"/>
      <c r="B66" s="1"/>
      <c r="C66" s="59" t="str">
        <f>"01-05-2023 to "&amp;TEXT(A5-2,"dd-mm-yyyy")</f>
        <v>01-05-2023 to 11-05-2023</v>
      </c>
      <c r="D66" s="60">
        <v>1434.19</v>
      </c>
      <c r="E66" s="60">
        <v>131.77000000000001</v>
      </c>
      <c r="F66" s="61">
        <f>SUM(D66:E66)</f>
        <v>1565.96</v>
      </c>
      <c r="G66" s="54"/>
      <c r="I66" s="1"/>
      <c r="J66" s="1"/>
      <c r="K66" s="1"/>
      <c r="L66" s="1"/>
      <c r="M66" s="1"/>
    </row>
    <row r="67" spans="1:13" s="2" customFormat="1" x14ac:dyDescent="0.2">
      <c r="A67" s="24"/>
      <c r="B67" s="1"/>
      <c r="C67" s="62" t="str">
        <f>TEXT(A5-1,"dd-mm-yyyy")</f>
        <v>12-05-2023</v>
      </c>
      <c r="D67" s="60">
        <v>93.3</v>
      </c>
      <c r="E67" s="60">
        <v>16.57</v>
      </c>
      <c r="F67" s="61">
        <f>SUM(D67:E67)</f>
        <v>109.87</v>
      </c>
      <c r="G67" s="54"/>
      <c r="I67" s="1"/>
      <c r="J67" s="1"/>
      <c r="K67" s="1"/>
      <c r="L67" s="1"/>
      <c r="M67" s="1"/>
    </row>
    <row r="68" spans="1:13" ht="13.5" thickBot="1" x14ac:dyDescent="0.25">
      <c r="C68" s="63" t="str">
        <f>"01-05-2023 to "&amp;TEXT(A5-1,"dd-mm-yyyy")</f>
        <v>01-05-2023 to 12-05-2023</v>
      </c>
      <c r="D68" s="64">
        <f>SUM(D66:D67)</f>
        <v>1527.49</v>
      </c>
      <c r="E68" s="64">
        <f>SUM(E66:E67)</f>
        <v>148.34</v>
      </c>
      <c r="F68" s="64">
        <f>SUM(F66:F67)</f>
        <v>1675.83</v>
      </c>
      <c r="G68" s="54"/>
      <c r="H68" s="2" t="s">
        <v>396</v>
      </c>
    </row>
    <row r="69" spans="1:13" s="2" customFormat="1" ht="13.5" thickTop="1" x14ac:dyDescent="0.2">
      <c r="A69" s="24"/>
      <c r="B69" s="1"/>
      <c r="C69" s="62"/>
      <c r="D69" s="65"/>
      <c r="E69" s="66"/>
      <c r="F69" s="67"/>
      <c r="G69" s="54"/>
      <c r="H69" s="53"/>
    </row>
    <row r="70" spans="1:13" x14ac:dyDescent="0.2">
      <c r="C70" s="62" t="str">
        <f>"01-04-2023 to " &amp;C67</f>
        <v>01-04-2023 to 12-05-2023</v>
      </c>
      <c r="D70" s="68">
        <f>+D68+4343.67</f>
        <v>5871.16</v>
      </c>
      <c r="E70" s="68">
        <f>+E68+536.17</f>
        <v>684.51</v>
      </c>
      <c r="F70" s="68">
        <f>+F68+4879.84</f>
        <v>6555.67</v>
      </c>
      <c r="G70" s="54"/>
      <c r="H70" s="53" t="s">
        <v>396</v>
      </c>
    </row>
    <row r="71" spans="1:13" x14ac:dyDescent="0.2">
      <c r="C71" s="52"/>
      <c r="D71" s="85"/>
      <c r="E71" s="53"/>
      <c r="F71" s="53"/>
      <c r="G71" s="54"/>
      <c r="H71" s="53" t="s">
        <v>396</v>
      </c>
      <c r="J71" s="42"/>
    </row>
    <row r="72" spans="1:13" x14ac:dyDescent="0.2">
      <c r="C72" s="52"/>
      <c r="D72" s="85"/>
      <c r="E72" s="53"/>
      <c r="F72" s="53"/>
      <c r="G72" s="54"/>
      <c r="H72" s="53"/>
      <c r="I72" s="101"/>
    </row>
    <row r="73" spans="1:13" x14ac:dyDescent="0.2">
      <c r="C73" s="52"/>
      <c r="D73" s="85"/>
      <c r="E73" s="53"/>
      <c r="F73" s="53"/>
      <c r="G73" s="54"/>
      <c r="H73" s="53"/>
    </row>
    <row r="74" spans="1:13" x14ac:dyDescent="0.2">
      <c r="C74" s="52"/>
      <c r="D74" s="85"/>
      <c r="E74" s="53"/>
      <c r="F74" s="53"/>
      <c r="G74" s="54"/>
      <c r="H74" s="53"/>
    </row>
    <row r="75" spans="1:13" x14ac:dyDescent="0.2">
      <c r="H75" s="53"/>
    </row>
  </sheetData>
  <mergeCells count="5">
    <mergeCell ref="A1:G1"/>
    <mergeCell ref="A3:F3"/>
    <mergeCell ref="A9:F9"/>
    <mergeCell ref="A43:D43"/>
    <mergeCell ref="C64:F64"/>
  </mergeCells>
  <conditionalFormatting sqref="G40:G41">
    <cfRule type="cellIs" dxfId="580" priority="2" operator="lessThan">
      <formula>0</formula>
    </cfRule>
  </conditionalFormatting>
  <conditionalFormatting sqref="C11">
    <cfRule type="duplicateValues" dxfId="579" priority="3"/>
  </conditionalFormatting>
  <conditionalFormatting sqref="C12:C20">
    <cfRule type="duplicateValues" dxfId="578" priority="478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25">
    <pageSetUpPr fitToPage="1"/>
  </sheetPr>
  <dimension ref="A1:N125"/>
  <sheetViews>
    <sheetView topLeftCell="A8" zoomScaleNormal="100" workbookViewId="0">
      <selection activeCell="C46" sqref="C46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47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968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2.75" customHeight="1" x14ac:dyDescent="0.4">
      <c r="A5" s="89">
        <v>45061</v>
      </c>
      <c r="B5" s="9" t="s">
        <v>6</v>
      </c>
      <c r="C5" s="10" t="s">
        <v>7</v>
      </c>
      <c r="D5" s="11"/>
      <c r="E5" s="12">
        <v>236474.70000000019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236474.70000000019</v>
      </c>
      <c r="F6" s="16">
        <f>SUM(F5:F5)</f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E6-F6</f>
        <v>236474.70000000019</v>
      </c>
      <c r="F7" s="22"/>
      <c r="G7" s="23"/>
      <c r="H7" s="112"/>
      <c r="I7" s="112"/>
      <c r="J7" s="13"/>
    </row>
    <row r="8" spans="1:10" s="2" customFormat="1" ht="12.75" customHeight="1" x14ac:dyDescent="0.4">
      <c r="A8" s="24"/>
      <c r="B8" s="1"/>
      <c r="C8" s="14"/>
      <c r="D8" s="25"/>
      <c r="G8" s="23"/>
      <c r="H8" s="112"/>
      <c r="I8" s="112"/>
      <c r="J8" s="13"/>
    </row>
    <row r="9" spans="1:10" s="2" customFormat="1" ht="21.75" customHeight="1" x14ac:dyDescent="0.4">
      <c r="A9" s="214" t="s">
        <v>10</v>
      </c>
      <c r="B9" s="214"/>
      <c r="C9" s="214"/>
      <c r="D9" s="214"/>
      <c r="E9" s="214"/>
      <c r="F9" s="214"/>
      <c r="G9" s="13"/>
      <c r="H9" s="112"/>
      <c r="I9" s="112"/>
      <c r="J9" s="13"/>
    </row>
    <row r="10" spans="1:10" s="2" customFormat="1" ht="12.75" customHeight="1" x14ac:dyDescent="0.4">
      <c r="A10" s="26" t="s">
        <v>1</v>
      </c>
      <c r="B10" s="27" t="s">
        <v>2</v>
      </c>
      <c r="C10" s="5"/>
      <c r="D10" s="6" t="s">
        <v>3</v>
      </c>
      <c r="E10" s="7" t="s">
        <v>4</v>
      </c>
      <c r="F10" s="7" t="s">
        <v>5</v>
      </c>
      <c r="G10" s="23"/>
      <c r="H10" s="112"/>
      <c r="I10" s="112"/>
      <c r="J10" s="13"/>
    </row>
    <row r="11" spans="1:10" s="2" customFormat="1" ht="12.75" customHeight="1" x14ac:dyDescent="0.2">
      <c r="A11" s="89">
        <v>45061</v>
      </c>
      <c r="B11" s="91" t="s">
        <v>11</v>
      </c>
      <c r="C11" s="29" t="s">
        <v>7</v>
      </c>
      <c r="D11" s="25"/>
      <c r="E11" s="31"/>
      <c r="F11" s="2">
        <v>296047259.14000005</v>
      </c>
      <c r="G11" s="30"/>
      <c r="I11" s="13"/>
      <c r="J11" s="13"/>
    </row>
    <row r="12" spans="1:10" s="2" customFormat="1" ht="12.75" customHeight="1" x14ac:dyDescent="0.2">
      <c r="A12" s="89">
        <v>45061</v>
      </c>
      <c r="B12" s="91" t="s">
        <v>6</v>
      </c>
      <c r="C12" s="76" t="s">
        <v>752</v>
      </c>
      <c r="D12" s="116" t="s">
        <v>13</v>
      </c>
      <c r="E12" s="31">
        <v>404461</v>
      </c>
      <c r="G12" s="30"/>
      <c r="I12" s="13"/>
      <c r="J12" s="13"/>
    </row>
    <row r="13" spans="1:10" s="2" customFormat="1" ht="12.75" customHeight="1" x14ac:dyDescent="0.2">
      <c r="A13" s="89">
        <v>45061</v>
      </c>
      <c r="B13" s="91" t="s">
        <v>6</v>
      </c>
      <c r="C13" s="76" t="s">
        <v>419</v>
      </c>
      <c r="D13" s="116" t="s">
        <v>13</v>
      </c>
      <c r="E13" s="31">
        <v>2283919</v>
      </c>
      <c r="G13" s="30"/>
      <c r="I13" s="13"/>
      <c r="J13" s="13"/>
    </row>
    <row r="14" spans="1:10" s="2" customFormat="1" ht="12.75" customHeight="1" x14ac:dyDescent="0.2">
      <c r="A14" s="89">
        <v>45061</v>
      </c>
      <c r="B14" s="91" t="s">
        <v>6</v>
      </c>
      <c r="C14" s="76" t="s">
        <v>614</v>
      </c>
      <c r="D14" s="116" t="s">
        <v>13</v>
      </c>
      <c r="E14" s="31">
        <v>7693</v>
      </c>
      <c r="G14" s="30"/>
      <c r="I14" s="13"/>
      <c r="J14" s="13"/>
    </row>
    <row r="15" spans="1:10" s="2" customFormat="1" ht="12.75" customHeight="1" x14ac:dyDescent="0.2">
      <c r="A15" s="89">
        <v>45061</v>
      </c>
      <c r="B15" s="91" t="s">
        <v>6</v>
      </c>
      <c r="C15" s="76" t="s">
        <v>974</v>
      </c>
      <c r="D15" s="116" t="s">
        <v>13</v>
      </c>
      <c r="E15" s="31">
        <v>125000</v>
      </c>
      <c r="G15" s="30"/>
      <c r="I15" s="13"/>
      <c r="J15" s="13"/>
    </row>
    <row r="16" spans="1:10" s="2" customFormat="1" ht="12.75" customHeight="1" x14ac:dyDescent="0.2">
      <c r="A16" s="89">
        <v>45061</v>
      </c>
      <c r="B16" s="91" t="s">
        <v>6</v>
      </c>
      <c r="C16" s="76" t="s">
        <v>160</v>
      </c>
      <c r="D16" s="116" t="s">
        <v>13</v>
      </c>
      <c r="E16" s="31">
        <v>24780</v>
      </c>
      <c r="G16" s="30"/>
      <c r="I16" s="13"/>
      <c r="J16" s="13"/>
    </row>
    <row r="17" spans="1:10" s="2" customFormat="1" ht="12.75" customHeight="1" x14ac:dyDescent="0.2">
      <c r="A17" s="89">
        <v>45061</v>
      </c>
      <c r="B17" s="91" t="s">
        <v>6</v>
      </c>
      <c r="C17" s="76" t="s">
        <v>768</v>
      </c>
      <c r="D17" s="116" t="s">
        <v>13</v>
      </c>
      <c r="E17" s="31">
        <v>4200</v>
      </c>
      <c r="G17" s="30"/>
      <c r="I17" s="13"/>
      <c r="J17" s="13"/>
    </row>
    <row r="18" spans="1:10" s="2" customFormat="1" ht="12.75" customHeight="1" x14ac:dyDescent="0.2">
      <c r="A18" s="89">
        <v>45061</v>
      </c>
      <c r="B18" s="91" t="s">
        <v>6</v>
      </c>
      <c r="C18" s="76" t="s">
        <v>969</v>
      </c>
      <c r="D18" s="116" t="s">
        <v>13</v>
      </c>
      <c r="E18" s="31">
        <v>1068034</v>
      </c>
      <c r="G18" s="30"/>
      <c r="I18" s="13"/>
      <c r="J18" s="13"/>
    </row>
    <row r="19" spans="1:10" s="2" customFormat="1" ht="12.75" customHeight="1" x14ac:dyDescent="0.2">
      <c r="A19" s="89">
        <v>45061</v>
      </c>
      <c r="B19" s="91" t="s">
        <v>6</v>
      </c>
      <c r="C19" s="76" t="s">
        <v>972</v>
      </c>
      <c r="D19" s="116" t="s">
        <v>13</v>
      </c>
      <c r="E19" s="31">
        <v>380205</v>
      </c>
      <c r="G19" s="30"/>
      <c r="I19" s="13"/>
      <c r="J19" s="13"/>
    </row>
    <row r="20" spans="1:10" s="2" customFormat="1" ht="12.75" customHeight="1" x14ac:dyDescent="0.2">
      <c r="A20" s="89">
        <v>45061</v>
      </c>
      <c r="B20" s="91" t="s">
        <v>6</v>
      </c>
      <c r="C20" s="76" t="s">
        <v>722</v>
      </c>
      <c r="D20" s="116" t="s">
        <v>13</v>
      </c>
      <c r="E20" s="31">
        <v>30765</v>
      </c>
      <c r="G20" s="30"/>
      <c r="I20" s="13"/>
      <c r="J20" s="13"/>
    </row>
    <row r="21" spans="1:10" s="2" customFormat="1" ht="12.75" customHeight="1" x14ac:dyDescent="0.2">
      <c r="A21" s="89">
        <v>45061</v>
      </c>
      <c r="B21" s="91" t="s">
        <v>6</v>
      </c>
      <c r="C21" s="76" t="s">
        <v>389</v>
      </c>
      <c r="D21" s="116" t="s">
        <v>13</v>
      </c>
      <c r="E21" s="31">
        <v>2226948.25</v>
      </c>
      <c r="G21" s="30"/>
      <c r="I21" s="13"/>
      <c r="J21" s="13"/>
    </row>
    <row r="22" spans="1:10" s="2" customFormat="1" ht="12.75" customHeight="1" x14ac:dyDescent="0.2">
      <c r="A22" s="89">
        <v>45061</v>
      </c>
      <c r="B22" s="91" t="s">
        <v>6</v>
      </c>
      <c r="C22" s="76" t="s">
        <v>149</v>
      </c>
      <c r="D22" s="116" t="s">
        <v>13</v>
      </c>
      <c r="E22" s="31">
        <v>68222</v>
      </c>
      <c r="G22" s="30"/>
      <c r="I22" s="13"/>
      <c r="J22" s="13"/>
    </row>
    <row r="23" spans="1:10" s="2" customFormat="1" ht="12.75" customHeight="1" x14ac:dyDescent="0.2">
      <c r="A23" s="89">
        <v>45061</v>
      </c>
      <c r="B23" s="91" t="s">
        <v>6</v>
      </c>
      <c r="C23" s="76" t="s">
        <v>759</v>
      </c>
      <c r="D23" s="116" t="s">
        <v>13</v>
      </c>
      <c r="E23" s="31">
        <v>6170687.3899999997</v>
      </c>
      <c r="G23" s="30"/>
      <c r="I23" s="13"/>
      <c r="J23" s="13"/>
    </row>
    <row r="24" spans="1:10" s="2" customFormat="1" ht="12.75" customHeight="1" x14ac:dyDescent="0.2">
      <c r="A24" s="89">
        <v>45061</v>
      </c>
      <c r="B24" s="91" t="s">
        <v>6</v>
      </c>
      <c r="C24" s="76" t="s">
        <v>749</v>
      </c>
      <c r="D24" s="116" t="s">
        <v>13</v>
      </c>
      <c r="E24" s="31">
        <v>1562146.53</v>
      </c>
      <c r="G24" s="30"/>
      <c r="I24" s="13"/>
      <c r="J24" s="13"/>
    </row>
    <row r="25" spans="1:10" s="2" customFormat="1" ht="12.75" customHeight="1" x14ac:dyDescent="0.2">
      <c r="A25" s="89">
        <v>45061</v>
      </c>
      <c r="B25" s="91" t="s">
        <v>6</v>
      </c>
      <c r="C25" s="76" t="s">
        <v>764</v>
      </c>
      <c r="D25" s="116" t="s">
        <v>13</v>
      </c>
      <c r="E25" s="31">
        <v>722952.48</v>
      </c>
      <c r="G25" s="30"/>
      <c r="I25" s="13"/>
      <c r="J25" s="13"/>
    </row>
    <row r="26" spans="1:10" s="2" customFormat="1" ht="12.75" customHeight="1" x14ac:dyDescent="0.2">
      <c r="A26" s="89">
        <v>45061</v>
      </c>
      <c r="B26" s="91" t="s">
        <v>6</v>
      </c>
      <c r="C26" s="76" t="s">
        <v>755</v>
      </c>
      <c r="D26" s="116" t="s">
        <v>13</v>
      </c>
      <c r="E26" s="31">
        <v>1601555.77</v>
      </c>
      <c r="G26" s="30"/>
      <c r="I26" s="13"/>
      <c r="J26" s="13"/>
    </row>
    <row r="27" spans="1:10" s="2" customFormat="1" ht="12.75" customHeight="1" x14ac:dyDescent="0.2">
      <c r="A27" s="89">
        <v>45061</v>
      </c>
      <c r="B27" s="91" t="s">
        <v>6</v>
      </c>
      <c r="C27" s="76" t="s">
        <v>973</v>
      </c>
      <c r="D27" s="116" t="s">
        <v>13</v>
      </c>
      <c r="E27" s="31">
        <v>37093.870000000003</v>
      </c>
      <c r="G27" s="30"/>
      <c r="I27" s="13"/>
      <c r="J27" s="13"/>
    </row>
    <row r="28" spans="1:10" s="2" customFormat="1" ht="12.75" customHeight="1" x14ac:dyDescent="0.2">
      <c r="A28" s="89">
        <v>45061</v>
      </c>
      <c r="B28" s="91" t="s">
        <v>6</v>
      </c>
      <c r="C28" s="76" t="s">
        <v>152</v>
      </c>
      <c r="D28" s="116" t="s">
        <v>13</v>
      </c>
      <c r="E28" s="31">
        <v>402334.91</v>
      </c>
      <c r="G28" s="30"/>
      <c r="I28" s="13"/>
      <c r="J28" s="13"/>
    </row>
    <row r="29" spans="1:10" s="2" customFormat="1" ht="12.75" customHeight="1" x14ac:dyDescent="0.2">
      <c r="A29" s="89">
        <v>45061</v>
      </c>
      <c r="B29" s="91" t="s">
        <v>6</v>
      </c>
      <c r="C29" s="76" t="s">
        <v>590</v>
      </c>
      <c r="D29" s="116" t="s">
        <v>13</v>
      </c>
      <c r="E29" s="31">
        <v>131120</v>
      </c>
      <c r="G29" s="30"/>
      <c r="I29" s="13"/>
      <c r="J29" s="13"/>
    </row>
    <row r="30" spans="1:10" s="2" customFormat="1" ht="12.75" customHeight="1" x14ac:dyDescent="0.2">
      <c r="A30" s="89">
        <v>45061</v>
      </c>
      <c r="B30" s="91" t="s">
        <v>11</v>
      </c>
      <c r="C30" s="76" t="s">
        <v>111</v>
      </c>
      <c r="D30" s="116" t="s">
        <v>29</v>
      </c>
      <c r="E30" s="31"/>
      <c r="F30" s="2">
        <v>1852172.8100000003</v>
      </c>
      <c r="G30" s="30"/>
      <c r="I30" s="13"/>
      <c r="J30" s="13"/>
    </row>
    <row r="31" spans="1:10" s="2" customFormat="1" ht="12.75" customHeight="1" x14ac:dyDescent="0.2">
      <c r="A31" s="89">
        <v>45061</v>
      </c>
      <c r="B31" s="91" t="s">
        <v>11</v>
      </c>
      <c r="C31" s="76" t="s">
        <v>533</v>
      </c>
      <c r="D31" s="116" t="s">
        <v>29</v>
      </c>
      <c r="E31" s="31"/>
      <c r="F31" s="2">
        <v>61155</v>
      </c>
      <c r="G31" s="30"/>
      <c r="I31" s="13"/>
      <c r="J31" s="13"/>
    </row>
    <row r="32" spans="1:10" s="2" customFormat="1" ht="12.75" customHeight="1" x14ac:dyDescent="0.2">
      <c r="A32" s="89">
        <v>45061</v>
      </c>
      <c r="B32" s="91" t="s">
        <v>11</v>
      </c>
      <c r="C32" s="76" t="s">
        <v>109</v>
      </c>
      <c r="D32" s="116" t="s">
        <v>29</v>
      </c>
      <c r="E32" s="31"/>
      <c r="F32" s="2">
        <v>1754681</v>
      </c>
      <c r="G32" s="30"/>
      <c r="I32" s="13"/>
      <c r="J32" s="13"/>
    </row>
    <row r="33" spans="1:10" s="2" customFormat="1" ht="12.75" customHeight="1" x14ac:dyDescent="0.2">
      <c r="A33" s="89">
        <v>45061</v>
      </c>
      <c r="B33" s="91" t="s">
        <v>11</v>
      </c>
      <c r="C33" s="76" t="s">
        <v>223</v>
      </c>
      <c r="D33" s="116" t="s">
        <v>29</v>
      </c>
      <c r="E33" s="31"/>
      <c r="F33" s="2">
        <v>7137</v>
      </c>
      <c r="G33" s="30"/>
      <c r="I33" s="13"/>
      <c r="J33" s="13"/>
    </row>
    <row r="34" spans="1:10" s="2" customFormat="1" ht="12.75" customHeight="1" x14ac:dyDescent="0.2">
      <c r="A34" s="89">
        <v>45061</v>
      </c>
      <c r="B34" s="91" t="s">
        <v>11</v>
      </c>
      <c r="C34" s="76" t="s">
        <v>34</v>
      </c>
      <c r="D34" s="116" t="s">
        <v>29</v>
      </c>
      <c r="E34" s="31"/>
      <c r="F34" s="2">
        <v>80000</v>
      </c>
      <c r="G34" s="30"/>
      <c r="I34" s="13"/>
      <c r="J34" s="13"/>
    </row>
    <row r="35" spans="1:10" s="2" customFormat="1" ht="12.75" customHeight="1" x14ac:dyDescent="0.2">
      <c r="A35" s="89">
        <v>45061</v>
      </c>
      <c r="B35" s="91" t="s">
        <v>11</v>
      </c>
      <c r="C35" s="76" t="s">
        <v>459</v>
      </c>
      <c r="D35" s="116" t="s">
        <v>29</v>
      </c>
      <c r="E35" s="31"/>
      <c r="F35" s="2">
        <v>41064</v>
      </c>
      <c r="G35" s="30"/>
      <c r="I35" s="13"/>
      <c r="J35" s="13"/>
    </row>
    <row r="36" spans="1:10" s="2" customFormat="1" ht="12.75" customHeight="1" x14ac:dyDescent="0.2">
      <c r="A36" s="89">
        <v>45061</v>
      </c>
      <c r="B36" s="91" t="s">
        <v>11</v>
      </c>
      <c r="C36" s="76" t="s">
        <v>523</v>
      </c>
      <c r="D36" s="116" t="s">
        <v>29</v>
      </c>
      <c r="E36" s="31"/>
      <c r="F36" s="2">
        <v>82600</v>
      </c>
      <c r="G36" s="30"/>
      <c r="I36" s="13"/>
      <c r="J36" s="13"/>
    </row>
    <row r="37" spans="1:10" s="2" customFormat="1" ht="12.75" customHeight="1" x14ac:dyDescent="0.2">
      <c r="A37" s="89">
        <v>45061</v>
      </c>
      <c r="B37" s="91" t="s">
        <v>11</v>
      </c>
      <c r="C37" s="76" t="s">
        <v>970</v>
      </c>
      <c r="D37" s="116" t="s">
        <v>29</v>
      </c>
      <c r="E37" s="31"/>
      <c r="F37" s="2">
        <v>62775</v>
      </c>
      <c r="G37" s="30"/>
      <c r="I37" s="13"/>
      <c r="J37" s="13"/>
    </row>
    <row r="38" spans="1:10" s="2" customFormat="1" ht="12.75" customHeight="1" x14ac:dyDescent="0.2">
      <c r="A38" s="89">
        <v>45061</v>
      </c>
      <c r="B38" s="91" t="s">
        <v>11</v>
      </c>
      <c r="C38" s="76" t="s">
        <v>373</v>
      </c>
      <c r="D38" s="116" t="s">
        <v>29</v>
      </c>
      <c r="E38" s="31"/>
      <c r="F38" s="2">
        <v>19618</v>
      </c>
      <c r="G38" s="30"/>
      <c r="I38" s="13"/>
      <c r="J38" s="13"/>
    </row>
    <row r="39" spans="1:10" s="2" customFormat="1" ht="12.75" customHeight="1" x14ac:dyDescent="0.2">
      <c r="A39" s="89">
        <v>45061</v>
      </c>
      <c r="B39" s="91" t="s">
        <v>11</v>
      </c>
      <c r="C39" s="76" t="s">
        <v>961</v>
      </c>
      <c r="D39" s="116" t="s">
        <v>29</v>
      </c>
      <c r="E39" s="31"/>
      <c r="F39" s="2">
        <v>24000</v>
      </c>
      <c r="G39" s="30"/>
      <c r="I39" s="13"/>
      <c r="J39" s="13"/>
    </row>
    <row r="40" spans="1:10" s="2" customFormat="1" ht="12.75" customHeight="1" x14ac:dyDescent="0.2">
      <c r="A40" s="89">
        <v>45061</v>
      </c>
      <c r="B40" s="91" t="s">
        <v>11</v>
      </c>
      <c r="C40" s="76" t="s">
        <v>971</v>
      </c>
      <c r="D40" s="116" t="s">
        <v>29</v>
      </c>
      <c r="E40" s="31"/>
      <c r="F40" s="2">
        <v>148500</v>
      </c>
      <c r="G40" s="30"/>
      <c r="I40" s="13"/>
      <c r="J40" s="13"/>
    </row>
    <row r="41" spans="1:10" s="2" customFormat="1" ht="12.75" customHeight="1" x14ac:dyDescent="0.2">
      <c r="A41" s="89">
        <v>45061</v>
      </c>
      <c r="B41" s="91" t="s">
        <v>11</v>
      </c>
      <c r="C41" s="76" t="s">
        <v>47</v>
      </c>
      <c r="D41" s="116" t="s">
        <v>29</v>
      </c>
      <c r="E41" s="31"/>
      <c r="F41" s="2">
        <v>9492</v>
      </c>
      <c r="G41" s="30"/>
      <c r="I41" s="13"/>
      <c r="J41" s="13"/>
    </row>
    <row r="42" spans="1:10" s="2" customFormat="1" ht="12.75" customHeight="1" x14ac:dyDescent="0.2">
      <c r="A42" s="89">
        <v>45061</v>
      </c>
      <c r="B42" s="91" t="s">
        <v>11</v>
      </c>
      <c r="C42" s="76" t="s">
        <v>126</v>
      </c>
      <c r="D42" s="116" t="s">
        <v>29</v>
      </c>
      <c r="E42" s="31"/>
      <c r="F42" s="2">
        <v>983681</v>
      </c>
      <c r="G42" s="30"/>
      <c r="I42" s="13"/>
      <c r="J42" s="13"/>
    </row>
    <row r="43" spans="1:10" s="2" customFormat="1" ht="12.75" customHeight="1" x14ac:dyDescent="0.2">
      <c r="A43" s="89">
        <v>45061</v>
      </c>
      <c r="B43" s="91" t="s">
        <v>11</v>
      </c>
      <c r="C43" s="76" t="s">
        <v>256</v>
      </c>
      <c r="D43" s="116" t="s">
        <v>29</v>
      </c>
      <c r="E43" s="31"/>
      <c r="F43" s="2">
        <v>549320</v>
      </c>
      <c r="G43" s="30"/>
      <c r="I43" s="13"/>
      <c r="J43" s="13"/>
    </row>
    <row r="44" spans="1:10" s="2" customFormat="1" ht="12.75" customHeight="1" x14ac:dyDescent="0.2">
      <c r="A44" s="89">
        <v>45061</v>
      </c>
      <c r="B44" s="91" t="s">
        <v>11</v>
      </c>
      <c r="C44" s="76" t="s">
        <v>107</v>
      </c>
      <c r="D44" s="116" t="s">
        <v>29</v>
      </c>
      <c r="E44" s="31"/>
      <c r="F44" s="2">
        <v>1071208.3999999999</v>
      </c>
      <c r="G44" s="30"/>
      <c r="I44" s="13"/>
      <c r="J44" s="13"/>
    </row>
    <row r="45" spans="1:10" s="2" customFormat="1" ht="12.75" customHeight="1" x14ac:dyDescent="0.2">
      <c r="A45" s="89">
        <v>45061</v>
      </c>
      <c r="B45" s="91" t="s">
        <v>11</v>
      </c>
      <c r="C45" s="76" t="s">
        <v>260</v>
      </c>
      <c r="D45" s="116" t="s">
        <v>29</v>
      </c>
      <c r="E45" s="31"/>
      <c r="F45" s="2">
        <v>4106264.67</v>
      </c>
      <c r="G45" s="30"/>
      <c r="I45" s="13"/>
      <c r="J45" s="13"/>
    </row>
    <row r="46" spans="1:10" s="2" customFormat="1" ht="12.75" customHeight="1" x14ac:dyDescent="0.2">
      <c r="A46" s="89">
        <v>45061</v>
      </c>
      <c r="B46" s="91" t="s">
        <v>11</v>
      </c>
      <c r="C46" s="76" t="s">
        <v>754</v>
      </c>
      <c r="D46" s="116" t="s">
        <v>29</v>
      </c>
      <c r="E46" s="31"/>
      <c r="F46" s="2">
        <v>1124064.48</v>
      </c>
      <c r="G46" s="30"/>
      <c r="I46" s="13"/>
      <c r="J46" s="13"/>
    </row>
    <row r="47" spans="1:10" s="2" customFormat="1" ht="12.75" customHeight="1" x14ac:dyDescent="0.2">
      <c r="A47" s="89">
        <v>45061</v>
      </c>
      <c r="B47" s="91" t="s">
        <v>11</v>
      </c>
      <c r="C47" s="76" t="s">
        <v>171</v>
      </c>
      <c r="D47" s="116" t="s">
        <v>29</v>
      </c>
      <c r="E47" s="31"/>
      <c r="F47" s="2">
        <v>5491</v>
      </c>
      <c r="G47" s="30"/>
      <c r="I47" s="13"/>
      <c r="J47" s="13"/>
    </row>
    <row r="48" spans="1:10" s="2" customFormat="1" ht="12.75" customHeight="1" x14ac:dyDescent="0.2">
      <c r="A48" s="89">
        <v>45061</v>
      </c>
      <c r="B48" s="91" t="s">
        <v>11</v>
      </c>
      <c r="C48" s="76" t="s">
        <v>823</v>
      </c>
      <c r="D48" s="116" t="s">
        <v>29</v>
      </c>
      <c r="E48" s="31"/>
      <c r="F48" s="2">
        <v>19300</v>
      </c>
      <c r="G48" s="30"/>
      <c r="I48" s="13"/>
      <c r="J48" s="13"/>
    </row>
    <row r="49" spans="1:10" s="2" customFormat="1" ht="12.75" customHeight="1" x14ac:dyDescent="0.2">
      <c r="A49" s="89">
        <v>45061</v>
      </c>
      <c r="B49" s="91" t="s">
        <v>11</v>
      </c>
      <c r="C49" s="76" t="s">
        <v>131</v>
      </c>
      <c r="D49" s="116" t="s">
        <v>29</v>
      </c>
      <c r="E49" s="31"/>
      <c r="F49" s="2">
        <v>28652</v>
      </c>
      <c r="G49" s="30"/>
      <c r="I49" s="13"/>
      <c r="J49" s="13"/>
    </row>
    <row r="50" spans="1:10" s="2" customFormat="1" ht="12.75" customHeight="1" x14ac:dyDescent="0.2">
      <c r="A50" s="89">
        <v>45061</v>
      </c>
      <c r="B50" s="91" t="s">
        <v>11</v>
      </c>
      <c r="C50" s="76" t="s">
        <v>221</v>
      </c>
      <c r="D50" s="116" t="s">
        <v>29</v>
      </c>
      <c r="E50" s="31"/>
      <c r="F50" s="2">
        <v>690</v>
      </c>
      <c r="G50" s="30"/>
      <c r="I50" s="13"/>
      <c r="J50" s="13"/>
    </row>
    <row r="51" spans="1:10" s="2" customFormat="1" ht="12.75" customHeight="1" x14ac:dyDescent="0.2">
      <c r="A51" s="89">
        <v>45061</v>
      </c>
      <c r="B51" s="91" t="s">
        <v>11</v>
      </c>
      <c r="C51" s="76" t="s">
        <v>236</v>
      </c>
      <c r="D51" s="116" t="s">
        <v>29</v>
      </c>
      <c r="E51" s="31"/>
      <c r="F51" s="2">
        <v>2000000</v>
      </c>
      <c r="G51" s="30"/>
      <c r="I51" s="13"/>
      <c r="J51" s="13"/>
    </row>
    <row r="52" spans="1:10" s="2" customFormat="1" ht="12.75" customHeight="1" x14ac:dyDescent="0.2">
      <c r="A52" s="89">
        <v>45061</v>
      </c>
      <c r="B52" s="91" t="s">
        <v>11</v>
      </c>
      <c r="C52" s="76" t="s">
        <v>658</v>
      </c>
      <c r="D52" s="116" t="s">
        <v>29</v>
      </c>
      <c r="E52" s="31"/>
      <c r="F52" s="2">
        <v>2360</v>
      </c>
      <c r="G52" s="30"/>
      <c r="I52" s="13"/>
      <c r="J52" s="13"/>
    </row>
    <row r="53" spans="1:10" s="2" customFormat="1" ht="12.75" customHeight="1" x14ac:dyDescent="0.2">
      <c r="A53" s="89">
        <v>45061</v>
      </c>
      <c r="B53" s="91" t="s">
        <v>11</v>
      </c>
      <c r="C53" s="76" t="s">
        <v>238</v>
      </c>
      <c r="D53" s="116" t="s">
        <v>29</v>
      </c>
      <c r="E53" s="31"/>
      <c r="F53" s="2">
        <v>1000000</v>
      </c>
      <c r="G53" s="30"/>
      <c r="I53" s="13"/>
      <c r="J53" s="13"/>
    </row>
    <row r="54" spans="1:10" s="2" customFormat="1" ht="12.75" customHeight="1" x14ac:dyDescent="0.2">
      <c r="A54" s="89">
        <v>45061</v>
      </c>
      <c r="B54" s="91" t="s">
        <v>11</v>
      </c>
      <c r="C54" s="76" t="s">
        <v>57</v>
      </c>
      <c r="D54" s="116" t="s">
        <v>29</v>
      </c>
      <c r="E54" s="31"/>
      <c r="F54" s="2">
        <v>5000000</v>
      </c>
      <c r="G54" s="30"/>
      <c r="I54" s="13"/>
      <c r="J54" s="13"/>
    </row>
    <row r="55" spans="1:10" s="2" customFormat="1" ht="12.75" customHeight="1" x14ac:dyDescent="0.2">
      <c r="A55" s="89">
        <v>45061</v>
      </c>
      <c r="B55" s="91" t="s">
        <v>11</v>
      </c>
      <c r="C55" s="76" t="s">
        <v>62</v>
      </c>
      <c r="D55" s="116" t="s">
        <v>29</v>
      </c>
      <c r="E55" s="31"/>
      <c r="F55" s="2">
        <v>10000</v>
      </c>
      <c r="G55" s="30"/>
      <c r="I55" s="13"/>
      <c r="J55" s="13"/>
    </row>
    <row r="56" spans="1:10" s="2" customFormat="1" ht="12.75" customHeight="1" x14ac:dyDescent="0.2">
      <c r="A56" s="89">
        <v>45061</v>
      </c>
      <c r="B56" s="91" t="s">
        <v>11</v>
      </c>
      <c r="C56" s="76" t="s">
        <v>96</v>
      </c>
      <c r="D56" s="116" t="s">
        <v>29</v>
      </c>
      <c r="E56" s="31"/>
      <c r="F56" s="2">
        <v>6483</v>
      </c>
      <c r="G56" s="30"/>
      <c r="I56" s="13"/>
      <c r="J56" s="13"/>
    </row>
    <row r="57" spans="1:10" s="2" customFormat="1" ht="12.75" customHeight="1" x14ac:dyDescent="0.2">
      <c r="A57" s="89">
        <v>45061</v>
      </c>
      <c r="B57" s="91" t="s">
        <v>11</v>
      </c>
      <c r="C57" s="76" t="s">
        <v>64</v>
      </c>
      <c r="D57" s="116" t="s">
        <v>29</v>
      </c>
      <c r="E57" s="31"/>
      <c r="F57" s="2">
        <v>17948.84</v>
      </c>
      <c r="G57" s="30"/>
      <c r="I57" s="13"/>
      <c r="J57" s="13"/>
    </row>
    <row r="58" spans="1:10" s="2" customFormat="1" ht="12.75" customHeight="1" x14ac:dyDescent="0.2">
      <c r="A58" s="89">
        <v>45061</v>
      </c>
      <c r="B58" s="91" t="s">
        <v>11</v>
      </c>
      <c r="C58" s="76" t="s">
        <v>140</v>
      </c>
      <c r="D58" s="116" t="s">
        <v>29</v>
      </c>
      <c r="E58" s="31"/>
      <c r="F58" s="2">
        <v>4372478</v>
      </c>
      <c r="G58" s="30"/>
      <c r="I58" s="13"/>
      <c r="J58" s="13"/>
    </row>
    <row r="59" spans="1:10" s="2" customFormat="1" ht="12.75" customHeight="1" x14ac:dyDescent="0.2">
      <c r="A59" s="89">
        <v>45061</v>
      </c>
      <c r="B59" s="91" t="s">
        <v>11</v>
      </c>
      <c r="C59" s="76" t="s">
        <v>194</v>
      </c>
      <c r="D59" s="116" t="s">
        <v>29</v>
      </c>
      <c r="E59" s="31"/>
      <c r="F59" s="2">
        <v>1135863</v>
      </c>
      <c r="G59" s="30"/>
      <c r="I59" s="13"/>
      <c r="J59" s="13"/>
    </row>
    <row r="60" spans="1:10" s="2" customFormat="1" ht="12.75" customHeight="1" x14ac:dyDescent="0.2">
      <c r="A60" s="89">
        <v>45061</v>
      </c>
      <c r="B60" s="91" t="s">
        <v>11</v>
      </c>
      <c r="C60" s="76" t="s">
        <v>825</v>
      </c>
      <c r="D60" s="116" t="s">
        <v>29</v>
      </c>
      <c r="E60" s="31"/>
      <c r="F60" s="2">
        <v>1722523.5</v>
      </c>
      <c r="G60" s="30"/>
      <c r="I60" s="13"/>
      <c r="J60" s="13"/>
    </row>
    <row r="61" spans="1:10" s="2" customFormat="1" ht="12.75" customHeight="1" x14ac:dyDescent="0.2">
      <c r="A61" s="89">
        <v>45061</v>
      </c>
      <c r="B61" s="91" t="s">
        <v>11</v>
      </c>
      <c r="C61" s="76" t="s">
        <v>790</v>
      </c>
      <c r="D61" s="116" t="s">
        <v>29</v>
      </c>
      <c r="E61" s="31"/>
      <c r="F61" s="2">
        <v>391073</v>
      </c>
      <c r="G61" s="30"/>
      <c r="I61" s="13"/>
      <c r="J61" s="13"/>
    </row>
    <row r="62" spans="1:10" s="2" customFormat="1" ht="12.75" customHeight="1" x14ac:dyDescent="0.2">
      <c r="A62" s="89">
        <v>45061</v>
      </c>
      <c r="B62" s="91" t="s">
        <v>11</v>
      </c>
      <c r="C62" s="76" t="s">
        <v>56</v>
      </c>
      <c r="D62" s="116" t="s">
        <v>29</v>
      </c>
      <c r="E62" s="31"/>
      <c r="F62" s="2">
        <v>233145</v>
      </c>
      <c r="G62" s="30"/>
      <c r="I62" s="13"/>
      <c r="J62" s="13"/>
    </row>
    <row r="63" spans="1:10" s="2" customFormat="1" ht="12.75" customHeight="1" x14ac:dyDescent="0.2">
      <c r="A63" s="89">
        <v>45061</v>
      </c>
      <c r="B63" s="91" t="s">
        <v>11</v>
      </c>
      <c r="C63" s="76" t="s">
        <v>849</v>
      </c>
      <c r="D63" s="116" t="s">
        <v>29</v>
      </c>
      <c r="E63" s="31"/>
      <c r="F63" s="2">
        <v>381727.5</v>
      </c>
      <c r="G63" s="30"/>
      <c r="I63" s="13"/>
      <c r="J63" s="13"/>
    </row>
    <row r="64" spans="1:10" s="2" customFormat="1" ht="12.75" customHeight="1" x14ac:dyDescent="0.2">
      <c r="A64" s="89">
        <v>45061</v>
      </c>
      <c r="B64" s="91" t="s">
        <v>11</v>
      </c>
      <c r="C64" s="76" t="s">
        <v>139</v>
      </c>
      <c r="D64" s="116" t="s">
        <v>29</v>
      </c>
      <c r="E64" s="31"/>
      <c r="F64" s="2">
        <v>1240610</v>
      </c>
      <c r="G64" s="30"/>
      <c r="I64" s="13"/>
      <c r="J64" s="13"/>
    </row>
    <row r="65" spans="1:14" s="2" customFormat="1" ht="12.75" customHeight="1" x14ac:dyDescent="0.2">
      <c r="A65" s="89">
        <v>45061</v>
      </c>
      <c r="B65" s="91" t="s">
        <v>11</v>
      </c>
      <c r="C65" s="76" t="s">
        <v>263</v>
      </c>
      <c r="D65" s="116" t="s">
        <v>29</v>
      </c>
      <c r="E65" s="31"/>
      <c r="F65" s="2">
        <v>42069</v>
      </c>
      <c r="G65" s="30"/>
      <c r="I65" s="13"/>
      <c r="J65" s="13"/>
    </row>
    <row r="66" spans="1:14" s="13" customFormat="1" ht="12.75" customHeight="1" x14ac:dyDescent="0.2">
      <c r="A66" s="97">
        <v>45061</v>
      </c>
      <c r="B66" s="102" t="s">
        <v>11</v>
      </c>
      <c r="C66" s="94" t="s">
        <v>963</v>
      </c>
      <c r="D66" s="119" t="s">
        <v>258</v>
      </c>
      <c r="E66" s="95"/>
      <c r="F66" s="13">
        <v>1065709</v>
      </c>
      <c r="G66" s="100"/>
    </row>
    <row r="67" spans="1:14" s="13" customFormat="1" ht="12.75" customHeight="1" x14ac:dyDescent="0.2">
      <c r="A67" s="97">
        <v>45061</v>
      </c>
      <c r="B67" s="102" t="s">
        <v>11</v>
      </c>
      <c r="C67" s="94" t="s">
        <v>143</v>
      </c>
      <c r="D67" s="119" t="s">
        <v>258</v>
      </c>
      <c r="E67" s="95"/>
      <c r="F67" s="13">
        <v>885061</v>
      </c>
      <c r="G67" s="100"/>
    </row>
    <row r="68" spans="1:14" s="2" customFormat="1" ht="12.75" customHeight="1" x14ac:dyDescent="0.2">
      <c r="A68" s="89">
        <v>45061</v>
      </c>
      <c r="B68" s="91" t="s">
        <v>11</v>
      </c>
      <c r="C68" s="76" t="s">
        <v>793</v>
      </c>
      <c r="D68" s="116" t="s">
        <v>29</v>
      </c>
      <c r="E68" s="31"/>
      <c r="F68" s="2">
        <v>1690996</v>
      </c>
      <c r="G68" s="30"/>
      <c r="I68" s="13"/>
      <c r="J68" s="13"/>
    </row>
    <row r="69" spans="1:14" s="2" customFormat="1" ht="12.75" customHeight="1" x14ac:dyDescent="0.2">
      <c r="A69" s="89">
        <v>45061</v>
      </c>
      <c r="B69" s="91" t="s">
        <v>11</v>
      </c>
      <c r="C69" s="76" t="s">
        <v>412</v>
      </c>
      <c r="D69" s="116" t="s">
        <v>29</v>
      </c>
      <c r="E69" s="31"/>
      <c r="F69" s="2">
        <v>1787472</v>
      </c>
      <c r="G69" s="30"/>
      <c r="I69" s="13"/>
      <c r="J69" s="13" t="s">
        <v>601</v>
      </c>
      <c r="K69" s="99" t="s">
        <v>779</v>
      </c>
    </row>
    <row r="70" spans="1:14" s="2" customFormat="1" ht="12.75" customHeight="1" x14ac:dyDescent="0.25">
      <c r="A70" s="32"/>
      <c r="B70" s="33"/>
      <c r="C70" s="14"/>
      <c r="D70" s="34"/>
      <c r="E70" s="16">
        <f>SUM(E11:E69)</f>
        <v>17252118.199999999</v>
      </c>
      <c r="F70" s="16">
        <f>SUM(F11:F69)</f>
        <v>331064644.34000003</v>
      </c>
      <c r="G70" s="30"/>
      <c r="H70" s="1"/>
      <c r="I70" s="39">
        <v>317243841.13999999</v>
      </c>
      <c r="J70" s="2">
        <v>3005264</v>
      </c>
      <c r="K70" s="92">
        <f>E71-I70</f>
        <v>-3431314.9999999404</v>
      </c>
      <c r="L70" s="41"/>
      <c r="M70" s="42">
        <f>K70+J70</f>
        <v>-426050.9999999404</v>
      </c>
      <c r="N70" s="1"/>
    </row>
    <row r="71" spans="1:14" s="2" customFormat="1" x14ac:dyDescent="0.2">
      <c r="A71" s="36"/>
      <c r="B71" s="28" t="s">
        <v>11</v>
      </c>
      <c r="C71" s="19" t="s">
        <v>65</v>
      </c>
      <c r="D71" s="37"/>
      <c r="E71" s="38">
        <f>F70-E70</f>
        <v>313812526.14000005</v>
      </c>
      <c r="F71" s="22"/>
      <c r="G71" s="1"/>
      <c r="H71" s="1"/>
      <c r="J71" s="1"/>
      <c r="K71" s="1"/>
      <c r="L71" s="1"/>
      <c r="M71" s="1"/>
      <c r="N71" s="1"/>
    </row>
    <row r="72" spans="1:14" x14ac:dyDescent="0.2">
      <c r="A72" s="36"/>
      <c r="B72" s="28" t="s">
        <v>66</v>
      </c>
      <c r="C72" s="43" t="s">
        <v>67</v>
      </c>
      <c r="D72" s="43"/>
      <c r="E72" s="12">
        <v>0</v>
      </c>
      <c r="F72" s="22"/>
      <c r="H72" s="40"/>
      <c r="I72" s="45">
        <v>1713.31</v>
      </c>
      <c r="J72" s="46"/>
      <c r="K72" s="46"/>
      <c r="L72" s="13"/>
      <c r="M72" s="2"/>
      <c r="N72" s="2"/>
    </row>
    <row r="73" spans="1:14" ht="15" x14ac:dyDescent="0.25">
      <c r="A73" s="36"/>
      <c r="B73" s="28"/>
      <c r="C73" s="44" t="s">
        <v>68</v>
      </c>
      <c r="D73" s="43"/>
      <c r="E73" s="7">
        <f>E71+E72</f>
        <v>313812526.14000005</v>
      </c>
      <c r="F73" s="22"/>
      <c r="H73" s="103" t="s">
        <v>69</v>
      </c>
      <c r="I73" s="45">
        <v>-82.79</v>
      </c>
      <c r="J73" s="46"/>
      <c r="K73" s="46"/>
      <c r="L73" s="2"/>
      <c r="M73" s="2"/>
      <c r="N73" s="2"/>
    </row>
    <row r="74" spans="1:14" s="2" customFormat="1" x14ac:dyDescent="0.2">
      <c r="A74" s="24"/>
      <c r="B74" s="1"/>
      <c r="C74" s="14"/>
      <c r="D74" s="25"/>
      <c r="E74" s="1"/>
      <c r="H74" s="35" t="s">
        <v>70</v>
      </c>
      <c r="I74" s="45">
        <v>0</v>
      </c>
      <c r="J74" s="46">
        <f>+I75-D77</f>
        <v>0</v>
      </c>
      <c r="M74" s="2">
        <v>19.57</v>
      </c>
      <c r="N74" s="2" t="s">
        <v>535</v>
      </c>
    </row>
    <row r="75" spans="1:14" s="2" customFormat="1" x14ac:dyDescent="0.2">
      <c r="A75" s="24"/>
      <c r="B75" s="1"/>
      <c r="C75" s="56"/>
      <c r="D75" s="56"/>
      <c r="E75" s="104"/>
      <c r="G75" s="1"/>
      <c r="I75" s="49">
        <f>SUM(I72:I74)</f>
        <v>1630.52</v>
      </c>
      <c r="J75" s="46"/>
      <c r="K75" s="46"/>
    </row>
    <row r="76" spans="1:14" s="2" customFormat="1" x14ac:dyDescent="0.2">
      <c r="A76" s="24"/>
      <c r="B76" s="1"/>
      <c r="C76" s="78" t="s">
        <v>575</v>
      </c>
      <c r="D76" s="48" t="s">
        <v>576</v>
      </c>
      <c r="E76" s="104"/>
      <c r="G76" s="1"/>
    </row>
    <row r="77" spans="1:14" s="2" customFormat="1" x14ac:dyDescent="0.2">
      <c r="A77" s="24"/>
      <c r="B77" s="1"/>
      <c r="C77" s="47" t="s">
        <v>570</v>
      </c>
      <c r="D77" s="111">
        <v>1630.52</v>
      </c>
      <c r="E77" s="104"/>
      <c r="G77" s="1"/>
      <c r="H77" s="110" t="s">
        <v>581</v>
      </c>
    </row>
    <row r="78" spans="1:14" s="2" customFormat="1" x14ac:dyDescent="0.2">
      <c r="A78" s="24"/>
      <c r="B78" s="1"/>
      <c r="C78" s="47" t="s">
        <v>931</v>
      </c>
      <c r="D78" s="111">
        <v>205.39</v>
      </c>
      <c r="E78" s="104"/>
      <c r="G78" s="1"/>
      <c r="H78" s="110" t="s">
        <v>580</v>
      </c>
    </row>
    <row r="79" spans="1:14" s="2" customFormat="1" x14ac:dyDescent="0.2">
      <c r="A79" s="24"/>
      <c r="B79" s="1"/>
      <c r="C79" s="47" t="s">
        <v>572</v>
      </c>
      <c r="D79" s="111">
        <f>+D112/100000</f>
        <v>333.24135000000001</v>
      </c>
      <c r="E79" s="104"/>
      <c r="G79" s="1"/>
      <c r="H79" s="90" t="s">
        <v>587</v>
      </c>
    </row>
    <row r="80" spans="1:14" s="2" customFormat="1" x14ac:dyDescent="0.2">
      <c r="A80" s="24"/>
      <c r="B80" s="1"/>
      <c r="C80" s="108" t="s">
        <v>578</v>
      </c>
      <c r="D80" s="48">
        <f>SUM(D77:D79)</f>
        <v>2169.1513500000001</v>
      </c>
      <c r="E80" s="104"/>
      <c r="G80" s="1"/>
    </row>
    <row r="81" spans="1:13" s="2" customFormat="1" x14ac:dyDescent="0.2">
      <c r="A81" s="24"/>
      <c r="B81" s="1"/>
      <c r="C81" s="47"/>
      <c r="D81" s="107"/>
      <c r="E81" s="104"/>
      <c r="G81" s="1"/>
    </row>
    <row r="82" spans="1:13" s="2" customFormat="1" x14ac:dyDescent="0.2">
      <c r="A82" s="24"/>
      <c r="B82" s="1"/>
      <c r="C82" s="47" t="s">
        <v>932</v>
      </c>
      <c r="D82" s="111">
        <v>548.42999999999995</v>
      </c>
      <c r="E82" s="104"/>
      <c r="G82" s="1"/>
      <c r="H82" s="110" t="s">
        <v>581</v>
      </c>
    </row>
    <row r="83" spans="1:13" s="2" customFormat="1" x14ac:dyDescent="0.2">
      <c r="A83" s="24"/>
      <c r="B83" s="1"/>
      <c r="C83" s="47" t="s">
        <v>933</v>
      </c>
      <c r="D83" s="111">
        <v>307.81</v>
      </c>
      <c r="E83" s="104"/>
      <c r="G83" s="1"/>
      <c r="H83" s="110" t="s">
        <v>581</v>
      </c>
      <c r="J83" s="114" t="s">
        <v>713</v>
      </c>
    </row>
    <row r="84" spans="1:13" s="2" customFormat="1" x14ac:dyDescent="0.2">
      <c r="A84" s="24"/>
      <c r="B84" s="1"/>
      <c r="C84" s="78" t="s">
        <v>579</v>
      </c>
      <c r="D84" s="109">
        <f>D82+D83</f>
        <v>856.24</v>
      </c>
      <c r="E84" s="104"/>
      <c r="G84" s="1"/>
      <c r="I84" s="113"/>
      <c r="J84" s="113" t="s">
        <v>709</v>
      </c>
      <c r="K84" s="113" t="s">
        <v>710</v>
      </c>
      <c r="L84" s="113" t="s">
        <v>711</v>
      </c>
      <c r="M84" s="113" t="s">
        <v>712</v>
      </c>
    </row>
    <row r="85" spans="1:13" s="2" customFormat="1" x14ac:dyDescent="0.2">
      <c r="A85" s="24"/>
      <c r="B85" s="1"/>
      <c r="C85" s="105"/>
      <c r="D85" s="106"/>
      <c r="E85" s="104"/>
      <c r="G85" s="1"/>
      <c r="I85" s="113" t="s">
        <v>706</v>
      </c>
      <c r="J85" s="115"/>
      <c r="K85" s="115">
        <v>968.99</v>
      </c>
      <c r="L85" s="115">
        <v>968.99</v>
      </c>
      <c r="M85" s="113">
        <f>+J85+L85-K85</f>
        <v>0</v>
      </c>
    </row>
    <row r="86" spans="1:13" s="2" customFormat="1" x14ac:dyDescent="0.2">
      <c r="A86" s="24"/>
      <c r="B86" s="1"/>
      <c r="C86" s="78" t="s">
        <v>577</v>
      </c>
      <c r="D86" s="109">
        <f>D77+D84</f>
        <v>2486.7600000000002</v>
      </c>
      <c r="E86" s="104"/>
      <c r="G86" s="1"/>
      <c r="I86" s="113" t="s">
        <v>707</v>
      </c>
      <c r="J86" s="115">
        <v>183.1</v>
      </c>
      <c r="K86" s="115">
        <v>1722.78</v>
      </c>
      <c r="L86" s="115">
        <v>2721.9</v>
      </c>
      <c r="M86" s="113">
        <f>+J86+L86-K86</f>
        <v>1182.22</v>
      </c>
    </row>
    <row r="87" spans="1:13" s="2" customFormat="1" x14ac:dyDescent="0.2">
      <c r="A87" s="24"/>
      <c r="B87" s="1"/>
      <c r="C87" s="56"/>
      <c r="D87" s="56"/>
      <c r="E87" s="104"/>
      <c r="G87" s="1"/>
      <c r="I87" s="113" t="s">
        <v>708</v>
      </c>
      <c r="J87" s="115">
        <v>1371.02</v>
      </c>
      <c r="K87" s="115">
        <v>11015.04</v>
      </c>
      <c r="L87" s="115">
        <v>11332.06</v>
      </c>
      <c r="M87" s="113">
        <f>+J87+L87-K87</f>
        <v>1688.0399999999991</v>
      </c>
    </row>
    <row r="88" spans="1:13" s="2" customFormat="1" ht="38.25" x14ac:dyDescent="0.2">
      <c r="A88" s="24"/>
      <c r="B88" s="1"/>
      <c r="C88" s="79" t="str">
        <f>"Particulars ( 01-04-2021 to "&amp;TEXT(A5,"dd-mm-yyyy")&amp;" )"</f>
        <v>Particulars ( 01-04-2021 to 15-05-2023 )</v>
      </c>
      <c r="D88" s="80" t="s">
        <v>73</v>
      </c>
      <c r="E88" s="80" t="s">
        <v>74</v>
      </c>
      <c r="F88" s="81" t="s">
        <v>75</v>
      </c>
      <c r="G88" s="80" t="s">
        <v>76</v>
      </c>
      <c r="J88" s="118">
        <f>SUM(J85:J87)</f>
        <v>1554.12</v>
      </c>
      <c r="K88" s="118">
        <f>SUM(K85:K87)</f>
        <v>13706.810000000001</v>
      </c>
      <c r="L88" s="118">
        <f>SUM(L85:L87)</f>
        <v>15022.95</v>
      </c>
      <c r="M88" s="118">
        <f>SUM(M85:M87)</f>
        <v>2870.2599999999993</v>
      </c>
    </row>
    <row r="89" spans="1:13" s="2" customFormat="1" x14ac:dyDescent="0.2">
      <c r="A89" s="24"/>
      <c r="B89" s="1"/>
      <c r="C89" s="50" t="s">
        <v>444</v>
      </c>
      <c r="D89" s="55">
        <f>+L85+L86+J86</f>
        <v>3873.9900000000002</v>
      </c>
      <c r="E89" s="55">
        <f>+K85+K86</f>
        <v>2691.77</v>
      </c>
      <c r="F89" s="55">
        <f>+D89-E89</f>
        <v>1182.2200000000003</v>
      </c>
      <c r="G89" s="55">
        <f>1500-F89</f>
        <v>317.77999999999975</v>
      </c>
      <c r="H89" s="2" t="s">
        <v>396</v>
      </c>
    </row>
    <row r="90" spans="1:13" s="2" customFormat="1" x14ac:dyDescent="0.2">
      <c r="A90" s="24"/>
      <c r="B90" s="1"/>
      <c r="C90" s="50" t="s">
        <v>71</v>
      </c>
      <c r="D90" s="55">
        <f>+J87+L87</f>
        <v>12703.08</v>
      </c>
      <c r="E90" s="55">
        <f>+K87</f>
        <v>11015.04</v>
      </c>
      <c r="F90" s="55">
        <f>+D90-E90</f>
        <v>1688.0399999999991</v>
      </c>
      <c r="G90" s="55">
        <f>1500+700-F90</f>
        <v>511.96000000000095</v>
      </c>
      <c r="H90" s="2" t="s">
        <v>396</v>
      </c>
    </row>
    <row r="91" spans="1:13" s="2" customFormat="1" x14ac:dyDescent="0.2">
      <c r="A91" s="24"/>
      <c r="B91" s="1"/>
      <c r="C91" s="14"/>
      <c r="D91" s="56"/>
      <c r="E91" s="13"/>
      <c r="G91" s="1"/>
    </row>
    <row r="92" spans="1:13" s="2" customFormat="1" x14ac:dyDescent="0.2">
      <c r="A92" s="215" t="s">
        <v>80</v>
      </c>
      <c r="B92" s="216"/>
      <c r="C92" s="216"/>
      <c r="D92" s="217"/>
      <c r="E92" s="69"/>
      <c r="F92" s="70"/>
      <c r="G92" s="1"/>
      <c r="H92" s="53"/>
    </row>
    <row r="93" spans="1:13" s="2" customFormat="1" x14ac:dyDescent="0.2">
      <c r="A93" s="71" t="s">
        <v>81</v>
      </c>
      <c r="B93" s="71"/>
      <c r="C93" s="72" t="s">
        <v>82</v>
      </c>
      <c r="D93" s="73" t="s">
        <v>83</v>
      </c>
      <c r="E93" s="69"/>
      <c r="F93" s="70"/>
      <c r="H93" s="53"/>
    </row>
    <row r="94" spans="1:13" s="2" customFormat="1" x14ac:dyDescent="0.2">
      <c r="A94" s="87">
        <v>45050</v>
      </c>
      <c r="B94" s="120" t="s">
        <v>6</v>
      </c>
      <c r="C94" s="75" t="s">
        <v>282</v>
      </c>
      <c r="D94" s="88">
        <v>1562637</v>
      </c>
      <c r="G94" s="1"/>
      <c r="L94" s="1"/>
      <c r="M94" s="1"/>
    </row>
    <row r="95" spans="1:13" s="2" customFormat="1" x14ac:dyDescent="0.2">
      <c r="A95" s="87">
        <v>45050</v>
      </c>
      <c r="B95" s="120" t="s">
        <v>6</v>
      </c>
      <c r="C95" s="75" t="s">
        <v>86</v>
      </c>
      <c r="D95" s="88">
        <v>2499321</v>
      </c>
      <c r="G95" s="1"/>
      <c r="L95" s="1"/>
      <c r="M95" s="1"/>
    </row>
    <row r="96" spans="1:13" s="2" customFormat="1" x14ac:dyDescent="0.2">
      <c r="A96" s="87">
        <v>45050</v>
      </c>
      <c r="B96" s="120" t="s">
        <v>6</v>
      </c>
      <c r="C96" s="75" t="s">
        <v>86</v>
      </c>
      <c r="D96" s="88">
        <v>6876102</v>
      </c>
      <c r="G96" s="1"/>
      <c r="L96" s="1"/>
      <c r="M96" s="1"/>
    </row>
    <row r="97" spans="1:13" s="2" customFormat="1" x14ac:dyDescent="0.2">
      <c r="A97" s="87">
        <v>45052</v>
      </c>
      <c r="B97" s="120" t="s">
        <v>6</v>
      </c>
      <c r="C97" s="75" t="s">
        <v>270</v>
      </c>
      <c r="D97" s="88">
        <v>1124141</v>
      </c>
      <c r="G97" s="1"/>
      <c r="L97" s="1"/>
      <c r="M97" s="1"/>
    </row>
    <row r="98" spans="1:13" s="2" customFormat="1" x14ac:dyDescent="0.2">
      <c r="A98" s="87">
        <v>45054</v>
      </c>
      <c r="B98" s="120" t="s">
        <v>6</v>
      </c>
      <c r="C98" s="75" t="s">
        <v>271</v>
      </c>
      <c r="D98" s="88">
        <v>476726</v>
      </c>
      <c r="G98" s="1"/>
      <c r="L98" s="1"/>
      <c r="M98" s="1"/>
    </row>
    <row r="99" spans="1:13" s="2" customFormat="1" x14ac:dyDescent="0.2">
      <c r="A99" s="87">
        <v>45054</v>
      </c>
      <c r="B99" s="120" t="s">
        <v>6</v>
      </c>
      <c r="C99" s="75" t="s">
        <v>271</v>
      </c>
      <c r="D99" s="88">
        <v>926688</v>
      </c>
      <c r="G99" s="1"/>
      <c r="L99" s="1"/>
      <c r="M99" s="1"/>
    </row>
    <row r="100" spans="1:13" s="2" customFormat="1" x14ac:dyDescent="0.2">
      <c r="A100" s="87">
        <v>45054</v>
      </c>
      <c r="B100" s="120" t="s">
        <v>6</v>
      </c>
      <c r="C100" s="75" t="s">
        <v>606</v>
      </c>
      <c r="D100" s="88">
        <v>1844917</v>
      </c>
      <c r="G100" s="1"/>
      <c r="L100" s="1"/>
      <c r="M100" s="1"/>
    </row>
    <row r="101" spans="1:13" s="2" customFormat="1" x14ac:dyDescent="0.2">
      <c r="A101" s="87">
        <v>45054</v>
      </c>
      <c r="B101" s="120" t="s">
        <v>6</v>
      </c>
      <c r="C101" s="75" t="s">
        <v>271</v>
      </c>
      <c r="D101" s="88">
        <v>1640794</v>
      </c>
      <c r="G101" s="1"/>
      <c r="L101" s="1"/>
      <c r="M101" s="1"/>
    </row>
    <row r="102" spans="1:13" s="2" customFormat="1" x14ac:dyDescent="0.2">
      <c r="A102" s="87">
        <v>45055</v>
      </c>
      <c r="B102" s="120" t="s">
        <v>6</v>
      </c>
      <c r="C102" s="75" t="s">
        <v>84</v>
      </c>
      <c r="D102" s="88">
        <v>2000000</v>
      </c>
      <c r="G102" s="1"/>
      <c r="L102" s="1"/>
      <c r="M102" s="1"/>
    </row>
    <row r="103" spans="1:13" s="2" customFormat="1" x14ac:dyDescent="0.2">
      <c r="A103" s="87">
        <v>45055</v>
      </c>
      <c r="B103" s="120" t="s">
        <v>6</v>
      </c>
      <c r="C103" s="75" t="s">
        <v>87</v>
      </c>
      <c r="D103" s="88">
        <v>2540563</v>
      </c>
      <c r="G103" s="1"/>
      <c r="L103" s="1"/>
      <c r="M103" s="1"/>
    </row>
    <row r="104" spans="1:13" s="2" customFormat="1" x14ac:dyDescent="0.2">
      <c r="A104" s="87">
        <v>45055</v>
      </c>
      <c r="B104" s="120" t="s">
        <v>6</v>
      </c>
      <c r="C104" s="75" t="s">
        <v>767</v>
      </c>
      <c r="D104" s="88">
        <v>950137</v>
      </c>
      <c r="G104" s="1"/>
      <c r="L104" s="1"/>
      <c r="M104" s="1"/>
    </row>
    <row r="105" spans="1:13" s="2" customFormat="1" x14ac:dyDescent="0.2">
      <c r="A105" s="87">
        <v>45056</v>
      </c>
      <c r="B105" s="120" t="s">
        <v>6</v>
      </c>
      <c r="C105" s="75" t="s">
        <v>271</v>
      </c>
      <c r="D105" s="88">
        <v>242417</v>
      </c>
      <c r="G105" s="1"/>
      <c r="L105" s="1"/>
      <c r="M105" s="1"/>
    </row>
    <row r="106" spans="1:13" s="2" customFormat="1" x14ac:dyDescent="0.2">
      <c r="A106" s="87">
        <v>45056</v>
      </c>
      <c r="B106" s="120" t="s">
        <v>6</v>
      </c>
      <c r="C106" s="75" t="s">
        <v>271</v>
      </c>
      <c r="D106" s="88">
        <v>674909</v>
      </c>
      <c r="G106" s="1"/>
      <c r="L106" s="1"/>
      <c r="M106" s="1"/>
    </row>
    <row r="107" spans="1:13" s="2" customFormat="1" x14ac:dyDescent="0.2">
      <c r="A107" s="87">
        <v>45056</v>
      </c>
      <c r="B107" s="120" t="s">
        <v>6</v>
      </c>
      <c r="C107" s="75" t="s">
        <v>271</v>
      </c>
      <c r="D107" s="88">
        <v>969371</v>
      </c>
      <c r="G107" s="1"/>
      <c r="L107" s="1"/>
      <c r="M107" s="1"/>
    </row>
    <row r="108" spans="1:13" s="2" customFormat="1" x14ac:dyDescent="0.2">
      <c r="A108" s="87">
        <v>45058</v>
      </c>
      <c r="B108" s="120" t="s">
        <v>6</v>
      </c>
      <c r="C108" s="75" t="s">
        <v>271</v>
      </c>
      <c r="D108" s="88">
        <v>650439</v>
      </c>
      <c r="G108" s="1"/>
      <c r="L108" s="1"/>
      <c r="M108" s="1"/>
    </row>
    <row r="109" spans="1:13" s="2" customFormat="1" x14ac:dyDescent="0.2">
      <c r="A109" s="87">
        <v>45058</v>
      </c>
      <c r="B109" s="120" t="s">
        <v>6</v>
      </c>
      <c r="C109" s="75" t="s">
        <v>271</v>
      </c>
      <c r="D109" s="88">
        <v>432067</v>
      </c>
      <c r="G109" s="1"/>
      <c r="L109" s="1"/>
      <c r="M109" s="1"/>
    </row>
    <row r="110" spans="1:13" s="2" customFormat="1" x14ac:dyDescent="0.2">
      <c r="A110" s="87">
        <v>45058</v>
      </c>
      <c r="B110" s="120" t="s">
        <v>6</v>
      </c>
      <c r="C110" s="75" t="s">
        <v>271</v>
      </c>
      <c r="D110" s="88">
        <v>412906</v>
      </c>
      <c r="G110" s="1"/>
      <c r="L110" s="1"/>
      <c r="M110" s="1"/>
    </row>
    <row r="111" spans="1:13" s="2" customFormat="1" x14ac:dyDescent="0.2">
      <c r="A111" s="87">
        <v>45061</v>
      </c>
      <c r="B111" s="120" t="s">
        <v>6</v>
      </c>
      <c r="C111" s="75" t="s">
        <v>282</v>
      </c>
      <c r="D111" s="88">
        <v>7500000</v>
      </c>
      <c r="G111" s="1"/>
      <c r="L111" s="1"/>
      <c r="M111" s="1"/>
    </row>
    <row r="112" spans="1:13" s="2" customFormat="1" x14ac:dyDescent="0.2">
      <c r="A112" s="87"/>
      <c r="B112" s="74"/>
      <c r="C112" s="75"/>
      <c r="D112" s="51">
        <f>SUM(D94:D111)</f>
        <v>33324135</v>
      </c>
      <c r="F112" s="2" t="s">
        <v>396</v>
      </c>
      <c r="G112" s="1"/>
      <c r="I112" s="1"/>
      <c r="J112" s="1"/>
      <c r="K112" s="1"/>
      <c r="L112" s="1"/>
      <c r="M112" s="1"/>
    </row>
    <row r="113" spans="1:13" s="2" customFormat="1" x14ac:dyDescent="0.2">
      <c r="A113" s="24"/>
      <c r="B113" s="1"/>
      <c r="C113" s="14"/>
      <c r="D113" s="56"/>
      <c r="E113" s="13"/>
      <c r="G113" s="1"/>
    </row>
    <row r="114" spans="1:13" s="2" customFormat="1" x14ac:dyDescent="0.2">
      <c r="A114" s="24"/>
      <c r="B114" s="1"/>
      <c r="C114" s="218" t="s">
        <v>77</v>
      </c>
      <c r="D114" s="219"/>
      <c r="E114" s="219"/>
      <c r="F114" s="220"/>
      <c r="G114" s="54"/>
      <c r="I114" s="1"/>
      <c r="J114" s="1"/>
      <c r="K114" s="1"/>
      <c r="L114" s="1"/>
      <c r="M114" s="1"/>
    </row>
    <row r="115" spans="1:13" s="2" customFormat="1" x14ac:dyDescent="0.2">
      <c r="A115" s="24"/>
      <c r="B115" s="1"/>
      <c r="C115" s="50"/>
      <c r="D115" s="57" t="s">
        <v>78</v>
      </c>
      <c r="E115" s="58" t="s">
        <v>79</v>
      </c>
      <c r="F115" s="57" t="s">
        <v>72</v>
      </c>
      <c r="G115" s="54"/>
      <c r="I115" s="1"/>
      <c r="J115" s="1"/>
      <c r="K115" s="1"/>
      <c r="L115" s="1"/>
      <c r="M115" s="1"/>
    </row>
    <row r="116" spans="1:13" s="2" customFormat="1" x14ac:dyDescent="0.2">
      <c r="A116" s="24"/>
      <c r="B116" s="1"/>
      <c r="C116" s="59" t="str">
        <f>"01-05-2023 to "&amp;TEXT(A5-2,"dd-mm-yyyy")</f>
        <v>01-05-2023 to 13-05-2023</v>
      </c>
      <c r="D116" s="60">
        <v>1817.41</v>
      </c>
      <c r="E116" s="60">
        <v>153.53</v>
      </c>
      <c r="F116" s="61">
        <f>SUM(D116:E116)</f>
        <v>1970.94</v>
      </c>
      <c r="G116" s="54"/>
      <c r="I116" s="1"/>
      <c r="J116" s="1"/>
      <c r="K116" s="1"/>
      <c r="L116" s="1"/>
      <c r="M116" s="1"/>
    </row>
    <row r="117" spans="1:13" s="2" customFormat="1" x14ac:dyDescent="0.2">
      <c r="A117" s="24"/>
      <c r="B117" s="1"/>
      <c r="C117" s="62" t="str">
        <f>TEXT(A5-1,"dd-mm-yyyy")</f>
        <v>14-05-2023</v>
      </c>
      <c r="D117" s="60">
        <v>51.57</v>
      </c>
      <c r="E117" s="60">
        <v>0</v>
      </c>
      <c r="F117" s="61">
        <f>SUM(D117:E117)</f>
        <v>51.57</v>
      </c>
      <c r="G117" s="54"/>
      <c r="I117" s="1"/>
      <c r="J117" s="1"/>
      <c r="K117" s="1"/>
      <c r="L117" s="1"/>
      <c r="M117" s="1"/>
    </row>
    <row r="118" spans="1:13" ht="13.5" thickBot="1" x14ac:dyDescent="0.25">
      <c r="C118" s="63" t="str">
        <f>"01-05-2023 to "&amp;TEXT(A5-1,"dd-mm-yyyy")</f>
        <v>01-05-2023 to 14-05-2023</v>
      </c>
      <c r="D118" s="64">
        <f>SUM(D116:D117)</f>
        <v>1868.98</v>
      </c>
      <c r="E118" s="64">
        <f>SUM(E116:E117)</f>
        <v>153.53</v>
      </c>
      <c r="F118" s="64">
        <f>SUM(F116:F117)</f>
        <v>2022.51</v>
      </c>
      <c r="G118" s="54"/>
      <c r="H118" s="2" t="s">
        <v>396</v>
      </c>
    </row>
    <row r="119" spans="1:13" s="2" customFormat="1" ht="13.5" thickTop="1" x14ac:dyDescent="0.2">
      <c r="A119" s="24"/>
      <c r="B119" s="1"/>
      <c r="C119" s="62"/>
      <c r="D119" s="65"/>
      <c r="E119" s="66"/>
      <c r="F119" s="67"/>
      <c r="G119" s="54"/>
      <c r="H119" s="53"/>
    </row>
    <row r="120" spans="1:13" x14ac:dyDescent="0.2">
      <c r="C120" s="62" t="str">
        <f>"01-04-2023 to " &amp;C117</f>
        <v>01-04-2023 to 14-05-2023</v>
      </c>
      <c r="D120" s="68">
        <f>+D118+4343.67</f>
        <v>6212.65</v>
      </c>
      <c r="E120" s="68">
        <f>+E118+536.17</f>
        <v>689.69999999999993</v>
      </c>
      <c r="F120" s="68">
        <f>+F118+4879.84</f>
        <v>6902.35</v>
      </c>
      <c r="G120" s="54"/>
      <c r="H120" s="53" t="s">
        <v>396</v>
      </c>
    </row>
    <row r="121" spans="1:13" x14ac:dyDescent="0.2">
      <c r="C121" s="52"/>
      <c r="D121" s="85"/>
      <c r="E121" s="53"/>
      <c r="F121" s="53"/>
      <c r="G121" s="54"/>
      <c r="H121" s="53" t="s">
        <v>396</v>
      </c>
      <c r="J121" s="42"/>
    </row>
    <row r="122" spans="1:13" x14ac:dyDescent="0.2">
      <c r="C122" s="52"/>
      <c r="D122" s="85"/>
      <c r="E122" s="53"/>
      <c r="F122" s="53"/>
      <c r="G122" s="54"/>
      <c r="H122" s="53"/>
      <c r="I122" s="101"/>
    </row>
    <row r="123" spans="1:13" x14ac:dyDescent="0.2">
      <c r="C123" s="52"/>
      <c r="D123" s="85"/>
      <c r="E123" s="53"/>
      <c r="F123" s="53"/>
      <c r="G123" s="54"/>
      <c r="H123" s="53"/>
    </row>
    <row r="124" spans="1:13" x14ac:dyDescent="0.2">
      <c r="C124" s="52"/>
      <c r="D124" s="85"/>
      <c r="E124" s="53"/>
      <c r="F124" s="53"/>
      <c r="G124" s="54"/>
      <c r="H124" s="53"/>
    </row>
    <row r="125" spans="1:13" x14ac:dyDescent="0.2">
      <c r="H125" s="53"/>
    </row>
  </sheetData>
  <mergeCells count="5">
    <mergeCell ref="A1:G1"/>
    <mergeCell ref="A3:F3"/>
    <mergeCell ref="A9:F9"/>
    <mergeCell ref="A92:D92"/>
    <mergeCell ref="C114:F114"/>
  </mergeCells>
  <conditionalFormatting sqref="G89:G90">
    <cfRule type="cellIs" dxfId="577" priority="1" operator="lessThan">
      <formula>0</formula>
    </cfRule>
  </conditionalFormatting>
  <conditionalFormatting sqref="C11">
    <cfRule type="duplicateValues" dxfId="576" priority="2"/>
  </conditionalFormatting>
  <conditionalFormatting sqref="C12:C69">
    <cfRule type="duplicateValues" dxfId="575" priority="480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6">
    <pageSetUpPr fitToPage="1"/>
  </sheetPr>
  <dimension ref="A1:N104"/>
  <sheetViews>
    <sheetView topLeftCell="A28" zoomScaleNormal="100" workbookViewId="0">
      <selection activeCell="C46" sqref="C46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47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975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2.75" customHeight="1" x14ac:dyDescent="0.4">
      <c r="A5" s="89">
        <v>45062</v>
      </c>
      <c r="B5" s="9" t="s">
        <v>6</v>
      </c>
      <c r="C5" s="10" t="s">
        <v>7</v>
      </c>
      <c r="D5" s="11"/>
      <c r="E5" s="12">
        <v>236474.70000000019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236474.70000000019</v>
      </c>
      <c r="F6" s="16">
        <f>SUM(F5:F5)</f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E6-F6</f>
        <v>236474.70000000019</v>
      </c>
      <c r="F7" s="22"/>
      <c r="G7" s="23"/>
      <c r="H7" s="112"/>
      <c r="I7" s="112"/>
      <c r="J7" s="13"/>
    </row>
    <row r="8" spans="1:10" s="2" customFormat="1" ht="12.75" customHeight="1" x14ac:dyDescent="0.4">
      <c r="A8" s="24"/>
      <c r="B8" s="1"/>
      <c r="C8" s="14"/>
      <c r="D8" s="25"/>
      <c r="G8" s="23"/>
      <c r="H8" s="112"/>
      <c r="I8" s="112"/>
      <c r="J8" s="13"/>
    </row>
    <row r="9" spans="1:10" s="2" customFormat="1" ht="21.75" customHeight="1" x14ac:dyDescent="0.4">
      <c r="A9" s="214" t="s">
        <v>10</v>
      </c>
      <c r="B9" s="214"/>
      <c r="C9" s="214"/>
      <c r="D9" s="214"/>
      <c r="E9" s="214"/>
      <c r="F9" s="214"/>
      <c r="G9" s="13"/>
      <c r="H9" s="112"/>
      <c r="I9" s="112"/>
      <c r="J9" s="13"/>
    </row>
    <row r="10" spans="1:10" s="2" customFormat="1" ht="12.75" customHeight="1" x14ac:dyDescent="0.4">
      <c r="A10" s="26" t="s">
        <v>1</v>
      </c>
      <c r="B10" s="27" t="s">
        <v>2</v>
      </c>
      <c r="C10" s="5"/>
      <c r="D10" s="6" t="s">
        <v>3</v>
      </c>
      <c r="E10" s="7" t="s">
        <v>4</v>
      </c>
      <c r="F10" s="7" t="s">
        <v>5</v>
      </c>
      <c r="G10" s="23"/>
      <c r="H10" s="112"/>
      <c r="I10" s="112"/>
      <c r="J10" s="13"/>
    </row>
    <row r="11" spans="1:10" s="2" customFormat="1" ht="12.75" customHeight="1" x14ac:dyDescent="0.2">
      <c r="A11" s="89">
        <v>45062</v>
      </c>
      <c r="B11" s="91" t="s">
        <v>11</v>
      </c>
      <c r="C11" s="29" t="s">
        <v>7</v>
      </c>
      <c r="D11" s="25"/>
      <c r="E11" s="31"/>
      <c r="F11" s="2">
        <v>313812526.14000005</v>
      </c>
      <c r="G11" s="30"/>
      <c r="I11" s="13"/>
      <c r="J11" s="13"/>
    </row>
    <row r="12" spans="1:10" s="2" customFormat="1" ht="12.75" customHeight="1" x14ac:dyDescent="0.2">
      <c r="A12" s="89">
        <v>45062</v>
      </c>
      <c r="B12" s="91" t="s">
        <v>6</v>
      </c>
      <c r="C12" s="76" t="s">
        <v>360</v>
      </c>
      <c r="D12" s="116" t="s">
        <v>13</v>
      </c>
      <c r="E12" s="31">
        <v>263865</v>
      </c>
      <c r="G12" s="30"/>
      <c r="I12" s="13"/>
      <c r="J12" s="13"/>
    </row>
    <row r="13" spans="1:10" s="2" customFormat="1" ht="12.75" customHeight="1" x14ac:dyDescent="0.2">
      <c r="A13" s="89">
        <v>45062</v>
      </c>
      <c r="B13" s="91" t="s">
        <v>6</v>
      </c>
      <c r="C13" s="76" t="s">
        <v>450</v>
      </c>
      <c r="D13" s="116" t="s">
        <v>13</v>
      </c>
      <c r="E13" s="31">
        <v>7988</v>
      </c>
      <c r="G13" s="30"/>
      <c r="I13" s="13"/>
      <c r="J13" s="13"/>
    </row>
    <row r="14" spans="1:10" s="2" customFormat="1" ht="12.75" customHeight="1" x14ac:dyDescent="0.2">
      <c r="A14" s="89">
        <v>45062</v>
      </c>
      <c r="B14" s="91" t="s">
        <v>6</v>
      </c>
      <c r="C14" s="76" t="s">
        <v>474</v>
      </c>
      <c r="D14" s="116" t="s">
        <v>13</v>
      </c>
      <c r="E14" s="31">
        <v>303083</v>
      </c>
      <c r="G14" s="30"/>
      <c r="I14" s="13"/>
      <c r="J14" s="13"/>
    </row>
    <row r="15" spans="1:10" s="2" customFormat="1" ht="12.75" customHeight="1" x14ac:dyDescent="0.2">
      <c r="A15" s="89">
        <v>45062</v>
      </c>
      <c r="B15" s="91" t="s">
        <v>6</v>
      </c>
      <c r="C15" s="76" t="s">
        <v>247</v>
      </c>
      <c r="D15" s="116" t="s">
        <v>13</v>
      </c>
      <c r="E15" s="31">
        <v>980000</v>
      </c>
      <c r="G15" s="30"/>
      <c r="I15" s="13"/>
      <c r="J15" s="13"/>
    </row>
    <row r="16" spans="1:10" s="2" customFormat="1" ht="12.75" customHeight="1" x14ac:dyDescent="0.2">
      <c r="A16" s="89">
        <v>45062</v>
      </c>
      <c r="B16" s="91" t="s">
        <v>6</v>
      </c>
      <c r="C16" s="76" t="s">
        <v>684</v>
      </c>
      <c r="D16" s="116" t="s">
        <v>13</v>
      </c>
      <c r="E16" s="31">
        <v>3356.8</v>
      </c>
      <c r="G16" s="30"/>
      <c r="I16" s="13"/>
      <c r="J16" s="13"/>
    </row>
    <row r="17" spans="1:10" s="2" customFormat="1" ht="12.75" customHeight="1" x14ac:dyDescent="0.2">
      <c r="A17" s="89">
        <v>45062</v>
      </c>
      <c r="B17" s="91" t="s">
        <v>6</v>
      </c>
      <c r="C17" s="76" t="s">
        <v>526</v>
      </c>
      <c r="D17" s="116" t="s">
        <v>13</v>
      </c>
      <c r="E17" s="31">
        <v>1257314.3700000001</v>
      </c>
      <c r="G17" s="30"/>
      <c r="I17" s="13"/>
      <c r="J17" s="13"/>
    </row>
    <row r="18" spans="1:10" s="2" customFormat="1" ht="12.75" customHeight="1" x14ac:dyDescent="0.2">
      <c r="A18" s="89">
        <v>45062</v>
      </c>
      <c r="B18" s="91" t="s">
        <v>6</v>
      </c>
      <c r="C18" s="76" t="s">
        <v>673</v>
      </c>
      <c r="D18" s="116" t="s">
        <v>13</v>
      </c>
      <c r="E18" s="31">
        <v>113271</v>
      </c>
      <c r="G18" s="30"/>
      <c r="I18" s="13"/>
      <c r="J18" s="13"/>
    </row>
    <row r="19" spans="1:10" s="2" customFormat="1" ht="12.75" customHeight="1" x14ac:dyDescent="0.2">
      <c r="A19" s="89">
        <v>45062</v>
      </c>
      <c r="B19" s="91" t="s">
        <v>6</v>
      </c>
      <c r="C19" s="76" t="s">
        <v>976</v>
      </c>
      <c r="D19" s="116" t="s">
        <v>13</v>
      </c>
      <c r="E19" s="31">
        <v>2500</v>
      </c>
      <c r="G19" s="30"/>
      <c r="I19" s="13"/>
      <c r="J19" s="13"/>
    </row>
    <row r="20" spans="1:10" s="2" customFormat="1" ht="12.75" customHeight="1" x14ac:dyDescent="0.2">
      <c r="A20" s="89">
        <v>45062</v>
      </c>
      <c r="B20" s="91" t="s">
        <v>6</v>
      </c>
      <c r="C20" s="76" t="s">
        <v>244</v>
      </c>
      <c r="D20" s="116" t="s">
        <v>13</v>
      </c>
      <c r="E20" s="31">
        <v>362880</v>
      </c>
      <c r="G20" s="30"/>
      <c r="I20" s="13"/>
      <c r="J20" s="13"/>
    </row>
    <row r="21" spans="1:10" s="2" customFormat="1" ht="12.75" customHeight="1" x14ac:dyDescent="0.2">
      <c r="A21" s="89">
        <v>45062</v>
      </c>
      <c r="B21" s="91" t="s">
        <v>6</v>
      </c>
      <c r="C21" s="76" t="s">
        <v>969</v>
      </c>
      <c r="D21" s="116" t="s">
        <v>13</v>
      </c>
      <c r="E21" s="31">
        <v>10500</v>
      </c>
      <c r="G21" s="30"/>
      <c r="I21" s="13"/>
      <c r="J21" s="13"/>
    </row>
    <row r="22" spans="1:10" s="2" customFormat="1" ht="12.75" customHeight="1" x14ac:dyDescent="0.2">
      <c r="A22" s="89">
        <v>45062</v>
      </c>
      <c r="B22" s="91" t="s">
        <v>6</v>
      </c>
      <c r="C22" s="76" t="s">
        <v>318</v>
      </c>
      <c r="D22" s="116" t="s">
        <v>13</v>
      </c>
      <c r="E22" s="31">
        <v>664793</v>
      </c>
      <c r="G22" s="30"/>
      <c r="I22" s="13"/>
      <c r="J22" s="13"/>
    </row>
    <row r="23" spans="1:10" s="2" customFormat="1" ht="12.75" customHeight="1" x14ac:dyDescent="0.2">
      <c r="A23" s="89">
        <v>45062</v>
      </c>
      <c r="B23" s="91" t="s">
        <v>6</v>
      </c>
      <c r="C23" s="76" t="s">
        <v>179</v>
      </c>
      <c r="D23" s="116" t="s">
        <v>13</v>
      </c>
      <c r="E23" s="31">
        <v>130000</v>
      </c>
      <c r="G23" s="30"/>
      <c r="I23" s="13"/>
      <c r="J23" s="13"/>
    </row>
    <row r="24" spans="1:10" s="2" customFormat="1" ht="12.75" customHeight="1" x14ac:dyDescent="0.2">
      <c r="A24" s="89">
        <v>45062</v>
      </c>
      <c r="B24" s="91" t="s">
        <v>6</v>
      </c>
      <c r="C24" s="76" t="s">
        <v>264</v>
      </c>
      <c r="D24" s="116" t="s">
        <v>13</v>
      </c>
      <c r="E24" s="31">
        <v>729791</v>
      </c>
      <c r="G24" s="30"/>
      <c r="I24" s="13"/>
      <c r="J24" s="13"/>
    </row>
    <row r="25" spans="1:10" s="2" customFormat="1" ht="12.75" customHeight="1" x14ac:dyDescent="0.2">
      <c r="A25" s="89">
        <v>45062</v>
      </c>
      <c r="B25" s="91" t="s">
        <v>6</v>
      </c>
      <c r="C25" s="76" t="s">
        <v>122</v>
      </c>
      <c r="D25" s="116" t="s">
        <v>13</v>
      </c>
      <c r="E25" s="31">
        <v>29727</v>
      </c>
      <c r="G25" s="30"/>
      <c r="I25" s="13"/>
      <c r="J25" s="13"/>
    </row>
    <row r="26" spans="1:10" s="2" customFormat="1" ht="12.75" customHeight="1" x14ac:dyDescent="0.2">
      <c r="A26" s="89">
        <v>45062</v>
      </c>
      <c r="B26" s="91" t="s">
        <v>6</v>
      </c>
      <c r="C26" s="76" t="s">
        <v>759</v>
      </c>
      <c r="D26" s="116" t="s">
        <v>13</v>
      </c>
      <c r="E26" s="31">
        <v>732335.9</v>
      </c>
      <c r="G26" s="30"/>
      <c r="I26" s="13"/>
      <c r="J26" s="13"/>
    </row>
    <row r="27" spans="1:10" s="2" customFormat="1" ht="12.75" customHeight="1" x14ac:dyDescent="0.2">
      <c r="A27" s="89">
        <v>45062</v>
      </c>
      <c r="B27" s="91" t="s">
        <v>6</v>
      </c>
      <c r="C27" s="76" t="s">
        <v>147</v>
      </c>
      <c r="D27" s="116" t="s">
        <v>13</v>
      </c>
      <c r="E27" s="31">
        <v>600000</v>
      </c>
      <c r="G27" s="30"/>
      <c r="I27" s="13"/>
      <c r="J27" s="13"/>
    </row>
    <row r="28" spans="1:10" s="2" customFormat="1" ht="12.75" customHeight="1" x14ac:dyDescent="0.2">
      <c r="A28" s="89">
        <v>45062</v>
      </c>
      <c r="B28" s="91" t="s">
        <v>6</v>
      </c>
      <c r="C28" s="76" t="s">
        <v>750</v>
      </c>
      <c r="D28" s="116" t="s">
        <v>13</v>
      </c>
      <c r="E28" s="31">
        <v>294398.8</v>
      </c>
      <c r="G28" s="30"/>
      <c r="I28" s="13"/>
      <c r="J28" s="13"/>
    </row>
    <row r="29" spans="1:10" s="2" customFormat="1" ht="12.75" customHeight="1" x14ac:dyDescent="0.2">
      <c r="A29" s="89">
        <v>45062</v>
      </c>
      <c r="B29" s="91" t="s">
        <v>6</v>
      </c>
      <c r="C29" s="76" t="s">
        <v>145</v>
      </c>
      <c r="D29" s="116" t="s">
        <v>13</v>
      </c>
      <c r="E29" s="31">
        <v>629376</v>
      </c>
      <c r="G29" s="30"/>
      <c r="I29" s="13"/>
      <c r="J29" s="13"/>
    </row>
    <row r="30" spans="1:10" s="2" customFormat="1" ht="12.75" customHeight="1" x14ac:dyDescent="0.2">
      <c r="A30" s="89">
        <v>45062</v>
      </c>
      <c r="B30" s="91" t="s">
        <v>6</v>
      </c>
      <c r="C30" s="76" t="s">
        <v>283</v>
      </c>
      <c r="D30" s="116" t="s">
        <v>13</v>
      </c>
      <c r="E30" s="31">
        <v>1284014</v>
      </c>
      <c r="G30" s="30"/>
      <c r="I30" s="13"/>
      <c r="J30" s="13"/>
    </row>
    <row r="31" spans="1:10" s="2" customFormat="1" ht="12.75" customHeight="1" x14ac:dyDescent="0.2">
      <c r="A31" s="89">
        <v>45062</v>
      </c>
      <c r="B31" s="91" t="s">
        <v>6</v>
      </c>
      <c r="C31" s="76" t="s">
        <v>547</v>
      </c>
      <c r="D31" s="116" t="s">
        <v>13</v>
      </c>
      <c r="E31" s="31">
        <v>65474</v>
      </c>
      <c r="G31" s="30"/>
      <c r="I31" s="13"/>
      <c r="J31" s="13"/>
    </row>
    <row r="32" spans="1:10" s="2" customFormat="1" ht="12.75" customHeight="1" x14ac:dyDescent="0.2">
      <c r="A32" s="89">
        <v>45062</v>
      </c>
      <c r="B32" s="91" t="s">
        <v>6</v>
      </c>
      <c r="C32" s="76" t="s">
        <v>105</v>
      </c>
      <c r="D32" s="116" t="s">
        <v>13</v>
      </c>
      <c r="E32" s="31">
        <v>2439546</v>
      </c>
      <c r="G32" s="30"/>
      <c r="I32" s="13"/>
      <c r="J32" s="13"/>
    </row>
    <row r="33" spans="1:11" s="2" customFormat="1" ht="12.75" customHeight="1" x14ac:dyDescent="0.2">
      <c r="A33" s="89">
        <v>45062</v>
      </c>
      <c r="B33" s="91" t="s">
        <v>6</v>
      </c>
      <c r="C33" s="76" t="s">
        <v>15</v>
      </c>
      <c r="D33" s="116" t="s">
        <v>13</v>
      </c>
      <c r="E33" s="31">
        <v>87603.06</v>
      </c>
      <c r="G33" s="30"/>
      <c r="I33" s="13"/>
      <c r="J33" s="13"/>
    </row>
    <row r="34" spans="1:11" s="2" customFormat="1" ht="12.75" customHeight="1" x14ac:dyDescent="0.2">
      <c r="A34" s="89">
        <v>45062</v>
      </c>
      <c r="B34" s="91" t="s">
        <v>6</v>
      </c>
      <c r="C34" s="76" t="s">
        <v>16</v>
      </c>
      <c r="D34" s="116" t="s">
        <v>13</v>
      </c>
      <c r="E34" s="31">
        <v>40918.5</v>
      </c>
      <c r="G34" s="30"/>
      <c r="I34" s="13"/>
      <c r="J34" s="13"/>
    </row>
    <row r="35" spans="1:11" s="2" customFormat="1" ht="12.75" customHeight="1" x14ac:dyDescent="0.2">
      <c r="A35" s="89">
        <v>45062</v>
      </c>
      <c r="B35" s="91" t="s">
        <v>11</v>
      </c>
      <c r="C35" s="76" t="s">
        <v>64</v>
      </c>
      <c r="D35" s="116" t="s">
        <v>29</v>
      </c>
      <c r="E35" s="31"/>
      <c r="F35" s="2">
        <v>7988.08</v>
      </c>
      <c r="G35" s="30"/>
      <c r="I35" s="13"/>
      <c r="J35" s="13"/>
    </row>
    <row r="36" spans="1:11" s="2" customFormat="1" ht="12.75" customHeight="1" x14ac:dyDescent="0.2">
      <c r="A36" s="89">
        <v>45062</v>
      </c>
      <c r="B36" s="91" t="s">
        <v>11</v>
      </c>
      <c r="C36" s="76" t="s">
        <v>783</v>
      </c>
      <c r="D36" s="116" t="s">
        <v>29</v>
      </c>
      <c r="E36" s="31"/>
      <c r="F36" s="2">
        <v>145518.18</v>
      </c>
      <c r="G36" s="30"/>
      <c r="I36" s="13"/>
      <c r="J36" s="13"/>
    </row>
    <row r="37" spans="1:11" s="2" customFormat="1" ht="12.75" customHeight="1" x14ac:dyDescent="0.2">
      <c r="A37" s="89">
        <v>45062</v>
      </c>
      <c r="B37" s="91" t="s">
        <v>11</v>
      </c>
      <c r="C37" s="76" t="s">
        <v>110</v>
      </c>
      <c r="D37" s="116" t="s">
        <v>29</v>
      </c>
      <c r="E37" s="31"/>
      <c r="F37" s="2">
        <v>2174388.0299999998</v>
      </c>
      <c r="G37" s="30"/>
      <c r="I37" s="13"/>
      <c r="J37" s="13"/>
    </row>
    <row r="38" spans="1:11" s="2" customFormat="1" ht="12.75" customHeight="1" x14ac:dyDescent="0.2">
      <c r="A38" s="89">
        <v>45062</v>
      </c>
      <c r="B38" s="91" t="s">
        <v>11</v>
      </c>
      <c r="C38" s="76" t="s">
        <v>129</v>
      </c>
      <c r="D38" s="116" t="s">
        <v>29</v>
      </c>
      <c r="E38" s="31"/>
      <c r="F38" s="2">
        <v>79768</v>
      </c>
      <c r="G38" s="30"/>
      <c r="I38" s="13"/>
      <c r="J38" s="13"/>
    </row>
    <row r="39" spans="1:11" s="2" customFormat="1" ht="12.75" customHeight="1" x14ac:dyDescent="0.2">
      <c r="A39" s="89">
        <v>45062</v>
      </c>
      <c r="B39" s="91" t="s">
        <v>11</v>
      </c>
      <c r="C39" s="76" t="s">
        <v>525</v>
      </c>
      <c r="D39" s="116" t="s">
        <v>29</v>
      </c>
      <c r="E39" s="31"/>
      <c r="F39" s="2">
        <v>1000000</v>
      </c>
      <c r="G39" s="30"/>
      <c r="I39" s="13"/>
      <c r="J39" s="13"/>
    </row>
    <row r="40" spans="1:11" s="2" customFormat="1" ht="12.75" customHeight="1" x14ac:dyDescent="0.2">
      <c r="A40" s="89">
        <v>45062</v>
      </c>
      <c r="B40" s="91" t="s">
        <v>11</v>
      </c>
      <c r="C40" s="76" t="s">
        <v>209</v>
      </c>
      <c r="D40" s="116" t="s">
        <v>29</v>
      </c>
      <c r="E40" s="31"/>
      <c r="F40" s="2">
        <v>50000</v>
      </c>
      <c r="G40" s="30"/>
      <c r="I40" s="13"/>
      <c r="J40" s="13"/>
    </row>
    <row r="41" spans="1:11" s="2" customFormat="1" ht="12.75" customHeight="1" x14ac:dyDescent="0.2">
      <c r="A41" s="89">
        <v>45062</v>
      </c>
      <c r="B41" s="91" t="s">
        <v>11</v>
      </c>
      <c r="C41" s="76" t="s">
        <v>118</v>
      </c>
      <c r="D41" s="116" t="s">
        <v>29</v>
      </c>
      <c r="E41" s="31"/>
      <c r="F41" s="2">
        <v>400000</v>
      </c>
      <c r="G41" s="30"/>
      <c r="I41" s="13"/>
      <c r="J41" s="13"/>
    </row>
    <row r="42" spans="1:11" s="2" customFormat="1" ht="12.75" customHeight="1" x14ac:dyDescent="0.2">
      <c r="A42" s="89">
        <v>45062</v>
      </c>
      <c r="B42" s="91" t="s">
        <v>11</v>
      </c>
      <c r="C42" s="76" t="s">
        <v>52</v>
      </c>
      <c r="D42" s="116" t="s">
        <v>29</v>
      </c>
      <c r="E42" s="31"/>
      <c r="F42" s="2">
        <v>129206</v>
      </c>
      <c r="G42" s="30"/>
      <c r="I42" s="13"/>
      <c r="J42" s="13"/>
    </row>
    <row r="43" spans="1:11" s="2" customFormat="1" ht="12.75" customHeight="1" x14ac:dyDescent="0.2">
      <c r="A43" s="89">
        <v>45062</v>
      </c>
      <c r="B43" s="91" t="s">
        <v>11</v>
      </c>
      <c r="C43" s="76" t="s">
        <v>774</v>
      </c>
      <c r="D43" s="116" t="s">
        <v>29</v>
      </c>
      <c r="E43" s="31"/>
      <c r="F43" s="2">
        <v>106625.92</v>
      </c>
      <c r="G43" s="30"/>
      <c r="I43" s="13"/>
      <c r="J43" s="13"/>
    </row>
    <row r="44" spans="1:11" s="2" customFormat="1" ht="12.75" customHeight="1" x14ac:dyDescent="0.2">
      <c r="A44" s="89">
        <v>45062</v>
      </c>
      <c r="B44" s="91" t="s">
        <v>11</v>
      </c>
      <c r="C44" s="76" t="s">
        <v>63</v>
      </c>
      <c r="D44" s="116" t="s">
        <v>29</v>
      </c>
      <c r="E44" s="31"/>
      <c r="F44" s="2">
        <v>1000000</v>
      </c>
      <c r="G44" s="30"/>
      <c r="I44" s="13"/>
      <c r="J44" s="13"/>
    </row>
    <row r="45" spans="1:11" s="2" customFormat="1" ht="12.75" customHeight="1" x14ac:dyDescent="0.2">
      <c r="A45" s="89">
        <v>45062</v>
      </c>
      <c r="B45" s="91" t="s">
        <v>11</v>
      </c>
      <c r="C45" s="76" t="s">
        <v>57</v>
      </c>
      <c r="D45" s="116" t="s">
        <v>29</v>
      </c>
      <c r="E45" s="31"/>
      <c r="F45" s="2">
        <v>4000000</v>
      </c>
      <c r="G45" s="30"/>
      <c r="I45" s="13"/>
      <c r="J45" s="13"/>
    </row>
    <row r="46" spans="1:11" s="2" customFormat="1" ht="12.75" customHeight="1" x14ac:dyDescent="0.2">
      <c r="A46" s="89">
        <v>45062</v>
      </c>
      <c r="B46" s="91" t="s">
        <v>11</v>
      </c>
      <c r="C46" s="76" t="s">
        <v>15</v>
      </c>
      <c r="D46" s="116" t="s">
        <v>29</v>
      </c>
      <c r="E46" s="31"/>
      <c r="F46" s="2">
        <v>5347.13</v>
      </c>
      <c r="G46" s="30"/>
      <c r="I46" s="13"/>
      <c r="J46" s="13"/>
    </row>
    <row r="47" spans="1:11" s="2" customFormat="1" ht="12.75" customHeight="1" x14ac:dyDescent="0.2">
      <c r="A47" s="89">
        <v>45062</v>
      </c>
      <c r="B47" s="91" t="s">
        <v>11</v>
      </c>
      <c r="C47" s="76" t="s">
        <v>238</v>
      </c>
      <c r="D47" s="116" t="s">
        <v>29</v>
      </c>
      <c r="E47" s="31"/>
      <c r="F47" s="2">
        <v>500000</v>
      </c>
      <c r="G47" s="30"/>
      <c r="I47" s="13"/>
      <c r="J47" s="13"/>
    </row>
    <row r="48" spans="1:11" s="2" customFormat="1" ht="12.75" customHeight="1" x14ac:dyDescent="0.2">
      <c r="A48" s="89">
        <v>45062</v>
      </c>
      <c r="B48" s="91" t="s">
        <v>11</v>
      </c>
      <c r="C48" s="76" t="s">
        <v>795</v>
      </c>
      <c r="D48" s="116" t="s">
        <v>29</v>
      </c>
      <c r="E48" s="31"/>
      <c r="F48" s="2">
        <v>1466470.8</v>
      </c>
      <c r="G48" s="30"/>
      <c r="I48" s="13"/>
      <c r="J48" s="13" t="s">
        <v>601</v>
      </c>
      <c r="K48" s="99" t="s">
        <v>779</v>
      </c>
    </row>
    <row r="49" spans="1:14" s="2" customFormat="1" ht="12.75" customHeight="1" x14ac:dyDescent="0.25">
      <c r="A49" s="32"/>
      <c r="B49" s="33"/>
      <c r="C49" s="14"/>
      <c r="D49" s="34"/>
      <c r="E49" s="16">
        <f>SUM(E11:E48)</f>
        <v>11032735.430000002</v>
      </c>
      <c r="F49" s="16">
        <f>SUM(F11:F48)</f>
        <v>324877838.28000003</v>
      </c>
      <c r="G49" s="30"/>
      <c r="H49" s="1"/>
      <c r="I49" s="39">
        <v>317276417.85000002</v>
      </c>
      <c r="J49" s="2">
        <v>3005264</v>
      </c>
      <c r="K49" s="92">
        <f>E50-I49</f>
        <v>-3431315</v>
      </c>
      <c r="L49" s="41"/>
      <c r="M49" s="42">
        <f>K49+J49</f>
        <v>-426051</v>
      </c>
      <c r="N49" s="1"/>
    </row>
    <row r="50" spans="1:14" s="2" customFormat="1" x14ac:dyDescent="0.2">
      <c r="A50" s="36"/>
      <c r="B50" s="28" t="s">
        <v>11</v>
      </c>
      <c r="C50" s="19" t="s">
        <v>65</v>
      </c>
      <c r="D50" s="37"/>
      <c r="E50" s="38">
        <f>F49-E49</f>
        <v>313845102.85000002</v>
      </c>
      <c r="F50" s="22"/>
      <c r="G50" s="1"/>
      <c r="H50" s="1"/>
      <c r="J50" s="1"/>
      <c r="K50" s="1"/>
      <c r="L50" s="1"/>
      <c r="M50" s="1"/>
      <c r="N50" s="1"/>
    </row>
    <row r="51" spans="1:14" x14ac:dyDescent="0.2">
      <c r="A51" s="36"/>
      <c r="B51" s="28" t="s">
        <v>66</v>
      </c>
      <c r="C51" s="43" t="s">
        <v>67</v>
      </c>
      <c r="D51" s="43"/>
      <c r="E51" s="12">
        <v>0</v>
      </c>
      <c r="F51" s="22"/>
      <c r="H51" s="40"/>
      <c r="I51" s="45">
        <v>1796.76</v>
      </c>
      <c r="J51" s="46"/>
      <c r="K51" s="46"/>
      <c r="L51" s="13"/>
      <c r="M51" s="2"/>
      <c r="N51" s="2"/>
    </row>
    <row r="52" spans="1:14" ht="15" x14ac:dyDescent="0.25">
      <c r="A52" s="36"/>
      <c r="B52" s="28"/>
      <c r="C52" s="44" t="s">
        <v>68</v>
      </c>
      <c r="D52" s="43"/>
      <c r="E52" s="7">
        <f>E50+E51</f>
        <v>313845102.85000002</v>
      </c>
      <c r="F52" s="22"/>
      <c r="H52" s="103" t="s">
        <v>69</v>
      </c>
      <c r="I52" s="45">
        <v>-84.25</v>
      </c>
      <c r="J52" s="46"/>
      <c r="K52" s="46"/>
      <c r="L52" s="2"/>
      <c r="M52" s="2"/>
      <c r="N52" s="2"/>
    </row>
    <row r="53" spans="1:14" s="2" customFormat="1" x14ac:dyDescent="0.2">
      <c r="A53" s="24"/>
      <c r="B53" s="1"/>
      <c r="C53" s="14"/>
      <c r="D53" s="25"/>
      <c r="E53" s="1"/>
      <c r="H53" s="35" t="s">
        <v>70</v>
      </c>
      <c r="I53" s="45">
        <v>0</v>
      </c>
      <c r="J53" s="46">
        <f>+I54-D56</f>
        <v>0</v>
      </c>
      <c r="M53" s="2">
        <v>19.57</v>
      </c>
      <c r="N53" s="2" t="s">
        <v>535</v>
      </c>
    </row>
    <row r="54" spans="1:14" s="2" customFormat="1" x14ac:dyDescent="0.2">
      <c r="A54" s="24"/>
      <c r="B54" s="1"/>
      <c r="C54" s="56"/>
      <c r="D54" s="56"/>
      <c r="E54" s="104"/>
      <c r="G54" s="1"/>
      <c r="I54" s="49">
        <f>SUM(I51:I53)</f>
        <v>1712.51</v>
      </c>
      <c r="J54" s="46"/>
      <c r="K54" s="46"/>
    </row>
    <row r="55" spans="1:14" s="2" customFormat="1" x14ac:dyDescent="0.2">
      <c r="A55" s="24"/>
      <c r="B55" s="1"/>
      <c r="C55" s="78" t="s">
        <v>575</v>
      </c>
      <c r="D55" s="48" t="s">
        <v>576</v>
      </c>
      <c r="E55" s="104"/>
      <c r="G55" s="1"/>
    </row>
    <row r="56" spans="1:14" s="2" customFormat="1" x14ac:dyDescent="0.2">
      <c r="A56" s="24"/>
      <c r="B56" s="1"/>
      <c r="C56" s="47" t="s">
        <v>570</v>
      </c>
      <c r="D56" s="111">
        <v>1712.51</v>
      </c>
      <c r="E56" s="104"/>
      <c r="G56" s="1"/>
      <c r="H56" s="110" t="s">
        <v>581</v>
      </c>
    </row>
    <row r="57" spans="1:14" s="2" customFormat="1" x14ac:dyDescent="0.2">
      <c r="A57" s="24"/>
      <c r="B57" s="1"/>
      <c r="C57" s="47" t="s">
        <v>931</v>
      </c>
      <c r="D57" s="111">
        <v>205.39</v>
      </c>
      <c r="E57" s="104"/>
      <c r="G57" s="1"/>
      <c r="H57" s="110" t="s">
        <v>580</v>
      </c>
    </row>
    <row r="58" spans="1:14" s="2" customFormat="1" x14ac:dyDescent="0.2">
      <c r="A58" s="24"/>
      <c r="B58" s="1"/>
      <c r="C58" s="47" t="s">
        <v>572</v>
      </c>
      <c r="D58" s="111">
        <f>+D91/100000</f>
        <v>333.24135000000001</v>
      </c>
      <c r="E58" s="104"/>
      <c r="G58" s="1"/>
      <c r="H58" s="90" t="s">
        <v>587</v>
      </c>
    </row>
    <row r="59" spans="1:14" s="2" customFormat="1" x14ac:dyDescent="0.2">
      <c r="A59" s="24"/>
      <c r="B59" s="1"/>
      <c r="C59" s="108" t="s">
        <v>578</v>
      </c>
      <c r="D59" s="48">
        <f>SUM(D56:D58)</f>
        <v>2251.1413499999999</v>
      </c>
      <c r="E59" s="104"/>
      <c r="G59" s="1"/>
    </row>
    <row r="60" spans="1:14" s="2" customFormat="1" x14ac:dyDescent="0.2">
      <c r="A60" s="24"/>
      <c r="B60" s="1"/>
      <c r="C60" s="47"/>
      <c r="D60" s="107"/>
      <c r="E60" s="104"/>
      <c r="G60" s="1"/>
    </row>
    <row r="61" spans="1:14" s="2" customFormat="1" x14ac:dyDescent="0.2">
      <c r="A61" s="24"/>
      <c r="B61" s="1"/>
      <c r="C61" s="47" t="s">
        <v>932</v>
      </c>
      <c r="D61" s="111">
        <v>561.27</v>
      </c>
      <c r="E61" s="104"/>
      <c r="G61" s="1"/>
      <c r="H61" s="110" t="s">
        <v>581</v>
      </c>
    </row>
    <row r="62" spans="1:14" s="2" customFormat="1" x14ac:dyDescent="0.2">
      <c r="A62" s="24"/>
      <c r="B62" s="1"/>
      <c r="C62" s="47" t="s">
        <v>933</v>
      </c>
      <c r="D62" s="111">
        <v>318.08</v>
      </c>
      <c r="E62" s="104"/>
      <c r="G62" s="1"/>
      <c r="H62" s="110" t="s">
        <v>581</v>
      </c>
      <c r="J62" s="114" t="s">
        <v>713</v>
      </c>
    </row>
    <row r="63" spans="1:14" s="2" customFormat="1" x14ac:dyDescent="0.2">
      <c r="A63" s="24"/>
      <c r="B63" s="1"/>
      <c r="C63" s="78" t="s">
        <v>579</v>
      </c>
      <c r="D63" s="109">
        <f>D61+D62</f>
        <v>879.34999999999991</v>
      </c>
      <c r="E63" s="104"/>
      <c r="G63" s="1"/>
      <c r="I63" s="113"/>
      <c r="J63" s="113" t="s">
        <v>709</v>
      </c>
      <c r="K63" s="113" t="s">
        <v>710</v>
      </c>
      <c r="L63" s="113" t="s">
        <v>711</v>
      </c>
      <c r="M63" s="113" t="s">
        <v>712</v>
      </c>
    </row>
    <row r="64" spans="1:14" s="2" customFormat="1" x14ac:dyDescent="0.2">
      <c r="A64" s="24"/>
      <c r="B64" s="1"/>
      <c r="C64" s="105"/>
      <c r="D64" s="106"/>
      <c r="E64" s="104"/>
      <c r="G64" s="1"/>
      <c r="I64" s="113" t="s">
        <v>706</v>
      </c>
      <c r="J64" s="115"/>
      <c r="K64" s="115">
        <v>968.99</v>
      </c>
      <c r="L64" s="115">
        <v>968.99</v>
      </c>
      <c r="M64" s="113">
        <f>+J64+L64-K64</f>
        <v>0</v>
      </c>
    </row>
    <row r="65" spans="1:13" s="2" customFormat="1" x14ac:dyDescent="0.2">
      <c r="A65" s="24"/>
      <c r="B65" s="1"/>
      <c r="C65" s="78" t="s">
        <v>577</v>
      </c>
      <c r="D65" s="109">
        <f>D56+D63</f>
        <v>2591.8599999999997</v>
      </c>
      <c r="E65" s="104"/>
      <c r="G65" s="1"/>
      <c r="I65" s="113" t="s">
        <v>707</v>
      </c>
      <c r="J65" s="115">
        <v>183.1</v>
      </c>
      <c r="K65" s="115">
        <v>1722.78</v>
      </c>
      <c r="L65" s="115">
        <v>2734.74</v>
      </c>
      <c r="M65" s="113">
        <f>+J65+L65-K65</f>
        <v>1195.0599999999997</v>
      </c>
    </row>
    <row r="66" spans="1:13" s="2" customFormat="1" x14ac:dyDescent="0.2">
      <c r="A66" s="24"/>
      <c r="B66" s="1"/>
      <c r="C66" s="56"/>
      <c r="D66" s="56"/>
      <c r="E66" s="104"/>
      <c r="G66" s="1"/>
      <c r="I66" s="113" t="s">
        <v>708</v>
      </c>
      <c r="J66" s="115">
        <v>1371.02</v>
      </c>
      <c r="K66" s="115">
        <v>11029.71</v>
      </c>
      <c r="L66" s="115">
        <v>11342.33</v>
      </c>
      <c r="M66" s="113">
        <f>+J66+L66-K66</f>
        <v>1683.6400000000012</v>
      </c>
    </row>
    <row r="67" spans="1:13" s="2" customFormat="1" ht="38.25" x14ac:dyDescent="0.2">
      <c r="A67" s="24"/>
      <c r="B67" s="1"/>
      <c r="C67" s="79" t="str">
        <f>"Particulars ( 01-04-2021 to "&amp;TEXT(A5,"dd-mm-yyyy")&amp;" )"</f>
        <v>Particulars ( 01-04-2021 to 16-05-2023 )</v>
      </c>
      <c r="D67" s="80" t="s">
        <v>73</v>
      </c>
      <c r="E67" s="80" t="s">
        <v>74</v>
      </c>
      <c r="F67" s="81" t="s">
        <v>75</v>
      </c>
      <c r="G67" s="80" t="s">
        <v>76</v>
      </c>
      <c r="J67" s="118">
        <f>SUM(J64:J66)</f>
        <v>1554.12</v>
      </c>
      <c r="K67" s="118">
        <f>SUM(K64:K66)</f>
        <v>13721.48</v>
      </c>
      <c r="L67" s="118">
        <f>SUM(L64:L66)</f>
        <v>15046.06</v>
      </c>
      <c r="M67" s="118">
        <f>SUM(M64:M66)</f>
        <v>2878.7000000000007</v>
      </c>
    </row>
    <row r="68" spans="1:13" s="2" customFormat="1" x14ac:dyDescent="0.2">
      <c r="A68" s="24"/>
      <c r="B68" s="1"/>
      <c r="C68" s="50" t="s">
        <v>444</v>
      </c>
      <c r="D68" s="55">
        <f>+L64+L65+J65</f>
        <v>3886.8299999999995</v>
      </c>
      <c r="E68" s="55">
        <f>+K64+K65</f>
        <v>2691.77</v>
      </c>
      <c r="F68" s="55">
        <f>+D68-E68</f>
        <v>1195.0599999999995</v>
      </c>
      <c r="G68" s="55">
        <f>1500-F68</f>
        <v>304.94000000000051</v>
      </c>
      <c r="H68" s="2" t="s">
        <v>396</v>
      </c>
    </row>
    <row r="69" spans="1:13" s="2" customFormat="1" x14ac:dyDescent="0.2">
      <c r="A69" s="24"/>
      <c r="B69" s="1"/>
      <c r="C69" s="50" t="s">
        <v>71</v>
      </c>
      <c r="D69" s="55">
        <f>+J66+L66</f>
        <v>12713.35</v>
      </c>
      <c r="E69" s="55">
        <f>+K66</f>
        <v>11029.71</v>
      </c>
      <c r="F69" s="55">
        <f>+D69-E69</f>
        <v>1683.6400000000012</v>
      </c>
      <c r="G69" s="55">
        <f>1500+700-F69</f>
        <v>516.35999999999876</v>
      </c>
      <c r="H69" s="2" t="s">
        <v>396</v>
      </c>
    </row>
    <row r="70" spans="1:13" s="2" customFormat="1" x14ac:dyDescent="0.2">
      <c r="A70" s="24"/>
      <c r="B70" s="1"/>
      <c r="C70" s="14"/>
      <c r="D70" s="56"/>
      <c r="E70" s="13"/>
      <c r="G70" s="1"/>
    </row>
    <row r="71" spans="1:13" s="2" customFormat="1" x14ac:dyDescent="0.2">
      <c r="A71" s="215" t="s">
        <v>80</v>
      </c>
      <c r="B71" s="216"/>
      <c r="C71" s="216"/>
      <c r="D71" s="217"/>
      <c r="E71" s="69"/>
      <c r="F71" s="70"/>
      <c r="G71" s="1"/>
      <c r="H71" s="53"/>
    </row>
    <row r="72" spans="1:13" s="2" customFormat="1" x14ac:dyDescent="0.2">
      <c r="A72" s="71" t="s">
        <v>81</v>
      </c>
      <c r="B72" s="71"/>
      <c r="C72" s="72" t="s">
        <v>82</v>
      </c>
      <c r="D72" s="73" t="s">
        <v>83</v>
      </c>
      <c r="E72" s="69"/>
      <c r="F72" s="70"/>
      <c r="H72" s="53"/>
    </row>
    <row r="73" spans="1:13" s="2" customFormat="1" x14ac:dyDescent="0.2">
      <c r="A73" s="87">
        <v>45050</v>
      </c>
      <c r="B73" s="120" t="s">
        <v>6</v>
      </c>
      <c r="C73" s="75" t="s">
        <v>282</v>
      </c>
      <c r="D73" s="88">
        <v>1562637</v>
      </c>
      <c r="G73" s="1"/>
      <c r="L73" s="1"/>
      <c r="M73" s="1"/>
    </row>
    <row r="74" spans="1:13" s="2" customFormat="1" x14ac:dyDescent="0.2">
      <c r="A74" s="87">
        <v>45050</v>
      </c>
      <c r="B74" s="120" t="s">
        <v>6</v>
      </c>
      <c r="C74" s="75" t="s">
        <v>86</v>
      </c>
      <c r="D74" s="88">
        <v>2499321</v>
      </c>
      <c r="G74" s="1"/>
      <c r="L74" s="1"/>
      <c r="M74" s="1"/>
    </row>
    <row r="75" spans="1:13" s="2" customFormat="1" x14ac:dyDescent="0.2">
      <c r="A75" s="87">
        <v>45050</v>
      </c>
      <c r="B75" s="120" t="s">
        <v>6</v>
      </c>
      <c r="C75" s="75" t="s">
        <v>86</v>
      </c>
      <c r="D75" s="88">
        <v>6876102</v>
      </c>
      <c r="G75" s="1"/>
      <c r="L75" s="1"/>
      <c r="M75" s="1"/>
    </row>
    <row r="76" spans="1:13" s="2" customFormat="1" x14ac:dyDescent="0.2">
      <c r="A76" s="87">
        <v>45052</v>
      </c>
      <c r="B76" s="120" t="s">
        <v>6</v>
      </c>
      <c r="C76" s="75" t="s">
        <v>270</v>
      </c>
      <c r="D76" s="88">
        <v>1124141</v>
      </c>
      <c r="G76" s="1"/>
      <c r="L76" s="1"/>
      <c r="M76" s="1"/>
    </row>
    <row r="77" spans="1:13" s="2" customFormat="1" x14ac:dyDescent="0.2">
      <c r="A77" s="87">
        <v>45054</v>
      </c>
      <c r="B77" s="120" t="s">
        <v>6</v>
      </c>
      <c r="C77" s="75" t="s">
        <v>271</v>
      </c>
      <c r="D77" s="88">
        <v>476726</v>
      </c>
      <c r="G77" s="1"/>
      <c r="L77" s="1"/>
      <c r="M77" s="1"/>
    </row>
    <row r="78" spans="1:13" s="2" customFormat="1" x14ac:dyDescent="0.2">
      <c r="A78" s="87">
        <v>45054</v>
      </c>
      <c r="B78" s="120" t="s">
        <v>6</v>
      </c>
      <c r="C78" s="75" t="s">
        <v>271</v>
      </c>
      <c r="D78" s="88">
        <v>926688</v>
      </c>
      <c r="G78" s="1"/>
      <c r="L78" s="1"/>
      <c r="M78" s="1"/>
    </row>
    <row r="79" spans="1:13" s="2" customFormat="1" x14ac:dyDescent="0.2">
      <c r="A79" s="87">
        <v>45054</v>
      </c>
      <c r="B79" s="120" t="s">
        <v>6</v>
      </c>
      <c r="C79" s="75" t="s">
        <v>606</v>
      </c>
      <c r="D79" s="88">
        <v>1844917</v>
      </c>
      <c r="G79" s="1"/>
      <c r="L79" s="1"/>
      <c r="M79" s="1"/>
    </row>
    <row r="80" spans="1:13" s="2" customFormat="1" x14ac:dyDescent="0.2">
      <c r="A80" s="87">
        <v>45054</v>
      </c>
      <c r="B80" s="120" t="s">
        <v>6</v>
      </c>
      <c r="C80" s="75" t="s">
        <v>271</v>
      </c>
      <c r="D80" s="88">
        <v>1640794</v>
      </c>
      <c r="G80" s="1"/>
      <c r="L80" s="1"/>
      <c r="M80" s="1"/>
    </row>
    <row r="81" spans="1:13" s="2" customFormat="1" x14ac:dyDescent="0.2">
      <c r="A81" s="87">
        <v>45055</v>
      </c>
      <c r="B81" s="120" t="s">
        <v>6</v>
      </c>
      <c r="C81" s="75" t="s">
        <v>84</v>
      </c>
      <c r="D81" s="88">
        <v>2000000</v>
      </c>
      <c r="G81" s="1"/>
      <c r="L81" s="1"/>
      <c r="M81" s="1"/>
    </row>
    <row r="82" spans="1:13" s="2" customFormat="1" x14ac:dyDescent="0.2">
      <c r="A82" s="87">
        <v>45055</v>
      </c>
      <c r="B82" s="120" t="s">
        <v>6</v>
      </c>
      <c r="C82" s="75" t="s">
        <v>87</v>
      </c>
      <c r="D82" s="88">
        <v>2540563</v>
      </c>
      <c r="G82" s="1"/>
      <c r="L82" s="1"/>
      <c r="M82" s="1"/>
    </row>
    <row r="83" spans="1:13" s="2" customFormat="1" x14ac:dyDescent="0.2">
      <c r="A83" s="87">
        <v>45055</v>
      </c>
      <c r="B83" s="120" t="s">
        <v>6</v>
      </c>
      <c r="C83" s="75" t="s">
        <v>767</v>
      </c>
      <c r="D83" s="88">
        <v>950137</v>
      </c>
      <c r="G83" s="1"/>
      <c r="L83" s="1"/>
      <c r="M83" s="1"/>
    </row>
    <row r="84" spans="1:13" s="2" customFormat="1" x14ac:dyDescent="0.2">
      <c r="A84" s="87">
        <v>45056</v>
      </c>
      <c r="B84" s="120" t="s">
        <v>6</v>
      </c>
      <c r="C84" s="75" t="s">
        <v>271</v>
      </c>
      <c r="D84" s="88">
        <v>242417</v>
      </c>
      <c r="G84" s="1"/>
      <c r="L84" s="1"/>
      <c r="M84" s="1"/>
    </row>
    <row r="85" spans="1:13" s="2" customFormat="1" x14ac:dyDescent="0.2">
      <c r="A85" s="87">
        <v>45056</v>
      </c>
      <c r="B85" s="120" t="s">
        <v>6</v>
      </c>
      <c r="C85" s="75" t="s">
        <v>271</v>
      </c>
      <c r="D85" s="88">
        <v>674909</v>
      </c>
      <c r="G85" s="1"/>
      <c r="L85" s="1"/>
      <c r="M85" s="1"/>
    </row>
    <row r="86" spans="1:13" s="2" customFormat="1" x14ac:dyDescent="0.2">
      <c r="A86" s="87">
        <v>45056</v>
      </c>
      <c r="B86" s="120" t="s">
        <v>6</v>
      </c>
      <c r="C86" s="75" t="s">
        <v>271</v>
      </c>
      <c r="D86" s="88">
        <v>969371</v>
      </c>
      <c r="G86" s="1"/>
      <c r="L86" s="1"/>
      <c r="M86" s="1"/>
    </row>
    <row r="87" spans="1:13" s="2" customFormat="1" x14ac:dyDescent="0.2">
      <c r="A87" s="87">
        <v>45058</v>
      </c>
      <c r="B87" s="120" t="s">
        <v>6</v>
      </c>
      <c r="C87" s="75" t="s">
        <v>271</v>
      </c>
      <c r="D87" s="88">
        <v>650439</v>
      </c>
      <c r="G87" s="1"/>
      <c r="L87" s="1"/>
      <c r="M87" s="1"/>
    </row>
    <row r="88" spans="1:13" s="2" customFormat="1" x14ac:dyDescent="0.2">
      <c r="A88" s="87">
        <v>45058</v>
      </c>
      <c r="B88" s="120" t="s">
        <v>6</v>
      </c>
      <c r="C88" s="75" t="s">
        <v>271</v>
      </c>
      <c r="D88" s="88">
        <v>432067</v>
      </c>
      <c r="G88" s="1"/>
      <c r="L88" s="1"/>
      <c r="M88" s="1"/>
    </row>
    <row r="89" spans="1:13" s="2" customFormat="1" x14ac:dyDescent="0.2">
      <c r="A89" s="87">
        <v>45058</v>
      </c>
      <c r="B89" s="120" t="s">
        <v>6</v>
      </c>
      <c r="C89" s="75" t="s">
        <v>271</v>
      </c>
      <c r="D89" s="88">
        <v>412906</v>
      </c>
      <c r="G89" s="1"/>
      <c r="L89" s="1"/>
      <c r="M89" s="1"/>
    </row>
    <row r="90" spans="1:13" s="2" customFormat="1" x14ac:dyDescent="0.2">
      <c r="A90" s="87">
        <v>45061</v>
      </c>
      <c r="B90" s="120" t="s">
        <v>6</v>
      </c>
      <c r="C90" s="75" t="s">
        <v>282</v>
      </c>
      <c r="D90" s="88">
        <v>7500000</v>
      </c>
      <c r="G90" s="1"/>
      <c r="L90" s="1"/>
      <c r="M90" s="1"/>
    </row>
    <row r="91" spans="1:13" s="2" customFormat="1" x14ac:dyDescent="0.2">
      <c r="A91" s="87"/>
      <c r="B91" s="74"/>
      <c r="C91" s="75"/>
      <c r="D91" s="51">
        <f>SUM(D73:D90)</f>
        <v>33324135</v>
      </c>
      <c r="F91" s="2" t="s">
        <v>396</v>
      </c>
      <c r="G91" s="1"/>
      <c r="I91" s="1"/>
      <c r="J91" s="1"/>
      <c r="K91" s="1"/>
      <c r="L91" s="1"/>
      <c r="M91" s="1"/>
    </row>
    <row r="92" spans="1:13" s="2" customFormat="1" x14ac:dyDescent="0.2">
      <c r="A92" s="24"/>
      <c r="B92" s="1"/>
      <c r="C92" s="14"/>
      <c r="D92" s="56"/>
      <c r="E92" s="13"/>
      <c r="G92" s="1"/>
    </row>
    <row r="93" spans="1:13" s="2" customFormat="1" x14ac:dyDescent="0.2">
      <c r="A93" s="24"/>
      <c r="B93" s="1"/>
      <c r="C93" s="218" t="s">
        <v>77</v>
      </c>
      <c r="D93" s="219"/>
      <c r="E93" s="219"/>
      <c r="F93" s="220"/>
      <c r="G93" s="54"/>
      <c r="I93" s="1"/>
      <c r="J93" s="1"/>
      <c r="K93" s="1"/>
      <c r="L93" s="1"/>
      <c r="M93" s="1"/>
    </row>
    <row r="94" spans="1:13" s="2" customFormat="1" x14ac:dyDescent="0.2">
      <c r="A94" s="24"/>
      <c r="B94" s="1"/>
      <c r="C94" s="50"/>
      <c r="D94" s="57" t="s">
        <v>78</v>
      </c>
      <c r="E94" s="58" t="s">
        <v>79</v>
      </c>
      <c r="F94" s="57" t="s">
        <v>72</v>
      </c>
      <c r="G94" s="54"/>
      <c r="I94" s="1"/>
      <c r="J94" s="1"/>
      <c r="K94" s="1"/>
      <c r="L94" s="1"/>
      <c r="M94" s="1"/>
    </row>
    <row r="95" spans="1:13" s="2" customFormat="1" x14ac:dyDescent="0.2">
      <c r="A95" s="24"/>
      <c r="B95" s="1"/>
      <c r="C95" s="59" t="str">
        <f>"01-05-2023 to "&amp;TEXT(A5-2,"dd-mm-yyyy")</f>
        <v>01-05-2023 to 14-05-2023</v>
      </c>
      <c r="D95" s="60">
        <v>1868.98</v>
      </c>
      <c r="E95" s="60">
        <v>153.53</v>
      </c>
      <c r="F95" s="61">
        <f>SUM(D95:E95)</f>
        <v>2022.51</v>
      </c>
      <c r="G95" s="54"/>
      <c r="I95" s="1"/>
      <c r="J95" s="1"/>
      <c r="K95" s="1"/>
      <c r="L95" s="1"/>
      <c r="M95" s="1"/>
    </row>
    <row r="96" spans="1:13" s="2" customFormat="1" x14ac:dyDescent="0.2">
      <c r="A96" s="24"/>
      <c r="B96" s="1"/>
      <c r="C96" s="62" t="str">
        <f>TEXT(A5-1,"dd-mm-yyyy")</f>
        <v>15-05-2023</v>
      </c>
      <c r="D96" s="60">
        <v>83.25</v>
      </c>
      <c r="E96" s="60">
        <v>8.61</v>
      </c>
      <c r="F96" s="61">
        <f>SUM(D96:E96)</f>
        <v>91.86</v>
      </c>
      <c r="G96" s="54"/>
      <c r="I96" s="1"/>
      <c r="J96" s="1"/>
      <c r="K96" s="1"/>
      <c r="L96" s="1"/>
      <c r="M96" s="1"/>
    </row>
    <row r="97" spans="1:10" ht="13.5" thickBot="1" x14ac:dyDescent="0.25">
      <c r="C97" s="63" t="str">
        <f>"01-05-2023 to "&amp;TEXT(A5-1,"dd-mm-yyyy")</f>
        <v>01-05-2023 to 15-05-2023</v>
      </c>
      <c r="D97" s="64">
        <f>SUM(D95:D96)</f>
        <v>1952.23</v>
      </c>
      <c r="E97" s="64">
        <f>SUM(E95:E96)</f>
        <v>162.13999999999999</v>
      </c>
      <c r="F97" s="64">
        <f>SUM(F95:F96)</f>
        <v>2114.37</v>
      </c>
      <c r="G97" s="54"/>
      <c r="H97" s="2" t="s">
        <v>396</v>
      </c>
    </row>
    <row r="98" spans="1:10" s="2" customFormat="1" ht="13.5" thickTop="1" x14ac:dyDescent="0.2">
      <c r="A98" s="24"/>
      <c r="B98" s="1"/>
      <c r="C98" s="62"/>
      <c r="D98" s="65"/>
      <c r="E98" s="66"/>
      <c r="F98" s="67"/>
      <c r="G98" s="54"/>
      <c r="H98" s="53"/>
    </row>
    <row r="99" spans="1:10" x14ac:dyDescent="0.2">
      <c r="C99" s="62" t="str">
        <f>"01-04-2023 to " &amp;C96</f>
        <v>01-04-2023 to 15-05-2023</v>
      </c>
      <c r="D99" s="68">
        <f>+D97+4343.67</f>
        <v>6295.9</v>
      </c>
      <c r="E99" s="68">
        <f>+E97+536.17</f>
        <v>698.31</v>
      </c>
      <c r="F99" s="68">
        <f>+F97+4879.84</f>
        <v>6994.21</v>
      </c>
      <c r="G99" s="54"/>
      <c r="H99" s="53" t="s">
        <v>396</v>
      </c>
    </row>
    <row r="100" spans="1:10" x14ac:dyDescent="0.2">
      <c r="C100" s="52"/>
      <c r="D100" s="85"/>
      <c r="E100" s="53"/>
      <c r="F100" s="53"/>
      <c r="G100" s="54"/>
      <c r="H100" s="53" t="s">
        <v>396</v>
      </c>
      <c r="J100" s="42"/>
    </row>
    <row r="101" spans="1:10" x14ac:dyDescent="0.2">
      <c r="C101" s="52"/>
      <c r="D101" s="85"/>
      <c r="E101" s="53"/>
      <c r="F101" s="53"/>
      <c r="G101" s="54"/>
      <c r="H101" s="53"/>
      <c r="I101" s="101"/>
    </row>
    <row r="102" spans="1:10" x14ac:dyDescent="0.2">
      <c r="C102" s="52"/>
      <c r="D102" s="85"/>
      <c r="E102" s="53"/>
      <c r="F102" s="53"/>
      <c r="G102" s="54"/>
      <c r="H102" s="53"/>
    </row>
    <row r="103" spans="1:10" x14ac:dyDescent="0.2">
      <c r="C103" s="52"/>
      <c r="D103" s="85"/>
      <c r="E103" s="53"/>
      <c r="F103" s="53"/>
      <c r="G103" s="54"/>
      <c r="H103" s="53"/>
    </row>
    <row r="104" spans="1:10" x14ac:dyDescent="0.2">
      <c r="H104" s="53"/>
    </row>
  </sheetData>
  <mergeCells count="5">
    <mergeCell ref="A1:G1"/>
    <mergeCell ref="A3:F3"/>
    <mergeCell ref="A9:F9"/>
    <mergeCell ref="A71:D71"/>
    <mergeCell ref="C93:F93"/>
  </mergeCells>
  <conditionalFormatting sqref="G68:G69">
    <cfRule type="cellIs" dxfId="574" priority="1" operator="lessThan">
      <formula>0</formula>
    </cfRule>
  </conditionalFormatting>
  <conditionalFormatting sqref="C11">
    <cfRule type="duplicateValues" dxfId="573" priority="2"/>
  </conditionalFormatting>
  <conditionalFormatting sqref="C12:C48">
    <cfRule type="duplicateValues" dxfId="572" priority="483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27">
    <pageSetUpPr fitToPage="1"/>
  </sheetPr>
  <dimension ref="A1:N121"/>
  <sheetViews>
    <sheetView zoomScaleNormal="100" workbookViewId="0">
      <selection activeCell="C46" sqref="C46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47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977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2.75" customHeight="1" x14ac:dyDescent="0.4">
      <c r="A5" s="89">
        <v>45063</v>
      </c>
      <c r="B5" s="9" t="s">
        <v>6</v>
      </c>
      <c r="C5" s="10" t="s">
        <v>7</v>
      </c>
      <c r="D5" s="11"/>
      <c r="E5" s="12">
        <v>236474.70000000019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236474.70000000019</v>
      </c>
      <c r="F6" s="16">
        <f>SUM(F5:F5)</f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E6-F6</f>
        <v>236474.70000000019</v>
      </c>
      <c r="F7" s="22"/>
      <c r="G7" s="23"/>
      <c r="H7" s="112"/>
      <c r="I7" s="112"/>
      <c r="J7" s="13"/>
    </row>
    <row r="8" spans="1:10" s="2" customFormat="1" ht="12.75" customHeight="1" x14ac:dyDescent="0.4">
      <c r="A8" s="24"/>
      <c r="B8" s="1"/>
      <c r="C8" s="14"/>
      <c r="D8" s="25"/>
      <c r="G8" s="23"/>
      <c r="H8" s="112"/>
      <c r="I8" s="112"/>
      <c r="J8" s="13"/>
    </row>
    <row r="9" spans="1:10" s="2" customFormat="1" ht="21.75" customHeight="1" x14ac:dyDescent="0.4">
      <c r="A9" s="214" t="s">
        <v>10</v>
      </c>
      <c r="B9" s="214"/>
      <c r="C9" s="214"/>
      <c r="D9" s="214"/>
      <c r="E9" s="214"/>
      <c r="F9" s="214"/>
      <c r="G9" s="13"/>
      <c r="H9" s="112"/>
      <c r="I9" s="112"/>
      <c r="J9" s="13"/>
    </row>
    <row r="10" spans="1:10" s="2" customFormat="1" ht="12.75" customHeight="1" x14ac:dyDescent="0.4">
      <c r="A10" s="26" t="s">
        <v>1</v>
      </c>
      <c r="B10" s="27" t="s">
        <v>2</v>
      </c>
      <c r="C10" s="5"/>
      <c r="D10" s="6" t="s">
        <v>3</v>
      </c>
      <c r="E10" s="7" t="s">
        <v>4</v>
      </c>
      <c r="F10" s="7" t="s">
        <v>5</v>
      </c>
      <c r="G10" s="23"/>
      <c r="H10" s="112"/>
      <c r="I10" s="112"/>
      <c r="J10" s="13"/>
    </row>
    <row r="11" spans="1:10" s="2" customFormat="1" ht="12.75" customHeight="1" x14ac:dyDescent="0.2">
      <c r="A11" s="89">
        <v>45063</v>
      </c>
      <c r="B11" s="91" t="s">
        <v>11</v>
      </c>
      <c r="C11" s="29" t="s">
        <v>7</v>
      </c>
      <c r="D11" s="25"/>
      <c r="E11" s="31"/>
      <c r="F11" s="2">
        <v>313845102.85000002</v>
      </c>
      <c r="G11" s="30"/>
      <c r="I11" s="13"/>
      <c r="J11" s="13"/>
    </row>
    <row r="12" spans="1:10" s="2" customFormat="1" ht="12.75" customHeight="1" x14ac:dyDescent="0.2">
      <c r="A12" s="89">
        <v>45063</v>
      </c>
      <c r="B12" s="91" t="s">
        <v>6</v>
      </c>
      <c r="C12" s="76" t="s">
        <v>149</v>
      </c>
      <c r="D12" s="116" t="s">
        <v>13</v>
      </c>
      <c r="E12" s="31">
        <v>758535</v>
      </c>
      <c r="G12" s="30"/>
      <c r="I12" s="13"/>
      <c r="J12" s="13"/>
    </row>
    <row r="13" spans="1:10" s="2" customFormat="1" ht="12.75" customHeight="1" x14ac:dyDescent="0.2">
      <c r="A13" s="89">
        <v>45063</v>
      </c>
      <c r="B13" s="91" t="s">
        <v>6</v>
      </c>
      <c r="C13" s="76" t="s">
        <v>590</v>
      </c>
      <c r="D13" s="116" t="s">
        <v>13</v>
      </c>
      <c r="E13" s="31">
        <v>788</v>
      </c>
      <c r="G13" s="30"/>
      <c r="I13" s="13"/>
      <c r="J13" s="13"/>
    </row>
    <row r="14" spans="1:10" s="2" customFormat="1" ht="12.75" customHeight="1" x14ac:dyDescent="0.2">
      <c r="A14" s="89">
        <v>45063</v>
      </c>
      <c r="B14" s="91" t="s">
        <v>6</v>
      </c>
      <c r="C14" s="76" t="s">
        <v>178</v>
      </c>
      <c r="D14" s="116" t="s">
        <v>13</v>
      </c>
      <c r="E14" s="31">
        <v>1500000</v>
      </c>
      <c r="G14" s="30"/>
      <c r="I14" s="13"/>
      <c r="J14" s="13"/>
    </row>
    <row r="15" spans="1:10" s="2" customFormat="1" ht="12.75" customHeight="1" x14ac:dyDescent="0.2">
      <c r="A15" s="89">
        <v>45063</v>
      </c>
      <c r="B15" s="91" t="s">
        <v>6</v>
      </c>
      <c r="C15" s="76" t="s">
        <v>121</v>
      </c>
      <c r="D15" s="116" t="s">
        <v>13</v>
      </c>
      <c r="E15" s="31">
        <v>350000</v>
      </c>
      <c r="G15" s="30"/>
      <c r="I15" s="13"/>
      <c r="J15" s="13"/>
    </row>
    <row r="16" spans="1:10" s="2" customFormat="1" ht="12.75" customHeight="1" x14ac:dyDescent="0.2">
      <c r="A16" s="89">
        <v>45063</v>
      </c>
      <c r="B16" s="91" t="s">
        <v>6</v>
      </c>
      <c r="C16" s="76" t="s">
        <v>648</v>
      </c>
      <c r="D16" s="116" t="s">
        <v>13</v>
      </c>
      <c r="E16" s="31">
        <v>4200</v>
      </c>
      <c r="G16" s="30"/>
      <c r="I16" s="13"/>
      <c r="J16" s="13"/>
    </row>
    <row r="17" spans="1:10" s="2" customFormat="1" ht="12.75" customHeight="1" x14ac:dyDescent="0.2">
      <c r="A17" s="89">
        <v>45063</v>
      </c>
      <c r="B17" s="91" t="s">
        <v>6</v>
      </c>
      <c r="C17" s="76" t="s">
        <v>727</v>
      </c>
      <c r="D17" s="116" t="s">
        <v>13</v>
      </c>
      <c r="E17" s="31">
        <v>147032</v>
      </c>
      <c r="G17" s="30"/>
      <c r="I17" s="13"/>
      <c r="J17" s="13"/>
    </row>
    <row r="18" spans="1:10" s="2" customFormat="1" ht="12.75" customHeight="1" x14ac:dyDescent="0.2">
      <c r="A18" s="89">
        <v>45063</v>
      </c>
      <c r="B18" s="91" t="s">
        <v>6</v>
      </c>
      <c r="C18" s="76" t="s">
        <v>651</v>
      </c>
      <c r="D18" s="116" t="s">
        <v>13</v>
      </c>
      <c r="E18" s="31">
        <v>10364</v>
      </c>
      <c r="G18" s="30"/>
      <c r="I18" s="13"/>
      <c r="J18" s="13"/>
    </row>
    <row r="19" spans="1:10" s="2" customFormat="1" ht="12.75" customHeight="1" x14ac:dyDescent="0.2">
      <c r="A19" s="89">
        <v>45063</v>
      </c>
      <c r="B19" s="91" t="s">
        <v>6</v>
      </c>
      <c r="C19" s="76" t="s">
        <v>326</v>
      </c>
      <c r="D19" s="116" t="s">
        <v>13</v>
      </c>
      <c r="E19" s="31">
        <v>541696.01</v>
      </c>
      <c r="G19" s="30"/>
      <c r="I19" s="13"/>
      <c r="J19" s="13"/>
    </row>
    <row r="20" spans="1:10" s="2" customFormat="1" ht="12.75" customHeight="1" x14ac:dyDescent="0.2">
      <c r="A20" s="89">
        <v>45063</v>
      </c>
      <c r="B20" s="91" t="s">
        <v>6</v>
      </c>
      <c r="C20" s="76" t="s">
        <v>385</v>
      </c>
      <c r="D20" s="116" t="s">
        <v>13</v>
      </c>
      <c r="E20" s="31">
        <v>1137681</v>
      </c>
      <c r="G20" s="30"/>
      <c r="I20" s="13"/>
      <c r="J20" s="13"/>
    </row>
    <row r="21" spans="1:10" s="2" customFormat="1" ht="12.75" customHeight="1" x14ac:dyDescent="0.2">
      <c r="A21" s="89">
        <v>45063</v>
      </c>
      <c r="B21" s="91" t="s">
        <v>6</v>
      </c>
      <c r="C21" s="76" t="s">
        <v>329</v>
      </c>
      <c r="D21" s="116" t="s">
        <v>13</v>
      </c>
      <c r="E21" s="31">
        <v>634592</v>
      </c>
      <c r="G21" s="30"/>
      <c r="I21" s="13"/>
      <c r="J21" s="13"/>
    </row>
    <row r="22" spans="1:10" s="2" customFormat="1" ht="12.75" customHeight="1" x14ac:dyDescent="0.2">
      <c r="A22" s="89">
        <v>45063</v>
      </c>
      <c r="B22" s="91" t="s">
        <v>6</v>
      </c>
      <c r="C22" s="76" t="s">
        <v>93</v>
      </c>
      <c r="D22" s="116" t="s">
        <v>13</v>
      </c>
      <c r="E22" s="31">
        <v>1509977</v>
      </c>
      <c r="G22" s="30"/>
      <c r="I22" s="13"/>
      <c r="J22" s="13"/>
    </row>
    <row r="23" spans="1:10" s="2" customFormat="1" ht="12.75" customHeight="1" x14ac:dyDescent="0.2">
      <c r="A23" s="89">
        <v>45063</v>
      </c>
      <c r="B23" s="91" t="s">
        <v>6</v>
      </c>
      <c r="C23" s="76" t="s">
        <v>760</v>
      </c>
      <c r="D23" s="116" t="s">
        <v>13</v>
      </c>
      <c r="E23" s="31">
        <v>1676872.01</v>
      </c>
      <c r="G23" s="30"/>
      <c r="I23" s="13"/>
      <c r="J23" s="13"/>
    </row>
    <row r="24" spans="1:10" s="2" customFormat="1" ht="12.75" customHeight="1" x14ac:dyDescent="0.2">
      <c r="A24" s="89">
        <v>45063</v>
      </c>
      <c r="B24" s="91" t="s">
        <v>6</v>
      </c>
      <c r="C24" s="76" t="s">
        <v>764</v>
      </c>
      <c r="D24" s="116" t="s">
        <v>13</v>
      </c>
      <c r="E24" s="31">
        <v>1834266.26</v>
      </c>
      <c r="G24" s="30"/>
      <c r="I24" s="13"/>
      <c r="J24" s="13"/>
    </row>
    <row r="25" spans="1:10" s="2" customFormat="1" ht="12.75" customHeight="1" x14ac:dyDescent="0.2">
      <c r="A25" s="89">
        <v>45063</v>
      </c>
      <c r="B25" s="91" t="s">
        <v>6</v>
      </c>
      <c r="C25" s="76" t="s">
        <v>759</v>
      </c>
      <c r="D25" s="116" t="s">
        <v>13</v>
      </c>
      <c r="E25" s="31">
        <v>444590.32</v>
      </c>
      <c r="G25" s="30"/>
      <c r="I25" s="13"/>
      <c r="J25" s="13"/>
    </row>
    <row r="26" spans="1:10" s="2" customFormat="1" ht="12.75" customHeight="1" x14ac:dyDescent="0.2">
      <c r="A26" s="89">
        <v>45063</v>
      </c>
      <c r="B26" s="91" t="s">
        <v>6</v>
      </c>
      <c r="C26" s="76" t="s">
        <v>765</v>
      </c>
      <c r="D26" s="116" t="s">
        <v>13</v>
      </c>
      <c r="E26" s="31">
        <v>510735.97</v>
      </c>
      <c r="G26" s="30"/>
      <c r="I26" s="13"/>
      <c r="J26" s="13"/>
    </row>
    <row r="27" spans="1:10" s="2" customFormat="1" ht="12.75" customHeight="1" x14ac:dyDescent="0.2">
      <c r="A27" s="89">
        <v>45063</v>
      </c>
      <c r="B27" s="91" t="s">
        <v>6</v>
      </c>
      <c r="C27" s="76" t="s">
        <v>979</v>
      </c>
      <c r="D27" s="116" t="s">
        <v>13</v>
      </c>
      <c r="E27" s="31">
        <v>4200</v>
      </c>
      <c r="G27" s="30"/>
      <c r="I27" s="13"/>
      <c r="J27" s="13"/>
    </row>
    <row r="28" spans="1:10" s="2" customFormat="1" ht="12.75" customHeight="1" x14ac:dyDescent="0.2">
      <c r="A28" s="89">
        <v>45063</v>
      </c>
      <c r="B28" s="91" t="s">
        <v>6</v>
      </c>
      <c r="C28" s="76" t="s">
        <v>755</v>
      </c>
      <c r="D28" s="116" t="s">
        <v>13</v>
      </c>
      <c r="E28" s="31">
        <v>1400918.88</v>
      </c>
      <c r="G28" s="30"/>
      <c r="I28" s="13"/>
      <c r="J28" s="13"/>
    </row>
    <row r="29" spans="1:10" s="2" customFormat="1" ht="12.75" customHeight="1" x14ac:dyDescent="0.2">
      <c r="A29" s="89">
        <v>45063</v>
      </c>
      <c r="B29" s="91" t="s">
        <v>6</v>
      </c>
      <c r="C29" s="76" t="s">
        <v>748</v>
      </c>
      <c r="D29" s="116" t="s">
        <v>13</v>
      </c>
      <c r="E29" s="31">
        <v>518259.21</v>
      </c>
      <c r="G29" s="30"/>
      <c r="I29" s="13"/>
      <c r="J29" s="13"/>
    </row>
    <row r="30" spans="1:10" s="2" customFormat="1" ht="12.75" customHeight="1" x14ac:dyDescent="0.2">
      <c r="A30" s="89">
        <v>45063</v>
      </c>
      <c r="B30" s="91" t="s">
        <v>6</v>
      </c>
      <c r="C30" s="76" t="s">
        <v>944</v>
      </c>
      <c r="D30" s="116" t="s">
        <v>13</v>
      </c>
      <c r="E30" s="31">
        <v>15000000</v>
      </c>
      <c r="G30" s="30"/>
      <c r="I30" s="13"/>
      <c r="J30" s="13"/>
    </row>
    <row r="31" spans="1:10" s="2" customFormat="1" ht="12.75" customHeight="1" x14ac:dyDescent="0.2">
      <c r="A31" s="89">
        <v>45063</v>
      </c>
      <c r="B31" s="91" t="s">
        <v>6</v>
      </c>
      <c r="C31" s="76" t="s">
        <v>955</v>
      </c>
      <c r="D31" s="116" t="s">
        <v>13</v>
      </c>
      <c r="E31" s="31">
        <v>6705198.4100000001</v>
      </c>
      <c r="G31" s="30"/>
      <c r="I31" s="13"/>
      <c r="J31" s="13"/>
    </row>
    <row r="32" spans="1:10" s="2" customFormat="1" ht="12.75" customHeight="1" x14ac:dyDescent="0.2">
      <c r="A32" s="89">
        <v>45063</v>
      </c>
      <c r="B32" s="91" t="s">
        <v>6</v>
      </c>
      <c r="C32" s="76" t="s">
        <v>978</v>
      </c>
      <c r="D32" s="116" t="s">
        <v>13</v>
      </c>
      <c r="E32" s="31">
        <v>2500000</v>
      </c>
      <c r="G32" s="30"/>
      <c r="I32" s="13"/>
      <c r="J32" s="13"/>
    </row>
    <row r="33" spans="1:10" s="2" customFormat="1" ht="12.75" customHeight="1" x14ac:dyDescent="0.2">
      <c r="A33" s="89">
        <v>45063</v>
      </c>
      <c r="B33" s="91" t="s">
        <v>6</v>
      </c>
      <c r="C33" s="76" t="s">
        <v>122</v>
      </c>
      <c r="D33" s="116" t="s">
        <v>13</v>
      </c>
      <c r="E33" s="31">
        <v>13584</v>
      </c>
      <c r="G33" s="30"/>
      <c r="I33" s="13"/>
      <c r="J33" s="13"/>
    </row>
    <row r="34" spans="1:10" s="2" customFormat="1" ht="12.75" customHeight="1" x14ac:dyDescent="0.2">
      <c r="A34" s="89">
        <v>45063</v>
      </c>
      <c r="B34" s="91" t="s">
        <v>6</v>
      </c>
      <c r="C34" s="76" t="s">
        <v>295</v>
      </c>
      <c r="D34" s="116" t="s">
        <v>13</v>
      </c>
      <c r="E34" s="31">
        <v>100000</v>
      </c>
      <c r="G34" s="30"/>
      <c r="I34" s="13"/>
      <c r="J34" s="13"/>
    </row>
    <row r="35" spans="1:10" s="2" customFormat="1" ht="12.75" customHeight="1" x14ac:dyDescent="0.2">
      <c r="A35" s="89">
        <v>45063</v>
      </c>
      <c r="B35" s="91" t="s">
        <v>6</v>
      </c>
      <c r="C35" s="76" t="s">
        <v>612</v>
      </c>
      <c r="D35" s="116" t="s">
        <v>13</v>
      </c>
      <c r="E35" s="31">
        <v>3308</v>
      </c>
      <c r="G35" s="30"/>
      <c r="I35" s="13"/>
      <c r="J35" s="13"/>
    </row>
    <row r="36" spans="1:10" s="2" customFormat="1" ht="12.75" customHeight="1" x14ac:dyDescent="0.2">
      <c r="A36" s="89">
        <v>45063</v>
      </c>
      <c r="B36" s="91" t="s">
        <v>6</v>
      </c>
      <c r="C36" s="76" t="s">
        <v>465</v>
      </c>
      <c r="D36" s="116" t="s">
        <v>13</v>
      </c>
      <c r="E36" s="31">
        <v>630124</v>
      </c>
      <c r="G36" s="30"/>
      <c r="I36" s="13"/>
      <c r="J36" s="13"/>
    </row>
    <row r="37" spans="1:10" s="2" customFormat="1" ht="12.75" customHeight="1" x14ac:dyDescent="0.2">
      <c r="A37" s="89">
        <v>45063</v>
      </c>
      <c r="B37" s="91" t="s">
        <v>6</v>
      </c>
      <c r="C37" s="76" t="s">
        <v>15</v>
      </c>
      <c r="D37" s="116" t="s">
        <v>13</v>
      </c>
      <c r="E37" s="31">
        <v>8631.01</v>
      </c>
      <c r="G37" s="30"/>
      <c r="I37" s="13"/>
      <c r="J37" s="13"/>
    </row>
    <row r="38" spans="1:10" s="2" customFormat="1" ht="12.75" customHeight="1" x14ac:dyDescent="0.2">
      <c r="A38" s="89">
        <v>45063</v>
      </c>
      <c r="B38" s="91" t="s">
        <v>11</v>
      </c>
      <c r="C38" s="76" t="s">
        <v>429</v>
      </c>
      <c r="D38" s="116" t="s">
        <v>29</v>
      </c>
      <c r="E38" s="31"/>
      <c r="F38" s="2">
        <f>291036.36-145518.18</f>
        <v>145518.18</v>
      </c>
      <c r="G38" s="30"/>
      <c r="I38" s="13"/>
      <c r="J38" s="13"/>
    </row>
    <row r="39" spans="1:10" s="2" customFormat="1" ht="12.75" customHeight="1" x14ac:dyDescent="0.2">
      <c r="A39" s="89">
        <v>45063</v>
      </c>
      <c r="B39" s="91" t="s">
        <v>11</v>
      </c>
      <c r="C39" s="76" t="s">
        <v>533</v>
      </c>
      <c r="D39" s="116" t="s">
        <v>29</v>
      </c>
      <c r="E39" s="31"/>
      <c r="F39" s="2">
        <v>3005264</v>
      </c>
      <c r="G39" s="30"/>
      <c r="I39" s="13"/>
      <c r="J39" s="13"/>
    </row>
    <row r="40" spans="1:10" s="2" customFormat="1" ht="12.75" customHeight="1" x14ac:dyDescent="0.2">
      <c r="A40" s="89">
        <v>45063</v>
      </c>
      <c r="B40" s="91" t="s">
        <v>11</v>
      </c>
      <c r="C40" s="76" t="s">
        <v>156</v>
      </c>
      <c r="D40" s="116" t="s">
        <v>29</v>
      </c>
      <c r="E40" s="31"/>
      <c r="F40" s="2">
        <v>614.32999999999993</v>
      </c>
      <c r="G40" s="30"/>
      <c r="I40" s="13"/>
      <c r="J40" s="13"/>
    </row>
    <row r="41" spans="1:10" s="2" customFormat="1" ht="12.75" customHeight="1" x14ac:dyDescent="0.2">
      <c r="A41" s="89">
        <v>45063</v>
      </c>
      <c r="B41" s="91" t="s">
        <v>11</v>
      </c>
      <c r="C41" s="76" t="s">
        <v>64</v>
      </c>
      <c r="D41" s="116" t="s">
        <v>29</v>
      </c>
      <c r="E41" s="31"/>
      <c r="F41" s="2">
        <v>30908.33</v>
      </c>
      <c r="G41" s="30"/>
      <c r="I41" s="13"/>
      <c r="J41" s="13"/>
    </row>
    <row r="42" spans="1:10" s="2" customFormat="1" ht="12.75" customHeight="1" x14ac:dyDescent="0.2">
      <c r="A42" s="89">
        <v>45063</v>
      </c>
      <c r="B42" s="91" t="s">
        <v>11</v>
      </c>
      <c r="C42" s="76" t="s">
        <v>111</v>
      </c>
      <c r="D42" s="116" t="s">
        <v>29</v>
      </c>
      <c r="E42" s="31"/>
      <c r="F42" s="2">
        <v>1622177.1500000001</v>
      </c>
      <c r="G42" s="30"/>
      <c r="I42" s="13"/>
      <c r="J42" s="13"/>
    </row>
    <row r="43" spans="1:10" s="2" customFormat="1" ht="12.75" customHeight="1" x14ac:dyDescent="0.2">
      <c r="A43" s="89">
        <v>45063</v>
      </c>
      <c r="B43" s="91" t="s">
        <v>11</v>
      </c>
      <c r="C43" s="76" t="s">
        <v>204</v>
      </c>
      <c r="D43" s="116" t="s">
        <v>29</v>
      </c>
      <c r="E43" s="31"/>
      <c r="F43" s="2">
        <v>1096117</v>
      </c>
      <c r="G43" s="30"/>
      <c r="I43" s="13"/>
      <c r="J43" s="13"/>
    </row>
    <row r="44" spans="1:10" s="2" customFormat="1" ht="12.75" customHeight="1" x14ac:dyDescent="0.2">
      <c r="A44" s="89">
        <v>45063</v>
      </c>
      <c r="B44" s="91" t="s">
        <v>11</v>
      </c>
      <c r="C44" s="76" t="s">
        <v>356</v>
      </c>
      <c r="D44" s="116" t="s">
        <v>29</v>
      </c>
      <c r="E44" s="31"/>
      <c r="F44" s="2">
        <v>1266010</v>
      </c>
      <c r="G44" s="30"/>
      <c r="I44" s="13"/>
      <c r="J44" s="13"/>
    </row>
    <row r="45" spans="1:10" s="2" customFormat="1" ht="12.75" customHeight="1" x14ac:dyDescent="0.2">
      <c r="A45" s="89">
        <v>45063</v>
      </c>
      <c r="B45" s="91" t="s">
        <v>11</v>
      </c>
      <c r="C45" s="76" t="s">
        <v>278</v>
      </c>
      <c r="D45" s="116" t="s">
        <v>29</v>
      </c>
      <c r="E45" s="31"/>
      <c r="F45" s="2">
        <v>55490</v>
      </c>
      <c r="G45" s="30"/>
      <c r="I45" s="13"/>
      <c r="J45" s="13"/>
    </row>
    <row r="46" spans="1:10" s="2" customFormat="1" ht="12.75" customHeight="1" x14ac:dyDescent="0.2">
      <c r="A46" s="89">
        <v>45063</v>
      </c>
      <c r="B46" s="91" t="s">
        <v>11</v>
      </c>
      <c r="C46" s="76" t="s">
        <v>319</v>
      </c>
      <c r="D46" s="116" t="s">
        <v>29</v>
      </c>
      <c r="E46" s="31"/>
      <c r="F46" s="2">
        <v>27351.53</v>
      </c>
      <c r="G46" s="30"/>
      <c r="I46" s="13"/>
      <c r="J46" s="13"/>
    </row>
    <row r="47" spans="1:10" s="2" customFormat="1" ht="12.75" customHeight="1" x14ac:dyDescent="0.2">
      <c r="A47" s="89">
        <v>45063</v>
      </c>
      <c r="B47" s="91" t="s">
        <v>11</v>
      </c>
      <c r="C47" s="76" t="s">
        <v>42</v>
      </c>
      <c r="D47" s="116" t="s">
        <v>29</v>
      </c>
      <c r="E47" s="31"/>
      <c r="F47" s="2">
        <v>20703.400000000001</v>
      </c>
      <c r="G47" s="30"/>
      <c r="I47" s="13"/>
      <c r="J47" s="13"/>
    </row>
    <row r="48" spans="1:10" s="2" customFormat="1" ht="12.75" customHeight="1" x14ac:dyDescent="0.2">
      <c r="A48" s="89">
        <v>45063</v>
      </c>
      <c r="B48" s="91" t="s">
        <v>11</v>
      </c>
      <c r="C48" s="76" t="s">
        <v>59</v>
      </c>
      <c r="D48" s="116" t="s">
        <v>29</v>
      </c>
      <c r="E48" s="31"/>
      <c r="F48" s="2">
        <v>28080</v>
      </c>
      <c r="G48" s="30"/>
      <c r="I48" s="13"/>
      <c r="J48" s="13"/>
    </row>
    <row r="49" spans="1:11" s="2" customFormat="1" ht="12.75" customHeight="1" x14ac:dyDescent="0.2">
      <c r="A49" s="89">
        <v>45063</v>
      </c>
      <c r="B49" s="91" t="s">
        <v>11</v>
      </c>
      <c r="C49" s="76" t="s">
        <v>363</v>
      </c>
      <c r="D49" s="116" t="s">
        <v>29</v>
      </c>
      <c r="E49" s="31"/>
      <c r="F49" s="2">
        <v>65320</v>
      </c>
      <c r="G49" s="30"/>
      <c r="I49" s="13"/>
      <c r="J49" s="13"/>
    </row>
    <row r="50" spans="1:11" s="2" customFormat="1" ht="12.75" customHeight="1" x14ac:dyDescent="0.2">
      <c r="A50" s="89">
        <v>45063</v>
      </c>
      <c r="B50" s="91" t="s">
        <v>11</v>
      </c>
      <c r="C50" s="76" t="s">
        <v>44</v>
      </c>
      <c r="D50" s="116" t="s">
        <v>29</v>
      </c>
      <c r="E50" s="31"/>
      <c r="F50" s="2">
        <v>406310</v>
      </c>
      <c r="G50" s="30"/>
      <c r="I50" s="13"/>
      <c r="J50" s="13"/>
    </row>
    <row r="51" spans="1:11" s="2" customFormat="1" ht="12.75" customHeight="1" x14ac:dyDescent="0.2">
      <c r="A51" s="89">
        <v>45063</v>
      </c>
      <c r="B51" s="91" t="s">
        <v>11</v>
      </c>
      <c r="C51" s="76" t="s">
        <v>61</v>
      </c>
      <c r="D51" s="116" t="s">
        <v>29</v>
      </c>
      <c r="E51" s="31"/>
      <c r="F51" s="2">
        <v>335662.8</v>
      </c>
      <c r="G51" s="30"/>
      <c r="I51" s="13"/>
      <c r="J51" s="13"/>
    </row>
    <row r="52" spans="1:11" s="2" customFormat="1" ht="12.75" customHeight="1" x14ac:dyDescent="0.2">
      <c r="A52" s="89">
        <v>45063</v>
      </c>
      <c r="B52" s="91" t="s">
        <v>11</v>
      </c>
      <c r="C52" s="76" t="s">
        <v>224</v>
      </c>
      <c r="D52" s="116" t="s">
        <v>29</v>
      </c>
      <c r="E52" s="31"/>
      <c r="F52" s="2">
        <v>78528</v>
      </c>
      <c r="G52" s="30"/>
      <c r="I52" s="13"/>
      <c r="J52" s="13"/>
    </row>
    <row r="53" spans="1:11" s="2" customFormat="1" ht="12.75" customHeight="1" x14ac:dyDescent="0.2">
      <c r="A53" s="89">
        <v>45063</v>
      </c>
      <c r="B53" s="91" t="s">
        <v>11</v>
      </c>
      <c r="C53" s="76" t="s">
        <v>45</v>
      </c>
      <c r="D53" s="116" t="s">
        <v>29</v>
      </c>
      <c r="E53" s="31"/>
      <c r="F53" s="2">
        <v>1520662.36</v>
      </c>
      <c r="G53" s="30"/>
      <c r="I53" s="13"/>
      <c r="J53" s="13"/>
    </row>
    <row r="54" spans="1:11" s="2" customFormat="1" ht="12.75" customHeight="1" x14ac:dyDescent="0.2">
      <c r="A54" s="89">
        <v>45063</v>
      </c>
      <c r="B54" s="91" t="s">
        <v>11</v>
      </c>
      <c r="C54" s="76" t="s">
        <v>585</v>
      </c>
      <c r="D54" s="116" t="s">
        <v>29</v>
      </c>
      <c r="E54" s="31"/>
      <c r="F54" s="2">
        <v>756700</v>
      </c>
      <c r="G54" s="30"/>
      <c r="I54" s="13"/>
      <c r="J54" s="13"/>
    </row>
    <row r="55" spans="1:11" s="2" customFormat="1" ht="12.75" customHeight="1" x14ac:dyDescent="0.2">
      <c r="A55" s="89">
        <v>45063</v>
      </c>
      <c r="B55" s="91" t="s">
        <v>11</v>
      </c>
      <c r="C55" s="76" t="s">
        <v>30</v>
      </c>
      <c r="D55" s="116" t="s">
        <v>29</v>
      </c>
      <c r="E55" s="31"/>
      <c r="F55" s="2">
        <v>1757122</v>
      </c>
      <c r="G55" s="30"/>
      <c r="I55" s="13"/>
      <c r="J55" s="13"/>
    </row>
    <row r="56" spans="1:11" s="2" customFormat="1" ht="12.75" customHeight="1" x14ac:dyDescent="0.2">
      <c r="A56" s="89">
        <v>45063</v>
      </c>
      <c r="B56" s="91" t="s">
        <v>11</v>
      </c>
      <c r="C56" s="76" t="s">
        <v>33</v>
      </c>
      <c r="D56" s="116" t="s">
        <v>29</v>
      </c>
      <c r="E56" s="31"/>
      <c r="F56" s="2">
        <v>1945350</v>
      </c>
      <c r="G56" s="30"/>
      <c r="I56" s="13"/>
      <c r="J56" s="13"/>
    </row>
    <row r="57" spans="1:11" s="2" customFormat="1" ht="12.75" customHeight="1" x14ac:dyDescent="0.2">
      <c r="A57" s="89">
        <v>45063</v>
      </c>
      <c r="B57" s="91" t="s">
        <v>11</v>
      </c>
      <c r="C57" s="76" t="s">
        <v>32</v>
      </c>
      <c r="D57" s="116" t="s">
        <v>29</v>
      </c>
      <c r="E57" s="31"/>
      <c r="F57" s="2">
        <v>1345239</v>
      </c>
      <c r="G57" s="30"/>
      <c r="I57" s="13"/>
      <c r="J57" s="13"/>
    </row>
    <row r="58" spans="1:11" s="2" customFormat="1" ht="12.75" customHeight="1" x14ac:dyDescent="0.2">
      <c r="A58" s="89">
        <v>45063</v>
      </c>
      <c r="B58" s="91" t="s">
        <v>11</v>
      </c>
      <c r="C58" s="76" t="s">
        <v>341</v>
      </c>
      <c r="D58" s="116" t="s">
        <v>29</v>
      </c>
      <c r="E58" s="31"/>
      <c r="F58" s="2">
        <v>83898</v>
      </c>
      <c r="G58" s="30"/>
      <c r="I58" s="13"/>
      <c r="J58" s="13"/>
    </row>
    <row r="59" spans="1:11" s="2" customFormat="1" ht="12.75" customHeight="1" x14ac:dyDescent="0.2">
      <c r="A59" s="89">
        <v>45063</v>
      </c>
      <c r="B59" s="91" t="s">
        <v>11</v>
      </c>
      <c r="C59" s="76" t="s">
        <v>292</v>
      </c>
      <c r="D59" s="116" t="s">
        <v>29</v>
      </c>
      <c r="E59" s="31"/>
      <c r="F59" s="2">
        <v>8700.06</v>
      </c>
      <c r="G59" s="30"/>
      <c r="I59" s="13"/>
      <c r="J59" s="13"/>
    </row>
    <row r="60" spans="1:11" s="2" customFormat="1" ht="12.75" customHeight="1" x14ac:dyDescent="0.2">
      <c r="A60" s="89">
        <v>45063</v>
      </c>
      <c r="B60" s="91" t="s">
        <v>11</v>
      </c>
      <c r="C60" s="76" t="s">
        <v>911</v>
      </c>
      <c r="D60" s="116" t="s">
        <v>29</v>
      </c>
      <c r="E60" s="31"/>
      <c r="F60" s="2">
        <v>10620</v>
      </c>
      <c r="G60" s="30"/>
      <c r="I60" s="13"/>
      <c r="J60" s="13"/>
    </row>
    <row r="61" spans="1:11" s="2" customFormat="1" ht="12.75" customHeight="1" x14ac:dyDescent="0.2">
      <c r="A61" s="89">
        <v>45063</v>
      </c>
      <c r="B61" s="91" t="s">
        <v>11</v>
      </c>
      <c r="C61" s="76" t="s">
        <v>608</v>
      </c>
      <c r="D61" s="116" t="s">
        <v>29</v>
      </c>
      <c r="E61" s="31"/>
      <c r="F61" s="2">
        <v>15000</v>
      </c>
      <c r="G61" s="30"/>
      <c r="I61" s="13"/>
      <c r="J61" s="13"/>
    </row>
    <row r="62" spans="1:11" s="2" customFormat="1" ht="12.75" customHeight="1" x14ac:dyDescent="0.2">
      <c r="A62" s="89">
        <v>45063</v>
      </c>
      <c r="B62" s="91" t="s">
        <v>11</v>
      </c>
      <c r="C62" s="76" t="s">
        <v>829</v>
      </c>
      <c r="D62" s="116" t="s">
        <v>29</v>
      </c>
      <c r="E62" s="31"/>
      <c r="F62" s="2">
        <v>150000</v>
      </c>
      <c r="G62" s="30"/>
      <c r="I62" s="13"/>
      <c r="J62" s="13"/>
    </row>
    <row r="63" spans="1:11" s="2" customFormat="1" ht="12.75" customHeight="1" x14ac:dyDescent="0.2">
      <c r="A63" s="89">
        <v>45063</v>
      </c>
      <c r="B63" s="91" t="s">
        <v>11</v>
      </c>
      <c r="C63" s="76" t="s">
        <v>227</v>
      </c>
      <c r="D63" s="116" t="s">
        <v>29</v>
      </c>
      <c r="E63" s="31"/>
      <c r="F63" s="2">
        <v>578000</v>
      </c>
      <c r="G63" s="30"/>
      <c r="I63" s="13"/>
      <c r="J63" s="13"/>
    </row>
    <row r="64" spans="1:11" s="2" customFormat="1" ht="12.75" customHeight="1" x14ac:dyDescent="0.2">
      <c r="A64" s="89">
        <v>45063</v>
      </c>
      <c r="B64" s="91" t="s">
        <v>11</v>
      </c>
      <c r="C64" s="76" t="s">
        <v>15</v>
      </c>
      <c r="D64" s="116" t="s">
        <v>29</v>
      </c>
      <c r="E64" s="31"/>
      <c r="F64" s="2">
        <v>3174</v>
      </c>
      <c r="G64" s="30"/>
      <c r="I64" s="13"/>
      <c r="J64" s="13"/>
      <c r="K64" s="99" t="s">
        <v>779</v>
      </c>
    </row>
    <row r="65" spans="1:14" s="2" customFormat="1" ht="12.75" customHeight="1" x14ac:dyDescent="0.25">
      <c r="A65" s="32"/>
      <c r="B65" s="33"/>
      <c r="C65" s="14"/>
      <c r="D65" s="34"/>
      <c r="E65" s="16">
        <f>SUM(E11:E64)</f>
        <v>37945553.079999998</v>
      </c>
      <c r="F65" s="16">
        <f>SUM(F11:F64)</f>
        <v>330203622.98999995</v>
      </c>
      <c r="G65" s="30"/>
      <c r="H65" s="1"/>
      <c r="I65" s="39">
        <v>292684120.91000003</v>
      </c>
      <c r="K65" s="92">
        <f>E66-I65</f>
        <v>-426051.0000000596</v>
      </c>
      <c r="L65" s="41"/>
      <c r="M65" s="42">
        <f>K65+J65</f>
        <v>-426051.0000000596</v>
      </c>
      <c r="N65" s="1"/>
    </row>
    <row r="66" spans="1:14" s="2" customFormat="1" x14ac:dyDescent="0.2">
      <c r="A66" s="36"/>
      <c r="B66" s="28" t="s">
        <v>11</v>
      </c>
      <c r="C66" s="19" t="s">
        <v>65</v>
      </c>
      <c r="D66" s="37"/>
      <c r="E66" s="38">
        <f>F65-E65</f>
        <v>292258069.90999997</v>
      </c>
      <c r="F66" s="22"/>
      <c r="G66" s="1"/>
      <c r="H66" s="1"/>
      <c r="J66" s="1"/>
      <c r="K66" s="1"/>
      <c r="L66" s="1"/>
      <c r="M66" s="1"/>
      <c r="N66" s="1"/>
    </row>
    <row r="67" spans="1:14" x14ac:dyDescent="0.2">
      <c r="A67" s="36"/>
      <c r="B67" s="28" t="s">
        <v>66</v>
      </c>
      <c r="C67" s="43" t="s">
        <v>67</v>
      </c>
      <c r="D67" s="43"/>
      <c r="E67" s="12">
        <v>29316181</v>
      </c>
      <c r="F67" s="22"/>
      <c r="H67" s="40"/>
      <c r="I67" s="45">
        <v>1929.53</v>
      </c>
      <c r="J67" s="46"/>
      <c r="K67" s="46"/>
      <c r="L67" s="13"/>
      <c r="M67" s="2"/>
      <c r="N67" s="2"/>
    </row>
    <row r="68" spans="1:14" ht="15" x14ac:dyDescent="0.25">
      <c r="A68" s="36"/>
      <c r="B68" s="28"/>
      <c r="C68" s="44" t="s">
        <v>68</v>
      </c>
      <c r="D68" s="43"/>
      <c r="E68" s="7">
        <f>E66+E67</f>
        <v>321574250.90999997</v>
      </c>
      <c r="F68" s="22"/>
      <c r="H68" s="103" t="s">
        <v>69</v>
      </c>
      <c r="I68" s="45">
        <v>-82.79</v>
      </c>
      <c r="J68" s="46"/>
      <c r="K68" s="46"/>
      <c r="L68" s="2"/>
      <c r="M68" s="2"/>
      <c r="N68" s="2"/>
    </row>
    <row r="69" spans="1:14" s="2" customFormat="1" x14ac:dyDescent="0.2">
      <c r="A69" s="24"/>
      <c r="B69" s="1"/>
      <c r="C69" s="14"/>
      <c r="D69" s="25"/>
      <c r="E69" s="1"/>
      <c r="H69" s="35" t="s">
        <v>70</v>
      </c>
      <c r="I69" s="45">
        <v>0</v>
      </c>
      <c r="J69" s="46">
        <f>+I70-D72</f>
        <v>0</v>
      </c>
      <c r="M69" s="2">
        <v>19.57</v>
      </c>
      <c r="N69" s="2" t="s">
        <v>535</v>
      </c>
    </row>
    <row r="70" spans="1:14" s="2" customFormat="1" x14ac:dyDescent="0.2">
      <c r="A70" s="24"/>
      <c r="B70" s="1"/>
      <c r="C70" s="56"/>
      <c r="D70" s="56"/>
      <c r="E70" s="104"/>
      <c r="G70" s="1"/>
      <c r="I70" s="49">
        <f>SUM(I67:I69)</f>
        <v>1846.74</v>
      </c>
      <c r="J70" s="46"/>
      <c r="K70" s="46"/>
    </row>
    <row r="71" spans="1:14" s="2" customFormat="1" x14ac:dyDescent="0.2">
      <c r="A71" s="24"/>
      <c r="B71" s="1"/>
      <c r="C71" s="78" t="s">
        <v>575</v>
      </c>
      <c r="D71" s="48" t="s">
        <v>576</v>
      </c>
      <c r="E71" s="104"/>
      <c r="G71" s="1"/>
    </row>
    <row r="72" spans="1:14" s="2" customFormat="1" x14ac:dyDescent="0.2">
      <c r="A72" s="24"/>
      <c r="B72" s="1"/>
      <c r="C72" s="47" t="s">
        <v>570</v>
      </c>
      <c r="D72" s="111">
        <v>1846.74</v>
      </c>
      <c r="E72" s="104"/>
      <c r="G72" s="1"/>
      <c r="H72" s="110" t="s">
        <v>581</v>
      </c>
    </row>
    <row r="73" spans="1:14" s="2" customFormat="1" x14ac:dyDescent="0.2">
      <c r="A73" s="24"/>
      <c r="B73" s="1"/>
      <c r="C73" s="47" t="s">
        <v>931</v>
      </c>
      <c r="D73" s="111">
        <v>205.39</v>
      </c>
      <c r="E73" s="104"/>
      <c r="G73" s="1"/>
      <c r="H73" s="110" t="s">
        <v>580</v>
      </c>
    </row>
    <row r="74" spans="1:14" s="2" customFormat="1" x14ac:dyDescent="0.2">
      <c r="A74" s="24"/>
      <c r="B74" s="1"/>
      <c r="C74" s="47" t="s">
        <v>572</v>
      </c>
      <c r="D74" s="111">
        <f>+D108/100000</f>
        <v>370.93265000000002</v>
      </c>
      <c r="E74" s="104"/>
      <c r="G74" s="1"/>
      <c r="H74" s="90" t="s">
        <v>587</v>
      </c>
    </row>
    <row r="75" spans="1:14" s="2" customFormat="1" x14ac:dyDescent="0.2">
      <c r="A75" s="24"/>
      <c r="B75" s="1"/>
      <c r="C75" s="108" t="s">
        <v>578</v>
      </c>
      <c r="D75" s="48">
        <f>SUM(D72:D74)</f>
        <v>2423.0626500000003</v>
      </c>
      <c r="E75" s="104"/>
      <c r="G75" s="1"/>
    </row>
    <row r="76" spans="1:14" s="2" customFormat="1" x14ac:dyDescent="0.2">
      <c r="A76" s="24"/>
      <c r="B76" s="1"/>
      <c r="C76" s="47"/>
      <c r="D76" s="107"/>
      <c r="E76" s="104"/>
      <c r="G76" s="1"/>
    </row>
    <row r="77" spans="1:14" s="2" customFormat="1" x14ac:dyDescent="0.2">
      <c r="A77" s="24"/>
      <c r="B77" s="1"/>
      <c r="C77" s="47" t="s">
        <v>932</v>
      </c>
      <c r="D77" s="111">
        <v>561.27</v>
      </c>
      <c r="E77" s="104"/>
      <c r="G77" s="1"/>
      <c r="H77" s="110" t="s">
        <v>581</v>
      </c>
    </row>
    <row r="78" spans="1:14" s="2" customFormat="1" x14ac:dyDescent="0.2">
      <c r="A78" s="24"/>
      <c r="B78" s="1"/>
      <c r="C78" s="47" t="s">
        <v>933</v>
      </c>
      <c r="D78" s="111">
        <f>383.41-14.66</f>
        <v>368.75</v>
      </c>
      <c r="E78" s="104"/>
      <c r="G78" s="1"/>
      <c r="H78" s="110" t="s">
        <v>581</v>
      </c>
      <c r="J78" s="114" t="s">
        <v>713</v>
      </c>
    </row>
    <row r="79" spans="1:14" s="2" customFormat="1" x14ac:dyDescent="0.2">
      <c r="A79" s="24"/>
      <c r="B79" s="1"/>
      <c r="C79" s="78" t="s">
        <v>579</v>
      </c>
      <c r="D79" s="109">
        <f>D77+D78</f>
        <v>930.02</v>
      </c>
      <c r="E79" s="104"/>
      <c r="G79" s="1"/>
      <c r="I79" s="113"/>
      <c r="J79" s="113" t="s">
        <v>709</v>
      </c>
      <c r="K79" s="113" t="s">
        <v>710</v>
      </c>
      <c r="L79" s="113" t="s">
        <v>711</v>
      </c>
      <c r="M79" s="113" t="s">
        <v>712</v>
      </c>
    </row>
    <row r="80" spans="1:14" s="2" customFormat="1" x14ac:dyDescent="0.2">
      <c r="A80" s="24"/>
      <c r="B80" s="1"/>
      <c r="C80" s="105"/>
      <c r="D80" s="106"/>
      <c r="E80" s="104"/>
      <c r="G80" s="1"/>
      <c r="I80" s="113" t="s">
        <v>706</v>
      </c>
      <c r="J80" s="115"/>
      <c r="K80" s="115">
        <v>968.99</v>
      </c>
      <c r="L80" s="115">
        <v>968.99</v>
      </c>
      <c r="M80" s="113">
        <f>+J80+L80-K80</f>
        <v>0</v>
      </c>
    </row>
    <row r="81" spans="1:13" s="2" customFormat="1" x14ac:dyDescent="0.2">
      <c r="A81" s="24"/>
      <c r="B81" s="1"/>
      <c r="C81" s="78" t="s">
        <v>577</v>
      </c>
      <c r="D81" s="109">
        <f>D72+D79</f>
        <v>2776.76</v>
      </c>
      <c r="E81" s="104"/>
      <c r="G81" s="1"/>
      <c r="I81" s="113" t="s">
        <v>707</v>
      </c>
      <c r="J81" s="115">
        <v>183.1</v>
      </c>
      <c r="K81" s="115">
        <v>1722.78</v>
      </c>
      <c r="L81" s="115">
        <v>2734.74</v>
      </c>
      <c r="M81" s="113">
        <f>+J81+L81-K81</f>
        <v>1195.0599999999997</v>
      </c>
    </row>
    <row r="82" spans="1:13" s="2" customFormat="1" x14ac:dyDescent="0.2">
      <c r="A82" s="24"/>
      <c r="B82" s="1"/>
      <c r="C82" s="56"/>
      <c r="D82" s="56"/>
      <c r="E82" s="104"/>
      <c r="G82" s="1"/>
      <c r="I82" s="113" t="s">
        <v>708</v>
      </c>
      <c r="J82" s="115">
        <v>1371.02</v>
      </c>
      <c r="K82" s="115">
        <v>11067.4</v>
      </c>
      <c r="L82" s="115">
        <v>11407.66</v>
      </c>
      <c r="M82" s="113">
        <f>+J82+L82-K82</f>
        <v>1711.2800000000007</v>
      </c>
    </row>
    <row r="83" spans="1:13" s="2" customFormat="1" ht="38.25" x14ac:dyDescent="0.2">
      <c r="A83" s="24"/>
      <c r="B83" s="1"/>
      <c r="C83" s="79" t="str">
        <f>"Particulars ( 01-04-2021 to "&amp;TEXT(A5,"dd-mm-yyyy")&amp;" )"</f>
        <v>Particulars ( 01-04-2021 to 17-05-2023 )</v>
      </c>
      <c r="D83" s="80" t="s">
        <v>73</v>
      </c>
      <c r="E83" s="80" t="s">
        <v>74</v>
      </c>
      <c r="F83" s="81" t="s">
        <v>75</v>
      </c>
      <c r="G83" s="80" t="s">
        <v>76</v>
      </c>
      <c r="J83" s="118">
        <f>SUM(J80:J82)</f>
        <v>1554.12</v>
      </c>
      <c r="K83" s="118">
        <f>SUM(K80:K82)</f>
        <v>13759.17</v>
      </c>
      <c r="L83" s="118">
        <f>SUM(L80:L82)</f>
        <v>15111.39</v>
      </c>
      <c r="M83" s="118">
        <f>SUM(M80:M82)</f>
        <v>2906.34</v>
      </c>
    </row>
    <row r="84" spans="1:13" s="2" customFormat="1" x14ac:dyDescent="0.2">
      <c r="A84" s="24"/>
      <c r="B84" s="1"/>
      <c r="C84" s="50" t="s">
        <v>444</v>
      </c>
      <c r="D84" s="55">
        <f>+L80+L81+J81</f>
        <v>3886.8299999999995</v>
      </c>
      <c r="E84" s="55">
        <f>+K80+K81</f>
        <v>2691.77</v>
      </c>
      <c r="F84" s="55">
        <f>+D84-E84</f>
        <v>1195.0599999999995</v>
      </c>
      <c r="G84" s="55">
        <f>1500-F84</f>
        <v>304.94000000000051</v>
      </c>
      <c r="H84" s="2" t="s">
        <v>396</v>
      </c>
    </row>
    <row r="85" spans="1:13" s="2" customFormat="1" x14ac:dyDescent="0.2">
      <c r="A85" s="24"/>
      <c r="B85" s="1"/>
      <c r="C85" s="50" t="s">
        <v>71</v>
      </c>
      <c r="D85" s="55">
        <f>+J82+L82</f>
        <v>12778.68</v>
      </c>
      <c r="E85" s="55">
        <f>+K82</f>
        <v>11067.4</v>
      </c>
      <c r="F85" s="55">
        <f>+D85-E85</f>
        <v>1711.2800000000007</v>
      </c>
      <c r="G85" s="55">
        <f>1500+700-F85</f>
        <v>488.71999999999935</v>
      </c>
      <c r="H85" s="2" t="s">
        <v>396</v>
      </c>
    </row>
    <row r="86" spans="1:13" s="2" customFormat="1" x14ac:dyDescent="0.2">
      <c r="A86" s="24"/>
      <c r="B86" s="1"/>
      <c r="C86" s="14"/>
      <c r="D86" s="56"/>
      <c r="E86" s="13"/>
      <c r="G86" s="1"/>
    </row>
    <row r="87" spans="1:13" s="2" customFormat="1" x14ac:dyDescent="0.2">
      <c r="A87" s="215" t="s">
        <v>80</v>
      </c>
      <c r="B87" s="216"/>
      <c r="C87" s="216"/>
      <c r="D87" s="217"/>
      <c r="E87" s="69"/>
      <c r="F87" s="70"/>
      <c r="G87" s="1"/>
      <c r="H87" s="53"/>
    </row>
    <row r="88" spans="1:13" s="2" customFormat="1" x14ac:dyDescent="0.2">
      <c r="A88" s="71" t="s">
        <v>81</v>
      </c>
      <c r="B88" s="71"/>
      <c r="C88" s="72" t="s">
        <v>82</v>
      </c>
      <c r="D88" s="73" t="s">
        <v>83</v>
      </c>
      <c r="E88" s="69"/>
      <c r="F88" s="70"/>
      <c r="H88" s="53"/>
    </row>
    <row r="89" spans="1:13" s="2" customFormat="1" x14ac:dyDescent="0.2">
      <c r="A89" s="87">
        <v>45050</v>
      </c>
      <c r="B89" s="120" t="s">
        <v>6</v>
      </c>
      <c r="C89" s="75" t="s">
        <v>282</v>
      </c>
      <c r="D89" s="88">
        <v>1562637</v>
      </c>
      <c r="G89" s="1"/>
      <c r="L89" s="1"/>
      <c r="M89" s="1"/>
    </row>
    <row r="90" spans="1:13" s="2" customFormat="1" x14ac:dyDescent="0.2">
      <c r="A90" s="87">
        <v>45050</v>
      </c>
      <c r="B90" s="120" t="s">
        <v>6</v>
      </c>
      <c r="C90" s="75" t="s">
        <v>86</v>
      </c>
      <c r="D90" s="88">
        <v>2499321</v>
      </c>
      <c r="G90" s="1"/>
      <c r="L90" s="1"/>
      <c r="M90" s="1"/>
    </row>
    <row r="91" spans="1:13" s="2" customFormat="1" x14ac:dyDescent="0.2">
      <c r="A91" s="87">
        <v>45050</v>
      </c>
      <c r="B91" s="120" t="s">
        <v>6</v>
      </c>
      <c r="C91" s="75" t="s">
        <v>86</v>
      </c>
      <c r="D91" s="88">
        <v>6876102</v>
      </c>
      <c r="G91" s="1"/>
      <c r="L91" s="1"/>
      <c r="M91" s="1"/>
    </row>
    <row r="92" spans="1:13" s="2" customFormat="1" x14ac:dyDescent="0.2">
      <c r="A92" s="87">
        <v>45052</v>
      </c>
      <c r="B92" s="120" t="s">
        <v>6</v>
      </c>
      <c r="C92" s="75" t="s">
        <v>270</v>
      </c>
      <c r="D92" s="88">
        <v>1124141</v>
      </c>
      <c r="G92" s="1"/>
      <c r="L92" s="1"/>
      <c r="M92" s="1"/>
    </row>
    <row r="93" spans="1:13" s="2" customFormat="1" x14ac:dyDescent="0.2">
      <c r="A93" s="87">
        <v>45054</v>
      </c>
      <c r="B93" s="120" t="s">
        <v>6</v>
      </c>
      <c r="C93" s="75" t="s">
        <v>271</v>
      </c>
      <c r="D93" s="88">
        <v>476726</v>
      </c>
      <c r="G93" s="1"/>
      <c r="L93" s="1"/>
      <c r="M93" s="1"/>
    </row>
    <row r="94" spans="1:13" s="2" customFormat="1" x14ac:dyDescent="0.2">
      <c r="A94" s="87">
        <v>45054</v>
      </c>
      <c r="B94" s="120" t="s">
        <v>6</v>
      </c>
      <c r="C94" s="75" t="s">
        <v>271</v>
      </c>
      <c r="D94" s="88">
        <v>926688</v>
      </c>
      <c r="G94" s="1"/>
      <c r="L94" s="1"/>
      <c r="M94" s="1"/>
    </row>
    <row r="95" spans="1:13" s="2" customFormat="1" x14ac:dyDescent="0.2">
      <c r="A95" s="87">
        <v>45054</v>
      </c>
      <c r="B95" s="120" t="s">
        <v>6</v>
      </c>
      <c r="C95" s="75" t="s">
        <v>606</v>
      </c>
      <c r="D95" s="88">
        <v>1844917</v>
      </c>
      <c r="G95" s="1"/>
      <c r="L95" s="1"/>
      <c r="M95" s="1"/>
    </row>
    <row r="96" spans="1:13" s="2" customFormat="1" x14ac:dyDescent="0.2">
      <c r="A96" s="87">
        <v>45054</v>
      </c>
      <c r="B96" s="120" t="s">
        <v>6</v>
      </c>
      <c r="C96" s="75" t="s">
        <v>271</v>
      </c>
      <c r="D96" s="88">
        <v>1640794</v>
      </c>
      <c r="G96" s="1"/>
      <c r="L96" s="1"/>
      <c r="M96" s="1"/>
    </row>
    <row r="97" spans="1:13" s="2" customFormat="1" x14ac:dyDescent="0.2">
      <c r="A97" s="87">
        <v>45055</v>
      </c>
      <c r="B97" s="120" t="s">
        <v>6</v>
      </c>
      <c r="C97" s="75" t="s">
        <v>84</v>
      </c>
      <c r="D97" s="88">
        <v>2000000</v>
      </c>
      <c r="G97" s="1"/>
      <c r="L97" s="1"/>
      <c r="M97" s="1"/>
    </row>
    <row r="98" spans="1:13" s="2" customFormat="1" x14ac:dyDescent="0.2">
      <c r="A98" s="87">
        <v>45055</v>
      </c>
      <c r="B98" s="120" t="s">
        <v>6</v>
      </c>
      <c r="C98" s="75" t="s">
        <v>87</v>
      </c>
      <c r="D98" s="88">
        <v>2540563</v>
      </c>
      <c r="G98" s="1"/>
      <c r="L98" s="1"/>
      <c r="M98" s="1"/>
    </row>
    <row r="99" spans="1:13" s="2" customFormat="1" x14ac:dyDescent="0.2">
      <c r="A99" s="87">
        <v>45055</v>
      </c>
      <c r="B99" s="120" t="s">
        <v>6</v>
      </c>
      <c r="C99" s="75" t="s">
        <v>767</v>
      </c>
      <c r="D99" s="88">
        <v>950137</v>
      </c>
      <c r="G99" s="1"/>
      <c r="L99" s="1"/>
      <c r="M99" s="1"/>
    </row>
    <row r="100" spans="1:13" s="2" customFormat="1" x14ac:dyDescent="0.2">
      <c r="A100" s="87">
        <v>45056</v>
      </c>
      <c r="B100" s="120" t="s">
        <v>6</v>
      </c>
      <c r="C100" s="75" t="s">
        <v>271</v>
      </c>
      <c r="D100" s="88">
        <v>242417</v>
      </c>
      <c r="G100" s="1"/>
      <c r="L100" s="1"/>
      <c r="M100" s="1"/>
    </row>
    <row r="101" spans="1:13" s="2" customFormat="1" x14ac:dyDescent="0.2">
      <c r="A101" s="87">
        <v>45056</v>
      </c>
      <c r="B101" s="120" t="s">
        <v>6</v>
      </c>
      <c r="C101" s="75" t="s">
        <v>271</v>
      </c>
      <c r="D101" s="88">
        <v>674909</v>
      </c>
      <c r="G101" s="1"/>
      <c r="L101" s="1"/>
      <c r="M101" s="1"/>
    </row>
    <row r="102" spans="1:13" s="2" customFormat="1" x14ac:dyDescent="0.2">
      <c r="A102" s="87">
        <v>45056</v>
      </c>
      <c r="B102" s="120" t="s">
        <v>6</v>
      </c>
      <c r="C102" s="75" t="s">
        <v>271</v>
      </c>
      <c r="D102" s="88">
        <v>969371</v>
      </c>
      <c r="G102" s="1"/>
      <c r="L102" s="1"/>
      <c r="M102" s="1"/>
    </row>
    <row r="103" spans="1:13" s="2" customFormat="1" x14ac:dyDescent="0.2">
      <c r="A103" s="87">
        <v>45058</v>
      </c>
      <c r="B103" s="120" t="s">
        <v>6</v>
      </c>
      <c r="C103" s="75" t="s">
        <v>271</v>
      </c>
      <c r="D103" s="88">
        <v>650439</v>
      </c>
      <c r="G103" s="1"/>
      <c r="L103" s="1"/>
      <c r="M103" s="1"/>
    </row>
    <row r="104" spans="1:13" s="2" customFormat="1" x14ac:dyDescent="0.2">
      <c r="A104" s="87">
        <v>45058</v>
      </c>
      <c r="B104" s="120" t="s">
        <v>6</v>
      </c>
      <c r="C104" s="75" t="s">
        <v>271</v>
      </c>
      <c r="D104" s="88">
        <v>432067</v>
      </c>
      <c r="G104" s="1"/>
      <c r="L104" s="1"/>
      <c r="M104" s="1"/>
    </row>
    <row r="105" spans="1:13" s="2" customFormat="1" x14ac:dyDescent="0.2">
      <c r="A105" s="87">
        <v>45058</v>
      </c>
      <c r="B105" s="120" t="s">
        <v>6</v>
      </c>
      <c r="C105" s="75" t="s">
        <v>271</v>
      </c>
      <c r="D105" s="88">
        <v>412906</v>
      </c>
      <c r="G105" s="1"/>
      <c r="L105" s="1"/>
      <c r="M105" s="1"/>
    </row>
    <row r="106" spans="1:13" s="2" customFormat="1" x14ac:dyDescent="0.2">
      <c r="A106" s="87">
        <v>45061</v>
      </c>
      <c r="B106" s="120" t="s">
        <v>6</v>
      </c>
      <c r="C106" s="75" t="s">
        <v>282</v>
      </c>
      <c r="D106" s="88">
        <v>7500000</v>
      </c>
      <c r="G106" s="1"/>
      <c r="L106" s="1"/>
      <c r="M106" s="1"/>
    </row>
    <row r="107" spans="1:13" s="2" customFormat="1" x14ac:dyDescent="0.2">
      <c r="A107" s="87">
        <v>45062</v>
      </c>
      <c r="B107" s="120" t="s">
        <v>6</v>
      </c>
      <c r="C107" s="75" t="s">
        <v>86</v>
      </c>
      <c r="D107" s="88">
        <v>3769130</v>
      </c>
      <c r="G107" s="1"/>
      <c r="L107" s="1"/>
      <c r="M107" s="1"/>
    </row>
    <row r="108" spans="1:13" s="2" customFormat="1" x14ac:dyDescent="0.2">
      <c r="A108" s="87"/>
      <c r="B108" s="74"/>
      <c r="C108" s="75"/>
      <c r="D108" s="51">
        <f>SUM(D89:D107)</f>
        <v>37093265</v>
      </c>
      <c r="F108" s="2" t="s">
        <v>396</v>
      </c>
      <c r="G108" s="1"/>
      <c r="I108" s="1"/>
      <c r="J108" s="1"/>
      <c r="K108" s="1"/>
      <c r="L108" s="1"/>
      <c r="M108" s="1"/>
    </row>
    <row r="109" spans="1:13" s="2" customFormat="1" x14ac:dyDescent="0.2">
      <c r="A109" s="24"/>
      <c r="B109" s="1"/>
      <c r="C109" s="14"/>
      <c r="D109" s="56"/>
      <c r="E109" s="13"/>
      <c r="G109" s="1"/>
    </row>
    <row r="110" spans="1:13" s="2" customFormat="1" x14ac:dyDescent="0.2">
      <c r="A110" s="24"/>
      <c r="B110" s="1"/>
      <c r="C110" s="218" t="s">
        <v>77</v>
      </c>
      <c r="D110" s="219"/>
      <c r="E110" s="219"/>
      <c r="F110" s="220"/>
      <c r="G110" s="54"/>
      <c r="I110" s="1"/>
      <c r="J110" s="1"/>
      <c r="K110" s="1"/>
      <c r="L110" s="1"/>
      <c r="M110" s="1"/>
    </row>
    <row r="111" spans="1:13" s="2" customFormat="1" x14ac:dyDescent="0.2">
      <c r="A111" s="24"/>
      <c r="B111" s="1"/>
      <c r="C111" s="50"/>
      <c r="D111" s="57" t="s">
        <v>78</v>
      </c>
      <c r="E111" s="58" t="s">
        <v>79</v>
      </c>
      <c r="F111" s="57" t="s">
        <v>72</v>
      </c>
      <c r="G111" s="54"/>
      <c r="I111" s="1"/>
      <c r="J111" s="1"/>
      <c r="K111" s="1"/>
      <c r="L111" s="1"/>
      <c r="M111" s="1"/>
    </row>
    <row r="112" spans="1:13" s="2" customFormat="1" x14ac:dyDescent="0.2">
      <c r="A112" s="24"/>
      <c r="B112" s="1"/>
      <c r="C112" s="59" t="str">
        <f>"01-05-2023 to "&amp;TEXT(A5-2,"dd-mm-yyyy")</f>
        <v>01-05-2023 to 15-05-2023</v>
      </c>
      <c r="D112" s="60">
        <v>1950.79</v>
      </c>
      <c r="E112" s="60">
        <v>162.13999999999999</v>
      </c>
      <c r="F112" s="61">
        <f>SUM(D112:E112)</f>
        <v>2112.9299999999998</v>
      </c>
      <c r="G112" s="54"/>
      <c r="I112" s="1"/>
      <c r="J112" s="1"/>
      <c r="K112" s="1"/>
      <c r="L112" s="1"/>
      <c r="M112" s="1"/>
    </row>
    <row r="113" spans="1:13" s="2" customFormat="1" x14ac:dyDescent="0.2">
      <c r="A113" s="24"/>
      <c r="B113" s="1"/>
      <c r="C113" s="62" t="str">
        <f>TEXT(A5-1,"dd-mm-yyyy")</f>
        <v>16-05-2023</v>
      </c>
      <c r="D113" s="60">
        <v>128.57</v>
      </c>
      <c r="E113" s="60">
        <v>10.92</v>
      </c>
      <c r="F113" s="61">
        <f>SUM(D113:E113)</f>
        <v>139.48999999999998</v>
      </c>
      <c r="G113" s="54"/>
      <c r="I113" s="1"/>
      <c r="J113" s="1"/>
      <c r="K113" s="1"/>
      <c r="L113" s="1"/>
      <c r="M113" s="1"/>
    </row>
    <row r="114" spans="1:13" ht="13.5" thickBot="1" x14ac:dyDescent="0.25">
      <c r="C114" s="63" t="str">
        <f>"01-05-2023 to "&amp;TEXT(A5-1,"dd-mm-yyyy")</f>
        <v>01-05-2023 to 16-05-2023</v>
      </c>
      <c r="D114" s="64">
        <f>SUM(D112:D113)</f>
        <v>2079.36</v>
      </c>
      <c r="E114" s="64">
        <f>SUM(E112:E113)</f>
        <v>173.05999999999997</v>
      </c>
      <c r="F114" s="64">
        <f>SUM(F112:F113)</f>
        <v>2252.4199999999996</v>
      </c>
      <c r="G114" s="54"/>
      <c r="H114" s="2" t="s">
        <v>396</v>
      </c>
    </row>
    <row r="115" spans="1:13" s="2" customFormat="1" ht="13.5" thickTop="1" x14ac:dyDescent="0.2">
      <c r="A115" s="24"/>
      <c r="B115" s="1"/>
      <c r="C115" s="62"/>
      <c r="D115" s="65"/>
      <c r="E115" s="66"/>
      <c r="F115" s="67"/>
      <c r="G115" s="54"/>
      <c r="H115" s="53"/>
    </row>
    <row r="116" spans="1:13" x14ac:dyDescent="0.2">
      <c r="C116" s="62" t="str">
        <f>"01-04-2023 to " &amp;C113</f>
        <v>01-04-2023 to 16-05-2023</v>
      </c>
      <c r="D116" s="68">
        <f>+D114+4343.67</f>
        <v>6423.0300000000007</v>
      </c>
      <c r="E116" s="68">
        <f>+E114+536.17</f>
        <v>709.2299999999999</v>
      </c>
      <c r="F116" s="68">
        <f>+F114+4879.84</f>
        <v>7132.26</v>
      </c>
      <c r="G116" s="54"/>
      <c r="H116" s="53" t="s">
        <v>396</v>
      </c>
    </row>
    <row r="117" spans="1:13" x14ac:dyDescent="0.2">
      <c r="C117" s="52"/>
      <c r="D117" s="85"/>
      <c r="E117" s="53"/>
      <c r="F117" s="53"/>
      <c r="G117" s="54"/>
      <c r="H117" s="53" t="s">
        <v>396</v>
      </c>
      <c r="J117" s="42"/>
    </row>
    <row r="118" spans="1:13" x14ac:dyDescent="0.2">
      <c r="C118" s="52"/>
      <c r="D118" s="85"/>
      <c r="E118" s="53"/>
      <c r="F118" s="53"/>
      <c r="G118" s="54"/>
      <c r="H118" s="53"/>
      <c r="I118" s="101"/>
    </row>
    <row r="119" spans="1:13" x14ac:dyDescent="0.2">
      <c r="C119" s="52"/>
      <c r="D119" s="85"/>
      <c r="E119" s="53"/>
      <c r="F119" s="53"/>
      <c r="G119" s="54"/>
      <c r="H119" s="53"/>
    </row>
    <row r="120" spans="1:13" x14ac:dyDescent="0.2">
      <c r="C120" s="52"/>
      <c r="D120" s="85"/>
      <c r="E120" s="53"/>
      <c r="F120" s="53"/>
      <c r="G120" s="54"/>
      <c r="H120" s="53"/>
    </row>
    <row r="121" spans="1:13" x14ac:dyDescent="0.2">
      <c r="H121" s="53"/>
    </row>
  </sheetData>
  <mergeCells count="5">
    <mergeCell ref="A1:G1"/>
    <mergeCell ref="A3:F3"/>
    <mergeCell ref="A9:F9"/>
    <mergeCell ref="A87:D87"/>
    <mergeCell ref="C110:F110"/>
  </mergeCells>
  <conditionalFormatting sqref="G84:G85">
    <cfRule type="cellIs" dxfId="571" priority="2" operator="lessThan">
      <formula>0</formula>
    </cfRule>
  </conditionalFormatting>
  <conditionalFormatting sqref="C11">
    <cfRule type="duplicateValues" dxfId="570" priority="3"/>
  </conditionalFormatting>
  <conditionalFormatting sqref="C12:C38 C40:C64">
    <cfRule type="duplicateValues" dxfId="569" priority="486"/>
  </conditionalFormatting>
  <conditionalFormatting sqref="C39">
    <cfRule type="duplicateValues" dxfId="568" priority="1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28">
    <pageSetUpPr fitToPage="1"/>
  </sheetPr>
  <dimension ref="A1:N126"/>
  <sheetViews>
    <sheetView topLeftCell="B7" zoomScaleNormal="100" workbookViewId="0">
      <selection activeCell="C46" sqref="C46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47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980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2.75" customHeight="1" x14ac:dyDescent="0.4">
      <c r="A5" s="89">
        <v>45064</v>
      </c>
      <c r="B5" s="9" t="s">
        <v>6</v>
      </c>
      <c r="C5" s="10" t="s">
        <v>7</v>
      </c>
      <c r="D5" s="11"/>
      <c r="E5" s="12">
        <v>236474.70000000019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236474.70000000019</v>
      </c>
      <c r="F6" s="16">
        <f>SUM(F5:F5)</f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E6-F6</f>
        <v>236474.70000000019</v>
      </c>
      <c r="F7" s="22"/>
      <c r="G7" s="23"/>
      <c r="H7" s="112"/>
      <c r="I7" s="112"/>
      <c r="J7" s="13"/>
    </row>
    <row r="8" spans="1:10" s="2" customFormat="1" ht="12.75" customHeight="1" x14ac:dyDescent="0.4">
      <c r="A8" s="24"/>
      <c r="B8" s="1"/>
      <c r="C8" s="14"/>
      <c r="D8" s="25"/>
      <c r="G8" s="23"/>
      <c r="H8" s="112"/>
      <c r="I8" s="112"/>
      <c r="J8" s="13"/>
    </row>
    <row r="9" spans="1:10" s="2" customFormat="1" ht="21.75" customHeight="1" x14ac:dyDescent="0.4">
      <c r="A9" s="214" t="s">
        <v>10</v>
      </c>
      <c r="B9" s="214"/>
      <c r="C9" s="214"/>
      <c r="D9" s="214"/>
      <c r="E9" s="214"/>
      <c r="F9" s="214"/>
      <c r="G9" s="13"/>
      <c r="H9" s="112"/>
      <c r="I9" s="112"/>
      <c r="J9" s="13"/>
    </row>
    <row r="10" spans="1:10" s="2" customFormat="1" ht="12.75" customHeight="1" x14ac:dyDescent="0.4">
      <c r="A10" s="26" t="s">
        <v>1</v>
      </c>
      <c r="B10" s="27" t="s">
        <v>2</v>
      </c>
      <c r="C10" s="5"/>
      <c r="D10" s="6" t="s">
        <v>3</v>
      </c>
      <c r="E10" s="7" t="s">
        <v>4</v>
      </c>
      <c r="F10" s="7" t="s">
        <v>5</v>
      </c>
      <c r="G10" s="23"/>
      <c r="H10" s="112"/>
      <c r="I10" s="112"/>
      <c r="J10" s="13"/>
    </row>
    <row r="11" spans="1:10" s="2" customFormat="1" ht="12.75" customHeight="1" x14ac:dyDescent="0.2">
      <c r="A11" s="89">
        <v>45064</v>
      </c>
      <c r="B11" s="91" t="s">
        <v>11</v>
      </c>
      <c r="C11" s="29" t="s">
        <v>7</v>
      </c>
      <c r="D11" s="25"/>
      <c r="E11" s="31"/>
      <c r="F11" s="2">
        <v>292258069.90999997</v>
      </c>
      <c r="G11" s="30"/>
      <c r="I11" s="13"/>
      <c r="J11" s="13"/>
    </row>
    <row r="12" spans="1:10" s="2" customFormat="1" ht="12.75" customHeight="1" x14ac:dyDescent="0.2">
      <c r="A12" s="89">
        <v>45064</v>
      </c>
      <c r="B12" s="91" t="s">
        <v>6</v>
      </c>
      <c r="C12" s="76" t="s">
        <v>681</v>
      </c>
      <c r="D12" s="116" t="s">
        <v>13</v>
      </c>
      <c r="E12" s="31">
        <v>139674.20000000001</v>
      </c>
      <c r="G12" s="30"/>
      <c r="I12" s="13"/>
      <c r="J12" s="13"/>
    </row>
    <row r="13" spans="1:10" s="2" customFormat="1" ht="12.75" customHeight="1" x14ac:dyDescent="0.2">
      <c r="A13" s="89">
        <v>45064</v>
      </c>
      <c r="B13" s="91" t="s">
        <v>6</v>
      </c>
      <c r="C13" s="76" t="s">
        <v>981</v>
      </c>
      <c r="D13" s="116" t="s">
        <v>13</v>
      </c>
      <c r="E13" s="31">
        <v>52381</v>
      </c>
      <c r="G13" s="30"/>
      <c r="I13" s="13"/>
      <c r="J13" s="13"/>
    </row>
    <row r="14" spans="1:10" s="2" customFormat="1" ht="12.75" customHeight="1" x14ac:dyDescent="0.2">
      <c r="A14" s="89">
        <v>45064</v>
      </c>
      <c r="B14" s="91" t="s">
        <v>6</v>
      </c>
      <c r="C14" s="76" t="s">
        <v>143</v>
      </c>
      <c r="D14" s="116" t="s">
        <v>13</v>
      </c>
      <c r="E14" s="31">
        <v>885061</v>
      </c>
      <c r="G14" s="30"/>
      <c r="I14" s="13"/>
      <c r="J14" s="13"/>
    </row>
    <row r="15" spans="1:10" s="2" customFormat="1" ht="12.75" customHeight="1" x14ac:dyDescent="0.2">
      <c r="A15" s="89">
        <v>45064</v>
      </c>
      <c r="B15" s="91" t="s">
        <v>6</v>
      </c>
      <c r="C15" s="76" t="s">
        <v>429</v>
      </c>
      <c r="D15" s="116" t="s">
        <v>13</v>
      </c>
      <c r="E15" s="31">
        <v>145518.18</v>
      </c>
      <c r="G15" s="30"/>
      <c r="I15" s="13"/>
      <c r="J15" s="13"/>
    </row>
    <row r="16" spans="1:10" s="2" customFormat="1" ht="12.75" customHeight="1" x14ac:dyDescent="0.2">
      <c r="A16" s="89">
        <v>45064</v>
      </c>
      <c r="B16" s="91" t="s">
        <v>6</v>
      </c>
      <c r="C16" s="76" t="s">
        <v>983</v>
      </c>
      <c r="D16" s="116" t="s">
        <v>13</v>
      </c>
      <c r="E16" s="31">
        <v>2940</v>
      </c>
      <c r="G16" s="30"/>
      <c r="I16" s="13"/>
      <c r="J16" s="13"/>
    </row>
    <row r="17" spans="1:10" s="2" customFormat="1" ht="12.75" customHeight="1" x14ac:dyDescent="0.2">
      <c r="A17" s="89">
        <v>45064</v>
      </c>
      <c r="B17" s="91" t="s">
        <v>6</v>
      </c>
      <c r="C17" s="76" t="s">
        <v>150</v>
      </c>
      <c r="D17" s="116" t="s">
        <v>13</v>
      </c>
      <c r="E17" s="31">
        <v>426426</v>
      </c>
      <c r="G17" s="30"/>
      <c r="I17" s="13"/>
      <c r="J17" s="13"/>
    </row>
    <row r="18" spans="1:10" s="2" customFormat="1" ht="12.75" customHeight="1" x14ac:dyDescent="0.2">
      <c r="A18" s="89">
        <v>45064</v>
      </c>
      <c r="B18" s="91" t="s">
        <v>6</v>
      </c>
      <c r="C18" s="76" t="s">
        <v>351</v>
      </c>
      <c r="D18" s="116" t="s">
        <v>13</v>
      </c>
      <c r="E18" s="31">
        <v>312243</v>
      </c>
      <c r="G18" s="30"/>
      <c r="I18" s="13"/>
      <c r="J18" s="13"/>
    </row>
    <row r="19" spans="1:10" s="2" customFormat="1" ht="12.75" customHeight="1" x14ac:dyDescent="0.2">
      <c r="A19" s="89">
        <v>45064</v>
      </c>
      <c r="B19" s="91" t="s">
        <v>6</v>
      </c>
      <c r="C19" s="76" t="s">
        <v>379</v>
      </c>
      <c r="D19" s="116" t="s">
        <v>13</v>
      </c>
      <c r="E19" s="31">
        <v>935691.47</v>
      </c>
      <c r="G19" s="30"/>
      <c r="I19" s="13"/>
      <c r="J19" s="13"/>
    </row>
    <row r="20" spans="1:10" s="2" customFormat="1" ht="12.75" customHeight="1" x14ac:dyDescent="0.2">
      <c r="A20" s="89">
        <v>45064</v>
      </c>
      <c r="B20" s="91" t="s">
        <v>6</v>
      </c>
      <c r="C20" s="76" t="s">
        <v>598</v>
      </c>
      <c r="D20" s="116" t="s">
        <v>13</v>
      </c>
      <c r="E20" s="31">
        <v>244387</v>
      </c>
      <c r="G20" s="30"/>
      <c r="I20" s="13"/>
      <c r="J20" s="13"/>
    </row>
    <row r="21" spans="1:10" s="2" customFormat="1" ht="12.75" customHeight="1" x14ac:dyDescent="0.2">
      <c r="A21" s="89">
        <v>45064</v>
      </c>
      <c r="B21" s="91" t="s">
        <v>6</v>
      </c>
      <c r="C21" s="76" t="s">
        <v>15</v>
      </c>
      <c r="D21" s="116" t="s">
        <v>13</v>
      </c>
      <c r="E21" s="31">
        <v>775.97</v>
      </c>
      <c r="G21" s="30"/>
      <c r="I21" s="13"/>
      <c r="J21" s="13"/>
    </row>
    <row r="22" spans="1:10" s="2" customFormat="1" ht="12.75" customHeight="1" x14ac:dyDescent="0.2">
      <c r="A22" s="89">
        <v>45064</v>
      </c>
      <c r="B22" s="91" t="s">
        <v>6</v>
      </c>
      <c r="C22" s="76" t="s">
        <v>984</v>
      </c>
      <c r="D22" s="116" t="s">
        <v>13</v>
      </c>
      <c r="E22" s="31">
        <v>5565</v>
      </c>
      <c r="G22" s="30"/>
      <c r="I22" s="13"/>
      <c r="J22" s="13"/>
    </row>
    <row r="23" spans="1:10" s="2" customFormat="1" ht="12.75" customHeight="1" x14ac:dyDescent="0.2">
      <c r="A23" s="89">
        <v>45064</v>
      </c>
      <c r="B23" s="91" t="s">
        <v>6</v>
      </c>
      <c r="C23" s="76" t="s">
        <v>985</v>
      </c>
      <c r="D23" s="116" t="s">
        <v>13</v>
      </c>
      <c r="E23" s="31">
        <v>1719050.89</v>
      </c>
      <c r="G23" s="30"/>
      <c r="I23" s="13"/>
      <c r="J23" s="13"/>
    </row>
    <row r="24" spans="1:10" s="2" customFormat="1" ht="12.75" customHeight="1" x14ac:dyDescent="0.2">
      <c r="A24" s="89">
        <v>45064</v>
      </c>
      <c r="B24" s="91" t="s">
        <v>6</v>
      </c>
      <c r="C24" s="76" t="s">
        <v>797</v>
      </c>
      <c r="D24" s="116" t="s">
        <v>13</v>
      </c>
      <c r="E24" s="31">
        <v>69758</v>
      </c>
      <c r="G24" s="30"/>
      <c r="I24" s="13"/>
      <c r="J24" s="13"/>
    </row>
    <row r="25" spans="1:10" s="2" customFormat="1" ht="12.75" customHeight="1" x14ac:dyDescent="0.2">
      <c r="A25" s="89">
        <v>45064</v>
      </c>
      <c r="B25" s="91" t="s">
        <v>6</v>
      </c>
      <c r="C25" s="76" t="s">
        <v>403</v>
      </c>
      <c r="D25" s="116" t="s">
        <v>13</v>
      </c>
      <c r="E25" s="31">
        <v>586606</v>
      </c>
      <c r="G25" s="30"/>
      <c r="I25" s="13"/>
      <c r="J25" s="13"/>
    </row>
    <row r="26" spans="1:10" s="2" customFormat="1" ht="12.75" customHeight="1" x14ac:dyDescent="0.2">
      <c r="A26" s="89">
        <v>45064</v>
      </c>
      <c r="B26" s="91" t="s">
        <v>6</v>
      </c>
      <c r="C26" s="76" t="s">
        <v>853</v>
      </c>
      <c r="D26" s="116" t="s">
        <v>13</v>
      </c>
      <c r="E26" s="31">
        <v>474</v>
      </c>
      <c r="G26" s="30"/>
      <c r="I26" s="13"/>
      <c r="J26" s="13"/>
    </row>
    <row r="27" spans="1:10" s="2" customFormat="1" ht="12.75" customHeight="1" x14ac:dyDescent="0.2">
      <c r="A27" s="89">
        <v>45064</v>
      </c>
      <c r="B27" s="91" t="s">
        <v>6</v>
      </c>
      <c r="C27" s="76" t="s">
        <v>12</v>
      </c>
      <c r="D27" s="116" t="s">
        <v>13</v>
      </c>
      <c r="E27" s="31">
        <v>944200.43</v>
      </c>
      <c r="G27" s="30"/>
      <c r="I27" s="13"/>
      <c r="J27" s="13"/>
    </row>
    <row r="28" spans="1:10" s="2" customFormat="1" ht="12.75" customHeight="1" x14ac:dyDescent="0.2">
      <c r="A28" s="89">
        <v>45064</v>
      </c>
      <c r="B28" s="91" t="s">
        <v>6</v>
      </c>
      <c r="C28" s="76" t="s">
        <v>27</v>
      </c>
      <c r="D28" s="116" t="s">
        <v>13</v>
      </c>
      <c r="E28" s="31">
        <v>4616947.03</v>
      </c>
      <c r="G28" s="30"/>
      <c r="I28" s="13"/>
      <c r="J28" s="13"/>
    </row>
    <row r="29" spans="1:10" s="2" customFormat="1" ht="12.75" customHeight="1" x14ac:dyDescent="0.2">
      <c r="A29" s="89">
        <v>45064</v>
      </c>
      <c r="B29" s="91" t="s">
        <v>11</v>
      </c>
      <c r="C29" s="76" t="s">
        <v>64</v>
      </c>
      <c r="D29" s="116" t="s">
        <v>29</v>
      </c>
      <c r="E29" s="31"/>
      <c r="F29" s="2">
        <v>27827.42</v>
      </c>
      <c r="G29" s="30"/>
      <c r="I29" s="13"/>
      <c r="J29" s="13"/>
    </row>
    <row r="30" spans="1:10" s="2" customFormat="1" ht="12.75" customHeight="1" x14ac:dyDescent="0.2">
      <c r="A30" s="89">
        <v>45064</v>
      </c>
      <c r="B30" s="91" t="s">
        <v>11</v>
      </c>
      <c r="C30" s="76" t="s">
        <v>111</v>
      </c>
      <c r="D30" s="116" t="s">
        <v>29</v>
      </c>
      <c r="E30" s="31"/>
      <c r="F30" s="2">
        <v>1606516.54</v>
      </c>
      <c r="G30" s="30"/>
      <c r="I30" s="13"/>
      <c r="J30" s="13"/>
    </row>
    <row r="31" spans="1:10" s="2" customFormat="1" ht="12.75" customHeight="1" x14ac:dyDescent="0.2">
      <c r="A31" s="89">
        <v>45064</v>
      </c>
      <c r="B31" s="91" t="s">
        <v>11</v>
      </c>
      <c r="C31" s="76" t="s">
        <v>533</v>
      </c>
      <c r="D31" s="116" t="s">
        <v>29</v>
      </c>
      <c r="E31" s="31"/>
      <c r="F31" s="2">
        <v>112995</v>
      </c>
      <c r="G31" s="30"/>
      <c r="I31" s="13"/>
      <c r="J31" s="13"/>
    </row>
    <row r="32" spans="1:10" s="2" customFormat="1" ht="12.75" customHeight="1" x14ac:dyDescent="0.2">
      <c r="A32" s="89">
        <v>45064</v>
      </c>
      <c r="B32" s="91" t="s">
        <v>11</v>
      </c>
      <c r="C32" s="76" t="s">
        <v>34</v>
      </c>
      <c r="D32" s="116" t="s">
        <v>29</v>
      </c>
      <c r="E32" s="31"/>
      <c r="F32" s="2">
        <v>65000</v>
      </c>
      <c r="G32" s="30"/>
      <c r="I32" s="13"/>
      <c r="J32" s="13"/>
    </row>
    <row r="33" spans="1:10" s="2" customFormat="1" ht="12.75" customHeight="1" x14ac:dyDescent="0.2">
      <c r="A33" s="89">
        <v>45064</v>
      </c>
      <c r="B33" s="91" t="s">
        <v>11</v>
      </c>
      <c r="C33" s="76" t="s">
        <v>42</v>
      </c>
      <c r="D33" s="116" t="s">
        <v>29</v>
      </c>
      <c r="E33" s="31"/>
      <c r="F33" s="2">
        <v>200</v>
      </c>
      <c r="G33" s="30"/>
      <c r="I33" s="13"/>
      <c r="J33" s="13"/>
    </row>
    <row r="34" spans="1:10" s="2" customFormat="1" ht="12.75" customHeight="1" x14ac:dyDescent="0.2">
      <c r="A34" s="89">
        <v>45064</v>
      </c>
      <c r="B34" s="91" t="s">
        <v>11</v>
      </c>
      <c r="C34" s="76" t="s">
        <v>227</v>
      </c>
      <c r="D34" s="116" t="s">
        <v>29</v>
      </c>
      <c r="E34" s="31"/>
      <c r="F34" s="2">
        <v>800</v>
      </c>
      <c r="G34" s="30"/>
      <c r="I34" s="13"/>
      <c r="J34" s="13"/>
    </row>
    <row r="35" spans="1:10" s="2" customFormat="1" ht="12.75" customHeight="1" x14ac:dyDescent="0.2">
      <c r="A35" s="89">
        <v>45064</v>
      </c>
      <c r="B35" s="91" t="s">
        <v>11</v>
      </c>
      <c r="C35" s="76" t="s">
        <v>46</v>
      </c>
      <c r="D35" s="116" t="s">
        <v>29</v>
      </c>
      <c r="E35" s="31"/>
      <c r="F35" s="2">
        <v>135668</v>
      </c>
      <c r="G35" s="30"/>
      <c r="I35" s="13"/>
      <c r="J35" s="13"/>
    </row>
    <row r="36" spans="1:10" s="2" customFormat="1" ht="12.75" customHeight="1" x14ac:dyDescent="0.2">
      <c r="A36" s="89">
        <v>45064</v>
      </c>
      <c r="B36" s="91" t="s">
        <v>11</v>
      </c>
      <c r="C36" s="76" t="s">
        <v>462</v>
      </c>
      <c r="D36" s="116" t="s">
        <v>29</v>
      </c>
      <c r="E36" s="31"/>
      <c r="F36" s="2">
        <v>105076.58</v>
      </c>
      <c r="G36" s="30"/>
      <c r="I36" s="13"/>
      <c r="J36" s="13"/>
    </row>
    <row r="37" spans="1:10" s="2" customFormat="1" ht="12.75" customHeight="1" x14ac:dyDescent="0.2">
      <c r="A37" s="89">
        <v>45064</v>
      </c>
      <c r="B37" s="91" t="s">
        <v>11</v>
      </c>
      <c r="C37" s="76" t="s">
        <v>39</v>
      </c>
      <c r="D37" s="116" t="s">
        <v>29</v>
      </c>
      <c r="E37" s="31"/>
      <c r="F37" s="2">
        <v>105056</v>
      </c>
      <c r="G37" s="30"/>
      <c r="I37" s="13"/>
      <c r="J37" s="13"/>
    </row>
    <row r="38" spans="1:10" s="2" customFormat="1" ht="12.75" customHeight="1" x14ac:dyDescent="0.2">
      <c r="A38" s="89">
        <v>45064</v>
      </c>
      <c r="B38" s="91" t="s">
        <v>11</v>
      </c>
      <c r="C38" s="76" t="s">
        <v>115</v>
      </c>
      <c r="D38" s="116" t="s">
        <v>29</v>
      </c>
      <c r="E38" s="31"/>
      <c r="F38" s="2">
        <v>340325</v>
      </c>
      <c r="G38" s="30"/>
      <c r="I38" s="13"/>
      <c r="J38" s="13"/>
    </row>
    <row r="39" spans="1:10" s="2" customFormat="1" ht="12.75" customHeight="1" x14ac:dyDescent="0.2">
      <c r="A39" s="89">
        <v>45064</v>
      </c>
      <c r="B39" s="91" t="s">
        <v>11</v>
      </c>
      <c r="C39" s="76" t="s">
        <v>116</v>
      </c>
      <c r="D39" s="116" t="s">
        <v>29</v>
      </c>
      <c r="E39" s="31"/>
      <c r="F39" s="2">
        <v>415174</v>
      </c>
      <c r="G39" s="30"/>
      <c r="I39" s="13"/>
      <c r="J39" s="13"/>
    </row>
    <row r="40" spans="1:10" s="2" customFormat="1" ht="12.75" customHeight="1" x14ac:dyDescent="0.2">
      <c r="A40" s="89">
        <v>45064</v>
      </c>
      <c r="B40" s="91" t="s">
        <v>11</v>
      </c>
      <c r="C40" s="76" t="s">
        <v>228</v>
      </c>
      <c r="D40" s="116" t="s">
        <v>29</v>
      </c>
      <c r="E40" s="31"/>
      <c r="F40" s="2">
        <v>151465</v>
      </c>
      <c r="G40" s="30"/>
      <c r="I40" s="13"/>
      <c r="J40" s="13"/>
    </row>
    <row r="41" spans="1:10" s="2" customFormat="1" ht="12.75" customHeight="1" x14ac:dyDescent="0.2">
      <c r="A41" s="89">
        <v>45064</v>
      </c>
      <c r="B41" s="91" t="s">
        <v>11</v>
      </c>
      <c r="C41" s="76" t="s">
        <v>653</v>
      </c>
      <c r="D41" s="116" t="s">
        <v>29</v>
      </c>
      <c r="E41" s="31"/>
      <c r="F41" s="2">
        <v>223020</v>
      </c>
      <c r="G41" s="30"/>
      <c r="I41" s="13"/>
      <c r="J41" s="13"/>
    </row>
    <row r="42" spans="1:10" s="2" customFormat="1" ht="12.75" customHeight="1" x14ac:dyDescent="0.2">
      <c r="A42" s="89">
        <v>45064</v>
      </c>
      <c r="B42" s="91" t="s">
        <v>11</v>
      </c>
      <c r="C42" s="76" t="s">
        <v>628</v>
      </c>
      <c r="D42" s="116" t="s">
        <v>29</v>
      </c>
      <c r="E42" s="31"/>
      <c r="F42" s="2">
        <v>40738</v>
      </c>
      <c r="G42" s="30"/>
      <c r="I42" s="13"/>
      <c r="J42" s="13"/>
    </row>
    <row r="43" spans="1:10" s="2" customFormat="1" ht="12.75" customHeight="1" x14ac:dyDescent="0.2">
      <c r="A43" s="89">
        <v>45064</v>
      </c>
      <c r="B43" s="91" t="s">
        <v>11</v>
      </c>
      <c r="C43" s="76" t="s">
        <v>409</v>
      </c>
      <c r="D43" s="116" t="s">
        <v>29</v>
      </c>
      <c r="E43" s="31"/>
      <c r="F43" s="2">
        <v>5890.56</v>
      </c>
      <c r="G43" s="30"/>
      <c r="I43" s="13"/>
      <c r="J43" s="13"/>
    </row>
    <row r="44" spans="1:10" s="2" customFormat="1" ht="12.75" customHeight="1" x14ac:dyDescent="0.2">
      <c r="A44" s="89">
        <v>45064</v>
      </c>
      <c r="B44" s="91" t="s">
        <v>11</v>
      </c>
      <c r="C44" s="76" t="s">
        <v>439</v>
      </c>
      <c r="D44" s="116" t="s">
        <v>29</v>
      </c>
      <c r="E44" s="31"/>
      <c r="F44" s="2">
        <v>1652</v>
      </c>
      <c r="G44" s="30"/>
      <c r="I44" s="13"/>
      <c r="J44" s="13"/>
    </row>
    <row r="45" spans="1:10" s="2" customFormat="1" ht="12.75" customHeight="1" x14ac:dyDescent="0.2">
      <c r="A45" s="89">
        <v>45064</v>
      </c>
      <c r="B45" s="91" t="s">
        <v>11</v>
      </c>
      <c r="C45" s="76" t="s">
        <v>528</v>
      </c>
      <c r="D45" s="116" t="s">
        <v>29</v>
      </c>
      <c r="E45" s="31"/>
      <c r="F45" s="2">
        <v>26273.4</v>
      </c>
      <c r="G45" s="30"/>
      <c r="I45" s="13"/>
      <c r="J45" s="13"/>
    </row>
    <row r="46" spans="1:10" s="2" customFormat="1" ht="12.75" customHeight="1" x14ac:dyDescent="0.2">
      <c r="A46" s="89">
        <v>45064</v>
      </c>
      <c r="B46" s="91" t="s">
        <v>11</v>
      </c>
      <c r="C46" s="76" t="s">
        <v>268</v>
      </c>
      <c r="D46" s="116" t="s">
        <v>29</v>
      </c>
      <c r="E46" s="31"/>
      <c r="F46" s="2">
        <v>41085</v>
      </c>
      <c r="G46" s="30"/>
      <c r="I46" s="13"/>
      <c r="J46" s="13"/>
    </row>
    <row r="47" spans="1:10" s="2" customFormat="1" ht="12.75" customHeight="1" x14ac:dyDescent="0.2">
      <c r="A47" s="89">
        <v>45064</v>
      </c>
      <c r="B47" s="91" t="s">
        <v>11</v>
      </c>
      <c r="C47" s="76" t="s">
        <v>37</v>
      </c>
      <c r="D47" s="116" t="s">
        <v>29</v>
      </c>
      <c r="E47" s="31"/>
      <c r="F47" s="2">
        <v>23037.5</v>
      </c>
      <c r="G47" s="30"/>
      <c r="I47" s="13"/>
      <c r="J47" s="13"/>
    </row>
    <row r="48" spans="1:10" s="2" customFormat="1" ht="12.75" customHeight="1" x14ac:dyDescent="0.2">
      <c r="A48" s="89">
        <v>45064</v>
      </c>
      <c r="B48" s="91" t="s">
        <v>11</v>
      </c>
      <c r="C48" s="76" t="s">
        <v>30</v>
      </c>
      <c r="D48" s="116" t="s">
        <v>29</v>
      </c>
      <c r="E48" s="31"/>
      <c r="F48" s="2">
        <v>2876677</v>
      </c>
      <c r="G48" s="30"/>
      <c r="I48" s="13"/>
      <c r="J48" s="13"/>
    </row>
    <row r="49" spans="1:10" s="2" customFormat="1" ht="12.75" customHeight="1" x14ac:dyDescent="0.2">
      <c r="A49" s="89">
        <v>45064</v>
      </c>
      <c r="B49" s="91" t="s">
        <v>11</v>
      </c>
      <c r="C49" s="76" t="s">
        <v>279</v>
      </c>
      <c r="D49" s="116" t="s">
        <v>29</v>
      </c>
      <c r="E49" s="31"/>
      <c r="F49" s="2">
        <v>3923623</v>
      </c>
      <c r="G49" s="30"/>
      <c r="I49" s="13"/>
      <c r="J49" s="13"/>
    </row>
    <row r="50" spans="1:10" s="2" customFormat="1" ht="12.75" customHeight="1" x14ac:dyDescent="0.2">
      <c r="A50" s="89">
        <v>45064</v>
      </c>
      <c r="B50" s="91" t="s">
        <v>11</v>
      </c>
      <c r="C50" s="76" t="s">
        <v>33</v>
      </c>
      <c r="D50" s="116" t="s">
        <v>29</v>
      </c>
      <c r="E50" s="31"/>
      <c r="F50" s="2">
        <v>759099</v>
      </c>
      <c r="G50" s="30"/>
      <c r="I50" s="13"/>
      <c r="J50" s="13"/>
    </row>
    <row r="51" spans="1:10" s="2" customFormat="1" ht="12.75" customHeight="1" x14ac:dyDescent="0.2">
      <c r="A51" s="89">
        <v>45064</v>
      </c>
      <c r="B51" s="91" t="s">
        <v>11</v>
      </c>
      <c r="C51" s="76" t="s">
        <v>280</v>
      </c>
      <c r="D51" s="116" t="s">
        <v>29</v>
      </c>
      <c r="E51" s="31"/>
      <c r="F51" s="2">
        <v>3622821</v>
      </c>
      <c r="G51" s="30"/>
      <c r="I51" s="13"/>
      <c r="J51" s="13"/>
    </row>
    <row r="52" spans="1:10" s="2" customFormat="1" ht="12.75" customHeight="1" x14ac:dyDescent="0.2">
      <c r="A52" s="89">
        <v>45064</v>
      </c>
      <c r="B52" s="91" t="s">
        <v>11</v>
      </c>
      <c r="C52" s="76" t="s">
        <v>32</v>
      </c>
      <c r="D52" s="116" t="s">
        <v>29</v>
      </c>
      <c r="E52" s="31"/>
      <c r="F52" s="2">
        <v>689778</v>
      </c>
      <c r="G52" s="30"/>
      <c r="I52" s="13"/>
      <c r="J52" s="13"/>
    </row>
    <row r="53" spans="1:10" s="2" customFormat="1" ht="12.75" customHeight="1" x14ac:dyDescent="0.2">
      <c r="A53" s="89">
        <v>45064</v>
      </c>
      <c r="B53" s="91" t="s">
        <v>11</v>
      </c>
      <c r="C53" s="76" t="s">
        <v>696</v>
      </c>
      <c r="D53" s="116" t="s">
        <v>29</v>
      </c>
      <c r="E53" s="31"/>
      <c r="F53" s="2">
        <v>1369086</v>
      </c>
      <c r="G53" s="30"/>
      <c r="I53" s="13"/>
      <c r="J53" s="13"/>
    </row>
    <row r="54" spans="1:10" s="2" customFormat="1" ht="12.75" customHeight="1" x14ac:dyDescent="0.2">
      <c r="A54" s="89">
        <v>45064</v>
      </c>
      <c r="B54" s="91" t="s">
        <v>11</v>
      </c>
      <c r="C54" s="76" t="s">
        <v>301</v>
      </c>
      <c r="D54" s="116" t="s">
        <v>29</v>
      </c>
      <c r="E54" s="31"/>
      <c r="F54" s="2">
        <v>1687880</v>
      </c>
      <c r="G54" s="30"/>
      <c r="I54" s="13"/>
      <c r="J54" s="13"/>
    </row>
    <row r="55" spans="1:10" s="2" customFormat="1" ht="12.75" customHeight="1" x14ac:dyDescent="0.2">
      <c r="A55" s="89">
        <v>45064</v>
      </c>
      <c r="B55" s="91" t="s">
        <v>11</v>
      </c>
      <c r="C55" s="76" t="s">
        <v>454</v>
      </c>
      <c r="D55" s="116" t="s">
        <v>29</v>
      </c>
      <c r="E55" s="31"/>
      <c r="F55" s="2">
        <v>2500000</v>
      </c>
      <c r="G55" s="30"/>
      <c r="I55" s="13"/>
      <c r="J55" s="13"/>
    </row>
    <row r="56" spans="1:10" s="2" customFormat="1" ht="12.75" customHeight="1" x14ac:dyDescent="0.2">
      <c r="A56" s="89">
        <v>45064</v>
      </c>
      <c r="B56" s="91" t="s">
        <v>11</v>
      </c>
      <c r="C56" s="76" t="s">
        <v>616</v>
      </c>
      <c r="D56" s="116" t="s">
        <v>29</v>
      </c>
      <c r="E56" s="31"/>
      <c r="F56" s="2">
        <v>63400</v>
      </c>
      <c r="G56" s="30"/>
      <c r="I56" s="13"/>
      <c r="J56" s="13"/>
    </row>
    <row r="57" spans="1:10" s="2" customFormat="1" ht="12.75" customHeight="1" x14ac:dyDescent="0.2">
      <c r="A57" s="89">
        <v>45064</v>
      </c>
      <c r="B57" s="91" t="s">
        <v>11</v>
      </c>
      <c r="C57" s="76" t="s">
        <v>230</v>
      </c>
      <c r="D57" s="116" t="s">
        <v>29</v>
      </c>
      <c r="E57" s="31"/>
      <c r="F57" s="2">
        <v>115640</v>
      </c>
      <c r="G57" s="30"/>
      <c r="I57" s="13"/>
      <c r="J57" s="13"/>
    </row>
    <row r="58" spans="1:10" s="2" customFormat="1" ht="12.75" customHeight="1" x14ac:dyDescent="0.2">
      <c r="A58" s="89">
        <v>45064</v>
      </c>
      <c r="B58" s="91" t="s">
        <v>11</v>
      </c>
      <c r="C58" s="76" t="s">
        <v>619</v>
      </c>
      <c r="D58" s="116" t="s">
        <v>29</v>
      </c>
      <c r="E58" s="31"/>
      <c r="F58" s="2">
        <v>11502</v>
      </c>
      <c r="G58" s="30"/>
      <c r="I58" s="13"/>
      <c r="J58" s="13"/>
    </row>
    <row r="59" spans="1:10" s="2" customFormat="1" ht="12.75" customHeight="1" x14ac:dyDescent="0.2">
      <c r="A59" s="89">
        <v>45064</v>
      </c>
      <c r="B59" s="91" t="s">
        <v>11</v>
      </c>
      <c r="C59" s="76" t="s">
        <v>347</v>
      </c>
      <c r="D59" s="116" t="s">
        <v>29</v>
      </c>
      <c r="E59" s="31"/>
      <c r="F59" s="2">
        <v>22420</v>
      </c>
      <c r="G59" s="30"/>
      <c r="I59" s="13"/>
      <c r="J59" s="13"/>
    </row>
    <row r="60" spans="1:10" s="2" customFormat="1" ht="12.75" customHeight="1" x14ac:dyDescent="0.2">
      <c r="A60" s="89">
        <v>45064</v>
      </c>
      <c r="B60" s="91" t="s">
        <v>11</v>
      </c>
      <c r="C60" s="76" t="s">
        <v>780</v>
      </c>
      <c r="D60" s="116" t="s">
        <v>29</v>
      </c>
      <c r="E60" s="31"/>
      <c r="F60" s="2">
        <v>14907</v>
      </c>
      <c r="G60" s="30"/>
      <c r="I60" s="13"/>
      <c r="J60" s="13"/>
    </row>
    <row r="61" spans="1:10" s="2" customFormat="1" ht="12.75" customHeight="1" x14ac:dyDescent="0.2">
      <c r="A61" s="89">
        <v>45064</v>
      </c>
      <c r="B61" s="91" t="s">
        <v>11</v>
      </c>
      <c r="C61" s="76" t="s">
        <v>772</v>
      </c>
      <c r="D61" s="116" t="s">
        <v>29</v>
      </c>
      <c r="E61" s="31"/>
      <c r="F61" s="2">
        <v>18979</v>
      </c>
      <c r="G61" s="30"/>
      <c r="I61" s="13"/>
      <c r="J61" s="13"/>
    </row>
    <row r="62" spans="1:10" s="2" customFormat="1" ht="12.75" customHeight="1" x14ac:dyDescent="0.2">
      <c r="A62" s="89">
        <v>45064</v>
      </c>
      <c r="B62" s="91" t="s">
        <v>11</v>
      </c>
      <c r="C62" s="76" t="s">
        <v>982</v>
      </c>
      <c r="D62" s="116" t="s">
        <v>29</v>
      </c>
      <c r="E62" s="31"/>
      <c r="F62" s="2">
        <v>3675</v>
      </c>
      <c r="G62" s="30"/>
      <c r="I62" s="13"/>
      <c r="J62" s="13"/>
    </row>
    <row r="63" spans="1:10" s="2" customFormat="1" ht="12.75" customHeight="1" x14ac:dyDescent="0.2">
      <c r="A63" s="89">
        <v>45064</v>
      </c>
      <c r="B63" s="91" t="s">
        <v>11</v>
      </c>
      <c r="C63" s="76" t="s">
        <v>235</v>
      </c>
      <c r="D63" s="116" t="s">
        <v>29</v>
      </c>
      <c r="E63" s="31"/>
      <c r="F63" s="2">
        <v>6261</v>
      </c>
      <c r="G63" s="30"/>
      <c r="I63" s="13"/>
      <c r="J63" s="13"/>
    </row>
    <row r="64" spans="1:10" s="2" customFormat="1" ht="12.75" customHeight="1" x14ac:dyDescent="0.2">
      <c r="A64" s="89">
        <v>45064</v>
      </c>
      <c r="B64" s="91" t="s">
        <v>11</v>
      </c>
      <c r="C64" s="76" t="s">
        <v>685</v>
      </c>
      <c r="D64" s="116" t="s">
        <v>29</v>
      </c>
      <c r="E64" s="31"/>
      <c r="F64" s="2">
        <v>1416</v>
      </c>
      <c r="G64" s="30"/>
      <c r="I64" s="13"/>
      <c r="J64" s="13"/>
    </row>
    <row r="65" spans="1:14" s="2" customFormat="1" ht="12.75" customHeight="1" x14ac:dyDescent="0.2">
      <c r="A65" s="89">
        <v>45064</v>
      </c>
      <c r="B65" s="91" t="s">
        <v>11</v>
      </c>
      <c r="C65" s="76" t="s">
        <v>62</v>
      </c>
      <c r="D65" s="116" t="s">
        <v>29</v>
      </c>
      <c r="E65" s="31"/>
      <c r="F65" s="2">
        <v>8000</v>
      </c>
      <c r="G65" s="30"/>
      <c r="I65" s="13"/>
      <c r="J65" s="13"/>
    </row>
    <row r="66" spans="1:14" s="2" customFormat="1" ht="12.75" customHeight="1" x14ac:dyDescent="0.2">
      <c r="A66" s="89">
        <v>45064</v>
      </c>
      <c r="B66" s="91" t="s">
        <v>11</v>
      </c>
      <c r="C66" s="76" t="s">
        <v>140</v>
      </c>
      <c r="D66" s="116" t="s">
        <v>29</v>
      </c>
      <c r="E66" s="31"/>
      <c r="F66" s="2">
        <v>4757124</v>
      </c>
      <c r="G66" s="30"/>
      <c r="I66" s="13"/>
      <c r="J66" s="13"/>
    </row>
    <row r="67" spans="1:14" s="2" customFormat="1" ht="12.75" customHeight="1" x14ac:dyDescent="0.2">
      <c r="A67" s="89">
        <v>45064</v>
      </c>
      <c r="B67" s="91" t="s">
        <v>11</v>
      </c>
      <c r="C67" s="76" t="s">
        <v>57</v>
      </c>
      <c r="D67" s="116" t="s">
        <v>29</v>
      </c>
      <c r="E67" s="31"/>
      <c r="F67" s="2">
        <v>1500000</v>
      </c>
      <c r="G67" s="30"/>
      <c r="I67" s="13"/>
      <c r="J67" s="13"/>
    </row>
    <row r="68" spans="1:14" s="2" customFormat="1" ht="12.75" customHeight="1" x14ac:dyDescent="0.2">
      <c r="A68" s="89">
        <v>45064</v>
      </c>
      <c r="B68" s="91" t="s">
        <v>11</v>
      </c>
      <c r="C68" s="76" t="s">
        <v>130</v>
      </c>
      <c r="D68" s="116" t="s">
        <v>29</v>
      </c>
      <c r="E68" s="31"/>
      <c r="F68" s="2">
        <v>97971</v>
      </c>
      <c r="G68" s="30"/>
      <c r="I68" s="13"/>
      <c r="J68" s="13" t="s">
        <v>601</v>
      </c>
      <c r="K68" s="99" t="s">
        <v>779</v>
      </c>
    </row>
    <row r="69" spans="1:14" s="2" customFormat="1" ht="12.75" customHeight="1" x14ac:dyDescent="0.25">
      <c r="A69" s="32"/>
      <c r="B69" s="33"/>
      <c r="C69" s="14"/>
      <c r="D69" s="34"/>
      <c r="E69" s="16">
        <f>SUM(E11:E68)</f>
        <v>11087699.17</v>
      </c>
      <c r="F69" s="16">
        <f>SUM(F11:F68)</f>
        <v>319736128.90999997</v>
      </c>
      <c r="G69" s="30"/>
      <c r="H69" s="1"/>
      <c r="I69" s="39">
        <v>314630045.74000001</v>
      </c>
      <c r="J69" s="2">
        <v>5555565</v>
      </c>
      <c r="K69" s="92">
        <f>E70-I69</f>
        <v>-5981616.0000000596</v>
      </c>
      <c r="L69" s="41"/>
      <c r="M69" s="42">
        <f>K69+J69</f>
        <v>-426051.0000000596</v>
      </c>
      <c r="N69" s="1"/>
    </row>
    <row r="70" spans="1:14" s="2" customFormat="1" x14ac:dyDescent="0.2">
      <c r="A70" s="36"/>
      <c r="B70" s="28" t="s">
        <v>11</v>
      </c>
      <c r="C70" s="19" t="s">
        <v>65</v>
      </c>
      <c r="D70" s="37"/>
      <c r="E70" s="38">
        <f>F69-E69</f>
        <v>308648429.73999995</v>
      </c>
      <c r="F70" s="22"/>
      <c r="G70" s="1"/>
      <c r="H70" s="1"/>
      <c r="J70" s="1"/>
      <c r="K70" s="1"/>
      <c r="L70" s="1"/>
      <c r="M70" s="1"/>
      <c r="N70" s="1"/>
    </row>
    <row r="71" spans="1:14" x14ac:dyDescent="0.2">
      <c r="A71" s="36"/>
      <c r="B71" s="28" t="s">
        <v>66</v>
      </c>
      <c r="C71" s="43" t="s">
        <v>67</v>
      </c>
      <c r="D71" s="43"/>
      <c r="E71" s="12">
        <v>29316181</v>
      </c>
      <c r="F71" s="22"/>
      <c r="H71" s="40"/>
      <c r="I71" s="45">
        <v>1992.6</v>
      </c>
      <c r="J71" s="46"/>
      <c r="K71" s="46"/>
      <c r="L71" s="13"/>
      <c r="M71" s="2"/>
      <c r="N71" s="2"/>
    </row>
    <row r="72" spans="1:14" ht="15" x14ac:dyDescent="0.25">
      <c r="A72" s="36"/>
      <c r="B72" s="28"/>
      <c r="C72" s="44" t="s">
        <v>68</v>
      </c>
      <c r="D72" s="43"/>
      <c r="E72" s="7">
        <f>E70+E71</f>
        <v>337964610.73999995</v>
      </c>
      <c r="F72" s="22"/>
      <c r="H72" s="103" t="s">
        <v>69</v>
      </c>
      <c r="I72" s="45">
        <v>-82.83</v>
      </c>
      <c r="J72" s="46"/>
      <c r="K72" s="46"/>
      <c r="L72" s="2"/>
      <c r="M72" s="2"/>
      <c r="N72" s="2"/>
    </row>
    <row r="73" spans="1:14" s="2" customFormat="1" x14ac:dyDescent="0.2">
      <c r="A73" s="24"/>
      <c r="B73" s="1"/>
      <c r="C73" s="14"/>
      <c r="D73" s="25"/>
      <c r="E73" s="1"/>
      <c r="H73" s="35" t="s">
        <v>70</v>
      </c>
      <c r="I73" s="45">
        <v>0</v>
      </c>
      <c r="J73" s="46">
        <f>+I74-D76</f>
        <v>0</v>
      </c>
      <c r="M73" s="2">
        <v>19.57</v>
      </c>
      <c r="N73" s="2" t="s">
        <v>535</v>
      </c>
    </row>
    <row r="74" spans="1:14" s="2" customFormat="1" x14ac:dyDescent="0.2">
      <c r="A74" s="24"/>
      <c r="B74" s="1"/>
      <c r="C74" s="56"/>
      <c r="D74" s="56"/>
      <c r="E74" s="104"/>
      <c r="G74" s="1"/>
      <c r="I74" s="49">
        <f>SUM(I71:I73)</f>
        <v>1909.77</v>
      </c>
      <c r="J74" s="46"/>
      <c r="K74" s="46"/>
    </row>
    <row r="75" spans="1:14" s="2" customFormat="1" x14ac:dyDescent="0.2">
      <c r="A75" s="24"/>
      <c r="B75" s="1"/>
      <c r="C75" s="78" t="s">
        <v>575</v>
      </c>
      <c r="D75" s="48" t="s">
        <v>576</v>
      </c>
      <c r="E75" s="104"/>
      <c r="G75" s="1"/>
    </row>
    <row r="76" spans="1:14" s="2" customFormat="1" x14ac:dyDescent="0.2">
      <c r="A76" s="24"/>
      <c r="B76" s="1"/>
      <c r="C76" s="47" t="s">
        <v>570</v>
      </c>
      <c r="D76" s="111">
        <v>1909.77</v>
      </c>
      <c r="E76" s="104"/>
      <c r="G76" s="1"/>
      <c r="H76" s="110" t="s">
        <v>581</v>
      </c>
    </row>
    <row r="77" spans="1:14" s="2" customFormat="1" x14ac:dyDescent="0.2">
      <c r="A77" s="24"/>
      <c r="B77" s="1"/>
      <c r="C77" s="47" t="s">
        <v>931</v>
      </c>
      <c r="D77" s="111">
        <v>205.39</v>
      </c>
      <c r="E77" s="104"/>
      <c r="G77" s="1"/>
      <c r="H77" s="110" t="s">
        <v>580</v>
      </c>
    </row>
    <row r="78" spans="1:14" s="2" customFormat="1" x14ac:dyDescent="0.2">
      <c r="A78" s="24"/>
      <c r="B78" s="1"/>
      <c r="C78" s="47" t="s">
        <v>572</v>
      </c>
      <c r="D78" s="111">
        <f>+D113/100000</f>
        <v>421.27113000000003</v>
      </c>
      <c r="E78" s="104"/>
      <c r="G78" s="1"/>
      <c r="H78" s="90" t="s">
        <v>587</v>
      </c>
    </row>
    <row r="79" spans="1:14" s="2" customFormat="1" x14ac:dyDescent="0.2">
      <c r="A79" s="24"/>
      <c r="B79" s="1"/>
      <c r="C79" s="108" t="s">
        <v>578</v>
      </c>
      <c r="D79" s="48">
        <f>SUM(D76:D78)</f>
        <v>2536.4311299999999</v>
      </c>
      <c r="E79" s="104"/>
      <c r="G79" s="1"/>
    </row>
    <row r="80" spans="1:14" s="2" customFormat="1" x14ac:dyDescent="0.2">
      <c r="A80" s="24"/>
      <c r="B80" s="1"/>
      <c r="C80" s="47"/>
      <c r="D80" s="107"/>
      <c r="E80" s="104"/>
      <c r="G80" s="1"/>
    </row>
    <row r="81" spans="1:13" s="2" customFormat="1" x14ac:dyDescent="0.2">
      <c r="A81" s="24"/>
      <c r="B81" s="1"/>
      <c r="C81" s="47" t="s">
        <v>932</v>
      </c>
      <c r="D81" s="111">
        <v>561.27</v>
      </c>
      <c r="E81" s="104"/>
      <c r="G81" s="1"/>
      <c r="H81" s="110" t="s">
        <v>581</v>
      </c>
    </row>
    <row r="82" spans="1:13" s="2" customFormat="1" x14ac:dyDescent="0.2">
      <c r="A82" s="24"/>
      <c r="B82" s="1"/>
      <c r="C82" s="47" t="s">
        <v>933</v>
      </c>
      <c r="D82" s="111">
        <f>429.58-14.66</f>
        <v>414.91999999999996</v>
      </c>
      <c r="E82" s="104"/>
      <c r="G82" s="1"/>
      <c r="H82" s="110" t="s">
        <v>581</v>
      </c>
      <c r="J82" s="114" t="s">
        <v>713</v>
      </c>
    </row>
    <row r="83" spans="1:13" s="2" customFormat="1" x14ac:dyDescent="0.2">
      <c r="A83" s="24"/>
      <c r="B83" s="1"/>
      <c r="C83" s="78" t="s">
        <v>579</v>
      </c>
      <c r="D83" s="109">
        <f>D81+D82</f>
        <v>976.18999999999994</v>
      </c>
      <c r="E83" s="104"/>
      <c r="G83" s="1"/>
      <c r="I83" s="113"/>
      <c r="J83" s="113" t="s">
        <v>709</v>
      </c>
      <c r="K83" s="113" t="s">
        <v>710</v>
      </c>
      <c r="L83" s="113" t="s">
        <v>711</v>
      </c>
      <c r="M83" s="113" t="s">
        <v>712</v>
      </c>
    </row>
    <row r="84" spans="1:13" s="2" customFormat="1" x14ac:dyDescent="0.2">
      <c r="A84" s="24"/>
      <c r="B84" s="1"/>
      <c r="C84" s="105"/>
      <c r="D84" s="106"/>
      <c r="E84" s="104"/>
      <c r="G84" s="1"/>
      <c r="I84" s="113" t="s">
        <v>706</v>
      </c>
      <c r="J84" s="115"/>
      <c r="K84" s="115">
        <v>968.99</v>
      </c>
      <c r="L84" s="115">
        <v>968.99</v>
      </c>
      <c r="M84" s="113">
        <f>+J84+L84-K84</f>
        <v>0</v>
      </c>
    </row>
    <row r="85" spans="1:13" s="2" customFormat="1" x14ac:dyDescent="0.2">
      <c r="A85" s="24"/>
      <c r="B85" s="1"/>
      <c r="C85" s="78" t="s">
        <v>577</v>
      </c>
      <c r="D85" s="109">
        <f>D76+D83</f>
        <v>2885.96</v>
      </c>
      <c r="E85" s="104"/>
      <c r="G85" s="1"/>
      <c r="I85" s="113" t="s">
        <v>707</v>
      </c>
      <c r="J85" s="115">
        <v>183.1</v>
      </c>
      <c r="K85" s="115">
        <v>1722.78</v>
      </c>
      <c r="L85" s="115">
        <v>2734.65</v>
      </c>
      <c r="M85" s="113">
        <f>+J85+L85-K85</f>
        <v>1194.97</v>
      </c>
    </row>
    <row r="86" spans="1:13" s="2" customFormat="1" x14ac:dyDescent="0.2">
      <c r="A86" s="24"/>
      <c r="B86" s="1"/>
      <c r="C86" s="56"/>
      <c r="D86" s="56"/>
      <c r="E86" s="104"/>
      <c r="G86" s="1"/>
      <c r="I86" s="113" t="s">
        <v>708</v>
      </c>
      <c r="J86" s="115">
        <v>1371.02</v>
      </c>
      <c r="K86" s="115">
        <v>11117.74</v>
      </c>
      <c r="L86" s="115">
        <v>11453.83</v>
      </c>
      <c r="M86" s="113">
        <f>+J86+L86-K86</f>
        <v>1707.1100000000006</v>
      </c>
    </row>
    <row r="87" spans="1:13" s="2" customFormat="1" ht="38.25" x14ac:dyDescent="0.2">
      <c r="A87" s="24"/>
      <c r="B87" s="1"/>
      <c r="C87" s="79" t="str">
        <f>"Particulars ( 01-04-2021 to "&amp;TEXT(A5,"dd-mm-yyyy")&amp;" )"</f>
        <v>Particulars ( 01-04-2021 to 18-05-2023 )</v>
      </c>
      <c r="D87" s="80" t="s">
        <v>73</v>
      </c>
      <c r="E87" s="80" t="s">
        <v>74</v>
      </c>
      <c r="F87" s="81" t="s">
        <v>75</v>
      </c>
      <c r="G87" s="80" t="s">
        <v>76</v>
      </c>
      <c r="J87" s="118">
        <f>SUM(J84:J86)</f>
        <v>1554.12</v>
      </c>
      <c r="K87" s="118">
        <f>SUM(K84:K86)</f>
        <v>13809.51</v>
      </c>
      <c r="L87" s="118">
        <f>SUM(L84:L86)</f>
        <v>15157.470000000001</v>
      </c>
      <c r="M87" s="118">
        <f>SUM(M84:M86)</f>
        <v>2902.0800000000008</v>
      </c>
    </row>
    <row r="88" spans="1:13" s="2" customFormat="1" x14ac:dyDescent="0.2">
      <c r="A88" s="24"/>
      <c r="B88" s="1"/>
      <c r="C88" s="50" t="s">
        <v>444</v>
      </c>
      <c r="D88" s="55">
        <f>+L84+L85+J85</f>
        <v>3886.7400000000002</v>
      </c>
      <c r="E88" s="55">
        <f>+K84+K85</f>
        <v>2691.77</v>
      </c>
      <c r="F88" s="55">
        <f>+D88-E88</f>
        <v>1194.9700000000003</v>
      </c>
      <c r="G88" s="55">
        <f>1500-F88</f>
        <v>305.02999999999975</v>
      </c>
      <c r="H88" s="2" t="s">
        <v>396</v>
      </c>
    </row>
    <row r="89" spans="1:13" s="2" customFormat="1" x14ac:dyDescent="0.2">
      <c r="A89" s="24"/>
      <c r="B89" s="1"/>
      <c r="C89" s="50" t="s">
        <v>71</v>
      </c>
      <c r="D89" s="55">
        <f>+J86+L86</f>
        <v>12824.85</v>
      </c>
      <c r="E89" s="55">
        <f>+K86</f>
        <v>11117.74</v>
      </c>
      <c r="F89" s="55">
        <f>+D89-E89</f>
        <v>1707.1100000000006</v>
      </c>
      <c r="G89" s="55">
        <f>1500+700-F89</f>
        <v>492.88999999999942</v>
      </c>
      <c r="H89" s="2" t="s">
        <v>396</v>
      </c>
    </row>
    <row r="90" spans="1:13" s="2" customFormat="1" x14ac:dyDescent="0.2">
      <c r="A90" s="24"/>
      <c r="B90" s="1"/>
      <c r="C90" s="14"/>
      <c r="D90" s="56"/>
      <c r="E90" s="13"/>
      <c r="G90" s="1"/>
    </row>
    <row r="91" spans="1:13" s="2" customFormat="1" x14ac:dyDescent="0.2">
      <c r="A91" s="215" t="s">
        <v>80</v>
      </c>
      <c r="B91" s="216"/>
      <c r="C91" s="216"/>
      <c r="D91" s="217"/>
      <c r="E91" s="69"/>
      <c r="F91" s="70"/>
      <c r="G91" s="1"/>
      <c r="H91" s="53"/>
    </row>
    <row r="92" spans="1:13" s="2" customFormat="1" x14ac:dyDescent="0.2">
      <c r="A92" s="71" t="s">
        <v>81</v>
      </c>
      <c r="B92" s="71"/>
      <c r="C92" s="72" t="s">
        <v>82</v>
      </c>
      <c r="D92" s="73" t="s">
        <v>83</v>
      </c>
      <c r="E92" s="69"/>
      <c r="F92" s="70"/>
      <c r="H92" s="53"/>
    </row>
    <row r="93" spans="1:13" s="2" customFormat="1" x14ac:dyDescent="0.2">
      <c r="A93" s="87">
        <v>45050</v>
      </c>
      <c r="B93" s="120" t="s">
        <v>6</v>
      </c>
      <c r="C93" s="75" t="s">
        <v>282</v>
      </c>
      <c r="D93" s="88">
        <v>1562637</v>
      </c>
      <c r="G93" s="1"/>
      <c r="L93" s="1"/>
      <c r="M93" s="1"/>
    </row>
    <row r="94" spans="1:13" s="2" customFormat="1" x14ac:dyDescent="0.2">
      <c r="A94" s="87">
        <v>45050</v>
      </c>
      <c r="B94" s="120" t="s">
        <v>6</v>
      </c>
      <c r="C94" s="75" t="s">
        <v>86</v>
      </c>
      <c r="D94" s="88">
        <v>2499321</v>
      </c>
      <c r="G94" s="1"/>
      <c r="L94" s="1"/>
      <c r="M94" s="1"/>
    </row>
    <row r="95" spans="1:13" s="2" customFormat="1" x14ac:dyDescent="0.2">
      <c r="A95" s="87">
        <v>45050</v>
      </c>
      <c r="B95" s="120" t="s">
        <v>6</v>
      </c>
      <c r="C95" s="75" t="s">
        <v>86</v>
      </c>
      <c r="D95" s="88">
        <v>6876102</v>
      </c>
      <c r="G95" s="1"/>
      <c r="L95" s="1"/>
      <c r="M95" s="1"/>
    </row>
    <row r="96" spans="1:13" s="2" customFormat="1" x14ac:dyDescent="0.2">
      <c r="A96" s="87">
        <v>45052</v>
      </c>
      <c r="B96" s="120" t="s">
        <v>6</v>
      </c>
      <c r="C96" s="75" t="s">
        <v>270</v>
      </c>
      <c r="D96" s="88">
        <v>1124141</v>
      </c>
      <c r="G96" s="1"/>
      <c r="L96" s="1"/>
      <c r="M96" s="1"/>
    </row>
    <row r="97" spans="1:13" s="2" customFormat="1" x14ac:dyDescent="0.2">
      <c r="A97" s="87">
        <v>45054</v>
      </c>
      <c r="B97" s="120" t="s">
        <v>6</v>
      </c>
      <c r="C97" s="75" t="s">
        <v>271</v>
      </c>
      <c r="D97" s="88">
        <v>476726</v>
      </c>
      <c r="G97" s="1"/>
      <c r="L97" s="1"/>
      <c r="M97" s="1"/>
    </row>
    <row r="98" spans="1:13" s="2" customFormat="1" x14ac:dyDescent="0.2">
      <c r="A98" s="87">
        <v>45054</v>
      </c>
      <c r="B98" s="120" t="s">
        <v>6</v>
      </c>
      <c r="C98" s="75" t="s">
        <v>271</v>
      </c>
      <c r="D98" s="88">
        <v>926688</v>
      </c>
      <c r="G98" s="1"/>
      <c r="L98" s="1"/>
      <c r="M98" s="1"/>
    </row>
    <row r="99" spans="1:13" s="2" customFormat="1" x14ac:dyDescent="0.2">
      <c r="A99" s="87">
        <v>45054</v>
      </c>
      <c r="B99" s="120" t="s">
        <v>6</v>
      </c>
      <c r="C99" s="75" t="s">
        <v>606</v>
      </c>
      <c r="D99" s="88">
        <v>1844917</v>
      </c>
      <c r="G99" s="1"/>
      <c r="L99" s="1"/>
      <c r="M99" s="1"/>
    </row>
    <row r="100" spans="1:13" s="2" customFormat="1" x14ac:dyDescent="0.2">
      <c r="A100" s="87">
        <v>45054</v>
      </c>
      <c r="B100" s="120" t="s">
        <v>6</v>
      </c>
      <c r="C100" s="75" t="s">
        <v>271</v>
      </c>
      <c r="D100" s="88">
        <v>1640794</v>
      </c>
      <c r="G100" s="1"/>
      <c r="L100" s="1"/>
      <c r="M100" s="1"/>
    </row>
    <row r="101" spans="1:13" s="2" customFormat="1" x14ac:dyDescent="0.2">
      <c r="A101" s="87">
        <v>45055</v>
      </c>
      <c r="B101" s="120" t="s">
        <v>6</v>
      </c>
      <c r="C101" s="75" t="s">
        <v>84</v>
      </c>
      <c r="D101" s="88">
        <v>2000000</v>
      </c>
      <c r="G101" s="1"/>
      <c r="L101" s="1"/>
      <c r="M101" s="1"/>
    </row>
    <row r="102" spans="1:13" s="2" customFormat="1" x14ac:dyDescent="0.2">
      <c r="A102" s="87">
        <v>45055</v>
      </c>
      <c r="B102" s="120" t="s">
        <v>6</v>
      </c>
      <c r="C102" s="75" t="s">
        <v>87</v>
      </c>
      <c r="D102" s="88">
        <v>2540563</v>
      </c>
      <c r="G102" s="1"/>
      <c r="L102" s="1"/>
      <c r="M102" s="1"/>
    </row>
    <row r="103" spans="1:13" s="2" customFormat="1" x14ac:dyDescent="0.2">
      <c r="A103" s="87">
        <v>45055</v>
      </c>
      <c r="B103" s="120" t="s">
        <v>6</v>
      </c>
      <c r="C103" s="75" t="s">
        <v>767</v>
      </c>
      <c r="D103" s="88">
        <v>950137</v>
      </c>
      <c r="G103" s="1"/>
      <c r="L103" s="1"/>
      <c r="M103" s="1"/>
    </row>
    <row r="104" spans="1:13" s="2" customFormat="1" x14ac:dyDescent="0.2">
      <c r="A104" s="87">
        <v>45056</v>
      </c>
      <c r="B104" s="120" t="s">
        <v>6</v>
      </c>
      <c r="C104" s="75" t="s">
        <v>271</v>
      </c>
      <c r="D104" s="88">
        <v>242417</v>
      </c>
      <c r="G104" s="1"/>
      <c r="L104" s="1"/>
      <c r="M104" s="1"/>
    </row>
    <row r="105" spans="1:13" s="2" customFormat="1" x14ac:dyDescent="0.2">
      <c r="A105" s="87">
        <v>45056</v>
      </c>
      <c r="B105" s="120" t="s">
        <v>6</v>
      </c>
      <c r="C105" s="75" t="s">
        <v>271</v>
      </c>
      <c r="D105" s="88">
        <v>674909</v>
      </c>
      <c r="G105" s="1"/>
      <c r="L105" s="1"/>
      <c r="M105" s="1"/>
    </row>
    <row r="106" spans="1:13" s="2" customFormat="1" x14ac:dyDescent="0.2">
      <c r="A106" s="87">
        <v>45056</v>
      </c>
      <c r="B106" s="120" t="s">
        <v>6</v>
      </c>
      <c r="C106" s="75" t="s">
        <v>271</v>
      </c>
      <c r="D106" s="88">
        <v>969371</v>
      </c>
      <c r="G106" s="1"/>
      <c r="L106" s="1"/>
      <c r="M106" s="1"/>
    </row>
    <row r="107" spans="1:13" s="2" customFormat="1" x14ac:dyDescent="0.2">
      <c r="A107" s="87">
        <v>45058</v>
      </c>
      <c r="B107" s="120" t="s">
        <v>6</v>
      </c>
      <c r="C107" s="75" t="s">
        <v>271</v>
      </c>
      <c r="D107" s="88">
        <v>650439</v>
      </c>
      <c r="G107" s="1"/>
      <c r="L107" s="1"/>
      <c r="M107" s="1"/>
    </row>
    <row r="108" spans="1:13" s="2" customFormat="1" x14ac:dyDescent="0.2">
      <c r="A108" s="87">
        <v>45058</v>
      </c>
      <c r="B108" s="120" t="s">
        <v>6</v>
      </c>
      <c r="C108" s="75" t="s">
        <v>271</v>
      </c>
      <c r="D108" s="88">
        <v>432067</v>
      </c>
      <c r="G108" s="1"/>
      <c r="L108" s="1"/>
      <c r="M108" s="1"/>
    </row>
    <row r="109" spans="1:13" s="2" customFormat="1" x14ac:dyDescent="0.2">
      <c r="A109" s="87">
        <v>45058</v>
      </c>
      <c r="B109" s="120" t="s">
        <v>6</v>
      </c>
      <c r="C109" s="75" t="s">
        <v>271</v>
      </c>
      <c r="D109" s="88">
        <v>412906</v>
      </c>
      <c r="G109" s="1"/>
      <c r="L109" s="1"/>
      <c r="M109" s="1"/>
    </row>
    <row r="110" spans="1:13" s="2" customFormat="1" x14ac:dyDescent="0.2">
      <c r="A110" s="87">
        <v>45061</v>
      </c>
      <c r="B110" s="120" t="s">
        <v>6</v>
      </c>
      <c r="C110" s="75" t="s">
        <v>282</v>
      </c>
      <c r="D110" s="88">
        <v>7500000</v>
      </c>
      <c r="G110" s="1"/>
      <c r="L110" s="1"/>
      <c r="M110" s="1"/>
    </row>
    <row r="111" spans="1:13" s="2" customFormat="1" x14ac:dyDescent="0.2">
      <c r="A111" s="87">
        <v>45062</v>
      </c>
      <c r="B111" s="120" t="s">
        <v>6</v>
      </c>
      <c r="C111" s="75" t="s">
        <v>86</v>
      </c>
      <c r="D111" s="88">
        <v>3769130</v>
      </c>
      <c r="G111" s="1"/>
      <c r="L111" s="1"/>
      <c r="M111" s="1"/>
    </row>
    <row r="112" spans="1:13" s="2" customFormat="1" x14ac:dyDescent="0.2">
      <c r="A112" s="87">
        <v>45063</v>
      </c>
      <c r="B112" s="120" t="s">
        <v>6</v>
      </c>
      <c r="C112" s="75" t="s">
        <v>84</v>
      </c>
      <c r="D112" s="88">
        <v>5033848</v>
      </c>
      <c r="G112" s="1"/>
      <c r="L112" s="1"/>
      <c r="M112" s="1"/>
    </row>
    <row r="113" spans="1:13" s="2" customFormat="1" x14ac:dyDescent="0.2">
      <c r="A113" s="87"/>
      <c r="B113" s="74"/>
      <c r="C113" s="75"/>
      <c r="D113" s="51">
        <f>SUM(D93:D112)</f>
        <v>42127113</v>
      </c>
      <c r="F113" s="2" t="s">
        <v>396</v>
      </c>
      <c r="G113" s="1"/>
      <c r="I113" s="1"/>
      <c r="J113" s="1"/>
      <c r="K113" s="1"/>
      <c r="L113" s="1"/>
      <c r="M113" s="1"/>
    </row>
    <row r="114" spans="1:13" s="2" customFormat="1" x14ac:dyDescent="0.2">
      <c r="A114" s="24"/>
      <c r="B114" s="1"/>
      <c r="C114" s="14"/>
      <c r="D114" s="56"/>
      <c r="E114" s="13"/>
      <c r="G114" s="1"/>
    </row>
    <row r="115" spans="1:13" s="2" customFormat="1" x14ac:dyDescent="0.2">
      <c r="A115" s="24"/>
      <c r="B115" s="1"/>
      <c r="C115" s="218" t="s">
        <v>77</v>
      </c>
      <c r="D115" s="219"/>
      <c r="E115" s="219"/>
      <c r="F115" s="220"/>
      <c r="G115" s="54"/>
      <c r="I115" s="1"/>
      <c r="J115" s="1"/>
      <c r="K115" s="1"/>
      <c r="L115" s="1"/>
      <c r="M115" s="1"/>
    </row>
    <row r="116" spans="1:13" s="2" customFormat="1" x14ac:dyDescent="0.2">
      <c r="A116" s="24"/>
      <c r="B116" s="1"/>
      <c r="C116" s="50"/>
      <c r="D116" s="57" t="s">
        <v>78</v>
      </c>
      <c r="E116" s="58" t="s">
        <v>79</v>
      </c>
      <c r="F116" s="57" t="s">
        <v>72</v>
      </c>
      <c r="G116" s="54"/>
      <c r="I116" s="1"/>
      <c r="J116" s="1"/>
      <c r="K116" s="1"/>
      <c r="L116" s="1"/>
      <c r="M116" s="1"/>
    </row>
    <row r="117" spans="1:13" s="2" customFormat="1" x14ac:dyDescent="0.2">
      <c r="A117" s="24"/>
      <c r="B117" s="1"/>
      <c r="C117" s="59" t="str">
        <f>"01-05-2023 to "&amp;TEXT(A5-2,"dd-mm-yyyy")</f>
        <v>01-05-2023 to 16-05-2023</v>
      </c>
      <c r="D117" s="60">
        <v>2099.9299999999998</v>
      </c>
      <c r="E117" s="60">
        <v>173.06</v>
      </c>
      <c r="F117" s="61">
        <f>SUM(D117:E117)</f>
        <v>2272.9899999999998</v>
      </c>
      <c r="G117" s="54"/>
      <c r="I117" s="1"/>
      <c r="J117" s="1"/>
      <c r="K117" s="1"/>
      <c r="L117" s="1"/>
      <c r="M117" s="1"/>
    </row>
    <row r="118" spans="1:13" s="2" customFormat="1" x14ac:dyDescent="0.2">
      <c r="A118" s="24"/>
      <c r="B118" s="1"/>
      <c r="C118" s="62" t="str">
        <f>TEXT(A5-1,"dd-mm-yyyy")</f>
        <v>17-05-2023</v>
      </c>
      <c r="D118" s="60">
        <v>243.79</v>
      </c>
      <c r="E118" s="60">
        <v>15.77</v>
      </c>
      <c r="F118" s="61">
        <f>SUM(D118:E118)</f>
        <v>259.56</v>
      </c>
      <c r="G118" s="54"/>
      <c r="I118" s="1"/>
      <c r="J118" s="1"/>
      <c r="K118" s="1"/>
      <c r="L118" s="1"/>
      <c r="M118" s="1"/>
    </row>
    <row r="119" spans="1:13" ht="13.5" thickBot="1" x14ac:dyDescent="0.25">
      <c r="C119" s="63" t="str">
        <f>"01-05-2023 to "&amp;TEXT(A5-1,"dd-mm-yyyy")</f>
        <v>01-05-2023 to 17-05-2023</v>
      </c>
      <c r="D119" s="64">
        <f>SUM(D117:D118)</f>
        <v>2343.7199999999998</v>
      </c>
      <c r="E119" s="64">
        <f>SUM(E117:E118)</f>
        <v>188.83</v>
      </c>
      <c r="F119" s="64">
        <f>SUM(F117:F118)</f>
        <v>2532.5499999999997</v>
      </c>
      <c r="G119" s="54"/>
      <c r="H119" s="2" t="s">
        <v>396</v>
      </c>
    </row>
    <row r="120" spans="1:13" s="2" customFormat="1" ht="13.5" thickTop="1" x14ac:dyDescent="0.2">
      <c r="A120" s="24"/>
      <c r="B120" s="1"/>
      <c r="C120" s="62"/>
      <c r="D120" s="65"/>
      <c r="E120" s="66"/>
      <c r="F120" s="67"/>
      <c r="G120" s="54"/>
      <c r="H120" s="53"/>
    </row>
    <row r="121" spans="1:13" x14ac:dyDescent="0.2">
      <c r="C121" s="62" t="str">
        <f>"01-04-2023 to " &amp;C118</f>
        <v>01-04-2023 to 17-05-2023</v>
      </c>
      <c r="D121" s="68">
        <f>+D119+4343.67</f>
        <v>6687.3899999999994</v>
      </c>
      <c r="E121" s="68">
        <f>+E119+536.17</f>
        <v>725</v>
      </c>
      <c r="F121" s="68">
        <f>+F119+4879.84</f>
        <v>7412.3899999999994</v>
      </c>
      <c r="G121" s="54"/>
      <c r="H121" s="53" t="s">
        <v>396</v>
      </c>
    </row>
    <row r="122" spans="1:13" x14ac:dyDescent="0.2">
      <c r="C122" s="52"/>
      <c r="D122" s="85"/>
      <c r="E122" s="53"/>
      <c r="F122" s="53"/>
      <c r="G122" s="54"/>
      <c r="H122" s="53" t="s">
        <v>396</v>
      </c>
      <c r="J122" s="42"/>
    </row>
    <row r="123" spans="1:13" x14ac:dyDescent="0.2">
      <c r="C123" s="52"/>
      <c r="D123" s="85"/>
      <c r="E123" s="53"/>
      <c r="F123" s="53"/>
      <c r="G123" s="54"/>
      <c r="H123" s="53"/>
      <c r="I123" s="101"/>
    </row>
    <row r="124" spans="1:13" x14ac:dyDescent="0.2">
      <c r="C124" s="52"/>
      <c r="D124" s="85"/>
      <c r="E124" s="53"/>
      <c r="F124" s="53"/>
      <c r="G124" s="54"/>
      <c r="H124" s="53"/>
    </row>
    <row r="125" spans="1:13" x14ac:dyDescent="0.2">
      <c r="C125" s="52"/>
      <c r="D125" s="85"/>
      <c r="E125" s="53"/>
      <c r="F125" s="53"/>
      <c r="G125" s="54"/>
      <c r="H125" s="53"/>
    </row>
    <row r="126" spans="1:13" x14ac:dyDescent="0.2">
      <c r="H126" s="53"/>
    </row>
  </sheetData>
  <mergeCells count="5">
    <mergeCell ref="A1:G1"/>
    <mergeCell ref="A3:F3"/>
    <mergeCell ref="A9:F9"/>
    <mergeCell ref="A91:D91"/>
    <mergeCell ref="C115:F115"/>
  </mergeCells>
  <conditionalFormatting sqref="G88:G89">
    <cfRule type="cellIs" dxfId="567" priority="2" operator="lessThan">
      <formula>0</formula>
    </cfRule>
  </conditionalFormatting>
  <conditionalFormatting sqref="C11">
    <cfRule type="duplicateValues" dxfId="566" priority="3"/>
  </conditionalFormatting>
  <conditionalFormatting sqref="C48">
    <cfRule type="duplicateValues" dxfId="565" priority="1"/>
  </conditionalFormatting>
  <conditionalFormatting sqref="C49:C68 C12:C47">
    <cfRule type="duplicateValues" dxfId="564" priority="488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29">
    <pageSetUpPr fitToPage="1"/>
  </sheetPr>
  <dimension ref="A1:N115"/>
  <sheetViews>
    <sheetView topLeftCell="A17" zoomScaleNormal="100" workbookViewId="0">
      <selection activeCell="C46" sqref="C46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47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986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45065</v>
      </c>
      <c r="B5" s="9" t="s">
        <v>6</v>
      </c>
      <c r="C5" s="10" t="s">
        <v>7</v>
      </c>
      <c r="D5" s="11"/>
      <c r="E5" s="12">
        <v>236474.70000000019</v>
      </c>
      <c r="F5" s="12"/>
      <c r="G5" s="1"/>
      <c r="H5" s="112"/>
      <c r="I5" s="112"/>
    </row>
    <row r="6" spans="1:10" s="2" customFormat="1" ht="12.75" customHeight="1" x14ac:dyDescent="0.2">
      <c r="A6" s="89">
        <v>45065</v>
      </c>
      <c r="B6" s="91" t="s">
        <v>6</v>
      </c>
      <c r="C6" s="76" t="s">
        <v>990</v>
      </c>
      <c r="D6" s="116" t="s">
        <v>29</v>
      </c>
      <c r="E6" s="31"/>
      <c r="F6" s="2">
        <v>36070</v>
      </c>
      <c r="G6" s="30"/>
      <c r="I6" s="13"/>
      <c r="J6" s="13"/>
    </row>
    <row r="7" spans="1:10" s="2" customFormat="1" ht="12.75" customHeight="1" x14ac:dyDescent="0.4">
      <c r="D7" s="15" t="s">
        <v>8</v>
      </c>
      <c r="E7" s="16">
        <f>SUM(E5:E5)</f>
        <v>236474.70000000019</v>
      </c>
      <c r="F7" s="16">
        <f>SUM(F6)</f>
        <v>36070</v>
      </c>
      <c r="G7" s="1"/>
      <c r="H7" s="112"/>
      <c r="I7" s="112"/>
    </row>
    <row r="8" spans="1:10" s="2" customFormat="1" ht="12.75" customHeight="1" x14ac:dyDescent="0.4">
      <c r="A8" s="17"/>
      <c r="B8" s="18"/>
      <c r="C8" s="19" t="s">
        <v>9</v>
      </c>
      <c r="D8" s="20"/>
      <c r="E8" s="21">
        <f>E7-F7</f>
        <v>200404.70000000019</v>
      </c>
      <c r="F8" s="22"/>
      <c r="G8" s="23"/>
      <c r="H8" s="112"/>
      <c r="I8" s="112"/>
      <c r="J8" s="13"/>
    </row>
    <row r="9" spans="1:10" s="2" customFormat="1" ht="12.75" customHeight="1" x14ac:dyDescent="0.4">
      <c r="A9" s="24"/>
      <c r="B9" s="1"/>
      <c r="C9" s="14"/>
      <c r="D9" s="25"/>
      <c r="G9" s="23"/>
      <c r="H9" s="112"/>
      <c r="I9" s="112"/>
      <c r="J9" s="13"/>
    </row>
    <row r="10" spans="1:10" s="2" customFormat="1" ht="21.75" customHeight="1" x14ac:dyDescent="0.4">
      <c r="A10" s="214" t="s">
        <v>10</v>
      </c>
      <c r="B10" s="214"/>
      <c r="C10" s="214"/>
      <c r="D10" s="214"/>
      <c r="E10" s="214"/>
      <c r="F10" s="214"/>
      <c r="G10" s="13"/>
      <c r="H10" s="112"/>
      <c r="I10" s="112"/>
      <c r="J10" s="13"/>
    </row>
    <row r="11" spans="1:10" s="2" customFormat="1" ht="12.75" customHeight="1" x14ac:dyDescent="0.4">
      <c r="A11" s="26" t="s">
        <v>1</v>
      </c>
      <c r="B11" s="27" t="s">
        <v>2</v>
      </c>
      <c r="C11" s="5"/>
      <c r="D11" s="6" t="s">
        <v>3</v>
      </c>
      <c r="E11" s="7" t="s">
        <v>4</v>
      </c>
      <c r="F11" s="7" t="s">
        <v>5</v>
      </c>
      <c r="G11" s="23"/>
      <c r="H11" s="112"/>
      <c r="I11" s="112"/>
      <c r="J11" s="13"/>
    </row>
    <row r="12" spans="1:10" s="2" customFormat="1" ht="12.75" customHeight="1" x14ac:dyDescent="0.2">
      <c r="A12" s="89">
        <v>45065</v>
      </c>
      <c r="B12" s="91" t="s">
        <v>11</v>
      </c>
      <c r="C12" s="29" t="s">
        <v>7</v>
      </c>
      <c r="D12" s="25"/>
      <c r="E12" s="31"/>
      <c r="F12" s="2">
        <v>308648429.73999995</v>
      </c>
      <c r="G12" s="30"/>
      <c r="I12" s="13"/>
      <c r="J12" s="13"/>
    </row>
    <row r="13" spans="1:10" s="2" customFormat="1" ht="12.75" customHeight="1" x14ac:dyDescent="0.2">
      <c r="A13" s="89">
        <v>45065</v>
      </c>
      <c r="B13" s="91" t="s">
        <v>6</v>
      </c>
      <c r="C13" s="76" t="s">
        <v>237</v>
      </c>
      <c r="D13" s="116" t="s">
        <v>13</v>
      </c>
      <c r="E13" s="31">
        <v>118815</v>
      </c>
      <c r="G13" s="30"/>
      <c r="I13" s="13"/>
      <c r="J13" s="13"/>
    </row>
    <row r="14" spans="1:10" s="2" customFormat="1" ht="12.75" customHeight="1" x14ac:dyDescent="0.2">
      <c r="A14" s="89">
        <v>45065</v>
      </c>
      <c r="B14" s="91" t="s">
        <v>6</v>
      </c>
      <c r="C14" s="76" t="s">
        <v>244</v>
      </c>
      <c r="D14" s="116" t="s">
        <v>13</v>
      </c>
      <c r="E14" s="31">
        <v>390000</v>
      </c>
      <c r="G14" s="30"/>
      <c r="I14" s="13"/>
      <c r="J14" s="13"/>
    </row>
    <row r="15" spans="1:10" s="2" customFormat="1" ht="12.75" customHeight="1" x14ac:dyDescent="0.2">
      <c r="A15" s="89">
        <v>45065</v>
      </c>
      <c r="B15" s="91" t="s">
        <v>6</v>
      </c>
      <c r="C15" s="76" t="s">
        <v>458</v>
      </c>
      <c r="D15" s="116" t="s">
        <v>13</v>
      </c>
      <c r="E15" s="31">
        <v>542540</v>
      </c>
      <c r="G15" s="30"/>
      <c r="I15" s="13"/>
      <c r="J15" s="13"/>
    </row>
    <row r="16" spans="1:10" s="2" customFormat="1" ht="12.75" customHeight="1" x14ac:dyDescent="0.2">
      <c r="A16" s="89">
        <v>45065</v>
      </c>
      <c r="B16" s="91" t="s">
        <v>6</v>
      </c>
      <c r="C16" s="76" t="s">
        <v>378</v>
      </c>
      <c r="D16" s="116" t="s">
        <v>13</v>
      </c>
      <c r="E16" s="31">
        <v>960775</v>
      </c>
      <c r="G16" s="30"/>
      <c r="I16" s="13"/>
      <c r="J16" s="13"/>
    </row>
    <row r="17" spans="1:10" s="2" customFormat="1" ht="12.75" customHeight="1" x14ac:dyDescent="0.2">
      <c r="A17" s="89">
        <v>45065</v>
      </c>
      <c r="B17" s="91" t="s">
        <v>6</v>
      </c>
      <c r="C17" s="76" t="s">
        <v>824</v>
      </c>
      <c r="D17" s="116" t="s">
        <v>13</v>
      </c>
      <c r="E17" s="31">
        <v>75389</v>
      </c>
      <c r="G17" s="30"/>
      <c r="I17" s="13"/>
      <c r="J17" s="13"/>
    </row>
    <row r="18" spans="1:10" s="2" customFormat="1" ht="12.75" customHeight="1" x14ac:dyDescent="0.2">
      <c r="A18" s="89">
        <v>45065</v>
      </c>
      <c r="B18" s="91" t="s">
        <v>6</v>
      </c>
      <c r="C18" s="76" t="s">
        <v>536</v>
      </c>
      <c r="D18" s="116" t="s">
        <v>13</v>
      </c>
      <c r="E18" s="31">
        <v>707270.8</v>
      </c>
      <c r="G18" s="30"/>
      <c r="I18" s="13"/>
      <c r="J18" s="13"/>
    </row>
    <row r="19" spans="1:10" s="2" customFormat="1" ht="12.75" customHeight="1" x14ac:dyDescent="0.2">
      <c r="A19" s="89">
        <v>45065</v>
      </c>
      <c r="B19" s="91" t="s">
        <v>6</v>
      </c>
      <c r="C19" s="76" t="s">
        <v>311</v>
      </c>
      <c r="D19" s="116" t="s">
        <v>13</v>
      </c>
      <c r="E19" s="31">
        <v>67210</v>
      </c>
      <c r="G19" s="30"/>
      <c r="I19" s="13"/>
      <c r="J19" s="13"/>
    </row>
    <row r="20" spans="1:10" s="2" customFormat="1" ht="12.75" customHeight="1" x14ac:dyDescent="0.2">
      <c r="A20" s="89">
        <v>45065</v>
      </c>
      <c r="B20" s="91" t="s">
        <v>6</v>
      </c>
      <c r="C20" s="76" t="s">
        <v>316</v>
      </c>
      <c r="D20" s="116" t="s">
        <v>13</v>
      </c>
      <c r="E20" s="31">
        <v>404683</v>
      </c>
      <c r="G20" s="30"/>
      <c r="I20" s="13"/>
      <c r="J20" s="13"/>
    </row>
    <row r="21" spans="1:10" s="2" customFormat="1" ht="12.75" customHeight="1" x14ac:dyDescent="0.2">
      <c r="A21" s="89">
        <v>45065</v>
      </c>
      <c r="B21" s="91" t="s">
        <v>6</v>
      </c>
      <c r="C21" s="76" t="s">
        <v>760</v>
      </c>
      <c r="D21" s="116" t="s">
        <v>13</v>
      </c>
      <c r="E21" s="31">
        <v>565318.5</v>
      </c>
      <c r="G21" s="30"/>
      <c r="I21" s="13"/>
      <c r="J21" s="13"/>
    </row>
    <row r="22" spans="1:10" s="2" customFormat="1" ht="12.75" customHeight="1" x14ac:dyDescent="0.2">
      <c r="A22" s="89">
        <v>45065</v>
      </c>
      <c r="B22" s="91" t="s">
        <v>6</v>
      </c>
      <c r="C22" s="76" t="s">
        <v>15</v>
      </c>
      <c r="D22" s="116" t="s">
        <v>13</v>
      </c>
      <c r="E22" s="31">
        <v>20712.86</v>
      </c>
      <c r="G22" s="30"/>
      <c r="I22" s="13"/>
      <c r="J22" s="13"/>
    </row>
    <row r="23" spans="1:10" s="2" customFormat="1" ht="12.75" customHeight="1" x14ac:dyDescent="0.2">
      <c r="A23" s="89">
        <v>45065</v>
      </c>
      <c r="B23" s="91" t="s">
        <v>6</v>
      </c>
      <c r="C23" s="76" t="s">
        <v>158</v>
      </c>
      <c r="D23" s="116" t="s">
        <v>13</v>
      </c>
      <c r="E23" s="31">
        <v>8302499</v>
      </c>
      <c r="G23" s="30"/>
      <c r="I23" s="13"/>
      <c r="J23" s="13"/>
    </row>
    <row r="24" spans="1:10" s="2" customFormat="1" ht="12.75" customHeight="1" x14ac:dyDescent="0.2">
      <c r="A24" s="89">
        <v>45065</v>
      </c>
      <c r="B24" s="91" t="s">
        <v>6</v>
      </c>
      <c r="C24" s="76" t="s">
        <v>177</v>
      </c>
      <c r="D24" s="116" t="s">
        <v>13</v>
      </c>
      <c r="E24" s="31">
        <v>294769</v>
      </c>
      <c r="G24" s="30"/>
      <c r="I24" s="13"/>
      <c r="J24" s="13"/>
    </row>
    <row r="25" spans="1:10" s="2" customFormat="1" ht="12.75" customHeight="1" x14ac:dyDescent="0.2">
      <c r="A25" s="89">
        <v>45065</v>
      </c>
      <c r="B25" s="91" t="s">
        <v>6</v>
      </c>
      <c r="C25" s="76" t="s">
        <v>480</v>
      </c>
      <c r="D25" s="116" t="s">
        <v>13</v>
      </c>
      <c r="E25" s="31">
        <v>68000</v>
      </c>
      <c r="G25" s="30"/>
      <c r="I25" s="13"/>
      <c r="J25" s="13"/>
    </row>
    <row r="26" spans="1:10" s="2" customFormat="1" ht="12.75" customHeight="1" x14ac:dyDescent="0.2">
      <c r="A26" s="89">
        <v>45065</v>
      </c>
      <c r="B26" s="91" t="s">
        <v>6</v>
      </c>
      <c r="C26" s="76" t="s">
        <v>456</v>
      </c>
      <c r="D26" s="116" t="s">
        <v>13</v>
      </c>
      <c r="E26" s="31">
        <v>200000</v>
      </c>
      <c r="G26" s="30"/>
      <c r="I26" s="13"/>
      <c r="J26" s="13"/>
    </row>
    <row r="27" spans="1:10" s="2" customFormat="1" ht="12.75" customHeight="1" x14ac:dyDescent="0.2">
      <c r="A27" s="89">
        <v>45065</v>
      </c>
      <c r="B27" s="91" t="s">
        <v>6</v>
      </c>
      <c r="C27" s="76" t="s">
        <v>149</v>
      </c>
      <c r="D27" s="116" t="s">
        <v>13</v>
      </c>
      <c r="E27" s="31">
        <v>253934</v>
      </c>
      <c r="G27" s="30"/>
      <c r="I27" s="13"/>
      <c r="J27" s="13"/>
    </row>
    <row r="28" spans="1:10" s="2" customFormat="1" ht="12.75" customHeight="1" x14ac:dyDescent="0.2">
      <c r="A28" s="89">
        <v>45065</v>
      </c>
      <c r="B28" s="91" t="s">
        <v>6</v>
      </c>
      <c r="C28" s="76" t="s">
        <v>146</v>
      </c>
      <c r="D28" s="116" t="s">
        <v>13</v>
      </c>
      <c r="E28" s="31">
        <v>44880.01</v>
      </c>
      <c r="G28" s="30"/>
      <c r="I28" s="13"/>
      <c r="J28" s="13"/>
    </row>
    <row r="29" spans="1:10" s="2" customFormat="1" ht="12.75" customHeight="1" x14ac:dyDescent="0.2">
      <c r="A29" s="89">
        <v>45065</v>
      </c>
      <c r="B29" s="91" t="s">
        <v>6</v>
      </c>
      <c r="C29" s="76" t="s">
        <v>219</v>
      </c>
      <c r="D29" s="116" t="s">
        <v>13</v>
      </c>
      <c r="E29" s="31">
        <v>366631</v>
      </c>
      <c r="G29" s="30"/>
      <c r="I29" s="13"/>
      <c r="J29" s="13"/>
    </row>
    <row r="30" spans="1:10" s="2" customFormat="1" ht="12.75" customHeight="1" x14ac:dyDescent="0.2">
      <c r="A30" s="89">
        <v>45065</v>
      </c>
      <c r="B30" s="91" t="s">
        <v>6</v>
      </c>
      <c r="C30" s="76" t="s">
        <v>988</v>
      </c>
      <c r="D30" s="116" t="s">
        <v>13</v>
      </c>
      <c r="E30" s="31">
        <v>2778613</v>
      </c>
      <c r="G30" s="30"/>
      <c r="I30" s="13"/>
      <c r="J30" s="13"/>
    </row>
    <row r="31" spans="1:10" s="2" customFormat="1" ht="12.75" customHeight="1" x14ac:dyDescent="0.2">
      <c r="A31" s="89">
        <v>45065</v>
      </c>
      <c r="B31" s="91" t="s">
        <v>6</v>
      </c>
      <c r="C31" s="76" t="s">
        <v>304</v>
      </c>
      <c r="D31" s="116" t="s">
        <v>13</v>
      </c>
      <c r="E31" s="31">
        <v>899509</v>
      </c>
      <c r="G31" s="30"/>
      <c r="I31" s="13"/>
      <c r="J31" s="13"/>
    </row>
    <row r="32" spans="1:10" s="2" customFormat="1" ht="12.75" customHeight="1" x14ac:dyDescent="0.2">
      <c r="A32" s="89">
        <v>45065</v>
      </c>
      <c r="B32" s="91" t="s">
        <v>6</v>
      </c>
      <c r="C32" s="76" t="s">
        <v>989</v>
      </c>
      <c r="D32" s="116" t="s">
        <v>13</v>
      </c>
      <c r="E32" s="31">
        <v>73935</v>
      </c>
      <c r="G32" s="30"/>
      <c r="I32" s="13"/>
      <c r="J32" s="13"/>
    </row>
    <row r="33" spans="1:10" s="2" customFormat="1" ht="12.75" customHeight="1" x14ac:dyDescent="0.2">
      <c r="A33" s="89">
        <v>45065</v>
      </c>
      <c r="B33" s="91" t="s">
        <v>11</v>
      </c>
      <c r="C33" s="76" t="s">
        <v>64</v>
      </c>
      <c r="D33" s="116" t="s">
        <v>29</v>
      </c>
      <c r="E33" s="31"/>
      <c r="F33" s="2">
        <v>8289.5</v>
      </c>
      <c r="G33" s="30"/>
      <c r="I33" s="13"/>
      <c r="J33" s="13"/>
    </row>
    <row r="34" spans="1:10" s="2" customFormat="1" ht="12.75" customHeight="1" x14ac:dyDescent="0.2">
      <c r="A34" s="89">
        <v>45065</v>
      </c>
      <c r="B34" s="91" t="s">
        <v>11</v>
      </c>
      <c r="C34" s="76" t="s">
        <v>109</v>
      </c>
      <c r="D34" s="116" t="s">
        <v>29</v>
      </c>
      <c r="E34" s="31"/>
      <c r="F34" s="2">
        <v>1361263</v>
      </c>
      <c r="G34" s="30"/>
      <c r="I34" s="13"/>
      <c r="J34" s="13"/>
    </row>
    <row r="35" spans="1:10" s="2" customFormat="1" ht="12.75" customHeight="1" x14ac:dyDescent="0.2">
      <c r="A35" s="89">
        <v>45065</v>
      </c>
      <c r="B35" s="91" t="s">
        <v>11</v>
      </c>
      <c r="C35" s="76" t="s">
        <v>62</v>
      </c>
      <c r="D35" s="116" t="s">
        <v>29</v>
      </c>
      <c r="E35" s="31"/>
      <c r="F35" s="2">
        <v>40000</v>
      </c>
      <c r="G35" s="30"/>
      <c r="I35" s="13"/>
      <c r="J35" s="13"/>
    </row>
    <row r="36" spans="1:10" s="2" customFormat="1" ht="12.75" customHeight="1" x14ac:dyDescent="0.2">
      <c r="A36" s="89">
        <v>45065</v>
      </c>
      <c r="B36" s="91" t="s">
        <v>11</v>
      </c>
      <c r="C36" s="76" t="s">
        <v>98</v>
      </c>
      <c r="D36" s="116" t="s">
        <v>29</v>
      </c>
      <c r="E36" s="31"/>
      <c r="F36" s="2">
        <v>4661</v>
      </c>
      <c r="G36" s="30"/>
      <c r="I36" s="13"/>
      <c r="J36" s="13"/>
    </row>
    <row r="37" spans="1:10" s="2" customFormat="1" ht="12.75" customHeight="1" x14ac:dyDescent="0.2">
      <c r="A37" s="89">
        <v>45065</v>
      </c>
      <c r="B37" s="91" t="s">
        <v>11</v>
      </c>
      <c r="C37" s="76" t="s">
        <v>929</v>
      </c>
      <c r="D37" s="116" t="s">
        <v>29</v>
      </c>
      <c r="E37" s="31"/>
      <c r="F37" s="2">
        <v>15340</v>
      </c>
      <c r="G37" s="30"/>
      <c r="I37" s="13"/>
      <c r="J37" s="13"/>
    </row>
    <row r="38" spans="1:10" s="2" customFormat="1" ht="12.75" customHeight="1" x14ac:dyDescent="0.2">
      <c r="A38" s="89">
        <v>45065</v>
      </c>
      <c r="B38" s="91" t="s">
        <v>11</v>
      </c>
      <c r="C38" s="76" t="s">
        <v>34</v>
      </c>
      <c r="D38" s="116" t="s">
        <v>29</v>
      </c>
      <c r="E38" s="31"/>
      <c r="F38" s="2">
        <v>40000</v>
      </c>
      <c r="G38" s="30"/>
      <c r="I38" s="13"/>
      <c r="J38" s="13"/>
    </row>
    <row r="39" spans="1:10" s="2" customFormat="1" ht="12.75" customHeight="1" x14ac:dyDescent="0.2">
      <c r="A39" s="89">
        <v>45065</v>
      </c>
      <c r="B39" s="91" t="s">
        <v>11</v>
      </c>
      <c r="C39" s="76" t="s">
        <v>416</v>
      </c>
      <c r="D39" s="116" t="s">
        <v>29</v>
      </c>
      <c r="E39" s="31"/>
      <c r="F39" s="2">
        <v>1215015</v>
      </c>
      <c r="G39" s="30"/>
      <c r="I39" s="13"/>
      <c r="J39" s="13"/>
    </row>
    <row r="40" spans="1:10" s="2" customFormat="1" ht="12.75" customHeight="1" x14ac:dyDescent="0.2">
      <c r="A40" s="89">
        <v>45065</v>
      </c>
      <c r="B40" s="91" t="s">
        <v>11</v>
      </c>
      <c r="C40" s="76" t="s">
        <v>226</v>
      </c>
      <c r="D40" s="116" t="s">
        <v>29</v>
      </c>
      <c r="E40" s="31"/>
      <c r="F40" s="2">
        <v>42539</v>
      </c>
      <c r="G40" s="30"/>
      <c r="I40" s="13"/>
      <c r="J40" s="13"/>
    </row>
    <row r="41" spans="1:10" s="2" customFormat="1" ht="12.75" customHeight="1" x14ac:dyDescent="0.2">
      <c r="A41" s="89">
        <v>45065</v>
      </c>
      <c r="B41" s="91" t="s">
        <v>11</v>
      </c>
      <c r="C41" s="76" t="s">
        <v>481</v>
      </c>
      <c r="D41" s="116" t="s">
        <v>29</v>
      </c>
      <c r="E41" s="31"/>
      <c r="F41" s="2">
        <v>198604</v>
      </c>
      <c r="G41" s="30"/>
      <c r="I41" s="13"/>
      <c r="J41" s="13"/>
    </row>
    <row r="42" spans="1:10" s="2" customFormat="1" ht="12.75" customHeight="1" x14ac:dyDescent="0.2">
      <c r="A42" s="89">
        <v>45065</v>
      </c>
      <c r="B42" s="91" t="s">
        <v>11</v>
      </c>
      <c r="C42" s="76" t="s">
        <v>225</v>
      </c>
      <c r="D42" s="116" t="s">
        <v>29</v>
      </c>
      <c r="E42" s="31"/>
      <c r="F42" s="2">
        <v>183372</v>
      </c>
      <c r="G42" s="30"/>
      <c r="I42" s="13"/>
      <c r="J42" s="13"/>
    </row>
    <row r="43" spans="1:10" s="2" customFormat="1" ht="12.75" customHeight="1" x14ac:dyDescent="0.2">
      <c r="A43" s="89">
        <v>45065</v>
      </c>
      <c r="B43" s="91" t="s">
        <v>11</v>
      </c>
      <c r="C43" s="76" t="s">
        <v>117</v>
      </c>
      <c r="D43" s="116" t="s">
        <v>29</v>
      </c>
      <c r="E43" s="31"/>
      <c r="F43" s="2">
        <v>347418</v>
      </c>
      <c r="G43" s="30"/>
      <c r="I43" s="13"/>
      <c r="J43" s="13"/>
    </row>
    <row r="44" spans="1:10" s="2" customFormat="1" ht="12.75" customHeight="1" x14ac:dyDescent="0.2">
      <c r="A44" s="89">
        <v>45065</v>
      </c>
      <c r="B44" s="91" t="s">
        <v>11</v>
      </c>
      <c r="C44" s="76" t="s">
        <v>60</v>
      </c>
      <c r="D44" s="116" t="s">
        <v>29</v>
      </c>
      <c r="E44" s="31"/>
      <c r="F44" s="2">
        <v>40563</v>
      </c>
      <c r="G44" s="30"/>
      <c r="I44" s="13"/>
      <c r="J44" s="13"/>
    </row>
    <row r="45" spans="1:10" s="2" customFormat="1" ht="12.75" customHeight="1" x14ac:dyDescent="0.2">
      <c r="A45" s="89">
        <v>45065</v>
      </c>
      <c r="B45" s="91" t="s">
        <v>11</v>
      </c>
      <c r="C45" s="76" t="s">
        <v>392</v>
      </c>
      <c r="D45" s="116" t="s">
        <v>29</v>
      </c>
      <c r="E45" s="31"/>
      <c r="F45" s="2">
        <v>71060</v>
      </c>
      <c r="G45" s="30"/>
      <c r="I45" s="13"/>
      <c r="J45" s="13"/>
    </row>
    <row r="46" spans="1:10" s="2" customFormat="1" ht="12.75" customHeight="1" x14ac:dyDescent="0.2">
      <c r="A46" s="89">
        <v>45065</v>
      </c>
      <c r="B46" s="91" t="s">
        <v>11</v>
      </c>
      <c r="C46" s="76" t="s">
        <v>393</v>
      </c>
      <c r="D46" s="116" t="s">
        <v>29</v>
      </c>
      <c r="E46" s="31"/>
      <c r="F46" s="2">
        <v>56215</v>
      </c>
      <c r="G46" s="30"/>
      <c r="I46" s="13"/>
      <c r="J46" s="13"/>
    </row>
    <row r="47" spans="1:10" s="2" customFormat="1" ht="12.75" customHeight="1" x14ac:dyDescent="0.2">
      <c r="A47" s="89">
        <v>45065</v>
      </c>
      <c r="B47" s="91" t="s">
        <v>11</v>
      </c>
      <c r="C47" s="76" t="s">
        <v>747</v>
      </c>
      <c r="D47" s="116" t="s">
        <v>29</v>
      </c>
      <c r="E47" s="31"/>
      <c r="F47" s="2">
        <v>75000</v>
      </c>
      <c r="G47" s="30"/>
      <c r="I47" s="13"/>
      <c r="J47" s="13"/>
    </row>
    <row r="48" spans="1:10" s="2" customFormat="1" ht="12.75" customHeight="1" x14ac:dyDescent="0.2">
      <c r="A48" s="89">
        <v>45065</v>
      </c>
      <c r="B48" s="91" t="s">
        <v>11</v>
      </c>
      <c r="C48" s="76" t="s">
        <v>619</v>
      </c>
      <c r="D48" s="116" t="s">
        <v>29</v>
      </c>
      <c r="E48" s="31"/>
      <c r="F48" s="2">
        <v>5235</v>
      </c>
      <c r="G48" s="30"/>
      <c r="I48" s="13"/>
      <c r="J48" s="13"/>
    </row>
    <row r="49" spans="1:14" s="2" customFormat="1" ht="12.75" customHeight="1" x14ac:dyDescent="0.2">
      <c r="A49" s="89">
        <v>45065</v>
      </c>
      <c r="B49" s="91" t="s">
        <v>11</v>
      </c>
      <c r="C49" s="76" t="s">
        <v>337</v>
      </c>
      <c r="D49" s="116" t="s">
        <v>29</v>
      </c>
      <c r="E49" s="31"/>
      <c r="F49" s="2">
        <v>125280</v>
      </c>
      <c r="G49" s="30"/>
      <c r="I49" s="13"/>
      <c r="J49" s="13"/>
    </row>
    <row r="50" spans="1:14" s="2" customFormat="1" ht="12.75" customHeight="1" x14ac:dyDescent="0.2">
      <c r="A50" s="89">
        <v>45065</v>
      </c>
      <c r="B50" s="91" t="s">
        <v>11</v>
      </c>
      <c r="C50" s="76" t="s">
        <v>63</v>
      </c>
      <c r="D50" s="116" t="s">
        <v>29</v>
      </c>
      <c r="E50" s="31"/>
      <c r="F50" s="2">
        <v>1000000</v>
      </c>
      <c r="G50" s="30"/>
      <c r="I50" s="13"/>
      <c r="J50" s="13"/>
    </row>
    <row r="51" spans="1:14" s="2" customFormat="1" ht="12.75" customHeight="1" x14ac:dyDescent="0.2">
      <c r="A51" s="89">
        <v>45065</v>
      </c>
      <c r="B51" s="91" t="s">
        <v>11</v>
      </c>
      <c r="C51" s="76" t="s">
        <v>269</v>
      </c>
      <c r="D51" s="116" t="s">
        <v>29</v>
      </c>
      <c r="E51" s="31"/>
      <c r="F51" s="2">
        <v>5008706</v>
      </c>
      <c r="G51" s="30"/>
      <c r="I51" s="13"/>
      <c r="J51" s="13"/>
    </row>
    <row r="52" spans="1:14" s="2" customFormat="1" ht="12.75" customHeight="1" x14ac:dyDescent="0.2">
      <c r="A52" s="89">
        <v>45065</v>
      </c>
      <c r="B52" s="91" t="s">
        <v>11</v>
      </c>
      <c r="C52" s="76" t="s">
        <v>55</v>
      </c>
      <c r="D52" s="116" t="s">
        <v>29</v>
      </c>
      <c r="E52" s="31"/>
      <c r="F52" s="2">
        <v>24188</v>
      </c>
      <c r="G52" s="30"/>
      <c r="I52" s="13"/>
      <c r="J52" s="13"/>
    </row>
    <row r="53" spans="1:14" s="2" customFormat="1" ht="12.75" customHeight="1" x14ac:dyDescent="0.2">
      <c r="A53" s="89">
        <v>45065</v>
      </c>
      <c r="B53" s="91" t="s">
        <v>11</v>
      </c>
      <c r="C53" s="76" t="s">
        <v>696</v>
      </c>
      <c r="D53" s="116" t="s">
        <v>29</v>
      </c>
      <c r="E53" s="31"/>
      <c r="F53" s="2">
        <v>1178744</v>
      </c>
      <c r="G53" s="30"/>
      <c r="I53" s="13"/>
      <c r="J53" s="13"/>
    </row>
    <row r="54" spans="1:14" s="2" customFormat="1" ht="12.75" customHeight="1" x14ac:dyDescent="0.2">
      <c r="A54" s="89">
        <v>45065</v>
      </c>
      <c r="B54" s="91" t="s">
        <v>11</v>
      </c>
      <c r="C54" s="76" t="s">
        <v>987</v>
      </c>
      <c r="D54" s="116" t="s">
        <v>29</v>
      </c>
      <c r="E54" s="31"/>
      <c r="F54" s="2">
        <v>51920</v>
      </c>
      <c r="G54" s="30"/>
      <c r="I54" s="13"/>
      <c r="J54" s="13"/>
    </row>
    <row r="55" spans="1:14" s="2" customFormat="1" ht="12.75" customHeight="1" x14ac:dyDescent="0.2">
      <c r="A55" s="89">
        <v>45065</v>
      </c>
      <c r="B55" s="91" t="s">
        <v>11</v>
      </c>
      <c r="C55" s="76" t="s">
        <v>635</v>
      </c>
      <c r="D55" s="116" t="s">
        <v>29</v>
      </c>
      <c r="E55" s="31"/>
      <c r="F55" s="2">
        <v>543817</v>
      </c>
      <c r="G55" s="30"/>
      <c r="I55" s="13"/>
      <c r="J55" s="13"/>
    </row>
    <row r="56" spans="1:14" s="2" customFormat="1" ht="12.75" customHeight="1" x14ac:dyDescent="0.2">
      <c r="A56" s="89">
        <v>45065</v>
      </c>
      <c r="B56" s="91" t="s">
        <v>11</v>
      </c>
      <c r="C56" s="76" t="s">
        <v>650</v>
      </c>
      <c r="D56" s="116" t="s">
        <v>29</v>
      </c>
      <c r="E56" s="31"/>
      <c r="F56" s="2">
        <v>778620</v>
      </c>
      <c r="G56" s="30"/>
      <c r="I56" s="13"/>
      <c r="J56" s="13"/>
    </row>
    <row r="57" spans="1:14" s="2" customFormat="1" ht="12.75" customHeight="1" x14ac:dyDescent="0.2">
      <c r="A57" s="89">
        <v>45065</v>
      </c>
      <c r="B57" s="91" t="s">
        <v>11</v>
      </c>
      <c r="C57" s="76" t="s">
        <v>99</v>
      </c>
      <c r="D57" s="116" t="s">
        <v>29</v>
      </c>
      <c r="E57" s="31"/>
      <c r="F57" s="2">
        <v>21120</v>
      </c>
      <c r="G57" s="30"/>
      <c r="I57" s="13"/>
      <c r="J57" s="13" t="s">
        <v>601</v>
      </c>
      <c r="K57" s="99" t="s">
        <v>779</v>
      </c>
    </row>
    <row r="58" spans="1:14" s="2" customFormat="1" ht="12.75" customHeight="1" x14ac:dyDescent="0.25">
      <c r="A58" s="32"/>
      <c r="B58" s="33"/>
      <c r="C58" s="14"/>
      <c r="D58" s="34"/>
      <c r="E58" s="16">
        <f>SUM(E12:E57)</f>
        <v>17135484.170000002</v>
      </c>
      <c r="F58" s="16">
        <f>SUM(F12:F57)</f>
        <v>321085399.23999995</v>
      </c>
      <c r="G58" s="30"/>
      <c r="H58" s="1"/>
      <c r="I58" s="39">
        <v>309931531.06999999</v>
      </c>
      <c r="J58" s="2">
        <v>5555565</v>
      </c>
      <c r="K58" s="92">
        <f>E59-I58</f>
        <v>-5981616.0000000596</v>
      </c>
      <c r="L58" s="41"/>
      <c r="M58" s="42">
        <f>K58+J58</f>
        <v>-426051.0000000596</v>
      </c>
      <c r="N58" s="1"/>
    </row>
    <row r="59" spans="1:14" s="2" customFormat="1" x14ac:dyDescent="0.2">
      <c r="A59" s="36"/>
      <c r="B59" s="28" t="s">
        <v>11</v>
      </c>
      <c r="C59" s="19" t="s">
        <v>65</v>
      </c>
      <c r="D59" s="37"/>
      <c r="E59" s="38">
        <f>F58-E58</f>
        <v>303949915.06999993</v>
      </c>
      <c r="F59" s="22"/>
      <c r="G59" s="1"/>
      <c r="H59" s="1"/>
      <c r="J59" s="1"/>
      <c r="K59" s="1"/>
      <c r="L59" s="1"/>
      <c r="M59" s="1"/>
      <c r="N59" s="1"/>
    </row>
    <row r="60" spans="1:14" x14ac:dyDescent="0.2">
      <c r="A60" s="36"/>
      <c r="B60" s="28" t="s">
        <v>66</v>
      </c>
      <c r="C60" s="43" t="s">
        <v>67</v>
      </c>
      <c r="D60" s="43"/>
      <c r="E60" s="12">
        <v>29316181</v>
      </c>
      <c r="F60" s="22"/>
      <c r="H60" s="40"/>
      <c r="I60" s="45">
        <v>2151.5100000000002</v>
      </c>
      <c r="J60" s="46"/>
      <c r="K60" s="46"/>
      <c r="L60" s="13"/>
      <c r="M60" s="2"/>
      <c r="N60" s="2"/>
    </row>
    <row r="61" spans="1:14" ht="15" x14ac:dyDescent="0.25">
      <c r="A61" s="36"/>
      <c r="B61" s="28"/>
      <c r="C61" s="44" t="s">
        <v>68</v>
      </c>
      <c r="D61" s="43"/>
      <c r="E61" s="7">
        <f>E59+E60</f>
        <v>333266096.06999993</v>
      </c>
      <c r="F61" s="22"/>
      <c r="H61" s="103" t="s">
        <v>69</v>
      </c>
      <c r="I61" s="45">
        <v>-82.83</v>
      </c>
      <c r="J61" s="46"/>
      <c r="K61" s="46"/>
      <c r="L61" s="2"/>
      <c r="M61" s="2"/>
      <c r="N61" s="2"/>
    </row>
    <row r="62" spans="1:14" s="2" customFormat="1" x14ac:dyDescent="0.2">
      <c r="A62" s="24"/>
      <c r="B62" s="1"/>
      <c r="C62" s="14"/>
      <c r="D62" s="25"/>
      <c r="E62" s="1"/>
      <c r="H62" s="35" t="s">
        <v>70</v>
      </c>
      <c r="I62" s="45">
        <v>0</v>
      </c>
      <c r="J62" s="46">
        <f>+I63-D65</f>
        <v>0</v>
      </c>
      <c r="M62" s="2">
        <v>19.57</v>
      </c>
      <c r="N62" s="2" t="s">
        <v>535</v>
      </c>
    </row>
    <row r="63" spans="1:14" s="2" customFormat="1" x14ac:dyDescent="0.2">
      <c r="A63" s="24"/>
      <c r="B63" s="1"/>
      <c r="C63" s="56"/>
      <c r="D63" s="56"/>
      <c r="E63" s="104"/>
      <c r="G63" s="1"/>
      <c r="I63" s="49">
        <f>SUM(I60:I62)</f>
        <v>2068.6800000000003</v>
      </c>
      <c r="J63" s="46"/>
      <c r="K63" s="46"/>
    </row>
    <row r="64" spans="1:14" s="2" customFormat="1" x14ac:dyDescent="0.2">
      <c r="A64" s="24"/>
      <c r="B64" s="1"/>
      <c r="C64" s="78" t="s">
        <v>575</v>
      </c>
      <c r="D64" s="48" t="s">
        <v>576</v>
      </c>
      <c r="E64" s="104"/>
      <c r="G64" s="1"/>
    </row>
    <row r="65" spans="1:13" s="2" customFormat="1" x14ac:dyDescent="0.2">
      <c r="A65" s="24"/>
      <c r="B65" s="1"/>
      <c r="C65" s="47" t="s">
        <v>570</v>
      </c>
      <c r="D65" s="111">
        <v>2068.6799999999998</v>
      </c>
      <c r="E65" s="104"/>
      <c r="G65" s="1"/>
      <c r="H65" s="110" t="s">
        <v>581</v>
      </c>
    </row>
    <row r="66" spans="1:13" s="2" customFormat="1" x14ac:dyDescent="0.2">
      <c r="A66" s="24"/>
      <c r="B66" s="1"/>
      <c r="C66" s="47" t="s">
        <v>931</v>
      </c>
      <c r="D66" s="111">
        <v>329.07</v>
      </c>
      <c r="E66" s="104"/>
      <c r="G66" s="1"/>
      <c r="H66" s="110" t="s">
        <v>580</v>
      </c>
    </row>
    <row r="67" spans="1:13" s="2" customFormat="1" x14ac:dyDescent="0.2">
      <c r="A67" s="24"/>
      <c r="B67" s="1"/>
      <c r="C67" s="47" t="s">
        <v>572</v>
      </c>
      <c r="D67" s="111">
        <f>+D102/100000</f>
        <v>421.27113000000003</v>
      </c>
      <c r="E67" s="104"/>
      <c r="G67" s="1"/>
      <c r="H67" s="90" t="s">
        <v>587</v>
      </c>
    </row>
    <row r="68" spans="1:13" s="2" customFormat="1" x14ac:dyDescent="0.2">
      <c r="A68" s="24"/>
      <c r="B68" s="1"/>
      <c r="C68" s="108" t="s">
        <v>578</v>
      </c>
      <c r="D68" s="48">
        <f>SUM(D65:D67)</f>
        <v>2819.0211300000001</v>
      </c>
      <c r="E68" s="104"/>
      <c r="G68" s="1"/>
    </row>
    <row r="69" spans="1:13" s="2" customFormat="1" x14ac:dyDescent="0.2">
      <c r="A69" s="24"/>
      <c r="B69" s="1"/>
      <c r="C69" s="47"/>
      <c r="D69" s="107"/>
      <c r="E69" s="104"/>
      <c r="G69" s="1"/>
    </row>
    <row r="70" spans="1:13" s="2" customFormat="1" x14ac:dyDescent="0.2">
      <c r="A70" s="24"/>
      <c r="B70" s="1"/>
      <c r="C70" s="47" t="s">
        <v>932</v>
      </c>
      <c r="D70" s="111">
        <v>561.27</v>
      </c>
      <c r="E70" s="104"/>
      <c r="G70" s="1"/>
      <c r="H70" s="110" t="s">
        <v>581</v>
      </c>
    </row>
    <row r="71" spans="1:13" s="2" customFormat="1" x14ac:dyDescent="0.2">
      <c r="A71" s="24"/>
      <c r="B71" s="1"/>
      <c r="C71" s="47" t="s">
        <v>933</v>
      </c>
      <c r="D71" s="111">
        <f>436.28-14.66</f>
        <v>421.61999999999995</v>
      </c>
      <c r="E71" s="104"/>
      <c r="G71" s="1"/>
      <c r="H71" s="110" t="s">
        <v>581</v>
      </c>
      <c r="J71" s="114" t="s">
        <v>713</v>
      </c>
    </row>
    <row r="72" spans="1:13" s="2" customFormat="1" x14ac:dyDescent="0.2">
      <c r="A72" s="24"/>
      <c r="B72" s="1"/>
      <c r="C72" s="78" t="s">
        <v>579</v>
      </c>
      <c r="D72" s="109">
        <f>D70+D71</f>
        <v>982.88999999999987</v>
      </c>
      <c r="E72" s="104"/>
      <c r="G72" s="1"/>
      <c r="I72" s="113"/>
      <c r="J72" s="113" t="s">
        <v>709</v>
      </c>
      <c r="K72" s="113" t="s">
        <v>710</v>
      </c>
      <c r="L72" s="113" t="s">
        <v>711</v>
      </c>
      <c r="M72" s="113" t="s">
        <v>712</v>
      </c>
    </row>
    <row r="73" spans="1:13" s="2" customFormat="1" x14ac:dyDescent="0.2">
      <c r="A73" s="24"/>
      <c r="B73" s="1"/>
      <c r="C73" s="105"/>
      <c r="D73" s="106"/>
      <c r="E73" s="104"/>
      <c r="G73" s="1"/>
      <c r="I73" s="113" t="s">
        <v>706</v>
      </c>
      <c r="J73" s="115"/>
      <c r="K73" s="115">
        <v>968.99</v>
      </c>
      <c r="L73" s="115">
        <v>968.99</v>
      </c>
      <c r="M73" s="113">
        <f>+J73+L73-K73</f>
        <v>0</v>
      </c>
    </row>
    <row r="74" spans="1:13" s="2" customFormat="1" x14ac:dyDescent="0.2">
      <c r="A74" s="24"/>
      <c r="B74" s="1"/>
      <c r="C74" s="78" t="s">
        <v>577</v>
      </c>
      <c r="D74" s="109">
        <f>D65+D72</f>
        <v>3051.5699999999997</v>
      </c>
      <c r="E74" s="104"/>
      <c r="G74" s="1"/>
      <c r="I74" s="113" t="s">
        <v>707</v>
      </c>
      <c r="J74" s="115">
        <v>183.1</v>
      </c>
      <c r="K74" s="115">
        <v>1846.46</v>
      </c>
      <c r="L74" s="115">
        <v>2734.65</v>
      </c>
      <c r="M74" s="113">
        <f>+J74+L74-K74</f>
        <v>1071.29</v>
      </c>
    </row>
    <row r="75" spans="1:13" s="2" customFormat="1" x14ac:dyDescent="0.2">
      <c r="A75" s="24"/>
      <c r="B75" s="1"/>
      <c r="C75" s="56"/>
      <c r="D75" s="56"/>
      <c r="E75" s="104"/>
      <c r="G75" s="1"/>
      <c r="I75" s="113" t="s">
        <v>708</v>
      </c>
      <c r="J75" s="115">
        <v>1371.02</v>
      </c>
      <c r="K75" s="115">
        <v>11117.74</v>
      </c>
      <c r="L75" s="115">
        <v>11460.53</v>
      </c>
      <c r="M75" s="113">
        <f>+J75+L75-K75</f>
        <v>1713.8100000000013</v>
      </c>
    </row>
    <row r="76" spans="1:13" s="2" customFormat="1" ht="38.25" x14ac:dyDescent="0.2">
      <c r="A76" s="24"/>
      <c r="B76" s="1"/>
      <c r="C76" s="79" t="str">
        <f>"Particulars ( 01-04-2021 to "&amp;TEXT(A5,"dd-mm-yyyy")&amp;" )"</f>
        <v>Particulars ( 01-04-2021 to 19-05-2023 )</v>
      </c>
      <c r="D76" s="80" t="s">
        <v>73</v>
      </c>
      <c r="E76" s="80" t="s">
        <v>74</v>
      </c>
      <c r="F76" s="81" t="s">
        <v>75</v>
      </c>
      <c r="G76" s="80" t="s">
        <v>76</v>
      </c>
      <c r="J76" s="118">
        <f>SUM(J73:J75)</f>
        <v>1554.12</v>
      </c>
      <c r="K76" s="118">
        <f>SUM(K73:K75)</f>
        <v>13933.189999999999</v>
      </c>
      <c r="L76" s="118">
        <f>SUM(L73:L75)</f>
        <v>15164.170000000002</v>
      </c>
      <c r="M76" s="118">
        <f>SUM(M73:M75)</f>
        <v>2785.1000000000013</v>
      </c>
    </row>
    <row r="77" spans="1:13" s="2" customFormat="1" x14ac:dyDescent="0.2">
      <c r="A77" s="24"/>
      <c r="B77" s="1"/>
      <c r="C77" s="50" t="s">
        <v>444</v>
      </c>
      <c r="D77" s="55">
        <f>+L73+L74+J74</f>
        <v>3886.7400000000002</v>
      </c>
      <c r="E77" s="55">
        <f>+K73+K74</f>
        <v>2815.45</v>
      </c>
      <c r="F77" s="55">
        <f>+D77-E77</f>
        <v>1071.2900000000004</v>
      </c>
      <c r="G77" s="55">
        <f>1500-F77</f>
        <v>428.70999999999958</v>
      </c>
      <c r="H77" s="2" t="s">
        <v>396</v>
      </c>
    </row>
    <row r="78" spans="1:13" s="2" customFormat="1" x14ac:dyDescent="0.2">
      <c r="A78" s="24"/>
      <c r="B78" s="1"/>
      <c r="C78" s="50" t="s">
        <v>71</v>
      </c>
      <c r="D78" s="55">
        <f>+J75+L75</f>
        <v>12831.550000000001</v>
      </c>
      <c r="E78" s="55">
        <f>+K75</f>
        <v>11117.74</v>
      </c>
      <c r="F78" s="55">
        <f>+D78-E78</f>
        <v>1713.8100000000013</v>
      </c>
      <c r="G78" s="55">
        <f>1500+700-F78</f>
        <v>486.18999999999869</v>
      </c>
      <c r="H78" s="2" t="s">
        <v>396</v>
      </c>
    </row>
    <row r="79" spans="1:13" s="2" customFormat="1" x14ac:dyDescent="0.2">
      <c r="A79" s="24"/>
      <c r="B79" s="1"/>
      <c r="C79" s="14"/>
      <c r="D79" s="56"/>
      <c r="E79" s="13"/>
      <c r="G79" s="1"/>
    </row>
    <row r="80" spans="1:13" s="2" customFormat="1" x14ac:dyDescent="0.2">
      <c r="A80" s="215" t="s">
        <v>80</v>
      </c>
      <c r="B80" s="216"/>
      <c r="C80" s="216"/>
      <c r="D80" s="217"/>
      <c r="E80" s="69"/>
      <c r="F80" s="70"/>
      <c r="G80" s="1"/>
      <c r="H80" s="53"/>
    </row>
    <row r="81" spans="1:13" s="2" customFormat="1" x14ac:dyDescent="0.2">
      <c r="A81" s="71" t="s">
        <v>81</v>
      </c>
      <c r="B81" s="71"/>
      <c r="C81" s="72" t="s">
        <v>82</v>
      </c>
      <c r="D81" s="73" t="s">
        <v>83</v>
      </c>
      <c r="E81" s="69"/>
      <c r="F81" s="70"/>
      <c r="H81" s="53"/>
    </row>
    <row r="82" spans="1:13" s="2" customFormat="1" x14ac:dyDescent="0.2">
      <c r="A82" s="87">
        <v>45050</v>
      </c>
      <c r="B82" s="120" t="s">
        <v>6</v>
      </c>
      <c r="C82" s="75" t="s">
        <v>282</v>
      </c>
      <c r="D82" s="88">
        <v>1562637</v>
      </c>
      <c r="G82" s="1"/>
      <c r="L82" s="1"/>
      <c r="M82" s="1"/>
    </row>
    <row r="83" spans="1:13" s="2" customFormat="1" x14ac:dyDescent="0.2">
      <c r="A83" s="87">
        <v>45050</v>
      </c>
      <c r="B83" s="120" t="s">
        <v>6</v>
      </c>
      <c r="C83" s="75" t="s">
        <v>86</v>
      </c>
      <c r="D83" s="88">
        <v>2499321</v>
      </c>
      <c r="G83" s="1"/>
      <c r="L83" s="1"/>
      <c r="M83" s="1"/>
    </row>
    <row r="84" spans="1:13" s="2" customFormat="1" x14ac:dyDescent="0.2">
      <c r="A84" s="87">
        <v>45050</v>
      </c>
      <c r="B84" s="120" t="s">
        <v>6</v>
      </c>
      <c r="C84" s="75" t="s">
        <v>86</v>
      </c>
      <c r="D84" s="88">
        <v>6876102</v>
      </c>
      <c r="G84" s="1"/>
      <c r="L84" s="1"/>
      <c r="M84" s="1"/>
    </row>
    <row r="85" spans="1:13" s="2" customFormat="1" x14ac:dyDescent="0.2">
      <c r="A85" s="87">
        <v>45052</v>
      </c>
      <c r="B85" s="120" t="s">
        <v>6</v>
      </c>
      <c r="C85" s="75" t="s">
        <v>270</v>
      </c>
      <c r="D85" s="88">
        <v>1124141</v>
      </c>
      <c r="G85" s="1"/>
      <c r="L85" s="1"/>
      <c r="M85" s="1"/>
    </row>
    <row r="86" spans="1:13" s="2" customFormat="1" x14ac:dyDescent="0.2">
      <c r="A86" s="87">
        <v>45054</v>
      </c>
      <c r="B86" s="120" t="s">
        <v>6</v>
      </c>
      <c r="C86" s="75" t="s">
        <v>271</v>
      </c>
      <c r="D86" s="88">
        <v>476726</v>
      </c>
      <c r="G86" s="1"/>
      <c r="L86" s="1"/>
      <c r="M86" s="1"/>
    </row>
    <row r="87" spans="1:13" s="2" customFormat="1" x14ac:dyDescent="0.2">
      <c r="A87" s="87">
        <v>45054</v>
      </c>
      <c r="B87" s="120" t="s">
        <v>6</v>
      </c>
      <c r="C87" s="75" t="s">
        <v>271</v>
      </c>
      <c r="D87" s="88">
        <v>926688</v>
      </c>
      <c r="G87" s="1"/>
      <c r="L87" s="1"/>
      <c r="M87" s="1"/>
    </row>
    <row r="88" spans="1:13" s="2" customFormat="1" x14ac:dyDescent="0.2">
      <c r="A88" s="87">
        <v>45054</v>
      </c>
      <c r="B88" s="120" t="s">
        <v>6</v>
      </c>
      <c r="C88" s="75" t="s">
        <v>606</v>
      </c>
      <c r="D88" s="88">
        <v>1844917</v>
      </c>
      <c r="G88" s="1"/>
      <c r="L88" s="1"/>
      <c r="M88" s="1"/>
    </row>
    <row r="89" spans="1:13" s="2" customFormat="1" x14ac:dyDescent="0.2">
      <c r="A89" s="87">
        <v>45054</v>
      </c>
      <c r="B89" s="120" t="s">
        <v>6</v>
      </c>
      <c r="C89" s="75" t="s">
        <v>271</v>
      </c>
      <c r="D89" s="88">
        <v>1640794</v>
      </c>
      <c r="G89" s="1"/>
      <c r="L89" s="1"/>
      <c r="M89" s="1"/>
    </row>
    <row r="90" spans="1:13" s="2" customFormat="1" x14ac:dyDescent="0.2">
      <c r="A90" s="87">
        <v>45055</v>
      </c>
      <c r="B90" s="120" t="s">
        <v>6</v>
      </c>
      <c r="C90" s="75" t="s">
        <v>84</v>
      </c>
      <c r="D90" s="88">
        <v>2000000</v>
      </c>
      <c r="G90" s="1"/>
      <c r="L90" s="1"/>
      <c r="M90" s="1"/>
    </row>
    <row r="91" spans="1:13" s="2" customFormat="1" x14ac:dyDescent="0.2">
      <c r="A91" s="87">
        <v>45055</v>
      </c>
      <c r="B91" s="120" t="s">
        <v>6</v>
      </c>
      <c r="C91" s="75" t="s">
        <v>87</v>
      </c>
      <c r="D91" s="88">
        <v>2540563</v>
      </c>
      <c r="G91" s="1"/>
      <c r="L91" s="1"/>
      <c r="M91" s="1"/>
    </row>
    <row r="92" spans="1:13" s="2" customFormat="1" x14ac:dyDescent="0.2">
      <c r="A92" s="87">
        <v>45055</v>
      </c>
      <c r="B92" s="120" t="s">
        <v>6</v>
      </c>
      <c r="C92" s="75" t="s">
        <v>767</v>
      </c>
      <c r="D92" s="88">
        <v>950137</v>
      </c>
      <c r="G92" s="1"/>
      <c r="L92" s="1"/>
      <c r="M92" s="1"/>
    </row>
    <row r="93" spans="1:13" s="2" customFormat="1" x14ac:dyDescent="0.2">
      <c r="A93" s="87">
        <v>45056</v>
      </c>
      <c r="B93" s="120" t="s">
        <v>6</v>
      </c>
      <c r="C93" s="75" t="s">
        <v>271</v>
      </c>
      <c r="D93" s="88">
        <v>242417</v>
      </c>
      <c r="G93" s="1"/>
      <c r="L93" s="1"/>
      <c r="M93" s="1"/>
    </row>
    <row r="94" spans="1:13" s="2" customFormat="1" x14ac:dyDescent="0.2">
      <c r="A94" s="87">
        <v>45056</v>
      </c>
      <c r="B94" s="120" t="s">
        <v>6</v>
      </c>
      <c r="C94" s="75" t="s">
        <v>271</v>
      </c>
      <c r="D94" s="88">
        <v>674909</v>
      </c>
      <c r="G94" s="1"/>
      <c r="L94" s="1"/>
      <c r="M94" s="1"/>
    </row>
    <row r="95" spans="1:13" s="2" customFormat="1" x14ac:dyDescent="0.2">
      <c r="A95" s="87">
        <v>45056</v>
      </c>
      <c r="B95" s="120" t="s">
        <v>6</v>
      </c>
      <c r="C95" s="75" t="s">
        <v>271</v>
      </c>
      <c r="D95" s="88">
        <v>969371</v>
      </c>
      <c r="G95" s="1"/>
      <c r="L95" s="1"/>
      <c r="M95" s="1"/>
    </row>
    <row r="96" spans="1:13" s="2" customFormat="1" x14ac:dyDescent="0.2">
      <c r="A96" s="87">
        <v>45058</v>
      </c>
      <c r="B96" s="120" t="s">
        <v>6</v>
      </c>
      <c r="C96" s="75" t="s">
        <v>271</v>
      </c>
      <c r="D96" s="88">
        <v>650439</v>
      </c>
      <c r="G96" s="1"/>
      <c r="L96" s="1"/>
      <c r="M96" s="1"/>
    </row>
    <row r="97" spans="1:13" s="2" customFormat="1" x14ac:dyDescent="0.2">
      <c r="A97" s="87">
        <v>45058</v>
      </c>
      <c r="B97" s="120" t="s">
        <v>6</v>
      </c>
      <c r="C97" s="75" t="s">
        <v>271</v>
      </c>
      <c r="D97" s="88">
        <v>432067</v>
      </c>
      <c r="G97" s="1"/>
      <c r="L97" s="1"/>
      <c r="M97" s="1"/>
    </row>
    <row r="98" spans="1:13" s="2" customFormat="1" x14ac:dyDescent="0.2">
      <c r="A98" s="87">
        <v>45058</v>
      </c>
      <c r="B98" s="120" t="s">
        <v>6</v>
      </c>
      <c r="C98" s="75" t="s">
        <v>271</v>
      </c>
      <c r="D98" s="88">
        <v>412906</v>
      </c>
      <c r="G98" s="1"/>
      <c r="L98" s="1"/>
      <c r="M98" s="1"/>
    </row>
    <row r="99" spans="1:13" s="2" customFormat="1" x14ac:dyDescent="0.2">
      <c r="A99" s="87">
        <v>45061</v>
      </c>
      <c r="B99" s="120" t="s">
        <v>6</v>
      </c>
      <c r="C99" s="75" t="s">
        <v>282</v>
      </c>
      <c r="D99" s="88">
        <v>7500000</v>
      </c>
      <c r="G99" s="1"/>
      <c r="L99" s="1"/>
      <c r="M99" s="1"/>
    </row>
    <row r="100" spans="1:13" s="2" customFormat="1" x14ac:dyDescent="0.2">
      <c r="A100" s="87">
        <v>45062</v>
      </c>
      <c r="B100" s="120" t="s">
        <v>6</v>
      </c>
      <c r="C100" s="75" t="s">
        <v>86</v>
      </c>
      <c r="D100" s="88">
        <v>3769130</v>
      </c>
      <c r="G100" s="1"/>
      <c r="L100" s="1"/>
      <c r="M100" s="1"/>
    </row>
    <row r="101" spans="1:13" s="2" customFormat="1" x14ac:dyDescent="0.2">
      <c r="A101" s="87">
        <v>45063</v>
      </c>
      <c r="B101" s="120" t="s">
        <v>6</v>
      </c>
      <c r="C101" s="75" t="s">
        <v>84</v>
      </c>
      <c r="D101" s="88">
        <v>5033848</v>
      </c>
      <c r="G101" s="1"/>
      <c r="L101" s="1"/>
      <c r="M101" s="1"/>
    </row>
    <row r="102" spans="1:13" s="2" customFormat="1" x14ac:dyDescent="0.2">
      <c r="A102" s="87"/>
      <c r="B102" s="74"/>
      <c r="C102" s="75"/>
      <c r="D102" s="51">
        <f>SUM(D82:D101)</f>
        <v>42127113</v>
      </c>
      <c r="F102" s="2" t="s">
        <v>396</v>
      </c>
      <c r="G102" s="1"/>
      <c r="I102" s="1"/>
      <c r="J102" s="1"/>
      <c r="K102" s="1"/>
      <c r="L102" s="1"/>
      <c r="M102" s="1"/>
    </row>
    <row r="103" spans="1:13" s="2" customFormat="1" x14ac:dyDescent="0.2">
      <c r="A103" s="24"/>
      <c r="B103" s="1"/>
      <c r="C103" s="14"/>
      <c r="D103" s="56"/>
      <c r="E103" s="13"/>
      <c r="G103" s="1"/>
    </row>
    <row r="104" spans="1:13" s="2" customFormat="1" x14ac:dyDescent="0.2">
      <c r="A104" s="24"/>
      <c r="B104" s="1"/>
      <c r="C104" s="218" t="s">
        <v>77</v>
      </c>
      <c r="D104" s="219"/>
      <c r="E104" s="219"/>
      <c r="F104" s="220"/>
      <c r="G104" s="54"/>
      <c r="I104" s="1"/>
      <c r="J104" s="1"/>
      <c r="K104" s="1"/>
      <c r="L104" s="1"/>
      <c r="M104" s="1"/>
    </row>
    <row r="105" spans="1:13" s="2" customFormat="1" x14ac:dyDescent="0.2">
      <c r="A105" s="24"/>
      <c r="B105" s="1"/>
      <c r="C105" s="50"/>
      <c r="D105" s="57" t="s">
        <v>78</v>
      </c>
      <c r="E105" s="58" t="s">
        <v>79</v>
      </c>
      <c r="F105" s="57" t="s">
        <v>72</v>
      </c>
      <c r="G105" s="54"/>
      <c r="I105" s="1"/>
      <c r="J105" s="1"/>
      <c r="K105" s="1"/>
      <c r="L105" s="1"/>
      <c r="M105" s="1"/>
    </row>
    <row r="106" spans="1:13" s="2" customFormat="1" x14ac:dyDescent="0.2">
      <c r="A106" s="24"/>
      <c r="B106" s="1"/>
      <c r="C106" s="59" t="str">
        <f>"01-05-2023 to "&amp;TEXT(A5-2,"dd-mm-yyyy")</f>
        <v>01-05-2023 to 17-05-2023</v>
      </c>
      <c r="D106" s="60">
        <v>2341.0100000000002</v>
      </c>
      <c r="E106" s="60">
        <v>188.83</v>
      </c>
      <c r="F106" s="61">
        <f>SUM(D106:E106)</f>
        <v>2529.84</v>
      </c>
      <c r="G106" s="54"/>
      <c r="I106" s="1"/>
      <c r="J106" s="1"/>
      <c r="K106" s="1"/>
      <c r="L106" s="1"/>
      <c r="M106" s="1"/>
    </row>
    <row r="107" spans="1:13" s="2" customFormat="1" x14ac:dyDescent="0.2">
      <c r="A107" s="24"/>
      <c r="B107" s="1"/>
      <c r="C107" s="62" t="str">
        <f>TEXT(A5-1,"dd-mm-yyyy")</f>
        <v>18-05-2023</v>
      </c>
      <c r="D107" s="60">
        <v>188.48</v>
      </c>
      <c r="E107" s="60">
        <v>20.59</v>
      </c>
      <c r="F107" s="61">
        <f>SUM(D107:E107)</f>
        <v>209.07</v>
      </c>
      <c r="G107" s="54"/>
      <c r="I107" s="1"/>
      <c r="J107" s="1"/>
      <c r="K107" s="1"/>
      <c r="L107" s="1"/>
      <c r="M107" s="1"/>
    </row>
    <row r="108" spans="1:13" ht="13.5" thickBot="1" x14ac:dyDescent="0.25">
      <c r="C108" s="63" t="str">
        <f>"01-05-2023 to "&amp;TEXT(A5-1,"dd-mm-yyyy")</f>
        <v>01-05-2023 to 18-05-2023</v>
      </c>
      <c r="D108" s="64">
        <f>SUM(D106:D107)</f>
        <v>2529.4900000000002</v>
      </c>
      <c r="E108" s="64">
        <f>SUM(E106:E107)</f>
        <v>209.42000000000002</v>
      </c>
      <c r="F108" s="64">
        <f>SUM(F106:F107)</f>
        <v>2738.9100000000003</v>
      </c>
      <c r="G108" s="54"/>
      <c r="H108" s="2" t="s">
        <v>396</v>
      </c>
    </row>
    <row r="109" spans="1:13" s="2" customFormat="1" ht="13.5" thickTop="1" x14ac:dyDescent="0.2">
      <c r="A109" s="24"/>
      <c r="B109" s="1"/>
      <c r="C109" s="62"/>
      <c r="D109" s="65"/>
      <c r="E109" s="66"/>
      <c r="F109" s="67"/>
      <c r="G109" s="54"/>
      <c r="H109" s="53"/>
    </row>
    <row r="110" spans="1:13" x14ac:dyDescent="0.2">
      <c r="C110" s="62" t="str">
        <f>"01-04-2023 to " &amp;C107</f>
        <v>01-04-2023 to 18-05-2023</v>
      </c>
      <c r="D110" s="68">
        <f>+D108+4343.67</f>
        <v>6873.16</v>
      </c>
      <c r="E110" s="68">
        <f>+E108+536.17</f>
        <v>745.58999999999992</v>
      </c>
      <c r="F110" s="68">
        <f>+F108+4879.84</f>
        <v>7618.75</v>
      </c>
      <c r="G110" s="54"/>
      <c r="H110" s="53" t="s">
        <v>396</v>
      </c>
    </row>
    <row r="111" spans="1:13" x14ac:dyDescent="0.2">
      <c r="C111" s="52"/>
      <c r="D111" s="85"/>
      <c r="E111" s="53"/>
      <c r="F111" s="53"/>
      <c r="G111" s="54"/>
      <c r="H111" s="53" t="s">
        <v>396</v>
      </c>
      <c r="J111" s="42"/>
    </row>
    <row r="112" spans="1:13" x14ac:dyDescent="0.2">
      <c r="C112" s="52"/>
      <c r="D112" s="85"/>
      <c r="E112" s="53"/>
      <c r="F112" s="53"/>
      <c r="G112" s="54"/>
      <c r="H112" s="53"/>
      <c r="I112" s="101"/>
    </row>
    <row r="113" spans="3:8" x14ac:dyDescent="0.2">
      <c r="C113" s="52"/>
      <c r="D113" s="85"/>
      <c r="E113" s="53"/>
      <c r="F113" s="53"/>
      <c r="G113" s="54"/>
      <c r="H113" s="53"/>
    </row>
    <row r="114" spans="3:8" x14ac:dyDescent="0.2">
      <c r="C114" s="52"/>
      <c r="D114" s="85"/>
      <c r="E114" s="53"/>
      <c r="F114" s="53"/>
      <c r="G114" s="54"/>
      <c r="H114" s="53"/>
    </row>
    <row r="115" spans="3:8" x14ac:dyDescent="0.2">
      <c r="H115" s="53"/>
    </row>
  </sheetData>
  <mergeCells count="5">
    <mergeCell ref="A1:G1"/>
    <mergeCell ref="A3:F3"/>
    <mergeCell ref="A10:F10"/>
    <mergeCell ref="A80:D80"/>
    <mergeCell ref="C104:F104"/>
  </mergeCells>
  <conditionalFormatting sqref="G77:G78">
    <cfRule type="cellIs" dxfId="563" priority="4" operator="lessThan">
      <formula>0</formula>
    </cfRule>
  </conditionalFormatting>
  <conditionalFormatting sqref="C12">
    <cfRule type="duplicateValues" dxfId="562" priority="5"/>
  </conditionalFormatting>
  <conditionalFormatting sqref="C52">
    <cfRule type="duplicateValues" dxfId="561" priority="3"/>
  </conditionalFormatting>
  <conditionalFormatting sqref="C53:C57 C13:C51">
    <cfRule type="duplicateValues" dxfId="560" priority="492"/>
  </conditionalFormatting>
  <conditionalFormatting sqref="C6">
    <cfRule type="duplicateValues" dxfId="559" priority="2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30">
    <pageSetUpPr fitToPage="1"/>
  </sheetPr>
  <dimension ref="A1:N129"/>
  <sheetViews>
    <sheetView topLeftCell="A64" zoomScaleNormal="100" workbookViewId="0">
      <selection activeCell="C46" sqref="C46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47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991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45066</v>
      </c>
      <c r="B5" s="9" t="s">
        <v>6</v>
      </c>
      <c r="C5" s="10" t="s">
        <v>7</v>
      </c>
      <c r="D5" s="11"/>
      <c r="E5" s="12">
        <v>200404.70000000019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200404.70000000019</v>
      </c>
      <c r="F6" s="16">
        <f>F5</f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E6-F6</f>
        <v>200404.70000000019</v>
      </c>
      <c r="F7" s="22"/>
      <c r="G7" s="23"/>
      <c r="H7" s="112"/>
      <c r="I7" s="112"/>
      <c r="J7" s="13"/>
    </row>
    <row r="8" spans="1:10" s="2" customFormat="1" ht="12.75" customHeight="1" x14ac:dyDescent="0.4">
      <c r="A8" s="24"/>
      <c r="B8" s="1"/>
      <c r="C8" s="14"/>
      <c r="D8" s="25"/>
      <c r="G8" s="23"/>
      <c r="H8" s="112"/>
      <c r="I8" s="112"/>
      <c r="J8" s="13"/>
    </row>
    <row r="9" spans="1:10" s="2" customFormat="1" ht="21.75" customHeight="1" x14ac:dyDescent="0.4">
      <c r="A9" s="214" t="s">
        <v>10</v>
      </c>
      <c r="B9" s="214"/>
      <c r="C9" s="214"/>
      <c r="D9" s="214"/>
      <c r="E9" s="214"/>
      <c r="F9" s="214"/>
      <c r="G9" s="13"/>
      <c r="H9" s="112"/>
      <c r="I9" s="112"/>
      <c r="J9" s="13"/>
    </row>
    <row r="10" spans="1:10" s="2" customFormat="1" ht="12.75" customHeight="1" x14ac:dyDescent="0.4">
      <c r="A10" s="26" t="s">
        <v>1</v>
      </c>
      <c r="B10" s="27" t="s">
        <v>2</v>
      </c>
      <c r="C10" s="5"/>
      <c r="D10" s="6" t="s">
        <v>3</v>
      </c>
      <c r="E10" s="7" t="s">
        <v>4</v>
      </c>
      <c r="F10" s="7" t="s">
        <v>5</v>
      </c>
      <c r="G10" s="23"/>
      <c r="H10" s="112"/>
      <c r="I10" s="112"/>
      <c r="J10" s="13"/>
    </row>
    <row r="11" spans="1:10" s="2" customFormat="1" ht="12.75" customHeight="1" x14ac:dyDescent="0.2">
      <c r="A11" s="89">
        <v>45066</v>
      </c>
      <c r="B11" s="91" t="s">
        <v>11</v>
      </c>
      <c r="C11" s="29" t="s">
        <v>7</v>
      </c>
      <c r="D11" s="25"/>
      <c r="E11" s="31"/>
      <c r="F11" s="2">
        <v>303949915.06999993</v>
      </c>
      <c r="G11" s="30"/>
      <c r="I11" s="13"/>
      <c r="J11" s="13"/>
    </row>
    <row r="12" spans="1:10" s="2" customFormat="1" ht="12.75" customHeight="1" x14ac:dyDescent="0.2">
      <c r="A12" s="89">
        <v>45066</v>
      </c>
      <c r="B12" s="91" t="s">
        <v>6</v>
      </c>
      <c r="C12" s="76" t="s">
        <v>361</v>
      </c>
      <c r="D12" s="116" t="s">
        <v>13</v>
      </c>
      <c r="E12" s="31">
        <v>21079</v>
      </c>
      <c r="G12" s="30"/>
      <c r="I12" s="13"/>
      <c r="J12" s="13"/>
    </row>
    <row r="13" spans="1:10" s="2" customFormat="1" ht="12.75" customHeight="1" x14ac:dyDescent="0.2">
      <c r="A13" s="89">
        <v>45066</v>
      </c>
      <c r="B13" s="91" t="s">
        <v>6</v>
      </c>
      <c r="C13" s="76" t="s">
        <v>120</v>
      </c>
      <c r="D13" s="116" t="s">
        <v>13</v>
      </c>
      <c r="E13" s="31">
        <v>5700</v>
      </c>
      <c r="G13" s="30"/>
      <c r="I13" s="13"/>
      <c r="J13" s="13"/>
    </row>
    <row r="14" spans="1:10" s="2" customFormat="1" ht="12.75" customHeight="1" x14ac:dyDescent="0.2">
      <c r="A14" s="89">
        <v>45066</v>
      </c>
      <c r="B14" s="91" t="s">
        <v>6</v>
      </c>
      <c r="C14" s="76" t="s">
        <v>420</v>
      </c>
      <c r="D14" s="116" t="s">
        <v>13</v>
      </c>
      <c r="E14" s="31">
        <v>159485</v>
      </c>
      <c r="G14" s="30"/>
      <c r="I14" s="13"/>
      <c r="J14" s="13"/>
    </row>
    <row r="15" spans="1:10" s="2" customFormat="1" ht="12.75" customHeight="1" x14ac:dyDescent="0.2">
      <c r="A15" s="89">
        <v>45066</v>
      </c>
      <c r="B15" s="91" t="s">
        <v>6</v>
      </c>
      <c r="C15" s="76" t="s">
        <v>788</v>
      </c>
      <c r="D15" s="116" t="s">
        <v>13</v>
      </c>
      <c r="E15" s="31">
        <v>357027</v>
      </c>
      <c r="G15" s="30"/>
      <c r="I15" s="13"/>
      <c r="J15" s="13"/>
    </row>
    <row r="16" spans="1:10" s="2" customFormat="1" ht="12.75" customHeight="1" x14ac:dyDescent="0.2">
      <c r="A16" s="89">
        <v>45066</v>
      </c>
      <c r="B16" s="91" t="s">
        <v>6</v>
      </c>
      <c r="C16" s="76" t="s">
        <v>773</v>
      </c>
      <c r="D16" s="116" t="s">
        <v>13</v>
      </c>
      <c r="E16" s="31">
        <v>412567.72</v>
      </c>
      <c r="G16" s="30"/>
      <c r="I16" s="13"/>
      <c r="J16" s="13"/>
    </row>
    <row r="17" spans="1:10" s="2" customFormat="1" ht="12.75" customHeight="1" x14ac:dyDescent="0.2">
      <c r="A17" s="89">
        <v>45066</v>
      </c>
      <c r="B17" s="91" t="s">
        <v>6</v>
      </c>
      <c r="C17" s="76" t="s">
        <v>760</v>
      </c>
      <c r="D17" s="116" t="s">
        <v>13</v>
      </c>
      <c r="E17" s="31">
        <v>356874.72</v>
      </c>
      <c r="G17" s="30"/>
      <c r="I17" s="13"/>
      <c r="J17" s="13"/>
    </row>
    <row r="18" spans="1:10" s="2" customFormat="1" ht="12.75" customHeight="1" x14ac:dyDescent="0.2">
      <c r="A18" s="89">
        <v>45066</v>
      </c>
      <c r="B18" s="91" t="s">
        <v>6</v>
      </c>
      <c r="C18" s="76" t="s">
        <v>765</v>
      </c>
      <c r="D18" s="116" t="s">
        <v>13</v>
      </c>
      <c r="E18" s="31">
        <v>1348982.4</v>
      </c>
      <c r="G18" s="30"/>
      <c r="I18" s="13"/>
      <c r="J18" s="13"/>
    </row>
    <row r="19" spans="1:10" s="2" customFormat="1" ht="12.75" customHeight="1" x14ac:dyDescent="0.2">
      <c r="A19" s="89">
        <v>45066</v>
      </c>
      <c r="B19" s="91" t="s">
        <v>6</v>
      </c>
      <c r="C19" s="76" t="s">
        <v>759</v>
      </c>
      <c r="D19" s="116" t="s">
        <v>13</v>
      </c>
      <c r="E19" s="31">
        <v>1873363.56</v>
      </c>
      <c r="G19" s="30"/>
      <c r="I19" s="13"/>
      <c r="J19" s="13"/>
    </row>
    <row r="20" spans="1:10" s="2" customFormat="1" ht="12.75" customHeight="1" x14ac:dyDescent="0.2">
      <c r="A20" s="89">
        <v>45066</v>
      </c>
      <c r="B20" s="91" t="s">
        <v>6</v>
      </c>
      <c r="C20" s="76" t="s">
        <v>755</v>
      </c>
      <c r="D20" s="116" t="s">
        <v>13</v>
      </c>
      <c r="E20" s="31">
        <v>785948.03</v>
      </c>
      <c r="G20" s="30"/>
      <c r="I20" s="13"/>
      <c r="J20" s="13"/>
    </row>
    <row r="21" spans="1:10" s="2" customFormat="1" ht="12.75" customHeight="1" x14ac:dyDescent="0.2">
      <c r="A21" s="89">
        <v>45066</v>
      </c>
      <c r="B21" s="91" t="s">
        <v>6</v>
      </c>
      <c r="C21" s="76" t="s">
        <v>105</v>
      </c>
      <c r="D21" s="116" t="s">
        <v>13</v>
      </c>
      <c r="E21" s="31">
        <v>191208</v>
      </c>
      <c r="G21" s="30"/>
      <c r="I21" s="13"/>
      <c r="J21" s="13"/>
    </row>
    <row r="22" spans="1:10" s="2" customFormat="1" ht="12.75" customHeight="1" x14ac:dyDescent="0.2">
      <c r="A22" s="89">
        <v>45066</v>
      </c>
      <c r="B22" s="91" t="s">
        <v>6</v>
      </c>
      <c r="C22" s="76" t="s">
        <v>757</v>
      </c>
      <c r="D22" s="116" t="s">
        <v>13</v>
      </c>
      <c r="E22" s="31">
        <v>373152.02</v>
      </c>
      <c r="G22" s="30"/>
      <c r="I22" s="13"/>
      <c r="J22" s="13"/>
    </row>
    <row r="23" spans="1:10" s="2" customFormat="1" ht="12.75" customHeight="1" x14ac:dyDescent="0.2">
      <c r="A23" s="89">
        <v>45066</v>
      </c>
      <c r="B23" s="91" t="s">
        <v>6</v>
      </c>
      <c r="C23" s="76" t="s">
        <v>101</v>
      </c>
      <c r="D23" s="116" t="s">
        <v>13</v>
      </c>
      <c r="E23" s="31">
        <v>1000000</v>
      </c>
      <c r="G23" s="30"/>
      <c r="I23" s="13"/>
      <c r="J23" s="13"/>
    </row>
    <row r="24" spans="1:10" s="2" customFormat="1" ht="12.75" customHeight="1" x14ac:dyDescent="0.2">
      <c r="A24" s="89">
        <v>45066</v>
      </c>
      <c r="B24" s="91" t="s">
        <v>6</v>
      </c>
      <c r="C24" s="76" t="s">
        <v>516</v>
      </c>
      <c r="D24" s="116" t="s">
        <v>13</v>
      </c>
      <c r="E24" s="31">
        <v>1213</v>
      </c>
      <c r="G24" s="30"/>
      <c r="I24" s="13"/>
      <c r="J24" s="13"/>
    </row>
    <row r="25" spans="1:10" s="2" customFormat="1" ht="12.75" customHeight="1" x14ac:dyDescent="0.2">
      <c r="A25" s="89">
        <v>45066</v>
      </c>
      <c r="B25" s="91" t="s">
        <v>6</v>
      </c>
      <c r="C25" s="76" t="s">
        <v>782</v>
      </c>
      <c r="D25" s="116" t="s">
        <v>13</v>
      </c>
      <c r="E25" s="31">
        <v>142944.5</v>
      </c>
      <c r="G25" s="30"/>
      <c r="I25" s="13"/>
      <c r="J25" s="13"/>
    </row>
    <row r="26" spans="1:10" s="2" customFormat="1" ht="12.75" customHeight="1" x14ac:dyDescent="0.2">
      <c r="A26" s="89">
        <v>45066</v>
      </c>
      <c r="B26" s="91" t="s">
        <v>6</v>
      </c>
      <c r="C26" s="76" t="s">
        <v>992</v>
      </c>
      <c r="D26" s="116" t="s">
        <v>13</v>
      </c>
      <c r="E26" s="31">
        <v>3675</v>
      </c>
      <c r="G26" s="30"/>
      <c r="I26" s="13"/>
      <c r="J26" s="13"/>
    </row>
    <row r="27" spans="1:10" s="2" customFormat="1" ht="12.75" customHeight="1" x14ac:dyDescent="0.2">
      <c r="A27" s="89">
        <v>45066</v>
      </c>
      <c r="B27" s="91" t="s">
        <v>6</v>
      </c>
      <c r="C27" s="76" t="s">
        <v>915</v>
      </c>
      <c r="D27" s="116" t="s">
        <v>13</v>
      </c>
      <c r="E27" s="31">
        <v>316663</v>
      </c>
      <c r="G27" s="30"/>
      <c r="I27" s="13"/>
      <c r="J27" s="13"/>
    </row>
    <row r="28" spans="1:10" s="2" customFormat="1" ht="12.75" customHeight="1" x14ac:dyDescent="0.2">
      <c r="A28" s="89">
        <v>45066</v>
      </c>
      <c r="B28" s="91" t="s">
        <v>6</v>
      </c>
      <c r="C28" s="76" t="s">
        <v>538</v>
      </c>
      <c r="D28" s="116" t="s">
        <v>13</v>
      </c>
      <c r="E28" s="31">
        <v>7396</v>
      </c>
      <c r="G28" s="30"/>
      <c r="I28" s="13"/>
      <c r="J28" s="13"/>
    </row>
    <row r="29" spans="1:10" s="2" customFormat="1" ht="12.75" customHeight="1" x14ac:dyDescent="0.2">
      <c r="A29" s="89">
        <v>45066</v>
      </c>
      <c r="B29" s="91" t="s">
        <v>6</v>
      </c>
      <c r="C29" s="76" t="s">
        <v>142</v>
      </c>
      <c r="D29" s="116" t="s">
        <v>13</v>
      </c>
      <c r="E29" s="31">
        <v>154203</v>
      </c>
      <c r="G29" s="30"/>
      <c r="I29" s="13"/>
      <c r="J29" s="13"/>
    </row>
    <row r="30" spans="1:10" s="2" customFormat="1" ht="12.75" customHeight="1" x14ac:dyDescent="0.2">
      <c r="A30" s="89">
        <v>45066</v>
      </c>
      <c r="B30" s="91" t="s">
        <v>6</v>
      </c>
      <c r="C30" s="76" t="s">
        <v>510</v>
      </c>
      <c r="D30" s="116" t="s">
        <v>13</v>
      </c>
      <c r="E30" s="31">
        <v>653674</v>
      </c>
      <c r="G30" s="30"/>
      <c r="I30" s="13"/>
      <c r="J30" s="13"/>
    </row>
    <row r="31" spans="1:10" s="2" customFormat="1" ht="12.75" customHeight="1" x14ac:dyDescent="0.2">
      <c r="A31" s="89">
        <v>45066</v>
      </c>
      <c r="B31" s="91" t="s">
        <v>6</v>
      </c>
      <c r="C31" s="76" t="s">
        <v>240</v>
      </c>
      <c r="D31" s="116" t="s">
        <v>13</v>
      </c>
      <c r="E31" s="31">
        <v>2747290</v>
      </c>
      <c r="G31" s="30"/>
      <c r="I31" s="13"/>
      <c r="J31" s="13"/>
    </row>
    <row r="32" spans="1:10" s="2" customFormat="1" ht="12.75" customHeight="1" x14ac:dyDescent="0.2">
      <c r="A32" s="89">
        <v>45066</v>
      </c>
      <c r="B32" s="91" t="s">
        <v>6</v>
      </c>
      <c r="C32" s="76" t="s">
        <v>503</v>
      </c>
      <c r="D32" s="116" t="s">
        <v>13</v>
      </c>
      <c r="E32" s="31">
        <v>221053.67</v>
      </c>
      <c r="G32" s="30"/>
      <c r="I32" s="13"/>
      <c r="J32" s="13"/>
    </row>
    <row r="33" spans="1:10" s="2" customFormat="1" ht="12.75" customHeight="1" x14ac:dyDescent="0.2">
      <c r="A33" s="89">
        <v>45066</v>
      </c>
      <c r="B33" s="91" t="s">
        <v>6</v>
      </c>
      <c r="C33" s="76" t="s">
        <v>843</v>
      </c>
      <c r="D33" s="116" t="s">
        <v>13</v>
      </c>
      <c r="E33" s="31">
        <v>21525</v>
      </c>
      <c r="G33" s="30"/>
      <c r="I33" s="13"/>
      <c r="J33" s="13"/>
    </row>
    <row r="34" spans="1:10" s="2" customFormat="1" ht="12.75" customHeight="1" x14ac:dyDescent="0.2">
      <c r="A34" s="89">
        <v>45066</v>
      </c>
      <c r="B34" s="91" t="s">
        <v>6</v>
      </c>
      <c r="C34" s="76" t="s">
        <v>143</v>
      </c>
      <c r="D34" s="116" t="s">
        <v>13</v>
      </c>
      <c r="E34" s="31">
        <v>4036927</v>
      </c>
      <c r="G34" s="30"/>
      <c r="I34" s="13"/>
      <c r="J34" s="13"/>
    </row>
    <row r="35" spans="1:10" s="2" customFormat="1" ht="12.75" customHeight="1" x14ac:dyDescent="0.2">
      <c r="A35" s="89">
        <v>45066</v>
      </c>
      <c r="B35" s="91" t="s">
        <v>6</v>
      </c>
      <c r="C35" s="76" t="s">
        <v>993</v>
      </c>
      <c r="D35" s="116" t="s">
        <v>13</v>
      </c>
      <c r="E35" s="31">
        <v>15606</v>
      </c>
      <c r="G35" s="30"/>
      <c r="I35" s="13"/>
      <c r="J35" s="13"/>
    </row>
    <row r="36" spans="1:10" s="2" customFormat="1" ht="12.75" customHeight="1" x14ac:dyDescent="0.2">
      <c r="A36" s="89">
        <v>45066</v>
      </c>
      <c r="B36" s="91" t="s">
        <v>6</v>
      </c>
      <c r="C36" s="76" t="s">
        <v>316</v>
      </c>
      <c r="D36" s="116" t="s">
        <v>13</v>
      </c>
      <c r="E36" s="31">
        <f>604636-39725.44</f>
        <v>564910.56000000006</v>
      </c>
      <c r="G36" s="30"/>
      <c r="I36" s="13"/>
      <c r="J36" s="13"/>
    </row>
    <row r="37" spans="1:10" s="2" customFormat="1" ht="12.75" customHeight="1" x14ac:dyDescent="0.2">
      <c r="A37" s="89">
        <v>45066</v>
      </c>
      <c r="B37" s="91" t="s">
        <v>6</v>
      </c>
      <c r="C37" s="76" t="s">
        <v>104</v>
      </c>
      <c r="D37" s="116" t="s">
        <v>13</v>
      </c>
      <c r="E37" s="31">
        <v>404633</v>
      </c>
      <c r="G37" s="30"/>
      <c r="I37" s="13"/>
      <c r="J37" s="13"/>
    </row>
    <row r="38" spans="1:10" s="2" customFormat="1" ht="12.75" customHeight="1" x14ac:dyDescent="0.2">
      <c r="A38" s="89">
        <v>45066</v>
      </c>
      <c r="B38" s="91" t="s">
        <v>6</v>
      </c>
      <c r="C38" s="76" t="s">
        <v>963</v>
      </c>
      <c r="D38" s="116" t="s">
        <v>13</v>
      </c>
      <c r="E38" s="31">
        <v>1055456</v>
      </c>
      <c r="G38" s="30"/>
      <c r="I38" s="13"/>
      <c r="J38" s="13"/>
    </row>
    <row r="39" spans="1:10" s="2" customFormat="1" ht="12.75" customHeight="1" x14ac:dyDescent="0.2">
      <c r="A39" s="89">
        <v>45066</v>
      </c>
      <c r="B39" s="91" t="s">
        <v>6</v>
      </c>
      <c r="C39" s="76" t="s">
        <v>149</v>
      </c>
      <c r="D39" s="116" t="s">
        <v>13</v>
      </c>
      <c r="E39" s="31">
        <v>61567</v>
      </c>
      <c r="G39" s="30"/>
      <c r="I39" s="13"/>
      <c r="J39" s="13"/>
    </row>
    <row r="40" spans="1:10" s="2" customFormat="1" ht="12.75" customHeight="1" x14ac:dyDescent="0.2">
      <c r="A40" s="89">
        <v>45066</v>
      </c>
      <c r="B40" s="91" t="s">
        <v>6</v>
      </c>
      <c r="C40" s="76" t="s">
        <v>614</v>
      </c>
      <c r="D40" s="116" t="s">
        <v>13</v>
      </c>
      <c r="E40" s="31">
        <v>4352</v>
      </c>
      <c r="G40" s="30"/>
      <c r="I40" s="13"/>
      <c r="J40" s="13"/>
    </row>
    <row r="41" spans="1:10" s="2" customFormat="1" ht="12.75" customHeight="1" x14ac:dyDescent="0.2">
      <c r="A41" s="89">
        <v>45066</v>
      </c>
      <c r="B41" s="91" t="s">
        <v>6</v>
      </c>
      <c r="C41" s="76" t="s">
        <v>547</v>
      </c>
      <c r="D41" s="116" t="s">
        <v>13</v>
      </c>
      <c r="E41" s="31">
        <v>64825</v>
      </c>
      <c r="G41" s="30"/>
      <c r="I41" s="13"/>
      <c r="J41" s="13"/>
    </row>
    <row r="42" spans="1:10" s="2" customFormat="1" ht="12.75" customHeight="1" x14ac:dyDescent="0.2">
      <c r="A42" s="89">
        <v>45066</v>
      </c>
      <c r="B42" s="91" t="s">
        <v>11</v>
      </c>
      <c r="C42" s="76" t="s">
        <v>64</v>
      </c>
      <c r="D42" s="116" t="s">
        <v>29</v>
      </c>
      <c r="E42" s="31"/>
      <c r="F42" s="2">
        <v>22788.16</v>
      </c>
      <c r="G42" s="30"/>
      <c r="I42" s="13"/>
      <c r="J42" s="13"/>
    </row>
    <row r="43" spans="1:10" s="2" customFormat="1" ht="12.75" customHeight="1" x14ac:dyDescent="0.2">
      <c r="A43" s="89">
        <v>45066</v>
      </c>
      <c r="B43" s="91" t="s">
        <v>11</v>
      </c>
      <c r="C43" s="76" t="s">
        <v>15</v>
      </c>
      <c r="D43" s="116" t="s">
        <v>29</v>
      </c>
      <c r="E43" s="31"/>
      <c r="F43" s="2">
        <v>1190.55</v>
      </c>
      <c r="G43" s="30"/>
      <c r="I43" s="13"/>
      <c r="J43" s="13"/>
    </row>
    <row r="44" spans="1:10" s="2" customFormat="1" ht="12.75" customHeight="1" x14ac:dyDescent="0.2">
      <c r="A44" s="89">
        <v>45066</v>
      </c>
      <c r="B44" s="91" t="s">
        <v>11</v>
      </c>
      <c r="C44" s="76" t="s">
        <v>62</v>
      </c>
      <c r="D44" s="116" t="s">
        <v>29</v>
      </c>
      <c r="E44" s="31"/>
      <c r="F44" s="2">
        <v>141000</v>
      </c>
      <c r="G44" s="30"/>
      <c r="I44" s="13"/>
      <c r="J44" s="13"/>
    </row>
    <row r="45" spans="1:10" s="2" customFormat="1" ht="12.75" customHeight="1" x14ac:dyDescent="0.2">
      <c r="A45" s="89">
        <v>45066</v>
      </c>
      <c r="B45" s="91" t="s">
        <v>11</v>
      </c>
      <c r="C45" s="76" t="s">
        <v>124</v>
      </c>
      <c r="D45" s="116" t="s">
        <v>29</v>
      </c>
      <c r="E45" s="31"/>
      <c r="F45" s="2">
        <v>44260</v>
      </c>
      <c r="G45" s="30"/>
      <c r="I45" s="13"/>
      <c r="J45" s="13"/>
    </row>
    <row r="46" spans="1:10" s="2" customFormat="1" ht="12.75" customHeight="1" x14ac:dyDescent="0.2">
      <c r="A46" s="89">
        <v>45066</v>
      </c>
      <c r="B46" s="91" t="s">
        <v>11</v>
      </c>
      <c r="C46" s="76" t="s">
        <v>937</v>
      </c>
      <c r="D46" s="116" t="s">
        <v>29</v>
      </c>
      <c r="E46" s="31"/>
      <c r="F46" s="2">
        <v>5031</v>
      </c>
      <c r="G46" s="30"/>
      <c r="I46" s="13"/>
      <c r="J46" s="13"/>
    </row>
    <row r="47" spans="1:10" s="2" customFormat="1" ht="12.75" customHeight="1" x14ac:dyDescent="0.2">
      <c r="A47" s="89">
        <v>45066</v>
      </c>
      <c r="B47" s="91" t="s">
        <v>11</v>
      </c>
      <c r="C47" s="76" t="s">
        <v>500</v>
      </c>
      <c r="D47" s="116" t="s">
        <v>29</v>
      </c>
      <c r="E47" s="31"/>
      <c r="F47" s="2">
        <v>5088548</v>
      </c>
      <c r="G47" s="30"/>
      <c r="I47" s="13"/>
      <c r="J47" s="13"/>
    </row>
    <row r="48" spans="1:10" s="2" customFormat="1" ht="12.75" customHeight="1" x14ac:dyDescent="0.2">
      <c r="A48" s="89">
        <v>45066</v>
      </c>
      <c r="B48" s="91" t="s">
        <v>11</v>
      </c>
      <c r="C48" s="76" t="s">
        <v>34</v>
      </c>
      <c r="D48" s="116" t="s">
        <v>29</v>
      </c>
      <c r="E48" s="31"/>
      <c r="F48" s="2">
        <v>155000</v>
      </c>
      <c r="G48" s="30"/>
      <c r="I48" s="13"/>
      <c r="J48" s="13"/>
    </row>
    <row r="49" spans="1:11" s="2" customFormat="1" ht="12.75" customHeight="1" x14ac:dyDescent="0.2">
      <c r="A49" s="89">
        <v>45066</v>
      </c>
      <c r="B49" s="91" t="s">
        <v>11</v>
      </c>
      <c r="C49" s="76" t="s">
        <v>206</v>
      </c>
      <c r="D49" s="116" t="s">
        <v>29</v>
      </c>
      <c r="E49" s="31"/>
      <c r="F49" s="2">
        <v>50000</v>
      </c>
      <c r="G49" s="30"/>
      <c r="I49" s="13"/>
      <c r="J49" s="13"/>
    </row>
    <row r="50" spans="1:11" s="2" customFormat="1" ht="12.75" customHeight="1" x14ac:dyDescent="0.2">
      <c r="A50" s="89">
        <v>45066</v>
      </c>
      <c r="B50" s="91" t="s">
        <v>11</v>
      </c>
      <c r="C50" s="76" t="s">
        <v>107</v>
      </c>
      <c r="D50" s="116" t="s">
        <v>29</v>
      </c>
      <c r="E50" s="31"/>
      <c r="F50" s="2">
        <v>294511.39</v>
      </c>
      <c r="G50" s="30"/>
      <c r="I50" s="13"/>
      <c r="J50" s="13"/>
    </row>
    <row r="51" spans="1:11" s="2" customFormat="1" ht="12.75" customHeight="1" x14ac:dyDescent="0.2">
      <c r="A51" s="89">
        <v>45066</v>
      </c>
      <c r="B51" s="91" t="s">
        <v>11</v>
      </c>
      <c r="C51" s="76" t="s">
        <v>498</v>
      </c>
      <c r="D51" s="116" t="s">
        <v>29</v>
      </c>
      <c r="E51" s="31"/>
      <c r="F51" s="2">
        <v>321430.78000000003</v>
      </c>
      <c r="G51" s="30"/>
      <c r="I51" s="13"/>
      <c r="J51" s="13"/>
    </row>
    <row r="52" spans="1:11" s="2" customFormat="1" ht="12.75" customHeight="1" x14ac:dyDescent="0.2">
      <c r="A52" s="89">
        <v>45066</v>
      </c>
      <c r="B52" s="91" t="s">
        <v>11</v>
      </c>
      <c r="C52" s="76" t="s">
        <v>285</v>
      </c>
      <c r="D52" s="116" t="s">
        <v>29</v>
      </c>
      <c r="E52" s="31"/>
      <c r="F52" s="2">
        <v>473395.01</v>
      </c>
      <c r="G52" s="30"/>
      <c r="I52" s="13"/>
      <c r="J52" s="13"/>
    </row>
    <row r="53" spans="1:11" s="2" customFormat="1" ht="12.75" customHeight="1" x14ac:dyDescent="0.2">
      <c r="A53" s="89">
        <v>45066</v>
      </c>
      <c r="B53" s="91" t="s">
        <v>11</v>
      </c>
      <c r="C53" s="76" t="s">
        <v>16</v>
      </c>
      <c r="D53" s="116" t="s">
        <v>29</v>
      </c>
      <c r="E53" s="31"/>
      <c r="F53" s="2">
        <v>28902</v>
      </c>
      <c r="G53" s="30"/>
      <c r="I53" s="13"/>
      <c r="J53" s="13"/>
    </row>
    <row r="54" spans="1:11" s="2" customFormat="1" ht="12.75" customHeight="1" x14ac:dyDescent="0.2">
      <c r="A54" s="89">
        <v>45066</v>
      </c>
      <c r="B54" s="91" t="s">
        <v>11</v>
      </c>
      <c r="C54" s="76" t="s">
        <v>994</v>
      </c>
      <c r="D54" s="116" t="s">
        <v>29</v>
      </c>
      <c r="E54" s="31"/>
      <c r="F54" s="2">
        <v>3885</v>
      </c>
      <c r="G54" s="30"/>
      <c r="I54" s="13"/>
      <c r="J54" s="13"/>
    </row>
    <row r="55" spans="1:11" s="2" customFormat="1" ht="12.75" customHeight="1" x14ac:dyDescent="0.2">
      <c r="A55" s="89">
        <v>45066</v>
      </c>
      <c r="B55" s="91" t="s">
        <v>11</v>
      </c>
      <c r="C55" s="76" t="s">
        <v>302</v>
      </c>
      <c r="D55" s="116" t="s">
        <v>29</v>
      </c>
      <c r="E55" s="31"/>
      <c r="F55" s="2">
        <v>9108</v>
      </c>
      <c r="G55" s="30"/>
      <c r="I55" s="13"/>
      <c r="J55" s="13"/>
    </row>
    <row r="56" spans="1:11" s="2" customFormat="1" ht="12.75" customHeight="1" x14ac:dyDescent="0.2">
      <c r="A56" s="89">
        <v>45066</v>
      </c>
      <c r="B56" s="91" t="s">
        <v>11</v>
      </c>
      <c r="C56" s="76" t="s">
        <v>366</v>
      </c>
      <c r="D56" s="116" t="s">
        <v>29</v>
      </c>
      <c r="E56" s="31"/>
      <c r="F56" s="2">
        <v>10000000</v>
      </c>
      <c r="G56" s="30"/>
      <c r="I56" s="13"/>
      <c r="J56" s="13"/>
    </row>
    <row r="57" spans="1:11" s="2" customFormat="1" ht="12.75" customHeight="1" x14ac:dyDescent="0.2">
      <c r="A57" s="89">
        <v>45066</v>
      </c>
      <c r="B57" s="91" t="s">
        <v>11</v>
      </c>
      <c r="C57" s="76" t="s">
        <v>57</v>
      </c>
      <c r="D57" s="116" t="s">
        <v>29</v>
      </c>
      <c r="E57" s="31"/>
      <c r="F57" s="2">
        <v>5500000</v>
      </c>
      <c r="G57" s="30"/>
      <c r="I57" s="13"/>
      <c r="J57" s="13"/>
    </row>
    <row r="58" spans="1:11" s="2" customFormat="1" ht="12.75" customHeight="1" x14ac:dyDescent="0.2">
      <c r="A58" s="89">
        <v>45066</v>
      </c>
      <c r="B58" s="91" t="s">
        <v>11</v>
      </c>
      <c r="C58" s="76" t="s">
        <v>825</v>
      </c>
      <c r="D58" s="116" t="s">
        <v>29</v>
      </c>
      <c r="E58" s="31"/>
      <c r="F58" s="2">
        <v>673667</v>
      </c>
      <c r="G58" s="30"/>
      <c r="I58" s="13"/>
      <c r="J58" s="13"/>
    </row>
    <row r="59" spans="1:11" s="2" customFormat="1" ht="12.75" customHeight="1" x14ac:dyDescent="0.2">
      <c r="A59" s="89">
        <v>45066</v>
      </c>
      <c r="B59" s="91" t="s">
        <v>11</v>
      </c>
      <c r="C59" s="76" t="s">
        <v>849</v>
      </c>
      <c r="D59" s="116" t="s">
        <v>29</v>
      </c>
      <c r="E59" s="31"/>
      <c r="F59" s="2">
        <v>1292365</v>
      </c>
      <c r="G59" s="30"/>
      <c r="I59" s="13"/>
      <c r="J59" s="13"/>
    </row>
    <row r="60" spans="1:11" s="2" customFormat="1" ht="12.75" customHeight="1" x14ac:dyDescent="0.2">
      <c r="A60" s="89">
        <v>45066</v>
      </c>
      <c r="B60" s="91" t="s">
        <v>11</v>
      </c>
      <c r="C60" s="76" t="s">
        <v>790</v>
      </c>
      <c r="D60" s="116" t="s">
        <v>29</v>
      </c>
      <c r="E60" s="31"/>
      <c r="F60" s="2">
        <v>387592</v>
      </c>
      <c r="G60" s="30"/>
      <c r="I60" s="13"/>
      <c r="J60" s="13"/>
    </row>
    <row r="61" spans="1:11" s="2" customFormat="1" ht="12.75" customHeight="1" x14ac:dyDescent="0.2">
      <c r="A61" s="89">
        <v>45066</v>
      </c>
      <c r="B61" s="91" t="s">
        <v>11</v>
      </c>
      <c r="C61" s="76" t="s">
        <v>814</v>
      </c>
      <c r="D61" s="116" t="s">
        <v>29</v>
      </c>
      <c r="E61" s="31"/>
      <c r="F61" s="2">
        <v>72812</v>
      </c>
      <c r="G61" s="30"/>
      <c r="I61" s="13"/>
      <c r="J61" s="13"/>
    </row>
    <row r="62" spans="1:11" s="2" customFormat="1" ht="12.75" customHeight="1" x14ac:dyDescent="0.2">
      <c r="A62" s="89">
        <v>45066</v>
      </c>
      <c r="B62" s="91" t="s">
        <v>11</v>
      </c>
      <c r="C62" s="76" t="s">
        <v>327</v>
      </c>
      <c r="D62" s="116" t="s">
        <v>29</v>
      </c>
      <c r="E62" s="31"/>
      <c r="F62" s="2">
        <v>7375</v>
      </c>
      <c r="G62" s="30"/>
      <c r="I62" s="13"/>
      <c r="J62" s="13"/>
    </row>
    <row r="63" spans="1:11" s="2" customFormat="1" ht="12.75" customHeight="1" x14ac:dyDescent="0.2">
      <c r="A63" s="89">
        <v>45066</v>
      </c>
      <c r="B63" s="91" t="s">
        <v>11</v>
      </c>
      <c r="C63" s="76" t="s">
        <v>243</v>
      </c>
      <c r="D63" s="116" t="s">
        <v>29</v>
      </c>
      <c r="E63" s="31"/>
      <c r="F63" s="2">
        <v>2317.1799999999998</v>
      </c>
      <c r="G63" s="30"/>
      <c r="I63" s="13"/>
      <c r="J63" s="13"/>
    </row>
    <row r="64" spans="1:11" s="2" customFormat="1" ht="12.75" customHeight="1" x14ac:dyDescent="0.2">
      <c r="A64" s="89">
        <v>45066</v>
      </c>
      <c r="B64" s="91" t="s">
        <v>11</v>
      </c>
      <c r="C64" s="76" t="s">
        <v>512</v>
      </c>
      <c r="D64" s="116" t="s">
        <v>29</v>
      </c>
      <c r="E64" s="31"/>
      <c r="F64" s="2">
        <v>375000</v>
      </c>
      <c r="G64" s="30"/>
      <c r="I64" s="13"/>
      <c r="J64" s="13" t="s">
        <v>601</v>
      </c>
      <c r="K64" s="99" t="s">
        <v>779</v>
      </c>
    </row>
    <row r="65" spans="1:14" s="2" customFormat="1" ht="12.75" customHeight="1" x14ac:dyDescent="0.25">
      <c r="A65" s="32"/>
      <c r="B65" s="33"/>
      <c r="C65" s="14"/>
      <c r="D65" s="34"/>
      <c r="E65" s="16">
        <f>SUM(E11:E64)</f>
        <v>17363301.18</v>
      </c>
      <c r="F65" s="16">
        <f>SUM(F11:F64)</f>
        <v>328900093.13999993</v>
      </c>
      <c r="G65" s="30"/>
      <c r="H65" s="1"/>
      <c r="I65" s="39">
        <v>317092356.95999998</v>
      </c>
      <c r="J65" s="2">
        <v>5555565</v>
      </c>
      <c r="K65" s="92">
        <f>E66-I65</f>
        <v>-5555565.0000000596</v>
      </c>
      <c r="L65" s="41"/>
      <c r="M65" s="42">
        <f>K65+J65</f>
        <v>-5.9604644775390625E-8</v>
      </c>
      <c r="N65" s="1"/>
    </row>
    <row r="66" spans="1:14" s="2" customFormat="1" x14ac:dyDescent="0.2">
      <c r="A66" s="36"/>
      <c r="B66" s="28" t="s">
        <v>11</v>
      </c>
      <c r="C66" s="19" t="s">
        <v>65</v>
      </c>
      <c r="D66" s="37"/>
      <c r="E66" s="38">
        <f>F65-E65</f>
        <v>311536791.95999992</v>
      </c>
      <c r="F66" s="22"/>
      <c r="G66" s="1"/>
      <c r="H66" s="1"/>
      <c r="J66" s="1"/>
      <c r="K66" s="1"/>
      <c r="L66" s="1"/>
      <c r="M66" s="1"/>
      <c r="N66" s="1"/>
    </row>
    <row r="67" spans="1:14" x14ac:dyDescent="0.2">
      <c r="A67" s="36"/>
      <c r="B67" s="28" t="s">
        <v>66</v>
      </c>
      <c r="C67" s="43" t="s">
        <v>67</v>
      </c>
      <c r="D67" s="43"/>
      <c r="E67" s="12">
        <v>29316181</v>
      </c>
      <c r="F67" s="22"/>
      <c r="H67" s="40"/>
      <c r="I67" s="45">
        <v>2269.7600000000002</v>
      </c>
      <c r="J67" s="46"/>
      <c r="K67" s="46"/>
      <c r="L67" s="13"/>
      <c r="M67" s="2"/>
      <c r="N67" s="2"/>
    </row>
    <row r="68" spans="1:14" ht="15" x14ac:dyDescent="0.25">
      <c r="A68" s="36"/>
      <c r="B68" s="28"/>
      <c r="C68" s="44" t="s">
        <v>68</v>
      </c>
      <c r="D68" s="43"/>
      <c r="E68" s="7">
        <f>E66+E67</f>
        <v>340852972.95999992</v>
      </c>
      <c r="F68" s="22"/>
      <c r="H68" s="103" t="s">
        <v>69</v>
      </c>
      <c r="I68" s="45">
        <v>-83.12</v>
      </c>
      <c r="J68" s="46"/>
      <c r="K68" s="46"/>
      <c r="L68" s="2"/>
      <c r="M68" s="2"/>
      <c r="N68" s="2"/>
    </row>
    <row r="69" spans="1:14" s="2" customFormat="1" x14ac:dyDescent="0.2">
      <c r="A69" s="24"/>
      <c r="B69" s="1"/>
      <c r="C69" s="14"/>
      <c r="D69" s="25"/>
      <c r="E69" s="1"/>
      <c r="H69" s="35" t="s">
        <v>70</v>
      </c>
      <c r="I69" s="45">
        <v>0</v>
      </c>
      <c r="J69" s="46">
        <f>+I70-D72</f>
        <v>0</v>
      </c>
      <c r="M69" s="2">
        <v>19.57</v>
      </c>
      <c r="N69" s="2" t="s">
        <v>535</v>
      </c>
    </row>
    <row r="70" spans="1:14" s="2" customFormat="1" x14ac:dyDescent="0.2">
      <c r="A70" s="24"/>
      <c r="B70" s="1"/>
      <c r="C70" s="56"/>
      <c r="D70" s="56"/>
      <c r="E70" s="104"/>
      <c r="G70" s="1"/>
      <c r="I70" s="49">
        <f>SUM(I67:I69)</f>
        <v>2186.6400000000003</v>
      </c>
      <c r="J70" s="46"/>
      <c r="K70" s="46"/>
    </row>
    <row r="71" spans="1:14" s="2" customFormat="1" x14ac:dyDescent="0.2">
      <c r="A71" s="24"/>
      <c r="B71" s="1"/>
      <c r="C71" s="78" t="s">
        <v>575</v>
      </c>
      <c r="D71" s="48" t="s">
        <v>576</v>
      </c>
      <c r="E71" s="104"/>
      <c r="G71" s="1"/>
    </row>
    <row r="72" spans="1:14" s="2" customFormat="1" x14ac:dyDescent="0.2">
      <c r="A72" s="24"/>
      <c r="B72" s="1"/>
      <c r="C72" s="47" t="s">
        <v>570</v>
      </c>
      <c r="D72" s="111">
        <v>2186.64</v>
      </c>
      <c r="E72" s="104"/>
      <c r="G72" s="1"/>
      <c r="H72" s="110" t="s">
        <v>581</v>
      </c>
    </row>
    <row r="73" spans="1:14" s="2" customFormat="1" x14ac:dyDescent="0.2">
      <c r="A73" s="24"/>
      <c r="B73" s="1"/>
      <c r="C73" s="47" t="s">
        <v>931</v>
      </c>
      <c r="D73" s="111">
        <v>329.07</v>
      </c>
      <c r="E73" s="104"/>
      <c r="G73" s="1"/>
      <c r="H73" s="110" t="s">
        <v>580</v>
      </c>
    </row>
    <row r="74" spans="1:14" s="2" customFormat="1" x14ac:dyDescent="0.2">
      <c r="A74" s="24"/>
      <c r="B74" s="1"/>
      <c r="C74" s="47" t="s">
        <v>572</v>
      </c>
      <c r="D74" s="111">
        <f>+D116/100000</f>
        <v>522.37818000000004</v>
      </c>
      <c r="E74" s="104"/>
      <c r="G74" s="1"/>
      <c r="H74" s="90" t="s">
        <v>587</v>
      </c>
    </row>
    <row r="75" spans="1:14" s="2" customFormat="1" x14ac:dyDescent="0.2">
      <c r="A75" s="24"/>
      <c r="B75" s="1"/>
      <c r="C75" s="108" t="s">
        <v>578</v>
      </c>
      <c r="D75" s="48">
        <f>SUM(D72:D74)</f>
        <v>3038.0881800000002</v>
      </c>
      <c r="E75" s="104"/>
      <c r="G75" s="1"/>
    </row>
    <row r="76" spans="1:14" s="2" customFormat="1" x14ac:dyDescent="0.2">
      <c r="A76" s="24"/>
      <c r="B76" s="1"/>
      <c r="C76" s="47"/>
      <c r="D76" s="107"/>
      <c r="E76" s="104"/>
      <c r="G76" s="1"/>
    </row>
    <row r="77" spans="1:14" s="2" customFormat="1" x14ac:dyDescent="0.2">
      <c r="A77" s="24"/>
      <c r="B77" s="1"/>
      <c r="C77" s="47" t="s">
        <v>932</v>
      </c>
      <c r="D77" s="111">
        <v>562.70000000000005</v>
      </c>
      <c r="E77" s="104"/>
      <c r="G77" s="1"/>
      <c r="H77" s="110" t="s">
        <v>581</v>
      </c>
    </row>
    <row r="78" spans="1:14" s="2" customFormat="1" x14ac:dyDescent="0.2">
      <c r="A78" s="24"/>
      <c r="B78" s="1"/>
      <c r="C78" s="47" t="s">
        <v>933</v>
      </c>
      <c r="D78" s="111">
        <f>488.97-14.66</f>
        <v>474.31</v>
      </c>
      <c r="E78" s="104"/>
      <c r="G78" s="1"/>
      <c r="H78" s="110" t="s">
        <v>581</v>
      </c>
      <c r="J78" s="114" t="s">
        <v>713</v>
      </c>
    </row>
    <row r="79" spans="1:14" s="2" customFormat="1" x14ac:dyDescent="0.2">
      <c r="A79" s="24"/>
      <c r="B79" s="1"/>
      <c r="C79" s="78" t="s">
        <v>579</v>
      </c>
      <c r="D79" s="109">
        <f>D77+D78</f>
        <v>1037.01</v>
      </c>
      <c r="E79" s="104"/>
      <c r="G79" s="1"/>
      <c r="I79" s="113"/>
      <c r="J79" s="113" t="s">
        <v>709</v>
      </c>
      <c r="K79" s="113" t="s">
        <v>710</v>
      </c>
      <c r="L79" s="113" t="s">
        <v>711</v>
      </c>
      <c r="M79" s="113" t="s">
        <v>712</v>
      </c>
    </row>
    <row r="80" spans="1:14" s="2" customFormat="1" x14ac:dyDescent="0.2">
      <c r="A80" s="24"/>
      <c r="B80" s="1"/>
      <c r="C80" s="105"/>
      <c r="D80" s="106"/>
      <c r="E80" s="104"/>
      <c r="G80" s="1"/>
      <c r="I80" s="113" t="s">
        <v>706</v>
      </c>
      <c r="J80" s="115"/>
      <c r="K80" s="115">
        <v>968.99</v>
      </c>
      <c r="L80" s="115">
        <v>968.99</v>
      </c>
      <c r="M80" s="113">
        <f>+J80+L80-K80</f>
        <v>0</v>
      </c>
    </row>
    <row r="81" spans="1:13" s="2" customFormat="1" x14ac:dyDescent="0.2">
      <c r="A81" s="24"/>
      <c r="B81" s="1"/>
      <c r="C81" s="78" t="s">
        <v>577</v>
      </c>
      <c r="D81" s="109">
        <f>D72+D79</f>
        <v>3223.6499999999996</v>
      </c>
      <c r="E81" s="104"/>
      <c r="G81" s="1"/>
      <c r="I81" s="113" t="s">
        <v>707</v>
      </c>
      <c r="J81" s="115">
        <v>183.1</v>
      </c>
      <c r="K81" s="115">
        <v>1846.46</v>
      </c>
      <c r="L81" s="115">
        <v>2736.03</v>
      </c>
      <c r="M81" s="113">
        <f>+J81+L81-K81</f>
        <v>1072.67</v>
      </c>
    </row>
    <row r="82" spans="1:13" s="2" customFormat="1" x14ac:dyDescent="0.2">
      <c r="A82" s="24"/>
      <c r="B82" s="1"/>
      <c r="C82" s="56"/>
      <c r="D82" s="56"/>
      <c r="E82" s="104"/>
      <c r="G82" s="1"/>
      <c r="I82" s="113" t="s">
        <v>708</v>
      </c>
      <c r="J82" s="115">
        <v>1371.02</v>
      </c>
      <c r="K82" s="115">
        <v>11218.85</v>
      </c>
      <c r="L82" s="115">
        <v>11513.22</v>
      </c>
      <c r="M82" s="113">
        <f>+J82+L82-K82</f>
        <v>1665.3899999999994</v>
      </c>
    </row>
    <row r="83" spans="1:13" s="2" customFormat="1" ht="38.25" x14ac:dyDescent="0.2">
      <c r="A83" s="24"/>
      <c r="B83" s="1"/>
      <c r="C83" s="79" t="str">
        <f>"Particulars ( 01-04-2021 to "&amp;TEXT(A5,"dd-mm-yyyy")&amp;" )"</f>
        <v>Particulars ( 01-04-2021 to 20-05-2023 )</v>
      </c>
      <c r="D83" s="80" t="s">
        <v>73</v>
      </c>
      <c r="E83" s="80" t="s">
        <v>74</v>
      </c>
      <c r="F83" s="81" t="s">
        <v>75</v>
      </c>
      <c r="G83" s="80" t="s">
        <v>76</v>
      </c>
      <c r="J83" s="118">
        <f>SUM(J80:J82)</f>
        <v>1554.12</v>
      </c>
      <c r="K83" s="118">
        <f>SUM(K80:K82)</f>
        <v>14034.3</v>
      </c>
      <c r="L83" s="118">
        <f>SUM(L80:L82)</f>
        <v>15218.24</v>
      </c>
      <c r="M83" s="118">
        <f>SUM(M80:M82)</f>
        <v>2738.0599999999995</v>
      </c>
    </row>
    <row r="84" spans="1:13" s="2" customFormat="1" x14ac:dyDescent="0.2">
      <c r="A84" s="24"/>
      <c r="B84" s="1"/>
      <c r="C84" s="50" t="s">
        <v>444</v>
      </c>
      <c r="D84" s="55">
        <f>+L80+L81+J81</f>
        <v>3888.1200000000003</v>
      </c>
      <c r="E84" s="55">
        <f>+K80+K81</f>
        <v>2815.45</v>
      </c>
      <c r="F84" s="55">
        <f>+D84-E84</f>
        <v>1072.6700000000005</v>
      </c>
      <c r="G84" s="55">
        <f>1500-F84</f>
        <v>427.32999999999947</v>
      </c>
      <c r="H84" s="2" t="s">
        <v>396</v>
      </c>
    </row>
    <row r="85" spans="1:13" s="2" customFormat="1" x14ac:dyDescent="0.2">
      <c r="A85" s="24"/>
      <c r="B85" s="1"/>
      <c r="C85" s="50" t="s">
        <v>71</v>
      </c>
      <c r="D85" s="55">
        <f>+J82+L82</f>
        <v>12884.24</v>
      </c>
      <c r="E85" s="55">
        <f>+K82</f>
        <v>11218.85</v>
      </c>
      <c r="F85" s="55">
        <f>+D85-E85</f>
        <v>1665.3899999999994</v>
      </c>
      <c r="G85" s="55">
        <f>1500+700-F85</f>
        <v>534.61000000000058</v>
      </c>
      <c r="H85" s="2" t="s">
        <v>396</v>
      </c>
    </row>
    <row r="86" spans="1:13" s="2" customFormat="1" x14ac:dyDescent="0.2">
      <c r="A86" s="24"/>
      <c r="B86" s="1"/>
      <c r="C86" s="14"/>
      <c r="D86" s="56"/>
      <c r="E86" s="13"/>
      <c r="G86" s="1"/>
    </row>
    <row r="87" spans="1:13" s="2" customFormat="1" x14ac:dyDescent="0.2">
      <c r="A87" s="215" t="s">
        <v>80</v>
      </c>
      <c r="B87" s="216"/>
      <c r="C87" s="216"/>
      <c r="D87" s="217"/>
      <c r="E87" s="69"/>
      <c r="F87" s="70"/>
      <c r="G87" s="1"/>
      <c r="H87" s="53"/>
    </row>
    <row r="88" spans="1:13" s="2" customFormat="1" x14ac:dyDescent="0.2">
      <c r="A88" s="71" t="s">
        <v>81</v>
      </c>
      <c r="B88" s="71"/>
      <c r="C88" s="72" t="s">
        <v>82</v>
      </c>
      <c r="D88" s="73" t="s">
        <v>83</v>
      </c>
      <c r="E88" s="69"/>
      <c r="F88" s="70"/>
      <c r="H88" s="53"/>
    </row>
    <row r="89" spans="1:13" s="2" customFormat="1" x14ac:dyDescent="0.2">
      <c r="A89" s="87">
        <v>45050</v>
      </c>
      <c r="B89" s="120" t="s">
        <v>6</v>
      </c>
      <c r="C89" s="75" t="s">
        <v>282</v>
      </c>
      <c r="D89" s="88">
        <v>1562637</v>
      </c>
      <c r="G89" s="1"/>
      <c r="L89" s="1"/>
      <c r="M89" s="1"/>
    </row>
    <row r="90" spans="1:13" s="2" customFormat="1" x14ac:dyDescent="0.2">
      <c r="A90" s="87">
        <v>45050</v>
      </c>
      <c r="B90" s="120" t="s">
        <v>6</v>
      </c>
      <c r="C90" s="75" t="s">
        <v>86</v>
      </c>
      <c r="D90" s="88">
        <v>2499321</v>
      </c>
      <c r="G90" s="1"/>
      <c r="L90" s="1"/>
      <c r="M90" s="1"/>
    </row>
    <row r="91" spans="1:13" s="2" customFormat="1" x14ac:dyDescent="0.2">
      <c r="A91" s="87">
        <v>45050</v>
      </c>
      <c r="B91" s="120" t="s">
        <v>6</v>
      </c>
      <c r="C91" s="75" t="s">
        <v>86</v>
      </c>
      <c r="D91" s="88">
        <v>6876102</v>
      </c>
      <c r="G91" s="1"/>
      <c r="L91" s="1"/>
      <c r="M91" s="1"/>
    </row>
    <row r="92" spans="1:13" s="2" customFormat="1" x14ac:dyDescent="0.2">
      <c r="A92" s="87">
        <v>45052</v>
      </c>
      <c r="B92" s="120" t="s">
        <v>6</v>
      </c>
      <c r="C92" s="75" t="s">
        <v>270</v>
      </c>
      <c r="D92" s="88">
        <v>1124141</v>
      </c>
      <c r="G92" s="1"/>
      <c r="L92" s="1"/>
      <c r="M92" s="1"/>
    </row>
    <row r="93" spans="1:13" s="2" customFormat="1" x14ac:dyDescent="0.2">
      <c r="A93" s="87">
        <v>45054</v>
      </c>
      <c r="B93" s="120" t="s">
        <v>6</v>
      </c>
      <c r="C93" s="75" t="s">
        <v>271</v>
      </c>
      <c r="D93" s="88">
        <v>476726</v>
      </c>
      <c r="G93" s="1"/>
      <c r="L93" s="1"/>
      <c r="M93" s="1"/>
    </row>
    <row r="94" spans="1:13" s="2" customFormat="1" x14ac:dyDescent="0.2">
      <c r="A94" s="87">
        <v>45054</v>
      </c>
      <c r="B94" s="120" t="s">
        <v>6</v>
      </c>
      <c r="C94" s="75" t="s">
        <v>271</v>
      </c>
      <c r="D94" s="88">
        <v>926688</v>
      </c>
      <c r="G94" s="1"/>
      <c r="L94" s="1"/>
      <c r="M94" s="1"/>
    </row>
    <row r="95" spans="1:13" s="2" customFormat="1" x14ac:dyDescent="0.2">
      <c r="A95" s="87">
        <v>45054</v>
      </c>
      <c r="B95" s="120" t="s">
        <v>6</v>
      </c>
      <c r="C95" s="75" t="s">
        <v>606</v>
      </c>
      <c r="D95" s="88">
        <v>1844917</v>
      </c>
      <c r="G95" s="1"/>
      <c r="L95" s="1"/>
      <c r="M95" s="1"/>
    </row>
    <row r="96" spans="1:13" s="2" customFormat="1" x14ac:dyDescent="0.2">
      <c r="A96" s="87">
        <v>45054</v>
      </c>
      <c r="B96" s="120" t="s">
        <v>6</v>
      </c>
      <c r="C96" s="75" t="s">
        <v>271</v>
      </c>
      <c r="D96" s="88">
        <v>1640794</v>
      </c>
      <c r="G96" s="1"/>
      <c r="L96" s="1"/>
      <c r="M96" s="1"/>
    </row>
    <row r="97" spans="1:13" s="2" customFormat="1" x14ac:dyDescent="0.2">
      <c r="A97" s="87">
        <v>45055</v>
      </c>
      <c r="B97" s="120" t="s">
        <v>6</v>
      </c>
      <c r="C97" s="75" t="s">
        <v>84</v>
      </c>
      <c r="D97" s="88">
        <v>2000000</v>
      </c>
      <c r="G97" s="1"/>
      <c r="L97" s="1"/>
      <c r="M97" s="1"/>
    </row>
    <row r="98" spans="1:13" s="2" customFormat="1" x14ac:dyDescent="0.2">
      <c r="A98" s="87">
        <v>45055</v>
      </c>
      <c r="B98" s="120" t="s">
        <v>6</v>
      </c>
      <c r="C98" s="75" t="s">
        <v>87</v>
      </c>
      <c r="D98" s="88">
        <v>2540563</v>
      </c>
      <c r="G98" s="1"/>
      <c r="L98" s="1"/>
      <c r="M98" s="1"/>
    </row>
    <row r="99" spans="1:13" s="2" customFormat="1" x14ac:dyDescent="0.2">
      <c r="A99" s="87">
        <v>45055</v>
      </c>
      <c r="B99" s="120" t="s">
        <v>6</v>
      </c>
      <c r="C99" s="75" t="s">
        <v>767</v>
      </c>
      <c r="D99" s="88">
        <v>950137</v>
      </c>
      <c r="G99" s="1"/>
      <c r="L99" s="1"/>
      <c r="M99" s="1"/>
    </row>
    <row r="100" spans="1:13" s="2" customFormat="1" x14ac:dyDescent="0.2">
      <c r="A100" s="87">
        <v>45056</v>
      </c>
      <c r="B100" s="120" t="s">
        <v>6</v>
      </c>
      <c r="C100" s="75" t="s">
        <v>271</v>
      </c>
      <c r="D100" s="88">
        <v>242417</v>
      </c>
      <c r="G100" s="1"/>
      <c r="L100" s="1"/>
      <c r="M100" s="1"/>
    </row>
    <row r="101" spans="1:13" s="2" customFormat="1" x14ac:dyDescent="0.2">
      <c r="A101" s="87">
        <v>45056</v>
      </c>
      <c r="B101" s="120" t="s">
        <v>6</v>
      </c>
      <c r="C101" s="75" t="s">
        <v>271</v>
      </c>
      <c r="D101" s="88">
        <v>674909</v>
      </c>
      <c r="G101" s="1"/>
      <c r="L101" s="1"/>
      <c r="M101" s="1"/>
    </row>
    <row r="102" spans="1:13" s="2" customFormat="1" x14ac:dyDescent="0.2">
      <c r="A102" s="87">
        <v>45056</v>
      </c>
      <c r="B102" s="120" t="s">
        <v>6</v>
      </c>
      <c r="C102" s="75" t="s">
        <v>271</v>
      </c>
      <c r="D102" s="88">
        <v>969371</v>
      </c>
      <c r="G102" s="1"/>
      <c r="L102" s="1"/>
      <c r="M102" s="1"/>
    </row>
    <row r="103" spans="1:13" s="2" customFormat="1" x14ac:dyDescent="0.2">
      <c r="A103" s="87">
        <v>45058</v>
      </c>
      <c r="B103" s="120" t="s">
        <v>6</v>
      </c>
      <c r="C103" s="75" t="s">
        <v>271</v>
      </c>
      <c r="D103" s="88">
        <v>650439</v>
      </c>
      <c r="G103" s="1"/>
      <c r="L103" s="1"/>
      <c r="M103" s="1"/>
    </row>
    <row r="104" spans="1:13" s="2" customFormat="1" x14ac:dyDescent="0.2">
      <c r="A104" s="87">
        <v>45058</v>
      </c>
      <c r="B104" s="120" t="s">
        <v>6</v>
      </c>
      <c r="C104" s="75" t="s">
        <v>271</v>
      </c>
      <c r="D104" s="88">
        <v>432067</v>
      </c>
      <c r="G104" s="1"/>
      <c r="L104" s="1"/>
      <c r="M104" s="1"/>
    </row>
    <row r="105" spans="1:13" s="2" customFormat="1" x14ac:dyDescent="0.2">
      <c r="A105" s="87">
        <v>45058</v>
      </c>
      <c r="B105" s="120" t="s">
        <v>6</v>
      </c>
      <c r="C105" s="75" t="s">
        <v>271</v>
      </c>
      <c r="D105" s="88">
        <v>412906</v>
      </c>
      <c r="G105" s="1"/>
      <c r="L105" s="1"/>
      <c r="M105" s="1"/>
    </row>
    <row r="106" spans="1:13" s="2" customFormat="1" x14ac:dyDescent="0.2">
      <c r="A106" s="87">
        <v>45061</v>
      </c>
      <c r="B106" s="120" t="s">
        <v>6</v>
      </c>
      <c r="C106" s="75" t="s">
        <v>282</v>
      </c>
      <c r="D106" s="88">
        <v>7500000</v>
      </c>
      <c r="G106" s="1"/>
      <c r="L106" s="1"/>
      <c r="M106" s="1"/>
    </row>
    <row r="107" spans="1:13" s="2" customFormat="1" x14ac:dyDescent="0.2">
      <c r="A107" s="87">
        <v>45062</v>
      </c>
      <c r="B107" s="120" t="s">
        <v>6</v>
      </c>
      <c r="C107" s="75" t="s">
        <v>86</v>
      </c>
      <c r="D107" s="88">
        <v>3769130</v>
      </c>
      <c r="G107" s="1"/>
      <c r="L107" s="1"/>
      <c r="M107" s="1"/>
    </row>
    <row r="108" spans="1:13" s="2" customFormat="1" x14ac:dyDescent="0.2">
      <c r="A108" s="87">
        <v>45063</v>
      </c>
      <c r="B108" s="120" t="s">
        <v>6</v>
      </c>
      <c r="C108" s="75" t="s">
        <v>84</v>
      </c>
      <c r="D108" s="88">
        <v>5033848</v>
      </c>
      <c r="G108" s="1"/>
      <c r="L108" s="1"/>
      <c r="M108" s="1"/>
    </row>
    <row r="109" spans="1:13" s="2" customFormat="1" x14ac:dyDescent="0.2">
      <c r="A109" s="87">
        <v>45065</v>
      </c>
      <c r="B109" s="120" t="s">
        <v>6</v>
      </c>
      <c r="C109" s="75" t="s">
        <v>594</v>
      </c>
      <c r="D109" s="88">
        <v>6001798</v>
      </c>
      <c r="G109" s="1"/>
      <c r="L109" s="1"/>
      <c r="M109" s="1"/>
    </row>
    <row r="110" spans="1:13" s="2" customFormat="1" x14ac:dyDescent="0.2">
      <c r="A110" s="87">
        <v>45066</v>
      </c>
      <c r="B110" s="120" t="s">
        <v>6</v>
      </c>
      <c r="C110" s="75" t="s">
        <v>271</v>
      </c>
      <c r="D110" s="88">
        <v>231880</v>
      </c>
      <c r="G110" s="1"/>
      <c r="L110" s="1"/>
      <c r="M110" s="1"/>
    </row>
    <row r="111" spans="1:13" s="2" customFormat="1" x14ac:dyDescent="0.2">
      <c r="A111" s="87">
        <v>45066</v>
      </c>
      <c r="B111" s="120" t="s">
        <v>6</v>
      </c>
      <c r="C111" s="75" t="s">
        <v>271</v>
      </c>
      <c r="D111" s="88">
        <v>1166054</v>
      </c>
      <c r="G111" s="1"/>
      <c r="L111" s="1"/>
      <c r="M111" s="1"/>
    </row>
    <row r="112" spans="1:13" s="2" customFormat="1" x14ac:dyDescent="0.2">
      <c r="A112" s="87">
        <v>45066</v>
      </c>
      <c r="B112" s="120" t="s">
        <v>6</v>
      </c>
      <c r="C112" s="75" t="s">
        <v>271</v>
      </c>
      <c r="D112" s="88">
        <v>197868</v>
      </c>
      <c r="G112" s="1"/>
      <c r="L112" s="1"/>
      <c r="M112" s="1"/>
    </row>
    <row r="113" spans="1:13" s="2" customFormat="1" x14ac:dyDescent="0.2">
      <c r="A113" s="87">
        <v>45066</v>
      </c>
      <c r="B113" s="120" t="s">
        <v>6</v>
      </c>
      <c r="C113" s="75" t="s">
        <v>271</v>
      </c>
      <c r="D113" s="88">
        <v>411515</v>
      </c>
      <c r="G113" s="1"/>
      <c r="L113" s="1"/>
      <c r="M113" s="1"/>
    </row>
    <row r="114" spans="1:13" s="2" customFormat="1" x14ac:dyDescent="0.2">
      <c r="A114" s="87">
        <v>45066</v>
      </c>
      <c r="B114" s="120" t="s">
        <v>6</v>
      </c>
      <c r="C114" s="75" t="s">
        <v>271</v>
      </c>
      <c r="D114" s="88">
        <v>781035</v>
      </c>
      <c r="G114" s="1"/>
      <c r="L114" s="1"/>
      <c r="M114" s="1"/>
    </row>
    <row r="115" spans="1:13" s="2" customFormat="1" x14ac:dyDescent="0.2">
      <c r="A115" s="87">
        <v>45066</v>
      </c>
      <c r="B115" s="120" t="s">
        <v>6</v>
      </c>
      <c r="C115" s="75" t="s">
        <v>87</v>
      </c>
      <c r="D115" s="88">
        <v>1320555</v>
      </c>
      <c r="G115" s="1"/>
      <c r="L115" s="1"/>
      <c r="M115" s="1"/>
    </row>
    <row r="116" spans="1:13" s="2" customFormat="1" x14ac:dyDescent="0.2">
      <c r="A116" s="87"/>
      <c r="B116" s="74"/>
      <c r="C116" s="75"/>
      <c r="D116" s="51">
        <f>+SUBTOTAL(9,D89:D115)</f>
        <v>52237818</v>
      </c>
      <c r="F116" s="2" t="s">
        <v>396</v>
      </c>
      <c r="G116" s="1"/>
      <c r="I116" s="1"/>
      <c r="J116" s="1"/>
      <c r="K116" s="1"/>
      <c r="L116" s="1"/>
      <c r="M116" s="1"/>
    </row>
    <row r="117" spans="1:13" s="2" customFormat="1" x14ac:dyDescent="0.2">
      <c r="A117" s="24"/>
      <c r="B117" s="1"/>
      <c r="C117" s="14"/>
      <c r="D117" s="56"/>
      <c r="E117" s="13"/>
      <c r="G117" s="1"/>
    </row>
    <row r="118" spans="1:13" s="2" customFormat="1" x14ac:dyDescent="0.2">
      <c r="A118" s="24"/>
      <c r="B118" s="1"/>
      <c r="C118" s="218" t="s">
        <v>77</v>
      </c>
      <c r="D118" s="219"/>
      <c r="E118" s="219"/>
      <c r="F118" s="220"/>
      <c r="G118" s="54"/>
      <c r="I118" s="1"/>
      <c r="J118" s="1"/>
      <c r="K118" s="1"/>
      <c r="L118" s="1"/>
      <c r="M118" s="1"/>
    </row>
    <row r="119" spans="1:13" s="2" customFormat="1" x14ac:dyDescent="0.2">
      <c r="A119" s="24"/>
      <c r="B119" s="1"/>
      <c r="C119" s="50"/>
      <c r="D119" s="57" t="s">
        <v>78</v>
      </c>
      <c r="E119" s="58" t="s">
        <v>79</v>
      </c>
      <c r="F119" s="57" t="s">
        <v>72</v>
      </c>
      <c r="G119" s="54"/>
      <c r="I119" s="1"/>
      <c r="J119" s="1"/>
      <c r="K119" s="1"/>
      <c r="L119" s="1"/>
      <c r="M119" s="1"/>
    </row>
    <row r="120" spans="1:13" s="2" customFormat="1" x14ac:dyDescent="0.2">
      <c r="A120" s="24"/>
      <c r="B120" s="1"/>
      <c r="C120" s="59" t="str">
        <f>"01-05-2023 to "&amp;TEXT(A5-2,"dd-mm-yyyy")</f>
        <v>01-05-2023 to 18-05-2023</v>
      </c>
      <c r="D120" s="60">
        <v>2529.5</v>
      </c>
      <c r="E120" s="60">
        <v>209.41</v>
      </c>
      <c r="F120" s="61">
        <f>SUM(D120:E120)</f>
        <v>2738.91</v>
      </c>
      <c r="G120" s="54"/>
      <c r="I120" s="1"/>
      <c r="J120" s="1"/>
      <c r="K120" s="1"/>
      <c r="L120" s="1"/>
      <c r="M120" s="1"/>
    </row>
    <row r="121" spans="1:13" s="2" customFormat="1" x14ac:dyDescent="0.2">
      <c r="A121" s="24"/>
      <c r="B121" s="1"/>
      <c r="C121" s="62" t="str">
        <f>TEXT(A5-1,"dd-mm-yyyy")</f>
        <v>19-05-2023</v>
      </c>
      <c r="D121" s="60">
        <v>224.85</v>
      </c>
      <c r="E121" s="60">
        <v>9.75</v>
      </c>
      <c r="F121" s="61">
        <f>SUM(D121:E121)</f>
        <v>234.6</v>
      </c>
      <c r="G121" s="54"/>
      <c r="I121" s="1"/>
      <c r="J121" s="1"/>
      <c r="K121" s="1"/>
      <c r="L121" s="1"/>
      <c r="M121" s="1"/>
    </row>
    <row r="122" spans="1:13" ht="13.5" thickBot="1" x14ac:dyDescent="0.25">
      <c r="C122" s="63" t="str">
        <f>"01-05-2023 to "&amp;TEXT(A5-1,"dd-mm-yyyy")</f>
        <v>01-05-2023 to 19-05-2023</v>
      </c>
      <c r="D122" s="64">
        <f>SUM(D120:D121)</f>
        <v>2754.35</v>
      </c>
      <c r="E122" s="64">
        <f>SUM(E120:E121)</f>
        <v>219.16</v>
      </c>
      <c r="F122" s="64">
        <f>SUM(F120:F121)</f>
        <v>2973.5099999999998</v>
      </c>
      <c r="G122" s="54"/>
      <c r="H122" s="2" t="s">
        <v>396</v>
      </c>
    </row>
    <row r="123" spans="1:13" s="2" customFormat="1" ht="13.5" thickTop="1" x14ac:dyDescent="0.2">
      <c r="A123" s="24"/>
      <c r="B123" s="1"/>
      <c r="C123" s="62"/>
      <c r="D123" s="65"/>
      <c r="E123" s="66"/>
      <c r="F123" s="67"/>
      <c r="G123" s="54"/>
      <c r="H123" s="53"/>
    </row>
    <row r="124" spans="1:13" x14ac:dyDescent="0.2">
      <c r="C124" s="62" t="str">
        <f>"01-04-2023 to " &amp;C121</f>
        <v>01-04-2023 to 19-05-2023</v>
      </c>
      <c r="D124" s="68">
        <f>+D122+4343.67</f>
        <v>7098.02</v>
      </c>
      <c r="E124" s="68">
        <f>+E122+536.17</f>
        <v>755.32999999999993</v>
      </c>
      <c r="F124" s="68">
        <f>+F122+4879.84</f>
        <v>7853.35</v>
      </c>
      <c r="G124" s="54"/>
      <c r="H124" s="53" t="s">
        <v>396</v>
      </c>
    </row>
    <row r="125" spans="1:13" x14ac:dyDescent="0.2">
      <c r="C125" s="52"/>
      <c r="D125" s="85"/>
      <c r="E125" s="53"/>
      <c r="F125" s="53"/>
      <c r="G125" s="54"/>
      <c r="H125" s="53" t="s">
        <v>396</v>
      </c>
      <c r="J125" s="42"/>
    </row>
    <row r="126" spans="1:13" x14ac:dyDescent="0.2">
      <c r="C126" s="52"/>
      <c r="D126" s="85"/>
      <c r="E126" s="53"/>
      <c r="F126" s="53"/>
      <c r="G126" s="54"/>
      <c r="H126" s="53"/>
      <c r="I126" s="101"/>
    </row>
    <row r="127" spans="1:13" x14ac:dyDescent="0.2">
      <c r="C127" s="52"/>
      <c r="D127" s="85"/>
      <c r="E127" s="53"/>
      <c r="F127" s="53"/>
      <c r="G127" s="54"/>
      <c r="H127" s="53"/>
    </row>
    <row r="128" spans="1:13" x14ac:dyDescent="0.2">
      <c r="C128" s="52"/>
      <c r="D128" s="85"/>
      <c r="E128" s="53"/>
      <c r="F128" s="53"/>
      <c r="G128" s="54"/>
      <c r="H128" s="53"/>
    </row>
    <row r="129" spans="8:8" x14ac:dyDescent="0.2">
      <c r="H129" s="53"/>
    </row>
  </sheetData>
  <mergeCells count="5">
    <mergeCell ref="A1:G1"/>
    <mergeCell ref="A3:F3"/>
    <mergeCell ref="A9:F9"/>
    <mergeCell ref="A87:D87"/>
    <mergeCell ref="C118:F118"/>
  </mergeCells>
  <conditionalFormatting sqref="G84:G85">
    <cfRule type="cellIs" dxfId="558" priority="3" operator="lessThan">
      <formula>0</formula>
    </cfRule>
  </conditionalFormatting>
  <conditionalFormatting sqref="C11">
    <cfRule type="duplicateValues" dxfId="557" priority="4"/>
  </conditionalFormatting>
  <conditionalFormatting sqref="C62">
    <cfRule type="duplicateValues" dxfId="556" priority="2"/>
  </conditionalFormatting>
  <conditionalFormatting sqref="C63:C64 C12:C61">
    <cfRule type="duplicateValues" dxfId="555" priority="494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331">
    <pageSetUpPr fitToPage="1"/>
  </sheetPr>
  <dimension ref="A1:N126"/>
  <sheetViews>
    <sheetView topLeftCell="A49" zoomScaleNormal="100" workbookViewId="0">
      <selection activeCell="C46" sqref="C46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47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995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45068</v>
      </c>
      <c r="B5" s="9" t="s">
        <v>6</v>
      </c>
      <c r="C5" s="10" t="s">
        <v>7</v>
      </c>
      <c r="D5" s="11"/>
      <c r="E5" s="12">
        <v>200404.70000000019</v>
      </c>
      <c r="F5" s="12"/>
      <c r="G5" s="1"/>
      <c r="H5" s="112"/>
      <c r="I5" s="112"/>
    </row>
    <row r="6" spans="1:10" s="2" customFormat="1" ht="14.25" customHeight="1" x14ac:dyDescent="0.4">
      <c r="A6" s="89">
        <v>45068</v>
      </c>
      <c r="B6" s="9" t="s">
        <v>6</v>
      </c>
      <c r="C6" s="10" t="s">
        <v>1001</v>
      </c>
      <c r="D6" s="11"/>
      <c r="E6" s="12"/>
      <c r="F6" s="12">
        <v>2815</v>
      </c>
      <c r="G6" s="1"/>
      <c r="H6" s="112"/>
      <c r="I6" s="112"/>
    </row>
    <row r="7" spans="1:10" s="2" customFormat="1" ht="12.75" customHeight="1" x14ac:dyDescent="0.4">
      <c r="D7" s="15" t="s">
        <v>8</v>
      </c>
      <c r="E7" s="16">
        <f>SUM(E5:E5)</f>
        <v>200404.70000000019</v>
      </c>
      <c r="F7" s="16">
        <f>SUM(F6)</f>
        <v>2815</v>
      </c>
      <c r="G7" s="1"/>
      <c r="H7" s="112"/>
      <c r="I7" s="112"/>
    </row>
    <row r="8" spans="1:10" s="2" customFormat="1" ht="12.75" customHeight="1" x14ac:dyDescent="0.4">
      <c r="A8" s="17"/>
      <c r="B8" s="18"/>
      <c r="C8" s="19" t="s">
        <v>9</v>
      </c>
      <c r="D8" s="20"/>
      <c r="E8" s="21">
        <f>E7-F7</f>
        <v>197589.70000000019</v>
      </c>
      <c r="F8" s="22"/>
      <c r="G8" s="23"/>
      <c r="H8" s="112"/>
      <c r="I8" s="112"/>
      <c r="J8" s="13"/>
    </row>
    <row r="9" spans="1:10" s="2" customFormat="1" ht="12.75" customHeight="1" x14ac:dyDescent="0.4">
      <c r="A9" s="24"/>
      <c r="B9" s="1"/>
      <c r="C9" s="14"/>
      <c r="D9" s="25"/>
      <c r="G9" s="23"/>
      <c r="H9" s="112"/>
      <c r="I9" s="112"/>
      <c r="J9" s="13"/>
    </row>
    <row r="10" spans="1:10" s="2" customFormat="1" ht="21.75" customHeight="1" x14ac:dyDescent="0.4">
      <c r="A10" s="214" t="s">
        <v>10</v>
      </c>
      <c r="B10" s="214"/>
      <c r="C10" s="214"/>
      <c r="D10" s="214"/>
      <c r="E10" s="214"/>
      <c r="F10" s="214"/>
      <c r="G10" s="13"/>
      <c r="H10" s="112"/>
      <c r="I10" s="112"/>
      <c r="J10" s="13"/>
    </row>
    <row r="11" spans="1:10" s="2" customFormat="1" ht="12.75" customHeight="1" x14ac:dyDescent="0.4">
      <c r="A11" s="26" t="s">
        <v>1</v>
      </c>
      <c r="B11" s="27" t="s">
        <v>2</v>
      </c>
      <c r="C11" s="5"/>
      <c r="D11" s="6" t="s">
        <v>3</v>
      </c>
      <c r="E11" s="7" t="s">
        <v>4</v>
      </c>
      <c r="F11" s="7" t="s">
        <v>5</v>
      </c>
      <c r="G11" s="23"/>
      <c r="H11" s="112"/>
      <c r="I11" s="112"/>
      <c r="J11" s="13"/>
    </row>
    <row r="12" spans="1:10" s="2" customFormat="1" ht="12.75" customHeight="1" x14ac:dyDescent="0.2">
      <c r="A12" s="89">
        <v>45068</v>
      </c>
      <c r="B12" s="91" t="s">
        <v>11</v>
      </c>
      <c r="C12" s="29" t="s">
        <v>7</v>
      </c>
      <c r="D12" s="25"/>
      <c r="E12" s="31"/>
      <c r="F12" s="2">
        <v>311536791.95999992</v>
      </c>
      <c r="G12" s="30"/>
      <c r="I12" s="13"/>
      <c r="J12" s="13"/>
    </row>
    <row r="13" spans="1:10" s="2" customFormat="1" ht="12.75" customHeight="1" x14ac:dyDescent="0.2">
      <c r="A13" s="89">
        <v>45068</v>
      </c>
      <c r="B13" s="91" t="s">
        <v>6</v>
      </c>
      <c r="C13" s="76" t="s">
        <v>761</v>
      </c>
      <c r="D13" s="116" t="s">
        <v>13</v>
      </c>
      <c r="E13" s="31">
        <v>1328298</v>
      </c>
      <c r="G13" s="30"/>
      <c r="I13" s="13"/>
      <c r="J13" s="13"/>
    </row>
    <row r="14" spans="1:10" s="2" customFormat="1" ht="12.75" customHeight="1" x14ac:dyDescent="0.2">
      <c r="A14" s="89">
        <v>45068</v>
      </c>
      <c r="B14" s="91" t="s">
        <v>6</v>
      </c>
      <c r="C14" s="76" t="s">
        <v>996</v>
      </c>
      <c r="D14" s="116" t="s">
        <v>13</v>
      </c>
      <c r="E14" s="31">
        <v>193662</v>
      </c>
      <c r="G14" s="30"/>
      <c r="I14" s="13"/>
      <c r="J14" s="13"/>
    </row>
    <row r="15" spans="1:10" s="2" customFormat="1" ht="12.75" customHeight="1" x14ac:dyDescent="0.2">
      <c r="A15" s="89">
        <v>45068</v>
      </c>
      <c r="B15" s="91" t="s">
        <v>6</v>
      </c>
      <c r="C15" s="76" t="s">
        <v>381</v>
      </c>
      <c r="D15" s="116" t="s">
        <v>13</v>
      </c>
      <c r="E15" s="31">
        <v>966446</v>
      </c>
      <c r="G15" s="30"/>
      <c r="I15" s="13"/>
      <c r="J15" s="13"/>
    </row>
    <row r="16" spans="1:10" s="2" customFormat="1" ht="12.75" customHeight="1" x14ac:dyDescent="0.2">
      <c r="A16" s="89">
        <v>45068</v>
      </c>
      <c r="B16" s="91" t="s">
        <v>6</v>
      </c>
      <c r="C16" s="76" t="s">
        <v>326</v>
      </c>
      <c r="D16" s="116" t="s">
        <v>13</v>
      </c>
      <c r="E16" s="31">
        <v>650000</v>
      </c>
      <c r="G16" s="30"/>
      <c r="I16" s="13"/>
      <c r="J16" s="13"/>
    </row>
    <row r="17" spans="1:10" s="2" customFormat="1" ht="12.75" customHeight="1" x14ac:dyDescent="0.2">
      <c r="A17" s="89">
        <v>45068</v>
      </c>
      <c r="B17" s="91" t="s">
        <v>6</v>
      </c>
      <c r="C17" s="76" t="s">
        <v>468</v>
      </c>
      <c r="D17" s="116" t="s">
        <v>13</v>
      </c>
      <c r="E17" s="31">
        <v>369193</v>
      </c>
      <c r="G17" s="30"/>
      <c r="I17" s="13"/>
      <c r="J17" s="13"/>
    </row>
    <row r="18" spans="1:10" s="2" customFormat="1" ht="12.75" customHeight="1" x14ac:dyDescent="0.2">
      <c r="A18" s="89">
        <v>45068</v>
      </c>
      <c r="B18" s="91" t="s">
        <v>6</v>
      </c>
      <c r="C18" s="76" t="s">
        <v>318</v>
      </c>
      <c r="D18" s="116" t="s">
        <v>13</v>
      </c>
      <c r="E18" s="31">
        <v>1062077</v>
      </c>
      <c r="G18" s="30"/>
      <c r="I18" s="13"/>
      <c r="J18" s="13"/>
    </row>
    <row r="19" spans="1:10" s="2" customFormat="1" ht="12.75" customHeight="1" x14ac:dyDescent="0.2">
      <c r="A19" s="89">
        <v>45068</v>
      </c>
      <c r="B19" s="91" t="s">
        <v>6</v>
      </c>
      <c r="C19" s="76" t="s">
        <v>389</v>
      </c>
      <c r="D19" s="116" t="s">
        <v>13</v>
      </c>
      <c r="E19" s="31">
        <v>383192.29</v>
      </c>
      <c r="G19" s="30"/>
      <c r="I19" s="13"/>
      <c r="J19" s="13"/>
    </row>
    <row r="20" spans="1:10" s="2" customFormat="1" ht="12.75" customHeight="1" x14ac:dyDescent="0.2">
      <c r="A20" s="89">
        <v>45068</v>
      </c>
      <c r="B20" s="91" t="s">
        <v>6</v>
      </c>
      <c r="C20" s="76" t="s">
        <v>149</v>
      </c>
      <c r="D20" s="116" t="s">
        <v>13</v>
      </c>
      <c r="E20" s="31">
        <v>4710</v>
      </c>
      <c r="G20" s="30"/>
      <c r="I20" s="13"/>
      <c r="J20" s="13"/>
    </row>
    <row r="21" spans="1:10" s="2" customFormat="1" ht="12.75" customHeight="1" x14ac:dyDescent="0.2">
      <c r="A21" s="89">
        <v>45068</v>
      </c>
      <c r="B21" s="91" t="s">
        <v>6</v>
      </c>
      <c r="C21" s="76" t="s">
        <v>105</v>
      </c>
      <c r="D21" s="116" t="s">
        <v>13</v>
      </c>
      <c r="E21" s="31">
        <v>4965503</v>
      </c>
      <c r="G21" s="30"/>
      <c r="I21" s="13"/>
      <c r="J21" s="13"/>
    </row>
    <row r="22" spans="1:10" s="2" customFormat="1" ht="12.75" customHeight="1" x14ac:dyDescent="0.2">
      <c r="A22" s="89">
        <v>45068</v>
      </c>
      <c r="B22" s="91" t="s">
        <v>6</v>
      </c>
      <c r="C22" s="76" t="s">
        <v>560</v>
      </c>
      <c r="D22" s="116" t="s">
        <v>13</v>
      </c>
      <c r="E22" s="31">
        <v>256783.48</v>
      </c>
      <c r="G22" s="30"/>
      <c r="I22" s="13"/>
      <c r="J22" s="13"/>
    </row>
    <row r="23" spans="1:10" s="2" customFormat="1" ht="12.75" customHeight="1" x14ac:dyDescent="0.2">
      <c r="A23" s="89">
        <v>45068</v>
      </c>
      <c r="B23" s="91" t="s">
        <v>6</v>
      </c>
      <c r="C23" s="76" t="s">
        <v>148</v>
      </c>
      <c r="D23" s="116" t="s">
        <v>13</v>
      </c>
      <c r="E23" s="31">
        <v>1915774.36</v>
      </c>
      <c r="G23" s="30"/>
      <c r="I23" s="13"/>
      <c r="J23" s="13"/>
    </row>
    <row r="24" spans="1:10" s="2" customFormat="1" ht="12.75" customHeight="1" x14ac:dyDescent="0.2">
      <c r="A24" s="89">
        <v>45068</v>
      </c>
      <c r="B24" s="91" t="s">
        <v>6</v>
      </c>
      <c r="C24" s="76" t="s">
        <v>547</v>
      </c>
      <c r="D24" s="116" t="s">
        <v>13</v>
      </c>
      <c r="E24" s="31">
        <v>125500</v>
      </c>
      <c r="G24" s="30"/>
      <c r="I24" s="13"/>
      <c r="J24" s="13"/>
    </row>
    <row r="25" spans="1:10" s="2" customFormat="1" ht="12.75" customHeight="1" x14ac:dyDescent="0.2">
      <c r="A25" s="89">
        <v>45068</v>
      </c>
      <c r="B25" s="91" t="s">
        <v>6</v>
      </c>
      <c r="C25" s="76" t="s">
        <v>785</v>
      </c>
      <c r="D25" s="116" t="s">
        <v>13</v>
      </c>
      <c r="E25" s="31">
        <v>1873050</v>
      </c>
      <c r="G25" s="30"/>
      <c r="I25" s="13"/>
      <c r="J25" s="13"/>
    </row>
    <row r="26" spans="1:10" s="2" customFormat="1" ht="12.75" customHeight="1" x14ac:dyDescent="0.2">
      <c r="A26" s="89">
        <v>45068</v>
      </c>
      <c r="B26" s="91" t="s">
        <v>6</v>
      </c>
      <c r="C26" s="76" t="s">
        <v>272</v>
      </c>
      <c r="D26" s="116" t="s">
        <v>13</v>
      </c>
      <c r="E26" s="31">
        <v>705987</v>
      </c>
      <c r="G26" s="30"/>
      <c r="I26" s="13"/>
      <c r="J26" s="13"/>
    </row>
    <row r="27" spans="1:10" s="2" customFormat="1" ht="12.75" customHeight="1" x14ac:dyDescent="0.2">
      <c r="A27" s="89">
        <v>45068</v>
      </c>
      <c r="B27" s="91" t="s">
        <v>6</v>
      </c>
      <c r="C27" s="76" t="s">
        <v>15</v>
      </c>
      <c r="D27" s="116" t="s">
        <v>13</v>
      </c>
      <c r="E27" s="31">
        <v>23753.19</v>
      </c>
      <c r="G27" s="30"/>
      <c r="I27" s="13"/>
      <c r="J27" s="13"/>
    </row>
    <row r="28" spans="1:10" s="2" customFormat="1" ht="12.75" customHeight="1" x14ac:dyDescent="0.2">
      <c r="A28" s="89">
        <v>45068</v>
      </c>
      <c r="B28" s="91" t="s">
        <v>6</v>
      </c>
      <c r="C28" s="76" t="s">
        <v>694</v>
      </c>
      <c r="D28" s="116" t="s">
        <v>13</v>
      </c>
      <c r="E28" s="31">
        <v>911684</v>
      </c>
      <c r="G28" s="30"/>
      <c r="I28" s="13"/>
      <c r="J28" s="13"/>
    </row>
    <row r="29" spans="1:10" s="2" customFormat="1" ht="12.75" customHeight="1" x14ac:dyDescent="0.2">
      <c r="A29" s="89">
        <v>45068</v>
      </c>
      <c r="B29" s="91" t="s">
        <v>6</v>
      </c>
      <c r="C29" s="76" t="s">
        <v>1000</v>
      </c>
      <c r="D29" s="116" t="s">
        <v>13</v>
      </c>
      <c r="E29" s="31">
        <v>41816</v>
      </c>
      <c r="G29" s="30"/>
      <c r="I29" s="13"/>
      <c r="J29" s="13"/>
    </row>
    <row r="30" spans="1:10" s="2" customFormat="1" ht="12.75" customHeight="1" x14ac:dyDescent="0.2">
      <c r="A30" s="89">
        <v>45068</v>
      </c>
      <c r="B30" s="91" t="s">
        <v>6</v>
      </c>
      <c r="C30" s="76" t="s">
        <v>1002</v>
      </c>
      <c r="D30" s="116" t="s">
        <v>13</v>
      </c>
      <c r="E30" s="31">
        <v>6733452.6399999997</v>
      </c>
      <c r="G30" s="30"/>
      <c r="I30" s="13"/>
      <c r="J30" s="13"/>
    </row>
    <row r="31" spans="1:10" s="2" customFormat="1" ht="12.75" customHeight="1" x14ac:dyDescent="0.2">
      <c r="A31" s="89">
        <v>45068</v>
      </c>
      <c r="B31" s="91" t="s">
        <v>11</v>
      </c>
      <c r="C31" s="76" t="s">
        <v>15</v>
      </c>
      <c r="D31" s="116" t="s">
        <v>29</v>
      </c>
      <c r="E31" s="31"/>
      <c r="F31" s="2">
        <v>31367.17</v>
      </c>
      <c r="G31" s="30"/>
      <c r="I31" s="13"/>
      <c r="J31" s="13"/>
    </row>
    <row r="32" spans="1:10" s="2" customFormat="1" ht="12.75" customHeight="1" x14ac:dyDescent="0.2">
      <c r="A32" s="89">
        <v>45068</v>
      </c>
      <c r="B32" s="91" t="s">
        <v>11</v>
      </c>
      <c r="C32" s="76" t="s">
        <v>64</v>
      </c>
      <c r="D32" s="116" t="s">
        <v>29</v>
      </c>
      <c r="E32" s="31"/>
      <c r="F32" s="2">
        <v>16461.39</v>
      </c>
      <c r="G32" s="30"/>
      <c r="I32" s="13"/>
      <c r="J32" s="13"/>
    </row>
    <row r="33" spans="1:10" s="2" customFormat="1" ht="12.75" customHeight="1" x14ac:dyDescent="0.2">
      <c r="A33" s="89">
        <v>45068</v>
      </c>
      <c r="B33" s="91" t="s">
        <v>11</v>
      </c>
      <c r="C33" s="76" t="s">
        <v>127</v>
      </c>
      <c r="D33" s="116" t="s">
        <v>29</v>
      </c>
      <c r="E33" s="31"/>
      <c r="F33" s="2">
        <v>919099</v>
      </c>
      <c r="G33" s="30"/>
      <c r="I33" s="13"/>
      <c r="J33" s="13"/>
    </row>
    <row r="34" spans="1:10" s="2" customFormat="1" ht="12.75" customHeight="1" x14ac:dyDescent="0.2">
      <c r="A34" s="89">
        <v>45068</v>
      </c>
      <c r="B34" s="91" t="s">
        <v>11</v>
      </c>
      <c r="C34" s="76" t="s">
        <v>123</v>
      </c>
      <c r="D34" s="116" t="s">
        <v>29</v>
      </c>
      <c r="E34" s="31"/>
      <c r="F34" s="2">
        <v>392782</v>
      </c>
      <c r="G34" s="30"/>
      <c r="I34" s="13"/>
      <c r="J34" s="13"/>
    </row>
    <row r="35" spans="1:10" s="2" customFormat="1" ht="12.75" customHeight="1" x14ac:dyDescent="0.2">
      <c r="A35" s="89">
        <v>45068</v>
      </c>
      <c r="B35" s="91" t="s">
        <v>11</v>
      </c>
      <c r="C35" s="76" t="s">
        <v>34</v>
      </c>
      <c r="D35" s="116" t="s">
        <v>29</v>
      </c>
      <c r="E35" s="31"/>
      <c r="F35" s="2">
        <v>105000</v>
      </c>
      <c r="G35" s="30"/>
      <c r="I35" s="13"/>
      <c r="J35" s="13"/>
    </row>
    <row r="36" spans="1:10" s="2" customFormat="1" ht="12.75" customHeight="1" x14ac:dyDescent="0.2">
      <c r="A36" s="89">
        <v>45068</v>
      </c>
      <c r="B36" s="91" t="s">
        <v>11</v>
      </c>
      <c r="C36" s="76" t="s">
        <v>769</v>
      </c>
      <c r="D36" s="116" t="s">
        <v>29</v>
      </c>
      <c r="E36" s="31"/>
      <c r="F36" s="2">
        <v>364554</v>
      </c>
      <c r="G36" s="30"/>
      <c r="I36" s="13"/>
      <c r="J36" s="13"/>
    </row>
    <row r="37" spans="1:10" s="2" customFormat="1" ht="12.75" customHeight="1" x14ac:dyDescent="0.2">
      <c r="A37" s="89">
        <v>45068</v>
      </c>
      <c r="B37" s="91" t="s">
        <v>11</v>
      </c>
      <c r="C37" s="76" t="s">
        <v>665</v>
      </c>
      <c r="D37" s="116" t="s">
        <v>29</v>
      </c>
      <c r="E37" s="31"/>
      <c r="F37" s="2">
        <v>57710</v>
      </c>
      <c r="G37" s="30"/>
      <c r="I37" s="13"/>
      <c r="J37" s="13"/>
    </row>
    <row r="38" spans="1:10" s="2" customFormat="1" ht="12.75" customHeight="1" x14ac:dyDescent="0.2">
      <c r="A38" s="89">
        <v>45068</v>
      </c>
      <c r="B38" s="91" t="s">
        <v>11</v>
      </c>
      <c r="C38" s="76" t="s">
        <v>62</v>
      </c>
      <c r="D38" s="116" t="s">
        <v>29</v>
      </c>
      <c r="E38" s="31"/>
      <c r="F38" s="2">
        <v>88000</v>
      </c>
      <c r="G38" s="30"/>
      <c r="I38" s="13"/>
      <c r="J38" s="13"/>
    </row>
    <row r="39" spans="1:10" s="2" customFormat="1" ht="12.75" customHeight="1" x14ac:dyDescent="0.2">
      <c r="A39" s="89">
        <v>45068</v>
      </c>
      <c r="B39" s="91" t="s">
        <v>11</v>
      </c>
      <c r="C39" s="76" t="s">
        <v>997</v>
      </c>
      <c r="D39" s="116" t="s">
        <v>29</v>
      </c>
      <c r="E39" s="31"/>
      <c r="F39" s="2">
        <v>4725</v>
      </c>
      <c r="G39" s="30"/>
      <c r="I39" s="13"/>
      <c r="J39" s="13"/>
    </row>
    <row r="40" spans="1:10" s="2" customFormat="1" ht="12.75" customHeight="1" x14ac:dyDescent="0.2">
      <c r="A40" s="89">
        <v>45068</v>
      </c>
      <c r="B40" s="91" t="s">
        <v>11</v>
      </c>
      <c r="C40" s="76" t="s">
        <v>476</v>
      </c>
      <c r="D40" s="116" t="s">
        <v>29</v>
      </c>
      <c r="E40" s="31"/>
      <c r="F40" s="2">
        <v>1287</v>
      </c>
      <c r="G40" s="30"/>
      <c r="I40" s="13"/>
      <c r="J40" s="13"/>
    </row>
    <row r="41" spans="1:10" s="2" customFormat="1" ht="12.75" customHeight="1" x14ac:dyDescent="0.2">
      <c r="A41" s="89">
        <v>45068</v>
      </c>
      <c r="B41" s="91" t="s">
        <v>11</v>
      </c>
      <c r="C41" s="76" t="s">
        <v>210</v>
      </c>
      <c r="D41" s="116" t="s">
        <v>29</v>
      </c>
      <c r="E41" s="31"/>
      <c r="F41" s="2">
        <v>3009</v>
      </c>
      <c r="G41" s="30"/>
      <c r="I41" s="13"/>
      <c r="J41" s="13"/>
    </row>
    <row r="42" spans="1:10" s="2" customFormat="1" ht="12.75" customHeight="1" x14ac:dyDescent="0.2">
      <c r="A42" s="89">
        <v>45068</v>
      </c>
      <c r="B42" s="91" t="s">
        <v>11</v>
      </c>
      <c r="C42" s="76" t="s">
        <v>998</v>
      </c>
      <c r="D42" s="116" t="s">
        <v>29</v>
      </c>
      <c r="E42" s="31"/>
      <c r="F42" s="2">
        <v>1730733.74</v>
      </c>
      <c r="G42" s="30"/>
      <c r="I42" s="13"/>
      <c r="J42" s="13"/>
    </row>
    <row r="43" spans="1:10" s="2" customFormat="1" ht="12.75" customHeight="1" x14ac:dyDescent="0.2">
      <c r="A43" s="89">
        <v>45068</v>
      </c>
      <c r="B43" s="91" t="s">
        <v>11</v>
      </c>
      <c r="C43" s="76" t="s">
        <v>139</v>
      </c>
      <c r="D43" s="116" t="s">
        <v>29</v>
      </c>
      <c r="E43" s="31"/>
      <c r="F43" s="2">
        <v>629545</v>
      </c>
      <c r="G43" s="30"/>
      <c r="I43" s="13"/>
      <c r="J43" s="13"/>
    </row>
    <row r="44" spans="1:10" s="2" customFormat="1" ht="12.75" customHeight="1" x14ac:dyDescent="0.2">
      <c r="A44" s="89">
        <v>45068</v>
      </c>
      <c r="B44" s="91" t="s">
        <v>11</v>
      </c>
      <c r="C44" s="76" t="s">
        <v>300</v>
      </c>
      <c r="D44" s="116" t="s">
        <v>29</v>
      </c>
      <c r="E44" s="31"/>
      <c r="F44" s="2">
        <v>626244.5</v>
      </c>
      <c r="G44" s="30"/>
      <c r="I44" s="13"/>
      <c r="J44" s="13"/>
    </row>
    <row r="45" spans="1:10" s="2" customFormat="1" ht="12.75" customHeight="1" x14ac:dyDescent="0.2">
      <c r="A45" s="89">
        <v>45068</v>
      </c>
      <c r="B45" s="91" t="s">
        <v>11</v>
      </c>
      <c r="C45" s="76" t="s">
        <v>891</v>
      </c>
      <c r="D45" s="116" t="s">
        <v>29</v>
      </c>
      <c r="E45" s="31"/>
      <c r="F45" s="2">
        <v>93010</v>
      </c>
      <c r="G45" s="30"/>
      <c r="I45" s="13"/>
      <c r="J45" s="13"/>
    </row>
    <row r="46" spans="1:10" s="2" customFormat="1" ht="12.75" customHeight="1" x14ac:dyDescent="0.2">
      <c r="A46" s="89">
        <v>45068</v>
      </c>
      <c r="B46" s="91" t="s">
        <v>11</v>
      </c>
      <c r="C46" s="76" t="s">
        <v>693</v>
      </c>
      <c r="D46" s="116" t="s">
        <v>29</v>
      </c>
      <c r="E46" s="31"/>
      <c r="F46" s="2">
        <v>2976.75</v>
      </c>
      <c r="G46" s="30"/>
      <c r="I46" s="13"/>
      <c r="J46" s="13"/>
    </row>
    <row r="47" spans="1:10" s="2" customFormat="1" ht="12.75" customHeight="1" x14ac:dyDescent="0.2">
      <c r="A47" s="89">
        <v>45068</v>
      </c>
      <c r="B47" s="91" t="s">
        <v>11</v>
      </c>
      <c r="C47" s="76" t="s">
        <v>267</v>
      </c>
      <c r="D47" s="116" t="s">
        <v>29</v>
      </c>
      <c r="E47" s="31"/>
      <c r="F47" s="2">
        <v>6764</v>
      </c>
      <c r="G47" s="30"/>
      <c r="I47" s="13"/>
      <c r="J47" s="13"/>
    </row>
    <row r="48" spans="1:10" s="2" customFormat="1" ht="12.75" customHeight="1" x14ac:dyDescent="0.2">
      <c r="A48" s="89">
        <v>45068</v>
      </c>
      <c r="B48" s="91" t="s">
        <v>11</v>
      </c>
      <c r="C48" s="76" t="s">
        <v>52</v>
      </c>
      <c r="D48" s="116" t="s">
        <v>29</v>
      </c>
      <c r="E48" s="31"/>
      <c r="F48" s="2">
        <v>51975</v>
      </c>
      <c r="G48" s="30"/>
      <c r="I48" s="13"/>
      <c r="J48" s="13"/>
    </row>
    <row r="49" spans="1:14" s="2" customFormat="1" ht="12.75" customHeight="1" x14ac:dyDescent="0.2">
      <c r="A49" s="89">
        <v>45068</v>
      </c>
      <c r="B49" s="91" t="s">
        <v>11</v>
      </c>
      <c r="C49" s="76" t="s">
        <v>51</v>
      </c>
      <c r="D49" s="116" t="s">
        <v>29</v>
      </c>
      <c r="E49" s="31"/>
      <c r="F49" s="2">
        <v>52803</v>
      </c>
      <c r="G49" s="30"/>
      <c r="I49" s="13"/>
      <c r="J49" s="13"/>
    </row>
    <row r="50" spans="1:14" s="2" customFormat="1" ht="12.75" customHeight="1" x14ac:dyDescent="0.2">
      <c r="A50" s="89">
        <v>45068</v>
      </c>
      <c r="B50" s="91" t="s">
        <v>11</v>
      </c>
      <c r="C50" s="76" t="s">
        <v>999</v>
      </c>
      <c r="D50" s="116" t="s">
        <v>29</v>
      </c>
      <c r="E50" s="31"/>
      <c r="F50" s="2">
        <v>53425</v>
      </c>
      <c r="G50" s="30"/>
      <c r="I50" s="13"/>
      <c r="J50" s="13"/>
    </row>
    <row r="51" spans="1:14" s="2" customFormat="1" ht="12.75" customHeight="1" x14ac:dyDescent="0.2">
      <c r="A51" s="89">
        <v>45068</v>
      </c>
      <c r="B51" s="91" t="s">
        <v>11</v>
      </c>
      <c r="C51" s="76" t="s">
        <v>736</v>
      </c>
      <c r="D51" s="116" t="s">
        <v>29</v>
      </c>
      <c r="E51" s="31"/>
      <c r="F51" s="2">
        <v>70682</v>
      </c>
      <c r="G51" s="30"/>
      <c r="I51" s="13"/>
      <c r="J51" s="13"/>
    </row>
    <row r="52" spans="1:14" s="2" customFormat="1" ht="12.75" customHeight="1" x14ac:dyDescent="0.2">
      <c r="A52" s="89">
        <v>45068</v>
      </c>
      <c r="B52" s="91" t="s">
        <v>11</v>
      </c>
      <c r="C52" s="76" t="s">
        <v>63</v>
      </c>
      <c r="D52" s="116" t="s">
        <v>29</v>
      </c>
      <c r="E52" s="31"/>
      <c r="F52" s="2">
        <v>4250000</v>
      </c>
      <c r="G52" s="30"/>
      <c r="I52" s="13"/>
      <c r="J52" s="13"/>
    </row>
    <row r="53" spans="1:14" s="2" customFormat="1" ht="12.75" customHeight="1" x14ac:dyDescent="0.2">
      <c r="A53" s="89">
        <v>45068</v>
      </c>
      <c r="B53" s="91" t="s">
        <v>11</v>
      </c>
      <c r="C53" s="76" t="s">
        <v>482</v>
      </c>
      <c r="D53" s="116" t="s">
        <v>29</v>
      </c>
      <c r="E53" s="31"/>
      <c r="F53" s="2">
        <v>38482</v>
      </c>
      <c r="G53" s="30"/>
      <c r="I53" s="13"/>
      <c r="J53" s="13"/>
    </row>
    <row r="54" spans="1:14" s="2" customFormat="1" ht="12.75" customHeight="1" x14ac:dyDescent="0.2">
      <c r="A54" s="89">
        <v>45068</v>
      </c>
      <c r="B54" s="91" t="s">
        <v>11</v>
      </c>
      <c r="C54" s="76" t="s">
        <v>194</v>
      </c>
      <c r="D54" s="116" t="s">
        <v>29</v>
      </c>
      <c r="E54" s="31"/>
      <c r="F54" s="2">
        <v>2786688</v>
      </c>
      <c r="G54" s="30"/>
      <c r="I54" s="13"/>
      <c r="J54" s="13"/>
    </row>
    <row r="55" spans="1:14" s="2" customFormat="1" ht="12.75" customHeight="1" x14ac:dyDescent="0.2">
      <c r="A55" s="89">
        <v>45068</v>
      </c>
      <c r="B55" s="91" t="s">
        <v>11</v>
      </c>
      <c r="C55" s="76" t="s">
        <v>143</v>
      </c>
      <c r="D55" s="116" t="s">
        <v>258</v>
      </c>
      <c r="E55" s="31"/>
      <c r="F55" s="2">
        <v>4036927</v>
      </c>
      <c r="G55" s="30"/>
      <c r="J55" s="2" t="s">
        <v>601</v>
      </c>
      <c r="K55" s="25" t="s">
        <v>779</v>
      </c>
    </row>
    <row r="56" spans="1:14" s="2" customFormat="1" ht="12.75" customHeight="1" x14ac:dyDescent="0.25">
      <c r="A56" s="32"/>
      <c r="B56" s="33"/>
      <c r="C56" s="14"/>
      <c r="D56" s="34"/>
      <c r="E56" s="16">
        <f>SUM(E12:E55)</f>
        <v>22510881.959999997</v>
      </c>
      <c r="F56" s="16">
        <f>SUM(F12:F55)</f>
        <v>327951042.50999993</v>
      </c>
      <c r="G56" s="30"/>
      <c r="H56" s="1"/>
      <c r="I56" s="39">
        <v>310995725.55000001</v>
      </c>
      <c r="J56" s="2">
        <v>5555565</v>
      </c>
      <c r="K56" s="92">
        <f>E57-I56</f>
        <v>-5555565.0000000596</v>
      </c>
      <c r="L56" s="41"/>
      <c r="M56" s="42">
        <f>K56+J56</f>
        <v>-5.9604644775390625E-8</v>
      </c>
      <c r="N56" s="1"/>
    </row>
    <row r="57" spans="1:14" s="2" customFormat="1" x14ac:dyDescent="0.2">
      <c r="A57" s="36"/>
      <c r="B57" s="28" t="s">
        <v>11</v>
      </c>
      <c r="C57" s="19" t="s">
        <v>65</v>
      </c>
      <c r="D57" s="37"/>
      <c r="E57" s="38">
        <f>F56-E56</f>
        <v>305440160.54999995</v>
      </c>
      <c r="F57" s="22"/>
      <c r="G57" s="1"/>
      <c r="H57" s="1"/>
      <c r="J57" s="1"/>
      <c r="K57" s="1"/>
      <c r="L57" s="1"/>
      <c r="M57" s="1"/>
      <c r="N57" s="1"/>
    </row>
    <row r="58" spans="1:14" x14ac:dyDescent="0.2">
      <c r="A58" s="36"/>
      <c r="B58" s="28" t="s">
        <v>66</v>
      </c>
      <c r="C58" s="43" t="s">
        <v>67</v>
      </c>
      <c r="D58" s="43"/>
      <c r="E58" s="12">
        <v>29316181</v>
      </c>
      <c r="F58" s="22"/>
      <c r="H58" s="40"/>
      <c r="I58" s="45">
        <v>2475.75</v>
      </c>
      <c r="J58" s="46"/>
      <c r="K58" s="46"/>
      <c r="L58" s="13"/>
      <c r="M58" s="2"/>
      <c r="N58" s="2"/>
    </row>
    <row r="59" spans="1:14" ht="15" x14ac:dyDescent="0.25">
      <c r="A59" s="36"/>
      <c r="B59" s="28"/>
      <c r="C59" s="44" t="s">
        <v>68</v>
      </c>
      <c r="D59" s="43"/>
      <c r="E59" s="7">
        <f>E57+E58</f>
        <v>334756341.54999995</v>
      </c>
      <c r="F59" s="22"/>
      <c r="H59" s="103" t="s">
        <v>69</v>
      </c>
      <c r="I59" s="45">
        <v>-223.49</v>
      </c>
      <c r="J59" s="46"/>
      <c r="K59" s="46"/>
      <c r="L59" s="2"/>
      <c r="M59" s="2"/>
      <c r="N59" s="2"/>
    </row>
    <row r="60" spans="1:14" s="2" customFormat="1" x14ac:dyDescent="0.2">
      <c r="A60" s="24"/>
      <c r="B60" s="1"/>
      <c r="C60" s="14"/>
      <c r="D60" s="25"/>
      <c r="E60" s="1"/>
      <c r="H60" s="35" t="s">
        <v>70</v>
      </c>
      <c r="I60" s="45">
        <v>100</v>
      </c>
      <c r="J60" s="46">
        <f>+I61-D63</f>
        <v>0</v>
      </c>
      <c r="M60" s="2">
        <v>19.57</v>
      </c>
      <c r="N60" s="2" t="s">
        <v>535</v>
      </c>
    </row>
    <row r="61" spans="1:14" s="2" customFormat="1" x14ac:dyDescent="0.2">
      <c r="A61" s="24"/>
      <c r="B61" s="1"/>
      <c r="C61" s="56"/>
      <c r="D61" s="56"/>
      <c r="E61" s="104"/>
      <c r="G61" s="1"/>
      <c r="I61" s="49">
        <f>SUM(I58:I60)</f>
        <v>2352.2600000000002</v>
      </c>
      <c r="J61" s="46"/>
      <c r="K61" s="46"/>
    </row>
    <row r="62" spans="1:14" s="2" customFormat="1" x14ac:dyDescent="0.2">
      <c r="A62" s="24"/>
      <c r="B62" s="1"/>
      <c r="C62" s="78" t="s">
        <v>575</v>
      </c>
      <c r="D62" s="48" t="s">
        <v>576</v>
      </c>
      <c r="E62" s="104"/>
      <c r="G62" s="1"/>
    </row>
    <row r="63" spans="1:14" s="2" customFormat="1" x14ac:dyDescent="0.2">
      <c r="A63" s="24"/>
      <c r="B63" s="1"/>
      <c r="C63" s="47" t="s">
        <v>570</v>
      </c>
      <c r="D63" s="111">
        <v>2352.2600000000002</v>
      </c>
      <c r="E63" s="104"/>
      <c r="G63" s="1"/>
      <c r="H63" s="110" t="s">
        <v>581</v>
      </c>
    </row>
    <row r="64" spans="1:14" s="2" customFormat="1" x14ac:dyDescent="0.2">
      <c r="A64" s="24"/>
      <c r="B64" s="1"/>
      <c r="C64" s="47" t="s">
        <v>931</v>
      </c>
      <c r="D64" s="111">
        <v>385.52</v>
      </c>
      <c r="E64" s="104"/>
      <c r="G64" s="1"/>
      <c r="H64" s="110" t="s">
        <v>580</v>
      </c>
    </row>
    <row r="65" spans="1:13" s="2" customFormat="1" x14ac:dyDescent="0.2">
      <c r="A65" s="24"/>
      <c r="B65" s="1"/>
      <c r="C65" s="47" t="s">
        <v>572</v>
      </c>
      <c r="D65" s="111">
        <f>+D113/100000</f>
        <v>628.10018000000002</v>
      </c>
      <c r="E65" s="104"/>
      <c r="G65" s="1"/>
      <c r="H65" s="90" t="s">
        <v>587</v>
      </c>
    </row>
    <row r="66" spans="1:13" s="2" customFormat="1" x14ac:dyDescent="0.2">
      <c r="A66" s="24"/>
      <c r="B66" s="1"/>
      <c r="C66" s="108" t="s">
        <v>578</v>
      </c>
      <c r="D66" s="48">
        <f>SUM(D63:D65)</f>
        <v>3365.8801800000001</v>
      </c>
      <c r="E66" s="104"/>
      <c r="G66" s="1"/>
    </row>
    <row r="67" spans="1:13" s="2" customFormat="1" x14ac:dyDescent="0.2">
      <c r="A67" s="24"/>
      <c r="B67" s="1"/>
      <c r="C67" s="47"/>
      <c r="D67" s="107"/>
      <c r="E67" s="104"/>
      <c r="G67" s="1"/>
    </row>
    <row r="68" spans="1:13" s="2" customFormat="1" x14ac:dyDescent="0.2">
      <c r="A68" s="24"/>
      <c r="B68" s="1"/>
      <c r="C68" s="47" t="s">
        <v>932</v>
      </c>
      <c r="D68" s="111">
        <v>581.42999999999995</v>
      </c>
      <c r="E68" s="104"/>
      <c r="G68" s="1"/>
      <c r="H68" s="110" t="s">
        <v>581</v>
      </c>
    </row>
    <row r="69" spans="1:13" s="2" customFormat="1" x14ac:dyDescent="0.2">
      <c r="A69" s="24"/>
      <c r="B69" s="1"/>
      <c r="C69" s="47" t="s">
        <v>933</v>
      </c>
      <c r="D69" s="111">
        <f>488.97-14.66</f>
        <v>474.31</v>
      </c>
      <c r="E69" s="104"/>
      <c r="G69" s="1"/>
      <c r="H69" s="110" t="s">
        <v>581</v>
      </c>
      <c r="J69" s="114" t="s">
        <v>713</v>
      </c>
    </row>
    <row r="70" spans="1:13" s="2" customFormat="1" x14ac:dyDescent="0.2">
      <c r="A70" s="24"/>
      <c r="B70" s="1"/>
      <c r="C70" s="78" t="s">
        <v>579</v>
      </c>
      <c r="D70" s="109">
        <f>D68+D69</f>
        <v>1055.74</v>
      </c>
      <c r="E70" s="104"/>
      <c r="G70" s="1"/>
      <c r="I70" s="113"/>
      <c r="J70" s="113" t="s">
        <v>709</v>
      </c>
      <c r="K70" s="113" t="s">
        <v>710</v>
      </c>
      <c r="L70" s="113" t="s">
        <v>711</v>
      </c>
      <c r="M70" s="113" t="s">
        <v>712</v>
      </c>
    </row>
    <row r="71" spans="1:13" s="2" customFormat="1" x14ac:dyDescent="0.2">
      <c r="A71" s="24"/>
      <c r="B71" s="1"/>
      <c r="C71" s="105"/>
      <c r="D71" s="106"/>
      <c r="E71" s="104"/>
      <c r="G71" s="1"/>
      <c r="I71" s="113" t="s">
        <v>706</v>
      </c>
      <c r="J71" s="115"/>
      <c r="K71" s="115">
        <v>968.99</v>
      </c>
      <c r="L71" s="115">
        <v>968.99</v>
      </c>
      <c r="M71" s="113">
        <f>+J71+L71-K71</f>
        <v>0</v>
      </c>
    </row>
    <row r="72" spans="1:13" s="2" customFormat="1" x14ac:dyDescent="0.2">
      <c r="A72" s="24"/>
      <c r="B72" s="1"/>
      <c r="C72" s="78" t="s">
        <v>577</v>
      </c>
      <c r="D72" s="109">
        <f>D63+D70</f>
        <v>3408</v>
      </c>
      <c r="E72" s="104"/>
      <c r="G72" s="1"/>
      <c r="I72" s="113" t="s">
        <v>707</v>
      </c>
      <c r="J72" s="115">
        <v>183.1</v>
      </c>
      <c r="K72" s="115">
        <v>1902.92</v>
      </c>
      <c r="L72" s="115">
        <v>2754.76</v>
      </c>
      <c r="M72" s="113">
        <f>+J72+L72-K72</f>
        <v>1034.94</v>
      </c>
    </row>
    <row r="73" spans="1:13" s="2" customFormat="1" x14ac:dyDescent="0.2">
      <c r="A73" s="24"/>
      <c r="B73" s="1"/>
      <c r="C73" s="56"/>
      <c r="D73" s="56"/>
      <c r="E73" s="104"/>
      <c r="G73" s="1"/>
      <c r="I73" s="113" t="s">
        <v>708</v>
      </c>
      <c r="J73" s="115">
        <v>1371.02</v>
      </c>
      <c r="K73" s="115">
        <v>11324.57</v>
      </c>
      <c r="L73" s="115">
        <v>11513.22</v>
      </c>
      <c r="M73" s="113">
        <f>+J73+L73-K73</f>
        <v>1559.67</v>
      </c>
    </row>
    <row r="74" spans="1:13" s="2" customFormat="1" ht="38.25" x14ac:dyDescent="0.2">
      <c r="A74" s="24"/>
      <c r="B74" s="1"/>
      <c r="C74" s="79" t="str">
        <f>"Particulars ( 01-04-2021 to "&amp;TEXT(A5,"dd-mm-yyyy")&amp;" )"</f>
        <v>Particulars ( 01-04-2021 to 22-05-2023 )</v>
      </c>
      <c r="D74" s="80" t="s">
        <v>73</v>
      </c>
      <c r="E74" s="80" t="s">
        <v>74</v>
      </c>
      <c r="F74" s="81" t="s">
        <v>75</v>
      </c>
      <c r="G74" s="80" t="s">
        <v>76</v>
      </c>
      <c r="J74" s="118">
        <f>SUM(J71:J73)</f>
        <v>1554.12</v>
      </c>
      <c r="K74" s="118">
        <f>SUM(K71:K73)</f>
        <v>14196.48</v>
      </c>
      <c r="L74" s="118">
        <f>SUM(L71:L73)</f>
        <v>15236.97</v>
      </c>
      <c r="M74" s="118">
        <f>SUM(M71:M73)</f>
        <v>2594.61</v>
      </c>
    </row>
    <row r="75" spans="1:13" s="2" customFormat="1" x14ac:dyDescent="0.2">
      <c r="A75" s="24"/>
      <c r="B75" s="1"/>
      <c r="C75" s="50" t="s">
        <v>444</v>
      </c>
      <c r="D75" s="55">
        <f>+L71+L72+J72</f>
        <v>3906.85</v>
      </c>
      <c r="E75" s="55">
        <f>+K71+K72</f>
        <v>2871.91</v>
      </c>
      <c r="F75" s="55">
        <f>+D75-E75</f>
        <v>1034.94</v>
      </c>
      <c r="G75" s="55">
        <f>1500-F75</f>
        <v>465.05999999999995</v>
      </c>
      <c r="H75" s="2" t="s">
        <v>396</v>
      </c>
    </row>
    <row r="76" spans="1:13" s="2" customFormat="1" x14ac:dyDescent="0.2">
      <c r="A76" s="24"/>
      <c r="B76" s="1"/>
      <c r="C76" s="50" t="s">
        <v>71</v>
      </c>
      <c r="D76" s="55">
        <f>+J73+L73</f>
        <v>12884.24</v>
      </c>
      <c r="E76" s="55">
        <f>+K73</f>
        <v>11324.57</v>
      </c>
      <c r="F76" s="55">
        <f>+D76-E76</f>
        <v>1559.67</v>
      </c>
      <c r="G76" s="55">
        <f>1500+700-F76</f>
        <v>640.32999999999993</v>
      </c>
      <c r="H76" s="2" t="s">
        <v>396</v>
      </c>
    </row>
    <row r="77" spans="1:13" s="2" customFormat="1" x14ac:dyDescent="0.2">
      <c r="A77" s="24"/>
      <c r="B77" s="1"/>
      <c r="C77" s="14"/>
      <c r="D77" s="56"/>
      <c r="E77" s="13"/>
      <c r="G77" s="1"/>
    </row>
    <row r="78" spans="1:13" s="2" customFormat="1" x14ac:dyDescent="0.2">
      <c r="A78" s="215" t="s">
        <v>80</v>
      </c>
      <c r="B78" s="216"/>
      <c r="C78" s="216"/>
      <c r="D78" s="217"/>
      <c r="E78" s="69"/>
      <c r="F78" s="70"/>
      <c r="G78" s="1"/>
      <c r="H78" s="53"/>
    </row>
    <row r="79" spans="1:13" s="2" customFormat="1" x14ac:dyDescent="0.2">
      <c r="A79" s="71" t="s">
        <v>81</v>
      </c>
      <c r="B79" s="71"/>
      <c r="C79" s="72" t="s">
        <v>82</v>
      </c>
      <c r="D79" s="73" t="s">
        <v>83</v>
      </c>
      <c r="E79" s="69"/>
      <c r="F79" s="70"/>
      <c r="H79" s="53"/>
    </row>
    <row r="80" spans="1:13" s="2" customFormat="1" x14ac:dyDescent="0.2">
      <c r="A80" s="87">
        <v>45050</v>
      </c>
      <c r="B80" s="120" t="s">
        <v>6</v>
      </c>
      <c r="C80" s="75" t="s">
        <v>282</v>
      </c>
      <c r="D80" s="88">
        <v>1562637</v>
      </c>
      <c r="G80" s="1"/>
      <c r="L80" s="1"/>
      <c r="M80" s="1"/>
    </row>
    <row r="81" spans="1:13" s="2" customFormat="1" x14ac:dyDescent="0.2">
      <c r="A81" s="87">
        <v>45050</v>
      </c>
      <c r="B81" s="120" t="s">
        <v>6</v>
      </c>
      <c r="C81" s="75" t="s">
        <v>86</v>
      </c>
      <c r="D81" s="88">
        <v>2499321</v>
      </c>
      <c r="G81" s="1"/>
      <c r="L81" s="1"/>
      <c r="M81" s="1"/>
    </row>
    <row r="82" spans="1:13" s="2" customFormat="1" x14ac:dyDescent="0.2">
      <c r="A82" s="87">
        <v>45050</v>
      </c>
      <c r="B82" s="120" t="s">
        <v>6</v>
      </c>
      <c r="C82" s="75" t="s">
        <v>86</v>
      </c>
      <c r="D82" s="88">
        <v>6876102</v>
      </c>
      <c r="G82" s="1"/>
      <c r="L82" s="1"/>
      <c r="M82" s="1"/>
    </row>
    <row r="83" spans="1:13" s="2" customFormat="1" x14ac:dyDescent="0.2">
      <c r="A83" s="87">
        <v>45052</v>
      </c>
      <c r="B83" s="120" t="s">
        <v>6</v>
      </c>
      <c r="C83" s="75" t="s">
        <v>270</v>
      </c>
      <c r="D83" s="88">
        <v>1124141</v>
      </c>
      <c r="G83" s="1"/>
      <c r="L83" s="1"/>
      <c r="M83" s="1"/>
    </row>
    <row r="84" spans="1:13" s="2" customFormat="1" x14ac:dyDescent="0.2">
      <c r="A84" s="87">
        <v>45054</v>
      </c>
      <c r="B84" s="120" t="s">
        <v>6</v>
      </c>
      <c r="C84" s="75" t="s">
        <v>271</v>
      </c>
      <c r="D84" s="88">
        <v>476726</v>
      </c>
      <c r="G84" s="1"/>
      <c r="L84" s="1"/>
      <c r="M84" s="1"/>
    </row>
    <row r="85" spans="1:13" s="2" customFormat="1" x14ac:dyDescent="0.2">
      <c r="A85" s="87">
        <v>45054</v>
      </c>
      <c r="B85" s="120" t="s">
        <v>6</v>
      </c>
      <c r="C85" s="75" t="s">
        <v>271</v>
      </c>
      <c r="D85" s="88">
        <v>926688</v>
      </c>
      <c r="G85" s="1"/>
      <c r="L85" s="1"/>
      <c r="M85" s="1"/>
    </row>
    <row r="86" spans="1:13" s="2" customFormat="1" x14ac:dyDescent="0.2">
      <c r="A86" s="87">
        <v>45054</v>
      </c>
      <c r="B86" s="120" t="s">
        <v>6</v>
      </c>
      <c r="C86" s="75" t="s">
        <v>606</v>
      </c>
      <c r="D86" s="88">
        <v>1844917</v>
      </c>
      <c r="G86" s="1"/>
      <c r="L86" s="1"/>
      <c r="M86" s="1"/>
    </row>
    <row r="87" spans="1:13" s="2" customFormat="1" x14ac:dyDescent="0.2">
      <c r="A87" s="87">
        <v>45054</v>
      </c>
      <c r="B87" s="120" t="s">
        <v>6</v>
      </c>
      <c r="C87" s="75" t="s">
        <v>271</v>
      </c>
      <c r="D87" s="88">
        <v>1640794</v>
      </c>
      <c r="G87" s="1"/>
      <c r="L87" s="1"/>
      <c r="M87" s="1"/>
    </row>
    <row r="88" spans="1:13" s="2" customFormat="1" x14ac:dyDescent="0.2">
      <c r="A88" s="87">
        <v>45055</v>
      </c>
      <c r="B88" s="120" t="s">
        <v>6</v>
      </c>
      <c r="C88" s="75" t="s">
        <v>84</v>
      </c>
      <c r="D88" s="88">
        <v>2000000</v>
      </c>
      <c r="G88" s="1"/>
      <c r="L88" s="1"/>
      <c r="M88" s="1"/>
    </row>
    <row r="89" spans="1:13" s="2" customFormat="1" x14ac:dyDescent="0.2">
      <c r="A89" s="87">
        <v>45055</v>
      </c>
      <c r="B89" s="120" t="s">
        <v>6</v>
      </c>
      <c r="C89" s="75" t="s">
        <v>87</v>
      </c>
      <c r="D89" s="88">
        <v>2540563</v>
      </c>
      <c r="G89" s="1"/>
      <c r="L89" s="1"/>
      <c r="M89" s="1"/>
    </row>
    <row r="90" spans="1:13" s="2" customFormat="1" x14ac:dyDescent="0.2">
      <c r="A90" s="87">
        <v>45055</v>
      </c>
      <c r="B90" s="120" t="s">
        <v>6</v>
      </c>
      <c r="C90" s="75" t="s">
        <v>767</v>
      </c>
      <c r="D90" s="88">
        <v>950137</v>
      </c>
      <c r="G90" s="1"/>
      <c r="L90" s="1"/>
      <c r="M90" s="1"/>
    </row>
    <row r="91" spans="1:13" s="2" customFormat="1" x14ac:dyDescent="0.2">
      <c r="A91" s="87">
        <v>45056</v>
      </c>
      <c r="B91" s="120" t="s">
        <v>6</v>
      </c>
      <c r="C91" s="75" t="s">
        <v>271</v>
      </c>
      <c r="D91" s="88">
        <v>242417</v>
      </c>
      <c r="G91" s="1"/>
      <c r="L91" s="1"/>
      <c r="M91" s="1"/>
    </row>
    <row r="92" spans="1:13" s="2" customFormat="1" x14ac:dyDescent="0.2">
      <c r="A92" s="87">
        <v>45056</v>
      </c>
      <c r="B92" s="120" t="s">
        <v>6</v>
      </c>
      <c r="C92" s="75" t="s">
        <v>271</v>
      </c>
      <c r="D92" s="88">
        <v>674909</v>
      </c>
      <c r="G92" s="1"/>
      <c r="L92" s="1"/>
      <c r="M92" s="1"/>
    </row>
    <row r="93" spans="1:13" s="2" customFormat="1" x14ac:dyDescent="0.2">
      <c r="A93" s="87">
        <v>45056</v>
      </c>
      <c r="B93" s="120" t="s">
        <v>6</v>
      </c>
      <c r="C93" s="75" t="s">
        <v>271</v>
      </c>
      <c r="D93" s="88">
        <v>969371</v>
      </c>
      <c r="G93" s="1"/>
      <c r="L93" s="1"/>
      <c r="M93" s="1"/>
    </row>
    <row r="94" spans="1:13" s="2" customFormat="1" x14ac:dyDescent="0.2">
      <c r="A94" s="87">
        <v>45058</v>
      </c>
      <c r="B94" s="120" t="s">
        <v>6</v>
      </c>
      <c r="C94" s="75" t="s">
        <v>271</v>
      </c>
      <c r="D94" s="88">
        <v>650439</v>
      </c>
      <c r="G94" s="1"/>
      <c r="L94" s="1"/>
      <c r="M94" s="1"/>
    </row>
    <row r="95" spans="1:13" s="2" customFormat="1" x14ac:dyDescent="0.2">
      <c r="A95" s="87">
        <v>45058</v>
      </c>
      <c r="B95" s="120" t="s">
        <v>6</v>
      </c>
      <c r="C95" s="75" t="s">
        <v>271</v>
      </c>
      <c r="D95" s="88">
        <v>432067</v>
      </c>
      <c r="G95" s="1"/>
      <c r="L95" s="1"/>
      <c r="M95" s="1"/>
    </row>
    <row r="96" spans="1:13" s="2" customFormat="1" x14ac:dyDescent="0.2">
      <c r="A96" s="87">
        <v>45058</v>
      </c>
      <c r="B96" s="120" t="s">
        <v>6</v>
      </c>
      <c r="C96" s="75" t="s">
        <v>271</v>
      </c>
      <c r="D96" s="88">
        <v>412906</v>
      </c>
      <c r="G96" s="1"/>
      <c r="L96" s="1"/>
      <c r="M96" s="1"/>
    </row>
    <row r="97" spans="1:13" s="2" customFormat="1" x14ac:dyDescent="0.2">
      <c r="A97" s="87">
        <v>45061</v>
      </c>
      <c r="B97" s="120" t="s">
        <v>6</v>
      </c>
      <c r="C97" s="75" t="s">
        <v>282</v>
      </c>
      <c r="D97" s="88">
        <v>7500000</v>
      </c>
      <c r="G97" s="1"/>
      <c r="L97" s="1"/>
      <c r="M97" s="1"/>
    </row>
    <row r="98" spans="1:13" s="2" customFormat="1" x14ac:dyDescent="0.2">
      <c r="A98" s="87">
        <v>45062</v>
      </c>
      <c r="B98" s="120" t="s">
        <v>6</v>
      </c>
      <c r="C98" s="75" t="s">
        <v>86</v>
      </c>
      <c r="D98" s="88">
        <v>3769130</v>
      </c>
      <c r="G98" s="1"/>
      <c r="L98" s="1"/>
      <c r="M98" s="1"/>
    </row>
    <row r="99" spans="1:13" s="2" customFormat="1" x14ac:dyDescent="0.2">
      <c r="A99" s="87">
        <v>45063</v>
      </c>
      <c r="B99" s="120" t="s">
        <v>6</v>
      </c>
      <c r="C99" s="75" t="s">
        <v>84</v>
      </c>
      <c r="D99" s="88">
        <v>5033848</v>
      </c>
      <c r="G99" s="1"/>
      <c r="L99" s="1"/>
      <c r="M99" s="1"/>
    </row>
    <row r="100" spans="1:13" s="2" customFormat="1" x14ac:dyDescent="0.2">
      <c r="A100" s="87">
        <v>45065</v>
      </c>
      <c r="B100" s="120" t="s">
        <v>6</v>
      </c>
      <c r="C100" s="75" t="s">
        <v>594</v>
      </c>
      <c r="D100" s="88">
        <v>6001798</v>
      </c>
      <c r="G100" s="1"/>
      <c r="L100" s="1"/>
      <c r="M100" s="1"/>
    </row>
    <row r="101" spans="1:13" s="2" customFormat="1" x14ac:dyDescent="0.2">
      <c r="A101" s="87">
        <v>45065</v>
      </c>
      <c r="B101" s="120" t="s">
        <v>6</v>
      </c>
      <c r="C101" s="75" t="s">
        <v>594</v>
      </c>
      <c r="D101" s="88">
        <v>9126</v>
      </c>
      <c r="G101" s="1"/>
      <c r="L101" s="1"/>
      <c r="M101" s="1"/>
    </row>
    <row r="102" spans="1:13" s="2" customFormat="1" x14ac:dyDescent="0.2">
      <c r="A102" s="87">
        <v>45066</v>
      </c>
      <c r="B102" s="120" t="s">
        <v>6</v>
      </c>
      <c r="C102" s="75" t="s">
        <v>271</v>
      </c>
      <c r="D102" s="88">
        <v>231880</v>
      </c>
      <c r="G102" s="1"/>
      <c r="L102" s="1"/>
      <c r="M102" s="1"/>
    </row>
    <row r="103" spans="1:13" s="2" customFormat="1" x14ac:dyDescent="0.2">
      <c r="A103" s="87">
        <v>45066</v>
      </c>
      <c r="B103" s="120" t="s">
        <v>6</v>
      </c>
      <c r="C103" s="75" t="s">
        <v>271</v>
      </c>
      <c r="D103" s="88">
        <v>1166054</v>
      </c>
      <c r="G103" s="1"/>
      <c r="L103" s="1"/>
      <c r="M103" s="1"/>
    </row>
    <row r="104" spans="1:13" s="2" customFormat="1" x14ac:dyDescent="0.2">
      <c r="A104" s="87">
        <v>45066</v>
      </c>
      <c r="B104" s="120" t="s">
        <v>6</v>
      </c>
      <c r="C104" s="75" t="s">
        <v>271</v>
      </c>
      <c r="D104" s="88">
        <v>197868</v>
      </c>
      <c r="G104" s="1"/>
      <c r="L104" s="1"/>
      <c r="M104" s="1"/>
    </row>
    <row r="105" spans="1:13" s="2" customFormat="1" x14ac:dyDescent="0.2">
      <c r="A105" s="87">
        <v>45066</v>
      </c>
      <c r="B105" s="120" t="s">
        <v>6</v>
      </c>
      <c r="C105" s="75" t="s">
        <v>271</v>
      </c>
      <c r="D105" s="88">
        <v>411515</v>
      </c>
      <c r="G105" s="1"/>
      <c r="L105" s="1"/>
      <c r="M105" s="1"/>
    </row>
    <row r="106" spans="1:13" s="2" customFormat="1" x14ac:dyDescent="0.2">
      <c r="A106" s="87">
        <v>45066</v>
      </c>
      <c r="B106" s="120" t="s">
        <v>6</v>
      </c>
      <c r="C106" s="75" t="s">
        <v>271</v>
      </c>
      <c r="D106" s="88">
        <v>781035</v>
      </c>
      <c r="G106" s="1"/>
      <c r="L106" s="1"/>
      <c r="M106" s="1"/>
    </row>
    <row r="107" spans="1:13" s="2" customFormat="1" x14ac:dyDescent="0.2">
      <c r="A107" s="87">
        <v>45066</v>
      </c>
      <c r="B107" s="120" t="s">
        <v>6</v>
      </c>
      <c r="C107" s="75" t="s">
        <v>87</v>
      </c>
      <c r="D107" s="88">
        <v>1320555</v>
      </c>
      <c r="G107" s="1"/>
      <c r="L107" s="1"/>
      <c r="M107" s="1"/>
    </row>
    <row r="108" spans="1:13" s="2" customFormat="1" x14ac:dyDescent="0.2">
      <c r="A108" s="87">
        <v>45066</v>
      </c>
      <c r="B108" s="120" t="s">
        <v>6</v>
      </c>
      <c r="C108" s="75" t="s">
        <v>467</v>
      </c>
      <c r="D108" s="88">
        <v>2498439</v>
      </c>
      <c r="G108" s="1"/>
      <c r="L108" s="1"/>
      <c r="M108" s="1"/>
    </row>
    <row r="109" spans="1:13" s="2" customFormat="1" x14ac:dyDescent="0.2">
      <c r="A109" s="87">
        <v>45068</v>
      </c>
      <c r="B109" s="120" t="s">
        <v>6</v>
      </c>
      <c r="C109" s="75" t="s">
        <v>86</v>
      </c>
      <c r="D109" s="88">
        <v>588418</v>
      </c>
      <c r="G109" s="1"/>
      <c r="L109" s="1"/>
      <c r="M109" s="1"/>
    </row>
    <row r="110" spans="1:13" s="2" customFormat="1" x14ac:dyDescent="0.2">
      <c r="A110" s="87">
        <v>45068</v>
      </c>
      <c r="B110" s="120" t="s">
        <v>6</v>
      </c>
      <c r="C110" s="75" t="s">
        <v>86</v>
      </c>
      <c r="D110" s="88">
        <v>6280875</v>
      </c>
      <c r="G110" s="1"/>
      <c r="L110" s="1"/>
      <c r="M110" s="1"/>
    </row>
    <row r="111" spans="1:13" s="2" customFormat="1" x14ac:dyDescent="0.2">
      <c r="A111" s="87">
        <v>45068</v>
      </c>
      <c r="B111" s="120" t="s">
        <v>6</v>
      </c>
      <c r="C111" s="75" t="s">
        <v>86</v>
      </c>
      <c r="D111" s="88">
        <v>1195342</v>
      </c>
      <c r="G111" s="1"/>
      <c r="L111" s="1"/>
      <c r="M111" s="1"/>
    </row>
    <row r="112" spans="1:13" s="2" customFormat="1" x14ac:dyDescent="0.2">
      <c r="A112" s="87"/>
      <c r="B112" s="120"/>
      <c r="C112" s="75"/>
      <c r="D112" s="88"/>
      <c r="G112" s="1"/>
      <c r="L112" s="1"/>
      <c r="M112" s="1"/>
    </row>
    <row r="113" spans="1:13" s="2" customFormat="1" x14ac:dyDescent="0.2">
      <c r="A113" s="87"/>
      <c r="B113" s="74"/>
      <c r="C113" s="75"/>
      <c r="D113" s="51">
        <f>SUM(D80:D112)</f>
        <v>62810018</v>
      </c>
      <c r="F113" s="2" t="s">
        <v>396</v>
      </c>
      <c r="G113" s="1"/>
      <c r="I113" s="1"/>
      <c r="J113" s="1"/>
      <c r="K113" s="1"/>
      <c r="L113" s="1"/>
      <c r="M113" s="1"/>
    </row>
    <row r="114" spans="1:13" s="2" customFormat="1" x14ac:dyDescent="0.2">
      <c r="A114" s="24"/>
      <c r="B114" s="1"/>
      <c r="C114" s="14"/>
      <c r="D114" s="56"/>
      <c r="E114" s="13"/>
      <c r="G114" s="1"/>
    </row>
    <row r="115" spans="1:13" s="2" customFormat="1" x14ac:dyDescent="0.2">
      <c r="A115" s="24"/>
      <c r="B115" s="1"/>
      <c r="C115" s="218" t="s">
        <v>77</v>
      </c>
      <c r="D115" s="219"/>
      <c r="E115" s="219"/>
      <c r="F115" s="220"/>
      <c r="G115" s="54"/>
      <c r="I115" s="1"/>
      <c r="J115" s="1"/>
      <c r="K115" s="1"/>
      <c r="L115" s="1"/>
      <c r="M115" s="1"/>
    </row>
    <row r="116" spans="1:13" s="2" customFormat="1" x14ac:dyDescent="0.2">
      <c r="A116" s="24"/>
      <c r="B116" s="1"/>
      <c r="C116" s="50"/>
      <c r="D116" s="57" t="s">
        <v>78</v>
      </c>
      <c r="E116" s="58" t="s">
        <v>79</v>
      </c>
      <c r="F116" s="57" t="s">
        <v>72</v>
      </c>
      <c r="G116" s="54"/>
      <c r="I116" s="1"/>
      <c r="J116" s="1"/>
      <c r="K116" s="1"/>
      <c r="L116" s="1"/>
      <c r="M116" s="1"/>
    </row>
    <row r="117" spans="1:13" s="2" customFormat="1" x14ac:dyDescent="0.2">
      <c r="A117" s="24"/>
      <c r="B117" s="1"/>
      <c r="C117" s="59" t="str">
        <f>"01-05-2023 to "&amp;TEXT(A5-2,"dd-mm-yyyy")</f>
        <v>01-05-2023 to 20-05-2023</v>
      </c>
      <c r="D117" s="60">
        <v>2968.47</v>
      </c>
      <c r="E117" s="60">
        <v>237.42</v>
      </c>
      <c r="F117" s="61">
        <f>SUM(D117:E117)</f>
        <v>3205.89</v>
      </c>
      <c r="G117" s="54"/>
      <c r="I117" s="1"/>
      <c r="J117" s="1"/>
      <c r="K117" s="1"/>
      <c r="L117" s="1"/>
      <c r="M117" s="1"/>
    </row>
    <row r="118" spans="1:13" s="2" customFormat="1" x14ac:dyDescent="0.2">
      <c r="A118" s="24"/>
      <c r="B118" s="1"/>
      <c r="C118" s="62" t="str">
        <f>TEXT(A5-1,"dd-mm-yyyy")</f>
        <v>21-05-2023</v>
      </c>
      <c r="D118" s="60">
        <v>38.229999999999997</v>
      </c>
      <c r="E118" s="60">
        <v>4.76</v>
      </c>
      <c r="F118" s="61">
        <f>SUM(D118:E118)</f>
        <v>42.989999999999995</v>
      </c>
      <c r="G118" s="54"/>
      <c r="I118" s="1"/>
      <c r="J118" s="1"/>
      <c r="K118" s="1"/>
      <c r="L118" s="1"/>
      <c r="M118" s="1"/>
    </row>
    <row r="119" spans="1:13" ht="13.5" thickBot="1" x14ac:dyDescent="0.25">
      <c r="C119" s="63" t="str">
        <f>"01-05-2023 to "&amp;TEXT(A5-1,"dd-mm-yyyy")</f>
        <v>01-05-2023 to 21-05-2023</v>
      </c>
      <c r="D119" s="64">
        <f>SUM(D117:D118)</f>
        <v>3006.7</v>
      </c>
      <c r="E119" s="64">
        <f>SUM(E117:E118)</f>
        <v>242.17999999999998</v>
      </c>
      <c r="F119" s="64">
        <f>SUM(F117:F118)</f>
        <v>3248.8799999999997</v>
      </c>
      <c r="G119" s="54"/>
      <c r="H119" s="2" t="s">
        <v>396</v>
      </c>
    </row>
    <row r="120" spans="1:13" s="2" customFormat="1" ht="13.5" thickTop="1" x14ac:dyDescent="0.2">
      <c r="A120" s="24"/>
      <c r="B120" s="1"/>
      <c r="C120" s="62"/>
      <c r="D120" s="65"/>
      <c r="E120" s="66"/>
      <c r="F120" s="67"/>
      <c r="G120" s="54"/>
      <c r="H120" s="53"/>
    </row>
    <row r="121" spans="1:13" x14ac:dyDescent="0.2">
      <c r="C121" s="62" t="str">
        <f>"01-04-2023 to " &amp;C118</f>
        <v>01-04-2023 to 21-05-2023</v>
      </c>
      <c r="D121" s="68">
        <f>+D119+4343.67</f>
        <v>7350.37</v>
      </c>
      <c r="E121" s="68">
        <f>+E119+536.17</f>
        <v>778.34999999999991</v>
      </c>
      <c r="F121" s="68">
        <f>+F119+4879.84</f>
        <v>8128.7199999999993</v>
      </c>
      <c r="G121" s="54"/>
      <c r="H121" s="53" t="s">
        <v>396</v>
      </c>
    </row>
    <row r="122" spans="1:13" x14ac:dyDescent="0.2">
      <c r="C122" s="52"/>
      <c r="D122" s="85"/>
      <c r="E122" s="53"/>
      <c r="F122" s="53"/>
      <c r="G122" s="54"/>
      <c r="H122" s="53" t="s">
        <v>396</v>
      </c>
      <c r="J122" s="42"/>
    </row>
    <row r="123" spans="1:13" x14ac:dyDescent="0.2">
      <c r="C123" s="52"/>
      <c r="D123" s="85"/>
      <c r="E123" s="53"/>
      <c r="F123" s="53"/>
      <c r="G123" s="54"/>
      <c r="H123" s="53"/>
      <c r="I123" s="101"/>
    </row>
    <row r="124" spans="1:13" x14ac:dyDescent="0.2">
      <c r="C124" s="52"/>
      <c r="D124" s="85"/>
      <c r="E124" s="53"/>
      <c r="F124" s="53"/>
      <c r="G124" s="54"/>
      <c r="H124" s="53"/>
    </row>
    <row r="125" spans="1:13" x14ac:dyDescent="0.2">
      <c r="C125" s="52"/>
      <c r="D125" s="85"/>
      <c r="E125" s="53"/>
      <c r="F125" s="53"/>
      <c r="G125" s="54"/>
      <c r="H125" s="53"/>
    </row>
    <row r="126" spans="1:13" x14ac:dyDescent="0.2">
      <c r="H126" s="53"/>
    </row>
  </sheetData>
  <mergeCells count="5">
    <mergeCell ref="A1:G1"/>
    <mergeCell ref="A3:F3"/>
    <mergeCell ref="A10:F10"/>
    <mergeCell ref="A78:D78"/>
    <mergeCell ref="C115:F115"/>
  </mergeCells>
  <conditionalFormatting sqref="G75:G76">
    <cfRule type="cellIs" dxfId="554" priority="2" operator="lessThan">
      <formula>0</formula>
    </cfRule>
  </conditionalFormatting>
  <conditionalFormatting sqref="C12">
    <cfRule type="duplicateValues" dxfId="553" priority="3"/>
  </conditionalFormatting>
  <conditionalFormatting sqref="C13:C55">
    <cfRule type="duplicateValues" dxfId="552" priority="496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32">
    <pageSetUpPr fitToPage="1"/>
  </sheetPr>
  <dimension ref="A1:N121"/>
  <sheetViews>
    <sheetView topLeftCell="A100" zoomScaleNormal="100" workbookViewId="0">
      <selection activeCell="C46" sqref="C46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47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1006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45069</v>
      </c>
      <c r="B5" s="9" t="s">
        <v>6</v>
      </c>
      <c r="C5" s="10" t="s">
        <v>7</v>
      </c>
      <c r="D5" s="11"/>
      <c r="E5" s="12">
        <v>197589.70000000019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197589.70000000019</v>
      </c>
      <c r="F6" s="16"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+E6</f>
        <v>197589.70000000019</v>
      </c>
      <c r="F7" s="22"/>
      <c r="G7" s="23"/>
      <c r="H7" s="112"/>
      <c r="I7" s="112"/>
      <c r="J7" s="13"/>
    </row>
    <row r="8" spans="1:10" s="2" customFormat="1" ht="12.75" customHeight="1" x14ac:dyDescent="0.4">
      <c r="A8" s="24"/>
      <c r="B8" s="1"/>
      <c r="C8" s="14"/>
      <c r="D8" s="25"/>
      <c r="G8" s="23"/>
      <c r="H8" s="112"/>
      <c r="I8" s="112"/>
      <c r="J8" s="13"/>
    </row>
    <row r="9" spans="1:10" s="2" customFormat="1" ht="21.75" customHeight="1" x14ac:dyDescent="0.4">
      <c r="A9" s="214" t="s">
        <v>10</v>
      </c>
      <c r="B9" s="214"/>
      <c r="C9" s="214"/>
      <c r="D9" s="214"/>
      <c r="E9" s="214"/>
      <c r="F9" s="214"/>
      <c r="G9" s="13"/>
      <c r="H9" s="112"/>
      <c r="I9" s="112"/>
      <c r="J9" s="13"/>
    </row>
    <row r="10" spans="1:10" s="2" customFormat="1" ht="12.75" customHeight="1" x14ac:dyDescent="0.4">
      <c r="A10" s="26" t="s">
        <v>1</v>
      </c>
      <c r="B10" s="27" t="s">
        <v>2</v>
      </c>
      <c r="C10" s="5"/>
      <c r="D10" s="6" t="s">
        <v>3</v>
      </c>
      <c r="E10" s="7" t="s">
        <v>4</v>
      </c>
      <c r="F10" s="7" t="s">
        <v>5</v>
      </c>
      <c r="G10" s="23"/>
      <c r="H10" s="112"/>
      <c r="I10" s="112"/>
      <c r="J10" s="13"/>
    </row>
    <row r="11" spans="1:10" s="2" customFormat="1" ht="12.75" customHeight="1" x14ac:dyDescent="0.2">
      <c r="A11" s="89">
        <v>45069</v>
      </c>
      <c r="B11" s="91" t="s">
        <v>11</v>
      </c>
      <c r="C11" s="29" t="s">
        <v>7</v>
      </c>
      <c r="D11" s="25"/>
      <c r="E11" s="31"/>
      <c r="F11" s="2">
        <v>305440160.54999995</v>
      </c>
      <c r="G11" s="30"/>
      <c r="I11" s="13"/>
      <c r="J11" s="13"/>
    </row>
    <row r="12" spans="1:10" s="2" customFormat="1" ht="12.75" customHeight="1" x14ac:dyDescent="0.2">
      <c r="A12" s="89">
        <v>45069</v>
      </c>
      <c r="B12" s="91" t="s">
        <v>6</v>
      </c>
      <c r="C12" s="76" t="s">
        <v>648</v>
      </c>
      <c r="D12" s="116" t="s">
        <v>13</v>
      </c>
      <c r="E12" s="31">
        <v>75819</v>
      </c>
      <c r="G12" s="30"/>
      <c r="I12" s="13"/>
      <c r="J12" s="13"/>
    </row>
    <row r="13" spans="1:10" s="2" customFormat="1" ht="12.75" customHeight="1" x14ac:dyDescent="0.2">
      <c r="A13" s="89">
        <v>45069</v>
      </c>
      <c r="B13" s="91" t="s">
        <v>6</v>
      </c>
      <c r="C13" s="76" t="s">
        <v>332</v>
      </c>
      <c r="D13" s="116" t="s">
        <v>13</v>
      </c>
      <c r="E13" s="31">
        <v>1283512</v>
      </c>
      <c r="G13" s="30"/>
      <c r="I13" s="13"/>
      <c r="J13" s="13"/>
    </row>
    <row r="14" spans="1:10" s="2" customFormat="1" ht="12.75" customHeight="1" x14ac:dyDescent="0.2">
      <c r="A14" s="89">
        <v>45069</v>
      </c>
      <c r="B14" s="91" t="s">
        <v>6</v>
      </c>
      <c r="C14" s="76" t="s">
        <v>244</v>
      </c>
      <c r="D14" s="116" t="s">
        <v>13</v>
      </c>
      <c r="E14" s="31">
        <v>466354</v>
      </c>
      <c r="G14" s="30"/>
      <c r="I14" s="13"/>
      <c r="J14" s="13"/>
    </row>
    <row r="15" spans="1:10" s="2" customFormat="1" ht="12.75" customHeight="1" x14ac:dyDescent="0.2">
      <c r="A15" s="89">
        <v>45069</v>
      </c>
      <c r="B15" s="91" t="s">
        <v>6</v>
      </c>
      <c r="C15" s="76" t="s">
        <v>176</v>
      </c>
      <c r="D15" s="116" t="s">
        <v>13</v>
      </c>
      <c r="E15" s="31">
        <v>178488</v>
      </c>
      <c r="G15" s="30"/>
      <c r="I15" s="13"/>
      <c r="J15" s="13"/>
    </row>
    <row r="16" spans="1:10" s="2" customFormat="1" ht="12.75" customHeight="1" x14ac:dyDescent="0.2">
      <c r="A16" s="89">
        <v>45069</v>
      </c>
      <c r="B16" s="91" t="s">
        <v>6</v>
      </c>
      <c r="C16" s="76" t="s">
        <v>586</v>
      </c>
      <c r="D16" s="116" t="s">
        <v>13</v>
      </c>
      <c r="E16" s="31">
        <v>86043</v>
      </c>
      <c r="G16" s="30"/>
      <c r="I16" s="13"/>
      <c r="J16" s="13"/>
    </row>
    <row r="17" spans="1:10" s="2" customFormat="1" ht="12.75" customHeight="1" x14ac:dyDescent="0.2">
      <c r="A17" s="89">
        <v>45069</v>
      </c>
      <c r="B17" s="91" t="s">
        <v>6</v>
      </c>
      <c r="C17" s="76" t="s">
        <v>1003</v>
      </c>
      <c r="D17" s="116" t="s">
        <v>13</v>
      </c>
      <c r="E17" s="31">
        <v>12285</v>
      </c>
      <c r="G17" s="30"/>
      <c r="I17" s="13"/>
      <c r="J17" s="13"/>
    </row>
    <row r="18" spans="1:10" s="2" customFormat="1" ht="12.75" customHeight="1" x14ac:dyDescent="0.2">
      <c r="A18" s="89">
        <v>45069</v>
      </c>
      <c r="B18" s="91" t="s">
        <v>6</v>
      </c>
      <c r="C18" s="76" t="s">
        <v>149</v>
      </c>
      <c r="D18" s="116" t="s">
        <v>13</v>
      </c>
      <c r="E18" s="31">
        <v>10807</v>
      </c>
      <c r="G18" s="30"/>
      <c r="I18" s="13"/>
      <c r="J18" s="13"/>
    </row>
    <row r="19" spans="1:10" s="2" customFormat="1" ht="12.75" customHeight="1" x14ac:dyDescent="0.2">
      <c r="A19" s="89">
        <v>45069</v>
      </c>
      <c r="B19" s="91" t="s">
        <v>6</v>
      </c>
      <c r="C19" s="76" t="s">
        <v>177</v>
      </c>
      <c r="D19" s="116" t="s">
        <v>13</v>
      </c>
      <c r="E19" s="31">
        <v>1129624</v>
      </c>
      <c r="G19" s="30"/>
      <c r="I19" s="13"/>
      <c r="J19" s="13"/>
    </row>
    <row r="20" spans="1:10" s="2" customFormat="1" ht="12.75" customHeight="1" x14ac:dyDescent="0.2">
      <c r="A20" s="89">
        <v>45069</v>
      </c>
      <c r="B20" s="91" t="s">
        <v>6</v>
      </c>
      <c r="C20" s="76" t="s">
        <v>526</v>
      </c>
      <c r="D20" s="116" t="s">
        <v>13</v>
      </c>
      <c r="E20" s="31">
        <v>543259.78</v>
      </c>
      <c r="G20" s="30"/>
      <c r="I20" s="13"/>
      <c r="J20" s="13"/>
    </row>
    <row r="21" spans="1:10" s="2" customFormat="1" ht="12.75" customHeight="1" x14ac:dyDescent="0.2">
      <c r="A21" s="89">
        <v>45069</v>
      </c>
      <c r="B21" s="91" t="s">
        <v>6</v>
      </c>
      <c r="C21" s="76" t="s">
        <v>927</v>
      </c>
      <c r="D21" s="116" t="s">
        <v>13</v>
      </c>
      <c r="E21" s="31">
        <v>14234</v>
      </c>
      <c r="G21" s="30"/>
      <c r="I21" s="13"/>
      <c r="J21" s="13"/>
    </row>
    <row r="22" spans="1:10" s="2" customFormat="1" ht="12.75" customHeight="1" x14ac:dyDescent="0.2">
      <c r="A22" s="89">
        <v>45069</v>
      </c>
      <c r="B22" s="91" t="s">
        <v>6</v>
      </c>
      <c r="C22" s="76" t="s">
        <v>1004</v>
      </c>
      <c r="D22" s="116" t="s">
        <v>13</v>
      </c>
      <c r="E22" s="31">
        <v>14175</v>
      </c>
      <c r="G22" s="30"/>
      <c r="I22" s="13"/>
      <c r="J22" s="13"/>
    </row>
    <row r="23" spans="1:10" s="2" customFormat="1" ht="12.75" customHeight="1" x14ac:dyDescent="0.2">
      <c r="A23" s="89">
        <v>45069</v>
      </c>
      <c r="B23" s="91" t="s">
        <v>6</v>
      </c>
      <c r="C23" s="76" t="s">
        <v>152</v>
      </c>
      <c r="D23" s="116" t="s">
        <v>13</v>
      </c>
      <c r="E23" s="31">
        <v>9559425</v>
      </c>
      <c r="G23" s="30"/>
      <c r="I23" s="13"/>
      <c r="J23" s="13"/>
    </row>
    <row r="24" spans="1:10" s="2" customFormat="1" ht="12.75" customHeight="1" x14ac:dyDescent="0.2">
      <c r="A24" s="89">
        <v>45069</v>
      </c>
      <c r="B24" s="91" t="s">
        <v>6</v>
      </c>
      <c r="C24" s="76" t="s">
        <v>158</v>
      </c>
      <c r="D24" s="116" t="s">
        <v>13</v>
      </c>
      <c r="E24" s="31">
        <v>37362</v>
      </c>
      <c r="G24" s="30"/>
      <c r="I24" s="13"/>
      <c r="J24" s="13"/>
    </row>
    <row r="25" spans="1:10" s="2" customFormat="1" ht="12.75" customHeight="1" x14ac:dyDescent="0.2">
      <c r="A25" s="89">
        <v>45069</v>
      </c>
      <c r="B25" s="91" t="s">
        <v>6</v>
      </c>
      <c r="C25" s="76" t="s">
        <v>1005</v>
      </c>
      <c r="D25" s="116" t="s">
        <v>13</v>
      </c>
      <c r="E25" s="31">
        <v>1523</v>
      </c>
      <c r="G25" s="30"/>
      <c r="I25" s="13"/>
      <c r="J25" s="13"/>
    </row>
    <row r="26" spans="1:10" s="2" customFormat="1" ht="12.75" customHeight="1" x14ac:dyDescent="0.2">
      <c r="A26" s="89">
        <v>45069</v>
      </c>
      <c r="B26" s="91" t="s">
        <v>6</v>
      </c>
      <c r="C26" s="76" t="s">
        <v>200</v>
      </c>
      <c r="D26" s="116" t="s">
        <v>13</v>
      </c>
      <c r="E26" s="31">
        <v>52240</v>
      </c>
      <c r="G26" s="30"/>
      <c r="I26" s="13"/>
      <c r="J26" s="13"/>
    </row>
    <row r="27" spans="1:10" s="13" customFormat="1" ht="12.75" customHeight="1" x14ac:dyDescent="0.2">
      <c r="A27" s="97">
        <v>45069</v>
      </c>
      <c r="B27" s="102" t="s">
        <v>11</v>
      </c>
      <c r="C27" s="94" t="s">
        <v>824</v>
      </c>
      <c r="D27" s="119" t="s">
        <v>258</v>
      </c>
      <c r="E27" s="95"/>
      <c r="F27" s="13">
        <v>75389</v>
      </c>
      <c r="G27" s="100"/>
    </row>
    <row r="28" spans="1:10" s="2" customFormat="1" ht="12.75" customHeight="1" x14ac:dyDescent="0.2">
      <c r="A28" s="89">
        <v>45069</v>
      </c>
      <c r="B28" s="91" t="s">
        <v>11</v>
      </c>
      <c r="C28" s="76" t="s">
        <v>64</v>
      </c>
      <c r="D28" s="116" t="s">
        <v>29</v>
      </c>
      <c r="E28" s="31"/>
      <c r="F28" s="2">
        <v>7325.77</v>
      </c>
      <c r="G28" s="30"/>
      <c r="I28" s="13"/>
      <c r="J28" s="13"/>
    </row>
    <row r="29" spans="1:10" s="13" customFormat="1" ht="12.75" customHeight="1" x14ac:dyDescent="0.2">
      <c r="A29" s="97">
        <v>45069</v>
      </c>
      <c r="B29" s="102" t="s">
        <v>11</v>
      </c>
      <c r="C29" s="94" t="s">
        <v>536</v>
      </c>
      <c r="D29" s="119" t="s">
        <v>258</v>
      </c>
      <c r="E29" s="95"/>
      <c r="F29" s="13">
        <v>707270.8</v>
      </c>
      <c r="G29" s="100"/>
    </row>
    <row r="30" spans="1:10" s="2" customFormat="1" ht="12.75" customHeight="1" x14ac:dyDescent="0.2">
      <c r="A30" s="89">
        <v>45069</v>
      </c>
      <c r="B30" s="91" t="s">
        <v>11</v>
      </c>
      <c r="C30" s="76" t="s">
        <v>111</v>
      </c>
      <c r="D30" s="116" t="s">
        <v>29</v>
      </c>
      <c r="E30" s="31"/>
      <c r="F30" s="2">
        <v>1395595.27</v>
      </c>
      <c r="G30" s="30"/>
      <c r="I30" s="13"/>
      <c r="J30" s="13"/>
    </row>
    <row r="31" spans="1:10" s="2" customFormat="1" ht="12.75" customHeight="1" x14ac:dyDescent="0.2">
      <c r="A31" s="89">
        <v>45069</v>
      </c>
      <c r="B31" s="91" t="s">
        <v>11</v>
      </c>
      <c r="C31" s="76" t="s">
        <v>199</v>
      </c>
      <c r="D31" s="116" t="s">
        <v>29</v>
      </c>
      <c r="E31" s="31"/>
      <c r="F31" s="2">
        <v>2742595</v>
      </c>
      <c r="G31" s="30"/>
      <c r="I31" s="13"/>
      <c r="J31" s="13"/>
    </row>
    <row r="32" spans="1:10" s="2" customFormat="1" ht="12.75" customHeight="1" x14ac:dyDescent="0.2">
      <c r="A32" s="89">
        <v>45069</v>
      </c>
      <c r="B32" s="91" t="s">
        <v>11</v>
      </c>
      <c r="C32" s="76" t="s">
        <v>34</v>
      </c>
      <c r="D32" s="116" t="s">
        <v>29</v>
      </c>
      <c r="E32" s="31"/>
      <c r="F32" s="2">
        <v>40000</v>
      </c>
      <c r="G32" s="30"/>
      <c r="I32" s="13"/>
      <c r="J32" s="13"/>
    </row>
    <row r="33" spans="1:10" s="2" customFormat="1" ht="12.75" customHeight="1" x14ac:dyDescent="0.2">
      <c r="A33" s="89">
        <v>45069</v>
      </c>
      <c r="B33" s="91" t="s">
        <v>11</v>
      </c>
      <c r="C33" s="76" t="s">
        <v>53</v>
      </c>
      <c r="D33" s="116" t="s">
        <v>29</v>
      </c>
      <c r="E33" s="31"/>
      <c r="F33" s="2">
        <v>35162</v>
      </c>
      <c r="G33" s="30"/>
      <c r="I33" s="13"/>
      <c r="J33" s="13"/>
    </row>
    <row r="34" spans="1:10" s="2" customFormat="1" ht="12.75" customHeight="1" x14ac:dyDescent="0.2">
      <c r="A34" s="89">
        <v>45069</v>
      </c>
      <c r="B34" s="91" t="s">
        <v>11</v>
      </c>
      <c r="C34" s="76" t="s">
        <v>561</v>
      </c>
      <c r="D34" s="116" t="s">
        <v>29</v>
      </c>
      <c r="E34" s="31"/>
      <c r="F34" s="2">
        <v>1129086</v>
      </c>
      <c r="G34" s="30"/>
      <c r="I34" s="13"/>
      <c r="J34" s="13"/>
    </row>
    <row r="35" spans="1:10" s="2" customFormat="1" ht="12.75" customHeight="1" x14ac:dyDescent="0.2">
      <c r="A35" s="89">
        <v>45069</v>
      </c>
      <c r="B35" s="91" t="s">
        <v>11</v>
      </c>
      <c r="C35" s="76" t="s">
        <v>95</v>
      </c>
      <c r="D35" s="116" t="s">
        <v>29</v>
      </c>
      <c r="E35" s="31"/>
      <c r="F35" s="2">
        <v>92565</v>
      </c>
      <c r="G35" s="30"/>
      <c r="I35" s="13"/>
      <c r="J35" s="13"/>
    </row>
    <row r="36" spans="1:10" s="2" customFormat="1" ht="12.75" customHeight="1" x14ac:dyDescent="0.2">
      <c r="A36" s="89">
        <v>45069</v>
      </c>
      <c r="B36" s="91" t="s">
        <v>11</v>
      </c>
      <c r="C36" s="76" t="s">
        <v>96</v>
      </c>
      <c r="D36" s="116" t="s">
        <v>29</v>
      </c>
      <c r="E36" s="31"/>
      <c r="F36" s="2">
        <v>6509</v>
      </c>
      <c r="G36" s="30"/>
      <c r="I36" s="13"/>
      <c r="J36" s="13"/>
    </row>
    <row r="37" spans="1:10" s="2" customFormat="1" ht="12.75" customHeight="1" x14ac:dyDescent="0.2">
      <c r="A37" s="89">
        <v>45069</v>
      </c>
      <c r="B37" s="91" t="s">
        <v>11</v>
      </c>
      <c r="C37" s="76" t="s">
        <v>923</v>
      </c>
      <c r="D37" s="116" t="s">
        <v>29</v>
      </c>
      <c r="E37" s="31"/>
      <c r="F37" s="2">
        <v>600000</v>
      </c>
      <c r="G37" s="30"/>
      <c r="I37" s="13"/>
      <c r="J37" s="13"/>
    </row>
    <row r="38" spans="1:10" s="2" customFormat="1" ht="12.75" customHeight="1" x14ac:dyDescent="0.2">
      <c r="A38" s="89">
        <v>45069</v>
      </c>
      <c r="B38" s="91" t="s">
        <v>11</v>
      </c>
      <c r="C38" s="76" t="s">
        <v>57</v>
      </c>
      <c r="D38" s="116" t="s">
        <v>29</v>
      </c>
      <c r="E38" s="31"/>
      <c r="F38" s="2">
        <v>3500000</v>
      </c>
      <c r="G38" s="30"/>
      <c r="I38" s="13"/>
      <c r="J38" s="13"/>
    </row>
    <row r="39" spans="1:10" s="2" customFormat="1" ht="12.75" customHeight="1" x14ac:dyDescent="0.2">
      <c r="A39" s="89">
        <v>45069</v>
      </c>
      <c r="B39" s="91" t="s">
        <v>11</v>
      </c>
      <c r="C39" s="76" t="s">
        <v>798</v>
      </c>
      <c r="D39" s="116" t="s">
        <v>29</v>
      </c>
      <c r="E39" s="31"/>
      <c r="F39" s="2">
        <v>107680</v>
      </c>
      <c r="G39" s="30"/>
      <c r="I39" s="13"/>
      <c r="J39" s="13"/>
    </row>
    <row r="40" spans="1:10" s="2" customFormat="1" ht="12.75" customHeight="1" x14ac:dyDescent="0.2">
      <c r="A40" s="89">
        <v>45069</v>
      </c>
      <c r="B40" s="91" t="s">
        <v>11</v>
      </c>
      <c r="C40" s="76" t="s">
        <v>251</v>
      </c>
      <c r="D40" s="116" t="s">
        <v>29</v>
      </c>
      <c r="E40" s="31"/>
      <c r="F40" s="2">
        <v>579719</v>
      </c>
      <c r="G40" s="30"/>
      <c r="I40" s="13"/>
      <c r="J40" s="13"/>
    </row>
    <row r="41" spans="1:10" s="2" customFormat="1" ht="12.75" customHeight="1" x14ac:dyDescent="0.2">
      <c r="A41" s="89">
        <v>45069</v>
      </c>
      <c r="B41" s="91" t="s">
        <v>11</v>
      </c>
      <c r="C41" s="76" t="s">
        <v>28</v>
      </c>
      <c r="D41" s="116" t="s">
        <v>29</v>
      </c>
      <c r="E41" s="31"/>
      <c r="F41" s="2">
        <v>284155.8</v>
      </c>
      <c r="G41" s="30"/>
      <c r="I41" s="13"/>
      <c r="J41" s="13"/>
    </row>
    <row r="42" spans="1:10" s="2" customFormat="1" ht="12.75" customHeight="1" x14ac:dyDescent="0.2">
      <c r="A42" s="89">
        <v>45069</v>
      </c>
      <c r="B42" s="91" t="s">
        <v>11</v>
      </c>
      <c r="C42" s="76" t="s">
        <v>49</v>
      </c>
      <c r="D42" s="116" t="s">
        <v>29</v>
      </c>
      <c r="E42" s="31"/>
      <c r="F42" s="2">
        <v>184197</v>
      </c>
      <c r="G42" s="30"/>
      <c r="I42" s="13"/>
      <c r="J42" s="13"/>
    </row>
    <row r="43" spans="1:10" s="2" customFormat="1" ht="12.75" customHeight="1" x14ac:dyDescent="0.2">
      <c r="A43" s="89">
        <v>45069</v>
      </c>
      <c r="B43" s="91" t="s">
        <v>11</v>
      </c>
      <c r="C43" s="76" t="s">
        <v>140</v>
      </c>
      <c r="D43" s="116" t="s">
        <v>29</v>
      </c>
      <c r="E43" s="31"/>
      <c r="F43" s="2">
        <v>3177330</v>
      </c>
      <c r="G43" s="30"/>
      <c r="I43" s="13"/>
      <c r="J43" s="13"/>
    </row>
    <row r="44" spans="1:10" s="2" customFormat="1" ht="12.75" customHeight="1" x14ac:dyDescent="0.2">
      <c r="A44" s="89">
        <v>45069</v>
      </c>
      <c r="B44" s="91" t="s">
        <v>11</v>
      </c>
      <c r="C44" s="76" t="s">
        <v>171</v>
      </c>
      <c r="D44" s="116" t="s">
        <v>29</v>
      </c>
      <c r="E44" s="31"/>
      <c r="F44" s="2">
        <v>6608</v>
      </c>
      <c r="G44" s="30"/>
      <c r="I44" s="13"/>
      <c r="J44" s="13"/>
    </row>
    <row r="45" spans="1:10" s="2" customFormat="1" ht="12.75" customHeight="1" x14ac:dyDescent="0.2">
      <c r="A45" s="89">
        <v>45069</v>
      </c>
      <c r="B45" s="91" t="s">
        <v>11</v>
      </c>
      <c r="C45" s="76" t="s">
        <v>649</v>
      </c>
      <c r="D45" s="116" t="s">
        <v>29</v>
      </c>
      <c r="E45" s="31"/>
      <c r="F45" s="2">
        <v>1050999.6399999999</v>
      </c>
      <c r="G45" s="30"/>
      <c r="I45" s="13"/>
      <c r="J45" s="13"/>
    </row>
    <row r="46" spans="1:10" s="2" customFormat="1" ht="12.75" customHeight="1" x14ac:dyDescent="0.2">
      <c r="A46" s="89">
        <v>45069</v>
      </c>
      <c r="B46" s="91" t="s">
        <v>11</v>
      </c>
      <c r="C46" s="76" t="s">
        <v>357</v>
      </c>
      <c r="D46" s="116" t="s">
        <v>29</v>
      </c>
      <c r="E46" s="31"/>
      <c r="F46" s="2">
        <v>395501.62</v>
      </c>
      <c r="G46" s="30"/>
      <c r="I46" s="13"/>
      <c r="J46" s="13"/>
    </row>
    <row r="47" spans="1:10" s="2" customFormat="1" ht="12.75" customHeight="1" x14ac:dyDescent="0.2">
      <c r="A47" s="89">
        <v>45069</v>
      </c>
      <c r="B47" s="91" t="s">
        <v>11</v>
      </c>
      <c r="C47" s="76" t="s">
        <v>631</v>
      </c>
      <c r="D47" s="116" t="s">
        <v>29</v>
      </c>
      <c r="E47" s="31"/>
      <c r="F47" s="2">
        <v>180920</v>
      </c>
      <c r="G47" s="30"/>
      <c r="I47" s="13"/>
      <c r="J47" s="13"/>
    </row>
    <row r="48" spans="1:10" s="2" customFormat="1" ht="12.75" customHeight="1" x14ac:dyDescent="0.2">
      <c r="A48" s="89">
        <v>45069</v>
      </c>
      <c r="B48" s="91" t="s">
        <v>11</v>
      </c>
      <c r="C48" s="76" t="s">
        <v>642</v>
      </c>
      <c r="D48" s="116" t="s">
        <v>29</v>
      </c>
      <c r="E48" s="31"/>
      <c r="F48" s="2">
        <v>14000</v>
      </c>
      <c r="G48" s="30"/>
      <c r="I48" s="13"/>
      <c r="J48" s="13"/>
    </row>
    <row r="49" spans="1:14" s="2" customFormat="1" ht="12.75" customHeight="1" x14ac:dyDescent="0.2">
      <c r="A49" s="89">
        <v>45069</v>
      </c>
      <c r="B49" s="91" t="s">
        <v>11</v>
      </c>
      <c r="C49" s="76" t="s">
        <v>500</v>
      </c>
      <c r="D49" s="116" t="s">
        <v>29</v>
      </c>
      <c r="E49" s="31"/>
      <c r="F49" s="2">
        <v>5583263</v>
      </c>
      <c r="G49" s="30"/>
      <c r="I49" s="13"/>
      <c r="J49" s="13"/>
    </row>
    <row r="50" spans="1:14" s="2" customFormat="1" ht="12.75" customHeight="1" x14ac:dyDescent="0.2">
      <c r="A50" s="89">
        <v>45069</v>
      </c>
      <c r="B50" s="91" t="s">
        <v>11</v>
      </c>
      <c r="C50" s="76" t="s">
        <v>533</v>
      </c>
      <c r="D50" s="116" t="s">
        <v>29</v>
      </c>
      <c r="E50" s="31"/>
      <c r="F50" s="2">
        <v>5555565</v>
      </c>
      <c r="G50" s="30"/>
      <c r="I50" s="13"/>
      <c r="J50" s="2" t="s">
        <v>1007</v>
      </c>
      <c r="K50" s="25" t="s">
        <v>779</v>
      </c>
    </row>
    <row r="51" spans="1:14" s="2" customFormat="1" ht="12.75" customHeight="1" x14ac:dyDescent="0.25">
      <c r="A51" s="32"/>
      <c r="B51" s="33"/>
      <c r="C51" s="14"/>
      <c r="D51" s="34"/>
      <c r="E51" s="16">
        <f>SUM(E11:E50)</f>
        <v>13465150.780000001</v>
      </c>
      <c r="F51" s="16">
        <f>SUM(F11:F50)</f>
        <v>332891597.44999993</v>
      </c>
      <c r="G51" s="30"/>
      <c r="H51" s="1"/>
      <c r="I51" s="39">
        <v>319426446.67000002</v>
      </c>
      <c r="J51" s="2">
        <v>70682</v>
      </c>
      <c r="K51" s="92">
        <f>E52-I51</f>
        <v>0</v>
      </c>
      <c r="L51" s="41"/>
      <c r="M51" s="42">
        <f>K51+J51</f>
        <v>70682</v>
      </c>
      <c r="N51" s="1"/>
    </row>
    <row r="52" spans="1:14" s="2" customFormat="1" x14ac:dyDescent="0.2">
      <c r="A52" s="36"/>
      <c r="B52" s="28" t="s">
        <v>11</v>
      </c>
      <c r="C52" s="19" t="s">
        <v>65</v>
      </c>
      <c r="D52" s="37"/>
      <c r="E52" s="38">
        <f>F51-E51</f>
        <v>319426446.66999996</v>
      </c>
      <c r="F52" s="22"/>
      <c r="G52" s="1"/>
      <c r="H52" s="1"/>
      <c r="J52" s="1"/>
      <c r="K52" s="1"/>
      <c r="L52" s="1"/>
      <c r="M52" s="1"/>
      <c r="N52" s="1"/>
    </row>
    <row r="53" spans="1:14" x14ac:dyDescent="0.2">
      <c r="A53" s="36"/>
      <c r="B53" s="28" t="s">
        <v>66</v>
      </c>
      <c r="C53" s="43" t="s">
        <v>67</v>
      </c>
      <c r="D53" s="43"/>
      <c r="E53" s="12">
        <v>29316181</v>
      </c>
      <c r="F53" s="22"/>
      <c r="H53" s="40"/>
      <c r="I53" s="45">
        <v>2610.02</v>
      </c>
      <c r="J53" s="46"/>
      <c r="K53" s="46"/>
      <c r="L53" s="13"/>
      <c r="M53" s="2"/>
      <c r="N53" s="2"/>
    </row>
    <row r="54" spans="1:14" ht="15" x14ac:dyDescent="0.25">
      <c r="A54" s="36"/>
      <c r="B54" s="28"/>
      <c r="C54" s="44" t="s">
        <v>68</v>
      </c>
      <c r="D54" s="43"/>
      <c r="E54" s="7">
        <f>E52+E53</f>
        <v>348742627.66999996</v>
      </c>
      <c r="F54" s="22"/>
      <c r="H54" s="103" t="s">
        <v>69</v>
      </c>
      <c r="I54" s="45">
        <v>-231.32</v>
      </c>
      <c r="J54" s="46"/>
      <c r="K54" s="46"/>
      <c r="L54" s="2"/>
      <c r="M54" s="2"/>
      <c r="N54" s="2"/>
    </row>
    <row r="55" spans="1:14" s="2" customFormat="1" x14ac:dyDescent="0.2">
      <c r="A55" s="24"/>
      <c r="B55" s="1"/>
      <c r="C55" s="14"/>
      <c r="D55" s="25"/>
      <c r="E55" s="1"/>
      <c r="H55" s="35" t="s">
        <v>70</v>
      </c>
      <c r="I55" s="45">
        <v>100</v>
      </c>
      <c r="J55" s="46">
        <f>+I56-D58</f>
        <v>0</v>
      </c>
      <c r="M55" s="2">
        <v>19.57</v>
      </c>
      <c r="N55" s="2" t="s">
        <v>535</v>
      </c>
    </row>
    <row r="56" spans="1:14" s="2" customFormat="1" x14ac:dyDescent="0.2">
      <c r="A56" s="24"/>
      <c r="B56" s="1"/>
      <c r="C56" s="56"/>
      <c r="D56" s="56"/>
      <c r="E56" s="104"/>
      <c r="G56" s="1"/>
      <c r="I56" s="49">
        <f>SUM(I53:I55)</f>
        <v>2478.6999999999998</v>
      </c>
      <c r="J56" s="46"/>
      <c r="K56" s="46"/>
    </row>
    <row r="57" spans="1:14" s="2" customFormat="1" x14ac:dyDescent="0.2">
      <c r="A57" s="24"/>
      <c r="B57" s="1"/>
      <c r="C57" s="78" t="s">
        <v>575</v>
      </c>
      <c r="D57" s="48" t="s">
        <v>576</v>
      </c>
      <c r="E57" s="104"/>
      <c r="G57" s="1"/>
    </row>
    <row r="58" spans="1:14" s="2" customFormat="1" x14ac:dyDescent="0.2">
      <c r="A58" s="24"/>
      <c r="B58" s="1"/>
      <c r="C58" s="47" t="s">
        <v>570</v>
      </c>
      <c r="D58" s="111">
        <v>2478.6999999999998</v>
      </c>
      <c r="E58" s="104"/>
      <c r="G58" s="1"/>
      <c r="H58" s="110" t="s">
        <v>581</v>
      </c>
    </row>
    <row r="59" spans="1:14" s="2" customFormat="1" x14ac:dyDescent="0.2">
      <c r="A59" s="24"/>
      <c r="B59" s="1"/>
      <c r="C59" s="47" t="s">
        <v>931</v>
      </c>
      <c r="D59" s="111">
        <v>385.52</v>
      </c>
      <c r="E59" s="104"/>
      <c r="G59" s="1"/>
      <c r="H59" s="110" t="s">
        <v>580</v>
      </c>
    </row>
    <row r="60" spans="1:14" s="2" customFormat="1" x14ac:dyDescent="0.2">
      <c r="A60" s="24"/>
      <c r="B60" s="1"/>
      <c r="C60" s="47" t="s">
        <v>572</v>
      </c>
      <c r="D60" s="111">
        <f>+D108/100000</f>
        <v>628.10018000000002</v>
      </c>
      <c r="E60" s="104"/>
      <c r="G60" s="1"/>
      <c r="H60" s="90" t="s">
        <v>587</v>
      </c>
    </row>
    <row r="61" spans="1:14" s="2" customFormat="1" x14ac:dyDescent="0.2">
      <c r="A61" s="24"/>
      <c r="B61" s="1"/>
      <c r="C61" s="108" t="s">
        <v>578</v>
      </c>
      <c r="D61" s="48">
        <f>SUM(D58:D60)</f>
        <v>3492.3201799999997</v>
      </c>
      <c r="E61" s="104"/>
      <c r="G61" s="1"/>
    </row>
    <row r="62" spans="1:14" s="2" customFormat="1" x14ac:dyDescent="0.2">
      <c r="A62" s="24"/>
      <c r="B62" s="1"/>
      <c r="C62" s="47"/>
      <c r="D62" s="107"/>
      <c r="E62" s="104"/>
      <c r="G62" s="1"/>
    </row>
    <row r="63" spans="1:14" s="2" customFormat="1" x14ac:dyDescent="0.2">
      <c r="A63" s="24"/>
      <c r="B63" s="1"/>
      <c r="C63" s="47" t="s">
        <v>932</v>
      </c>
      <c r="D63" s="111">
        <v>581.42999999999995</v>
      </c>
      <c r="E63" s="104"/>
      <c r="G63" s="1"/>
      <c r="H63" s="110" t="s">
        <v>581</v>
      </c>
    </row>
    <row r="64" spans="1:14" s="2" customFormat="1" x14ac:dyDescent="0.2">
      <c r="A64" s="24"/>
      <c r="B64" s="1"/>
      <c r="C64" s="47" t="s">
        <v>933</v>
      </c>
      <c r="D64" s="111">
        <f>488.97-14.66</f>
        <v>474.31</v>
      </c>
      <c r="E64" s="104"/>
      <c r="G64" s="1"/>
      <c r="H64" s="110" t="s">
        <v>581</v>
      </c>
      <c r="J64" s="114" t="s">
        <v>713</v>
      </c>
    </row>
    <row r="65" spans="1:13" s="2" customFormat="1" x14ac:dyDescent="0.2">
      <c r="A65" s="24"/>
      <c r="B65" s="1"/>
      <c r="C65" s="78" t="s">
        <v>579</v>
      </c>
      <c r="D65" s="109">
        <f>D63+D64</f>
        <v>1055.74</v>
      </c>
      <c r="E65" s="104"/>
      <c r="G65" s="1"/>
      <c r="I65" s="113"/>
      <c r="J65" s="113" t="s">
        <v>709</v>
      </c>
      <c r="K65" s="113" t="s">
        <v>710</v>
      </c>
      <c r="L65" s="113" t="s">
        <v>711</v>
      </c>
      <c r="M65" s="113" t="s">
        <v>712</v>
      </c>
    </row>
    <row r="66" spans="1:13" s="2" customFormat="1" x14ac:dyDescent="0.2">
      <c r="A66" s="24"/>
      <c r="B66" s="1"/>
      <c r="C66" s="105"/>
      <c r="D66" s="106"/>
      <c r="E66" s="104"/>
      <c r="G66" s="1"/>
      <c r="I66" s="113" t="s">
        <v>706</v>
      </c>
      <c r="J66" s="115"/>
      <c r="K66" s="115">
        <v>968.99</v>
      </c>
      <c r="L66" s="115">
        <v>968.99</v>
      </c>
      <c r="M66" s="113">
        <f>+J66+L66-K66</f>
        <v>0</v>
      </c>
    </row>
    <row r="67" spans="1:13" s="2" customFormat="1" x14ac:dyDescent="0.2">
      <c r="A67" s="24"/>
      <c r="B67" s="1"/>
      <c r="C67" s="78" t="s">
        <v>577</v>
      </c>
      <c r="D67" s="109">
        <f>D58+D65</f>
        <v>3534.4399999999996</v>
      </c>
      <c r="E67" s="104"/>
      <c r="G67" s="1"/>
      <c r="I67" s="113" t="s">
        <v>707</v>
      </c>
      <c r="J67" s="115">
        <v>183.1</v>
      </c>
      <c r="K67" s="115">
        <v>1902.92</v>
      </c>
      <c r="L67" s="115">
        <v>2754.76</v>
      </c>
      <c r="M67" s="113">
        <f>+J67+L67-K67</f>
        <v>1034.94</v>
      </c>
    </row>
    <row r="68" spans="1:13" s="2" customFormat="1" x14ac:dyDescent="0.2">
      <c r="A68" s="24"/>
      <c r="B68" s="1"/>
      <c r="C68" s="56"/>
      <c r="D68" s="56"/>
      <c r="E68" s="104"/>
      <c r="G68" s="1"/>
      <c r="I68" s="113" t="s">
        <v>708</v>
      </c>
      <c r="J68" s="115">
        <v>1371.02</v>
      </c>
      <c r="K68" s="115">
        <v>11324.57</v>
      </c>
      <c r="L68" s="115">
        <v>11513.22</v>
      </c>
      <c r="M68" s="113">
        <f>+J68+L68-K68</f>
        <v>1559.67</v>
      </c>
    </row>
    <row r="69" spans="1:13" s="2" customFormat="1" ht="38.25" x14ac:dyDescent="0.2">
      <c r="A69" s="24"/>
      <c r="B69" s="1"/>
      <c r="C69" s="79" t="str">
        <f>"Particulars ( 01-04-2021 to "&amp;TEXT(A5,"dd-mm-yyyy")&amp;" )"</f>
        <v>Particulars ( 01-04-2021 to 23-05-2023 )</v>
      </c>
      <c r="D69" s="80" t="s">
        <v>73</v>
      </c>
      <c r="E69" s="80" t="s">
        <v>74</v>
      </c>
      <c r="F69" s="81" t="s">
        <v>75</v>
      </c>
      <c r="G69" s="80" t="s">
        <v>76</v>
      </c>
      <c r="J69" s="118">
        <f>SUM(J66:J68)</f>
        <v>1554.12</v>
      </c>
      <c r="K69" s="118">
        <f>SUM(K66:K68)</f>
        <v>14196.48</v>
      </c>
      <c r="L69" s="118">
        <f>SUM(L66:L68)</f>
        <v>15236.97</v>
      </c>
      <c r="M69" s="118">
        <f>SUM(M66:M68)</f>
        <v>2594.61</v>
      </c>
    </row>
    <row r="70" spans="1:13" s="2" customFormat="1" x14ac:dyDescent="0.2">
      <c r="A70" s="24"/>
      <c r="B70" s="1"/>
      <c r="C70" s="50" t="s">
        <v>444</v>
      </c>
      <c r="D70" s="55">
        <f>+L66+L67+J67</f>
        <v>3906.85</v>
      </c>
      <c r="E70" s="55">
        <f>+K66+K67</f>
        <v>2871.91</v>
      </c>
      <c r="F70" s="55">
        <f>+D70-E70</f>
        <v>1034.94</v>
      </c>
      <c r="G70" s="55">
        <f>1500-F70</f>
        <v>465.05999999999995</v>
      </c>
      <c r="H70" s="2" t="s">
        <v>396</v>
      </c>
    </row>
    <row r="71" spans="1:13" s="2" customFormat="1" x14ac:dyDescent="0.2">
      <c r="A71" s="24"/>
      <c r="B71" s="1"/>
      <c r="C71" s="50" t="s">
        <v>71</v>
      </c>
      <c r="D71" s="55">
        <f>+J68+L68</f>
        <v>12884.24</v>
      </c>
      <c r="E71" s="55">
        <f>+K68</f>
        <v>11324.57</v>
      </c>
      <c r="F71" s="55">
        <f>+D71-E71</f>
        <v>1559.67</v>
      </c>
      <c r="G71" s="55">
        <f>1500+700-F71</f>
        <v>640.32999999999993</v>
      </c>
      <c r="H71" s="2" t="s">
        <v>396</v>
      </c>
    </row>
    <row r="72" spans="1:13" s="2" customFormat="1" x14ac:dyDescent="0.2">
      <c r="A72" s="24"/>
      <c r="B72" s="1"/>
      <c r="C72" s="14"/>
      <c r="D72" s="56"/>
      <c r="E72" s="13"/>
      <c r="G72" s="1"/>
    </row>
    <row r="73" spans="1:13" s="2" customFormat="1" x14ac:dyDescent="0.2">
      <c r="A73" s="215" t="s">
        <v>80</v>
      </c>
      <c r="B73" s="216"/>
      <c r="C73" s="216"/>
      <c r="D73" s="217"/>
      <c r="E73" s="69"/>
      <c r="F73" s="70"/>
      <c r="G73" s="1"/>
      <c r="H73" s="53"/>
    </row>
    <row r="74" spans="1:13" s="2" customFormat="1" x14ac:dyDescent="0.2">
      <c r="A74" s="71" t="s">
        <v>81</v>
      </c>
      <c r="B74" s="71"/>
      <c r="C74" s="72" t="s">
        <v>82</v>
      </c>
      <c r="D74" s="73" t="s">
        <v>83</v>
      </c>
      <c r="E74" s="69"/>
      <c r="F74" s="70"/>
      <c r="H74" s="53"/>
    </row>
    <row r="75" spans="1:13" s="2" customFormat="1" x14ac:dyDescent="0.2">
      <c r="A75" s="87">
        <v>45050</v>
      </c>
      <c r="B75" s="120" t="s">
        <v>6</v>
      </c>
      <c r="C75" s="75" t="s">
        <v>282</v>
      </c>
      <c r="D75" s="88">
        <v>1562637</v>
      </c>
      <c r="G75" s="1"/>
      <c r="L75" s="1"/>
      <c r="M75" s="1"/>
    </row>
    <row r="76" spans="1:13" s="2" customFormat="1" x14ac:dyDescent="0.2">
      <c r="A76" s="87">
        <v>45050</v>
      </c>
      <c r="B76" s="120" t="s">
        <v>6</v>
      </c>
      <c r="C76" s="75" t="s">
        <v>86</v>
      </c>
      <c r="D76" s="88">
        <v>2499321</v>
      </c>
      <c r="G76" s="1"/>
      <c r="L76" s="1"/>
      <c r="M76" s="1"/>
    </row>
    <row r="77" spans="1:13" s="2" customFormat="1" x14ac:dyDescent="0.2">
      <c r="A77" s="87">
        <v>45050</v>
      </c>
      <c r="B77" s="120" t="s">
        <v>6</v>
      </c>
      <c r="C77" s="75" t="s">
        <v>86</v>
      </c>
      <c r="D77" s="88">
        <v>6876102</v>
      </c>
      <c r="G77" s="1"/>
      <c r="L77" s="1"/>
      <c r="M77" s="1"/>
    </row>
    <row r="78" spans="1:13" s="2" customFormat="1" x14ac:dyDescent="0.2">
      <c r="A78" s="87">
        <v>45052</v>
      </c>
      <c r="B78" s="120" t="s">
        <v>6</v>
      </c>
      <c r="C78" s="75" t="s">
        <v>270</v>
      </c>
      <c r="D78" s="88">
        <v>1124141</v>
      </c>
      <c r="G78" s="1"/>
      <c r="L78" s="1"/>
      <c r="M78" s="1"/>
    </row>
    <row r="79" spans="1:13" s="2" customFormat="1" x14ac:dyDescent="0.2">
      <c r="A79" s="87">
        <v>45054</v>
      </c>
      <c r="B79" s="120" t="s">
        <v>6</v>
      </c>
      <c r="C79" s="75" t="s">
        <v>271</v>
      </c>
      <c r="D79" s="88">
        <v>476726</v>
      </c>
      <c r="G79" s="1"/>
      <c r="L79" s="1"/>
      <c r="M79" s="1"/>
    </row>
    <row r="80" spans="1:13" s="2" customFormat="1" x14ac:dyDescent="0.2">
      <c r="A80" s="87">
        <v>45054</v>
      </c>
      <c r="B80" s="120" t="s">
        <v>6</v>
      </c>
      <c r="C80" s="75" t="s">
        <v>271</v>
      </c>
      <c r="D80" s="88">
        <v>926688</v>
      </c>
      <c r="G80" s="1"/>
      <c r="L80" s="1"/>
      <c r="M80" s="1"/>
    </row>
    <row r="81" spans="1:13" s="2" customFormat="1" x14ac:dyDescent="0.2">
      <c r="A81" s="87">
        <v>45054</v>
      </c>
      <c r="B81" s="120" t="s">
        <v>6</v>
      </c>
      <c r="C81" s="75" t="s">
        <v>606</v>
      </c>
      <c r="D81" s="88">
        <v>1844917</v>
      </c>
      <c r="G81" s="1"/>
      <c r="L81" s="1"/>
      <c r="M81" s="1"/>
    </row>
    <row r="82" spans="1:13" s="2" customFormat="1" x14ac:dyDescent="0.2">
      <c r="A82" s="87">
        <v>45054</v>
      </c>
      <c r="B82" s="120" t="s">
        <v>6</v>
      </c>
      <c r="C82" s="75" t="s">
        <v>271</v>
      </c>
      <c r="D82" s="88">
        <v>1640794</v>
      </c>
      <c r="G82" s="1"/>
      <c r="L82" s="1"/>
      <c r="M82" s="1"/>
    </row>
    <row r="83" spans="1:13" s="2" customFormat="1" x14ac:dyDescent="0.2">
      <c r="A83" s="87">
        <v>45055</v>
      </c>
      <c r="B83" s="120" t="s">
        <v>6</v>
      </c>
      <c r="C83" s="75" t="s">
        <v>84</v>
      </c>
      <c r="D83" s="88">
        <v>2000000</v>
      </c>
      <c r="G83" s="1"/>
      <c r="L83" s="1"/>
      <c r="M83" s="1"/>
    </row>
    <row r="84" spans="1:13" s="2" customFormat="1" x14ac:dyDescent="0.2">
      <c r="A84" s="87">
        <v>45055</v>
      </c>
      <c r="B84" s="120" t="s">
        <v>6</v>
      </c>
      <c r="C84" s="75" t="s">
        <v>87</v>
      </c>
      <c r="D84" s="88">
        <v>2540563</v>
      </c>
      <c r="G84" s="1"/>
      <c r="L84" s="1"/>
      <c r="M84" s="1"/>
    </row>
    <row r="85" spans="1:13" s="2" customFormat="1" x14ac:dyDescent="0.2">
      <c r="A85" s="87">
        <v>45055</v>
      </c>
      <c r="B85" s="120" t="s">
        <v>6</v>
      </c>
      <c r="C85" s="75" t="s">
        <v>767</v>
      </c>
      <c r="D85" s="88">
        <v>950137</v>
      </c>
      <c r="G85" s="1"/>
      <c r="L85" s="1"/>
      <c r="M85" s="1"/>
    </row>
    <row r="86" spans="1:13" s="2" customFormat="1" x14ac:dyDescent="0.2">
      <c r="A86" s="87">
        <v>45056</v>
      </c>
      <c r="B86" s="120" t="s">
        <v>6</v>
      </c>
      <c r="C86" s="75" t="s">
        <v>271</v>
      </c>
      <c r="D86" s="88">
        <v>242417</v>
      </c>
      <c r="G86" s="1"/>
      <c r="L86" s="1"/>
      <c r="M86" s="1"/>
    </row>
    <row r="87" spans="1:13" s="2" customFormat="1" x14ac:dyDescent="0.2">
      <c r="A87" s="87">
        <v>45056</v>
      </c>
      <c r="B87" s="120" t="s">
        <v>6</v>
      </c>
      <c r="C87" s="75" t="s">
        <v>271</v>
      </c>
      <c r="D87" s="88">
        <v>674909</v>
      </c>
      <c r="G87" s="1"/>
      <c r="L87" s="1"/>
      <c r="M87" s="1"/>
    </row>
    <row r="88" spans="1:13" s="2" customFormat="1" x14ac:dyDescent="0.2">
      <c r="A88" s="87">
        <v>45056</v>
      </c>
      <c r="B88" s="120" t="s">
        <v>6</v>
      </c>
      <c r="C88" s="75" t="s">
        <v>271</v>
      </c>
      <c r="D88" s="88">
        <v>969371</v>
      </c>
      <c r="G88" s="1"/>
      <c r="L88" s="1"/>
      <c r="M88" s="1"/>
    </row>
    <row r="89" spans="1:13" s="2" customFormat="1" x14ac:dyDescent="0.2">
      <c r="A89" s="87">
        <v>45058</v>
      </c>
      <c r="B89" s="120" t="s">
        <v>6</v>
      </c>
      <c r="C89" s="75" t="s">
        <v>271</v>
      </c>
      <c r="D89" s="88">
        <v>650439</v>
      </c>
      <c r="G89" s="1"/>
      <c r="L89" s="1"/>
      <c r="M89" s="1"/>
    </row>
    <row r="90" spans="1:13" s="2" customFormat="1" x14ac:dyDescent="0.2">
      <c r="A90" s="87">
        <v>45058</v>
      </c>
      <c r="B90" s="120" t="s">
        <v>6</v>
      </c>
      <c r="C90" s="75" t="s">
        <v>271</v>
      </c>
      <c r="D90" s="88">
        <v>432067</v>
      </c>
      <c r="G90" s="1"/>
      <c r="L90" s="1"/>
      <c r="M90" s="1"/>
    </row>
    <row r="91" spans="1:13" s="2" customFormat="1" x14ac:dyDescent="0.2">
      <c r="A91" s="87">
        <v>45058</v>
      </c>
      <c r="B91" s="120" t="s">
        <v>6</v>
      </c>
      <c r="C91" s="75" t="s">
        <v>271</v>
      </c>
      <c r="D91" s="88">
        <v>412906</v>
      </c>
      <c r="G91" s="1"/>
      <c r="L91" s="1"/>
      <c r="M91" s="1"/>
    </row>
    <row r="92" spans="1:13" s="2" customFormat="1" x14ac:dyDescent="0.2">
      <c r="A92" s="87">
        <v>45061</v>
      </c>
      <c r="B92" s="120" t="s">
        <v>6</v>
      </c>
      <c r="C92" s="75" t="s">
        <v>282</v>
      </c>
      <c r="D92" s="88">
        <v>7500000</v>
      </c>
      <c r="G92" s="1"/>
      <c r="L92" s="1"/>
      <c r="M92" s="1"/>
    </row>
    <row r="93" spans="1:13" s="2" customFormat="1" x14ac:dyDescent="0.2">
      <c r="A93" s="87">
        <v>45062</v>
      </c>
      <c r="B93" s="120" t="s">
        <v>6</v>
      </c>
      <c r="C93" s="75" t="s">
        <v>86</v>
      </c>
      <c r="D93" s="88">
        <v>3769130</v>
      </c>
      <c r="G93" s="1"/>
      <c r="L93" s="1"/>
      <c r="M93" s="1"/>
    </row>
    <row r="94" spans="1:13" s="2" customFormat="1" x14ac:dyDescent="0.2">
      <c r="A94" s="87">
        <v>45063</v>
      </c>
      <c r="B94" s="120" t="s">
        <v>6</v>
      </c>
      <c r="C94" s="75" t="s">
        <v>84</v>
      </c>
      <c r="D94" s="88">
        <v>5033848</v>
      </c>
      <c r="G94" s="1"/>
      <c r="L94" s="1"/>
      <c r="M94" s="1"/>
    </row>
    <row r="95" spans="1:13" s="2" customFormat="1" x14ac:dyDescent="0.2">
      <c r="A95" s="87">
        <v>45065</v>
      </c>
      <c r="B95" s="120" t="s">
        <v>6</v>
      </c>
      <c r="C95" s="75" t="s">
        <v>594</v>
      </c>
      <c r="D95" s="88">
        <v>6001798</v>
      </c>
      <c r="G95" s="1"/>
      <c r="L95" s="1"/>
      <c r="M95" s="1"/>
    </row>
    <row r="96" spans="1:13" s="2" customFormat="1" x14ac:dyDescent="0.2">
      <c r="A96" s="87">
        <v>45065</v>
      </c>
      <c r="B96" s="120" t="s">
        <v>6</v>
      </c>
      <c r="C96" s="75" t="s">
        <v>594</v>
      </c>
      <c r="D96" s="88">
        <v>9126</v>
      </c>
      <c r="G96" s="1"/>
      <c r="L96" s="1"/>
      <c r="M96" s="1"/>
    </row>
    <row r="97" spans="1:13" s="2" customFormat="1" x14ac:dyDescent="0.2">
      <c r="A97" s="87">
        <v>45066</v>
      </c>
      <c r="B97" s="120" t="s">
        <v>6</v>
      </c>
      <c r="C97" s="75" t="s">
        <v>271</v>
      </c>
      <c r="D97" s="88">
        <v>231880</v>
      </c>
      <c r="G97" s="1"/>
      <c r="L97" s="1"/>
      <c r="M97" s="1"/>
    </row>
    <row r="98" spans="1:13" s="2" customFormat="1" x14ac:dyDescent="0.2">
      <c r="A98" s="87">
        <v>45066</v>
      </c>
      <c r="B98" s="120" t="s">
        <v>6</v>
      </c>
      <c r="C98" s="75" t="s">
        <v>271</v>
      </c>
      <c r="D98" s="88">
        <v>1166054</v>
      </c>
      <c r="G98" s="1"/>
      <c r="L98" s="1"/>
      <c r="M98" s="1"/>
    </row>
    <row r="99" spans="1:13" s="2" customFormat="1" x14ac:dyDescent="0.2">
      <c r="A99" s="87">
        <v>45066</v>
      </c>
      <c r="B99" s="120" t="s">
        <v>6</v>
      </c>
      <c r="C99" s="75" t="s">
        <v>271</v>
      </c>
      <c r="D99" s="88">
        <v>197868</v>
      </c>
      <c r="G99" s="1"/>
      <c r="L99" s="1"/>
      <c r="M99" s="1"/>
    </row>
    <row r="100" spans="1:13" s="2" customFormat="1" x14ac:dyDescent="0.2">
      <c r="A100" s="87">
        <v>45066</v>
      </c>
      <c r="B100" s="120" t="s">
        <v>6</v>
      </c>
      <c r="C100" s="75" t="s">
        <v>271</v>
      </c>
      <c r="D100" s="88">
        <v>411515</v>
      </c>
      <c r="G100" s="1"/>
      <c r="L100" s="1"/>
      <c r="M100" s="1"/>
    </row>
    <row r="101" spans="1:13" s="2" customFormat="1" x14ac:dyDescent="0.2">
      <c r="A101" s="87">
        <v>45066</v>
      </c>
      <c r="B101" s="120" t="s">
        <v>6</v>
      </c>
      <c r="C101" s="75" t="s">
        <v>271</v>
      </c>
      <c r="D101" s="88">
        <v>781035</v>
      </c>
      <c r="G101" s="1"/>
      <c r="L101" s="1"/>
      <c r="M101" s="1"/>
    </row>
    <row r="102" spans="1:13" s="2" customFormat="1" x14ac:dyDescent="0.2">
      <c r="A102" s="87">
        <v>45066</v>
      </c>
      <c r="B102" s="120" t="s">
        <v>6</v>
      </c>
      <c r="C102" s="75" t="s">
        <v>87</v>
      </c>
      <c r="D102" s="88">
        <v>1320555</v>
      </c>
      <c r="G102" s="1"/>
      <c r="L102" s="1"/>
      <c r="M102" s="1"/>
    </row>
    <row r="103" spans="1:13" s="2" customFormat="1" x14ac:dyDescent="0.2">
      <c r="A103" s="87">
        <v>45066</v>
      </c>
      <c r="B103" s="120" t="s">
        <v>6</v>
      </c>
      <c r="C103" s="75" t="s">
        <v>467</v>
      </c>
      <c r="D103" s="88">
        <v>2498439</v>
      </c>
      <c r="G103" s="1"/>
      <c r="L103" s="1"/>
      <c r="M103" s="1"/>
    </row>
    <row r="104" spans="1:13" s="2" customFormat="1" x14ac:dyDescent="0.2">
      <c r="A104" s="87">
        <v>45068</v>
      </c>
      <c r="B104" s="120" t="s">
        <v>6</v>
      </c>
      <c r="C104" s="75" t="s">
        <v>86</v>
      </c>
      <c r="D104" s="88">
        <v>588418</v>
      </c>
      <c r="G104" s="1"/>
      <c r="L104" s="1"/>
      <c r="M104" s="1"/>
    </row>
    <row r="105" spans="1:13" s="2" customFormat="1" x14ac:dyDescent="0.2">
      <c r="A105" s="87">
        <v>45068</v>
      </c>
      <c r="B105" s="120" t="s">
        <v>6</v>
      </c>
      <c r="C105" s="75" t="s">
        <v>86</v>
      </c>
      <c r="D105" s="88">
        <v>6280875</v>
      </c>
      <c r="G105" s="1"/>
      <c r="L105" s="1"/>
      <c r="M105" s="1"/>
    </row>
    <row r="106" spans="1:13" s="2" customFormat="1" x14ac:dyDescent="0.2">
      <c r="A106" s="87">
        <v>45068</v>
      </c>
      <c r="B106" s="120" t="s">
        <v>6</v>
      </c>
      <c r="C106" s="75" t="s">
        <v>86</v>
      </c>
      <c r="D106" s="88">
        <v>1195342</v>
      </c>
      <c r="G106" s="1"/>
      <c r="L106" s="1"/>
      <c r="M106" s="1"/>
    </row>
    <row r="107" spans="1:13" s="2" customFormat="1" x14ac:dyDescent="0.2">
      <c r="A107" s="87"/>
      <c r="B107" s="120"/>
      <c r="C107" s="75"/>
      <c r="D107" s="88"/>
      <c r="G107" s="1"/>
      <c r="L107" s="1"/>
      <c r="M107" s="1"/>
    </row>
    <row r="108" spans="1:13" s="2" customFormat="1" x14ac:dyDescent="0.2">
      <c r="A108" s="87"/>
      <c r="B108" s="74"/>
      <c r="C108" s="75"/>
      <c r="D108" s="51">
        <f>SUM(D75:D107)</f>
        <v>62810018</v>
      </c>
      <c r="F108" s="2" t="s">
        <v>396</v>
      </c>
      <c r="G108" s="1"/>
      <c r="I108" s="1"/>
      <c r="J108" s="1"/>
      <c r="K108" s="1"/>
      <c r="L108" s="1"/>
      <c r="M108" s="1"/>
    </row>
    <row r="109" spans="1:13" s="2" customFormat="1" x14ac:dyDescent="0.2">
      <c r="A109" s="24"/>
      <c r="B109" s="1"/>
      <c r="C109" s="14"/>
      <c r="D109" s="56"/>
      <c r="E109" s="13"/>
      <c r="G109" s="1"/>
    </row>
    <row r="110" spans="1:13" s="2" customFormat="1" x14ac:dyDescent="0.2">
      <c r="A110" s="24"/>
      <c r="B110" s="1"/>
      <c r="C110" s="218" t="s">
        <v>77</v>
      </c>
      <c r="D110" s="219"/>
      <c r="E110" s="219"/>
      <c r="F110" s="220"/>
      <c r="G110" s="54"/>
      <c r="I110" s="1"/>
      <c r="J110" s="1"/>
      <c r="K110" s="1"/>
      <c r="L110" s="1"/>
      <c r="M110" s="1"/>
    </row>
    <row r="111" spans="1:13" s="2" customFormat="1" x14ac:dyDescent="0.2">
      <c r="A111" s="24"/>
      <c r="B111" s="1"/>
      <c r="C111" s="50"/>
      <c r="D111" s="57" t="s">
        <v>78</v>
      </c>
      <c r="E111" s="58" t="s">
        <v>79</v>
      </c>
      <c r="F111" s="57" t="s">
        <v>72</v>
      </c>
      <c r="G111" s="54"/>
      <c r="I111" s="1"/>
      <c r="J111" s="1"/>
      <c r="K111" s="1"/>
      <c r="L111" s="1"/>
      <c r="M111" s="1"/>
    </row>
    <row r="112" spans="1:13" s="2" customFormat="1" x14ac:dyDescent="0.2">
      <c r="A112" s="24"/>
      <c r="B112" s="1"/>
      <c r="C112" s="59" t="str">
        <f>"01-05-2023 to "&amp;TEXT(A5-2,"dd-mm-yyyy")</f>
        <v>01-05-2023 to 21-05-2023</v>
      </c>
      <c r="D112" s="60">
        <v>3006.7</v>
      </c>
      <c r="E112" s="60">
        <v>242.18</v>
      </c>
      <c r="F112" s="61">
        <f>SUM(D112:E112)</f>
        <v>3248.8799999999997</v>
      </c>
      <c r="G112" s="54"/>
      <c r="I112" s="1"/>
      <c r="J112" s="1"/>
      <c r="K112" s="1"/>
      <c r="L112" s="1"/>
      <c r="M112" s="1"/>
    </row>
    <row r="113" spans="1:13" s="2" customFormat="1" x14ac:dyDescent="0.2">
      <c r="A113" s="24"/>
      <c r="B113" s="1"/>
      <c r="C113" s="62" t="str">
        <f>TEXT(A5-1,"dd-mm-yyyy")</f>
        <v>22-05-2023</v>
      </c>
      <c r="D113" s="60">
        <v>117.38</v>
      </c>
      <c r="E113" s="60">
        <v>25.39</v>
      </c>
      <c r="F113" s="61">
        <f>SUM(D113:E113)</f>
        <v>142.76999999999998</v>
      </c>
      <c r="G113" s="54"/>
      <c r="I113" s="1"/>
      <c r="J113" s="1"/>
      <c r="K113" s="1"/>
      <c r="L113" s="1"/>
      <c r="M113" s="1"/>
    </row>
    <row r="114" spans="1:13" ht="13.5" thickBot="1" x14ac:dyDescent="0.25">
      <c r="C114" s="63" t="str">
        <f>"01-05-2023 to "&amp;TEXT(A5-1,"dd-mm-yyyy")</f>
        <v>01-05-2023 to 22-05-2023</v>
      </c>
      <c r="D114" s="64">
        <f>SUM(D112:D113)</f>
        <v>3124.08</v>
      </c>
      <c r="E114" s="64">
        <f>SUM(E112:E113)</f>
        <v>267.57</v>
      </c>
      <c r="F114" s="64">
        <f>SUM(F112:F113)</f>
        <v>3391.6499999999996</v>
      </c>
      <c r="G114" s="54"/>
      <c r="H114" s="2" t="s">
        <v>396</v>
      </c>
    </row>
    <row r="115" spans="1:13" s="2" customFormat="1" ht="13.5" thickTop="1" x14ac:dyDescent="0.2">
      <c r="A115" s="24"/>
      <c r="B115" s="1"/>
      <c r="C115" s="62"/>
      <c r="D115" s="65"/>
      <c r="E115" s="66"/>
      <c r="F115" s="67"/>
      <c r="G115" s="54"/>
      <c r="H115" s="53"/>
    </row>
    <row r="116" spans="1:13" x14ac:dyDescent="0.2">
      <c r="C116" s="62" t="str">
        <f>"01-04-2023 to " &amp;C113</f>
        <v>01-04-2023 to 22-05-2023</v>
      </c>
      <c r="D116" s="68">
        <f>+D114+4343.67</f>
        <v>7467.75</v>
      </c>
      <c r="E116" s="68">
        <f>+E114+536.17</f>
        <v>803.74</v>
      </c>
      <c r="F116" s="68">
        <f>+F114+4879.84</f>
        <v>8271.49</v>
      </c>
      <c r="G116" s="54"/>
      <c r="H116" s="53" t="s">
        <v>396</v>
      </c>
    </row>
    <row r="117" spans="1:13" x14ac:dyDescent="0.2">
      <c r="C117" s="52"/>
      <c r="D117" s="85"/>
      <c r="E117" s="53"/>
      <c r="F117" s="53"/>
      <c r="G117" s="54"/>
      <c r="H117" s="53" t="s">
        <v>396</v>
      </c>
      <c r="J117" s="42"/>
    </row>
    <row r="118" spans="1:13" x14ac:dyDescent="0.2">
      <c r="C118" s="52"/>
      <c r="D118" s="85"/>
      <c r="E118" s="53"/>
      <c r="F118" s="53"/>
      <c r="G118" s="54"/>
      <c r="H118" s="53"/>
      <c r="I118" s="101"/>
    </row>
    <row r="119" spans="1:13" x14ac:dyDescent="0.2">
      <c r="C119" s="52"/>
      <c r="D119" s="85"/>
      <c r="E119" s="53"/>
      <c r="F119" s="53"/>
      <c r="G119" s="54"/>
      <c r="H119" s="53"/>
    </row>
    <row r="120" spans="1:13" x14ac:dyDescent="0.2">
      <c r="C120" s="52"/>
      <c r="D120" s="85"/>
      <c r="E120" s="53"/>
      <c r="F120" s="53"/>
      <c r="G120" s="54"/>
      <c r="H120" s="53"/>
    </row>
    <row r="121" spans="1:13" x14ac:dyDescent="0.2">
      <c r="H121" s="53"/>
    </row>
  </sheetData>
  <mergeCells count="5">
    <mergeCell ref="A1:G1"/>
    <mergeCell ref="A3:F3"/>
    <mergeCell ref="A9:F9"/>
    <mergeCell ref="A73:D73"/>
    <mergeCell ref="C110:F110"/>
  </mergeCells>
  <conditionalFormatting sqref="G70:G71">
    <cfRule type="cellIs" dxfId="551" priority="2" operator="lessThan">
      <formula>0</formula>
    </cfRule>
  </conditionalFormatting>
  <conditionalFormatting sqref="C11">
    <cfRule type="duplicateValues" dxfId="550" priority="3"/>
  </conditionalFormatting>
  <conditionalFormatting sqref="C50">
    <cfRule type="duplicateValues" dxfId="549" priority="1"/>
  </conditionalFormatting>
  <conditionalFormatting sqref="C12:C49">
    <cfRule type="duplicateValues" dxfId="548" priority="499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33">
    <pageSetUpPr fitToPage="1"/>
  </sheetPr>
  <dimension ref="A1:N146"/>
  <sheetViews>
    <sheetView topLeftCell="A70" zoomScaleNormal="100" workbookViewId="0">
      <selection activeCell="C46" sqref="C46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47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1008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45070</v>
      </c>
      <c r="B5" s="9" t="s">
        <v>6</v>
      </c>
      <c r="C5" s="10" t="s">
        <v>7</v>
      </c>
      <c r="D5" s="11"/>
      <c r="E5" s="12">
        <v>197589.70000000019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197589.70000000019</v>
      </c>
      <c r="F6" s="16"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+E6</f>
        <v>197589.70000000019</v>
      </c>
      <c r="F7" s="22"/>
      <c r="G7" s="23"/>
      <c r="H7" s="112"/>
      <c r="I7" s="112"/>
      <c r="J7" s="13"/>
    </row>
    <row r="8" spans="1:10" s="2" customFormat="1" ht="12.75" customHeight="1" x14ac:dyDescent="0.4">
      <c r="A8" s="24"/>
      <c r="B8" s="1"/>
      <c r="C8" s="14"/>
      <c r="D8" s="25"/>
      <c r="G8" s="23"/>
      <c r="H8" s="112"/>
      <c r="I8" s="112"/>
      <c r="J8" s="13"/>
    </row>
    <row r="9" spans="1:10" s="2" customFormat="1" ht="21.75" customHeight="1" x14ac:dyDescent="0.4">
      <c r="A9" s="214" t="s">
        <v>10</v>
      </c>
      <c r="B9" s="214"/>
      <c r="C9" s="214"/>
      <c r="D9" s="214"/>
      <c r="E9" s="214"/>
      <c r="F9" s="214"/>
      <c r="G9" s="13"/>
      <c r="H9" s="112"/>
      <c r="I9" s="112"/>
      <c r="J9" s="13"/>
    </row>
    <row r="10" spans="1:10" s="2" customFormat="1" ht="12.75" customHeight="1" x14ac:dyDescent="0.4">
      <c r="A10" s="26" t="s">
        <v>1</v>
      </c>
      <c r="B10" s="27" t="s">
        <v>2</v>
      </c>
      <c r="C10" s="5"/>
      <c r="D10" s="6" t="s">
        <v>3</v>
      </c>
      <c r="E10" s="7" t="s">
        <v>4</v>
      </c>
      <c r="F10" s="7" t="s">
        <v>5</v>
      </c>
      <c r="G10" s="23"/>
      <c r="H10" s="112"/>
      <c r="I10" s="112"/>
      <c r="J10" s="13"/>
    </row>
    <row r="11" spans="1:10" s="2" customFormat="1" ht="12.75" customHeight="1" x14ac:dyDescent="0.2">
      <c r="A11" s="89">
        <v>45070</v>
      </c>
      <c r="B11" s="91" t="s">
        <v>11</v>
      </c>
      <c r="C11" s="29" t="s">
        <v>7</v>
      </c>
      <c r="D11" s="25"/>
      <c r="E11" s="31"/>
      <c r="F11" s="2">
        <v>319426446.66999996</v>
      </c>
      <c r="G11" s="30"/>
      <c r="I11" s="13"/>
      <c r="J11" s="13"/>
    </row>
    <row r="12" spans="1:10" s="2" customFormat="1" ht="12.75" customHeight="1" x14ac:dyDescent="0.2">
      <c r="A12" s="89">
        <v>45070</v>
      </c>
      <c r="B12" s="91" t="s">
        <v>6</v>
      </c>
      <c r="C12" s="76" t="s">
        <v>764</v>
      </c>
      <c r="D12" s="116" t="s">
        <v>13</v>
      </c>
      <c r="E12" s="31">
        <v>2447059.7600000002</v>
      </c>
      <c r="G12" s="30"/>
      <c r="I12" s="13"/>
      <c r="J12" s="13"/>
    </row>
    <row r="13" spans="1:10" s="2" customFormat="1" ht="12.75" customHeight="1" x14ac:dyDescent="0.2">
      <c r="A13" s="89">
        <v>45070</v>
      </c>
      <c r="B13" s="91" t="s">
        <v>6</v>
      </c>
      <c r="C13" s="76" t="s">
        <v>759</v>
      </c>
      <c r="D13" s="116" t="s">
        <v>13</v>
      </c>
      <c r="E13" s="31">
        <v>4760341.78</v>
      </c>
      <c r="G13" s="30"/>
      <c r="I13" s="13"/>
      <c r="J13" s="13"/>
    </row>
    <row r="14" spans="1:10" s="2" customFormat="1" ht="12.75" customHeight="1" x14ac:dyDescent="0.2">
      <c r="A14" s="89">
        <v>45070</v>
      </c>
      <c r="B14" s="91" t="s">
        <v>6</v>
      </c>
      <c r="C14" s="76" t="s">
        <v>785</v>
      </c>
      <c r="D14" s="116" t="s">
        <v>13</v>
      </c>
      <c r="E14" s="31">
        <v>3805172</v>
      </c>
      <c r="G14" s="30"/>
      <c r="I14" s="13"/>
      <c r="J14" s="13"/>
    </row>
    <row r="15" spans="1:10" s="2" customFormat="1" ht="12.75" customHeight="1" x14ac:dyDescent="0.2">
      <c r="A15" s="89">
        <v>45070</v>
      </c>
      <c r="B15" s="91" t="s">
        <v>6</v>
      </c>
      <c r="C15" s="76" t="s">
        <v>413</v>
      </c>
      <c r="D15" s="116" t="s">
        <v>13</v>
      </c>
      <c r="E15" s="31">
        <v>481470</v>
      </c>
      <c r="G15" s="30"/>
      <c r="I15" s="13"/>
      <c r="J15" s="13"/>
    </row>
    <row r="16" spans="1:10" s="2" customFormat="1" ht="12.75" customHeight="1" x14ac:dyDescent="0.2">
      <c r="A16" s="89">
        <v>45070</v>
      </c>
      <c r="B16" s="91" t="s">
        <v>6</v>
      </c>
      <c r="C16" s="76" t="s">
        <v>360</v>
      </c>
      <c r="D16" s="116" t="s">
        <v>13</v>
      </c>
      <c r="E16" s="31">
        <v>570428</v>
      </c>
      <c r="G16" s="30"/>
      <c r="I16" s="13"/>
      <c r="J16" s="13"/>
    </row>
    <row r="17" spans="1:10" s="2" customFormat="1" ht="12.75" customHeight="1" x14ac:dyDescent="0.2">
      <c r="A17" s="89">
        <v>45070</v>
      </c>
      <c r="B17" s="91" t="s">
        <v>6</v>
      </c>
      <c r="C17" s="76" t="s">
        <v>143</v>
      </c>
      <c r="D17" s="116" t="s">
        <v>13</v>
      </c>
      <c r="E17" s="31">
        <v>4036927</v>
      </c>
      <c r="G17" s="30"/>
      <c r="I17" s="13"/>
      <c r="J17" s="13"/>
    </row>
    <row r="18" spans="1:10" s="2" customFormat="1" ht="12.75" customHeight="1" x14ac:dyDescent="0.2">
      <c r="A18" s="89">
        <v>45070</v>
      </c>
      <c r="B18" s="91" t="s">
        <v>6</v>
      </c>
      <c r="C18" s="76" t="s">
        <v>1011</v>
      </c>
      <c r="D18" s="116" t="s">
        <v>13</v>
      </c>
      <c r="E18" s="31">
        <v>1248558.28</v>
      </c>
      <c r="G18" s="30"/>
      <c r="I18" s="13"/>
      <c r="J18" s="13"/>
    </row>
    <row r="19" spans="1:10" s="2" customFormat="1" ht="12.75" customHeight="1" x14ac:dyDescent="0.2">
      <c r="A19" s="89">
        <v>45070</v>
      </c>
      <c r="B19" s="91" t="s">
        <v>6</v>
      </c>
      <c r="C19" s="76" t="s">
        <v>632</v>
      </c>
      <c r="D19" s="116" t="s">
        <v>13</v>
      </c>
      <c r="E19" s="31">
        <v>7560</v>
      </c>
      <c r="G19" s="30"/>
      <c r="I19" s="13"/>
      <c r="J19" s="13"/>
    </row>
    <row r="20" spans="1:10" s="2" customFormat="1" ht="12.75" customHeight="1" x14ac:dyDescent="0.2">
      <c r="A20" s="89">
        <v>45070</v>
      </c>
      <c r="B20" s="91" t="s">
        <v>6</v>
      </c>
      <c r="C20" s="76" t="s">
        <v>366</v>
      </c>
      <c r="D20" s="116" t="s">
        <v>13</v>
      </c>
      <c r="E20" s="31">
        <v>5000000</v>
      </c>
      <c r="G20" s="30"/>
      <c r="I20" s="13"/>
      <c r="J20" s="13"/>
    </row>
    <row r="21" spans="1:10" s="2" customFormat="1" ht="12.75" customHeight="1" x14ac:dyDescent="0.2">
      <c r="A21" s="89">
        <v>45070</v>
      </c>
      <c r="B21" s="91" t="s">
        <v>6</v>
      </c>
      <c r="C21" s="76" t="s">
        <v>639</v>
      </c>
      <c r="D21" s="116" t="s">
        <v>13</v>
      </c>
      <c r="E21" s="31">
        <v>2888</v>
      </c>
      <c r="G21" s="30"/>
      <c r="I21" s="13"/>
      <c r="J21" s="13"/>
    </row>
    <row r="22" spans="1:10" s="2" customFormat="1" ht="12.75" customHeight="1" x14ac:dyDescent="0.2">
      <c r="A22" s="89">
        <v>45070</v>
      </c>
      <c r="B22" s="91" t="s">
        <v>6</v>
      </c>
      <c r="C22" s="76" t="s">
        <v>85</v>
      </c>
      <c r="D22" s="116" t="s">
        <v>13</v>
      </c>
      <c r="E22" s="31">
        <v>16433</v>
      </c>
      <c r="G22" s="30"/>
      <c r="I22" s="13"/>
      <c r="J22" s="13"/>
    </row>
    <row r="23" spans="1:10" s="2" customFormat="1" ht="12.75" customHeight="1" x14ac:dyDescent="0.2">
      <c r="A23" s="89">
        <v>45070</v>
      </c>
      <c r="B23" s="91" t="s">
        <v>6</v>
      </c>
      <c r="C23" s="76" t="s">
        <v>144</v>
      </c>
      <c r="D23" s="116" t="s">
        <v>13</v>
      </c>
      <c r="E23" s="31">
        <v>2787436</v>
      </c>
      <c r="G23" s="30"/>
      <c r="I23" s="13"/>
      <c r="J23" s="13"/>
    </row>
    <row r="24" spans="1:10" s="2" customFormat="1" ht="12.75" customHeight="1" x14ac:dyDescent="0.2">
      <c r="A24" s="89">
        <v>45070</v>
      </c>
      <c r="B24" s="91" t="s">
        <v>6</v>
      </c>
      <c r="C24" s="76" t="s">
        <v>555</v>
      </c>
      <c r="D24" s="116" t="s">
        <v>13</v>
      </c>
      <c r="E24" s="31">
        <v>4412</v>
      </c>
      <c r="G24" s="30"/>
      <c r="I24" s="13"/>
      <c r="J24" s="13"/>
    </row>
    <row r="25" spans="1:10" s="2" customFormat="1" ht="12.75" customHeight="1" x14ac:dyDescent="0.2">
      <c r="A25" s="89">
        <v>45070</v>
      </c>
      <c r="B25" s="91" t="s">
        <v>6</v>
      </c>
      <c r="C25" s="76" t="s">
        <v>320</v>
      </c>
      <c r="D25" s="116" t="s">
        <v>13</v>
      </c>
      <c r="E25" s="31">
        <v>11183</v>
      </c>
      <c r="G25" s="30"/>
      <c r="I25" s="13"/>
      <c r="J25" s="13"/>
    </row>
    <row r="26" spans="1:10" s="2" customFormat="1" ht="12.75" customHeight="1" x14ac:dyDescent="0.2">
      <c r="A26" s="89">
        <v>45070</v>
      </c>
      <c r="B26" s="91" t="s">
        <v>6</v>
      </c>
      <c r="C26" s="76" t="s">
        <v>240</v>
      </c>
      <c r="D26" s="116" t="s">
        <v>13</v>
      </c>
      <c r="E26" s="31">
        <v>1428732</v>
      </c>
      <c r="G26" s="30"/>
      <c r="I26" s="13"/>
      <c r="J26" s="13"/>
    </row>
    <row r="27" spans="1:10" s="2" customFormat="1" ht="12.75" customHeight="1" x14ac:dyDescent="0.2">
      <c r="A27" s="89">
        <v>45070</v>
      </c>
      <c r="B27" s="91" t="s">
        <v>6</v>
      </c>
      <c r="C27" s="76" t="s">
        <v>142</v>
      </c>
      <c r="D27" s="116" t="s">
        <v>13</v>
      </c>
      <c r="E27" s="31">
        <v>1584326.42</v>
      </c>
      <c r="G27" s="30"/>
      <c r="I27" s="13"/>
      <c r="J27" s="13"/>
    </row>
    <row r="28" spans="1:10" s="2" customFormat="1" ht="12.75" customHeight="1" x14ac:dyDescent="0.2">
      <c r="A28" s="89">
        <v>45070</v>
      </c>
      <c r="B28" s="91" t="s">
        <v>6</v>
      </c>
      <c r="C28" s="76" t="s">
        <v>536</v>
      </c>
      <c r="D28" s="116" t="s">
        <v>13</v>
      </c>
      <c r="E28" s="31">
        <v>707270.8</v>
      </c>
      <c r="G28" s="30"/>
      <c r="I28" s="13"/>
      <c r="J28" s="13"/>
    </row>
    <row r="29" spans="1:10" s="2" customFormat="1" ht="12.75" customHeight="1" x14ac:dyDescent="0.2">
      <c r="A29" s="89">
        <v>45070</v>
      </c>
      <c r="B29" s="91" t="s">
        <v>6</v>
      </c>
      <c r="C29" s="76" t="s">
        <v>220</v>
      </c>
      <c r="D29" s="116" t="s">
        <v>13</v>
      </c>
      <c r="E29" s="31">
        <v>3986653</v>
      </c>
      <c r="G29" s="30"/>
      <c r="I29" s="13"/>
      <c r="J29" s="13"/>
    </row>
    <row r="30" spans="1:10" s="2" customFormat="1" ht="12.75" customHeight="1" x14ac:dyDescent="0.2">
      <c r="A30" s="89">
        <v>45070</v>
      </c>
      <c r="B30" s="91" t="s">
        <v>6</v>
      </c>
      <c r="C30" s="76" t="s">
        <v>748</v>
      </c>
      <c r="D30" s="116" t="s">
        <v>13</v>
      </c>
      <c r="E30" s="31">
        <v>173253.8</v>
      </c>
      <c r="G30" s="30"/>
      <c r="I30" s="13"/>
      <c r="J30" s="13"/>
    </row>
    <row r="31" spans="1:10" s="2" customFormat="1" ht="12.75" customHeight="1" x14ac:dyDescent="0.2">
      <c r="A31" s="89">
        <v>45070</v>
      </c>
      <c r="B31" s="91" t="s">
        <v>6</v>
      </c>
      <c r="C31" s="76" t="s">
        <v>773</v>
      </c>
      <c r="D31" s="116" t="s">
        <v>13</v>
      </c>
      <c r="E31" s="31">
        <v>68275.600000000006</v>
      </c>
      <c r="G31" s="30"/>
      <c r="I31" s="13"/>
      <c r="J31" s="13"/>
    </row>
    <row r="32" spans="1:10" s="2" customFormat="1" ht="12.75" customHeight="1" x14ac:dyDescent="0.2">
      <c r="A32" s="89">
        <v>45070</v>
      </c>
      <c r="B32" s="91" t="s">
        <v>6</v>
      </c>
      <c r="C32" s="76" t="s">
        <v>750</v>
      </c>
      <c r="D32" s="116" t="s">
        <v>13</v>
      </c>
      <c r="E32" s="31">
        <v>277610.7</v>
      </c>
      <c r="G32" s="30"/>
      <c r="I32" s="13"/>
      <c r="J32" s="13"/>
    </row>
    <row r="33" spans="1:10" s="2" customFormat="1" ht="12.75" customHeight="1" x14ac:dyDescent="0.2">
      <c r="A33" s="89">
        <v>45070</v>
      </c>
      <c r="B33" s="91" t="s">
        <v>6</v>
      </c>
      <c r="C33" s="76" t="s">
        <v>202</v>
      </c>
      <c r="D33" s="116" t="s">
        <v>13</v>
      </c>
      <c r="E33" s="31">
        <v>75000</v>
      </c>
      <c r="G33" s="30"/>
      <c r="I33" s="13"/>
      <c r="J33" s="13"/>
    </row>
    <row r="34" spans="1:10" s="2" customFormat="1" ht="12.75" customHeight="1" x14ac:dyDescent="0.2">
      <c r="A34" s="89">
        <v>45070</v>
      </c>
      <c r="B34" s="91" t="s">
        <v>6</v>
      </c>
      <c r="C34" s="76" t="s">
        <v>149</v>
      </c>
      <c r="D34" s="116" t="s">
        <v>13</v>
      </c>
      <c r="E34" s="31">
        <v>14141</v>
      </c>
      <c r="G34" s="30"/>
      <c r="I34" s="13"/>
      <c r="J34" s="13"/>
    </row>
    <row r="35" spans="1:10" s="2" customFormat="1" ht="12.75" customHeight="1" x14ac:dyDescent="0.2">
      <c r="A35" s="89">
        <v>45070</v>
      </c>
      <c r="B35" s="91" t="s">
        <v>6</v>
      </c>
      <c r="C35" s="76" t="s">
        <v>120</v>
      </c>
      <c r="D35" s="116" t="s">
        <v>13</v>
      </c>
      <c r="E35" s="31">
        <v>7616</v>
      </c>
      <c r="G35" s="30"/>
      <c r="I35" s="13"/>
      <c r="J35" s="13"/>
    </row>
    <row r="36" spans="1:10" s="2" customFormat="1" ht="12.75" customHeight="1" x14ac:dyDescent="0.2">
      <c r="A36" s="89">
        <v>45070</v>
      </c>
      <c r="B36" s="91" t="s">
        <v>6</v>
      </c>
      <c r="C36" s="76" t="s">
        <v>487</v>
      </c>
      <c r="D36" s="116" t="s">
        <v>13</v>
      </c>
      <c r="E36" s="31">
        <v>1026932</v>
      </c>
      <c r="G36" s="30"/>
      <c r="I36" s="13"/>
      <c r="J36" s="13"/>
    </row>
    <row r="37" spans="1:10" s="2" customFormat="1" ht="12.75" customHeight="1" x14ac:dyDescent="0.2">
      <c r="A37" s="89">
        <v>45070</v>
      </c>
      <c r="B37" s="91" t="s">
        <v>6</v>
      </c>
      <c r="C37" s="76" t="s">
        <v>15</v>
      </c>
      <c r="D37" s="116" t="s">
        <v>13</v>
      </c>
      <c r="E37" s="31">
        <v>139099.96</v>
      </c>
      <c r="G37" s="30"/>
      <c r="I37" s="13"/>
      <c r="J37" s="13"/>
    </row>
    <row r="38" spans="1:10" s="2" customFormat="1" ht="12.75" customHeight="1" x14ac:dyDescent="0.2">
      <c r="A38" s="89">
        <v>45070</v>
      </c>
      <c r="B38" s="91" t="s">
        <v>11</v>
      </c>
      <c r="C38" s="76" t="s">
        <v>64</v>
      </c>
      <c r="D38" s="116" t="s">
        <v>29</v>
      </c>
      <c r="E38" s="31"/>
      <c r="F38" s="2">
        <v>14421.17</v>
      </c>
      <c r="G38" s="30"/>
      <c r="I38" s="13"/>
      <c r="J38" s="13"/>
    </row>
    <row r="39" spans="1:10" s="2" customFormat="1" ht="12.75" customHeight="1" x14ac:dyDescent="0.2">
      <c r="A39" s="89">
        <v>45070</v>
      </c>
      <c r="B39" s="91" t="s">
        <v>11</v>
      </c>
      <c r="C39" s="76" t="s">
        <v>15</v>
      </c>
      <c r="D39" s="116" t="s">
        <v>29</v>
      </c>
      <c r="E39" s="31"/>
      <c r="F39" s="2">
        <v>68359.95</v>
      </c>
      <c r="G39" s="30"/>
      <c r="I39" s="13"/>
      <c r="J39" s="13"/>
    </row>
    <row r="40" spans="1:10" s="2" customFormat="1" ht="12.75" customHeight="1" x14ac:dyDescent="0.2">
      <c r="A40" s="89">
        <v>45070</v>
      </c>
      <c r="B40" s="91" t="s">
        <v>11</v>
      </c>
      <c r="C40" s="76" t="s">
        <v>156</v>
      </c>
      <c r="D40" s="116" t="s">
        <v>29</v>
      </c>
      <c r="E40" s="31"/>
      <c r="F40" s="2">
        <v>9</v>
      </c>
      <c r="G40" s="30"/>
      <c r="I40" s="13"/>
      <c r="J40" s="13"/>
    </row>
    <row r="41" spans="1:10" s="2" customFormat="1" ht="12.75" customHeight="1" x14ac:dyDescent="0.2">
      <c r="A41" s="89">
        <v>45070</v>
      </c>
      <c r="B41" s="91" t="s">
        <v>11</v>
      </c>
      <c r="C41" s="76" t="s">
        <v>284</v>
      </c>
      <c r="D41" s="116" t="s">
        <v>29</v>
      </c>
      <c r="E41" s="31"/>
      <c r="F41" s="2">
        <v>1230652</v>
      </c>
      <c r="G41" s="30"/>
      <c r="I41" s="13"/>
      <c r="J41" s="13"/>
    </row>
    <row r="42" spans="1:10" s="2" customFormat="1" ht="12.75" customHeight="1" x14ac:dyDescent="0.2">
      <c r="A42" s="89">
        <v>45070</v>
      </c>
      <c r="B42" s="91" t="s">
        <v>11</v>
      </c>
      <c r="C42" s="76" t="s">
        <v>45</v>
      </c>
      <c r="D42" s="116" t="s">
        <v>29</v>
      </c>
      <c r="E42" s="31"/>
      <c r="F42" s="2">
        <v>197267</v>
      </c>
      <c r="G42" s="30"/>
      <c r="I42" s="13"/>
      <c r="J42" s="13"/>
    </row>
    <row r="43" spans="1:10" s="2" customFormat="1" ht="12.75" customHeight="1" x14ac:dyDescent="0.2">
      <c r="A43" s="89">
        <v>45070</v>
      </c>
      <c r="B43" s="91" t="s">
        <v>11</v>
      </c>
      <c r="C43" s="76" t="s">
        <v>312</v>
      </c>
      <c r="D43" s="116" t="s">
        <v>29</v>
      </c>
      <c r="E43" s="31"/>
      <c r="F43" s="2">
        <v>170223</v>
      </c>
      <c r="G43" s="30"/>
      <c r="I43" s="13"/>
      <c r="J43" s="13"/>
    </row>
    <row r="44" spans="1:10" s="2" customFormat="1" ht="12.75" customHeight="1" x14ac:dyDescent="0.2">
      <c r="A44" s="89">
        <v>45070</v>
      </c>
      <c r="B44" s="91" t="s">
        <v>11</v>
      </c>
      <c r="C44" s="76" t="s">
        <v>397</v>
      </c>
      <c r="D44" s="116" t="s">
        <v>29</v>
      </c>
      <c r="E44" s="31"/>
      <c r="F44" s="2">
        <v>298620</v>
      </c>
      <c r="G44" s="30"/>
      <c r="I44" s="13"/>
      <c r="J44" s="13"/>
    </row>
    <row r="45" spans="1:10" s="2" customFormat="1" ht="12.75" customHeight="1" x14ac:dyDescent="0.2">
      <c r="A45" s="89">
        <v>45070</v>
      </c>
      <c r="B45" s="91" t="s">
        <v>11</v>
      </c>
      <c r="C45" s="76" t="s">
        <v>1009</v>
      </c>
      <c r="D45" s="116" t="s">
        <v>29</v>
      </c>
      <c r="E45" s="31"/>
      <c r="F45" s="2">
        <v>311988</v>
      </c>
      <c r="G45" s="30"/>
      <c r="I45" s="13"/>
      <c r="J45" s="13"/>
    </row>
    <row r="46" spans="1:10" s="2" customFormat="1" ht="12.75" customHeight="1" x14ac:dyDescent="0.2">
      <c r="A46" s="89">
        <v>45070</v>
      </c>
      <c r="B46" s="91" t="s">
        <v>11</v>
      </c>
      <c r="C46" s="76" t="s">
        <v>809</v>
      </c>
      <c r="D46" s="116" t="s">
        <v>29</v>
      </c>
      <c r="E46" s="31"/>
      <c r="F46" s="2">
        <v>148680</v>
      </c>
      <c r="G46" s="30"/>
      <c r="I46" s="13"/>
      <c r="J46" s="13"/>
    </row>
    <row r="47" spans="1:10" s="2" customFormat="1" ht="12.75" customHeight="1" x14ac:dyDescent="0.2">
      <c r="A47" s="89">
        <v>45070</v>
      </c>
      <c r="B47" s="91" t="s">
        <v>11</v>
      </c>
      <c r="C47" s="76" t="s">
        <v>789</v>
      </c>
      <c r="D47" s="116" t="s">
        <v>29</v>
      </c>
      <c r="E47" s="31"/>
      <c r="F47" s="2">
        <v>640774</v>
      </c>
      <c r="G47" s="30"/>
      <c r="I47" s="13"/>
      <c r="J47" s="13"/>
    </row>
    <row r="48" spans="1:10" s="2" customFormat="1" ht="12.75" customHeight="1" x14ac:dyDescent="0.2">
      <c r="A48" s="89">
        <v>45070</v>
      </c>
      <c r="B48" s="91" t="s">
        <v>11</v>
      </c>
      <c r="C48" s="76" t="s">
        <v>300</v>
      </c>
      <c r="D48" s="116" t="s">
        <v>29</v>
      </c>
      <c r="E48" s="31"/>
      <c r="F48" s="2">
        <v>244109</v>
      </c>
      <c r="G48" s="30"/>
      <c r="I48" s="13"/>
      <c r="J48" s="13"/>
    </row>
    <row r="49" spans="1:10" s="2" customFormat="1" ht="12.75" customHeight="1" x14ac:dyDescent="0.2">
      <c r="A49" s="89">
        <v>45070</v>
      </c>
      <c r="B49" s="91" t="s">
        <v>11</v>
      </c>
      <c r="C49" s="76" t="s">
        <v>717</v>
      </c>
      <c r="D49" s="116" t="s">
        <v>29</v>
      </c>
      <c r="E49" s="31"/>
      <c r="F49" s="2">
        <v>122000</v>
      </c>
      <c r="G49" s="30"/>
      <c r="I49" s="13"/>
      <c r="J49" s="13"/>
    </row>
    <row r="50" spans="1:10" s="2" customFormat="1" ht="12.75" customHeight="1" x14ac:dyDescent="0.2">
      <c r="A50" s="89">
        <v>45070</v>
      </c>
      <c r="B50" s="91" t="s">
        <v>11</v>
      </c>
      <c r="C50" s="76" t="s">
        <v>629</v>
      </c>
      <c r="D50" s="116" t="s">
        <v>29</v>
      </c>
      <c r="E50" s="31"/>
      <c r="F50" s="2">
        <v>227150</v>
      </c>
      <c r="G50" s="30"/>
      <c r="I50" s="13"/>
      <c r="J50" s="13"/>
    </row>
    <row r="51" spans="1:10" s="2" customFormat="1" ht="12.75" customHeight="1" x14ac:dyDescent="0.2">
      <c r="A51" s="89">
        <v>45070</v>
      </c>
      <c r="B51" s="91" t="s">
        <v>11</v>
      </c>
      <c r="C51" s="76" t="s">
        <v>278</v>
      </c>
      <c r="D51" s="116" t="s">
        <v>29</v>
      </c>
      <c r="E51" s="31"/>
      <c r="F51" s="2">
        <v>97661</v>
      </c>
      <c r="G51" s="30"/>
      <c r="I51" s="13"/>
      <c r="J51" s="13"/>
    </row>
    <row r="52" spans="1:10" s="2" customFormat="1" ht="12.75" customHeight="1" x14ac:dyDescent="0.2">
      <c r="A52" s="89">
        <v>45070</v>
      </c>
      <c r="B52" s="91" t="s">
        <v>11</v>
      </c>
      <c r="C52" s="76" t="s">
        <v>44</v>
      </c>
      <c r="D52" s="116" t="s">
        <v>29</v>
      </c>
      <c r="E52" s="31"/>
      <c r="F52" s="2">
        <v>49440</v>
      </c>
      <c r="G52" s="30"/>
      <c r="I52" s="13"/>
      <c r="J52" s="13"/>
    </row>
    <row r="53" spans="1:10" s="2" customFormat="1" ht="12.75" customHeight="1" x14ac:dyDescent="0.2">
      <c r="A53" s="89">
        <v>45070</v>
      </c>
      <c r="B53" s="91" t="s">
        <v>11</v>
      </c>
      <c r="C53" s="76" t="s">
        <v>61</v>
      </c>
      <c r="D53" s="116" t="s">
        <v>29</v>
      </c>
      <c r="E53" s="31"/>
      <c r="F53" s="2">
        <v>93881</v>
      </c>
      <c r="G53" s="30"/>
      <c r="I53" s="13"/>
      <c r="J53" s="13"/>
    </row>
    <row r="54" spans="1:10" s="2" customFormat="1" ht="12.75" customHeight="1" x14ac:dyDescent="0.2">
      <c r="A54" s="89">
        <v>45070</v>
      </c>
      <c r="B54" s="91" t="s">
        <v>11</v>
      </c>
      <c r="C54" s="76" t="s">
        <v>46</v>
      </c>
      <c r="D54" s="116" t="s">
        <v>29</v>
      </c>
      <c r="E54" s="31"/>
      <c r="F54" s="2">
        <v>74756</v>
      </c>
      <c r="G54" s="30"/>
      <c r="I54" s="13"/>
      <c r="J54" s="13"/>
    </row>
    <row r="55" spans="1:10" s="2" customFormat="1" ht="12.75" customHeight="1" x14ac:dyDescent="0.2">
      <c r="A55" s="89">
        <v>45070</v>
      </c>
      <c r="B55" s="91" t="s">
        <v>11</v>
      </c>
      <c r="C55" s="76" t="s">
        <v>315</v>
      </c>
      <c r="D55" s="116" t="s">
        <v>29</v>
      </c>
      <c r="E55" s="31"/>
      <c r="F55" s="2">
        <v>34480</v>
      </c>
      <c r="G55" s="30"/>
      <c r="I55" s="13"/>
      <c r="J55" s="13"/>
    </row>
    <row r="56" spans="1:10" s="2" customFormat="1" ht="12.75" customHeight="1" x14ac:dyDescent="0.2">
      <c r="A56" s="89">
        <v>45070</v>
      </c>
      <c r="B56" s="91" t="s">
        <v>11</v>
      </c>
      <c r="C56" s="76" t="s">
        <v>57</v>
      </c>
      <c r="D56" s="116" t="s">
        <v>29</v>
      </c>
      <c r="E56" s="31"/>
      <c r="F56" s="2">
        <v>16000000</v>
      </c>
      <c r="G56" s="30"/>
      <c r="I56" s="13"/>
      <c r="J56" s="13"/>
    </row>
    <row r="57" spans="1:10" s="2" customFormat="1" ht="12.75" customHeight="1" x14ac:dyDescent="0.2">
      <c r="A57" s="89">
        <v>45070</v>
      </c>
      <c r="B57" s="91" t="s">
        <v>11</v>
      </c>
      <c r="C57" s="76" t="s">
        <v>62</v>
      </c>
      <c r="D57" s="116" t="s">
        <v>29</v>
      </c>
      <c r="E57" s="31"/>
      <c r="F57" s="2">
        <v>35000</v>
      </c>
      <c r="G57" s="30"/>
    </row>
    <row r="58" spans="1:10" s="2" customFormat="1" ht="12.75" customHeight="1" x14ac:dyDescent="0.2">
      <c r="A58" s="89">
        <v>45070</v>
      </c>
      <c r="B58" s="91" t="s">
        <v>11</v>
      </c>
      <c r="C58" s="76" t="s">
        <v>199</v>
      </c>
      <c r="D58" s="116" t="s">
        <v>29</v>
      </c>
      <c r="E58" s="31"/>
      <c r="F58" s="2">
        <v>1941523</v>
      </c>
      <c r="G58" s="30"/>
    </row>
    <row r="59" spans="1:10" s="2" customFormat="1" ht="12.75" customHeight="1" x14ac:dyDescent="0.2">
      <c r="A59" s="89">
        <v>45070</v>
      </c>
      <c r="B59" s="91" t="s">
        <v>11</v>
      </c>
      <c r="C59" s="76" t="s">
        <v>290</v>
      </c>
      <c r="D59" s="116" t="s">
        <v>29</v>
      </c>
      <c r="E59" s="31"/>
      <c r="F59" s="2">
        <v>9380</v>
      </c>
      <c r="G59" s="30"/>
    </row>
    <row r="60" spans="1:10" s="2" customFormat="1" ht="12.75" customHeight="1" x14ac:dyDescent="0.2">
      <c r="A60" s="89">
        <v>45070</v>
      </c>
      <c r="B60" s="91" t="s">
        <v>11</v>
      </c>
      <c r="C60" s="76" t="s">
        <v>306</v>
      </c>
      <c r="D60" s="116" t="s">
        <v>29</v>
      </c>
      <c r="E60" s="31"/>
      <c r="F60" s="2">
        <v>3819289</v>
      </c>
      <c r="G60" s="30"/>
    </row>
    <row r="61" spans="1:10" s="2" customFormat="1" ht="12.75" customHeight="1" x14ac:dyDescent="0.2">
      <c r="A61" s="89">
        <v>45070</v>
      </c>
      <c r="B61" s="91" t="s">
        <v>11</v>
      </c>
      <c r="C61" s="76" t="s">
        <v>279</v>
      </c>
      <c r="D61" s="116" t="s">
        <v>29</v>
      </c>
      <c r="E61" s="31"/>
      <c r="F61" s="2">
        <v>2479222.5</v>
      </c>
      <c r="G61" s="30"/>
      <c r="I61" s="13"/>
      <c r="J61" s="13"/>
    </row>
    <row r="62" spans="1:10" s="2" customFormat="1" ht="12.75" customHeight="1" x14ac:dyDescent="0.2">
      <c r="A62" s="89">
        <v>45070</v>
      </c>
      <c r="B62" s="91" t="s">
        <v>11</v>
      </c>
      <c r="C62" s="76" t="s">
        <v>725</v>
      </c>
      <c r="D62" s="116" t="s">
        <v>29</v>
      </c>
      <c r="E62" s="31"/>
      <c r="F62" s="2">
        <v>10148</v>
      </c>
      <c r="G62" s="30"/>
      <c r="I62" s="13"/>
      <c r="J62" s="13"/>
    </row>
    <row r="63" spans="1:10" s="2" customFormat="1" ht="12.75" customHeight="1" x14ac:dyDescent="0.2">
      <c r="A63" s="89">
        <v>45070</v>
      </c>
      <c r="B63" s="91" t="s">
        <v>11</v>
      </c>
      <c r="C63" s="76" t="s">
        <v>226</v>
      </c>
      <c r="D63" s="116" t="s">
        <v>29</v>
      </c>
      <c r="E63" s="31"/>
      <c r="F63" s="2">
        <v>48130</v>
      </c>
      <c r="G63" s="30"/>
      <c r="I63" s="13"/>
      <c r="J63" s="13"/>
    </row>
    <row r="64" spans="1:10" s="2" customFormat="1" ht="12.75" customHeight="1" x14ac:dyDescent="0.2">
      <c r="A64" s="89">
        <v>45070</v>
      </c>
      <c r="B64" s="91" t="s">
        <v>11</v>
      </c>
      <c r="C64" s="76" t="s">
        <v>462</v>
      </c>
      <c r="D64" s="116" t="s">
        <v>29</v>
      </c>
      <c r="E64" s="31"/>
      <c r="F64" s="2">
        <v>53406.18</v>
      </c>
      <c r="G64" s="30"/>
      <c r="I64" s="13"/>
      <c r="J64" s="13"/>
    </row>
    <row r="65" spans="1:14" s="2" customFormat="1" ht="12.75" customHeight="1" x14ac:dyDescent="0.2">
      <c r="A65" s="89">
        <v>45070</v>
      </c>
      <c r="B65" s="91" t="s">
        <v>11</v>
      </c>
      <c r="C65" s="76" t="s">
        <v>548</v>
      </c>
      <c r="D65" s="116" t="s">
        <v>29</v>
      </c>
      <c r="E65" s="31"/>
      <c r="F65" s="2">
        <v>23270</v>
      </c>
      <c r="G65" s="30"/>
      <c r="I65" s="13"/>
      <c r="J65" s="13"/>
    </row>
    <row r="66" spans="1:14" s="2" customFormat="1" ht="12.75" customHeight="1" x14ac:dyDescent="0.2">
      <c r="A66" s="89">
        <v>45070</v>
      </c>
      <c r="B66" s="91" t="s">
        <v>11</v>
      </c>
      <c r="C66" s="76" t="s">
        <v>117</v>
      </c>
      <c r="D66" s="116" t="s">
        <v>29</v>
      </c>
      <c r="E66" s="31"/>
      <c r="F66" s="2">
        <v>52078</v>
      </c>
      <c r="G66" s="30"/>
      <c r="I66" s="13"/>
      <c r="J66" s="13"/>
    </row>
    <row r="67" spans="1:14" s="2" customFormat="1" ht="12.75" customHeight="1" x14ac:dyDescent="0.2">
      <c r="A67" s="89">
        <v>45070</v>
      </c>
      <c r="B67" s="91" t="s">
        <v>11</v>
      </c>
      <c r="C67" s="76" t="s">
        <v>724</v>
      </c>
      <c r="D67" s="116" t="s">
        <v>29</v>
      </c>
      <c r="E67" s="31"/>
      <c r="F67" s="2">
        <v>49716</v>
      </c>
      <c r="G67" s="30"/>
      <c r="I67" s="13"/>
      <c r="J67" s="13"/>
    </row>
    <row r="68" spans="1:14" s="2" customFormat="1" ht="12.75" customHeight="1" x14ac:dyDescent="0.2">
      <c r="A68" s="89">
        <v>45070</v>
      </c>
      <c r="B68" s="91" t="s">
        <v>11</v>
      </c>
      <c r="C68" s="76" t="s">
        <v>699</v>
      </c>
      <c r="D68" s="116" t="s">
        <v>29</v>
      </c>
      <c r="E68" s="31"/>
      <c r="F68" s="2">
        <v>12208</v>
      </c>
      <c r="G68" s="30"/>
      <c r="I68" s="13"/>
      <c r="J68" s="13"/>
    </row>
    <row r="69" spans="1:14" s="2" customFormat="1" ht="12.75" customHeight="1" x14ac:dyDescent="0.2">
      <c r="A69" s="89">
        <v>45070</v>
      </c>
      <c r="B69" s="91" t="s">
        <v>11</v>
      </c>
      <c r="C69" s="76" t="s">
        <v>398</v>
      </c>
      <c r="D69" s="116" t="s">
        <v>29</v>
      </c>
      <c r="E69" s="31"/>
      <c r="F69" s="2">
        <v>106441.9</v>
      </c>
      <c r="G69" s="30"/>
      <c r="I69" s="13"/>
      <c r="J69" s="13"/>
    </row>
    <row r="70" spans="1:14" s="2" customFormat="1" ht="12.75" customHeight="1" x14ac:dyDescent="0.2">
      <c r="A70" s="89">
        <v>45070</v>
      </c>
      <c r="B70" s="91" t="s">
        <v>11</v>
      </c>
      <c r="C70" s="76" t="s">
        <v>1010</v>
      </c>
      <c r="D70" s="116" t="s">
        <v>29</v>
      </c>
      <c r="E70" s="31"/>
      <c r="F70" s="2">
        <v>11092</v>
      </c>
      <c r="G70" s="30"/>
      <c r="I70" s="13"/>
      <c r="J70" s="13"/>
    </row>
    <row r="71" spans="1:14" s="2" customFormat="1" ht="12.75" customHeight="1" x14ac:dyDescent="0.2">
      <c r="A71" s="89">
        <v>45070</v>
      </c>
      <c r="B71" s="91" t="s">
        <v>11</v>
      </c>
      <c r="C71" s="76" t="s">
        <v>63</v>
      </c>
      <c r="D71" s="116" t="s">
        <v>29</v>
      </c>
      <c r="E71" s="31"/>
      <c r="F71" s="2">
        <v>2500000</v>
      </c>
      <c r="G71" s="30"/>
      <c r="I71" s="13"/>
      <c r="J71" s="2" t="s">
        <v>1007</v>
      </c>
      <c r="K71" s="25" t="s">
        <v>779</v>
      </c>
    </row>
    <row r="72" spans="1:14" s="2" customFormat="1" ht="12.75" customHeight="1" x14ac:dyDescent="0.25">
      <c r="A72" s="32"/>
      <c r="B72" s="33"/>
      <c r="C72" s="14"/>
      <c r="D72" s="34"/>
      <c r="E72" s="16">
        <f>SUM(E11:E71)</f>
        <v>34668780.100000001</v>
      </c>
      <c r="F72" s="16">
        <f>SUM(F11:F71)</f>
        <v>350601822.36999995</v>
      </c>
      <c r="G72" s="30"/>
      <c r="H72" s="1"/>
      <c r="I72" s="39">
        <v>315862360.26999998</v>
      </c>
      <c r="J72" s="2">
        <v>70682</v>
      </c>
      <c r="K72" s="92">
        <f>E73-I72</f>
        <v>70681.999999940395</v>
      </c>
      <c r="L72" s="41"/>
      <c r="M72" s="42">
        <f>J72-K72</f>
        <v>5.9604644775390625E-8</v>
      </c>
      <c r="N72" s="1"/>
    </row>
    <row r="73" spans="1:14" s="2" customFormat="1" x14ac:dyDescent="0.2">
      <c r="A73" s="36"/>
      <c r="B73" s="28" t="s">
        <v>11</v>
      </c>
      <c r="C73" s="19" t="s">
        <v>65</v>
      </c>
      <c r="D73" s="37"/>
      <c r="E73" s="38">
        <f>F72-E72</f>
        <v>315933042.26999992</v>
      </c>
      <c r="F73" s="22"/>
      <c r="G73" s="1"/>
      <c r="H73" s="1"/>
      <c r="J73" s="1"/>
      <c r="K73" s="1"/>
      <c r="L73" s="1"/>
      <c r="M73" s="1"/>
      <c r="N73" s="1"/>
    </row>
    <row r="74" spans="1:14" x14ac:dyDescent="0.2">
      <c r="A74" s="36"/>
      <c r="B74" s="28" t="s">
        <v>66</v>
      </c>
      <c r="C74" s="43" t="s">
        <v>67</v>
      </c>
      <c r="D74" s="43"/>
      <c r="E74" s="12">
        <v>29316181</v>
      </c>
      <c r="F74" s="22"/>
      <c r="H74" s="40"/>
      <c r="I74" s="45">
        <v>2839.85</v>
      </c>
      <c r="J74" s="46"/>
      <c r="K74" s="46"/>
      <c r="L74" s="13"/>
      <c r="M74" s="2"/>
      <c r="N74" s="2"/>
    </row>
    <row r="75" spans="1:14" ht="15" x14ac:dyDescent="0.25">
      <c r="A75" s="36"/>
      <c r="B75" s="28"/>
      <c r="C75" s="44" t="s">
        <v>68</v>
      </c>
      <c r="D75" s="43"/>
      <c r="E75" s="7">
        <f>E73+E74</f>
        <v>345249223.26999992</v>
      </c>
      <c r="F75" s="22"/>
      <c r="H75" s="103" t="s">
        <v>69</v>
      </c>
      <c r="I75" s="45">
        <v>-231.32</v>
      </c>
      <c r="J75" s="46"/>
      <c r="K75" s="46"/>
      <c r="L75" s="2"/>
      <c r="M75" s="2"/>
      <c r="N75" s="2"/>
    </row>
    <row r="76" spans="1:14" s="2" customFormat="1" x14ac:dyDescent="0.2">
      <c r="A76" s="24"/>
      <c r="B76" s="1"/>
      <c r="C76" s="14"/>
      <c r="D76" s="25"/>
      <c r="E76" s="1"/>
      <c r="H76" s="35" t="s">
        <v>70</v>
      </c>
      <c r="I76" s="45">
        <v>100</v>
      </c>
      <c r="J76" s="46">
        <f>+I77-D79</f>
        <v>0</v>
      </c>
      <c r="M76" s="2">
        <v>19.57</v>
      </c>
      <c r="N76" s="2" t="s">
        <v>535</v>
      </c>
    </row>
    <row r="77" spans="1:14" s="2" customFormat="1" x14ac:dyDescent="0.2">
      <c r="A77" s="24"/>
      <c r="B77" s="1"/>
      <c r="C77" s="56"/>
      <c r="D77" s="56"/>
      <c r="E77" s="104"/>
      <c r="G77" s="1"/>
      <c r="I77" s="49">
        <f>SUM(I74:I76)</f>
        <v>2708.5299999999997</v>
      </c>
      <c r="J77" s="46"/>
      <c r="K77" s="46"/>
    </row>
    <row r="78" spans="1:14" s="2" customFormat="1" x14ac:dyDescent="0.2">
      <c r="A78" s="24"/>
      <c r="B78" s="1"/>
      <c r="C78" s="78" t="s">
        <v>575</v>
      </c>
      <c r="D78" s="48" t="s">
        <v>576</v>
      </c>
      <c r="E78" s="104"/>
      <c r="G78" s="1"/>
    </row>
    <row r="79" spans="1:14" s="2" customFormat="1" x14ac:dyDescent="0.2">
      <c r="A79" s="24"/>
      <c r="B79" s="1"/>
      <c r="C79" s="47" t="s">
        <v>570</v>
      </c>
      <c r="D79" s="111">
        <v>2708.53</v>
      </c>
      <c r="E79" s="104"/>
      <c r="G79" s="1"/>
      <c r="H79" s="110" t="s">
        <v>581</v>
      </c>
    </row>
    <row r="80" spans="1:14" s="2" customFormat="1" x14ac:dyDescent="0.2">
      <c r="A80" s="24"/>
      <c r="B80" s="1"/>
      <c r="C80" s="47" t="s">
        <v>931</v>
      </c>
      <c r="D80" s="111">
        <v>443.13</v>
      </c>
      <c r="E80" s="104"/>
      <c r="G80" s="1"/>
      <c r="H80" s="110" t="s">
        <v>580</v>
      </c>
    </row>
    <row r="81" spans="1:13" s="2" customFormat="1" x14ac:dyDescent="0.2">
      <c r="A81" s="24"/>
      <c r="B81" s="1"/>
      <c r="C81" s="47" t="s">
        <v>572</v>
      </c>
      <c r="D81" s="111">
        <f>+D133/100000</f>
        <v>724.80415000000005</v>
      </c>
      <c r="E81" s="104"/>
      <c r="G81" s="1"/>
      <c r="H81" s="90" t="s">
        <v>587</v>
      </c>
    </row>
    <row r="82" spans="1:13" s="2" customFormat="1" x14ac:dyDescent="0.2">
      <c r="A82" s="24"/>
      <c r="B82" s="1"/>
      <c r="C82" s="108" t="s">
        <v>578</v>
      </c>
      <c r="D82" s="48">
        <f>SUM(D79:D81)</f>
        <v>3876.4641500000002</v>
      </c>
      <c r="E82" s="104"/>
      <c r="G82" s="1"/>
    </row>
    <row r="83" spans="1:13" s="2" customFormat="1" x14ac:dyDescent="0.2">
      <c r="A83" s="24"/>
      <c r="B83" s="1"/>
      <c r="C83" s="47"/>
      <c r="D83" s="107"/>
      <c r="E83" s="104"/>
      <c r="G83" s="1"/>
    </row>
    <row r="84" spans="1:13" s="2" customFormat="1" x14ac:dyDescent="0.2">
      <c r="A84" s="24"/>
      <c r="B84" s="1"/>
      <c r="C84" s="47" t="s">
        <v>932</v>
      </c>
      <c r="D84" s="111">
        <v>619.48</v>
      </c>
      <c r="E84" s="104"/>
      <c r="G84" s="1"/>
      <c r="H84" s="110" t="s">
        <v>581</v>
      </c>
    </row>
    <row r="85" spans="1:13" s="2" customFormat="1" x14ac:dyDescent="0.2">
      <c r="A85" s="24"/>
      <c r="B85" s="1"/>
      <c r="C85" s="47" t="s">
        <v>933</v>
      </c>
      <c r="D85" s="111">
        <f>567.68-14.66</f>
        <v>553.02</v>
      </c>
      <c r="E85" s="104"/>
      <c r="G85" s="1"/>
      <c r="H85" s="110" t="s">
        <v>581</v>
      </c>
      <c r="J85" s="114" t="s">
        <v>713</v>
      </c>
    </row>
    <row r="86" spans="1:13" s="2" customFormat="1" x14ac:dyDescent="0.2">
      <c r="A86" s="24"/>
      <c r="B86" s="1"/>
      <c r="C86" s="78" t="s">
        <v>579</v>
      </c>
      <c r="D86" s="109">
        <f>D84+D85</f>
        <v>1172.5</v>
      </c>
      <c r="E86" s="104"/>
      <c r="G86" s="1"/>
      <c r="I86" s="113"/>
      <c r="J86" s="113" t="s">
        <v>709</v>
      </c>
      <c r="K86" s="113" t="s">
        <v>710</v>
      </c>
      <c r="L86" s="113" t="s">
        <v>711</v>
      </c>
      <c r="M86" s="113" t="s">
        <v>712</v>
      </c>
    </row>
    <row r="87" spans="1:13" s="2" customFormat="1" x14ac:dyDescent="0.2">
      <c r="A87" s="24"/>
      <c r="B87" s="1"/>
      <c r="C87" s="105"/>
      <c r="D87" s="106"/>
      <c r="E87" s="104"/>
      <c r="G87" s="1"/>
      <c r="I87" s="113" t="s">
        <v>706</v>
      </c>
      <c r="J87" s="115"/>
      <c r="K87" s="115">
        <v>968.99</v>
      </c>
      <c r="L87" s="115">
        <v>968.99</v>
      </c>
      <c r="M87" s="113">
        <f>+J87+L87-K87</f>
        <v>0</v>
      </c>
    </row>
    <row r="88" spans="1:13" s="2" customFormat="1" x14ac:dyDescent="0.2">
      <c r="A88" s="24"/>
      <c r="B88" s="1"/>
      <c r="C88" s="78" t="s">
        <v>577</v>
      </c>
      <c r="D88" s="109">
        <f>D79+D86</f>
        <v>3881.03</v>
      </c>
      <c r="E88" s="104"/>
      <c r="G88" s="1"/>
      <c r="I88" s="113" t="s">
        <v>707</v>
      </c>
      <c r="J88" s="115">
        <v>183.1</v>
      </c>
      <c r="K88" s="115">
        <v>1960.52</v>
      </c>
      <c r="L88" s="115">
        <v>2792.81</v>
      </c>
      <c r="M88" s="113">
        <f>+J88+L88-K88</f>
        <v>1015.3899999999999</v>
      </c>
    </row>
    <row r="89" spans="1:13" s="2" customFormat="1" x14ac:dyDescent="0.2">
      <c r="A89" s="24"/>
      <c r="B89" s="1"/>
      <c r="C89" s="56"/>
      <c r="D89" s="56"/>
      <c r="E89" s="104"/>
      <c r="G89" s="1"/>
      <c r="I89" s="113" t="s">
        <v>708</v>
      </c>
      <c r="J89" s="115">
        <v>1371.02</v>
      </c>
      <c r="K89" s="115">
        <v>11421.27</v>
      </c>
      <c r="L89" s="115">
        <v>11591.93</v>
      </c>
      <c r="M89" s="113">
        <f>+J89+L89-K89</f>
        <v>1541.6800000000003</v>
      </c>
    </row>
    <row r="90" spans="1:13" s="2" customFormat="1" ht="38.25" x14ac:dyDescent="0.2">
      <c r="A90" s="24"/>
      <c r="B90" s="1"/>
      <c r="C90" s="79" t="str">
        <f>"Particulars ( 01-04-2021 to "&amp;TEXT(A5,"dd-mm-yyyy")&amp;" )"</f>
        <v>Particulars ( 01-04-2021 to 24-05-2023 )</v>
      </c>
      <c r="D90" s="80" t="s">
        <v>73</v>
      </c>
      <c r="E90" s="80" t="s">
        <v>74</v>
      </c>
      <c r="F90" s="81" t="s">
        <v>75</v>
      </c>
      <c r="G90" s="80" t="s">
        <v>76</v>
      </c>
      <c r="J90" s="118">
        <f>SUM(J87:J89)</f>
        <v>1554.12</v>
      </c>
      <c r="K90" s="118">
        <f>SUM(K87:K89)</f>
        <v>14350.78</v>
      </c>
      <c r="L90" s="118">
        <f>SUM(L87:L89)</f>
        <v>15353.73</v>
      </c>
      <c r="M90" s="118">
        <f>SUM(M87:M89)</f>
        <v>2557.0700000000002</v>
      </c>
    </row>
    <row r="91" spans="1:13" s="2" customFormat="1" x14ac:dyDescent="0.2">
      <c r="A91" s="24"/>
      <c r="B91" s="1"/>
      <c r="C91" s="50" t="s">
        <v>444</v>
      </c>
      <c r="D91" s="55">
        <f>+L87+L88+J88</f>
        <v>3944.9</v>
      </c>
      <c r="E91" s="55">
        <f>+K87+K88</f>
        <v>2929.51</v>
      </c>
      <c r="F91" s="55">
        <f>+D91-E91</f>
        <v>1015.3899999999999</v>
      </c>
      <c r="G91" s="55">
        <f>1500-F91</f>
        <v>484.61000000000013</v>
      </c>
      <c r="H91" s="2" t="s">
        <v>396</v>
      </c>
    </row>
    <row r="92" spans="1:13" s="2" customFormat="1" x14ac:dyDescent="0.2">
      <c r="A92" s="24"/>
      <c r="B92" s="1"/>
      <c r="C92" s="50" t="s">
        <v>71</v>
      </c>
      <c r="D92" s="55">
        <f>+J89+L89</f>
        <v>12962.95</v>
      </c>
      <c r="E92" s="55">
        <f>+K89</f>
        <v>11421.27</v>
      </c>
      <c r="F92" s="55">
        <f>+D92-E92</f>
        <v>1541.6800000000003</v>
      </c>
      <c r="G92" s="55">
        <f>1500+700-F92</f>
        <v>658.31999999999971</v>
      </c>
      <c r="H92" s="2" t="s">
        <v>396</v>
      </c>
    </row>
    <row r="93" spans="1:13" s="2" customFormat="1" x14ac:dyDescent="0.2">
      <c r="A93" s="24"/>
      <c r="B93" s="1"/>
      <c r="C93" s="14"/>
      <c r="D93" s="56"/>
      <c r="E93" s="13"/>
      <c r="G93" s="1"/>
    </row>
    <row r="94" spans="1:13" s="2" customFormat="1" x14ac:dyDescent="0.2">
      <c r="A94" s="215" t="s">
        <v>80</v>
      </c>
      <c r="B94" s="216"/>
      <c r="C94" s="216"/>
      <c r="D94" s="217"/>
      <c r="E94" s="69"/>
      <c r="F94" s="70"/>
      <c r="G94" s="1"/>
      <c r="H94" s="53"/>
    </row>
    <row r="95" spans="1:13" s="2" customFormat="1" x14ac:dyDescent="0.2">
      <c r="A95" s="71" t="s">
        <v>81</v>
      </c>
      <c r="B95" s="71"/>
      <c r="C95" s="72" t="s">
        <v>82</v>
      </c>
      <c r="D95" s="73" t="s">
        <v>83</v>
      </c>
      <c r="E95" s="69"/>
      <c r="F95" s="70"/>
      <c r="H95" s="53"/>
    </row>
    <row r="96" spans="1:13" s="2" customFormat="1" x14ac:dyDescent="0.2">
      <c r="A96" s="87">
        <v>45050</v>
      </c>
      <c r="B96" s="120" t="s">
        <v>6</v>
      </c>
      <c r="C96" s="75" t="s">
        <v>282</v>
      </c>
      <c r="D96" s="88">
        <v>1562637</v>
      </c>
      <c r="G96" s="1"/>
      <c r="L96" s="1"/>
      <c r="M96" s="1"/>
    </row>
    <row r="97" spans="1:13" s="2" customFormat="1" x14ac:dyDescent="0.2">
      <c r="A97" s="87">
        <v>45050</v>
      </c>
      <c r="B97" s="120" t="s">
        <v>6</v>
      </c>
      <c r="C97" s="75" t="s">
        <v>86</v>
      </c>
      <c r="D97" s="88">
        <v>2499321</v>
      </c>
      <c r="G97" s="1"/>
      <c r="L97" s="1"/>
      <c r="M97" s="1"/>
    </row>
    <row r="98" spans="1:13" s="2" customFormat="1" x14ac:dyDescent="0.2">
      <c r="A98" s="87">
        <v>45050</v>
      </c>
      <c r="B98" s="120" t="s">
        <v>6</v>
      </c>
      <c r="C98" s="75" t="s">
        <v>86</v>
      </c>
      <c r="D98" s="88">
        <v>6876102</v>
      </c>
      <c r="G98" s="1"/>
      <c r="L98" s="1"/>
      <c r="M98" s="1"/>
    </row>
    <row r="99" spans="1:13" s="2" customFormat="1" x14ac:dyDescent="0.2">
      <c r="A99" s="87">
        <v>45052</v>
      </c>
      <c r="B99" s="120" t="s">
        <v>6</v>
      </c>
      <c r="C99" s="75" t="s">
        <v>270</v>
      </c>
      <c r="D99" s="88">
        <v>1124141</v>
      </c>
      <c r="G99" s="1"/>
      <c r="L99" s="1"/>
      <c r="M99" s="1"/>
    </row>
    <row r="100" spans="1:13" s="2" customFormat="1" x14ac:dyDescent="0.2">
      <c r="A100" s="87">
        <v>45054</v>
      </c>
      <c r="B100" s="120" t="s">
        <v>6</v>
      </c>
      <c r="C100" s="75" t="s">
        <v>271</v>
      </c>
      <c r="D100" s="88">
        <v>476726</v>
      </c>
      <c r="G100" s="1"/>
      <c r="L100" s="1"/>
      <c r="M100" s="1"/>
    </row>
    <row r="101" spans="1:13" s="2" customFormat="1" x14ac:dyDescent="0.2">
      <c r="A101" s="87">
        <v>45054</v>
      </c>
      <c r="B101" s="120" t="s">
        <v>6</v>
      </c>
      <c r="C101" s="75" t="s">
        <v>271</v>
      </c>
      <c r="D101" s="88">
        <v>926688</v>
      </c>
      <c r="G101" s="1"/>
      <c r="L101" s="1"/>
      <c r="M101" s="1"/>
    </row>
    <row r="102" spans="1:13" s="2" customFormat="1" x14ac:dyDescent="0.2">
      <c r="A102" s="87">
        <v>45054</v>
      </c>
      <c r="B102" s="120" t="s">
        <v>6</v>
      </c>
      <c r="C102" s="75" t="s">
        <v>606</v>
      </c>
      <c r="D102" s="88">
        <v>1844917</v>
      </c>
      <c r="G102" s="1"/>
      <c r="L102" s="1"/>
      <c r="M102" s="1"/>
    </row>
    <row r="103" spans="1:13" s="2" customFormat="1" x14ac:dyDescent="0.2">
      <c r="A103" s="87">
        <v>45054</v>
      </c>
      <c r="B103" s="120" t="s">
        <v>6</v>
      </c>
      <c r="C103" s="75" t="s">
        <v>271</v>
      </c>
      <c r="D103" s="88">
        <v>1640794</v>
      </c>
      <c r="G103" s="1"/>
      <c r="L103" s="1"/>
      <c r="M103" s="1"/>
    </row>
    <row r="104" spans="1:13" s="2" customFormat="1" x14ac:dyDescent="0.2">
      <c r="A104" s="87">
        <v>45055</v>
      </c>
      <c r="B104" s="120" t="s">
        <v>6</v>
      </c>
      <c r="C104" s="75" t="s">
        <v>84</v>
      </c>
      <c r="D104" s="88">
        <v>2000000</v>
      </c>
      <c r="G104" s="1"/>
      <c r="L104" s="1"/>
      <c r="M104" s="1"/>
    </row>
    <row r="105" spans="1:13" s="2" customFormat="1" x14ac:dyDescent="0.2">
      <c r="A105" s="87">
        <v>45055</v>
      </c>
      <c r="B105" s="120" t="s">
        <v>6</v>
      </c>
      <c r="C105" s="75" t="s">
        <v>87</v>
      </c>
      <c r="D105" s="88">
        <v>2540563</v>
      </c>
      <c r="G105" s="1"/>
      <c r="L105" s="1"/>
      <c r="M105" s="1"/>
    </row>
    <row r="106" spans="1:13" s="2" customFormat="1" x14ac:dyDescent="0.2">
      <c r="A106" s="87">
        <v>45055</v>
      </c>
      <c r="B106" s="120" t="s">
        <v>6</v>
      </c>
      <c r="C106" s="75" t="s">
        <v>767</v>
      </c>
      <c r="D106" s="88">
        <v>950137</v>
      </c>
      <c r="G106" s="1"/>
      <c r="L106" s="1"/>
      <c r="M106" s="1"/>
    </row>
    <row r="107" spans="1:13" s="2" customFormat="1" x14ac:dyDescent="0.2">
      <c r="A107" s="87">
        <v>45056</v>
      </c>
      <c r="B107" s="120" t="s">
        <v>6</v>
      </c>
      <c r="C107" s="75" t="s">
        <v>271</v>
      </c>
      <c r="D107" s="88">
        <v>242417</v>
      </c>
      <c r="G107" s="1"/>
      <c r="L107" s="1"/>
      <c r="M107" s="1"/>
    </row>
    <row r="108" spans="1:13" s="2" customFormat="1" x14ac:dyDescent="0.2">
      <c r="A108" s="87">
        <v>45056</v>
      </c>
      <c r="B108" s="120" t="s">
        <v>6</v>
      </c>
      <c r="C108" s="75" t="s">
        <v>271</v>
      </c>
      <c r="D108" s="88">
        <v>674909</v>
      </c>
      <c r="G108" s="1"/>
      <c r="L108" s="1"/>
      <c r="M108" s="1"/>
    </row>
    <row r="109" spans="1:13" s="2" customFormat="1" x14ac:dyDescent="0.2">
      <c r="A109" s="87">
        <v>45056</v>
      </c>
      <c r="B109" s="120" t="s">
        <v>6</v>
      </c>
      <c r="C109" s="75" t="s">
        <v>271</v>
      </c>
      <c r="D109" s="88">
        <v>969371</v>
      </c>
      <c r="G109" s="1"/>
      <c r="L109" s="1"/>
      <c r="M109" s="1"/>
    </row>
    <row r="110" spans="1:13" s="2" customFormat="1" x14ac:dyDescent="0.2">
      <c r="A110" s="87">
        <v>45058</v>
      </c>
      <c r="B110" s="120" t="s">
        <v>6</v>
      </c>
      <c r="C110" s="75" t="s">
        <v>271</v>
      </c>
      <c r="D110" s="88">
        <v>650439</v>
      </c>
      <c r="G110" s="1"/>
      <c r="L110" s="1"/>
      <c r="M110" s="1"/>
    </row>
    <row r="111" spans="1:13" s="2" customFormat="1" x14ac:dyDescent="0.2">
      <c r="A111" s="87">
        <v>45058</v>
      </c>
      <c r="B111" s="120" t="s">
        <v>6</v>
      </c>
      <c r="C111" s="75" t="s">
        <v>271</v>
      </c>
      <c r="D111" s="88">
        <v>432067</v>
      </c>
      <c r="G111" s="1"/>
      <c r="L111" s="1"/>
      <c r="M111" s="1"/>
    </row>
    <row r="112" spans="1:13" s="2" customFormat="1" x14ac:dyDescent="0.2">
      <c r="A112" s="87">
        <v>45058</v>
      </c>
      <c r="B112" s="120" t="s">
        <v>6</v>
      </c>
      <c r="C112" s="75" t="s">
        <v>271</v>
      </c>
      <c r="D112" s="88">
        <v>412906</v>
      </c>
      <c r="G112" s="1"/>
      <c r="L112" s="1"/>
      <c r="M112" s="1"/>
    </row>
    <row r="113" spans="1:13" s="2" customFormat="1" x14ac:dyDescent="0.2">
      <c r="A113" s="87">
        <v>45061</v>
      </c>
      <c r="B113" s="120" t="s">
        <v>6</v>
      </c>
      <c r="C113" s="75" t="s">
        <v>282</v>
      </c>
      <c r="D113" s="88">
        <v>7500000</v>
      </c>
      <c r="G113" s="1"/>
      <c r="L113" s="1"/>
      <c r="M113" s="1"/>
    </row>
    <row r="114" spans="1:13" s="2" customFormat="1" x14ac:dyDescent="0.2">
      <c r="A114" s="87">
        <v>45062</v>
      </c>
      <c r="B114" s="120" t="s">
        <v>6</v>
      </c>
      <c r="C114" s="75" t="s">
        <v>86</v>
      </c>
      <c r="D114" s="88">
        <v>3769130</v>
      </c>
      <c r="G114" s="1"/>
      <c r="L114" s="1"/>
      <c r="M114" s="1"/>
    </row>
    <row r="115" spans="1:13" s="2" customFormat="1" x14ac:dyDescent="0.2">
      <c r="A115" s="87">
        <v>45063</v>
      </c>
      <c r="B115" s="120" t="s">
        <v>6</v>
      </c>
      <c r="C115" s="75" t="s">
        <v>84</v>
      </c>
      <c r="D115" s="88">
        <v>5033848</v>
      </c>
      <c r="G115" s="1"/>
      <c r="L115" s="1"/>
      <c r="M115" s="1"/>
    </row>
    <row r="116" spans="1:13" s="2" customFormat="1" x14ac:dyDescent="0.2">
      <c r="A116" s="87">
        <v>45065</v>
      </c>
      <c r="B116" s="120" t="s">
        <v>6</v>
      </c>
      <c r="C116" s="75" t="s">
        <v>594</v>
      </c>
      <c r="D116" s="88">
        <v>6001798</v>
      </c>
      <c r="G116" s="1"/>
      <c r="L116" s="1"/>
      <c r="M116" s="1"/>
    </row>
    <row r="117" spans="1:13" s="2" customFormat="1" x14ac:dyDescent="0.2">
      <c r="A117" s="87">
        <v>45065</v>
      </c>
      <c r="B117" s="120" t="s">
        <v>6</v>
      </c>
      <c r="C117" s="75" t="s">
        <v>594</v>
      </c>
      <c r="D117" s="88">
        <v>9126</v>
      </c>
      <c r="G117" s="1"/>
      <c r="L117" s="1"/>
      <c r="M117" s="1"/>
    </row>
    <row r="118" spans="1:13" s="2" customFormat="1" x14ac:dyDescent="0.2">
      <c r="A118" s="87">
        <v>45066</v>
      </c>
      <c r="B118" s="120" t="s">
        <v>6</v>
      </c>
      <c r="C118" s="75" t="s">
        <v>271</v>
      </c>
      <c r="D118" s="88">
        <v>231880</v>
      </c>
      <c r="G118" s="1"/>
      <c r="L118" s="1"/>
      <c r="M118" s="1"/>
    </row>
    <row r="119" spans="1:13" s="2" customFormat="1" x14ac:dyDescent="0.2">
      <c r="A119" s="87">
        <v>45066</v>
      </c>
      <c r="B119" s="120" t="s">
        <v>6</v>
      </c>
      <c r="C119" s="75" t="s">
        <v>271</v>
      </c>
      <c r="D119" s="88">
        <v>1166054</v>
      </c>
      <c r="G119" s="1"/>
      <c r="L119" s="1"/>
      <c r="M119" s="1"/>
    </row>
    <row r="120" spans="1:13" s="2" customFormat="1" x14ac:dyDescent="0.2">
      <c r="A120" s="87">
        <v>45066</v>
      </c>
      <c r="B120" s="120" t="s">
        <v>6</v>
      </c>
      <c r="C120" s="75" t="s">
        <v>271</v>
      </c>
      <c r="D120" s="88">
        <v>197868</v>
      </c>
      <c r="G120" s="1"/>
      <c r="L120" s="1"/>
      <c r="M120" s="1"/>
    </row>
    <row r="121" spans="1:13" s="2" customFormat="1" x14ac:dyDescent="0.2">
      <c r="A121" s="87">
        <v>45066</v>
      </c>
      <c r="B121" s="120" t="s">
        <v>6</v>
      </c>
      <c r="C121" s="75" t="s">
        <v>271</v>
      </c>
      <c r="D121" s="88">
        <v>411515</v>
      </c>
      <c r="G121" s="1"/>
      <c r="L121" s="1"/>
      <c r="M121" s="1"/>
    </row>
    <row r="122" spans="1:13" s="2" customFormat="1" x14ac:dyDescent="0.2">
      <c r="A122" s="87">
        <v>45066</v>
      </c>
      <c r="B122" s="120" t="s">
        <v>6</v>
      </c>
      <c r="C122" s="75" t="s">
        <v>271</v>
      </c>
      <c r="D122" s="88">
        <v>781035</v>
      </c>
      <c r="G122" s="1"/>
      <c r="L122" s="1"/>
      <c r="M122" s="1"/>
    </row>
    <row r="123" spans="1:13" s="2" customFormat="1" x14ac:dyDescent="0.2">
      <c r="A123" s="87">
        <v>45066</v>
      </c>
      <c r="B123" s="120" t="s">
        <v>6</v>
      </c>
      <c r="C123" s="75" t="s">
        <v>87</v>
      </c>
      <c r="D123" s="88">
        <v>1320555</v>
      </c>
      <c r="G123" s="1"/>
      <c r="L123" s="1"/>
      <c r="M123" s="1"/>
    </row>
    <row r="124" spans="1:13" s="2" customFormat="1" x14ac:dyDescent="0.2">
      <c r="A124" s="87">
        <v>45066</v>
      </c>
      <c r="B124" s="120" t="s">
        <v>6</v>
      </c>
      <c r="C124" s="75" t="s">
        <v>467</v>
      </c>
      <c r="D124" s="88">
        <v>2498439</v>
      </c>
      <c r="G124" s="1"/>
      <c r="L124" s="1"/>
      <c r="M124" s="1"/>
    </row>
    <row r="125" spans="1:13" s="2" customFormat="1" x14ac:dyDescent="0.2">
      <c r="A125" s="87">
        <v>45068</v>
      </c>
      <c r="B125" s="120" t="s">
        <v>6</v>
      </c>
      <c r="C125" s="75" t="s">
        <v>86</v>
      </c>
      <c r="D125" s="88">
        <v>588418</v>
      </c>
      <c r="G125" s="1"/>
      <c r="L125" s="1"/>
      <c r="M125" s="1"/>
    </row>
    <row r="126" spans="1:13" s="2" customFormat="1" x14ac:dyDescent="0.2">
      <c r="A126" s="87">
        <v>45068</v>
      </c>
      <c r="B126" s="120" t="s">
        <v>6</v>
      </c>
      <c r="C126" s="75" t="s">
        <v>86</v>
      </c>
      <c r="D126" s="88">
        <v>6280875</v>
      </c>
      <c r="G126" s="1"/>
      <c r="L126" s="1"/>
      <c r="M126" s="1"/>
    </row>
    <row r="127" spans="1:13" s="2" customFormat="1" x14ac:dyDescent="0.2">
      <c r="A127" s="87">
        <v>45068</v>
      </c>
      <c r="B127" s="120" t="s">
        <v>6</v>
      </c>
      <c r="C127" s="75" t="s">
        <v>86</v>
      </c>
      <c r="D127" s="88">
        <v>1195342</v>
      </c>
      <c r="G127" s="1"/>
      <c r="L127" s="1"/>
      <c r="M127" s="1"/>
    </row>
    <row r="128" spans="1:13" s="2" customFormat="1" x14ac:dyDescent="0.2">
      <c r="A128" s="87">
        <v>45070</v>
      </c>
      <c r="B128" s="120" t="s">
        <v>6</v>
      </c>
      <c r="C128" s="75" t="s">
        <v>784</v>
      </c>
      <c r="D128" s="88">
        <v>734755</v>
      </c>
      <c r="G128" s="1"/>
      <c r="L128" s="1"/>
      <c r="M128" s="1"/>
    </row>
    <row r="129" spans="1:13" s="2" customFormat="1" x14ac:dyDescent="0.2">
      <c r="A129" s="87">
        <v>45070</v>
      </c>
      <c r="B129" s="120" t="s">
        <v>6</v>
      </c>
      <c r="C129" s="75" t="s">
        <v>270</v>
      </c>
      <c r="D129" s="88">
        <v>1147013</v>
      </c>
      <c r="G129" s="1"/>
      <c r="L129" s="1"/>
      <c r="M129" s="1"/>
    </row>
    <row r="130" spans="1:13" s="2" customFormat="1" x14ac:dyDescent="0.2">
      <c r="A130" s="87">
        <v>45070</v>
      </c>
      <c r="B130" s="120" t="s">
        <v>6</v>
      </c>
      <c r="C130" s="75" t="s">
        <v>270</v>
      </c>
      <c r="D130" s="88">
        <v>2489665</v>
      </c>
      <c r="G130" s="1"/>
      <c r="L130" s="1"/>
      <c r="M130" s="1"/>
    </row>
    <row r="131" spans="1:13" s="2" customFormat="1" x14ac:dyDescent="0.2">
      <c r="A131" s="87">
        <v>45070</v>
      </c>
      <c r="B131" s="120" t="s">
        <v>6</v>
      </c>
      <c r="C131" s="75" t="s">
        <v>270</v>
      </c>
      <c r="D131" s="88">
        <v>306124</v>
      </c>
      <c r="G131" s="1"/>
      <c r="L131" s="1"/>
      <c r="M131" s="1"/>
    </row>
    <row r="132" spans="1:13" s="2" customFormat="1" x14ac:dyDescent="0.2">
      <c r="A132" s="87">
        <v>45070</v>
      </c>
      <c r="B132" s="120" t="s">
        <v>6</v>
      </c>
      <c r="C132" s="75" t="s">
        <v>86</v>
      </c>
      <c r="D132" s="88">
        <v>4992840</v>
      </c>
      <c r="G132" s="1"/>
      <c r="L132" s="1"/>
      <c r="M132" s="1"/>
    </row>
    <row r="133" spans="1:13" s="2" customFormat="1" x14ac:dyDescent="0.2">
      <c r="A133" s="87"/>
      <c r="B133" s="74"/>
      <c r="C133" s="75"/>
      <c r="D133" s="51">
        <f>SUM(D96:D132)</f>
        <v>72480415</v>
      </c>
      <c r="F133" s="2" t="s">
        <v>396</v>
      </c>
      <c r="G133" s="1"/>
      <c r="I133" s="1"/>
      <c r="J133" s="1"/>
      <c r="K133" s="1"/>
      <c r="L133" s="1"/>
      <c r="M133" s="1"/>
    </row>
    <row r="134" spans="1:13" s="2" customFormat="1" x14ac:dyDescent="0.2">
      <c r="A134" s="24"/>
      <c r="B134" s="1"/>
      <c r="C134" s="14"/>
      <c r="D134" s="56"/>
      <c r="E134" s="13"/>
      <c r="G134" s="1"/>
    </row>
    <row r="135" spans="1:13" s="2" customFormat="1" x14ac:dyDescent="0.2">
      <c r="A135" s="24"/>
      <c r="B135" s="1"/>
      <c r="C135" s="218" t="s">
        <v>77</v>
      </c>
      <c r="D135" s="219"/>
      <c r="E135" s="219"/>
      <c r="F135" s="220"/>
      <c r="G135" s="54"/>
      <c r="I135" s="1"/>
      <c r="J135" s="1"/>
      <c r="K135" s="1"/>
      <c r="L135" s="1"/>
      <c r="M135" s="1"/>
    </row>
    <row r="136" spans="1:13" s="2" customFormat="1" x14ac:dyDescent="0.2">
      <c r="A136" s="24"/>
      <c r="B136" s="1"/>
      <c r="C136" s="50"/>
      <c r="D136" s="57" t="s">
        <v>78</v>
      </c>
      <c r="E136" s="58" t="s">
        <v>79</v>
      </c>
      <c r="F136" s="57" t="s">
        <v>72</v>
      </c>
      <c r="G136" s="54"/>
      <c r="I136" s="1"/>
      <c r="J136" s="1"/>
      <c r="K136" s="1"/>
      <c r="L136" s="1"/>
      <c r="M136" s="1"/>
    </row>
    <row r="137" spans="1:13" s="2" customFormat="1" x14ac:dyDescent="0.2">
      <c r="A137" s="24"/>
      <c r="B137" s="1"/>
      <c r="C137" s="59" t="str">
        <f>"01-05-2023 to "&amp;TEXT(A5-2,"dd-mm-yyyy")</f>
        <v>01-05-2023 to 22-05-2023</v>
      </c>
      <c r="D137" s="60">
        <v>3124.08</v>
      </c>
      <c r="E137" s="60">
        <v>267.57</v>
      </c>
      <c r="F137" s="61">
        <f>SUM(D137:E137)</f>
        <v>3391.65</v>
      </c>
      <c r="G137" s="54"/>
      <c r="I137" s="1"/>
      <c r="J137" s="1"/>
      <c r="K137" s="1"/>
      <c r="L137" s="1"/>
      <c r="M137" s="1"/>
    </row>
    <row r="138" spans="1:13" s="2" customFormat="1" x14ac:dyDescent="0.2">
      <c r="A138" s="24"/>
      <c r="B138" s="1"/>
      <c r="C138" s="62" t="str">
        <f>TEXT(A5-1,"dd-mm-yyyy")</f>
        <v>23-05-2023</v>
      </c>
      <c r="D138" s="60">
        <v>96.93</v>
      </c>
      <c r="E138" s="60">
        <v>20.22</v>
      </c>
      <c r="F138" s="61">
        <f>SUM(D138:E138)</f>
        <v>117.15</v>
      </c>
      <c r="G138" s="54"/>
      <c r="I138" s="1"/>
      <c r="J138" s="1"/>
      <c r="K138" s="1"/>
      <c r="L138" s="1"/>
      <c r="M138" s="1"/>
    </row>
    <row r="139" spans="1:13" ht="13.5" thickBot="1" x14ac:dyDescent="0.25">
      <c r="C139" s="63" t="str">
        <f>"01-05-2023 to "&amp;TEXT(A5-1,"dd-mm-yyyy")</f>
        <v>01-05-2023 to 23-05-2023</v>
      </c>
      <c r="D139" s="64">
        <f>SUM(D137:D138)</f>
        <v>3221.0099999999998</v>
      </c>
      <c r="E139" s="64">
        <f>SUM(E137:E138)</f>
        <v>287.78999999999996</v>
      </c>
      <c r="F139" s="64">
        <f>SUM(F137:F138)</f>
        <v>3508.8</v>
      </c>
      <c r="G139" s="54"/>
      <c r="H139" s="2" t="s">
        <v>396</v>
      </c>
    </row>
    <row r="140" spans="1:13" s="2" customFormat="1" ht="13.5" thickTop="1" x14ac:dyDescent="0.2">
      <c r="A140" s="24"/>
      <c r="B140" s="1"/>
      <c r="C140" s="62"/>
      <c r="D140" s="65"/>
      <c r="E140" s="66"/>
      <c r="F140" s="67"/>
      <c r="G140" s="54"/>
      <c r="H140" s="53"/>
    </row>
    <row r="141" spans="1:13" x14ac:dyDescent="0.2">
      <c r="C141" s="62" t="str">
        <f>"01-04-2023 to " &amp;C138</f>
        <v>01-04-2023 to 23-05-2023</v>
      </c>
      <c r="D141" s="68">
        <f>+D139+4343.67</f>
        <v>7564.68</v>
      </c>
      <c r="E141" s="68">
        <f>+E139+536.17</f>
        <v>823.95999999999992</v>
      </c>
      <c r="F141" s="68">
        <f>+F139+4879.84</f>
        <v>8388.64</v>
      </c>
      <c r="G141" s="54"/>
      <c r="H141" s="53" t="s">
        <v>396</v>
      </c>
    </row>
    <row r="142" spans="1:13" x14ac:dyDescent="0.2">
      <c r="C142" s="52"/>
      <c r="D142" s="85"/>
      <c r="E142" s="53"/>
      <c r="F142" s="53"/>
      <c r="G142" s="54"/>
      <c r="H142" s="53" t="s">
        <v>396</v>
      </c>
      <c r="J142" s="42"/>
    </row>
    <row r="143" spans="1:13" x14ac:dyDescent="0.2">
      <c r="C143" s="52"/>
      <c r="D143" s="85"/>
      <c r="E143" s="53"/>
      <c r="F143" s="53"/>
      <c r="G143" s="54"/>
      <c r="H143" s="53"/>
      <c r="I143" s="101"/>
    </row>
    <row r="144" spans="1:13" x14ac:dyDescent="0.2">
      <c r="C144" s="52"/>
      <c r="D144" s="85"/>
      <c r="E144" s="53"/>
      <c r="F144" s="53"/>
      <c r="G144" s="54"/>
      <c r="H144" s="53"/>
    </row>
    <row r="145" spans="3:8" x14ac:dyDescent="0.2">
      <c r="C145" s="52"/>
      <c r="D145" s="85"/>
      <c r="E145" s="53"/>
      <c r="F145" s="53"/>
      <c r="G145" s="54"/>
      <c r="H145" s="53"/>
    </row>
    <row r="146" spans="3:8" x14ac:dyDescent="0.2">
      <c r="H146" s="53"/>
    </row>
  </sheetData>
  <mergeCells count="5">
    <mergeCell ref="A1:G1"/>
    <mergeCell ref="A3:F3"/>
    <mergeCell ref="A9:F9"/>
    <mergeCell ref="A94:D94"/>
    <mergeCell ref="C135:F135"/>
  </mergeCells>
  <conditionalFormatting sqref="G91:G92">
    <cfRule type="cellIs" dxfId="547" priority="2" operator="lessThan">
      <formula>0</formula>
    </cfRule>
  </conditionalFormatting>
  <conditionalFormatting sqref="C11">
    <cfRule type="duplicateValues" dxfId="546" priority="3"/>
  </conditionalFormatting>
  <conditionalFormatting sqref="C12:C71">
    <cfRule type="duplicateValues" dxfId="545" priority="500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334">
    <pageSetUpPr fitToPage="1"/>
  </sheetPr>
  <dimension ref="A1:N119"/>
  <sheetViews>
    <sheetView zoomScaleNormal="100" workbookViewId="0">
      <selection activeCell="C46" sqref="C46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47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1012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45071</v>
      </c>
      <c r="B5" s="9" t="s">
        <v>6</v>
      </c>
      <c r="C5" s="10" t="s">
        <v>7</v>
      </c>
      <c r="D5" s="11"/>
      <c r="E5" s="12">
        <v>197589.70000000019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197589.70000000019</v>
      </c>
      <c r="F6" s="16"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+E6</f>
        <v>197589.70000000019</v>
      </c>
      <c r="F7" s="22"/>
      <c r="G7" s="23"/>
      <c r="H7" s="112"/>
      <c r="I7" s="112"/>
      <c r="J7" s="13"/>
    </row>
    <row r="8" spans="1:10" s="2" customFormat="1" ht="12.75" customHeight="1" x14ac:dyDescent="0.4">
      <c r="A8" s="24"/>
      <c r="B8" s="1"/>
      <c r="C8" s="14"/>
      <c r="D8" s="25"/>
      <c r="G8" s="23"/>
      <c r="H8" s="112"/>
      <c r="I8" s="112"/>
      <c r="J8" s="13"/>
    </row>
    <row r="9" spans="1:10" s="2" customFormat="1" ht="21.75" customHeight="1" x14ac:dyDescent="0.4">
      <c r="A9" s="214" t="s">
        <v>10</v>
      </c>
      <c r="B9" s="214"/>
      <c r="C9" s="214"/>
      <c r="D9" s="214"/>
      <c r="E9" s="214"/>
      <c r="F9" s="214"/>
      <c r="G9" s="13"/>
      <c r="H9" s="112"/>
      <c r="I9" s="112"/>
      <c r="J9" s="13"/>
    </row>
    <row r="10" spans="1:10" s="2" customFormat="1" ht="12.75" customHeight="1" x14ac:dyDescent="0.4">
      <c r="A10" s="26" t="s">
        <v>1</v>
      </c>
      <c r="B10" s="27" t="s">
        <v>2</v>
      </c>
      <c r="C10" s="5"/>
      <c r="D10" s="6" t="s">
        <v>3</v>
      </c>
      <c r="E10" s="7" t="s">
        <v>4</v>
      </c>
      <c r="F10" s="7" t="s">
        <v>5</v>
      </c>
      <c r="G10" s="23"/>
      <c r="H10" s="112"/>
      <c r="I10" s="112"/>
      <c r="J10" s="13"/>
    </row>
    <row r="11" spans="1:10" s="2" customFormat="1" ht="12.75" customHeight="1" x14ac:dyDescent="0.2">
      <c r="A11" s="89">
        <v>45071</v>
      </c>
      <c r="B11" s="91" t="s">
        <v>11</v>
      </c>
      <c r="C11" s="29" t="s">
        <v>7</v>
      </c>
      <c r="D11" s="25"/>
      <c r="E11" s="31"/>
      <c r="F11" s="2">
        <v>315933042.26999992</v>
      </c>
      <c r="G11" s="30"/>
      <c r="I11" s="13"/>
      <c r="J11" s="13"/>
    </row>
    <row r="12" spans="1:10" s="2" customFormat="1" ht="12.75" customHeight="1" x14ac:dyDescent="0.2">
      <c r="A12" s="89">
        <v>45071</v>
      </c>
      <c r="B12" s="91" t="s">
        <v>6</v>
      </c>
      <c r="C12" s="76" t="s">
        <v>16</v>
      </c>
      <c r="D12" s="116" t="s">
        <v>13</v>
      </c>
      <c r="E12" s="31">
        <v>9453.0499999999993</v>
      </c>
      <c r="G12" s="30"/>
      <c r="I12" s="13"/>
      <c r="J12" s="13"/>
    </row>
    <row r="13" spans="1:10" s="2" customFormat="1" ht="12.75" customHeight="1" x14ac:dyDescent="0.2">
      <c r="A13" s="89">
        <v>45071</v>
      </c>
      <c r="B13" s="91" t="s">
        <v>6</v>
      </c>
      <c r="C13" s="76" t="s">
        <v>105</v>
      </c>
      <c r="D13" s="116" t="s">
        <v>13</v>
      </c>
      <c r="E13" s="31">
        <v>118327</v>
      </c>
      <c r="G13" s="30"/>
      <c r="I13" s="13"/>
      <c r="J13" s="13"/>
    </row>
    <row r="14" spans="1:10" s="2" customFormat="1" ht="12.75" customHeight="1" x14ac:dyDescent="0.2">
      <c r="A14" s="89">
        <v>45071</v>
      </c>
      <c r="B14" s="91" t="s">
        <v>6</v>
      </c>
      <c r="C14" s="76" t="s">
        <v>474</v>
      </c>
      <c r="D14" s="116" t="s">
        <v>13</v>
      </c>
      <c r="E14" s="31">
        <v>128713</v>
      </c>
      <c r="G14" s="30"/>
      <c r="I14" s="13"/>
      <c r="J14" s="13"/>
    </row>
    <row r="15" spans="1:10" s="2" customFormat="1" ht="12.75" customHeight="1" x14ac:dyDescent="0.2">
      <c r="A15" s="89">
        <v>45071</v>
      </c>
      <c r="B15" s="91" t="s">
        <v>6</v>
      </c>
      <c r="C15" s="76" t="s">
        <v>684</v>
      </c>
      <c r="D15" s="116" t="s">
        <v>13</v>
      </c>
      <c r="E15" s="31">
        <v>26500</v>
      </c>
      <c r="G15" s="30"/>
      <c r="I15" s="13"/>
      <c r="J15" s="13"/>
    </row>
    <row r="16" spans="1:10" s="2" customFormat="1" ht="12.75" customHeight="1" x14ac:dyDescent="0.2">
      <c r="A16" s="89">
        <v>45071</v>
      </c>
      <c r="B16" s="91" t="s">
        <v>6</v>
      </c>
      <c r="C16" s="76" t="s">
        <v>418</v>
      </c>
      <c r="D16" s="116" t="s">
        <v>13</v>
      </c>
      <c r="E16" s="31">
        <v>20104</v>
      </c>
      <c r="G16" s="30"/>
      <c r="I16" s="13"/>
      <c r="J16" s="13"/>
    </row>
    <row r="17" spans="1:10" s="2" customFormat="1" ht="12.75" customHeight="1" x14ac:dyDescent="0.2">
      <c r="A17" s="89">
        <v>45071</v>
      </c>
      <c r="B17" s="91" t="s">
        <v>6</v>
      </c>
      <c r="C17" s="76" t="s">
        <v>915</v>
      </c>
      <c r="D17" s="116" t="s">
        <v>13</v>
      </c>
      <c r="E17" s="31">
        <v>73184</v>
      </c>
      <c r="G17" s="30"/>
      <c r="I17" s="13"/>
      <c r="J17" s="13"/>
    </row>
    <row r="18" spans="1:10" s="2" customFormat="1" ht="12.75" customHeight="1" x14ac:dyDescent="0.2">
      <c r="A18" s="89">
        <v>45071</v>
      </c>
      <c r="B18" s="91" t="s">
        <v>6</v>
      </c>
      <c r="C18" s="76" t="s">
        <v>519</v>
      </c>
      <c r="D18" s="116" t="s">
        <v>13</v>
      </c>
      <c r="E18" s="31">
        <v>1329821</v>
      </c>
      <c r="G18" s="30"/>
      <c r="I18" s="13"/>
      <c r="J18" s="13"/>
    </row>
    <row r="19" spans="1:10" s="2" customFormat="1" ht="12.75" customHeight="1" x14ac:dyDescent="0.2">
      <c r="A19" s="89">
        <v>45071</v>
      </c>
      <c r="B19" s="91" t="s">
        <v>6</v>
      </c>
      <c r="C19" s="76" t="s">
        <v>405</v>
      </c>
      <c r="D19" s="116" t="s">
        <v>13</v>
      </c>
      <c r="E19" s="31">
        <v>8491</v>
      </c>
      <c r="G19" s="30"/>
      <c r="I19" s="13"/>
      <c r="J19" s="13"/>
    </row>
    <row r="20" spans="1:10" s="2" customFormat="1" ht="12.75" customHeight="1" x14ac:dyDescent="0.2">
      <c r="A20" s="89">
        <v>45071</v>
      </c>
      <c r="B20" s="91" t="s">
        <v>6</v>
      </c>
      <c r="C20" s="76" t="s">
        <v>688</v>
      </c>
      <c r="D20" s="116" t="s">
        <v>13</v>
      </c>
      <c r="E20" s="31">
        <v>300000</v>
      </c>
      <c r="G20" s="30"/>
      <c r="I20" s="13"/>
      <c r="J20" s="13"/>
    </row>
    <row r="21" spans="1:10" s="2" customFormat="1" ht="12.75" customHeight="1" x14ac:dyDescent="0.2">
      <c r="A21" s="89">
        <v>45071</v>
      </c>
      <c r="B21" s="91" t="s">
        <v>6</v>
      </c>
      <c r="C21" s="76" t="s">
        <v>379</v>
      </c>
      <c r="D21" s="116" t="s">
        <v>13</v>
      </c>
      <c r="E21" s="31">
        <v>5568604.96</v>
      </c>
      <c r="G21" s="30"/>
      <c r="I21" s="13"/>
      <c r="J21" s="13"/>
    </row>
    <row r="22" spans="1:10" s="2" customFormat="1" ht="12.75" customHeight="1" x14ac:dyDescent="0.2">
      <c r="A22" s="89">
        <v>45071</v>
      </c>
      <c r="B22" s="91" t="s">
        <v>6</v>
      </c>
      <c r="C22" s="76" t="s">
        <v>426</v>
      </c>
      <c r="D22" s="116" t="s">
        <v>13</v>
      </c>
      <c r="E22" s="31">
        <v>963462.5</v>
      </c>
      <c r="G22" s="30"/>
      <c r="I22" s="13"/>
      <c r="J22" s="13"/>
    </row>
    <row r="23" spans="1:10" s="2" customFormat="1" ht="12.75" customHeight="1" x14ac:dyDescent="0.2">
      <c r="A23" s="89">
        <v>45071</v>
      </c>
      <c r="B23" s="91" t="s">
        <v>6</v>
      </c>
      <c r="C23" s="76" t="s">
        <v>20</v>
      </c>
      <c r="D23" s="116" t="s">
        <v>13</v>
      </c>
      <c r="E23" s="31">
        <v>1999676</v>
      </c>
      <c r="G23" s="30"/>
      <c r="I23" s="13"/>
      <c r="J23" s="13"/>
    </row>
    <row r="24" spans="1:10" s="2" customFormat="1" ht="12.75" customHeight="1" x14ac:dyDescent="0.2">
      <c r="A24" s="89">
        <v>45071</v>
      </c>
      <c r="B24" s="91" t="s">
        <v>6</v>
      </c>
      <c r="C24" s="76" t="s">
        <v>21</v>
      </c>
      <c r="D24" s="116" t="s">
        <v>13</v>
      </c>
      <c r="E24" s="31">
        <v>800000</v>
      </c>
      <c r="G24" s="30"/>
      <c r="I24" s="13"/>
      <c r="J24" s="13"/>
    </row>
    <row r="25" spans="1:10" s="2" customFormat="1" ht="12.75" customHeight="1" x14ac:dyDescent="0.2">
      <c r="A25" s="89">
        <v>45071</v>
      </c>
      <c r="B25" s="91" t="s">
        <v>6</v>
      </c>
      <c r="C25" s="76" t="s">
        <v>491</v>
      </c>
      <c r="D25" s="116" t="s">
        <v>13</v>
      </c>
      <c r="E25" s="31">
        <v>1869245.43</v>
      </c>
      <c r="G25" s="30"/>
      <c r="I25" s="13"/>
      <c r="J25" s="13"/>
    </row>
    <row r="26" spans="1:10" s="2" customFormat="1" ht="12.75" customHeight="1" x14ac:dyDescent="0.2">
      <c r="A26" s="89">
        <v>45071</v>
      </c>
      <c r="B26" s="91" t="s">
        <v>6</v>
      </c>
      <c r="C26" s="76" t="s">
        <v>797</v>
      </c>
      <c r="D26" s="116" t="s">
        <v>13</v>
      </c>
      <c r="E26" s="31">
        <v>225000</v>
      </c>
      <c r="G26" s="30"/>
      <c r="I26" s="13"/>
      <c r="J26" s="13"/>
    </row>
    <row r="27" spans="1:10" s="2" customFormat="1" ht="12.75" customHeight="1" x14ac:dyDescent="0.2">
      <c r="A27" s="89">
        <v>45071</v>
      </c>
      <c r="B27" s="91" t="s">
        <v>6</v>
      </c>
      <c r="C27" s="76" t="s">
        <v>12</v>
      </c>
      <c r="D27" s="116" t="s">
        <v>13</v>
      </c>
      <c r="E27" s="31">
        <v>671448.43</v>
      </c>
      <c r="G27" s="30"/>
      <c r="I27" s="13"/>
      <c r="J27" s="13"/>
    </row>
    <row r="28" spans="1:10" s="2" customFormat="1" ht="12.75" customHeight="1" x14ac:dyDescent="0.2">
      <c r="A28" s="89">
        <v>45071</v>
      </c>
      <c r="B28" s="91" t="s">
        <v>6</v>
      </c>
      <c r="C28" s="76" t="s">
        <v>560</v>
      </c>
      <c r="D28" s="116" t="s">
        <v>13</v>
      </c>
      <c r="E28" s="31">
        <v>3116761.87</v>
      </c>
      <c r="G28" s="30"/>
      <c r="I28" s="13"/>
      <c r="J28" s="13"/>
    </row>
    <row r="29" spans="1:10" s="2" customFormat="1" ht="12.75" customHeight="1" x14ac:dyDescent="0.2">
      <c r="A29" s="89">
        <v>45071</v>
      </c>
      <c r="B29" s="91" t="s">
        <v>6</v>
      </c>
      <c r="C29" s="76" t="s">
        <v>617</v>
      </c>
      <c r="D29" s="116" t="s">
        <v>13</v>
      </c>
      <c r="E29" s="31">
        <v>53339</v>
      </c>
      <c r="G29" s="30"/>
      <c r="I29" s="13"/>
      <c r="J29" s="13"/>
    </row>
    <row r="30" spans="1:10" s="2" customFormat="1" ht="12.75" customHeight="1" x14ac:dyDescent="0.2">
      <c r="A30" s="89">
        <v>45071</v>
      </c>
      <c r="B30" s="91" t="s">
        <v>6</v>
      </c>
      <c r="C30" s="76" t="s">
        <v>403</v>
      </c>
      <c r="D30" s="116" t="s">
        <v>13</v>
      </c>
      <c r="E30" s="31">
        <v>698583</v>
      </c>
      <c r="G30" s="30"/>
      <c r="I30" s="13"/>
      <c r="J30" s="13"/>
    </row>
    <row r="31" spans="1:10" s="2" customFormat="1" ht="12.75" customHeight="1" x14ac:dyDescent="0.2">
      <c r="A31" s="89">
        <v>45071</v>
      </c>
      <c r="B31" s="91" t="s">
        <v>6</v>
      </c>
      <c r="C31" s="76" t="s">
        <v>163</v>
      </c>
      <c r="D31" s="116" t="s">
        <v>13</v>
      </c>
      <c r="E31" s="31">
        <v>1781339</v>
      </c>
      <c r="G31" s="30"/>
      <c r="I31" s="13"/>
      <c r="J31" s="13"/>
    </row>
    <row r="32" spans="1:10" s="2" customFormat="1" ht="12.75" customHeight="1" x14ac:dyDescent="0.2">
      <c r="A32" s="89">
        <v>45071</v>
      </c>
      <c r="B32" s="91" t="s">
        <v>11</v>
      </c>
      <c r="C32" s="76" t="s">
        <v>64</v>
      </c>
      <c r="D32" s="116" t="s">
        <v>29</v>
      </c>
      <c r="E32" s="31"/>
      <c r="F32" s="2">
        <v>41518.899999999994</v>
      </c>
      <c r="G32" s="30"/>
      <c r="I32" s="13"/>
      <c r="J32" s="13"/>
    </row>
    <row r="33" spans="1:14" s="2" customFormat="1" ht="12.75" customHeight="1" x14ac:dyDescent="0.2">
      <c r="A33" s="89">
        <v>45071</v>
      </c>
      <c r="B33" s="91" t="s">
        <v>11</v>
      </c>
      <c r="C33" s="76" t="s">
        <v>719</v>
      </c>
      <c r="D33" s="116" t="s">
        <v>29</v>
      </c>
      <c r="E33" s="31"/>
      <c r="F33" s="2">
        <v>555564</v>
      </c>
      <c r="G33" s="30"/>
      <c r="I33" s="13"/>
      <c r="J33" s="13"/>
    </row>
    <row r="34" spans="1:14" s="2" customFormat="1" ht="12.75" customHeight="1" x14ac:dyDescent="0.2">
      <c r="A34" s="89">
        <v>45071</v>
      </c>
      <c r="B34" s="91" t="s">
        <v>11</v>
      </c>
      <c r="C34" s="76" t="s">
        <v>720</v>
      </c>
      <c r="D34" s="116" t="s">
        <v>29</v>
      </c>
      <c r="E34" s="31"/>
      <c r="F34" s="2">
        <v>39690</v>
      </c>
      <c r="G34" s="30"/>
      <c r="I34" s="13"/>
      <c r="J34" s="13"/>
    </row>
    <row r="35" spans="1:14" s="2" customFormat="1" ht="12.75" customHeight="1" x14ac:dyDescent="0.2">
      <c r="A35" s="89">
        <v>45071</v>
      </c>
      <c r="B35" s="91" t="s">
        <v>11</v>
      </c>
      <c r="C35" s="76" t="s">
        <v>770</v>
      </c>
      <c r="D35" s="116" t="s">
        <v>29</v>
      </c>
      <c r="E35" s="31"/>
      <c r="F35" s="2">
        <v>13650</v>
      </c>
      <c r="G35" s="30"/>
      <c r="I35" s="13"/>
      <c r="J35" s="13"/>
    </row>
    <row r="36" spans="1:14" s="2" customFormat="1" ht="12.75" customHeight="1" x14ac:dyDescent="0.2">
      <c r="A36" s="89">
        <v>45071</v>
      </c>
      <c r="B36" s="91" t="s">
        <v>11</v>
      </c>
      <c r="C36" s="76" t="s">
        <v>34</v>
      </c>
      <c r="D36" s="116" t="s">
        <v>29</v>
      </c>
      <c r="E36" s="31"/>
      <c r="F36" s="2">
        <v>75000</v>
      </c>
      <c r="G36" s="30"/>
      <c r="I36" s="13"/>
      <c r="J36" s="13"/>
    </row>
    <row r="37" spans="1:14" s="2" customFormat="1" ht="12.75" customHeight="1" x14ac:dyDescent="0.2">
      <c r="A37" s="89">
        <v>45071</v>
      </c>
      <c r="B37" s="91" t="s">
        <v>11</v>
      </c>
      <c r="C37" s="76" t="s">
        <v>290</v>
      </c>
      <c r="D37" s="116" t="s">
        <v>29</v>
      </c>
      <c r="E37" s="31"/>
      <c r="F37" s="2">
        <v>11950</v>
      </c>
      <c r="G37" s="30"/>
      <c r="I37" s="13"/>
      <c r="J37" s="13"/>
    </row>
    <row r="38" spans="1:14" s="2" customFormat="1" ht="12.75" customHeight="1" x14ac:dyDescent="0.2">
      <c r="A38" s="89">
        <v>45071</v>
      </c>
      <c r="B38" s="91" t="s">
        <v>11</v>
      </c>
      <c r="C38" s="76" t="s">
        <v>43</v>
      </c>
      <c r="D38" s="116" t="s">
        <v>29</v>
      </c>
      <c r="E38" s="31"/>
      <c r="F38" s="2">
        <v>17936</v>
      </c>
      <c r="G38" s="30"/>
      <c r="I38" s="13"/>
      <c r="J38" s="13"/>
    </row>
    <row r="39" spans="1:14" s="2" customFormat="1" ht="12.75" customHeight="1" x14ac:dyDescent="0.2">
      <c r="A39" s="89">
        <v>45071</v>
      </c>
      <c r="B39" s="91" t="s">
        <v>11</v>
      </c>
      <c r="C39" s="76" t="s">
        <v>1013</v>
      </c>
      <c r="D39" s="116" t="s">
        <v>29</v>
      </c>
      <c r="E39" s="31"/>
      <c r="F39" s="2">
        <v>16992</v>
      </c>
      <c r="G39" s="30"/>
      <c r="I39" s="13"/>
      <c r="J39" s="13"/>
    </row>
    <row r="40" spans="1:14" s="2" customFormat="1" ht="12.75" customHeight="1" x14ac:dyDescent="0.2">
      <c r="A40" s="89">
        <v>45071</v>
      </c>
      <c r="B40" s="91" t="s">
        <v>11</v>
      </c>
      <c r="C40" s="76" t="s">
        <v>107</v>
      </c>
      <c r="D40" s="116" t="s">
        <v>29</v>
      </c>
      <c r="E40" s="31"/>
      <c r="F40" s="2">
        <v>770703.5</v>
      </c>
      <c r="G40" s="30"/>
      <c r="I40" s="13"/>
      <c r="J40" s="13"/>
    </row>
    <row r="41" spans="1:14" s="2" customFormat="1" ht="12.75" customHeight="1" x14ac:dyDescent="0.2">
      <c r="A41" s="89">
        <v>45071</v>
      </c>
      <c r="B41" s="91" t="s">
        <v>11</v>
      </c>
      <c r="C41" s="76" t="s">
        <v>558</v>
      </c>
      <c r="D41" s="116" t="s">
        <v>29</v>
      </c>
      <c r="E41" s="31"/>
      <c r="F41" s="2">
        <v>1606827.5</v>
      </c>
      <c r="G41" s="30"/>
      <c r="I41" s="13"/>
      <c r="J41" s="13"/>
    </row>
    <row r="42" spans="1:14" s="2" customFormat="1" ht="12.75" customHeight="1" x14ac:dyDescent="0.2">
      <c r="A42" s="89">
        <v>45071</v>
      </c>
      <c r="B42" s="91" t="s">
        <v>11</v>
      </c>
      <c r="C42" s="76" t="s">
        <v>427</v>
      </c>
      <c r="D42" s="116" t="s">
        <v>29</v>
      </c>
      <c r="E42" s="31"/>
      <c r="F42" s="2">
        <v>229190</v>
      </c>
      <c r="G42" s="30"/>
      <c r="I42" s="13"/>
      <c r="J42" s="13"/>
    </row>
    <row r="43" spans="1:14" s="2" customFormat="1" ht="12.75" customHeight="1" x14ac:dyDescent="0.2">
      <c r="A43" s="89">
        <v>45071</v>
      </c>
      <c r="B43" s="91" t="s">
        <v>11</v>
      </c>
      <c r="C43" s="76" t="s">
        <v>500</v>
      </c>
      <c r="D43" s="116" t="s">
        <v>29</v>
      </c>
      <c r="E43" s="31"/>
      <c r="F43" s="2">
        <v>5000000</v>
      </c>
      <c r="G43" s="30"/>
      <c r="I43" s="13"/>
      <c r="J43" s="13"/>
    </row>
    <row r="44" spans="1:14" s="2" customFormat="1" ht="12.75" customHeight="1" x14ac:dyDescent="0.2">
      <c r="A44" s="89">
        <v>45071</v>
      </c>
      <c r="B44" s="91" t="s">
        <v>11</v>
      </c>
      <c r="C44" s="76" t="s">
        <v>459</v>
      </c>
      <c r="D44" s="116" t="s">
        <v>29</v>
      </c>
      <c r="E44" s="31"/>
      <c r="F44" s="2">
        <v>273760</v>
      </c>
      <c r="G44" s="30"/>
      <c r="I44" s="13"/>
      <c r="K44" s="25" t="s">
        <v>779</v>
      </c>
    </row>
    <row r="45" spans="1:14" s="2" customFormat="1" ht="12.75" customHeight="1" x14ac:dyDescent="0.25">
      <c r="A45" s="32"/>
      <c r="B45" s="33"/>
      <c r="C45" s="14"/>
      <c r="D45" s="34"/>
      <c r="E45" s="16">
        <f>SUM(E11:E44)</f>
        <v>19762053.239999998</v>
      </c>
      <c r="F45" s="16">
        <f>SUM(F11:F44)</f>
        <v>324585824.1699999</v>
      </c>
      <c r="G45" s="30"/>
      <c r="H45" s="1"/>
      <c r="I45" s="39">
        <v>304823770.93000001</v>
      </c>
      <c r="K45" s="92">
        <f>E46-I45</f>
        <v>0</v>
      </c>
      <c r="L45" s="41"/>
      <c r="M45" s="42">
        <f>J45-K45</f>
        <v>0</v>
      </c>
      <c r="N45" s="1"/>
    </row>
    <row r="46" spans="1:14" s="2" customFormat="1" x14ac:dyDescent="0.2">
      <c r="A46" s="36"/>
      <c r="B46" s="28" t="s">
        <v>11</v>
      </c>
      <c r="C46" s="19" t="s">
        <v>65</v>
      </c>
      <c r="D46" s="37"/>
      <c r="E46" s="38">
        <f>F45-E45</f>
        <v>304823770.92999989</v>
      </c>
      <c r="F46" s="22"/>
      <c r="G46" s="1"/>
      <c r="H46" s="1"/>
      <c r="J46" s="1"/>
      <c r="K46" s="1"/>
      <c r="L46" s="1"/>
      <c r="M46" s="1"/>
      <c r="N46" s="1"/>
    </row>
    <row r="47" spans="1:14" x14ac:dyDescent="0.2">
      <c r="A47" s="36"/>
      <c r="B47" s="28" t="s">
        <v>66</v>
      </c>
      <c r="C47" s="43" t="s">
        <v>67</v>
      </c>
      <c r="D47" s="43"/>
      <c r="E47" s="12">
        <v>29316181</v>
      </c>
      <c r="F47" s="22"/>
      <c r="H47" s="40"/>
      <c r="I47" s="45">
        <v>3036.05</v>
      </c>
      <c r="J47" s="46"/>
      <c r="K47" s="46"/>
      <c r="L47" s="13"/>
      <c r="M47" s="2"/>
      <c r="N47" s="2"/>
    </row>
    <row r="48" spans="1:14" ht="15" x14ac:dyDescent="0.25">
      <c r="A48" s="36"/>
      <c r="B48" s="28"/>
      <c r="C48" s="44" t="s">
        <v>68</v>
      </c>
      <c r="D48" s="43"/>
      <c r="E48" s="7">
        <f>E46+E47</f>
        <v>334139951.92999989</v>
      </c>
      <c r="F48" s="22"/>
      <c r="H48" s="103" t="s">
        <v>69</v>
      </c>
      <c r="I48" s="45">
        <v>-231.71</v>
      </c>
      <c r="J48" s="46"/>
      <c r="K48" s="46"/>
      <c r="L48" s="2"/>
      <c r="M48" s="2"/>
      <c r="N48" s="2"/>
    </row>
    <row r="49" spans="1:14" s="2" customFormat="1" x14ac:dyDescent="0.2">
      <c r="A49" s="24"/>
      <c r="B49" s="1"/>
      <c r="C49" s="14"/>
      <c r="D49" s="25"/>
      <c r="E49" s="1"/>
      <c r="H49" s="35" t="s">
        <v>70</v>
      </c>
      <c r="I49" s="45">
        <v>100</v>
      </c>
      <c r="J49" s="46">
        <f>+I50-D52</f>
        <v>0</v>
      </c>
      <c r="M49" s="2">
        <v>19.57</v>
      </c>
      <c r="N49" s="2" t="s">
        <v>535</v>
      </c>
    </row>
    <row r="50" spans="1:14" s="2" customFormat="1" x14ac:dyDescent="0.2">
      <c r="A50" s="24"/>
      <c r="B50" s="1"/>
      <c r="C50" s="56"/>
      <c r="D50" s="56"/>
      <c r="E50" s="104"/>
      <c r="G50" s="1"/>
      <c r="I50" s="49">
        <f>SUM(I47:I49)</f>
        <v>2904.34</v>
      </c>
      <c r="J50" s="46"/>
      <c r="K50" s="46"/>
    </row>
    <row r="51" spans="1:14" s="2" customFormat="1" x14ac:dyDescent="0.2">
      <c r="A51" s="24"/>
      <c r="B51" s="1"/>
      <c r="C51" s="78" t="s">
        <v>575</v>
      </c>
      <c r="D51" s="48" t="s">
        <v>576</v>
      </c>
      <c r="E51" s="104"/>
      <c r="G51" s="1"/>
    </row>
    <row r="52" spans="1:14" s="2" customFormat="1" x14ac:dyDescent="0.2">
      <c r="A52" s="24"/>
      <c r="B52" s="1"/>
      <c r="C52" s="47" t="s">
        <v>570</v>
      </c>
      <c r="D52" s="111">
        <v>2904.34</v>
      </c>
      <c r="E52" s="104"/>
      <c r="G52" s="1"/>
      <c r="H52" s="110" t="s">
        <v>581</v>
      </c>
    </row>
    <row r="53" spans="1:14" s="2" customFormat="1" x14ac:dyDescent="0.2">
      <c r="A53" s="24"/>
      <c r="B53" s="1"/>
      <c r="C53" s="47" t="s">
        <v>931</v>
      </c>
      <c r="D53" s="111">
        <v>443.13</v>
      </c>
      <c r="E53" s="104"/>
      <c r="G53" s="1"/>
      <c r="H53" s="110" t="s">
        <v>580</v>
      </c>
    </row>
    <row r="54" spans="1:14" s="2" customFormat="1" x14ac:dyDescent="0.2">
      <c r="A54" s="24"/>
      <c r="B54" s="1"/>
      <c r="C54" s="47" t="s">
        <v>572</v>
      </c>
      <c r="D54" s="111">
        <f>+D106/100000</f>
        <v>724.80415000000005</v>
      </c>
      <c r="E54" s="104"/>
      <c r="G54" s="1"/>
      <c r="H54" s="90" t="s">
        <v>587</v>
      </c>
    </row>
    <row r="55" spans="1:14" s="2" customFormat="1" x14ac:dyDescent="0.2">
      <c r="A55" s="24"/>
      <c r="B55" s="1"/>
      <c r="C55" s="108" t="s">
        <v>578</v>
      </c>
      <c r="D55" s="48">
        <f>SUM(D52:D54)</f>
        <v>4072.2741500000002</v>
      </c>
      <c r="E55" s="104"/>
      <c r="G55" s="1"/>
    </row>
    <row r="56" spans="1:14" s="2" customFormat="1" x14ac:dyDescent="0.2">
      <c r="A56" s="24"/>
      <c r="B56" s="1"/>
      <c r="C56" s="47"/>
      <c r="D56" s="107"/>
      <c r="E56" s="104"/>
      <c r="G56" s="1"/>
    </row>
    <row r="57" spans="1:14" s="2" customFormat="1" x14ac:dyDescent="0.2">
      <c r="A57" s="24"/>
      <c r="B57" s="1"/>
      <c r="C57" s="47" t="s">
        <v>932</v>
      </c>
      <c r="D57" s="111">
        <v>619.48</v>
      </c>
      <c r="E57" s="104"/>
      <c r="G57" s="1"/>
      <c r="H57" s="110" t="s">
        <v>581</v>
      </c>
    </row>
    <row r="58" spans="1:14" s="2" customFormat="1" x14ac:dyDescent="0.2">
      <c r="A58" s="24"/>
      <c r="B58" s="1"/>
      <c r="C58" s="47" t="s">
        <v>933</v>
      </c>
      <c r="D58" s="111">
        <f>567.68-14.66</f>
        <v>553.02</v>
      </c>
      <c r="E58" s="104"/>
      <c r="G58" s="1"/>
      <c r="H58" s="110" t="s">
        <v>581</v>
      </c>
      <c r="J58" s="114" t="s">
        <v>713</v>
      </c>
    </row>
    <row r="59" spans="1:14" s="2" customFormat="1" x14ac:dyDescent="0.2">
      <c r="A59" s="24"/>
      <c r="B59" s="1"/>
      <c r="C59" s="78" t="s">
        <v>579</v>
      </c>
      <c r="D59" s="109">
        <f>D57+D58</f>
        <v>1172.5</v>
      </c>
      <c r="E59" s="104"/>
      <c r="G59" s="1"/>
      <c r="I59" s="113"/>
      <c r="J59" s="113" t="s">
        <v>709</v>
      </c>
      <c r="K59" s="113" t="s">
        <v>710</v>
      </c>
      <c r="L59" s="113" t="s">
        <v>711</v>
      </c>
      <c r="M59" s="113" t="s">
        <v>712</v>
      </c>
    </row>
    <row r="60" spans="1:14" s="2" customFormat="1" x14ac:dyDescent="0.2">
      <c r="A60" s="24"/>
      <c r="B60" s="1"/>
      <c r="C60" s="105"/>
      <c r="D60" s="106"/>
      <c r="E60" s="104"/>
      <c r="G60" s="1"/>
      <c r="I60" s="113" t="s">
        <v>706</v>
      </c>
      <c r="J60" s="115"/>
      <c r="K60" s="115">
        <v>968.99</v>
      </c>
      <c r="L60" s="115">
        <v>968.99</v>
      </c>
      <c r="M60" s="113">
        <f>+J60+L60-K60</f>
        <v>0</v>
      </c>
    </row>
    <row r="61" spans="1:14" s="2" customFormat="1" x14ac:dyDescent="0.2">
      <c r="A61" s="24"/>
      <c r="B61" s="1"/>
      <c r="C61" s="78" t="s">
        <v>577</v>
      </c>
      <c r="D61" s="109">
        <f>D52+D59</f>
        <v>4076.84</v>
      </c>
      <c r="E61" s="104"/>
      <c r="G61" s="1"/>
      <c r="I61" s="113" t="s">
        <v>707</v>
      </c>
      <c r="J61" s="115">
        <v>183.1</v>
      </c>
      <c r="K61" s="115">
        <v>1960.52</v>
      </c>
      <c r="L61" s="115">
        <v>2792.81</v>
      </c>
      <c r="M61" s="113">
        <f>+J61+L61-K61</f>
        <v>1015.3899999999999</v>
      </c>
    </row>
    <row r="62" spans="1:14" s="2" customFormat="1" x14ac:dyDescent="0.2">
      <c r="A62" s="24"/>
      <c r="B62" s="1"/>
      <c r="C62" s="56"/>
      <c r="D62" s="56"/>
      <c r="E62" s="104"/>
      <c r="G62" s="1"/>
      <c r="I62" s="113" t="s">
        <v>708</v>
      </c>
      <c r="J62" s="115">
        <v>1371.02</v>
      </c>
      <c r="K62" s="115">
        <v>11421.27</v>
      </c>
      <c r="L62" s="115">
        <v>11591.93</v>
      </c>
      <c r="M62" s="113">
        <f>+J62+L62-K62</f>
        <v>1541.6800000000003</v>
      </c>
    </row>
    <row r="63" spans="1:14" s="2" customFormat="1" ht="38.25" x14ac:dyDescent="0.2">
      <c r="A63" s="24"/>
      <c r="B63" s="1"/>
      <c r="C63" s="79" t="str">
        <f>"Particulars ( 01-04-2021 to "&amp;TEXT(A5,"dd-mm-yyyy")&amp;" )"</f>
        <v>Particulars ( 01-04-2021 to 25-05-2023 )</v>
      </c>
      <c r="D63" s="80" t="s">
        <v>73</v>
      </c>
      <c r="E63" s="80" t="s">
        <v>74</v>
      </c>
      <c r="F63" s="81" t="s">
        <v>75</v>
      </c>
      <c r="G63" s="80" t="s">
        <v>76</v>
      </c>
      <c r="J63" s="118">
        <f>SUM(J60:J62)</f>
        <v>1554.12</v>
      </c>
      <c r="K63" s="118">
        <f>SUM(K60:K62)</f>
        <v>14350.78</v>
      </c>
      <c r="L63" s="118">
        <f>SUM(L60:L62)</f>
        <v>15353.73</v>
      </c>
      <c r="M63" s="118">
        <f>SUM(M60:M62)</f>
        <v>2557.0700000000002</v>
      </c>
    </row>
    <row r="64" spans="1:14" s="2" customFormat="1" x14ac:dyDescent="0.2">
      <c r="A64" s="24"/>
      <c r="B64" s="1"/>
      <c r="C64" s="50" t="s">
        <v>444</v>
      </c>
      <c r="D64" s="55">
        <f>+L60+L61+J61</f>
        <v>3944.9</v>
      </c>
      <c r="E64" s="55">
        <f>+K60+K61</f>
        <v>2929.51</v>
      </c>
      <c r="F64" s="55">
        <f>+D64-E64</f>
        <v>1015.3899999999999</v>
      </c>
      <c r="G64" s="55">
        <f>1500-F64</f>
        <v>484.61000000000013</v>
      </c>
      <c r="H64" s="2" t="s">
        <v>396</v>
      </c>
    </row>
    <row r="65" spans="1:13" s="2" customFormat="1" x14ac:dyDescent="0.2">
      <c r="A65" s="24"/>
      <c r="B65" s="1"/>
      <c r="C65" s="50" t="s">
        <v>71</v>
      </c>
      <c r="D65" s="55">
        <f>+J62+L62</f>
        <v>12962.95</v>
      </c>
      <c r="E65" s="55">
        <f>+K62</f>
        <v>11421.27</v>
      </c>
      <c r="F65" s="55">
        <f>+D65-E65</f>
        <v>1541.6800000000003</v>
      </c>
      <c r="G65" s="55">
        <f>1500+700-F65</f>
        <v>658.31999999999971</v>
      </c>
      <c r="H65" s="2" t="s">
        <v>396</v>
      </c>
    </row>
    <row r="66" spans="1:13" s="2" customFormat="1" x14ac:dyDescent="0.2">
      <c r="A66" s="24"/>
      <c r="B66" s="1"/>
      <c r="C66" s="14"/>
      <c r="D66" s="56"/>
      <c r="E66" s="13"/>
      <c r="G66" s="1"/>
    </row>
    <row r="67" spans="1:13" s="2" customFormat="1" x14ac:dyDescent="0.2">
      <c r="A67" s="215" t="s">
        <v>80</v>
      </c>
      <c r="B67" s="216"/>
      <c r="C67" s="216"/>
      <c r="D67" s="217"/>
      <c r="E67" s="69"/>
      <c r="F67" s="70"/>
      <c r="G67" s="1"/>
      <c r="H67" s="53"/>
    </row>
    <row r="68" spans="1:13" s="2" customFormat="1" x14ac:dyDescent="0.2">
      <c r="A68" s="71" t="s">
        <v>81</v>
      </c>
      <c r="B68" s="71"/>
      <c r="C68" s="72" t="s">
        <v>82</v>
      </c>
      <c r="D68" s="73" t="s">
        <v>83</v>
      </c>
      <c r="E68" s="69"/>
      <c r="F68" s="70"/>
      <c r="H68" s="53"/>
    </row>
    <row r="69" spans="1:13" s="2" customFormat="1" x14ac:dyDescent="0.2">
      <c r="A69" s="87">
        <v>45050</v>
      </c>
      <c r="B69" s="120" t="s">
        <v>6</v>
      </c>
      <c r="C69" s="75" t="s">
        <v>282</v>
      </c>
      <c r="D69" s="88">
        <v>1562637</v>
      </c>
      <c r="G69" s="1"/>
      <c r="L69" s="1"/>
      <c r="M69" s="1"/>
    </row>
    <row r="70" spans="1:13" s="2" customFormat="1" x14ac:dyDescent="0.2">
      <c r="A70" s="87">
        <v>45050</v>
      </c>
      <c r="B70" s="120" t="s">
        <v>6</v>
      </c>
      <c r="C70" s="75" t="s">
        <v>86</v>
      </c>
      <c r="D70" s="88">
        <v>2499321</v>
      </c>
      <c r="G70" s="1"/>
      <c r="L70" s="1"/>
      <c r="M70" s="1"/>
    </row>
    <row r="71" spans="1:13" s="2" customFormat="1" x14ac:dyDescent="0.2">
      <c r="A71" s="87">
        <v>45050</v>
      </c>
      <c r="B71" s="120" t="s">
        <v>6</v>
      </c>
      <c r="C71" s="75" t="s">
        <v>86</v>
      </c>
      <c r="D71" s="88">
        <v>6876102</v>
      </c>
      <c r="G71" s="1"/>
      <c r="L71" s="1"/>
      <c r="M71" s="1"/>
    </row>
    <row r="72" spans="1:13" s="2" customFormat="1" x14ac:dyDescent="0.2">
      <c r="A72" s="87">
        <v>45052</v>
      </c>
      <c r="B72" s="120" t="s">
        <v>6</v>
      </c>
      <c r="C72" s="75" t="s">
        <v>270</v>
      </c>
      <c r="D72" s="88">
        <v>1124141</v>
      </c>
      <c r="G72" s="1"/>
      <c r="L72" s="1"/>
      <c r="M72" s="1"/>
    </row>
    <row r="73" spans="1:13" s="2" customFormat="1" x14ac:dyDescent="0.2">
      <c r="A73" s="87">
        <v>45054</v>
      </c>
      <c r="B73" s="120" t="s">
        <v>6</v>
      </c>
      <c r="C73" s="75" t="s">
        <v>271</v>
      </c>
      <c r="D73" s="88">
        <v>476726</v>
      </c>
      <c r="G73" s="1"/>
      <c r="L73" s="1"/>
      <c r="M73" s="1"/>
    </row>
    <row r="74" spans="1:13" s="2" customFormat="1" x14ac:dyDescent="0.2">
      <c r="A74" s="87">
        <v>45054</v>
      </c>
      <c r="B74" s="120" t="s">
        <v>6</v>
      </c>
      <c r="C74" s="75" t="s">
        <v>271</v>
      </c>
      <c r="D74" s="88">
        <v>926688</v>
      </c>
      <c r="G74" s="1"/>
      <c r="L74" s="1"/>
      <c r="M74" s="1"/>
    </row>
    <row r="75" spans="1:13" s="2" customFormat="1" x14ac:dyDescent="0.2">
      <c r="A75" s="87">
        <v>45054</v>
      </c>
      <c r="B75" s="120" t="s">
        <v>6</v>
      </c>
      <c r="C75" s="75" t="s">
        <v>606</v>
      </c>
      <c r="D75" s="88">
        <v>1844917</v>
      </c>
      <c r="G75" s="1"/>
      <c r="L75" s="1"/>
      <c r="M75" s="1"/>
    </row>
    <row r="76" spans="1:13" s="2" customFormat="1" x14ac:dyDescent="0.2">
      <c r="A76" s="87">
        <v>45054</v>
      </c>
      <c r="B76" s="120" t="s">
        <v>6</v>
      </c>
      <c r="C76" s="75" t="s">
        <v>271</v>
      </c>
      <c r="D76" s="88">
        <v>1640794</v>
      </c>
      <c r="G76" s="1"/>
      <c r="L76" s="1"/>
      <c r="M76" s="1"/>
    </row>
    <row r="77" spans="1:13" s="2" customFormat="1" x14ac:dyDescent="0.2">
      <c r="A77" s="87">
        <v>45055</v>
      </c>
      <c r="B77" s="120" t="s">
        <v>6</v>
      </c>
      <c r="C77" s="75" t="s">
        <v>84</v>
      </c>
      <c r="D77" s="88">
        <v>2000000</v>
      </c>
      <c r="G77" s="1"/>
      <c r="L77" s="1"/>
      <c r="M77" s="1"/>
    </row>
    <row r="78" spans="1:13" s="2" customFormat="1" x14ac:dyDescent="0.2">
      <c r="A78" s="87">
        <v>45055</v>
      </c>
      <c r="B78" s="120" t="s">
        <v>6</v>
      </c>
      <c r="C78" s="75" t="s">
        <v>87</v>
      </c>
      <c r="D78" s="88">
        <v>2540563</v>
      </c>
      <c r="G78" s="1"/>
      <c r="L78" s="1"/>
      <c r="M78" s="1"/>
    </row>
    <row r="79" spans="1:13" s="2" customFormat="1" x14ac:dyDescent="0.2">
      <c r="A79" s="87">
        <v>45055</v>
      </c>
      <c r="B79" s="120" t="s">
        <v>6</v>
      </c>
      <c r="C79" s="75" t="s">
        <v>767</v>
      </c>
      <c r="D79" s="88">
        <v>950137</v>
      </c>
      <c r="G79" s="1"/>
      <c r="L79" s="1"/>
      <c r="M79" s="1"/>
    </row>
    <row r="80" spans="1:13" s="2" customFormat="1" x14ac:dyDescent="0.2">
      <c r="A80" s="87">
        <v>45056</v>
      </c>
      <c r="B80" s="120" t="s">
        <v>6</v>
      </c>
      <c r="C80" s="75" t="s">
        <v>271</v>
      </c>
      <c r="D80" s="88">
        <v>242417</v>
      </c>
      <c r="G80" s="1"/>
      <c r="L80" s="1"/>
      <c r="M80" s="1"/>
    </row>
    <row r="81" spans="1:13" s="2" customFormat="1" x14ac:dyDescent="0.2">
      <c r="A81" s="87">
        <v>45056</v>
      </c>
      <c r="B81" s="120" t="s">
        <v>6</v>
      </c>
      <c r="C81" s="75" t="s">
        <v>271</v>
      </c>
      <c r="D81" s="88">
        <v>674909</v>
      </c>
      <c r="G81" s="1"/>
      <c r="L81" s="1"/>
      <c r="M81" s="1"/>
    </row>
    <row r="82" spans="1:13" s="2" customFormat="1" x14ac:dyDescent="0.2">
      <c r="A82" s="87">
        <v>45056</v>
      </c>
      <c r="B82" s="120" t="s">
        <v>6</v>
      </c>
      <c r="C82" s="75" t="s">
        <v>271</v>
      </c>
      <c r="D82" s="88">
        <v>969371</v>
      </c>
      <c r="G82" s="1"/>
      <c r="L82" s="1"/>
      <c r="M82" s="1"/>
    </row>
    <row r="83" spans="1:13" s="2" customFormat="1" x14ac:dyDescent="0.2">
      <c r="A83" s="87">
        <v>45058</v>
      </c>
      <c r="B83" s="120" t="s">
        <v>6</v>
      </c>
      <c r="C83" s="75" t="s">
        <v>271</v>
      </c>
      <c r="D83" s="88">
        <v>650439</v>
      </c>
      <c r="G83" s="1"/>
      <c r="L83" s="1"/>
      <c r="M83" s="1"/>
    </row>
    <row r="84" spans="1:13" s="2" customFormat="1" x14ac:dyDescent="0.2">
      <c r="A84" s="87">
        <v>45058</v>
      </c>
      <c r="B84" s="120" t="s">
        <v>6</v>
      </c>
      <c r="C84" s="75" t="s">
        <v>271</v>
      </c>
      <c r="D84" s="88">
        <v>432067</v>
      </c>
      <c r="G84" s="1"/>
      <c r="L84" s="1"/>
      <c r="M84" s="1"/>
    </row>
    <row r="85" spans="1:13" s="2" customFormat="1" x14ac:dyDescent="0.2">
      <c r="A85" s="87">
        <v>45058</v>
      </c>
      <c r="B85" s="120" t="s">
        <v>6</v>
      </c>
      <c r="C85" s="75" t="s">
        <v>271</v>
      </c>
      <c r="D85" s="88">
        <v>412906</v>
      </c>
      <c r="G85" s="1"/>
      <c r="L85" s="1"/>
      <c r="M85" s="1"/>
    </row>
    <row r="86" spans="1:13" s="2" customFormat="1" x14ac:dyDescent="0.2">
      <c r="A86" s="87">
        <v>45061</v>
      </c>
      <c r="B86" s="120" t="s">
        <v>6</v>
      </c>
      <c r="C86" s="75" t="s">
        <v>282</v>
      </c>
      <c r="D86" s="88">
        <v>7500000</v>
      </c>
      <c r="G86" s="1"/>
      <c r="L86" s="1"/>
      <c r="M86" s="1"/>
    </row>
    <row r="87" spans="1:13" s="2" customFormat="1" x14ac:dyDescent="0.2">
      <c r="A87" s="87">
        <v>45062</v>
      </c>
      <c r="B87" s="120" t="s">
        <v>6</v>
      </c>
      <c r="C87" s="75" t="s">
        <v>86</v>
      </c>
      <c r="D87" s="88">
        <v>3769130</v>
      </c>
      <c r="G87" s="1"/>
      <c r="L87" s="1"/>
      <c r="M87" s="1"/>
    </row>
    <row r="88" spans="1:13" s="2" customFormat="1" x14ac:dyDescent="0.2">
      <c r="A88" s="87">
        <v>45063</v>
      </c>
      <c r="B88" s="120" t="s">
        <v>6</v>
      </c>
      <c r="C88" s="75" t="s">
        <v>84</v>
      </c>
      <c r="D88" s="88">
        <v>5033848</v>
      </c>
      <c r="G88" s="1"/>
      <c r="L88" s="1"/>
      <c r="M88" s="1"/>
    </row>
    <row r="89" spans="1:13" s="2" customFormat="1" x14ac:dyDescent="0.2">
      <c r="A89" s="87">
        <v>45065</v>
      </c>
      <c r="B89" s="120" t="s">
        <v>6</v>
      </c>
      <c r="C89" s="75" t="s">
        <v>594</v>
      </c>
      <c r="D89" s="88">
        <v>6001798</v>
      </c>
      <c r="G89" s="1"/>
      <c r="L89" s="1"/>
      <c r="M89" s="1"/>
    </row>
    <row r="90" spans="1:13" s="2" customFormat="1" x14ac:dyDescent="0.2">
      <c r="A90" s="87">
        <v>45065</v>
      </c>
      <c r="B90" s="120" t="s">
        <v>6</v>
      </c>
      <c r="C90" s="75" t="s">
        <v>594</v>
      </c>
      <c r="D90" s="88">
        <v>9126</v>
      </c>
      <c r="G90" s="1"/>
      <c r="L90" s="1"/>
      <c r="M90" s="1"/>
    </row>
    <row r="91" spans="1:13" s="2" customFormat="1" x14ac:dyDescent="0.2">
      <c r="A91" s="87">
        <v>45066</v>
      </c>
      <c r="B91" s="120" t="s">
        <v>6</v>
      </c>
      <c r="C91" s="75" t="s">
        <v>271</v>
      </c>
      <c r="D91" s="88">
        <v>231880</v>
      </c>
      <c r="G91" s="1"/>
      <c r="L91" s="1"/>
      <c r="M91" s="1"/>
    </row>
    <row r="92" spans="1:13" s="2" customFormat="1" x14ac:dyDescent="0.2">
      <c r="A92" s="87">
        <v>45066</v>
      </c>
      <c r="B92" s="120" t="s">
        <v>6</v>
      </c>
      <c r="C92" s="75" t="s">
        <v>271</v>
      </c>
      <c r="D92" s="88">
        <v>1166054</v>
      </c>
      <c r="G92" s="1"/>
      <c r="L92" s="1"/>
      <c r="M92" s="1"/>
    </row>
    <row r="93" spans="1:13" s="2" customFormat="1" x14ac:dyDescent="0.2">
      <c r="A93" s="87">
        <v>45066</v>
      </c>
      <c r="B93" s="120" t="s">
        <v>6</v>
      </c>
      <c r="C93" s="75" t="s">
        <v>271</v>
      </c>
      <c r="D93" s="88">
        <v>197868</v>
      </c>
      <c r="G93" s="1"/>
      <c r="L93" s="1"/>
      <c r="M93" s="1"/>
    </row>
    <row r="94" spans="1:13" s="2" customFormat="1" x14ac:dyDescent="0.2">
      <c r="A94" s="87">
        <v>45066</v>
      </c>
      <c r="B94" s="120" t="s">
        <v>6</v>
      </c>
      <c r="C94" s="75" t="s">
        <v>271</v>
      </c>
      <c r="D94" s="88">
        <v>411515</v>
      </c>
      <c r="G94" s="1"/>
      <c r="L94" s="1"/>
      <c r="M94" s="1"/>
    </row>
    <row r="95" spans="1:13" s="2" customFormat="1" x14ac:dyDescent="0.2">
      <c r="A95" s="87">
        <v>45066</v>
      </c>
      <c r="B95" s="120" t="s">
        <v>6</v>
      </c>
      <c r="C95" s="75" t="s">
        <v>271</v>
      </c>
      <c r="D95" s="88">
        <v>781035</v>
      </c>
      <c r="G95" s="1"/>
      <c r="L95" s="1"/>
      <c r="M95" s="1"/>
    </row>
    <row r="96" spans="1:13" s="2" customFormat="1" x14ac:dyDescent="0.2">
      <c r="A96" s="87">
        <v>45066</v>
      </c>
      <c r="B96" s="120" t="s">
        <v>6</v>
      </c>
      <c r="C96" s="75" t="s">
        <v>87</v>
      </c>
      <c r="D96" s="88">
        <v>1320555</v>
      </c>
      <c r="G96" s="1"/>
      <c r="L96" s="1"/>
      <c r="M96" s="1"/>
    </row>
    <row r="97" spans="1:13" s="2" customFormat="1" x14ac:dyDescent="0.2">
      <c r="A97" s="87">
        <v>45066</v>
      </c>
      <c r="B97" s="120" t="s">
        <v>6</v>
      </c>
      <c r="C97" s="75" t="s">
        <v>467</v>
      </c>
      <c r="D97" s="88">
        <v>2498439</v>
      </c>
      <c r="G97" s="1"/>
      <c r="L97" s="1"/>
      <c r="M97" s="1"/>
    </row>
    <row r="98" spans="1:13" s="2" customFormat="1" x14ac:dyDescent="0.2">
      <c r="A98" s="87">
        <v>45068</v>
      </c>
      <c r="B98" s="120" t="s">
        <v>6</v>
      </c>
      <c r="C98" s="75" t="s">
        <v>86</v>
      </c>
      <c r="D98" s="88">
        <v>588418</v>
      </c>
      <c r="G98" s="1"/>
      <c r="L98" s="1"/>
      <c r="M98" s="1"/>
    </row>
    <row r="99" spans="1:13" s="2" customFormat="1" x14ac:dyDescent="0.2">
      <c r="A99" s="87">
        <v>45068</v>
      </c>
      <c r="B99" s="120" t="s">
        <v>6</v>
      </c>
      <c r="C99" s="75" t="s">
        <v>86</v>
      </c>
      <c r="D99" s="88">
        <v>6280875</v>
      </c>
      <c r="G99" s="1"/>
      <c r="L99" s="1"/>
      <c r="M99" s="1"/>
    </row>
    <row r="100" spans="1:13" s="2" customFormat="1" x14ac:dyDescent="0.2">
      <c r="A100" s="87">
        <v>45068</v>
      </c>
      <c r="B100" s="120" t="s">
        <v>6</v>
      </c>
      <c r="C100" s="75" t="s">
        <v>86</v>
      </c>
      <c r="D100" s="88">
        <v>1195342</v>
      </c>
      <c r="G100" s="1"/>
      <c r="L100" s="1"/>
      <c r="M100" s="1"/>
    </row>
    <row r="101" spans="1:13" s="2" customFormat="1" x14ac:dyDescent="0.2">
      <c r="A101" s="87">
        <v>45070</v>
      </c>
      <c r="B101" s="120" t="s">
        <v>6</v>
      </c>
      <c r="C101" s="75" t="s">
        <v>784</v>
      </c>
      <c r="D101" s="88">
        <v>734755</v>
      </c>
      <c r="G101" s="1"/>
      <c r="L101" s="1"/>
      <c r="M101" s="1"/>
    </row>
    <row r="102" spans="1:13" s="2" customFormat="1" x14ac:dyDescent="0.2">
      <c r="A102" s="87">
        <v>45070</v>
      </c>
      <c r="B102" s="120" t="s">
        <v>6</v>
      </c>
      <c r="C102" s="75" t="s">
        <v>270</v>
      </c>
      <c r="D102" s="88">
        <v>1147013</v>
      </c>
      <c r="G102" s="1"/>
      <c r="L102" s="1"/>
      <c r="M102" s="1"/>
    </row>
    <row r="103" spans="1:13" s="2" customFormat="1" x14ac:dyDescent="0.2">
      <c r="A103" s="87">
        <v>45070</v>
      </c>
      <c r="B103" s="120" t="s">
        <v>6</v>
      </c>
      <c r="C103" s="75" t="s">
        <v>270</v>
      </c>
      <c r="D103" s="88">
        <v>2489665</v>
      </c>
      <c r="G103" s="1"/>
      <c r="L103" s="1"/>
      <c r="M103" s="1"/>
    </row>
    <row r="104" spans="1:13" s="2" customFormat="1" x14ac:dyDescent="0.2">
      <c r="A104" s="87">
        <v>45070</v>
      </c>
      <c r="B104" s="120" t="s">
        <v>6</v>
      </c>
      <c r="C104" s="75" t="s">
        <v>270</v>
      </c>
      <c r="D104" s="88">
        <v>306124</v>
      </c>
      <c r="G104" s="1"/>
      <c r="L104" s="1"/>
      <c r="M104" s="1"/>
    </row>
    <row r="105" spans="1:13" s="2" customFormat="1" x14ac:dyDescent="0.2">
      <c r="A105" s="87">
        <v>45070</v>
      </c>
      <c r="B105" s="120" t="s">
        <v>6</v>
      </c>
      <c r="C105" s="75" t="s">
        <v>86</v>
      </c>
      <c r="D105" s="88">
        <v>4992840</v>
      </c>
      <c r="G105" s="1"/>
      <c r="L105" s="1"/>
      <c r="M105" s="1"/>
    </row>
    <row r="106" spans="1:13" s="2" customFormat="1" x14ac:dyDescent="0.2">
      <c r="A106" s="87"/>
      <c r="B106" s="74"/>
      <c r="C106" s="75"/>
      <c r="D106" s="51">
        <f>SUM(D69:D105)</f>
        <v>72480415</v>
      </c>
      <c r="F106" s="2" t="s">
        <v>396</v>
      </c>
      <c r="G106" s="1"/>
      <c r="I106" s="1"/>
      <c r="J106" s="1"/>
      <c r="K106" s="1"/>
      <c r="L106" s="1"/>
      <c r="M106" s="1"/>
    </row>
    <row r="107" spans="1:13" s="2" customFormat="1" x14ac:dyDescent="0.2">
      <c r="A107" s="24"/>
      <c r="B107" s="1"/>
      <c r="C107" s="14"/>
      <c r="D107" s="56"/>
      <c r="E107" s="13"/>
      <c r="G107" s="1"/>
    </row>
    <row r="108" spans="1:13" s="2" customFormat="1" x14ac:dyDescent="0.2">
      <c r="A108" s="24"/>
      <c r="B108" s="1"/>
      <c r="C108" s="218" t="s">
        <v>77</v>
      </c>
      <c r="D108" s="219"/>
      <c r="E108" s="219"/>
      <c r="F108" s="220"/>
      <c r="G108" s="54"/>
      <c r="I108" s="1"/>
      <c r="J108" s="1"/>
      <c r="K108" s="1"/>
      <c r="L108" s="1"/>
      <c r="M108" s="1"/>
    </row>
    <row r="109" spans="1:13" s="2" customFormat="1" x14ac:dyDescent="0.2">
      <c r="A109" s="24"/>
      <c r="B109" s="1"/>
      <c r="C109" s="50"/>
      <c r="D109" s="57" t="s">
        <v>78</v>
      </c>
      <c r="E109" s="58" t="s">
        <v>79</v>
      </c>
      <c r="F109" s="57" t="s">
        <v>72</v>
      </c>
      <c r="G109" s="54"/>
      <c r="I109" s="1"/>
      <c r="J109" s="1"/>
      <c r="K109" s="1"/>
      <c r="L109" s="1"/>
      <c r="M109" s="1"/>
    </row>
    <row r="110" spans="1:13" s="2" customFormat="1" x14ac:dyDescent="0.2">
      <c r="A110" s="24"/>
      <c r="B110" s="1"/>
      <c r="C110" s="59" t="str">
        <f>"01-05-2023 to "&amp;TEXT(A5-2,"dd-mm-yyyy")</f>
        <v>01-05-2023 to 23-05-2023</v>
      </c>
      <c r="D110" s="60">
        <v>3223.86</v>
      </c>
      <c r="E110" s="60">
        <v>287.79000000000002</v>
      </c>
      <c r="F110" s="61">
        <f>SUM(D110:E110)</f>
        <v>3511.65</v>
      </c>
      <c r="G110" s="54"/>
      <c r="I110" s="1"/>
      <c r="J110" s="1"/>
      <c r="K110" s="1"/>
      <c r="L110" s="1"/>
      <c r="M110" s="1"/>
    </row>
    <row r="111" spans="1:13" s="2" customFormat="1" x14ac:dyDescent="0.2">
      <c r="A111" s="24"/>
      <c r="B111" s="1"/>
      <c r="C111" s="62" t="str">
        <f>TEXT(A5-1,"dd-mm-yyyy")</f>
        <v>24-05-2023</v>
      </c>
      <c r="D111" s="60">
        <v>274.22000000000003</v>
      </c>
      <c r="E111" s="60">
        <v>13.46</v>
      </c>
      <c r="F111" s="61">
        <f>SUM(D111:E111)</f>
        <v>287.68</v>
      </c>
      <c r="G111" s="54"/>
      <c r="I111" s="1"/>
      <c r="J111" s="1"/>
      <c r="K111" s="1"/>
      <c r="L111" s="1"/>
      <c r="M111" s="1"/>
    </row>
    <row r="112" spans="1:13" ht="13.5" thickBot="1" x14ac:dyDescent="0.25">
      <c r="C112" s="63" t="str">
        <f>"01-05-2023 to "&amp;TEXT(A5-1,"dd-mm-yyyy")</f>
        <v>01-05-2023 to 24-05-2023</v>
      </c>
      <c r="D112" s="64">
        <f>SUM(D110:D111)</f>
        <v>3498.08</v>
      </c>
      <c r="E112" s="64">
        <f>SUM(E110:E111)</f>
        <v>301.25</v>
      </c>
      <c r="F112" s="64">
        <f>SUM(F110:F111)</f>
        <v>3799.33</v>
      </c>
      <c r="G112" s="54"/>
      <c r="H112" s="2" t="s">
        <v>396</v>
      </c>
    </row>
    <row r="113" spans="1:10" s="2" customFormat="1" ht="13.5" thickTop="1" x14ac:dyDescent="0.2">
      <c r="A113" s="24"/>
      <c r="B113" s="1"/>
      <c r="C113" s="62"/>
      <c r="D113" s="65"/>
      <c r="E113" s="66"/>
      <c r="F113" s="67"/>
      <c r="G113" s="54"/>
      <c r="H113" s="53"/>
    </row>
    <row r="114" spans="1:10" x14ac:dyDescent="0.2">
      <c r="C114" s="62" t="str">
        <f>"01-04-2023 to " &amp;C111</f>
        <v>01-04-2023 to 24-05-2023</v>
      </c>
      <c r="D114" s="68">
        <f>+D112+4343.67</f>
        <v>7841.75</v>
      </c>
      <c r="E114" s="68">
        <f>+E112+536.17</f>
        <v>837.42</v>
      </c>
      <c r="F114" s="68">
        <f>+F112+4879.84</f>
        <v>8679.17</v>
      </c>
      <c r="G114" s="54"/>
      <c r="H114" s="53" t="s">
        <v>396</v>
      </c>
    </row>
    <row r="115" spans="1:10" x14ac:dyDescent="0.2">
      <c r="C115" s="52"/>
      <c r="D115" s="85"/>
      <c r="E115" s="53"/>
      <c r="F115" s="53"/>
      <c r="G115" s="54"/>
      <c r="H115" s="53" t="s">
        <v>396</v>
      </c>
      <c r="J115" s="42"/>
    </row>
    <row r="116" spans="1:10" x14ac:dyDescent="0.2">
      <c r="C116" s="52"/>
      <c r="D116" s="85"/>
      <c r="E116" s="53"/>
      <c r="F116" s="53"/>
      <c r="G116" s="54"/>
      <c r="H116" s="53"/>
      <c r="I116" s="101"/>
    </row>
    <row r="117" spans="1:10" x14ac:dyDescent="0.2">
      <c r="C117" s="52"/>
      <c r="D117" s="85"/>
      <c r="E117" s="53"/>
      <c r="F117" s="53"/>
      <c r="G117" s="54"/>
      <c r="H117" s="53"/>
    </row>
    <row r="118" spans="1:10" x14ac:dyDescent="0.2">
      <c r="C118" s="52"/>
      <c r="D118" s="85"/>
      <c r="E118" s="53"/>
      <c r="F118" s="53"/>
      <c r="G118" s="54"/>
      <c r="H118" s="53"/>
    </row>
    <row r="119" spans="1:10" x14ac:dyDescent="0.2">
      <c r="H119" s="53"/>
    </row>
  </sheetData>
  <mergeCells count="5">
    <mergeCell ref="A1:G1"/>
    <mergeCell ref="A3:F3"/>
    <mergeCell ref="A9:F9"/>
    <mergeCell ref="A67:D67"/>
    <mergeCell ref="C108:F108"/>
  </mergeCells>
  <conditionalFormatting sqref="G64:G65">
    <cfRule type="cellIs" dxfId="544" priority="1" operator="lessThan">
      <formula>0</formula>
    </cfRule>
  </conditionalFormatting>
  <conditionalFormatting sqref="C11">
    <cfRule type="duplicateValues" dxfId="543" priority="2"/>
  </conditionalFormatting>
  <conditionalFormatting sqref="C12:C44">
    <cfRule type="duplicateValues" dxfId="542" priority="503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335">
    <pageSetUpPr fitToPage="1"/>
  </sheetPr>
  <dimension ref="A1:N128"/>
  <sheetViews>
    <sheetView topLeftCell="A17" zoomScaleNormal="100" workbookViewId="0">
      <selection activeCell="C46" sqref="C46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47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1014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45072</v>
      </c>
      <c r="B5" s="9" t="s">
        <v>6</v>
      </c>
      <c r="C5" s="10" t="s">
        <v>7</v>
      </c>
      <c r="D5" s="11"/>
      <c r="E5" s="12">
        <v>197589.70000000019</v>
      </c>
      <c r="F5" s="12"/>
      <c r="G5" s="1"/>
      <c r="H5" s="112"/>
      <c r="I5" s="112"/>
    </row>
    <row r="6" spans="1:10" s="2" customFormat="1" ht="14.25" customHeight="1" x14ac:dyDescent="0.4">
      <c r="A6" s="89">
        <v>45072</v>
      </c>
      <c r="B6" s="9" t="s">
        <v>6</v>
      </c>
      <c r="C6" s="10" t="s">
        <v>582</v>
      </c>
      <c r="D6" s="117" t="s">
        <v>13</v>
      </c>
      <c r="E6" s="12">
        <v>21473</v>
      </c>
      <c r="F6" s="12"/>
      <c r="G6" s="1"/>
      <c r="H6" s="112"/>
      <c r="I6" s="112"/>
    </row>
    <row r="7" spans="1:10" s="2" customFormat="1" ht="12.75" customHeight="1" x14ac:dyDescent="0.4">
      <c r="D7" s="15" t="s">
        <v>8</v>
      </c>
      <c r="E7" s="16">
        <f>SUM(E5:E6)</f>
        <v>219062.70000000019</v>
      </c>
      <c r="F7" s="16">
        <v>0</v>
      </c>
      <c r="G7" s="1"/>
      <c r="H7" s="112"/>
      <c r="I7" s="112"/>
    </row>
    <row r="8" spans="1:10" s="2" customFormat="1" ht="12.75" customHeight="1" x14ac:dyDescent="0.4">
      <c r="A8" s="17"/>
      <c r="B8" s="18"/>
      <c r="C8" s="19" t="s">
        <v>9</v>
      </c>
      <c r="D8" s="20"/>
      <c r="E8" s="21">
        <f>+E7</f>
        <v>219062.70000000019</v>
      </c>
      <c r="F8" s="22"/>
      <c r="G8" s="23"/>
      <c r="H8" s="112"/>
      <c r="I8" s="112"/>
      <c r="J8" s="13"/>
    </row>
    <row r="9" spans="1:10" s="2" customFormat="1" ht="12.75" customHeight="1" x14ac:dyDescent="0.4">
      <c r="A9" s="24"/>
      <c r="B9" s="1"/>
      <c r="C9" s="14"/>
      <c r="D9" s="25"/>
      <c r="G9" s="23"/>
      <c r="H9" s="112"/>
      <c r="I9" s="112"/>
      <c r="J9" s="13"/>
    </row>
    <row r="10" spans="1:10" s="2" customFormat="1" ht="21.75" customHeight="1" x14ac:dyDescent="0.4">
      <c r="A10" s="214" t="s">
        <v>10</v>
      </c>
      <c r="B10" s="214"/>
      <c r="C10" s="214"/>
      <c r="D10" s="214"/>
      <c r="E10" s="214"/>
      <c r="F10" s="214"/>
      <c r="G10" s="13"/>
      <c r="H10" s="112"/>
      <c r="I10" s="112"/>
      <c r="J10" s="13"/>
    </row>
    <row r="11" spans="1:10" s="2" customFormat="1" ht="12.75" customHeight="1" x14ac:dyDescent="0.4">
      <c r="A11" s="26" t="s">
        <v>1</v>
      </c>
      <c r="B11" s="27" t="s">
        <v>2</v>
      </c>
      <c r="C11" s="5"/>
      <c r="D11" s="6" t="s">
        <v>3</v>
      </c>
      <c r="E11" s="7" t="s">
        <v>4</v>
      </c>
      <c r="F11" s="7" t="s">
        <v>5</v>
      </c>
      <c r="G11" s="23"/>
      <c r="H11" s="112"/>
      <c r="I11" s="112"/>
      <c r="J11" s="13"/>
    </row>
    <row r="12" spans="1:10" s="2" customFormat="1" ht="12.75" customHeight="1" x14ac:dyDescent="0.2">
      <c r="A12" s="89">
        <v>45072</v>
      </c>
      <c r="B12" s="91" t="s">
        <v>11</v>
      </c>
      <c r="C12" s="29" t="s">
        <v>7</v>
      </c>
      <c r="D12" s="25"/>
      <c r="E12" s="31"/>
      <c r="F12" s="2">
        <v>304823770.92999989</v>
      </c>
      <c r="G12" s="30"/>
      <c r="I12" s="13"/>
      <c r="J12" s="13"/>
    </row>
    <row r="13" spans="1:10" s="2" customFormat="1" ht="12.75" customHeight="1" x14ac:dyDescent="0.2">
      <c r="A13" s="89">
        <v>45072</v>
      </c>
      <c r="B13" s="91" t="s">
        <v>6</v>
      </c>
      <c r="C13" s="76" t="s">
        <v>316</v>
      </c>
      <c r="D13" s="116" t="s">
        <v>13</v>
      </c>
      <c r="E13" s="31">
        <v>3925515</v>
      </c>
      <c r="G13" s="30"/>
      <c r="I13" s="13"/>
      <c r="J13" s="13"/>
    </row>
    <row r="14" spans="1:10" s="2" customFormat="1" ht="12.75" customHeight="1" x14ac:dyDescent="0.2">
      <c r="A14" s="89">
        <v>45072</v>
      </c>
      <c r="B14" s="91" t="s">
        <v>6</v>
      </c>
      <c r="C14" s="76" t="s">
        <v>120</v>
      </c>
      <c r="D14" s="116" t="s">
        <v>13</v>
      </c>
      <c r="E14" s="31">
        <v>555546</v>
      </c>
      <c r="G14" s="30"/>
      <c r="I14" s="13"/>
      <c r="J14" s="13"/>
    </row>
    <row r="15" spans="1:10" s="2" customFormat="1" ht="12.75" customHeight="1" x14ac:dyDescent="0.2">
      <c r="A15" s="89">
        <v>45072</v>
      </c>
      <c r="B15" s="91" t="s">
        <v>6</v>
      </c>
      <c r="C15" s="76" t="s">
        <v>101</v>
      </c>
      <c r="D15" s="116" t="s">
        <v>13</v>
      </c>
      <c r="E15" s="31">
        <v>388876</v>
      </c>
      <c r="G15" s="30"/>
      <c r="I15" s="13"/>
      <c r="J15" s="13"/>
    </row>
    <row r="16" spans="1:10" s="2" customFormat="1" ht="12.75" customHeight="1" x14ac:dyDescent="0.2">
      <c r="A16" s="89">
        <v>45072</v>
      </c>
      <c r="B16" s="91" t="s">
        <v>6</v>
      </c>
      <c r="C16" s="76" t="s">
        <v>543</v>
      </c>
      <c r="D16" s="116" t="s">
        <v>13</v>
      </c>
      <c r="E16" s="31">
        <v>179655</v>
      </c>
      <c r="G16" s="30"/>
      <c r="I16" s="13"/>
      <c r="J16" s="13"/>
    </row>
    <row r="17" spans="1:10" s="2" customFormat="1" ht="12.75" customHeight="1" x14ac:dyDescent="0.2">
      <c r="A17" s="89">
        <v>45072</v>
      </c>
      <c r="B17" s="91" t="s">
        <v>6</v>
      </c>
      <c r="C17" s="76" t="s">
        <v>23</v>
      </c>
      <c r="D17" s="116" t="s">
        <v>13</v>
      </c>
      <c r="E17" s="31">
        <v>78735</v>
      </c>
      <c r="G17" s="30"/>
      <c r="I17" s="13"/>
      <c r="J17" s="13"/>
    </row>
    <row r="18" spans="1:10" s="2" customFormat="1" ht="12.75" customHeight="1" x14ac:dyDescent="0.2">
      <c r="A18" s="89">
        <v>45072</v>
      </c>
      <c r="B18" s="91" t="s">
        <v>6</v>
      </c>
      <c r="C18" s="76" t="s">
        <v>179</v>
      </c>
      <c r="D18" s="116" t="s">
        <v>13</v>
      </c>
      <c r="E18" s="31">
        <v>100000</v>
      </c>
      <c r="G18" s="30"/>
      <c r="I18" s="13"/>
      <c r="J18" s="13"/>
    </row>
    <row r="19" spans="1:10" s="2" customFormat="1" ht="12.75" customHeight="1" x14ac:dyDescent="0.2">
      <c r="A19" s="89">
        <v>45072</v>
      </c>
      <c r="B19" s="91" t="s">
        <v>6</v>
      </c>
      <c r="C19" s="76" t="s">
        <v>149</v>
      </c>
      <c r="D19" s="116" t="s">
        <v>13</v>
      </c>
      <c r="E19" s="31">
        <v>64169</v>
      </c>
      <c r="G19" s="30"/>
      <c r="I19" s="13"/>
      <c r="J19" s="13"/>
    </row>
    <row r="20" spans="1:10" s="2" customFormat="1" ht="12.75" customHeight="1" x14ac:dyDescent="0.2">
      <c r="A20" s="89">
        <v>45072</v>
      </c>
      <c r="B20" s="91" t="s">
        <v>6</v>
      </c>
      <c r="C20" s="76" t="s">
        <v>22</v>
      </c>
      <c r="D20" s="116" t="s">
        <v>13</v>
      </c>
      <c r="E20" s="31">
        <v>1960146.34</v>
      </c>
      <c r="G20" s="30"/>
      <c r="I20" s="13"/>
      <c r="J20" s="13"/>
    </row>
    <row r="21" spans="1:10" s="2" customFormat="1" ht="12.75" customHeight="1" x14ac:dyDescent="0.2">
      <c r="A21" s="89">
        <v>45072</v>
      </c>
      <c r="B21" s="91" t="s">
        <v>6</v>
      </c>
      <c r="C21" s="76" t="s">
        <v>1017</v>
      </c>
      <c r="D21" s="116" t="s">
        <v>13</v>
      </c>
      <c r="E21" s="31">
        <v>430864.23</v>
      </c>
      <c r="G21" s="30"/>
      <c r="I21" s="13"/>
      <c r="J21" s="13"/>
    </row>
    <row r="22" spans="1:10" s="2" customFormat="1" ht="12.75" customHeight="1" x14ac:dyDescent="0.2">
      <c r="A22" s="89">
        <v>45072</v>
      </c>
      <c r="B22" s="91" t="s">
        <v>6</v>
      </c>
      <c r="C22" s="76" t="s">
        <v>15</v>
      </c>
      <c r="D22" s="116" t="s">
        <v>13</v>
      </c>
      <c r="E22" s="31">
        <v>30.99</v>
      </c>
      <c r="G22" s="30"/>
      <c r="I22" s="13"/>
      <c r="J22" s="13"/>
    </row>
    <row r="23" spans="1:10" s="2" customFormat="1" ht="12.75" customHeight="1" x14ac:dyDescent="0.2">
      <c r="A23" s="89">
        <v>45072</v>
      </c>
      <c r="B23" s="91" t="s">
        <v>6</v>
      </c>
      <c r="C23" s="76" t="s">
        <v>765</v>
      </c>
      <c r="D23" s="116" t="s">
        <v>13</v>
      </c>
      <c r="E23" s="31">
        <v>385028.15</v>
      </c>
      <c r="G23" s="30"/>
      <c r="I23" s="13"/>
      <c r="J23" s="13"/>
    </row>
    <row r="24" spans="1:10" s="2" customFormat="1" ht="12.75" customHeight="1" x14ac:dyDescent="0.2">
      <c r="A24" s="89">
        <v>45072</v>
      </c>
      <c r="B24" s="91" t="s">
        <v>6</v>
      </c>
      <c r="C24" s="76" t="s">
        <v>755</v>
      </c>
      <c r="D24" s="116" t="s">
        <v>13</v>
      </c>
      <c r="E24" s="31">
        <v>785753.24</v>
      </c>
      <c r="G24" s="30"/>
      <c r="I24" s="13"/>
      <c r="J24" s="13"/>
    </row>
    <row r="25" spans="1:10" s="2" customFormat="1" ht="12.75" customHeight="1" x14ac:dyDescent="0.2">
      <c r="A25" s="89">
        <v>45072</v>
      </c>
      <c r="B25" s="91" t="s">
        <v>6</v>
      </c>
      <c r="C25" s="76" t="s">
        <v>764</v>
      </c>
      <c r="D25" s="116" t="s">
        <v>13</v>
      </c>
      <c r="E25" s="31">
        <v>837297.51</v>
      </c>
      <c r="G25" s="30"/>
      <c r="I25" s="13"/>
      <c r="J25" s="13"/>
    </row>
    <row r="26" spans="1:10" s="2" customFormat="1" ht="12.75" customHeight="1" x14ac:dyDescent="0.2">
      <c r="A26" s="89">
        <v>45072</v>
      </c>
      <c r="B26" s="91" t="s">
        <v>6</v>
      </c>
      <c r="C26" s="76" t="s">
        <v>758</v>
      </c>
      <c r="D26" s="116" t="s">
        <v>13</v>
      </c>
      <c r="E26" s="31">
        <v>1146567.1599999999</v>
      </c>
      <c r="G26" s="30"/>
      <c r="I26" s="13"/>
      <c r="J26" s="13"/>
    </row>
    <row r="27" spans="1:10" s="2" customFormat="1" ht="12.75" customHeight="1" x14ac:dyDescent="0.2">
      <c r="A27" s="89">
        <v>45072</v>
      </c>
      <c r="B27" s="91" t="s">
        <v>6</v>
      </c>
      <c r="C27" s="76" t="s">
        <v>681</v>
      </c>
      <c r="D27" s="116" t="s">
        <v>13</v>
      </c>
      <c r="E27" s="31">
        <v>1236136.42</v>
      </c>
      <c r="G27" s="30"/>
      <c r="I27" s="13"/>
      <c r="J27" s="13"/>
    </row>
    <row r="28" spans="1:10" s="2" customFormat="1" ht="12.75" customHeight="1" x14ac:dyDescent="0.2">
      <c r="A28" s="89">
        <v>45072</v>
      </c>
      <c r="B28" s="91" t="s">
        <v>6</v>
      </c>
      <c r="C28" s="76" t="s">
        <v>162</v>
      </c>
      <c r="D28" s="116" t="s">
        <v>13</v>
      </c>
      <c r="E28" s="31">
        <v>39365</v>
      </c>
      <c r="G28" s="30"/>
      <c r="I28" s="13"/>
      <c r="J28" s="13"/>
    </row>
    <row r="29" spans="1:10" s="2" customFormat="1" ht="12.75" customHeight="1" x14ac:dyDescent="0.2">
      <c r="A29" s="89">
        <v>45072</v>
      </c>
      <c r="B29" s="91" t="s">
        <v>6</v>
      </c>
      <c r="C29" s="76" t="s">
        <v>960</v>
      </c>
      <c r="D29" s="116" t="s">
        <v>13</v>
      </c>
      <c r="E29" s="31">
        <v>4610900</v>
      </c>
      <c r="G29" s="30"/>
      <c r="I29" s="13"/>
      <c r="J29" s="13"/>
    </row>
    <row r="30" spans="1:10" s="2" customFormat="1" ht="12.75" customHeight="1" x14ac:dyDescent="0.2">
      <c r="A30" s="89">
        <v>45072</v>
      </c>
      <c r="B30" s="91" t="s">
        <v>11</v>
      </c>
      <c r="C30" s="76" t="s">
        <v>64</v>
      </c>
      <c r="D30" s="116" t="s">
        <v>29</v>
      </c>
      <c r="E30" s="31"/>
      <c r="F30" s="2">
        <v>22242.739999999998</v>
      </c>
      <c r="G30" s="30"/>
      <c r="I30" s="13"/>
      <c r="J30" s="13"/>
    </row>
    <row r="31" spans="1:10" s="2" customFormat="1" ht="12.75" customHeight="1" x14ac:dyDescent="0.2">
      <c r="A31" s="89">
        <v>45072</v>
      </c>
      <c r="B31" s="91" t="s">
        <v>11</v>
      </c>
      <c r="C31" s="76" t="s">
        <v>125</v>
      </c>
      <c r="D31" s="116" t="s">
        <v>29</v>
      </c>
      <c r="E31" s="31"/>
      <c r="F31" s="2">
        <v>106768</v>
      </c>
      <c r="G31" s="30"/>
      <c r="I31" s="13"/>
      <c r="J31" s="13"/>
    </row>
    <row r="32" spans="1:10" s="2" customFormat="1" ht="12.75" customHeight="1" x14ac:dyDescent="0.2">
      <c r="A32" s="89">
        <v>45072</v>
      </c>
      <c r="B32" s="91" t="s">
        <v>11</v>
      </c>
      <c r="C32" s="76" t="s">
        <v>205</v>
      </c>
      <c r="D32" s="116" t="s">
        <v>29</v>
      </c>
      <c r="E32" s="31"/>
      <c r="F32" s="2">
        <v>14160</v>
      </c>
      <c r="G32" s="30"/>
      <c r="I32" s="13"/>
      <c r="J32" s="13"/>
    </row>
    <row r="33" spans="1:10" s="2" customFormat="1" ht="12.75" customHeight="1" x14ac:dyDescent="0.2">
      <c r="A33" s="89">
        <v>45072</v>
      </c>
      <c r="B33" s="91" t="s">
        <v>11</v>
      </c>
      <c r="C33" s="76" t="s">
        <v>382</v>
      </c>
      <c r="D33" s="116" t="s">
        <v>29</v>
      </c>
      <c r="E33" s="31"/>
      <c r="F33" s="2">
        <v>1296000</v>
      </c>
      <c r="G33" s="30"/>
      <c r="I33" s="13"/>
      <c r="J33" s="13"/>
    </row>
    <row r="34" spans="1:10" s="2" customFormat="1" ht="12.75" customHeight="1" x14ac:dyDescent="0.2">
      <c r="A34" s="89">
        <v>45072</v>
      </c>
      <c r="B34" s="91" t="s">
        <v>11</v>
      </c>
      <c r="C34" s="76" t="s">
        <v>544</v>
      </c>
      <c r="D34" s="116" t="s">
        <v>29</v>
      </c>
      <c r="E34" s="31"/>
      <c r="F34" s="2">
        <v>540948</v>
      </c>
      <c r="G34" s="30"/>
      <c r="I34" s="13"/>
      <c r="J34" s="13"/>
    </row>
    <row r="35" spans="1:10" s="2" customFormat="1" ht="12.75" customHeight="1" x14ac:dyDescent="0.2">
      <c r="A35" s="89">
        <v>45072</v>
      </c>
      <c r="B35" s="91" t="s">
        <v>11</v>
      </c>
      <c r="C35" s="76" t="s">
        <v>525</v>
      </c>
      <c r="D35" s="116" t="s">
        <v>29</v>
      </c>
      <c r="E35" s="31"/>
      <c r="F35" s="2">
        <v>1000000</v>
      </c>
      <c r="G35" s="30"/>
      <c r="I35" s="13"/>
      <c r="J35" s="13"/>
    </row>
    <row r="36" spans="1:10" s="2" customFormat="1" ht="12.75" customHeight="1" x14ac:dyDescent="0.2">
      <c r="A36" s="89">
        <v>45072</v>
      </c>
      <c r="B36" s="91" t="s">
        <v>11</v>
      </c>
      <c r="C36" s="76" t="s">
        <v>384</v>
      </c>
      <c r="D36" s="116" t="s">
        <v>29</v>
      </c>
      <c r="E36" s="31"/>
      <c r="F36" s="2">
        <v>44625</v>
      </c>
      <c r="G36" s="30"/>
      <c r="I36" s="13"/>
      <c r="J36" s="13"/>
    </row>
    <row r="37" spans="1:10" s="2" customFormat="1" ht="12.75" customHeight="1" x14ac:dyDescent="0.2">
      <c r="A37" s="89">
        <v>45072</v>
      </c>
      <c r="B37" s="91" t="s">
        <v>11</v>
      </c>
      <c r="C37" s="76" t="s">
        <v>1015</v>
      </c>
      <c r="D37" s="116" t="s">
        <v>29</v>
      </c>
      <c r="E37" s="31"/>
      <c r="F37" s="2">
        <v>22538</v>
      </c>
      <c r="G37" s="30"/>
      <c r="I37" s="13"/>
      <c r="J37" s="13"/>
    </row>
    <row r="38" spans="1:10" s="2" customFormat="1" ht="12.75" customHeight="1" x14ac:dyDescent="0.2">
      <c r="A38" s="89">
        <v>45072</v>
      </c>
      <c r="B38" s="91" t="s">
        <v>11</v>
      </c>
      <c r="C38" s="76" t="s">
        <v>604</v>
      </c>
      <c r="D38" s="116" t="s">
        <v>29</v>
      </c>
      <c r="E38" s="31"/>
      <c r="F38" s="2">
        <v>112262</v>
      </c>
      <c r="G38" s="30"/>
      <c r="I38" s="13"/>
      <c r="J38" s="13"/>
    </row>
    <row r="39" spans="1:10" s="2" customFormat="1" ht="12.75" customHeight="1" x14ac:dyDescent="0.2">
      <c r="A39" s="89">
        <v>45072</v>
      </c>
      <c r="B39" s="91" t="s">
        <v>11</v>
      </c>
      <c r="C39" s="76" t="s">
        <v>348</v>
      </c>
      <c r="D39" s="116" t="s">
        <v>29</v>
      </c>
      <c r="E39" s="31"/>
      <c r="F39" s="2">
        <v>79200</v>
      </c>
      <c r="G39" s="30"/>
      <c r="I39" s="13"/>
      <c r="J39" s="13"/>
    </row>
    <row r="40" spans="1:10" s="2" customFormat="1" ht="12.75" customHeight="1" x14ac:dyDescent="0.2">
      <c r="A40" s="89">
        <v>45072</v>
      </c>
      <c r="B40" s="91" t="s">
        <v>11</v>
      </c>
      <c r="C40" s="76" t="s">
        <v>210</v>
      </c>
      <c r="D40" s="116" t="s">
        <v>29</v>
      </c>
      <c r="E40" s="31"/>
      <c r="F40" s="2">
        <v>61832</v>
      </c>
      <c r="G40" s="30"/>
      <c r="I40" s="13"/>
      <c r="J40" s="13"/>
    </row>
    <row r="41" spans="1:10" s="2" customFormat="1" ht="12.75" customHeight="1" x14ac:dyDescent="0.2">
      <c r="A41" s="89">
        <v>45072</v>
      </c>
      <c r="B41" s="91" t="s">
        <v>11</v>
      </c>
      <c r="C41" s="76" t="s">
        <v>38</v>
      </c>
      <c r="D41" s="116" t="s">
        <v>29</v>
      </c>
      <c r="E41" s="31"/>
      <c r="F41" s="2">
        <v>27585.5</v>
      </c>
      <c r="G41" s="30"/>
      <c r="I41" s="13"/>
      <c r="J41" s="13"/>
    </row>
    <row r="42" spans="1:10" s="2" customFormat="1" ht="12.75" customHeight="1" x14ac:dyDescent="0.2">
      <c r="A42" s="89">
        <v>45072</v>
      </c>
      <c r="B42" s="91" t="s">
        <v>11</v>
      </c>
      <c r="C42" s="76" t="s">
        <v>415</v>
      </c>
      <c r="D42" s="116" t="s">
        <v>29</v>
      </c>
      <c r="E42" s="31"/>
      <c r="F42" s="2">
        <v>8874</v>
      </c>
      <c r="G42" s="30"/>
      <c r="I42" s="13"/>
      <c r="J42" s="13"/>
    </row>
    <row r="43" spans="1:10" s="2" customFormat="1" ht="12.75" customHeight="1" x14ac:dyDescent="0.2">
      <c r="A43" s="89">
        <v>45072</v>
      </c>
      <c r="B43" s="91" t="s">
        <v>11</v>
      </c>
      <c r="C43" s="76" t="s">
        <v>728</v>
      </c>
      <c r="D43" s="116" t="s">
        <v>29</v>
      </c>
      <c r="E43" s="31"/>
      <c r="F43" s="2">
        <v>1492932</v>
      </c>
      <c r="G43" s="30"/>
      <c r="I43" s="13"/>
      <c r="J43" s="13"/>
    </row>
    <row r="44" spans="1:10" s="2" customFormat="1" ht="12.75" customHeight="1" x14ac:dyDescent="0.2">
      <c r="A44" s="89">
        <v>45072</v>
      </c>
      <c r="B44" s="91" t="s">
        <v>11</v>
      </c>
      <c r="C44" s="76" t="s">
        <v>428</v>
      </c>
      <c r="D44" s="116" t="s">
        <v>29</v>
      </c>
      <c r="E44" s="31"/>
      <c r="F44" s="2">
        <v>453040</v>
      </c>
      <c r="G44" s="30"/>
      <c r="I44" s="13"/>
      <c r="J44" s="13"/>
    </row>
    <row r="45" spans="1:10" s="2" customFormat="1" ht="12.75" customHeight="1" x14ac:dyDescent="0.2">
      <c r="A45" s="89">
        <v>45072</v>
      </c>
      <c r="B45" s="91" t="s">
        <v>11</v>
      </c>
      <c r="C45" s="76" t="s">
        <v>57</v>
      </c>
      <c r="D45" s="116" t="s">
        <v>29</v>
      </c>
      <c r="E45" s="31"/>
      <c r="F45" s="2">
        <v>3600000</v>
      </c>
      <c r="G45" s="30"/>
      <c r="I45" s="13"/>
      <c r="J45" s="13"/>
    </row>
    <row r="46" spans="1:10" s="2" customFormat="1" ht="12.75" customHeight="1" x14ac:dyDescent="0.2">
      <c r="A46" s="89">
        <v>45072</v>
      </c>
      <c r="B46" s="91" t="s">
        <v>11</v>
      </c>
      <c r="C46" s="76" t="s">
        <v>62</v>
      </c>
      <c r="D46" s="116" t="s">
        <v>29</v>
      </c>
      <c r="E46" s="31"/>
      <c r="F46" s="2">
        <v>10000</v>
      </c>
      <c r="G46" s="30"/>
      <c r="I46" s="13"/>
      <c r="J46" s="13"/>
    </row>
    <row r="47" spans="1:10" s="2" customFormat="1" ht="12.75" customHeight="1" x14ac:dyDescent="0.2">
      <c r="A47" s="89">
        <v>45072</v>
      </c>
      <c r="B47" s="91" t="s">
        <v>11</v>
      </c>
      <c r="C47" s="76" t="s">
        <v>34</v>
      </c>
      <c r="D47" s="116" t="s">
        <v>29</v>
      </c>
      <c r="E47" s="31"/>
      <c r="F47" s="2">
        <v>35000</v>
      </c>
      <c r="G47" s="30"/>
      <c r="I47" s="13"/>
      <c r="J47" s="13"/>
    </row>
    <row r="48" spans="1:10" s="2" customFormat="1" ht="12.75" customHeight="1" x14ac:dyDescent="0.2">
      <c r="A48" s="89">
        <v>45072</v>
      </c>
      <c r="B48" s="91" t="s">
        <v>11</v>
      </c>
      <c r="C48" s="76" t="s">
        <v>195</v>
      </c>
      <c r="D48" s="116" t="s">
        <v>29</v>
      </c>
      <c r="E48" s="31"/>
      <c r="F48" s="2">
        <v>2200</v>
      </c>
      <c r="G48" s="30"/>
      <c r="I48" s="13"/>
      <c r="J48" s="13"/>
    </row>
    <row r="49" spans="1:14" s="2" customFormat="1" ht="12.75" customHeight="1" x14ac:dyDescent="0.2">
      <c r="A49" s="89">
        <v>45072</v>
      </c>
      <c r="B49" s="91" t="s">
        <v>11</v>
      </c>
      <c r="C49" s="76" t="s">
        <v>774</v>
      </c>
      <c r="D49" s="116" t="s">
        <v>29</v>
      </c>
      <c r="E49" s="31"/>
      <c r="F49" s="2">
        <v>65558.990000000005</v>
      </c>
      <c r="G49" s="30"/>
      <c r="I49" s="13"/>
      <c r="J49" s="13"/>
    </row>
    <row r="50" spans="1:14" s="2" customFormat="1" ht="12.75" customHeight="1" x14ac:dyDescent="0.2">
      <c r="A50" s="89">
        <v>45072</v>
      </c>
      <c r="B50" s="91" t="s">
        <v>11</v>
      </c>
      <c r="C50" s="76" t="s">
        <v>140</v>
      </c>
      <c r="D50" s="116" t="s">
        <v>29</v>
      </c>
      <c r="E50" s="31"/>
      <c r="F50" s="2">
        <v>3523046</v>
      </c>
      <c r="G50" s="30"/>
      <c r="I50" s="13"/>
      <c r="J50" s="13"/>
    </row>
    <row r="51" spans="1:14" s="2" customFormat="1" ht="12.75" customHeight="1" x14ac:dyDescent="0.2">
      <c r="A51" s="89">
        <v>45072</v>
      </c>
      <c r="B51" s="91" t="s">
        <v>11</v>
      </c>
      <c r="C51" s="76" t="s">
        <v>424</v>
      </c>
      <c r="D51" s="116" t="s">
        <v>29</v>
      </c>
      <c r="E51" s="31"/>
      <c r="F51" s="2">
        <v>42362</v>
      </c>
      <c r="G51" s="30"/>
      <c r="I51" s="13"/>
      <c r="J51" s="13"/>
    </row>
    <row r="52" spans="1:14" s="2" customFormat="1" ht="12.75" customHeight="1" x14ac:dyDescent="0.2">
      <c r="A52" s="89">
        <v>45072</v>
      </c>
      <c r="B52" s="91" t="s">
        <v>11</v>
      </c>
      <c r="C52" s="76" t="s">
        <v>156</v>
      </c>
      <c r="D52" s="116" t="s">
        <v>29</v>
      </c>
      <c r="E52" s="31"/>
      <c r="F52" s="2">
        <v>1255.45</v>
      </c>
      <c r="G52" s="30"/>
      <c r="I52" s="13"/>
      <c r="J52" s="13"/>
    </row>
    <row r="53" spans="1:14" s="2" customFormat="1" ht="12.75" customHeight="1" x14ac:dyDescent="0.2">
      <c r="A53" s="89">
        <v>45072</v>
      </c>
      <c r="B53" s="91" t="s">
        <v>11</v>
      </c>
      <c r="C53" s="76" t="s">
        <v>1016</v>
      </c>
      <c r="D53" s="116" t="s">
        <v>29</v>
      </c>
      <c r="E53" s="31"/>
      <c r="F53" s="2">
        <v>2474705.11</v>
      </c>
      <c r="G53" s="30"/>
      <c r="I53" s="13"/>
      <c r="J53" s="13"/>
      <c r="K53" s="25" t="s">
        <v>779</v>
      </c>
    </row>
    <row r="54" spans="1:14" s="2" customFormat="1" ht="12.75" customHeight="1" x14ac:dyDescent="0.25">
      <c r="A54" s="32"/>
      <c r="B54" s="33"/>
      <c r="C54" s="14"/>
      <c r="D54" s="34"/>
      <c r="E54" s="16">
        <f>SUM(E12:E53)</f>
        <v>16724585.040000001</v>
      </c>
      <c r="F54" s="16">
        <f>SUM(F12:F53)</f>
        <v>319860905.71999991</v>
      </c>
      <c r="G54" s="30"/>
      <c r="H54" s="1"/>
      <c r="I54" s="39">
        <v>303136320.68000001</v>
      </c>
      <c r="K54" s="92">
        <f>E55-I54</f>
        <v>0</v>
      </c>
      <c r="L54" s="41"/>
      <c r="M54" s="42">
        <f>J54-K54</f>
        <v>0</v>
      </c>
      <c r="N54" s="1"/>
    </row>
    <row r="55" spans="1:14" s="2" customFormat="1" x14ac:dyDescent="0.2">
      <c r="A55" s="36"/>
      <c r="B55" s="28" t="s">
        <v>11</v>
      </c>
      <c r="C55" s="19" t="s">
        <v>65</v>
      </c>
      <c r="D55" s="37"/>
      <c r="E55" s="38">
        <f>F54-E54</f>
        <v>303136320.67999989</v>
      </c>
      <c r="F55" s="22"/>
      <c r="G55" s="1"/>
      <c r="H55" s="1"/>
      <c r="J55" s="1"/>
      <c r="K55" s="1"/>
      <c r="L55" s="1"/>
      <c r="M55" s="1"/>
      <c r="N55" s="1"/>
    </row>
    <row r="56" spans="1:14" x14ac:dyDescent="0.2">
      <c r="A56" s="36"/>
      <c r="B56" s="28" t="s">
        <v>66</v>
      </c>
      <c r="C56" s="43" t="s">
        <v>67</v>
      </c>
      <c r="D56" s="43"/>
      <c r="E56" s="12">
        <f>29316181+4610900</f>
        <v>33927081</v>
      </c>
      <c r="F56" s="22"/>
      <c r="H56" s="40"/>
      <c r="I56" s="45">
        <v>3096.09</v>
      </c>
      <c r="J56" s="46"/>
      <c r="K56" s="46"/>
      <c r="L56" s="13"/>
      <c r="M56" s="2"/>
      <c r="N56" s="2"/>
    </row>
    <row r="57" spans="1:14" ht="15" x14ac:dyDescent="0.25">
      <c r="A57" s="36"/>
      <c r="B57" s="28"/>
      <c r="C57" s="44" t="s">
        <v>68</v>
      </c>
      <c r="D57" s="43"/>
      <c r="E57" s="7">
        <f>E55+E56</f>
        <v>337063401.67999989</v>
      </c>
      <c r="F57" s="22"/>
      <c r="H57" s="103" t="s">
        <v>69</v>
      </c>
      <c r="I57" s="45">
        <v>-231.71</v>
      </c>
      <c r="J57" s="46"/>
      <c r="K57" s="46"/>
      <c r="L57" s="2"/>
      <c r="M57" s="2"/>
      <c r="N57" s="2"/>
    </row>
    <row r="58" spans="1:14" s="2" customFormat="1" x14ac:dyDescent="0.2">
      <c r="A58" s="24"/>
      <c r="B58" s="1"/>
      <c r="C58" s="14"/>
      <c r="D58" s="25"/>
      <c r="E58" s="1"/>
      <c r="H58" s="35" t="s">
        <v>70</v>
      </c>
      <c r="I58" s="45">
        <v>100</v>
      </c>
      <c r="J58" s="46">
        <f>+I59-D61</f>
        <v>0</v>
      </c>
      <c r="M58" s="2">
        <v>19.57</v>
      </c>
      <c r="N58" s="2" t="s">
        <v>535</v>
      </c>
    </row>
    <row r="59" spans="1:14" s="2" customFormat="1" x14ac:dyDescent="0.2">
      <c r="A59" s="24"/>
      <c r="B59" s="1"/>
      <c r="C59" s="56"/>
      <c r="D59" s="56"/>
      <c r="E59" s="104"/>
      <c r="G59" s="1"/>
      <c r="I59" s="49">
        <f>SUM(I56:I58)</f>
        <v>2964.38</v>
      </c>
      <c r="J59" s="46"/>
      <c r="K59" s="46"/>
    </row>
    <row r="60" spans="1:14" s="2" customFormat="1" x14ac:dyDescent="0.2">
      <c r="A60" s="24"/>
      <c r="B60" s="1"/>
      <c r="C60" s="78" t="s">
        <v>575</v>
      </c>
      <c r="D60" s="48" t="s">
        <v>576</v>
      </c>
      <c r="E60" s="104"/>
      <c r="G60" s="1"/>
    </row>
    <row r="61" spans="1:14" s="2" customFormat="1" x14ac:dyDescent="0.2">
      <c r="A61" s="24"/>
      <c r="B61" s="1"/>
      <c r="C61" s="47" t="s">
        <v>570</v>
      </c>
      <c r="D61" s="111">
        <v>2964.38</v>
      </c>
      <c r="E61" s="104"/>
      <c r="G61" s="1"/>
      <c r="H61" s="110" t="s">
        <v>581</v>
      </c>
    </row>
    <row r="62" spans="1:14" s="2" customFormat="1" x14ac:dyDescent="0.2">
      <c r="A62" s="24"/>
      <c r="B62" s="1"/>
      <c r="C62" s="47" t="s">
        <v>931</v>
      </c>
      <c r="D62" s="111">
        <v>443.13</v>
      </c>
      <c r="E62" s="104"/>
      <c r="G62" s="1"/>
      <c r="H62" s="110" t="s">
        <v>580</v>
      </c>
    </row>
    <row r="63" spans="1:14" s="2" customFormat="1" x14ac:dyDescent="0.2">
      <c r="A63" s="24"/>
      <c r="B63" s="1"/>
      <c r="C63" s="47" t="s">
        <v>572</v>
      </c>
      <c r="D63" s="111">
        <f>+D115/100000</f>
        <v>724.80415000000005</v>
      </c>
      <c r="E63" s="104"/>
      <c r="G63" s="1"/>
      <c r="H63" s="90" t="s">
        <v>587</v>
      </c>
    </row>
    <row r="64" spans="1:14" s="2" customFormat="1" x14ac:dyDescent="0.2">
      <c r="A64" s="24"/>
      <c r="B64" s="1"/>
      <c r="C64" s="108" t="s">
        <v>578</v>
      </c>
      <c r="D64" s="48">
        <f>SUM(D61:D63)</f>
        <v>4132.3141500000002</v>
      </c>
      <c r="E64" s="104"/>
      <c r="G64" s="1"/>
    </row>
    <row r="65" spans="1:13" s="2" customFormat="1" x14ac:dyDescent="0.2">
      <c r="A65" s="24"/>
      <c r="B65" s="1"/>
      <c r="C65" s="47"/>
      <c r="D65" s="107"/>
      <c r="E65" s="104"/>
      <c r="G65" s="1"/>
    </row>
    <row r="66" spans="1:13" s="2" customFormat="1" x14ac:dyDescent="0.2">
      <c r="A66" s="24"/>
      <c r="B66" s="1"/>
      <c r="C66" s="47" t="s">
        <v>932</v>
      </c>
      <c r="D66" s="111">
        <v>619.48</v>
      </c>
      <c r="E66" s="104"/>
      <c r="G66" s="1"/>
      <c r="H66" s="110" t="s">
        <v>581</v>
      </c>
    </row>
    <row r="67" spans="1:13" s="2" customFormat="1" x14ac:dyDescent="0.2">
      <c r="A67" s="24"/>
      <c r="B67" s="1"/>
      <c r="C67" s="47" t="s">
        <v>933</v>
      </c>
      <c r="D67" s="111">
        <f>620.56-14.66</f>
        <v>605.9</v>
      </c>
      <c r="E67" s="104"/>
      <c r="G67" s="1"/>
      <c r="H67" s="110" t="s">
        <v>581</v>
      </c>
      <c r="J67" s="114" t="s">
        <v>713</v>
      </c>
    </row>
    <row r="68" spans="1:13" s="2" customFormat="1" x14ac:dyDescent="0.2">
      <c r="A68" s="24"/>
      <c r="B68" s="1"/>
      <c r="C68" s="78" t="s">
        <v>579</v>
      </c>
      <c r="D68" s="109">
        <f>D66+D67</f>
        <v>1225.3800000000001</v>
      </c>
      <c r="E68" s="104"/>
      <c r="G68" s="1"/>
      <c r="I68" s="113"/>
      <c r="J68" s="113" t="s">
        <v>709</v>
      </c>
      <c r="K68" s="113" t="s">
        <v>710</v>
      </c>
      <c r="L68" s="113" t="s">
        <v>711</v>
      </c>
      <c r="M68" s="113" t="s">
        <v>712</v>
      </c>
    </row>
    <row r="69" spans="1:13" s="2" customFormat="1" x14ac:dyDescent="0.2">
      <c r="A69" s="24"/>
      <c r="B69" s="1"/>
      <c r="C69" s="105"/>
      <c r="D69" s="106"/>
      <c r="E69" s="104"/>
      <c r="G69" s="1"/>
      <c r="I69" s="113" t="s">
        <v>706</v>
      </c>
      <c r="J69" s="115"/>
      <c r="K69" s="115">
        <v>968.99</v>
      </c>
      <c r="L69" s="115">
        <v>968.99</v>
      </c>
      <c r="M69" s="113">
        <f>+J69+L69-K69</f>
        <v>0</v>
      </c>
    </row>
    <row r="70" spans="1:13" s="2" customFormat="1" x14ac:dyDescent="0.2">
      <c r="A70" s="24"/>
      <c r="B70" s="1"/>
      <c r="C70" s="78" t="s">
        <v>577</v>
      </c>
      <c r="D70" s="109">
        <f>D61+D68</f>
        <v>4189.76</v>
      </c>
      <c r="E70" s="104"/>
      <c r="G70" s="1"/>
      <c r="I70" s="113" t="s">
        <v>707</v>
      </c>
      <c r="J70" s="115">
        <v>183.1</v>
      </c>
      <c r="K70" s="115">
        <v>1960.52</v>
      </c>
      <c r="L70" s="115">
        <v>2792.81</v>
      </c>
      <c r="M70" s="113">
        <f>+J70+L70-K70</f>
        <v>1015.3899999999999</v>
      </c>
    </row>
    <row r="71" spans="1:13" s="2" customFormat="1" x14ac:dyDescent="0.2">
      <c r="A71" s="24"/>
      <c r="B71" s="1"/>
      <c r="C71" s="56"/>
      <c r="D71" s="56"/>
      <c r="E71" s="104"/>
      <c r="G71" s="1"/>
      <c r="I71" s="113" t="s">
        <v>708</v>
      </c>
      <c r="J71" s="115">
        <v>1371.02</v>
      </c>
      <c r="K71" s="115">
        <v>11421.27</v>
      </c>
      <c r="L71" s="115">
        <v>11591.93</v>
      </c>
      <c r="M71" s="113">
        <f>+J71+L71-K71</f>
        <v>1541.6800000000003</v>
      </c>
    </row>
    <row r="72" spans="1:13" s="2" customFormat="1" ht="38.25" x14ac:dyDescent="0.2">
      <c r="A72" s="24"/>
      <c r="B72" s="1"/>
      <c r="C72" s="79" t="str">
        <f>"Particulars ( 01-04-2021 to "&amp;TEXT(A5,"dd-mm-yyyy")&amp;" )"</f>
        <v>Particulars ( 01-04-2021 to 26-05-2023 )</v>
      </c>
      <c r="D72" s="80" t="s">
        <v>73</v>
      </c>
      <c r="E72" s="80" t="s">
        <v>74</v>
      </c>
      <c r="F72" s="81" t="s">
        <v>75</v>
      </c>
      <c r="G72" s="80" t="s">
        <v>76</v>
      </c>
      <c r="J72" s="118">
        <f>SUM(J69:J71)</f>
        <v>1554.12</v>
      </c>
      <c r="K72" s="118">
        <f>SUM(K69:K71)</f>
        <v>14350.78</v>
      </c>
      <c r="L72" s="118">
        <f>SUM(L69:L71)</f>
        <v>15353.73</v>
      </c>
      <c r="M72" s="118">
        <f>SUM(M69:M71)</f>
        <v>2557.0700000000002</v>
      </c>
    </row>
    <row r="73" spans="1:13" s="2" customFormat="1" x14ac:dyDescent="0.2">
      <c r="A73" s="24"/>
      <c r="B73" s="1"/>
      <c r="C73" s="50" t="s">
        <v>444</v>
      </c>
      <c r="D73" s="55">
        <f>+L69+L70+J70</f>
        <v>3944.9</v>
      </c>
      <c r="E73" s="55">
        <f>+K69+K70</f>
        <v>2929.51</v>
      </c>
      <c r="F73" s="55">
        <f>+D73-E73</f>
        <v>1015.3899999999999</v>
      </c>
      <c r="G73" s="55">
        <f>1500-F73</f>
        <v>484.61000000000013</v>
      </c>
      <c r="H73" s="2" t="s">
        <v>396</v>
      </c>
    </row>
    <row r="74" spans="1:13" s="2" customFormat="1" x14ac:dyDescent="0.2">
      <c r="A74" s="24"/>
      <c r="B74" s="1"/>
      <c r="C74" s="50" t="s">
        <v>71</v>
      </c>
      <c r="D74" s="55">
        <f>+J71+L71</f>
        <v>12962.95</v>
      </c>
      <c r="E74" s="55">
        <f>+K71</f>
        <v>11421.27</v>
      </c>
      <c r="F74" s="55">
        <f>+D74-E74</f>
        <v>1541.6800000000003</v>
      </c>
      <c r="G74" s="55">
        <f>1500+700-F74</f>
        <v>658.31999999999971</v>
      </c>
      <c r="H74" s="2" t="s">
        <v>396</v>
      </c>
    </row>
    <row r="75" spans="1:13" s="2" customFormat="1" x14ac:dyDescent="0.2">
      <c r="A75" s="24"/>
      <c r="B75" s="1"/>
      <c r="C75" s="14"/>
      <c r="D75" s="56"/>
      <c r="E75" s="13"/>
      <c r="G75" s="1"/>
    </row>
    <row r="76" spans="1:13" s="2" customFormat="1" x14ac:dyDescent="0.2">
      <c r="A76" s="215" t="s">
        <v>80</v>
      </c>
      <c r="B76" s="216"/>
      <c r="C76" s="216"/>
      <c r="D76" s="217"/>
      <c r="E76" s="69"/>
      <c r="F76" s="70"/>
      <c r="G76" s="1"/>
      <c r="H76" s="53"/>
    </row>
    <row r="77" spans="1:13" s="2" customFormat="1" x14ac:dyDescent="0.2">
      <c r="A77" s="71" t="s">
        <v>81</v>
      </c>
      <c r="B77" s="71"/>
      <c r="C77" s="72" t="s">
        <v>82</v>
      </c>
      <c r="D77" s="73" t="s">
        <v>83</v>
      </c>
      <c r="E77" s="69"/>
      <c r="F77" s="70"/>
      <c r="H77" s="53"/>
    </row>
    <row r="78" spans="1:13" s="2" customFormat="1" x14ac:dyDescent="0.2">
      <c r="A78" s="87">
        <v>45050</v>
      </c>
      <c r="B78" s="120" t="s">
        <v>6</v>
      </c>
      <c r="C78" s="75" t="s">
        <v>282</v>
      </c>
      <c r="D78" s="88">
        <v>1562637</v>
      </c>
      <c r="G78" s="1"/>
      <c r="L78" s="1"/>
      <c r="M78" s="1"/>
    </row>
    <row r="79" spans="1:13" s="2" customFormat="1" x14ac:dyDescent="0.2">
      <c r="A79" s="87">
        <v>45050</v>
      </c>
      <c r="B79" s="120" t="s">
        <v>6</v>
      </c>
      <c r="C79" s="75" t="s">
        <v>86</v>
      </c>
      <c r="D79" s="88">
        <v>2499321</v>
      </c>
      <c r="G79" s="1"/>
      <c r="L79" s="1"/>
      <c r="M79" s="1"/>
    </row>
    <row r="80" spans="1:13" s="2" customFormat="1" x14ac:dyDescent="0.2">
      <c r="A80" s="87">
        <v>45050</v>
      </c>
      <c r="B80" s="120" t="s">
        <v>6</v>
      </c>
      <c r="C80" s="75" t="s">
        <v>86</v>
      </c>
      <c r="D80" s="88">
        <v>6876102</v>
      </c>
      <c r="G80" s="1"/>
      <c r="L80" s="1"/>
      <c r="M80" s="1"/>
    </row>
    <row r="81" spans="1:13" s="2" customFormat="1" x14ac:dyDescent="0.2">
      <c r="A81" s="87">
        <v>45052</v>
      </c>
      <c r="B81" s="120" t="s">
        <v>6</v>
      </c>
      <c r="C81" s="75" t="s">
        <v>270</v>
      </c>
      <c r="D81" s="88">
        <v>1124141</v>
      </c>
      <c r="G81" s="1"/>
      <c r="L81" s="1"/>
      <c r="M81" s="1"/>
    </row>
    <row r="82" spans="1:13" s="2" customFormat="1" x14ac:dyDescent="0.2">
      <c r="A82" s="87">
        <v>45054</v>
      </c>
      <c r="B82" s="120" t="s">
        <v>6</v>
      </c>
      <c r="C82" s="75" t="s">
        <v>271</v>
      </c>
      <c r="D82" s="88">
        <v>476726</v>
      </c>
      <c r="G82" s="1"/>
      <c r="L82" s="1"/>
      <c r="M82" s="1"/>
    </row>
    <row r="83" spans="1:13" s="2" customFormat="1" x14ac:dyDescent="0.2">
      <c r="A83" s="87">
        <v>45054</v>
      </c>
      <c r="B83" s="120" t="s">
        <v>6</v>
      </c>
      <c r="C83" s="75" t="s">
        <v>271</v>
      </c>
      <c r="D83" s="88">
        <v>926688</v>
      </c>
      <c r="G83" s="1"/>
      <c r="L83" s="1"/>
      <c r="M83" s="1"/>
    </row>
    <row r="84" spans="1:13" s="2" customFormat="1" x14ac:dyDescent="0.2">
      <c r="A84" s="87">
        <v>45054</v>
      </c>
      <c r="B84" s="120" t="s">
        <v>6</v>
      </c>
      <c r="C84" s="75" t="s">
        <v>606</v>
      </c>
      <c r="D84" s="88">
        <v>1844917</v>
      </c>
      <c r="G84" s="1"/>
      <c r="L84" s="1"/>
      <c r="M84" s="1"/>
    </row>
    <row r="85" spans="1:13" s="2" customFormat="1" x14ac:dyDescent="0.2">
      <c r="A85" s="87">
        <v>45054</v>
      </c>
      <c r="B85" s="120" t="s">
        <v>6</v>
      </c>
      <c r="C85" s="75" t="s">
        <v>271</v>
      </c>
      <c r="D85" s="88">
        <v>1640794</v>
      </c>
      <c r="G85" s="1"/>
      <c r="L85" s="1"/>
      <c r="M85" s="1"/>
    </row>
    <row r="86" spans="1:13" s="2" customFormat="1" x14ac:dyDescent="0.2">
      <c r="A86" s="87">
        <v>45055</v>
      </c>
      <c r="B86" s="120" t="s">
        <v>6</v>
      </c>
      <c r="C86" s="75" t="s">
        <v>84</v>
      </c>
      <c r="D86" s="88">
        <v>2000000</v>
      </c>
      <c r="G86" s="1"/>
      <c r="L86" s="1"/>
      <c r="M86" s="1"/>
    </row>
    <row r="87" spans="1:13" s="2" customFormat="1" x14ac:dyDescent="0.2">
      <c r="A87" s="87">
        <v>45055</v>
      </c>
      <c r="B87" s="120" t="s">
        <v>6</v>
      </c>
      <c r="C87" s="75" t="s">
        <v>87</v>
      </c>
      <c r="D87" s="88">
        <v>2540563</v>
      </c>
      <c r="G87" s="1"/>
      <c r="L87" s="1"/>
      <c r="M87" s="1"/>
    </row>
    <row r="88" spans="1:13" s="2" customFormat="1" x14ac:dyDescent="0.2">
      <c r="A88" s="87">
        <v>45055</v>
      </c>
      <c r="B88" s="120" t="s">
        <v>6</v>
      </c>
      <c r="C88" s="75" t="s">
        <v>767</v>
      </c>
      <c r="D88" s="88">
        <v>950137</v>
      </c>
      <c r="G88" s="1"/>
      <c r="L88" s="1"/>
      <c r="M88" s="1"/>
    </row>
    <row r="89" spans="1:13" s="2" customFormat="1" x14ac:dyDescent="0.2">
      <c r="A89" s="87">
        <v>45056</v>
      </c>
      <c r="B89" s="120" t="s">
        <v>6</v>
      </c>
      <c r="C89" s="75" t="s">
        <v>271</v>
      </c>
      <c r="D89" s="88">
        <v>242417</v>
      </c>
      <c r="G89" s="1"/>
      <c r="L89" s="1"/>
      <c r="M89" s="1"/>
    </row>
    <row r="90" spans="1:13" s="2" customFormat="1" x14ac:dyDescent="0.2">
      <c r="A90" s="87">
        <v>45056</v>
      </c>
      <c r="B90" s="120" t="s">
        <v>6</v>
      </c>
      <c r="C90" s="75" t="s">
        <v>271</v>
      </c>
      <c r="D90" s="88">
        <v>674909</v>
      </c>
      <c r="G90" s="1"/>
      <c r="L90" s="1"/>
      <c r="M90" s="1"/>
    </row>
    <row r="91" spans="1:13" s="2" customFormat="1" x14ac:dyDescent="0.2">
      <c r="A91" s="87">
        <v>45056</v>
      </c>
      <c r="B91" s="120" t="s">
        <v>6</v>
      </c>
      <c r="C91" s="75" t="s">
        <v>271</v>
      </c>
      <c r="D91" s="88">
        <v>969371</v>
      </c>
      <c r="G91" s="1"/>
      <c r="L91" s="1"/>
      <c r="M91" s="1"/>
    </row>
    <row r="92" spans="1:13" s="2" customFormat="1" x14ac:dyDescent="0.2">
      <c r="A92" s="87">
        <v>45058</v>
      </c>
      <c r="B92" s="120" t="s">
        <v>6</v>
      </c>
      <c r="C92" s="75" t="s">
        <v>271</v>
      </c>
      <c r="D92" s="88">
        <v>650439</v>
      </c>
      <c r="G92" s="1"/>
      <c r="L92" s="1"/>
      <c r="M92" s="1"/>
    </row>
    <row r="93" spans="1:13" s="2" customFormat="1" x14ac:dyDescent="0.2">
      <c r="A93" s="87">
        <v>45058</v>
      </c>
      <c r="B93" s="120" t="s">
        <v>6</v>
      </c>
      <c r="C93" s="75" t="s">
        <v>271</v>
      </c>
      <c r="D93" s="88">
        <v>432067</v>
      </c>
      <c r="G93" s="1"/>
      <c r="L93" s="1"/>
      <c r="M93" s="1"/>
    </row>
    <row r="94" spans="1:13" s="2" customFormat="1" x14ac:dyDescent="0.2">
      <c r="A94" s="87">
        <v>45058</v>
      </c>
      <c r="B94" s="120" t="s">
        <v>6</v>
      </c>
      <c r="C94" s="75" t="s">
        <v>271</v>
      </c>
      <c r="D94" s="88">
        <v>412906</v>
      </c>
      <c r="G94" s="1"/>
      <c r="L94" s="1"/>
      <c r="M94" s="1"/>
    </row>
    <row r="95" spans="1:13" s="2" customFormat="1" x14ac:dyDescent="0.2">
      <c r="A95" s="87">
        <v>45061</v>
      </c>
      <c r="B95" s="120" t="s">
        <v>6</v>
      </c>
      <c r="C95" s="75" t="s">
        <v>282</v>
      </c>
      <c r="D95" s="88">
        <v>7500000</v>
      </c>
      <c r="G95" s="1"/>
      <c r="L95" s="1"/>
      <c r="M95" s="1"/>
    </row>
    <row r="96" spans="1:13" s="2" customFormat="1" x14ac:dyDescent="0.2">
      <c r="A96" s="87">
        <v>45062</v>
      </c>
      <c r="B96" s="120" t="s">
        <v>6</v>
      </c>
      <c r="C96" s="75" t="s">
        <v>86</v>
      </c>
      <c r="D96" s="88">
        <v>3769130</v>
      </c>
      <c r="G96" s="1"/>
      <c r="L96" s="1"/>
      <c r="M96" s="1"/>
    </row>
    <row r="97" spans="1:13" s="2" customFormat="1" x14ac:dyDescent="0.2">
      <c r="A97" s="87">
        <v>45063</v>
      </c>
      <c r="B97" s="120" t="s">
        <v>6</v>
      </c>
      <c r="C97" s="75" t="s">
        <v>84</v>
      </c>
      <c r="D97" s="88">
        <v>5033848</v>
      </c>
      <c r="G97" s="1"/>
      <c r="L97" s="1"/>
      <c r="M97" s="1"/>
    </row>
    <row r="98" spans="1:13" s="2" customFormat="1" x14ac:dyDescent="0.2">
      <c r="A98" s="87">
        <v>45065</v>
      </c>
      <c r="B98" s="120" t="s">
        <v>6</v>
      </c>
      <c r="C98" s="75" t="s">
        <v>594</v>
      </c>
      <c r="D98" s="88">
        <v>6001798</v>
      </c>
      <c r="G98" s="1"/>
      <c r="L98" s="1"/>
      <c r="M98" s="1"/>
    </row>
    <row r="99" spans="1:13" s="2" customFormat="1" x14ac:dyDescent="0.2">
      <c r="A99" s="87">
        <v>45065</v>
      </c>
      <c r="B99" s="120" t="s">
        <v>6</v>
      </c>
      <c r="C99" s="75" t="s">
        <v>594</v>
      </c>
      <c r="D99" s="88">
        <v>9126</v>
      </c>
      <c r="G99" s="1"/>
      <c r="L99" s="1"/>
      <c r="M99" s="1"/>
    </row>
    <row r="100" spans="1:13" s="2" customFormat="1" x14ac:dyDescent="0.2">
      <c r="A100" s="87">
        <v>45066</v>
      </c>
      <c r="B100" s="120" t="s">
        <v>6</v>
      </c>
      <c r="C100" s="75" t="s">
        <v>271</v>
      </c>
      <c r="D100" s="88">
        <v>231880</v>
      </c>
      <c r="G100" s="1"/>
      <c r="L100" s="1"/>
      <c r="M100" s="1"/>
    </row>
    <row r="101" spans="1:13" s="2" customFormat="1" x14ac:dyDescent="0.2">
      <c r="A101" s="87">
        <v>45066</v>
      </c>
      <c r="B101" s="120" t="s">
        <v>6</v>
      </c>
      <c r="C101" s="75" t="s">
        <v>271</v>
      </c>
      <c r="D101" s="88">
        <v>1166054</v>
      </c>
      <c r="G101" s="1"/>
      <c r="L101" s="1"/>
      <c r="M101" s="1"/>
    </row>
    <row r="102" spans="1:13" s="2" customFormat="1" x14ac:dyDescent="0.2">
      <c r="A102" s="87">
        <v>45066</v>
      </c>
      <c r="B102" s="120" t="s">
        <v>6</v>
      </c>
      <c r="C102" s="75" t="s">
        <v>271</v>
      </c>
      <c r="D102" s="88">
        <v>197868</v>
      </c>
      <c r="G102" s="1"/>
      <c r="L102" s="1"/>
      <c r="M102" s="1"/>
    </row>
    <row r="103" spans="1:13" s="2" customFormat="1" x14ac:dyDescent="0.2">
      <c r="A103" s="87">
        <v>45066</v>
      </c>
      <c r="B103" s="120" t="s">
        <v>6</v>
      </c>
      <c r="C103" s="75" t="s">
        <v>271</v>
      </c>
      <c r="D103" s="88">
        <v>411515</v>
      </c>
      <c r="G103" s="1"/>
      <c r="L103" s="1"/>
      <c r="M103" s="1"/>
    </row>
    <row r="104" spans="1:13" s="2" customFormat="1" x14ac:dyDescent="0.2">
      <c r="A104" s="87">
        <v>45066</v>
      </c>
      <c r="B104" s="120" t="s">
        <v>6</v>
      </c>
      <c r="C104" s="75" t="s">
        <v>271</v>
      </c>
      <c r="D104" s="88">
        <v>781035</v>
      </c>
      <c r="G104" s="1"/>
      <c r="L104" s="1"/>
      <c r="M104" s="1"/>
    </row>
    <row r="105" spans="1:13" s="2" customFormat="1" x14ac:dyDescent="0.2">
      <c r="A105" s="87">
        <v>45066</v>
      </c>
      <c r="B105" s="120" t="s">
        <v>6</v>
      </c>
      <c r="C105" s="75" t="s">
        <v>87</v>
      </c>
      <c r="D105" s="88">
        <v>1320555</v>
      </c>
      <c r="G105" s="1"/>
      <c r="L105" s="1"/>
      <c r="M105" s="1"/>
    </row>
    <row r="106" spans="1:13" s="2" customFormat="1" x14ac:dyDescent="0.2">
      <c r="A106" s="87">
        <v>45066</v>
      </c>
      <c r="B106" s="120" t="s">
        <v>6</v>
      </c>
      <c r="C106" s="75" t="s">
        <v>467</v>
      </c>
      <c r="D106" s="88">
        <v>2498439</v>
      </c>
      <c r="G106" s="1"/>
      <c r="L106" s="1"/>
      <c r="M106" s="1"/>
    </row>
    <row r="107" spans="1:13" s="2" customFormat="1" x14ac:dyDescent="0.2">
      <c r="A107" s="87">
        <v>45068</v>
      </c>
      <c r="B107" s="120" t="s">
        <v>6</v>
      </c>
      <c r="C107" s="75" t="s">
        <v>86</v>
      </c>
      <c r="D107" s="88">
        <v>588418</v>
      </c>
      <c r="G107" s="1"/>
      <c r="L107" s="1"/>
      <c r="M107" s="1"/>
    </row>
    <row r="108" spans="1:13" s="2" customFormat="1" x14ac:dyDescent="0.2">
      <c r="A108" s="87">
        <v>45068</v>
      </c>
      <c r="B108" s="120" t="s">
        <v>6</v>
      </c>
      <c r="C108" s="75" t="s">
        <v>86</v>
      </c>
      <c r="D108" s="88">
        <v>6280875</v>
      </c>
      <c r="G108" s="1"/>
      <c r="L108" s="1"/>
      <c r="M108" s="1"/>
    </row>
    <row r="109" spans="1:13" s="2" customFormat="1" x14ac:dyDescent="0.2">
      <c r="A109" s="87">
        <v>45068</v>
      </c>
      <c r="B109" s="120" t="s">
        <v>6</v>
      </c>
      <c r="C109" s="75" t="s">
        <v>86</v>
      </c>
      <c r="D109" s="88">
        <v>1195342</v>
      </c>
      <c r="G109" s="1"/>
      <c r="L109" s="1"/>
      <c r="M109" s="1"/>
    </row>
    <row r="110" spans="1:13" s="2" customFormat="1" x14ac:dyDescent="0.2">
      <c r="A110" s="87">
        <v>45070</v>
      </c>
      <c r="B110" s="120" t="s">
        <v>6</v>
      </c>
      <c r="C110" s="75" t="s">
        <v>784</v>
      </c>
      <c r="D110" s="88">
        <v>734755</v>
      </c>
      <c r="G110" s="1"/>
      <c r="L110" s="1"/>
      <c r="M110" s="1"/>
    </row>
    <row r="111" spans="1:13" s="2" customFormat="1" x14ac:dyDescent="0.2">
      <c r="A111" s="87">
        <v>45070</v>
      </c>
      <c r="B111" s="120" t="s">
        <v>6</v>
      </c>
      <c r="C111" s="75" t="s">
        <v>270</v>
      </c>
      <c r="D111" s="88">
        <v>1147013</v>
      </c>
      <c r="G111" s="1"/>
      <c r="L111" s="1"/>
      <c r="M111" s="1"/>
    </row>
    <row r="112" spans="1:13" s="2" customFormat="1" x14ac:dyDescent="0.2">
      <c r="A112" s="87">
        <v>45070</v>
      </c>
      <c r="B112" s="120" t="s">
        <v>6</v>
      </c>
      <c r="C112" s="75" t="s">
        <v>270</v>
      </c>
      <c r="D112" s="88">
        <v>2489665</v>
      </c>
      <c r="G112" s="1"/>
      <c r="L112" s="1"/>
      <c r="M112" s="1"/>
    </row>
    <row r="113" spans="1:13" s="2" customFormat="1" x14ac:dyDescent="0.2">
      <c r="A113" s="87">
        <v>45070</v>
      </c>
      <c r="B113" s="120" t="s">
        <v>6</v>
      </c>
      <c r="C113" s="75" t="s">
        <v>270</v>
      </c>
      <c r="D113" s="88">
        <v>306124</v>
      </c>
      <c r="G113" s="1"/>
      <c r="L113" s="1"/>
      <c r="M113" s="1"/>
    </row>
    <row r="114" spans="1:13" s="2" customFormat="1" x14ac:dyDescent="0.2">
      <c r="A114" s="87">
        <v>45070</v>
      </c>
      <c r="B114" s="120" t="s">
        <v>6</v>
      </c>
      <c r="C114" s="75" t="s">
        <v>86</v>
      </c>
      <c r="D114" s="88">
        <v>4992840</v>
      </c>
      <c r="G114" s="1"/>
      <c r="L114" s="1"/>
      <c r="M114" s="1"/>
    </row>
    <row r="115" spans="1:13" s="2" customFormat="1" x14ac:dyDescent="0.2">
      <c r="A115" s="87"/>
      <c r="B115" s="74"/>
      <c r="C115" s="75"/>
      <c r="D115" s="51">
        <f>SUM(D78:D114)</f>
        <v>72480415</v>
      </c>
      <c r="F115" s="2" t="s">
        <v>396</v>
      </c>
      <c r="G115" s="1"/>
      <c r="I115" s="1"/>
      <c r="J115" s="1"/>
      <c r="K115" s="1"/>
      <c r="L115" s="1"/>
      <c r="M115" s="1"/>
    </row>
    <row r="116" spans="1:13" s="2" customFormat="1" x14ac:dyDescent="0.2">
      <c r="A116" s="24"/>
      <c r="B116" s="1"/>
      <c r="C116" s="14"/>
      <c r="D116" s="56"/>
      <c r="E116" s="13"/>
      <c r="G116" s="1"/>
    </row>
    <row r="117" spans="1:13" s="2" customFormat="1" x14ac:dyDescent="0.2">
      <c r="A117" s="24"/>
      <c r="B117" s="1"/>
      <c r="C117" s="218" t="s">
        <v>77</v>
      </c>
      <c r="D117" s="219"/>
      <c r="E117" s="219"/>
      <c r="F117" s="220"/>
      <c r="G117" s="54"/>
      <c r="I117" s="1"/>
      <c r="J117" s="1"/>
      <c r="K117" s="1"/>
      <c r="L117" s="1"/>
      <c r="M117" s="1"/>
    </row>
    <row r="118" spans="1:13" s="2" customFormat="1" x14ac:dyDescent="0.2">
      <c r="A118" s="24"/>
      <c r="B118" s="1"/>
      <c r="C118" s="50"/>
      <c r="D118" s="57" t="s">
        <v>78</v>
      </c>
      <c r="E118" s="58" t="s">
        <v>79</v>
      </c>
      <c r="F118" s="57" t="s">
        <v>72</v>
      </c>
      <c r="G118" s="54"/>
      <c r="I118" s="1"/>
      <c r="J118" s="1"/>
      <c r="K118" s="1"/>
      <c r="L118" s="1"/>
      <c r="M118" s="1"/>
    </row>
    <row r="119" spans="1:13" s="2" customFormat="1" x14ac:dyDescent="0.2">
      <c r="A119" s="24"/>
      <c r="B119" s="1"/>
      <c r="C119" s="59" t="str">
        <f>"01-05-2023 to "&amp;TEXT(A5-2,"dd-mm-yyyy")</f>
        <v>01-05-2023 to 24-05-2023</v>
      </c>
      <c r="D119" s="60">
        <v>3498.08</v>
      </c>
      <c r="E119" s="60">
        <v>301.25</v>
      </c>
      <c r="F119" s="61">
        <f>SUM(D119:E119)</f>
        <v>3799.33</v>
      </c>
      <c r="G119" s="54"/>
      <c r="I119" s="1"/>
      <c r="J119" s="1"/>
      <c r="K119" s="1"/>
      <c r="L119" s="1"/>
      <c r="M119" s="1"/>
    </row>
    <row r="120" spans="1:13" s="2" customFormat="1" x14ac:dyDescent="0.2">
      <c r="A120" s="24"/>
      <c r="B120" s="1"/>
      <c r="C120" s="62" t="str">
        <f>TEXT(A5-1,"dd-mm-yyyy")</f>
        <v>25-05-2023</v>
      </c>
      <c r="D120" s="60">
        <v>211.95</v>
      </c>
      <c r="E120" s="60">
        <v>12.33</v>
      </c>
      <c r="F120" s="61">
        <f>SUM(D120:E120)</f>
        <v>224.28</v>
      </c>
      <c r="G120" s="54"/>
      <c r="I120" s="1"/>
      <c r="J120" s="1"/>
      <c r="K120" s="1"/>
      <c r="L120" s="1"/>
      <c r="M120" s="1"/>
    </row>
    <row r="121" spans="1:13" ht="13.5" thickBot="1" x14ac:dyDescent="0.25">
      <c r="C121" s="63" t="str">
        <f>"01-05-2023 to "&amp;TEXT(A5-1,"dd-mm-yyyy")</f>
        <v>01-05-2023 to 25-05-2023</v>
      </c>
      <c r="D121" s="64">
        <f>SUM(D119:D120)</f>
        <v>3710.0299999999997</v>
      </c>
      <c r="E121" s="64">
        <f>SUM(E119:E120)</f>
        <v>313.58</v>
      </c>
      <c r="F121" s="64">
        <f>SUM(F119:F120)</f>
        <v>4023.61</v>
      </c>
      <c r="G121" s="54"/>
      <c r="H121" s="2" t="s">
        <v>396</v>
      </c>
    </row>
    <row r="122" spans="1:13" s="2" customFormat="1" ht="13.5" thickTop="1" x14ac:dyDescent="0.2">
      <c r="A122" s="24"/>
      <c r="B122" s="1"/>
      <c r="C122" s="62"/>
      <c r="D122" s="65"/>
      <c r="E122" s="66"/>
      <c r="F122" s="67"/>
      <c r="G122" s="54"/>
      <c r="H122" s="53"/>
    </row>
    <row r="123" spans="1:13" x14ac:dyDescent="0.2">
      <c r="C123" s="62" t="str">
        <f>"01-04-2023 to " &amp;C120</f>
        <v>01-04-2023 to 25-05-2023</v>
      </c>
      <c r="D123" s="68">
        <f>+D121+4343.67</f>
        <v>8053.7</v>
      </c>
      <c r="E123" s="68">
        <f>+E121+536.17</f>
        <v>849.75</v>
      </c>
      <c r="F123" s="68">
        <f>+F121+4879.84</f>
        <v>8903.4500000000007</v>
      </c>
      <c r="G123" s="54"/>
      <c r="H123" s="53" t="s">
        <v>396</v>
      </c>
    </row>
    <row r="124" spans="1:13" x14ac:dyDescent="0.2">
      <c r="C124" s="52"/>
      <c r="D124" s="85"/>
      <c r="E124" s="53"/>
      <c r="F124" s="53"/>
      <c r="G124" s="54"/>
      <c r="H124" s="53" t="s">
        <v>396</v>
      </c>
      <c r="J124" s="42"/>
    </row>
    <row r="125" spans="1:13" x14ac:dyDescent="0.2">
      <c r="C125" s="52"/>
      <c r="D125" s="85"/>
      <c r="E125" s="53"/>
      <c r="F125" s="53"/>
      <c r="G125" s="54"/>
      <c r="H125" s="53"/>
      <c r="I125" s="101"/>
    </row>
    <row r="126" spans="1:13" x14ac:dyDescent="0.2">
      <c r="C126" s="52"/>
      <c r="D126" s="85"/>
      <c r="E126" s="53"/>
      <c r="F126" s="53"/>
      <c r="G126" s="54"/>
      <c r="H126" s="53"/>
    </row>
    <row r="127" spans="1:13" x14ac:dyDescent="0.2">
      <c r="C127" s="52"/>
      <c r="D127" s="85"/>
      <c r="E127" s="53"/>
      <c r="F127" s="53"/>
      <c r="G127" s="54"/>
      <c r="H127" s="53"/>
    </row>
    <row r="128" spans="1:13" x14ac:dyDescent="0.2">
      <c r="H128" s="53"/>
    </row>
  </sheetData>
  <mergeCells count="5">
    <mergeCell ref="A1:G1"/>
    <mergeCell ref="A3:F3"/>
    <mergeCell ref="A10:F10"/>
    <mergeCell ref="A76:D76"/>
    <mergeCell ref="C117:F117"/>
  </mergeCells>
  <conditionalFormatting sqref="G73:G74">
    <cfRule type="cellIs" dxfId="541" priority="1" operator="lessThan">
      <formula>0</formula>
    </cfRule>
  </conditionalFormatting>
  <conditionalFormatting sqref="C12">
    <cfRule type="duplicateValues" dxfId="540" priority="2"/>
  </conditionalFormatting>
  <conditionalFormatting sqref="C13:C53">
    <cfRule type="duplicateValues" dxfId="539" priority="506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336">
    <pageSetUpPr fitToPage="1"/>
  </sheetPr>
  <dimension ref="A1:N104"/>
  <sheetViews>
    <sheetView zoomScaleNormal="100" workbookViewId="0">
      <selection activeCell="C46" sqref="C46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47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1018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45073</v>
      </c>
      <c r="B5" s="9" t="s">
        <v>6</v>
      </c>
      <c r="C5" s="10" t="s">
        <v>7</v>
      </c>
      <c r="D5" s="11"/>
      <c r="E5" s="12">
        <v>219062.70000000019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219062.70000000019</v>
      </c>
      <c r="F6" s="16"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+E6</f>
        <v>219062.70000000019</v>
      </c>
      <c r="F7" s="22"/>
      <c r="G7" s="23"/>
      <c r="H7" s="112"/>
      <c r="I7" s="112"/>
      <c r="J7" s="13"/>
    </row>
    <row r="8" spans="1:10" s="2" customFormat="1" ht="12.75" customHeight="1" x14ac:dyDescent="0.4">
      <c r="A8" s="24"/>
      <c r="B8" s="1"/>
      <c r="C8" s="14"/>
      <c r="D8" s="25"/>
      <c r="G8" s="23"/>
      <c r="H8" s="112"/>
      <c r="I8" s="112"/>
      <c r="J8" s="13"/>
    </row>
    <row r="9" spans="1:10" s="2" customFormat="1" ht="21.75" customHeight="1" x14ac:dyDescent="0.4">
      <c r="A9" s="214" t="s">
        <v>10</v>
      </c>
      <c r="B9" s="214"/>
      <c r="C9" s="214"/>
      <c r="D9" s="214"/>
      <c r="E9" s="214"/>
      <c r="F9" s="214"/>
      <c r="G9" s="13"/>
      <c r="H9" s="112"/>
      <c r="I9" s="112"/>
      <c r="J9" s="13"/>
    </row>
    <row r="10" spans="1:10" s="2" customFormat="1" ht="12.75" customHeight="1" x14ac:dyDescent="0.4">
      <c r="A10" s="26" t="s">
        <v>1</v>
      </c>
      <c r="B10" s="27" t="s">
        <v>2</v>
      </c>
      <c r="C10" s="5"/>
      <c r="D10" s="6" t="s">
        <v>3</v>
      </c>
      <c r="E10" s="7" t="s">
        <v>4</v>
      </c>
      <c r="F10" s="7" t="s">
        <v>5</v>
      </c>
      <c r="G10" s="23"/>
      <c r="H10" s="112"/>
      <c r="I10" s="112"/>
      <c r="J10" s="13"/>
    </row>
    <row r="11" spans="1:10" s="2" customFormat="1" ht="12.75" customHeight="1" x14ac:dyDescent="0.2">
      <c r="A11" s="89">
        <v>45073</v>
      </c>
      <c r="B11" s="91" t="s">
        <v>11</v>
      </c>
      <c r="C11" s="29" t="s">
        <v>7</v>
      </c>
      <c r="D11" s="25"/>
      <c r="E11" s="31"/>
      <c r="F11" s="2">
        <v>303136320.67999989</v>
      </c>
      <c r="G11" s="30"/>
      <c r="I11" s="13"/>
      <c r="J11" s="13"/>
    </row>
    <row r="12" spans="1:10" s="2" customFormat="1" ht="12.75" customHeight="1" x14ac:dyDescent="0.2">
      <c r="A12" s="89">
        <v>45073</v>
      </c>
      <c r="B12" s="91" t="s">
        <v>6</v>
      </c>
      <c r="C12" s="76" t="s">
        <v>759</v>
      </c>
      <c r="D12" s="116" t="s">
        <v>13</v>
      </c>
      <c r="E12" s="31">
        <v>2013754.38</v>
      </c>
      <c r="G12" s="30"/>
      <c r="I12" s="13"/>
      <c r="J12" s="13"/>
    </row>
    <row r="13" spans="1:10" s="2" customFormat="1" ht="12.75" customHeight="1" x14ac:dyDescent="0.2">
      <c r="A13" s="89">
        <v>45073</v>
      </c>
      <c r="B13" s="91" t="s">
        <v>6</v>
      </c>
      <c r="C13" s="76" t="s">
        <v>148</v>
      </c>
      <c r="D13" s="116" t="s">
        <v>13</v>
      </c>
      <c r="E13" s="31">
        <v>1125813.03</v>
      </c>
      <c r="G13" s="30"/>
      <c r="I13" s="13"/>
      <c r="J13" s="13"/>
    </row>
    <row r="14" spans="1:10" s="2" customFormat="1" ht="12.75" customHeight="1" x14ac:dyDescent="0.2">
      <c r="A14" s="89">
        <v>45073</v>
      </c>
      <c r="B14" s="91" t="s">
        <v>6</v>
      </c>
      <c r="C14" s="76" t="s">
        <v>149</v>
      </c>
      <c r="D14" s="116" t="s">
        <v>13</v>
      </c>
      <c r="E14" s="31">
        <v>514723</v>
      </c>
      <c r="G14" s="30"/>
      <c r="I14" s="13"/>
      <c r="J14" s="13"/>
    </row>
    <row r="15" spans="1:10" s="2" customFormat="1" ht="12.75" customHeight="1" x14ac:dyDescent="0.2">
      <c r="A15" s="89">
        <v>45073</v>
      </c>
      <c r="B15" s="91" t="s">
        <v>6</v>
      </c>
      <c r="C15" s="76" t="s">
        <v>152</v>
      </c>
      <c r="D15" s="116" t="s">
        <v>13</v>
      </c>
      <c r="E15" s="31">
        <v>4954913.42</v>
      </c>
      <c r="G15" s="30"/>
      <c r="I15" s="13"/>
      <c r="J15" s="13"/>
    </row>
    <row r="16" spans="1:10" s="2" customFormat="1" ht="12.75" customHeight="1" x14ac:dyDescent="0.2">
      <c r="A16" s="89">
        <v>45073</v>
      </c>
      <c r="B16" s="91" t="s">
        <v>6</v>
      </c>
      <c r="C16" s="76" t="s">
        <v>1019</v>
      </c>
      <c r="D16" s="116" t="s">
        <v>13</v>
      </c>
      <c r="E16" s="31">
        <v>930928</v>
      </c>
      <c r="G16" s="30"/>
      <c r="I16" s="13"/>
      <c r="J16" s="13"/>
    </row>
    <row r="17" spans="1:14" s="2" customFormat="1" ht="12.75" customHeight="1" x14ac:dyDescent="0.2">
      <c r="A17" s="89">
        <v>45073</v>
      </c>
      <c r="B17" s="91" t="s">
        <v>6</v>
      </c>
      <c r="C17" s="76" t="s">
        <v>756</v>
      </c>
      <c r="D17" s="116" t="s">
        <v>13</v>
      </c>
      <c r="E17" s="31">
        <v>3369487</v>
      </c>
      <c r="G17" s="30"/>
      <c r="I17" s="13"/>
      <c r="J17" s="13"/>
    </row>
    <row r="18" spans="1:14" s="2" customFormat="1" ht="12.75" customHeight="1" x14ac:dyDescent="0.2">
      <c r="A18" s="89">
        <v>45073</v>
      </c>
      <c r="B18" s="91" t="s">
        <v>6</v>
      </c>
      <c r="C18" s="76" t="s">
        <v>960</v>
      </c>
      <c r="D18" s="116" t="s">
        <v>13</v>
      </c>
      <c r="E18" s="31">
        <v>5142420</v>
      </c>
      <c r="G18" s="30"/>
      <c r="I18" s="13"/>
      <c r="J18" s="13"/>
    </row>
    <row r="19" spans="1:14" s="2" customFormat="1" ht="12.75" customHeight="1" x14ac:dyDescent="0.2">
      <c r="A19" s="89">
        <v>45073</v>
      </c>
      <c r="B19" s="91" t="s">
        <v>6</v>
      </c>
      <c r="C19" s="76" t="s">
        <v>992</v>
      </c>
      <c r="D19" s="116" t="s">
        <v>13</v>
      </c>
      <c r="E19" s="31">
        <v>50000</v>
      </c>
      <c r="G19" s="30"/>
      <c r="I19" s="13"/>
      <c r="J19" s="13"/>
    </row>
    <row r="20" spans="1:14" s="2" customFormat="1" ht="12.75" customHeight="1" x14ac:dyDescent="0.2">
      <c r="A20" s="89">
        <v>45073</v>
      </c>
      <c r="B20" s="91" t="s">
        <v>11</v>
      </c>
      <c r="C20" s="76" t="s">
        <v>64</v>
      </c>
      <c r="D20" s="116" t="s">
        <v>29</v>
      </c>
      <c r="E20" s="31"/>
      <c r="F20" s="2">
        <v>8112.14</v>
      </c>
      <c r="G20" s="30"/>
      <c r="I20" s="13"/>
      <c r="J20" s="13"/>
    </row>
    <row r="21" spans="1:14" s="2" customFormat="1" ht="12.75" customHeight="1" x14ac:dyDescent="0.2">
      <c r="A21" s="89">
        <v>45073</v>
      </c>
      <c r="B21" s="91" t="s">
        <v>11</v>
      </c>
      <c r="C21" s="76" t="s">
        <v>62</v>
      </c>
      <c r="D21" s="116" t="s">
        <v>29</v>
      </c>
      <c r="E21" s="31"/>
      <c r="F21" s="2">
        <v>20000</v>
      </c>
      <c r="G21" s="30"/>
      <c r="I21" s="13"/>
      <c r="J21" s="13"/>
    </row>
    <row r="22" spans="1:14" s="2" customFormat="1" ht="12.75" customHeight="1" x14ac:dyDescent="0.2">
      <c r="A22" s="89">
        <v>45073</v>
      </c>
      <c r="B22" s="91" t="s">
        <v>11</v>
      </c>
      <c r="C22" s="76" t="s">
        <v>533</v>
      </c>
      <c r="D22" s="116" t="s">
        <v>29</v>
      </c>
      <c r="E22" s="31"/>
      <c r="F22" s="2">
        <v>17145</v>
      </c>
      <c r="G22" s="30"/>
      <c r="I22" s="13"/>
      <c r="J22" s="13"/>
    </row>
    <row r="23" spans="1:14" s="2" customFormat="1" ht="12.75" customHeight="1" x14ac:dyDescent="0.2">
      <c r="A23" s="89">
        <v>45073</v>
      </c>
      <c r="B23" s="91" t="s">
        <v>11</v>
      </c>
      <c r="C23" s="76" t="s">
        <v>109</v>
      </c>
      <c r="D23" s="116" t="s">
        <v>29</v>
      </c>
      <c r="E23" s="31"/>
      <c r="F23" s="2">
        <v>1474832</v>
      </c>
      <c r="G23" s="30"/>
      <c r="I23" s="13"/>
      <c r="J23" s="13"/>
    </row>
    <row r="24" spans="1:14" s="2" customFormat="1" ht="12.75" customHeight="1" x14ac:dyDescent="0.2">
      <c r="A24" s="89">
        <v>45073</v>
      </c>
      <c r="B24" s="91" t="s">
        <v>11</v>
      </c>
      <c r="C24" s="76" t="s">
        <v>204</v>
      </c>
      <c r="D24" s="116" t="s">
        <v>29</v>
      </c>
      <c r="E24" s="31"/>
      <c r="F24" s="2">
        <v>1087866</v>
      </c>
      <c r="G24" s="30"/>
      <c r="I24" s="13"/>
      <c r="J24" s="13"/>
    </row>
    <row r="25" spans="1:14" s="2" customFormat="1" ht="12.75" customHeight="1" x14ac:dyDescent="0.2">
      <c r="A25" s="89">
        <v>45073</v>
      </c>
      <c r="B25" s="91" t="s">
        <v>11</v>
      </c>
      <c r="C25" s="76" t="s">
        <v>110</v>
      </c>
      <c r="D25" s="116" t="s">
        <v>29</v>
      </c>
      <c r="E25" s="31"/>
      <c r="F25" s="2">
        <v>397485.73</v>
      </c>
      <c r="G25" s="30"/>
      <c r="I25" s="13"/>
      <c r="J25" s="13" t="s">
        <v>601</v>
      </c>
      <c r="K25" s="25" t="s">
        <v>779</v>
      </c>
    </row>
    <row r="26" spans="1:14" s="2" customFormat="1" ht="12.75" customHeight="1" x14ac:dyDescent="0.25">
      <c r="A26" s="32"/>
      <c r="B26" s="33"/>
      <c r="C26" s="14"/>
      <c r="D26" s="34"/>
      <c r="E26" s="16">
        <f>SUM(E11:E25)</f>
        <v>18102038.829999998</v>
      </c>
      <c r="F26" s="16">
        <f>SUM(F11:F25)</f>
        <v>306141761.54999989</v>
      </c>
      <c r="G26" s="30"/>
      <c r="H26" s="1"/>
      <c r="I26" s="39">
        <v>288882329.72000003</v>
      </c>
      <c r="J26" s="2">
        <v>842607</v>
      </c>
      <c r="K26" s="92">
        <f>E27-I26</f>
        <v>-842607.00000011921</v>
      </c>
      <c r="L26" s="41"/>
      <c r="M26" s="42"/>
      <c r="N26" s="1"/>
    </row>
    <row r="27" spans="1:14" s="2" customFormat="1" x14ac:dyDescent="0.2">
      <c r="A27" s="36"/>
      <c r="B27" s="28" t="s">
        <v>11</v>
      </c>
      <c r="C27" s="19" t="s">
        <v>65</v>
      </c>
      <c r="D27" s="37"/>
      <c r="E27" s="38">
        <f>F26-E26</f>
        <v>288039722.71999991</v>
      </c>
      <c r="F27" s="22"/>
      <c r="G27" s="1"/>
      <c r="H27" s="1"/>
      <c r="J27" s="1"/>
      <c r="K27" s="1"/>
      <c r="L27" s="1"/>
      <c r="M27" s="1"/>
      <c r="N27" s="1"/>
    </row>
    <row r="28" spans="1:14" x14ac:dyDescent="0.2">
      <c r="A28" s="36"/>
      <c r="B28" s="28" t="s">
        <v>66</v>
      </c>
      <c r="C28" s="43" t="s">
        <v>67</v>
      </c>
      <c r="D28" s="43"/>
      <c r="E28" s="12">
        <f>29316181+4610900+5142420</f>
        <v>39069501</v>
      </c>
      <c r="F28" s="22"/>
      <c r="H28" s="40"/>
      <c r="I28" s="45">
        <v>3189.15</v>
      </c>
      <c r="J28" s="46"/>
      <c r="K28" s="46"/>
      <c r="L28" s="13"/>
      <c r="M28" s="2"/>
      <c r="N28" s="2"/>
    </row>
    <row r="29" spans="1:14" ht="15" x14ac:dyDescent="0.25">
      <c r="A29" s="36"/>
      <c r="B29" s="28"/>
      <c r="C29" s="44" t="s">
        <v>68</v>
      </c>
      <c r="D29" s="43"/>
      <c r="E29" s="7">
        <f>E27+E28</f>
        <v>327109223.71999991</v>
      </c>
      <c r="F29" s="22"/>
      <c r="H29" s="103" t="s">
        <v>69</v>
      </c>
      <c r="I29" s="45">
        <v>-231.71</v>
      </c>
      <c r="J29" s="46"/>
      <c r="K29" s="46"/>
      <c r="L29" s="2"/>
      <c r="M29" s="2"/>
      <c r="N29" s="2"/>
    </row>
    <row r="30" spans="1:14" s="2" customFormat="1" x14ac:dyDescent="0.2">
      <c r="A30" s="24"/>
      <c r="B30" s="1"/>
      <c r="C30" s="14"/>
      <c r="D30" s="25"/>
      <c r="E30" s="1"/>
      <c r="H30" s="35" t="s">
        <v>70</v>
      </c>
      <c r="I30" s="45">
        <v>100</v>
      </c>
      <c r="J30" s="46">
        <f>+I31-D33</f>
        <v>0</v>
      </c>
      <c r="M30" s="2">
        <v>19.57</v>
      </c>
      <c r="N30" s="2" t="s">
        <v>535</v>
      </c>
    </row>
    <row r="31" spans="1:14" s="2" customFormat="1" x14ac:dyDescent="0.2">
      <c r="A31" s="24"/>
      <c r="B31" s="1"/>
      <c r="C31" s="56"/>
      <c r="D31" s="56"/>
      <c r="E31" s="104"/>
      <c r="G31" s="1"/>
      <c r="I31" s="49">
        <f>SUM(I28:I30)</f>
        <v>3057.44</v>
      </c>
      <c r="J31" s="46"/>
      <c r="K31" s="46"/>
    </row>
    <row r="32" spans="1:14" s="2" customFormat="1" x14ac:dyDescent="0.2">
      <c r="A32" s="24"/>
      <c r="B32" s="1"/>
      <c r="C32" s="78" t="s">
        <v>575</v>
      </c>
      <c r="D32" s="48" t="s">
        <v>576</v>
      </c>
      <c r="E32" s="104"/>
      <c r="G32" s="1"/>
    </row>
    <row r="33" spans="1:13" s="2" customFormat="1" x14ac:dyDescent="0.2">
      <c r="A33" s="24"/>
      <c r="B33" s="1"/>
      <c r="C33" s="47" t="s">
        <v>570</v>
      </c>
      <c r="D33" s="111">
        <v>3057.44</v>
      </c>
      <c r="E33" s="104"/>
      <c r="G33" s="1"/>
      <c r="H33" s="110" t="s">
        <v>581</v>
      </c>
    </row>
    <row r="34" spans="1:13" s="2" customFormat="1" x14ac:dyDescent="0.2">
      <c r="A34" s="24"/>
      <c r="B34" s="1"/>
      <c r="C34" s="47" t="s">
        <v>931</v>
      </c>
      <c r="D34" s="111">
        <v>443.13</v>
      </c>
      <c r="E34" s="104"/>
      <c r="G34" s="1"/>
      <c r="H34" s="110" t="s">
        <v>580</v>
      </c>
    </row>
    <row r="35" spans="1:13" s="2" customFormat="1" x14ac:dyDescent="0.2">
      <c r="A35" s="24"/>
      <c r="B35" s="1"/>
      <c r="C35" s="47" t="s">
        <v>572</v>
      </c>
      <c r="D35" s="111">
        <f>+D91/100000</f>
        <v>839.92238999999995</v>
      </c>
      <c r="E35" s="104"/>
      <c r="G35" s="1"/>
      <c r="H35" s="90" t="s">
        <v>587</v>
      </c>
    </row>
    <row r="36" spans="1:13" s="2" customFormat="1" x14ac:dyDescent="0.2">
      <c r="A36" s="24"/>
      <c r="B36" s="1"/>
      <c r="C36" s="108" t="s">
        <v>578</v>
      </c>
      <c r="D36" s="48">
        <f>SUM(D33:D35)</f>
        <v>4340.4923900000003</v>
      </c>
      <c r="E36" s="104"/>
      <c r="G36" s="1"/>
    </row>
    <row r="37" spans="1:13" s="2" customFormat="1" x14ac:dyDescent="0.2">
      <c r="A37" s="24"/>
      <c r="B37" s="1"/>
      <c r="C37" s="47"/>
      <c r="D37" s="107"/>
      <c r="E37" s="104"/>
      <c r="G37" s="1"/>
    </row>
    <row r="38" spans="1:13" s="2" customFormat="1" x14ac:dyDescent="0.2">
      <c r="A38" s="24"/>
      <c r="B38" s="1"/>
      <c r="C38" s="47" t="s">
        <v>932</v>
      </c>
      <c r="D38" s="111">
        <v>619.48</v>
      </c>
      <c r="E38" s="104"/>
      <c r="G38" s="1"/>
      <c r="H38" s="110" t="s">
        <v>581</v>
      </c>
    </row>
    <row r="39" spans="1:13" s="2" customFormat="1" x14ac:dyDescent="0.2">
      <c r="A39" s="24"/>
      <c r="B39" s="1"/>
      <c r="C39" s="47" t="s">
        <v>933</v>
      </c>
      <c r="D39" s="111">
        <f>620.56-14.66</f>
        <v>605.9</v>
      </c>
      <c r="E39" s="104"/>
      <c r="G39" s="1"/>
      <c r="H39" s="110" t="s">
        <v>581</v>
      </c>
      <c r="J39" s="114" t="s">
        <v>713</v>
      </c>
    </row>
    <row r="40" spans="1:13" s="2" customFormat="1" x14ac:dyDescent="0.2">
      <c r="A40" s="24"/>
      <c r="B40" s="1"/>
      <c r="C40" s="78" t="s">
        <v>579</v>
      </c>
      <c r="D40" s="109">
        <f>D38+D39</f>
        <v>1225.3800000000001</v>
      </c>
      <c r="E40" s="104"/>
      <c r="G40" s="1"/>
      <c r="I40" s="113"/>
      <c r="J40" s="113" t="s">
        <v>709</v>
      </c>
      <c r="K40" s="113" t="s">
        <v>710</v>
      </c>
      <c r="L40" s="113" t="s">
        <v>711</v>
      </c>
      <c r="M40" s="113" t="s">
        <v>712</v>
      </c>
    </row>
    <row r="41" spans="1:13" s="2" customFormat="1" x14ac:dyDescent="0.2">
      <c r="A41" s="24"/>
      <c r="B41" s="1"/>
      <c r="C41" s="105"/>
      <c r="D41" s="106"/>
      <c r="E41" s="104"/>
      <c r="G41" s="1"/>
      <c r="I41" s="113" t="s">
        <v>706</v>
      </c>
      <c r="J41" s="115"/>
      <c r="K41" s="115">
        <v>968.99</v>
      </c>
      <c r="L41" s="115">
        <v>968.99</v>
      </c>
      <c r="M41" s="113">
        <f>+J41+L41-K41</f>
        <v>0</v>
      </c>
    </row>
    <row r="42" spans="1:13" s="2" customFormat="1" x14ac:dyDescent="0.2">
      <c r="A42" s="24"/>
      <c r="B42" s="1"/>
      <c r="C42" s="78" t="s">
        <v>577</v>
      </c>
      <c r="D42" s="109">
        <f>D33+D40</f>
        <v>4282.82</v>
      </c>
      <c r="E42" s="104"/>
      <c r="G42" s="1"/>
      <c r="I42" s="113" t="s">
        <v>707</v>
      </c>
      <c r="J42" s="115">
        <v>183.1</v>
      </c>
      <c r="K42" s="115">
        <v>1960.96</v>
      </c>
      <c r="L42" s="115">
        <v>2792.81</v>
      </c>
      <c r="M42" s="113">
        <f>+J42+L42-K42</f>
        <v>1014.9499999999998</v>
      </c>
    </row>
    <row r="43" spans="1:13" s="2" customFormat="1" x14ac:dyDescent="0.2">
      <c r="A43" s="24"/>
      <c r="B43" s="1"/>
      <c r="C43" s="56"/>
      <c r="D43" s="56"/>
      <c r="E43" s="104"/>
      <c r="G43" s="1"/>
      <c r="I43" s="113" t="s">
        <v>708</v>
      </c>
      <c r="J43" s="115">
        <v>1371.02</v>
      </c>
      <c r="K43" s="115">
        <v>11536.39</v>
      </c>
      <c r="L43" s="115">
        <v>11644.81</v>
      </c>
      <c r="M43" s="113">
        <f>+J43+L43-K43</f>
        <v>1479.4400000000005</v>
      </c>
    </row>
    <row r="44" spans="1:13" s="2" customFormat="1" ht="38.25" x14ac:dyDescent="0.2">
      <c r="A44" s="24"/>
      <c r="B44" s="1"/>
      <c r="C44" s="79" t="str">
        <f>"Particulars ( 01-04-2021 to "&amp;TEXT(A5,"dd-mm-yyyy")&amp;" )"</f>
        <v>Particulars ( 01-04-2021 to 27-05-2023 )</v>
      </c>
      <c r="D44" s="80" t="s">
        <v>73</v>
      </c>
      <c r="E44" s="80" t="s">
        <v>74</v>
      </c>
      <c r="F44" s="81" t="s">
        <v>75</v>
      </c>
      <c r="G44" s="80" t="s">
        <v>76</v>
      </c>
      <c r="J44" s="118">
        <f>SUM(J41:J43)</f>
        <v>1554.12</v>
      </c>
      <c r="K44" s="118">
        <f>SUM(K41:K43)</f>
        <v>14466.34</v>
      </c>
      <c r="L44" s="118">
        <f>SUM(L41:L43)</f>
        <v>15406.61</v>
      </c>
      <c r="M44" s="118">
        <f>SUM(M41:M43)</f>
        <v>2494.3900000000003</v>
      </c>
    </row>
    <row r="45" spans="1:13" s="2" customFormat="1" x14ac:dyDescent="0.2">
      <c r="A45" s="24"/>
      <c r="B45" s="1"/>
      <c r="C45" s="50" t="s">
        <v>444</v>
      </c>
      <c r="D45" s="55">
        <f>+L41+L42+J42</f>
        <v>3944.9</v>
      </c>
      <c r="E45" s="55">
        <f>+K41+K42</f>
        <v>2929.95</v>
      </c>
      <c r="F45" s="55">
        <f>+D45-E45</f>
        <v>1014.9500000000003</v>
      </c>
      <c r="G45" s="55">
        <f>1500-F45</f>
        <v>485.04999999999973</v>
      </c>
      <c r="H45" s="2" t="s">
        <v>396</v>
      </c>
    </row>
    <row r="46" spans="1:13" s="2" customFormat="1" x14ac:dyDescent="0.2">
      <c r="A46" s="24"/>
      <c r="B46" s="1"/>
      <c r="C46" s="50" t="s">
        <v>71</v>
      </c>
      <c r="D46" s="55">
        <f>+J43+L43</f>
        <v>13015.83</v>
      </c>
      <c r="E46" s="55">
        <f>+K43</f>
        <v>11536.39</v>
      </c>
      <c r="F46" s="55">
        <f>+D46-E46</f>
        <v>1479.4400000000005</v>
      </c>
      <c r="G46" s="55">
        <f>1500+700-F46</f>
        <v>720.55999999999949</v>
      </c>
      <c r="H46" s="2" t="s">
        <v>396</v>
      </c>
    </row>
    <row r="47" spans="1:13" s="2" customFormat="1" x14ac:dyDescent="0.2">
      <c r="A47" s="24"/>
      <c r="B47" s="1"/>
      <c r="C47" s="14"/>
      <c r="D47" s="56"/>
      <c r="E47" s="13"/>
      <c r="G47" s="1"/>
    </row>
    <row r="48" spans="1:13" s="2" customFormat="1" x14ac:dyDescent="0.2">
      <c r="A48" s="215" t="s">
        <v>80</v>
      </c>
      <c r="B48" s="216"/>
      <c r="C48" s="216"/>
      <c r="D48" s="217"/>
      <c r="E48" s="69"/>
      <c r="F48" s="70"/>
      <c r="G48" s="1"/>
      <c r="H48" s="53"/>
    </row>
    <row r="49" spans="1:13" s="2" customFormat="1" x14ac:dyDescent="0.2">
      <c r="A49" s="71" t="s">
        <v>81</v>
      </c>
      <c r="B49" s="71"/>
      <c r="C49" s="72" t="s">
        <v>82</v>
      </c>
      <c r="D49" s="73" t="s">
        <v>83</v>
      </c>
      <c r="E49" s="69"/>
      <c r="F49" s="70"/>
      <c r="H49" s="53"/>
    </row>
    <row r="50" spans="1:13" s="2" customFormat="1" x14ac:dyDescent="0.2">
      <c r="A50" s="87">
        <v>45050</v>
      </c>
      <c r="B50" s="120" t="s">
        <v>6</v>
      </c>
      <c r="C50" s="75" t="s">
        <v>282</v>
      </c>
      <c r="D50" s="88">
        <v>1562637</v>
      </c>
      <c r="G50" s="1"/>
      <c r="L50" s="1"/>
      <c r="M50" s="1"/>
    </row>
    <row r="51" spans="1:13" s="2" customFormat="1" x14ac:dyDescent="0.2">
      <c r="A51" s="87">
        <v>45050</v>
      </c>
      <c r="B51" s="120" t="s">
        <v>6</v>
      </c>
      <c r="C51" s="75" t="s">
        <v>86</v>
      </c>
      <c r="D51" s="88">
        <v>2499321</v>
      </c>
      <c r="G51" s="1"/>
      <c r="L51" s="1"/>
      <c r="M51" s="1"/>
    </row>
    <row r="52" spans="1:13" s="2" customFormat="1" x14ac:dyDescent="0.2">
      <c r="A52" s="87">
        <v>45050</v>
      </c>
      <c r="B52" s="120" t="s">
        <v>6</v>
      </c>
      <c r="C52" s="75" t="s">
        <v>86</v>
      </c>
      <c r="D52" s="88">
        <v>6876102</v>
      </c>
      <c r="G52" s="1"/>
      <c r="L52" s="1"/>
      <c r="M52" s="1"/>
    </row>
    <row r="53" spans="1:13" s="2" customFormat="1" x14ac:dyDescent="0.2">
      <c r="A53" s="87">
        <v>45052</v>
      </c>
      <c r="B53" s="120" t="s">
        <v>6</v>
      </c>
      <c r="C53" s="75" t="s">
        <v>270</v>
      </c>
      <c r="D53" s="88">
        <v>1124141</v>
      </c>
      <c r="G53" s="1"/>
      <c r="L53" s="1"/>
      <c r="M53" s="1"/>
    </row>
    <row r="54" spans="1:13" s="2" customFormat="1" x14ac:dyDescent="0.2">
      <c r="A54" s="87">
        <v>45054</v>
      </c>
      <c r="B54" s="120" t="s">
        <v>6</v>
      </c>
      <c r="C54" s="75" t="s">
        <v>271</v>
      </c>
      <c r="D54" s="88">
        <v>476726</v>
      </c>
      <c r="G54" s="1"/>
      <c r="L54" s="1"/>
      <c r="M54" s="1"/>
    </row>
    <row r="55" spans="1:13" s="2" customFormat="1" x14ac:dyDescent="0.2">
      <c r="A55" s="87">
        <v>45054</v>
      </c>
      <c r="B55" s="120" t="s">
        <v>6</v>
      </c>
      <c r="C55" s="75" t="s">
        <v>271</v>
      </c>
      <c r="D55" s="88">
        <v>926688</v>
      </c>
      <c r="G55" s="1"/>
      <c r="L55" s="1"/>
      <c r="M55" s="1"/>
    </row>
    <row r="56" spans="1:13" s="2" customFormat="1" x14ac:dyDescent="0.2">
      <c r="A56" s="87">
        <v>45054</v>
      </c>
      <c r="B56" s="120" t="s">
        <v>6</v>
      </c>
      <c r="C56" s="75" t="s">
        <v>606</v>
      </c>
      <c r="D56" s="88">
        <v>1844917</v>
      </c>
      <c r="G56" s="1"/>
      <c r="L56" s="1"/>
      <c r="M56" s="1"/>
    </row>
    <row r="57" spans="1:13" s="2" customFormat="1" x14ac:dyDescent="0.2">
      <c r="A57" s="87">
        <v>45054</v>
      </c>
      <c r="B57" s="120" t="s">
        <v>6</v>
      </c>
      <c r="C57" s="75" t="s">
        <v>271</v>
      </c>
      <c r="D57" s="88">
        <v>1640794</v>
      </c>
      <c r="G57" s="1"/>
      <c r="L57" s="1"/>
      <c r="M57" s="1"/>
    </row>
    <row r="58" spans="1:13" s="2" customFormat="1" x14ac:dyDescent="0.2">
      <c r="A58" s="87">
        <v>45055</v>
      </c>
      <c r="B58" s="120" t="s">
        <v>6</v>
      </c>
      <c r="C58" s="75" t="s">
        <v>84</v>
      </c>
      <c r="D58" s="88">
        <v>2000000</v>
      </c>
      <c r="G58" s="1"/>
      <c r="L58" s="1"/>
      <c r="M58" s="1"/>
    </row>
    <row r="59" spans="1:13" s="2" customFormat="1" x14ac:dyDescent="0.2">
      <c r="A59" s="87">
        <v>45055</v>
      </c>
      <c r="B59" s="120" t="s">
        <v>6</v>
      </c>
      <c r="C59" s="75" t="s">
        <v>87</v>
      </c>
      <c r="D59" s="88">
        <v>2540563</v>
      </c>
      <c r="G59" s="1"/>
      <c r="L59" s="1"/>
      <c r="M59" s="1"/>
    </row>
    <row r="60" spans="1:13" s="2" customFormat="1" x14ac:dyDescent="0.2">
      <c r="A60" s="87">
        <v>45055</v>
      </c>
      <c r="B60" s="120" t="s">
        <v>6</v>
      </c>
      <c r="C60" s="75" t="s">
        <v>767</v>
      </c>
      <c r="D60" s="88">
        <v>950137</v>
      </c>
      <c r="G60" s="1"/>
      <c r="L60" s="1"/>
      <c r="M60" s="1"/>
    </row>
    <row r="61" spans="1:13" s="2" customFormat="1" x14ac:dyDescent="0.2">
      <c r="A61" s="87">
        <v>45056</v>
      </c>
      <c r="B61" s="120" t="s">
        <v>6</v>
      </c>
      <c r="C61" s="75" t="s">
        <v>271</v>
      </c>
      <c r="D61" s="88">
        <v>242417</v>
      </c>
      <c r="G61" s="1"/>
      <c r="L61" s="1"/>
      <c r="M61" s="1"/>
    </row>
    <row r="62" spans="1:13" s="2" customFormat="1" x14ac:dyDescent="0.2">
      <c r="A62" s="87">
        <v>45056</v>
      </c>
      <c r="B62" s="120" t="s">
        <v>6</v>
      </c>
      <c r="C62" s="75" t="s">
        <v>271</v>
      </c>
      <c r="D62" s="88">
        <v>674909</v>
      </c>
      <c r="G62" s="1"/>
      <c r="L62" s="1"/>
      <c r="M62" s="1"/>
    </row>
    <row r="63" spans="1:13" s="2" customFormat="1" x14ac:dyDescent="0.2">
      <c r="A63" s="87">
        <v>45056</v>
      </c>
      <c r="B63" s="120" t="s">
        <v>6</v>
      </c>
      <c r="C63" s="75" t="s">
        <v>271</v>
      </c>
      <c r="D63" s="88">
        <v>969371</v>
      </c>
      <c r="G63" s="1"/>
      <c r="L63" s="1"/>
      <c r="M63" s="1"/>
    </row>
    <row r="64" spans="1:13" s="2" customFormat="1" x14ac:dyDescent="0.2">
      <c r="A64" s="87">
        <v>45058</v>
      </c>
      <c r="B64" s="120" t="s">
        <v>6</v>
      </c>
      <c r="C64" s="75" t="s">
        <v>271</v>
      </c>
      <c r="D64" s="88">
        <v>650439</v>
      </c>
      <c r="G64" s="1"/>
      <c r="L64" s="1"/>
      <c r="M64" s="1"/>
    </row>
    <row r="65" spans="1:13" s="2" customFormat="1" x14ac:dyDescent="0.2">
      <c r="A65" s="87">
        <v>45058</v>
      </c>
      <c r="B65" s="120" t="s">
        <v>6</v>
      </c>
      <c r="C65" s="75" t="s">
        <v>271</v>
      </c>
      <c r="D65" s="88">
        <v>432067</v>
      </c>
      <c r="G65" s="1"/>
      <c r="L65" s="1"/>
      <c r="M65" s="1"/>
    </row>
    <row r="66" spans="1:13" s="2" customFormat="1" x14ac:dyDescent="0.2">
      <c r="A66" s="87">
        <v>45058</v>
      </c>
      <c r="B66" s="120" t="s">
        <v>6</v>
      </c>
      <c r="C66" s="75" t="s">
        <v>271</v>
      </c>
      <c r="D66" s="88">
        <v>412906</v>
      </c>
      <c r="G66" s="1"/>
      <c r="L66" s="1"/>
      <c r="M66" s="1"/>
    </row>
    <row r="67" spans="1:13" s="2" customFormat="1" x14ac:dyDescent="0.2">
      <c r="A67" s="87">
        <v>45061</v>
      </c>
      <c r="B67" s="120" t="s">
        <v>6</v>
      </c>
      <c r="C67" s="75" t="s">
        <v>282</v>
      </c>
      <c r="D67" s="88">
        <v>7500000</v>
      </c>
      <c r="G67" s="1"/>
      <c r="L67" s="1"/>
      <c r="M67" s="1"/>
    </row>
    <row r="68" spans="1:13" s="2" customFormat="1" x14ac:dyDescent="0.2">
      <c r="A68" s="87">
        <v>45062</v>
      </c>
      <c r="B68" s="120" t="s">
        <v>6</v>
      </c>
      <c r="C68" s="75" t="s">
        <v>86</v>
      </c>
      <c r="D68" s="88">
        <v>3769130</v>
      </c>
      <c r="G68" s="1"/>
      <c r="L68" s="1"/>
      <c r="M68" s="1"/>
    </row>
    <row r="69" spans="1:13" s="2" customFormat="1" x14ac:dyDescent="0.2">
      <c r="A69" s="87">
        <v>45063</v>
      </c>
      <c r="B69" s="120" t="s">
        <v>6</v>
      </c>
      <c r="C69" s="75" t="s">
        <v>84</v>
      </c>
      <c r="D69" s="88">
        <v>5033848</v>
      </c>
      <c r="G69" s="1"/>
      <c r="L69" s="1"/>
      <c r="M69" s="1"/>
    </row>
    <row r="70" spans="1:13" s="2" customFormat="1" x14ac:dyDescent="0.2">
      <c r="A70" s="87">
        <v>45065</v>
      </c>
      <c r="B70" s="120" t="s">
        <v>6</v>
      </c>
      <c r="C70" s="75" t="s">
        <v>594</v>
      </c>
      <c r="D70" s="88">
        <v>6001798</v>
      </c>
      <c r="G70" s="1"/>
      <c r="L70" s="1"/>
      <c r="M70" s="1"/>
    </row>
    <row r="71" spans="1:13" s="2" customFormat="1" x14ac:dyDescent="0.2">
      <c r="A71" s="87">
        <v>45065</v>
      </c>
      <c r="B71" s="120" t="s">
        <v>6</v>
      </c>
      <c r="C71" s="75" t="s">
        <v>594</v>
      </c>
      <c r="D71" s="88">
        <v>9126</v>
      </c>
      <c r="G71" s="1"/>
      <c r="L71" s="1"/>
      <c r="M71" s="1"/>
    </row>
    <row r="72" spans="1:13" s="2" customFormat="1" x14ac:dyDescent="0.2">
      <c r="A72" s="87">
        <v>45066</v>
      </c>
      <c r="B72" s="120" t="s">
        <v>6</v>
      </c>
      <c r="C72" s="75" t="s">
        <v>271</v>
      </c>
      <c r="D72" s="88">
        <v>231880</v>
      </c>
      <c r="G72" s="1"/>
      <c r="L72" s="1"/>
      <c r="M72" s="1"/>
    </row>
    <row r="73" spans="1:13" s="2" customFormat="1" x14ac:dyDescent="0.2">
      <c r="A73" s="87">
        <v>45066</v>
      </c>
      <c r="B73" s="120" t="s">
        <v>6</v>
      </c>
      <c r="C73" s="75" t="s">
        <v>271</v>
      </c>
      <c r="D73" s="88">
        <v>1166054</v>
      </c>
      <c r="G73" s="1"/>
      <c r="L73" s="1"/>
      <c r="M73" s="1"/>
    </row>
    <row r="74" spans="1:13" s="2" customFormat="1" x14ac:dyDescent="0.2">
      <c r="A74" s="87">
        <v>45066</v>
      </c>
      <c r="B74" s="120" t="s">
        <v>6</v>
      </c>
      <c r="C74" s="75" t="s">
        <v>271</v>
      </c>
      <c r="D74" s="88">
        <v>197868</v>
      </c>
      <c r="G74" s="1"/>
      <c r="L74" s="1"/>
      <c r="M74" s="1"/>
    </row>
    <row r="75" spans="1:13" s="2" customFormat="1" x14ac:dyDescent="0.2">
      <c r="A75" s="87">
        <v>45066</v>
      </c>
      <c r="B75" s="120" t="s">
        <v>6</v>
      </c>
      <c r="C75" s="75" t="s">
        <v>271</v>
      </c>
      <c r="D75" s="88">
        <v>411515</v>
      </c>
      <c r="G75" s="1"/>
      <c r="L75" s="1"/>
      <c r="M75" s="1"/>
    </row>
    <row r="76" spans="1:13" s="2" customFormat="1" x14ac:dyDescent="0.2">
      <c r="A76" s="87">
        <v>45066</v>
      </c>
      <c r="B76" s="120" t="s">
        <v>6</v>
      </c>
      <c r="C76" s="75" t="s">
        <v>271</v>
      </c>
      <c r="D76" s="88">
        <v>781035</v>
      </c>
      <c r="G76" s="1"/>
      <c r="L76" s="1"/>
      <c r="M76" s="1"/>
    </row>
    <row r="77" spans="1:13" s="2" customFormat="1" x14ac:dyDescent="0.2">
      <c r="A77" s="87">
        <v>45066</v>
      </c>
      <c r="B77" s="120" t="s">
        <v>6</v>
      </c>
      <c r="C77" s="75" t="s">
        <v>87</v>
      </c>
      <c r="D77" s="88">
        <v>1320555</v>
      </c>
      <c r="G77" s="1"/>
      <c r="L77" s="1"/>
      <c r="M77" s="1"/>
    </row>
    <row r="78" spans="1:13" s="2" customFormat="1" x14ac:dyDescent="0.2">
      <c r="A78" s="87">
        <v>45066</v>
      </c>
      <c r="B78" s="120" t="s">
        <v>6</v>
      </c>
      <c r="C78" s="75" t="s">
        <v>467</v>
      </c>
      <c r="D78" s="88">
        <v>2498439</v>
      </c>
      <c r="G78" s="1"/>
      <c r="L78" s="1"/>
      <c r="M78" s="1"/>
    </row>
    <row r="79" spans="1:13" s="2" customFormat="1" x14ac:dyDescent="0.2">
      <c r="A79" s="87">
        <v>45068</v>
      </c>
      <c r="B79" s="120" t="s">
        <v>6</v>
      </c>
      <c r="C79" s="75" t="s">
        <v>86</v>
      </c>
      <c r="D79" s="88">
        <v>588418</v>
      </c>
      <c r="G79" s="1"/>
      <c r="L79" s="1"/>
      <c r="M79" s="1"/>
    </row>
    <row r="80" spans="1:13" s="2" customFormat="1" x14ac:dyDescent="0.2">
      <c r="A80" s="87">
        <v>45068</v>
      </c>
      <c r="B80" s="120" t="s">
        <v>6</v>
      </c>
      <c r="C80" s="75" t="s">
        <v>86</v>
      </c>
      <c r="D80" s="88">
        <v>6280875</v>
      </c>
      <c r="G80" s="1"/>
      <c r="L80" s="1"/>
      <c r="M80" s="1"/>
    </row>
    <row r="81" spans="1:13" s="2" customFormat="1" x14ac:dyDescent="0.2">
      <c r="A81" s="87">
        <v>45068</v>
      </c>
      <c r="B81" s="120" t="s">
        <v>6</v>
      </c>
      <c r="C81" s="75" t="s">
        <v>86</v>
      </c>
      <c r="D81" s="88">
        <v>1195342</v>
      </c>
      <c r="G81" s="1"/>
      <c r="L81" s="1"/>
      <c r="M81" s="1"/>
    </row>
    <row r="82" spans="1:13" s="2" customFormat="1" x14ac:dyDescent="0.2">
      <c r="A82" s="87">
        <v>45070</v>
      </c>
      <c r="B82" s="120" t="s">
        <v>6</v>
      </c>
      <c r="C82" s="75" t="s">
        <v>784</v>
      </c>
      <c r="D82" s="88">
        <v>734755</v>
      </c>
      <c r="G82" s="1"/>
      <c r="L82" s="1"/>
      <c r="M82" s="1"/>
    </row>
    <row r="83" spans="1:13" s="2" customFormat="1" x14ac:dyDescent="0.2">
      <c r="A83" s="87">
        <v>45070</v>
      </c>
      <c r="B83" s="120" t="s">
        <v>6</v>
      </c>
      <c r="C83" s="75" t="s">
        <v>270</v>
      </c>
      <c r="D83" s="88">
        <v>1147013</v>
      </c>
      <c r="G83" s="1"/>
      <c r="L83" s="1"/>
      <c r="M83" s="1"/>
    </row>
    <row r="84" spans="1:13" s="2" customFormat="1" x14ac:dyDescent="0.2">
      <c r="A84" s="87">
        <v>45070</v>
      </c>
      <c r="B84" s="120" t="s">
        <v>6</v>
      </c>
      <c r="C84" s="75" t="s">
        <v>270</v>
      </c>
      <c r="D84" s="88">
        <v>2489665</v>
      </c>
      <c r="G84" s="1"/>
      <c r="L84" s="1"/>
      <c r="M84" s="1"/>
    </row>
    <row r="85" spans="1:13" s="2" customFormat="1" x14ac:dyDescent="0.2">
      <c r="A85" s="87">
        <v>45070</v>
      </c>
      <c r="B85" s="120" t="s">
        <v>6</v>
      </c>
      <c r="C85" s="75" t="s">
        <v>270</v>
      </c>
      <c r="D85" s="88">
        <v>306124</v>
      </c>
      <c r="G85" s="1"/>
      <c r="L85" s="1"/>
      <c r="M85" s="1"/>
    </row>
    <row r="86" spans="1:13" s="2" customFormat="1" x14ac:dyDescent="0.2">
      <c r="A86" s="87">
        <v>45070</v>
      </c>
      <c r="B86" s="120" t="s">
        <v>6</v>
      </c>
      <c r="C86" s="75" t="s">
        <v>86</v>
      </c>
      <c r="D86" s="88">
        <v>4992840</v>
      </c>
      <c r="G86" s="1"/>
      <c r="L86" s="1"/>
      <c r="M86" s="1"/>
    </row>
    <row r="87" spans="1:13" s="2" customFormat="1" x14ac:dyDescent="0.2">
      <c r="A87" s="87">
        <v>45071</v>
      </c>
      <c r="B87" s="120" t="s">
        <v>6</v>
      </c>
      <c r="C87" s="75" t="s">
        <v>270</v>
      </c>
      <c r="D87" s="88">
        <v>107384</v>
      </c>
      <c r="G87" s="1"/>
      <c r="L87" s="1"/>
      <c r="M87" s="1"/>
    </row>
    <row r="88" spans="1:13" s="2" customFormat="1" x14ac:dyDescent="0.2">
      <c r="A88" s="87">
        <v>45071</v>
      </c>
      <c r="B88" s="120" t="s">
        <v>6</v>
      </c>
      <c r="C88" s="75" t="s">
        <v>18</v>
      </c>
      <c r="D88" s="88">
        <v>538125</v>
      </c>
      <c r="G88" s="1"/>
      <c r="L88" s="1"/>
      <c r="M88" s="1"/>
    </row>
    <row r="89" spans="1:13" s="2" customFormat="1" x14ac:dyDescent="0.2">
      <c r="A89" s="87">
        <v>45072</v>
      </c>
      <c r="B89" s="120" t="s">
        <v>6</v>
      </c>
      <c r="C89" s="75" t="s">
        <v>84</v>
      </c>
      <c r="D89" s="88">
        <v>2000000</v>
      </c>
      <c r="G89" s="1"/>
      <c r="L89" s="1"/>
      <c r="M89" s="1"/>
    </row>
    <row r="90" spans="1:13" s="2" customFormat="1" x14ac:dyDescent="0.2">
      <c r="A90" s="87">
        <v>45072</v>
      </c>
      <c r="B90" s="120" t="s">
        <v>6</v>
      </c>
      <c r="C90" s="75" t="s">
        <v>594</v>
      </c>
      <c r="D90" s="88">
        <v>8866315</v>
      </c>
      <c r="G90" s="1"/>
      <c r="L90" s="1"/>
      <c r="M90" s="1"/>
    </row>
    <row r="91" spans="1:13" s="2" customFormat="1" x14ac:dyDescent="0.2">
      <c r="A91" s="87"/>
      <c r="B91" s="74"/>
      <c r="C91" s="75"/>
      <c r="D91" s="51">
        <f>SUM(D50:D90)</f>
        <v>83992239</v>
      </c>
      <c r="F91" s="2" t="s">
        <v>396</v>
      </c>
      <c r="G91" s="1"/>
      <c r="I91" s="1"/>
      <c r="J91" s="1"/>
      <c r="K91" s="1"/>
      <c r="L91" s="1"/>
      <c r="M91" s="1"/>
    </row>
    <row r="92" spans="1:13" s="2" customFormat="1" x14ac:dyDescent="0.2">
      <c r="A92" s="24"/>
      <c r="B92" s="1"/>
      <c r="C92" s="14"/>
      <c r="D92" s="56"/>
      <c r="E92" s="13"/>
      <c r="G92" s="1"/>
    </row>
    <row r="93" spans="1:13" s="2" customFormat="1" x14ac:dyDescent="0.2">
      <c r="A93" s="24"/>
      <c r="B93" s="1"/>
      <c r="C93" s="218" t="s">
        <v>77</v>
      </c>
      <c r="D93" s="219"/>
      <c r="E93" s="219"/>
      <c r="F93" s="220"/>
      <c r="G93" s="54"/>
      <c r="I93" s="1"/>
      <c r="J93" s="1"/>
      <c r="K93" s="1"/>
      <c r="L93" s="1"/>
      <c r="M93" s="1"/>
    </row>
    <row r="94" spans="1:13" s="2" customFormat="1" x14ac:dyDescent="0.2">
      <c r="A94" s="24"/>
      <c r="B94" s="1"/>
      <c r="C94" s="50"/>
      <c r="D94" s="57" t="s">
        <v>78</v>
      </c>
      <c r="E94" s="58" t="s">
        <v>79</v>
      </c>
      <c r="F94" s="57" t="s">
        <v>72</v>
      </c>
      <c r="G94" s="54"/>
      <c r="I94" s="1"/>
      <c r="J94" s="1"/>
      <c r="K94" s="1"/>
      <c r="L94" s="1"/>
      <c r="M94" s="1"/>
    </row>
    <row r="95" spans="1:13" s="2" customFormat="1" x14ac:dyDescent="0.2">
      <c r="A95" s="24"/>
      <c r="B95" s="1"/>
      <c r="C95" s="59" t="str">
        <f>"01-05-2023 to "&amp;TEXT(A5-2,"dd-mm-yyyy")</f>
        <v>01-05-2023 to 25-05-2023</v>
      </c>
      <c r="D95" s="60">
        <v>3726.65</v>
      </c>
      <c r="E95" s="60">
        <v>313.58</v>
      </c>
      <c r="F95" s="61">
        <f>SUM(D95:E95)</f>
        <v>4040.23</v>
      </c>
      <c r="G95" s="54"/>
      <c r="I95" s="1"/>
      <c r="J95" s="1"/>
      <c r="K95" s="1"/>
      <c r="L95" s="1"/>
      <c r="M95" s="1"/>
    </row>
    <row r="96" spans="1:13" s="2" customFormat="1" x14ac:dyDescent="0.2">
      <c r="A96" s="24"/>
      <c r="B96" s="1"/>
      <c r="C96" s="62" t="str">
        <f>TEXT(A5-1,"dd-mm-yyyy")</f>
        <v>26-05-2023</v>
      </c>
      <c r="D96" s="60">
        <v>252.69</v>
      </c>
      <c r="E96" s="60">
        <v>11.59</v>
      </c>
      <c r="F96" s="61">
        <f>SUM(D96:E96)</f>
        <v>264.27999999999997</v>
      </c>
      <c r="G96" s="54"/>
      <c r="I96" s="1"/>
      <c r="J96" s="1"/>
      <c r="K96" s="1"/>
      <c r="L96" s="1"/>
      <c r="M96" s="1"/>
    </row>
    <row r="97" spans="1:10" ht="13.5" thickBot="1" x14ac:dyDescent="0.25">
      <c r="C97" s="63" t="str">
        <f>"01-05-2023 to "&amp;TEXT(A5-1,"dd-mm-yyyy")</f>
        <v>01-05-2023 to 26-05-2023</v>
      </c>
      <c r="D97" s="64">
        <f>SUM(D95:D96)</f>
        <v>3979.34</v>
      </c>
      <c r="E97" s="64">
        <f>SUM(E95:E96)</f>
        <v>325.16999999999996</v>
      </c>
      <c r="F97" s="64">
        <f>SUM(F95:F96)</f>
        <v>4304.51</v>
      </c>
      <c r="G97" s="54"/>
      <c r="H97" s="2" t="s">
        <v>396</v>
      </c>
    </row>
    <row r="98" spans="1:10" s="2" customFormat="1" ht="13.5" thickTop="1" x14ac:dyDescent="0.2">
      <c r="A98" s="24"/>
      <c r="B98" s="1"/>
      <c r="C98" s="62"/>
      <c r="D98" s="65"/>
      <c r="E98" s="66"/>
      <c r="F98" s="67"/>
      <c r="G98" s="54"/>
      <c r="H98" s="53"/>
    </row>
    <row r="99" spans="1:10" x14ac:dyDescent="0.2">
      <c r="C99" s="62" t="str">
        <f>"01-04-2023 to " &amp;C96</f>
        <v>01-04-2023 to 26-05-2023</v>
      </c>
      <c r="D99" s="68">
        <f>+D97+4343.67</f>
        <v>8323.01</v>
      </c>
      <c r="E99" s="68">
        <f>+E97+536.17</f>
        <v>861.33999999999992</v>
      </c>
      <c r="F99" s="68">
        <f>+F97+4879.84</f>
        <v>9184.35</v>
      </c>
      <c r="G99" s="54"/>
      <c r="H99" s="53" t="s">
        <v>396</v>
      </c>
    </row>
    <row r="100" spans="1:10" x14ac:dyDescent="0.2">
      <c r="C100" s="52"/>
      <c r="D100" s="85"/>
      <c r="E100" s="53"/>
      <c r="F100" s="53"/>
      <c r="G100" s="54"/>
      <c r="H100" s="53" t="s">
        <v>396</v>
      </c>
      <c r="J100" s="42"/>
    </row>
    <row r="101" spans="1:10" x14ac:dyDescent="0.2">
      <c r="C101" s="52"/>
      <c r="D101" s="85"/>
      <c r="E101" s="53"/>
      <c r="F101" s="53"/>
      <c r="G101" s="54"/>
      <c r="H101" s="53"/>
      <c r="I101" s="101"/>
    </row>
    <row r="102" spans="1:10" x14ac:dyDescent="0.2">
      <c r="C102" s="52"/>
      <c r="D102" s="85"/>
      <c r="E102" s="53"/>
      <c r="F102" s="53"/>
      <c r="G102" s="54"/>
      <c r="H102" s="53"/>
    </row>
    <row r="103" spans="1:10" x14ac:dyDescent="0.2">
      <c r="C103" s="52"/>
      <c r="D103" s="85"/>
      <c r="E103" s="53"/>
      <c r="F103" s="53"/>
      <c r="G103" s="54"/>
      <c r="H103" s="53"/>
    </row>
    <row r="104" spans="1:10" x14ac:dyDescent="0.2">
      <c r="H104" s="53"/>
    </row>
  </sheetData>
  <mergeCells count="5">
    <mergeCell ref="A1:G1"/>
    <mergeCell ref="A3:F3"/>
    <mergeCell ref="A9:F9"/>
    <mergeCell ref="A48:D48"/>
    <mergeCell ref="C93:F93"/>
  </mergeCells>
  <conditionalFormatting sqref="G45:G46">
    <cfRule type="cellIs" dxfId="538" priority="1" operator="lessThan">
      <formula>0</formula>
    </cfRule>
  </conditionalFormatting>
  <conditionalFormatting sqref="C11">
    <cfRule type="duplicateValues" dxfId="537" priority="2"/>
  </conditionalFormatting>
  <conditionalFormatting sqref="C12:C25">
    <cfRule type="duplicateValues" dxfId="536" priority="509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337">
    <pageSetUpPr fitToPage="1"/>
  </sheetPr>
  <dimension ref="A1:N132"/>
  <sheetViews>
    <sheetView topLeftCell="A109" zoomScaleNormal="100" workbookViewId="0">
      <selection activeCell="C46" sqref="C46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47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1023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45075</v>
      </c>
      <c r="B5" s="9" t="s">
        <v>6</v>
      </c>
      <c r="C5" s="10" t="s">
        <v>7</v>
      </c>
      <c r="D5" s="11"/>
      <c r="E5" s="12">
        <v>219062.70000000019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219062.70000000019</v>
      </c>
      <c r="F6" s="16"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+E6</f>
        <v>219062.70000000019</v>
      </c>
      <c r="F7" s="22"/>
      <c r="G7" s="23"/>
      <c r="H7" s="112"/>
      <c r="I7" s="112"/>
      <c r="J7" s="13"/>
    </row>
    <row r="8" spans="1:10" s="2" customFormat="1" ht="12.75" customHeight="1" x14ac:dyDescent="0.4">
      <c r="A8" s="24"/>
      <c r="B8" s="1"/>
      <c r="C8" s="14"/>
      <c r="D8" s="25"/>
      <c r="G8" s="23"/>
      <c r="H8" s="112"/>
      <c r="I8" s="112"/>
      <c r="J8" s="13"/>
    </row>
    <row r="9" spans="1:10" s="2" customFormat="1" ht="21.75" customHeight="1" x14ac:dyDescent="0.4">
      <c r="A9" s="214" t="s">
        <v>10</v>
      </c>
      <c r="B9" s="214"/>
      <c r="C9" s="214"/>
      <c r="D9" s="214"/>
      <c r="E9" s="214"/>
      <c r="F9" s="214"/>
      <c r="G9" s="13"/>
      <c r="H9" s="112"/>
      <c r="I9" s="112"/>
      <c r="J9" s="13"/>
    </row>
    <row r="10" spans="1:10" s="2" customFormat="1" ht="12.75" customHeight="1" x14ac:dyDescent="0.4">
      <c r="A10" s="26" t="s">
        <v>1</v>
      </c>
      <c r="B10" s="27" t="s">
        <v>2</v>
      </c>
      <c r="C10" s="5"/>
      <c r="D10" s="6" t="s">
        <v>3</v>
      </c>
      <c r="E10" s="7" t="s">
        <v>4</v>
      </c>
      <c r="F10" s="7" t="s">
        <v>5</v>
      </c>
      <c r="G10" s="23"/>
      <c r="H10" s="112"/>
      <c r="I10" s="112"/>
      <c r="J10" s="13"/>
    </row>
    <row r="11" spans="1:10" s="2" customFormat="1" ht="12.75" customHeight="1" x14ac:dyDescent="0.2">
      <c r="A11" s="89">
        <v>45075</v>
      </c>
      <c r="B11" s="91" t="s">
        <v>11</v>
      </c>
      <c r="C11" s="29" t="s">
        <v>7</v>
      </c>
      <c r="D11" s="25"/>
      <c r="E11" s="31"/>
      <c r="F11" s="2">
        <v>288039722.71999991</v>
      </c>
      <c r="G11" s="30"/>
      <c r="I11" s="13"/>
      <c r="J11" s="13"/>
    </row>
    <row r="12" spans="1:10" s="2" customFormat="1" ht="12.75" customHeight="1" x14ac:dyDescent="0.2">
      <c r="A12" s="89">
        <v>45075</v>
      </c>
      <c r="B12" s="91" t="s">
        <v>6</v>
      </c>
      <c r="C12" s="76" t="s">
        <v>15</v>
      </c>
      <c r="D12" s="116" t="s">
        <v>13</v>
      </c>
      <c r="E12" s="31">
        <v>1109240.5599999998</v>
      </c>
      <c r="G12" s="30"/>
      <c r="I12" s="13"/>
      <c r="J12" s="13"/>
    </row>
    <row r="13" spans="1:10" s="2" customFormat="1" ht="12.75" customHeight="1" x14ac:dyDescent="0.2">
      <c r="A13" s="89">
        <v>45075</v>
      </c>
      <c r="B13" s="91" t="s">
        <v>6</v>
      </c>
      <c r="C13" s="76" t="s">
        <v>405</v>
      </c>
      <c r="D13" s="116" t="s">
        <v>13</v>
      </c>
      <c r="E13" s="31">
        <v>3347502</v>
      </c>
      <c r="G13" s="30"/>
      <c r="I13" s="13"/>
      <c r="J13" s="13"/>
    </row>
    <row r="14" spans="1:10" s="2" customFormat="1" ht="12.75" customHeight="1" x14ac:dyDescent="0.2">
      <c r="A14" s="89">
        <v>45075</v>
      </c>
      <c r="B14" s="91" t="s">
        <v>6</v>
      </c>
      <c r="C14" s="76" t="s">
        <v>788</v>
      </c>
      <c r="D14" s="116" t="s">
        <v>13</v>
      </c>
      <c r="E14" s="31">
        <v>81633</v>
      </c>
      <c r="G14" s="30"/>
      <c r="I14" s="13"/>
      <c r="J14" s="13"/>
    </row>
    <row r="15" spans="1:10" s="2" customFormat="1" ht="12.75" customHeight="1" x14ac:dyDescent="0.2">
      <c r="A15" s="89">
        <v>45075</v>
      </c>
      <c r="B15" s="91" t="s">
        <v>6</v>
      </c>
      <c r="C15" s="76" t="s">
        <v>173</v>
      </c>
      <c r="D15" s="116" t="s">
        <v>13</v>
      </c>
      <c r="E15" s="31">
        <v>2191486</v>
      </c>
      <c r="G15" s="30"/>
      <c r="I15" s="13"/>
      <c r="J15" s="13"/>
    </row>
    <row r="16" spans="1:10" s="2" customFormat="1" ht="12.75" customHeight="1" x14ac:dyDescent="0.2">
      <c r="A16" s="89">
        <v>45075</v>
      </c>
      <c r="B16" s="91" t="s">
        <v>6</v>
      </c>
      <c r="C16" s="76" t="s">
        <v>144</v>
      </c>
      <c r="D16" s="116" t="s">
        <v>13</v>
      </c>
      <c r="E16" s="31">
        <v>3023850</v>
      </c>
      <c r="G16" s="30"/>
      <c r="I16" s="13"/>
      <c r="J16" s="13"/>
    </row>
    <row r="17" spans="1:10" s="2" customFormat="1" ht="12.75" customHeight="1" x14ac:dyDescent="0.2">
      <c r="A17" s="89">
        <v>45075</v>
      </c>
      <c r="B17" s="91" t="s">
        <v>6</v>
      </c>
      <c r="C17" s="76" t="s">
        <v>1020</v>
      </c>
      <c r="D17" s="116" t="s">
        <v>13</v>
      </c>
      <c r="E17" s="31">
        <v>4750</v>
      </c>
      <c r="G17" s="30"/>
      <c r="I17" s="13"/>
      <c r="J17" s="13"/>
    </row>
    <row r="18" spans="1:10" s="2" customFormat="1" ht="12.75" customHeight="1" x14ac:dyDescent="0.2">
      <c r="A18" s="89">
        <v>45075</v>
      </c>
      <c r="B18" s="91" t="s">
        <v>6</v>
      </c>
      <c r="C18" s="76" t="s">
        <v>457</v>
      </c>
      <c r="D18" s="116" t="s">
        <v>13</v>
      </c>
      <c r="E18" s="31">
        <v>150266</v>
      </c>
      <c r="G18" s="30"/>
      <c r="I18" s="13"/>
      <c r="J18" s="13"/>
    </row>
    <row r="19" spans="1:10" s="2" customFormat="1" ht="12.75" customHeight="1" x14ac:dyDescent="0.2">
      <c r="A19" s="89">
        <v>45075</v>
      </c>
      <c r="B19" s="91" t="s">
        <v>6</v>
      </c>
      <c r="C19" s="76" t="s">
        <v>966</v>
      </c>
      <c r="D19" s="116" t="s">
        <v>13</v>
      </c>
      <c r="E19" s="31">
        <v>24782</v>
      </c>
      <c r="G19" s="30"/>
      <c r="I19" s="13"/>
      <c r="J19" s="13"/>
    </row>
    <row r="20" spans="1:10" s="2" customFormat="1" ht="12.75" customHeight="1" x14ac:dyDescent="0.2">
      <c r="A20" s="89">
        <v>45075</v>
      </c>
      <c r="B20" s="91" t="s">
        <v>6</v>
      </c>
      <c r="C20" s="76" t="s">
        <v>1021</v>
      </c>
      <c r="D20" s="116" t="s">
        <v>13</v>
      </c>
      <c r="E20" s="31">
        <v>193594</v>
      </c>
      <c r="G20" s="30"/>
      <c r="I20" s="13"/>
      <c r="J20" s="13"/>
    </row>
    <row r="21" spans="1:10" s="2" customFormat="1" ht="12.75" customHeight="1" x14ac:dyDescent="0.2">
      <c r="A21" s="89">
        <v>45075</v>
      </c>
      <c r="B21" s="91" t="s">
        <v>6</v>
      </c>
      <c r="C21" s="76" t="s">
        <v>379</v>
      </c>
      <c r="D21" s="116" t="s">
        <v>13</v>
      </c>
      <c r="E21" s="31">
        <v>339937.29</v>
      </c>
      <c r="G21" s="30"/>
      <c r="I21" s="13"/>
      <c r="J21" s="13"/>
    </row>
    <row r="22" spans="1:10" s="2" customFormat="1" ht="12.75" customHeight="1" x14ac:dyDescent="0.2">
      <c r="A22" s="89">
        <v>45075</v>
      </c>
      <c r="B22" s="91" t="s">
        <v>6</v>
      </c>
      <c r="C22" s="76" t="s">
        <v>960</v>
      </c>
      <c r="D22" s="116" t="s">
        <v>13</v>
      </c>
      <c r="E22" s="31">
        <v>1523139</v>
      </c>
      <c r="G22" s="30"/>
      <c r="I22" s="13"/>
      <c r="J22" s="13"/>
    </row>
    <row r="23" spans="1:10" s="2" customFormat="1" ht="12.75" customHeight="1" x14ac:dyDescent="0.2">
      <c r="A23" s="89">
        <v>45075</v>
      </c>
      <c r="B23" s="91" t="s">
        <v>6</v>
      </c>
      <c r="C23" s="76" t="s">
        <v>1022</v>
      </c>
      <c r="D23" s="116" t="s">
        <v>13</v>
      </c>
      <c r="E23" s="31">
        <v>346788</v>
      </c>
      <c r="G23" s="30"/>
      <c r="I23" s="13"/>
      <c r="J23" s="13"/>
    </row>
    <row r="24" spans="1:10" s="2" customFormat="1" ht="12.75" customHeight="1" x14ac:dyDescent="0.2">
      <c r="A24" s="89">
        <v>45075</v>
      </c>
      <c r="B24" s="91" t="s">
        <v>6</v>
      </c>
      <c r="C24" s="76" t="s">
        <v>419</v>
      </c>
      <c r="D24" s="116" t="s">
        <v>13</v>
      </c>
      <c r="E24" s="31">
        <v>995987</v>
      </c>
      <c r="G24" s="30"/>
      <c r="I24" s="13"/>
      <c r="J24" s="13"/>
    </row>
    <row r="25" spans="1:10" s="2" customFormat="1" ht="12.75" customHeight="1" x14ac:dyDescent="0.2">
      <c r="A25" s="89">
        <v>45075</v>
      </c>
      <c r="B25" s="91" t="s">
        <v>6</v>
      </c>
      <c r="C25" s="76" t="s">
        <v>145</v>
      </c>
      <c r="D25" s="116" t="s">
        <v>13</v>
      </c>
      <c r="E25" s="31">
        <v>947851</v>
      </c>
      <c r="G25" s="30"/>
      <c r="I25" s="13"/>
      <c r="J25" s="13"/>
    </row>
    <row r="26" spans="1:10" s="2" customFormat="1" ht="12.75" customHeight="1" x14ac:dyDescent="0.2">
      <c r="A26" s="89">
        <v>45075</v>
      </c>
      <c r="B26" s="91" t="s">
        <v>6</v>
      </c>
      <c r="C26" s="76" t="s">
        <v>746</v>
      </c>
      <c r="D26" s="116" t="s">
        <v>13</v>
      </c>
      <c r="E26" s="31">
        <v>4725</v>
      </c>
      <c r="G26" s="30"/>
      <c r="I26" s="13"/>
      <c r="J26" s="13"/>
    </row>
    <row r="27" spans="1:10" s="2" customFormat="1" ht="12.75" customHeight="1" x14ac:dyDescent="0.2">
      <c r="A27" s="89">
        <v>45075</v>
      </c>
      <c r="B27" s="91" t="s">
        <v>6</v>
      </c>
      <c r="C27" s="76" t="s">
        <v>16</v>
      </c>
      <c r="D27" s="116" t="s">
        <v>13</v>
      </c>
      <c r="E27" s="31">
        <v>302306.51</v>
      </c>
      <c r="G27" s="30"/>
      <c r="I27" s="13"/>
      <c r="J27" s="13"/>
    </row>
    <row r="28" spans="1:10" s="2" customFormat="1" ht="12.75" customHeight="1" x14ac:dyDescent="0.2">
      <c r="A28" s="89">
        <v>45075</v>
      </c>
      <c r="B28" s="91" t="s">
        <v>6</v>
      </c>
      <c r="C28" s="76" t="s">
        <v>159</v>
      </c>
      <c r="D28" s="116" t="s">
        <v>13</v>
      </c>
      <c r="E28" s="31">
        <v>962372</v>
      </c>
      <c r="G28" s="30"/>
      <c r="I28" s="13"/>
      <c r="J28" s="13"/>
    </row>
    <row r="29" spans="1:10" s="2" customFormat="1" ht="12.75" customHeight="1" x14ac:dyDescent="0.2">
      <c r="A29" s="89">
        <v>45075</v>
      </c>
      <c r="B29" s="91" t="s">
        <v>6</v>
      </c>
      <c r="C29" s="76" t="s">
        <v>244</v>
      </c>
      <c r="D29" s="116" t="s">
        <v>13</v>
      </c>
      <c r="E29" s="31">
        <v>1004605</v>
      </c>
      <c r="G29" s="30"/>
      <c r="I29" s="13"/>
      <c r="J29" s="13"/>
    </row>
    <row r="30" spans="1:10" s="2" customFormat="1" ht="12.75" customHeight="1" x14ac:dyDescent="0.2">
      <c r="A30" s="89">
        <v>45075</v>
      </c>
      <c r="B30" s="91" t="s">
        <v>11</v>
      </c>
      <c r="C30" s="76" t="s">
        <v>62</v>
      </c>
      <c r="D30" s="116" t="s">
        <v>29</v>
      </c>
      <c r="E30" s="31"/>
      <c r="F30" s="2">
        <v>600000</v>
      </c>
      <c r="G30" s="30"/>
      <c r="I30" s="13"/>
      <c r="J30" s="13"/>
    </row>
    <row r="31" spans="1:10" s="2" customFormat="1" ht="12.75" customHeight="1" x14ac:dyDescent="0.2">
      <c r="A31" s="89">
        <v>45075</v>
      </c>
      <c r="B31" s="91" t="s">
        <v>11</v>
      </c>
      <c r="C31" s="76" t="s">
        <v>236</v>
      </c>
      <c r="D31" s="116" t="s">
        <v>29</v>
      </c>
      <c r="E31" s="31"/>
      <c r="F31" s="2">
        <v>2000000</v>
      </c>
      <c r="G31" s="30"/>
      <c r="I31" s="13"/>
      <c r="J31" s="13"/>
    </row>
    <row r="32" spans="1:10" s="2" customFormat="1" ht="12.75" customHeight="1" x14ac:dyDescent="0.2">
      <c r="A32" s="89">
        <v>45075</v>
      </c>
      <c r="B32" s="91" t="s">
        <v>11</v>
      </c>
      <c r="C32" s="76" t="s">
        <v>194</v>
      </c>
      <c r="D32" s="116" t="s">
        <v>29</v>
      </c>
      <c r="E32" s="31"/>
      <c r="F32" s="2">
        <v>821212</v>
      </c>
      <c r="G32" s="30"/>
      <c r="I32" s="13"/>
      <c r="J32" s="13"/>
    </row>
    <row r="33" spans="1:13" s="2" customFormat="1" ht="12.75" customHeight="1" x14ac:dyDescent="0.2">
      <c r="A33" s="89">
        <v>45075</v>
      </c>
      <c r="B33" s="91" t="s">
        <v>11</v>
      </c>
      <c r="C33" s="76" t="s">
        <v>292</v>
      </c>
      <c r="D33" s="116" t="s">
        <v>29</v>
      </c>
      <c r="E33" s="31"/>
      <c r="F33" s="2">
        <v>8501.69</v>
      </c>
      <c r="G33" s="30"/>
      <c r="I33" s="13"/>
      <c r="J33" s="13"/>
    </row>
    <row r="34" spans="1:13" s="2" customFormat="1" ht="12.75" customHeight="1" x14ac:dyDescent="0.2">
      <c r="A34" s="89">
        <v>45075</v>
      </c>
      <c r="B34" s="91" t="s">
        <v>11</v>
      </c>
      <c r="C34" s="76" t="s">
        <v>64</v>
      </c>
      <c r="D34" s="116" t="s">
        <v>29</v>
      </c>
      <c r="E34" s="31"/>
      <c r="F34" s="2">
        <v>5455.01</v>
      </c>
      <c r="G34" s="30"/>
      <c r="I34" s="13"/>
      <c r="J34" s="13"/>
    </row>
    <row r="35" spans="1:13" s="2" customFormat="1" ht="12.75" customHeight="1" x14ac:dyDescent="0.2">
      <c r="A35" s="89">
        <v>45075</v>
      </c>
      <c r="B35" s="91" t="s">
        <v>11</v>
      </c>
      <c r="C35" s="76" t="s">
        <v>57</v>
      </c>
      <c r="D35" s="116" t="s">
        <v>29</v>
      </c>
      <c r="E35" s="31"/>
      <c r="F35" s="2">
        <v>6000000</v>
      </c>
      <c r="G35" s="30"/>
      <c r="I35" s="13"/>
      <c r="J35" s="13"/>
    </row>
    <row r="36" spans="1:13" s="2" customFormat="1" ht="12.75" customHeight="1" x14ac:dyDescent="0.2">
      <c r="A36" s="89">
        <v>45075</v>
      </c>
      <c r="B36" s="91" t="s">
        <v>11</v>
      </c>
      <c r="C36" s="76" t="s">
        <v>199</v>
      </c>
      <c r="D36" s="116" t="s">
        <v>29</v>
      </c>
      <c r="E36" s="31"/>
      <c r="F36" s="2">
        <v>920353</v>
      </c>
      <c r="G36" s="30"/>
      <c r="I36" s="13"/>
      <c r="J36" s="13"/>
    </row>
    <row r="37" spans="1:13" s="2" customFormat="1" ht="12.75" customHeight="1" x14ac:dyDescent="0.2">
      <c r="A37" s="89">
        <v>45075</v>
      </c>
      <c r="B37" s="91" t="s">
        <v>11</v>
      </c>
      <c r="C37" s="76" t="s">
        <v>63</v>
      </c>
      <c r="D37" s="116" t="s">
        <v>29</v>
      </c>
      <c r="E37" s="31"/>
      <c r="F37" s="2">
        <v>3000000</v>
      </c>
      <c r="G37" s="30"/>
      <c r="I37" s="13"/>
      <c r="J37" s="13"/>
    </row>
    <row r="38" spans="1:13" s="2" customFormat="1" ht="12.75" customHeight="1" x14ac:dyDescent="0.2">
      <c r="A38" s="89">
        <v>45075</v>
      </c>
      <c r="B38" s="91" t="s">
        <v>11</v>
      </c>
      <c r="C38" s="76" t="s">
        <v>790</v>
      </c>
      <c r="D38" s="116" t="s">
        <v>29</v>
      </c>
      <c r="E38" s="31"/>
      <c r="F38" s="2">
        <v>1360292</v>
      </c>
      <c r="G38" s="30"/>
      <c r="I38" s="13"/>
      <c r="J38" s="13"/>
    </row>
    <row r="39" spans="1:13" s="2" customFormat="1" ht="12.75" customHeight="1" x14ac:dyDescent="0.2">
      <c r="A39" s="89">
        <v>45075</v>
      </c>
      <c r="B39" s="91" t="s">
        <v>11</v>
      </c>
      <c r="C39" s="76" t="s">
        <v>256</v>
      </c>
      <c r="D39" s="116" t="s">
        <v>29</v>
      </c>
      <c r="E39" s="31"/>
      <c r="F39" s="2">
        <v>182664</v>
      </c>
      <c r="G39" s="30"/>
      <c r="I39" s="13"/>
      <c r="J39" s="13"/>
    </row>
    <row r="40" spans="1:13" s="2" customFormat="1" ht="12.75" customHeight="1" x14ac:dyDescent="0.2">
      <c r="A40" s="89">
        <v>45075</v>
      </c>
      <c r="B40" s="91" t="s">
        <v>11</v>
      </c>
      <c r="C40" s="76" t="s">
        <v>849</v>
      </c>
      <c r="D40" s="116" t="s">
        <v>29</v>
      </c>
      <c r="E40" s="31"/>
      <c r="F40" s="2">
        <v>493530</v>
      </c>
      <c r="G40" s="30"/>
      <c r="I40" s="13"/>
      <c r="J40" s="13"/>
      <c r="K40" s="2" t="s">
        <v>396</v>
      </c>
    </row>
    <row r="41" spans="1:13" s="2" customFormat="1" ht="12.75" customHeight="1" x14ac:dyDescent="0.2">
      <c r="A41" s="89">
        <v>45075</v>
      </c>
      <c r="B41" s="91" t="s">
        <v>11</v>
      </c>
      <c r="C41" s="76" t="s">
        <v>395</v>
      </c>
      <c r="D41" s="116" t="s">
        <v>29</v>
      </c>
      <c r="E41" s="31"/>
      <c r="F41" s="2">
        <v>500000</v>
      </c>
      <c r="G41" s="30"/>
      <c r="I41" s="13"/>
      <c r="J41" s="13"/>
    </row>
    <row r="42" spans="1:13" s="2" customFormat="1" ht="12.75" customHeight="1" x14ac:dyDescent="0.2">
      <c r="A42" s="89">
        <v>45075</v>
      </c>
      <c r="B42" s="91" t="s">
        <v>11</v>
      </c>
      <c r="C42" s="76" t="s">
        <v>533</v>
      </c>
      <c r="D42" s="116" t="s">
        <v>29</v>
      </c>
      <c r="E42" s="31"/>
      <c r="F42" s="2">
        <f>2596046-2544274</f>
        <v>51772</v>
      </c>
      <c r="G42" s="30"/>
      <c r="I42" s="13"/>
      <c r="J42" s="13"/>
      <c r="K42" s="2">
        <v>-842607</v>
      </c>
    </row>
    <row r="43" spans="1:13" s="2" customFormat="1" ht="12.75" customHeight="1" x14ac:dyDescent="0.2">
      <c r="A43" s="89">
        <v>45075</v>
      </c>
      <c r="B43" s="91" t="s">
        <v>11</v>
      </c>
      <c r="C43" s="76" t="s">
        <v>745</v>
      </c>
      <c r="D43" s="116" t="s">
        <v>29</v>
      </c>
      <c r="E43" s="31"/>
      <c r="F43" s="2">
        <v>1202569</v>
      </c>
      <c r="G43" s="30"/>
      <c r="I43" s="13" t="s">
        <v>396</v>
      </c>
      <c r="J43" s="13"/>
    </row>
    <row r="44" spans="1:13" s="2" customFormat="1" ht="12.75" customHeight="1" x14ac:dyDescent="0.2">
      <c r="A44" s="89">
        <v>45075</v>
      </c>
      <c r="B44" s="91" t="s">
        <v>11</v>
      </c>
      <c r="C44" s="76" t="s">
        <v>193</v>
      </c>
      <c r="D44" s="116" t="s">
        <v>29</v>
      </c>
      <c r="E44" s="31"/>
      <c r="F44" s="2">
        <v>431430</v>
      </c>
      <c r="G44" s="30"/>
      <c r="I44" s="13"/>
      <c r="J44" s="13"/>
    </row>
    <row r="45" spans="1:13" s="2" customFormat="1" ht="12.75" customHeight="1" x14ac:dyDescent="0.2">
      <c r="A45" s="89">
        <v>45075</v>
      </c>
      <c r="B45" s="91" t="s">
        <v>11</v>
      </c>
      <c r="C45" s="76" t="s">
        <v>111</v>
      </c>
      <c r="D45" s="116" t="s">
        <v>29</v>
      </c>
      <c r="E45" s="31"/>
      <c r="F45" s="2">
        <v>8730370.2199999988</v>
      </c>
      <c r="G45" s="30"/>
      <c r="I45" s="13"/>
      <c r="J45" s="13"/>
    </row>
    <row r="46" spans="1:13" s="2" customFormat="1" ht="12.75" customHeight="1" x14ac:dyDescent="0.2">
      <c r="A46" s="89">
        <v>45075</v>
      </c>
      <c r="B46" s="91" t="s">
        <v>11</v>
      </c>
      <c r="C46" s="76" t="s">
        <v>125</v>
      </c>
      <c r="D46" s="116" t="s">
        <v>29</v>
      </c>
      <c r="E46" s="31"/>
      <c r="F46" s="2">
        <v>824912</v>
      </c>
      <c r="G46" s="30"/>
      <c r="I46" s="13"/>
      <c r="J46" s="13" t="s">
        <v>601</v>
      </c>
      <c r="K46" s="25" t="s">
        <v>779</v>
      </c>
    </row>
    <row r="47" spans="1:13" s="2" customFormat="1" ht="12.75" customHeight="1" x14ac:dyDescent="0.25">
      <c r="A47" s="32"/>
      <c r="B47" s="33"/>
      <c r="C47" s="14"/>
      <c r="D47" s="34"/>
      <c r="E47" s="16">
        <f>SUM(E11:E46)</f>
        <v>16554814.359999998</v>
      </c>
      <c r="F47" s="16">
        <f>SUM(F11:F46)</f>
        <v>315172783.63999987</v>
      </c>
      <c r="G47" s="30"/>
      <c r="H47" s="1"/>
      <c r="I47" s="39">
        <v>302004850.27999997</v>
      </c>
      <c r="J47" s="2">
        <f>842607+2544274</f>
        <v>3386881</v>
      </c>
      <c r="K47" s="92">
        <f>E48-I47</f>
        <v>-3386881.0000001192</v>
      </c>
      <c r="L47" s="41"/>
      <c r="M47" s="42"/>
    </row>
    <row r="48" spans="1:13" s="2" customFormat="1" ht="12.75" customHeight="1" x14ac:dyDescent="0.2">
      <c r="A48" s="36"/>
      <c r="B48" s="28" t="s">
        <v>11</v>
      </c>
      <c r="C48" s="19" t="s">
        <v>65</v>
      </c>
      <c r="D48" s="37"/>
      <c r="E48" s="38">
        <f>F47-E47</f>
        <v>298617969.27999985</v>
      </c>
      <c r="F48" s="22"/>
      <c r="G48" s="1"/>
      <c r="H48" s="1"/>
      <c r="J48" s="1"/>
      <c r="K48" s="1"/>
      <c r="L48" s="1"/>
      <c r="M48" s="1"/>
    </row>
    <row r="49" spans="1:14" s="2" customFormat="1" ht="12.75" customHeight="1" x14ac:dyDescent="0.2">
      <c r="A49" s="36"/>
      <c r="B49" s="28" t="s">
        <v>66</v>
      </c>
      <c r="C49" s="43" t="s">
        <v>67</v>
      </c>
      <c r="D49" s="43"/>
      <c r="E49" s="12">
        <v>40592640</v>
      </c>
      <c r="F49" s="22"/>
      <c r="G49" s="1"/>
      <c r="H49" s="40"/>
      <c r="I49" s="45">
        <v>3350.29</v>
      </c>
      <c r="J49" s="46"/>
      <c r="K49" s="46"/>
      <c r="L49" s="13"/>
    </row>
    <row r="50" spans="1:14" s="2" customFormat="1" ht="12.75" customHeight="1" x14ac:dyDescent="0.25">
      <c r="A50" s="36"/>
      <c r="B50" s="28"/>
      <c r="C50" s="44" t="s">
        <v>68</v>
      </c>
      <c r="D50" s="43"/>
      <c r="E50" s="7">
        <f>E48+E49</f>
        <v>339210609.27999985</v>
      </c>
      <c r="F50" s="22"/>
      <c r="G50" s="1"/>
      <c r="H50" s="103" t="s">
        <v>69</v>
      </c>
      <c r="I50" s="45">
        <v>-231.71</v>
      </c>
      <c r="J50" s="46"/>
      <c r="K50" s="46"/>
      <c r="N50" s="1"/>
    </row>
    <row r="51" spans="1:14" s="2" customFormat="1" x14ac:dyDescent="0.2">
      <c r="A51" s="24"/>
      <c r="B51" s="1"/>
      <c r="C51" s="14"/>
      <c r="D51" s="25"/>
      <c r="E51" s="1"/>
      <c r="H51" s="35" t="s">
        <v>70</v>
      </c>
      <c r="I51" s="45">
        <v>100</v>
      </c>
      <c r="J51" s="46">
        <f>+I52-D54</f>
        <v>0</v>
      </c>
      <c r="M51" s="2">
        <v>19.57</v>
      </c>
      <c r="N51" s="1"/>
    </row>
    <row r="52" spans="1:14" x14ac:dyDescent="0.2">
      <c r="C52" s="56"/>
      <c r="D52" s="56"/>
      <c r="E52" s="104"/>
      <c r="I52" s="49">
        <f>SUM(I49:I51)</f>
        <v>3218.58</v>
      </c>
      <c r="J52" s="46"/>
      <c r="K52" s="46"/>
      <c r="L52" s="2"/>
      <c r="M52" s="2"/>
      <c r="N52" s="2"/>
    </row>
    <row r="53" spans="1:14" x14ac:dyDescent="0.2">
      <c r="C53" s="78" t="s">
        <v>575</v>
      </c>
      <c r="D53" s="48" t="s">
        <v>576</v>
      </c>
      <c r="E53" s="104"/>
      <c r="I53" s="2"/>
      <c r="J53" s="2"/>
      <c r="K53" s="2"/>
      <c r="L53" s="2"/>
      <c r="M53" s="2"/>
      <c r="N53" s="2"/>
    </row>
    <row r="54" spans="1:14" s="2" customFormat="1" x14ac:dyDescent="0.2">
      <c r="A54" s="24"/>
      <c r="B54" s="1"/>
      <c r="C54" s="47" t="s">
        <v>570</v>
      </c>
      <c r="D54" s="111">
        <v>3218.58</v>
      </c>
      <c r="E54" s="104"/>
      <c r="G54" s="1"/>
      <c r="H54" s="110" t="s">
        <v>581</v>
      </c>
      <c r="N54" s="2" t="s">
        <v>535</v>
      </c>
    </row>
    <row r="55" spans="1:14" s="2" customFormat="1" x14ac:dyDescent="0.2">
      <c r="A55" s="24"/>
      <c r="B55" s="1"/>
      <c r="C55" s="47" t="s">
        <v>931</v>
      </c>
      <c r="D55" s="111">
        <v>443.13</v>
      </c>
      <c r="E55" s="104"/>
      <c r="G55" s="1"/>
      <c r="H55" s="110" t="s">
        <v>580</v>
      </c>
    </row>
    <row r="56" spans="1:14" s="2" customFormat="1" x14ac:dyDescent="0.2">
      <c r="A56" s="24"/>
      <c r="B56" s="1"/>
      <c r="C56" s="47" t="s">
        <v>572</v>
      </c>
      <c r="D56" s="111">
        <f>+D116/100000</f>
        <v>869.69633999999996</v>
      </c>
      <c r="E56" s="104"/>
      <c r="G56" s="1"/>
      <c r="H56" s="90" t="s">
        <v>587</v>
      </c>
    </row>
    <row r="57" spans="1:14" s="2" customFormat="1" x14ac:dyDescent="0.2">
      <c r="A57" s="24"/>
      <c r="B57" s="1"/>
      <c r="C57" s="108" t="s">
        <v>578</v>
      </c>
      <c r="D57" s="48">
        <f>SUM(D54:D56)</f>
        <v>4531.4063399999995</v>
      </c>
      <c r="E57" s="104"/>
      <c r="G57" s="1"/>
    </row>
    <row r="58" spans="1:14" s="2" customFormat="1" x14ac:dyDescent="0.2">
      <c r="A58" s="24"/>
      <c r="B58" s="1"/>
      <c r="C58" s="47"/>
      <c r="D58" s="107"/>
      <c r="E58" s="104"/>
      <c r="G58" s="1"/>
    </row>
    <row r="59" spans="1:14" s="2" customFormat="1" x14ac:dyDescent="0.2">
      <c r="A59" s="24"/>
      <c r="B59" s="1"/>
      <c r="C59" s="47" t="s">
        <v>932</v>
      </c>
      <c r="D59" s="111">
        <v>619.48</v>
      </c>
      <c r="E59" s="104"/>
      <c r="G59" s="1"/>
      <c r="H59" s="110" t="s">
        <v>581</v>
      </c>
    </row>
    <row r="60" spans="1:14" s="2" customFormat="1" x14ac:dyDescent="0.2">
      <c r="A60" s="24"/>
      <c r="B60" s="1"/>
      <c r="C60" s="47" t="s">
        <v>933</v>
      </c>
      <c r="D60" s="111">
        <f>620.56-14.66</f>
        <v>605.9</v>
      </c>
      <c r="E60" s="104"/>
      <c r="G60" s="1"/>
      <c r="H60" s="110" t="s">
        <v>581</v>
      </c>
      <c r="J60" s="114" t="s">
        <v>713</v>
      </c>
    </row>
    <row r="61" spans="1:14" s="2" customFormat="1" x14ac:dyDescent="0.2">
      <c r="A61" s="24"/>
      <c r="B61" s="1"/>
      <c r="C61" s="78" t="s">
        <v>579</v>
      </c>
      <c r="D61" s="109">
        <f>D59+D60</f>
        <v>1225.3800000000001</v>
      </c>
      <c r="E61" s="104"/>
      <c r="G61" s="1"/>
      <c r="I61" s="113"/>
      <c r="J61" s="113" t="s">
        <v>709</v>
      </c>
      <c r="K61" s="113" t="s">
        <v>710</v>
      </c>
      <c r="L61" s="113" t="s">
        <v>711</v>
      </c>
      <c r="M61" s="113" t="s">
        <v>712</v>
      </c>
    </row>
    <row r="62" spans="1:14" s="2" customFormat="1" x14ac:dyDescent="0.2">
      <c r="A62" s="24"/>
      <c r="B62" s="1"/>
      <c r="C62" s="105"/>
      <c r="D62" s="106"/>
      <c r="E62" s="104"/>
      <c r="G62" s="1"/>
      <c r="I62" s="113" t="s">
        <v>706</v>
      </c>
      <c r="J62" s="115"/>
      <c r="K62" s="115">
        <v>968.99</v>
      </c>
      <c r="L62" s="115">
        <v>968.99</v>
      </c>
      <c r="M62" s="113">
        <f>+J62+L62-K62</f>
        <v>0</v>
      </c>
    </row>
    <row r="63" spans="1:14" s="2" customFormat="1" x14ac:dyDescent="0.2">
      <c r="A63" s="24"/>
      <c r="B63" s="1"/>
      <c r="C63" s="78" t="s">
        <v>577</v>
      </c>
      <c r="D63" s="109">
        <f>D54+D61</f>
        <v>4443.96</v>
      </c>
      <c r="E63" s="104"/>
      <c r="G63" s="1"/>
      <c r="I63" s="113" t="s">
        <v>707</v>
      </c>
      <c r="J63" s="115">
        <v>183.1</v>
      </c>
      <c r="K63" s="115">
        <v>1960.96</v>
      </c>
      <c r="L63" s="115">
        <v>2792.81</v>
      </c>
      <c r="M63" s="113">
        <f>+J63+L63-K63</f>
        <v>1014.9499999999998</v>
      </c>
    </row>
    <row r="64" spans="1:14" s="2" customFormat="1" x14ac:dyDescent="0.2">
      <c r="A64" s="24"/>
      <c r="B64" s="1"/>
      <c r="C64" s="56"/>
      <c r="D64" s="56"/>
      <c r="E64" s="104"/>
      <c r="G64" s="1"/>
      <c r="I64" s="113" t="s">
        <v>708</v>
      </c>
      <c r="J64" s="115">
        <v>1371.02</v>
      </c>
      <c r="K64" s="115">
        <v>11566.7</v>
      </c>
      <c r="L64" s="115">
        <v>11644.81</v>
      </c>
      <c r="M64" s="113">
        <f>+J64+L64-K64</f>
        <v>1449.1299999999992</v>
      </c>
    </row>
    <row r="65" spans="1:13" s="2" customFormat="1" ht="38.25" x14ac:dyDescent="0.2">
      <c r="A65" s="24"/>
      <c r="B65" s="1"/>
      <c r="C65" s="79" t="str">
        <f>"Particulars ( 01-04-2021 to "&amp;TEXT(A5,"dd-mm-yyyy")&amp;" )"</f>
        <v>Particulars ( 01-04-2021 to 29-05-2023 )</v>
      </c>
      <c r="D65" s="80" t="s">
        <v>73</v>
      </c>
      <c r="E65" s="80" t="s">
        <v>74</v>
      </c>
      <c r="F65" s="81" t="s">
        <v>75</v>
      </c>
      <c r="G65" s="80" t="s">
        <v>76</v>
      </c>
      <c r="J65" s="118">
        <f>SUM(J62:J64)</f>
        <v>1554.12</v>
      </c>
      <c r="K65" s="118">
        <f>SUM(K62:K64)</f>
        <v>14496.650000000001</v>
      </c>
      <c r="L65" s="118">
        <f>SUM(L62:L64)</f>
        <v>15406.61</v>
      </c>
      <c r="M65" s="118">
        <f>SUM(M62:M64)</f>
        <v>2464.079999999999</v>
      </c>
    </row>
    <row r="66" spans="1:13" s="2" customFormat="1" x14ac:dyDescent="0.2">
      <c r="A66" s="24"/>
      <c r="B66" s="1"/>
      <c r="C66" s="50" t="s">
        <v>444</v>
      </c>
      <c r="D66" s="55">
        <f>+L62+L63+J63</f>
        <v>3944.9</v>
      </c>
      <c r="E66" s="55">
        <f>+K62+K63</f>
        <v>2929.95</v>
      </c>
      <c r="F66" s="55">
        <f>+D66-E66</f>
        <v>1014.9500000000003</v>
      </c>
      <c r="G66" s="55">
        <f>1500-F66</f>
        <v>485.04999999999973</v>
      </c>
      <c r="H66" s="2" t="s">
        <v>396</v>
      </c>
    </row>
    <row r="67" spans="1:13" s="2" customFormat="1" x14ac:dyDescent="0.2">
      <c r="A67" s="24"/>
      <c r="B67" s="1"/>
      <c r="C67" s="50" t="s">
        <v>71</v>
      </c>
      <c r="D67" s="55">
        <f>+J64+L64</f>
        <v>13015.83</v>
      </c>
      <c r="E67" s="55">
        <f>+K64</f>
        <v>11566.7</v>
      </c>
      <c r="F67" s="55">
        <f>+D67-E67</f>
        <v>1449.1299999999992</v>
      </c>
      <c r="G67" s="55">
        <f>1500+700-F67</f>
        <v>750.8700000000008</v>
      </c>
      <c r="H67" s="2" t="s">
        <v>396</v>
      </c>
    </row>
    <row r="68" spans="1:13" s="2" customFormat="1" x14ac:dyDescent="0.2">
      <c r="A68" s="24"/>
      <c r="B68" s="1"/>
      <c r="C68" s="14"/>
      <c r="D68" s="56"/>
      <c r="E68" s="13"/>
      <c r="G68" s="1"/>
    </row>
    <row r="69" spans="1:13" s="2" customFormat="1" x14ac:dyDescent="0.2">
      <c r="A69" s="215" t="s">
        <v>80</v>
      </c>
      <c r="B69" s="216"/>
      <c r="C69" s="216"/>
      <c r="D69" s="217"/>
      <c r="E69" s="69"/>
      <c r="F69" s="70"/>
      <c r="G69" s="1"/>
      <c r="H69" s="53"/>
    </row>
    <row r="70" spans="1:13" s="2" customFormat="1" x14ac:dyDescent="0.2">
      <c r="A70" s="71" t="s">
        <v>81</v>
      </c>
      <c r="B70" s="71"/>
      <c r="C70" s="72" t="s">
        <v>82</v>
      </c>
      <c r="D70" s="73" t="s">
        <v>83</v>
      </c>
      <c r="E70" s="69"/>
      <c r="F70" s="70"/>
      <c r="H70" s="53"/>
    </row>
    <row r="71" spans="1:13" s="2" customFormat="1" x14ac:dyDescent="0.2">
      <c r="A71" s="87">
        <v>45050</v>
      </c>
      <c r="B71" s="120" t="s">
        <v>6</v>
      </c>
      <c r="C71" s="75" t="s">
        <v>594</v>
      </c>
      <c r="D71" s="88">
        <v>1562637</v>
      </c>
      <c r="G71" s="1"/>
      <c r="L71" s="1"/>
      <c r="M71" s="1"/>
    </row>
    <row r="72" spans="1:13" s="2" customFormat="1" x14ac:dyDescent="0.2">
      <c r="A72" s="87">
        <v>45050</v>
      </c>
      <c r="B72" s="120" t="s">
        <v>6</v>
      </c>
      <c r="C72" s="75" t="s">
        <v>86</v>
      </c>
      <c r="D72" s="88">
        <v>2499321</v>
      </c>
    </row>
    <row r="73" spans="1:13" s="2" customFormat="1" x14ac:dyDescent="0.2">
      <c r="A73" s="87">
        <v>45050</v>
      </c>
      <c r="B73" s="120" t="s">
        <v>6</v>
      </c>
      <c r="C73" s="75" t="s">
        <v>86</v>
      </c>
      <c r="D73" s="88">
        <v>6876102</v>
      </c>
    </row>
    <row r="74" spans="1:13" s="2" customFormat="1" x14ac:dyDescent="0.2">
      <c r="A74" s="87">
        <v>45052</v>
      </c>
      <c r="B74" s="120" t="s">
        <v>6</v>
      </c>
      <c r="C74" s="75" t="s">
        <v>270</v>
      </c>
      <c r="D74" s="88">
        <v>1124141</v>
      </c>
    </row>
    <row r="75" spans="1:13" s="2" customFormat="1" x14ac:dyDescent="0.2">
      <c r="A75" s="87">
        <v>45054</v>
      </c>
      <c r="B75" s="120" t="s">
        <v>6</v>
      </c>
      <c r="C75" s="75" t="s">
        <v>271</v>
      </c>
      <c r="D75" s="88">
        <v>476726</v>
      </c>
      <c r="G75" s="1"/>
      <c r="L75" s="1"/>
      <c r="M75" s="1"/>
    </row>
    <row r="76" spans="1:13" s="2" customFormat="1" x14ac:dyDescent="0.2">
      <c r="A76" s="87">
        <v>45054</v>
      </c>
      <c r="B76" s="120" t="s">
        <v>6</v>
      </c>
      <c r="C76" s="75" t="s">
        <v>271</v>
      </c>
      <c r="D76" s="88">
        <v>926688</v>
      </c>
      <c r="G76" s="1"/>
      <c r="L76" s="1"/>
      <c r="M76" s="1"/>
    </row>
    <row r="77" spans="1:13" s="2" customFormat="1" x14ac:dyDescent="0.2">
      <c r="A77" s="87">
        <v>45054</v>
      </c>
      <c r="B77" s="120" t="s">
        <v>6</v>
      </c>
      <c r="C77" s="75" t="s">
        <v>87</v>
      </c>
      <c r="D77" s="88">
        <v>1844917</v>
      </c>
      <c r="G77" s="1"/>
      <c r="L77" s="1"/>
      <c r="M77" s="1"/>
    </row>
    <row r="78" spans="1:13" s="2" customFormat="1" x14ac:dyDescent="0.2">
      <c r="A78" s="87">
        <v>45054</v>
      </c>
      <c r="B78" s="120" t="s">
        <v>6</v>
      </c>
      <c r="C78" s="75" t="s">
        <v>271</v>
      </c>
      <c r="D78" s="88">
        <v>1640794</v>
      </c>
      <c r="G78" s="1"/>
      <c r="L78" s="1"/>
      <c r="M78" s="1"/>
    </row>
    <row r="79" spans="1:13" s="2" customFormat="1" x14ac:dyDescent="0.2">
      <c r="A79" s="87">
        <v>45055</v>
      </c>
      <c r="B79" s="120" t="s">
        <v>6</v>
      </c>
      <c r="C79" s="75" t="s">
        <v>84</v>
      </c>
      <c r="D79" s="88">
        <v>2000000</v>
      </c>
      <c r="G79" s="1"/>
      <c r="L79" s="1"/>
      <c r="M79" s="1"/>
    </row>
    <row r="80" spans="1:13" s="2" customFormat="1" x14ac:dyDescent="0.2">
      <c r="A80" s="87">
        <v>45055</v>
      </c>
      <c r="B80" s="120" t="s">
        <v>6</v>
      </c>
      <c r="C80" s="75" t="s">
        <v>87</v>
      </c>
      <c r="D80" s="88">
        <v>2540563</v>
      </c>
      <c r="G80" s="1"/>
      <c r="L80" s="1"/>
      <c r="M80" s="1"/>
    </row>
    <row r="81" spans="1:13" s="2" customFormat="1" x14ac:dyDescent="0.2">
      <c r="A81" s="87">
        <v>45055</v>
      </c>
      <c r="B81" s="120" t="s">
        <v>6</v>
      </c>
      <c r="C81" s="75" t="s">
        <v>18</v>
      </c>
      <c r="D81" s="88">
        <v>950137</v>
      </c>
      <c r="G81" s="1"/>
      <c r="L81" s="1"/>
      <c r="M81" s="1"/>
    </row>
    <row r="82" spans="1:13" s="2" customFormat="1" x14ac:dyDescent="0.2">
      <c r="A82" s="87">
        <v>45056</v>
      </c>
      <c r="B82" s="120" t="s">
        <v>6</v>
      </c>
      <c r="C82" s="75" t="s">
        <v>271</v>
      </c>
      <c r="D82" s="88">
        <v>242417</v>
      </c>
      <c r="G82" s="1"/>
      <c r="L82" s="1"/>
      <c r="M82" s="1"/>
    </row>
    <row r="83" spans="1:13" s="2" customFormat="1" x14ac:dyDescent="0.2">
      <c r="A83" s="87">
        <v>45056</v>
      </c>
      <c r="B83" s="120" t="s">
        <v>6</v>
      </c>
      <c r="C83" s="75" t="s">
        <v>271</v>
      </c>
      <c r="D83" s="88">
        <v>674909</v>
      </c>
      <c r="G83" s="1"/>
      <c r="L83" s="1"/>
      <c r="M83" s="1"/>
    </row>
    <row r="84" spans="1:13" s="2" customFormat="1" x14ac:dyDescent="0.2">
      <c r="A84" s="87">
        <v>45056</v>
      </c>
      <c r="B84" s="120" t="s">
        <v>6</v>
      </c>
      <c r="C84" s="75" t="s">
        <v>271</v>
      </c>
      <c r="D84" s="88">
        <v>969371</v>
      </c>
      <c r="G84" s="1"/>
      <c r="L84" s="1"/>
      <c r="M84" s="1"/>
    </row>
    <row r="85" spans="1:13" s="2" customFormat="1" x14ac:dyDescent="0.2">
      <c r="A85" s="87">
        <v>45058</v>
      </c>
      <c r="B85" s="120" t="s">
        <v>6</v>
      </c>
      <c r="C85" s="75" t="s">
        <v>271</v>
      </c>
      <c r="D85" s="88">
        <v>650439</v>
      </c>
      <c r="G85" s="1"/>
      <c r="L85" s="1"/>
      <c r="M85" s="1"/>
    </row>
    <row r="86" spans="1:13" s="2" customFormat="1" x14ac:dyDescent="0.2">
      <c r="A86" s="87">
        <v>45058</v>
      </c>
      <c r="B86" s="120" t="s">
        <v>6</v>
      </c>
      <c r="C86" s="75" t="s">
        <v>271</v>
      </c>
      <c r="D86" s="88">
        <v>432067</v>
      </c>
      <c r="G86" s="1"/>
      <c r="L86" s="1"/>
      <c r="M86" s="1"/>
    </row>
    <row r="87" spans="1:13" s="2" customFormat="1" x14ac:dyDescent="0.2">
      <c r="A87" s="87">
        <v>45058</v>
      </c>
      <c r="B87" s="120" t="s">
        <v>6</v>
      </c>
      <c r="C87" s="75" t="s">
        <v>271</v>
      </c>
      <c r="D87" s="88">
        <v>412906</v>
      </c>
      <c r="G87" s="1"/>
      <c r="L87" s="1"/>
      <c r="M87" s="1"/>
    </row>
    <row r="88" spans="1:13" s="2" customFormat="1" x14ac:dyDescent="0.2">
      <c r="A88" s="87">
        <v>45061</v>
      </c>
      <c r="B88" s="120" t="s">
        <v>6</v>
      </c>
      <c r="C88" s="75" t="s">
        <v>594</v>
      </c>
      <c r="D88" s="88">
        <v>7500000</v>
      </c>
      <c r="G88" s="1"/>
      <c r="L88" s="1"/>
      <c r="M88" s="1"/>
    </row>
    <row r="89" spans="1:13" s="2" customFormat="1" x14ac:dyDescent="0.2">
      <c r="A89" s="87">
        <v>45062</v>
      </c>
      <c r="B89" s="120" t="s">
        <v>6</v>
      </c>
      <c r="C89" s="75" t="s">
        <v>86</v>
      </c>
      <c r="D89" s="88">
        <v>3769130</v>
      </c>
      <c r="G89" s="1"/>
      <c r="L89" s="1"/>
      <c r="M89" s="1"/>
    </row>
    <row r="90" spans="1:13" s="2" customFormat="1" x14ac:dyDescent="0.2">
      <c r="A90" s="87">
        <v>45063</v>
      </c>
      <c r="B90" s="120" t="s">
        <v>6</v>
      </c>
      <c r="C90" s="75" t="s">
        <v>84</v>
      </c>
      <c r="D90" s="88">
        <v>5033848</v>
      </c>
      <c r="G90" s="1"/>
      <c r="L90" s="1"/>
      <c r="M90" s="1"/>
    </row>
    <row r="91" spans="1:13" s="2" customFormat="1" x14ac:dyDescent="0.2">
      <c r="A91" s="87">
        <v>45065</v>
      </c>
      <c r="B91" s="120" t="s">
        <v>6</v>
      </c>
      <c r="C91" s="75" t="s">
        <v>594</v>
      </c>
      <c r="D91" s="88">
        <v>6001798</v>
      </c>
      <c r="G91" s="1"/>
      <c r="L91" s="1"/>
      <c r="M91" s="1"/>
    </row>
    <row r="92" spans="1:13" s="2" customFormat="1" x14ac:dyDescent="0.2">
      <c r="A92" s="87">
        <v>45065</v>
      </c>
      <c r="B92" s="120" t="s">
        <v>6</v>
      </c>
      <c r="C92" s="75" t="s">
        <v>594</v>
      </c>
      <c r="D92" s="88">
        <v>9126</v>
      </c>
      <c r="G92" s="1"/>
      <c r="L92" s="1"/>
      <c r="M92" s="1"/>
    </row>
    <row r="93" spans="1:13" s="2" customFormat="1" x14ac:dyDescent="0.2">
      <c r="A93" s="87">
        <v>45066</v>
      </c>
      <c r="B93" s="120" t="s">
        <v>6</v>
      </c>
      <c r="C93" s="75" t="s">
        <v>271</v>
      </c>
      <c r="D93" s="88">
        <v>231880</v>
      </c>
      <c r="G93" s="1"/>
      <c r="L93" s="1"/>
      <c r="M93" s="1"/>
    </row>
    <row r="94" spans="1:13" s="2" customFormat="1" x14ac:dyDescent="0.2">
      <c r="A94" s="87">
        <v>45066</v>
      </c>
      <c r="B94" s="120" t="s">
        <v>6</v>
      </c>
      <c r="C94" s="75" t="s">
        <v>271</v>
      </c>
      <c r="D94" s="88">
        <v>1166054</v>
      </c>
      <c r="G94" s="1"/>
      <c r="L94" s="1"/>
      <c r="M94" s="1"/>
    </row>
    <row r="95" spans="1:13" s="2" customFormat="1" x14ac:dyDescent="0.2">
      <c r="A95" s="87">
        <v>45066</v>
      </c>
      <c r="B95" s="120" t="s">
        <v>6</v>
      </c>
      <c r="C95" s="75" t="s">
        <v>271</v>
      </c>
      <c r="D95" s="88">
        <v>197868</v>
      </c>
      <c r="G95" s="1"/>
      <c r="L95" s="1"/>
      <c r="M95" s="1"/>
    </row>
    <row r="96" spans="1:13" s="2" customFormat="1" x14ac:dyDescent="0.2">
      <c r="A96" s="87">
        <v>45066</v>
      </c>
      <c r="B96" s="120" t="s">
        <v>6</v>
      </c>
      <c r="C96" s="75" t="s">
        <v>271</v>
      </c>
      <c r="D96" s="88">
        <v>411515</v>
      </c>
      <c r="G96" s="1"/>
      <c r="L96" s="1"/>
      <c r="M96" s="1"/>
    </row>
    <row r="97" spans="1:13" s="2" customFormat="1" x14ac:dyDescent="0.2">
      <c r="A97" s="87">
        <v>45066</v>
      </c>
      <c r="B97" s="120" t="s">
        <v>6</v>
      </c>
      <c r="C97" s="75" t="s">
        <v>271</v>
      </c>
      <c r="D97" s="88">
        <v>781035</v>
      </c>
      <c r="G97" s="1"/>
      <c r="L97" s="1"/>
      <c r="M97" s="1"/>
    </row>
    <row r="98" spans="1:13" s="2" customFormat="1" x14ac:dyDescent="0.2">
      <c r="A98" s="87">
        <v>45066</v>
      </c>
      <c r="B98" s="120" t="s">
        <v>6</v>
      </c>
      <c r="C98" s="75" t="s">
        <v>87</v>
      </c>
      <c r="D98" s="88">
        <v>1320555</v>
      </c>
      <c r="G98" s="1"/>
      <c r="L98" s="1"/>
      <c r="M98" s="1"/>
    </row>
    <row r="99" spans="1:13" s="2" customFormat="1" x14ac:dyDescent="0.2">
      <c r="A99" s="87">
        <v>45066</v>
      </c>
      <c r="B99" s="120" t="s">
        <v>6</v>
      </c>
      <c r="C99" s="75" t="s">
        <v>323</v>
      </c>
      <c r="D99" s="88">
        <v>2498439</v>
      </c>
      <c r="G99" s="1"/>
      <c r="L99" s="1"/>
      <c r="M99" s="1"/>
    </row>
    <row r="100" spans="1:13" s="2" customFormat="1" x14ac:dyDescent="0.2">
      <c r="A100" s="87">
        <v>45068</v>
      </c>
      <c r="B100" s="120" t="s">
        <v>6</v>
      </c>
      <c r="C100" s="75" t="s">
        <v>86</v>
      </c>
      <c r="D100" s="88">
        <v>588418</v>
      </c>
      <c r="G100" s="1"/>
      <c r="L100" s="1"/>
      <c r="M100" s="1"/>
    </row>
    <row r="101" spans="1:13" s="2" customFormat="1" x14ac:dyDescent="0.2">
      <c r="A101" s="87">
        <v>45068</v>
      </c>
      <c r="B101" s="120" t="s">
        <v>6</v>
      </c>
      <c r="C101" s="75" t="s">
        <v>86</v>
      </c>
      <c r="D101" s="88">
        <v>6280875</v>
      </c>
      <c r="G101" s="1"/>
      <c r="L101" s="1"/>
      <c r="M101" s="1"/>
    </row>
    <row r="102" spans="1:13" s="2" customFormat="1" x14ac:dyDescent="0.2">
      <c r="A102" s="87">
        <v>45068</v>
      </c>
      <c r="B102" s="120" t="s">
        <v>6</v>
      </c>
      <c r="C102" s="75" t="s">
        <v>86</v>
      </c>
      <c r="D102" s="88">
        <v>1195342</v>
      </c>
      <c r="G102" s="1"/>
      <c r="L102" s="1"/>
      <c r="M102" s="1"/>
    </row>
    <row r="103" spans="1:13" s="2" customFormat="1" x14ac:dyDescent="0.2">
      <c r="A103" s="87">
        <v>45070</v>
      </c>
      <c r="B103" s="120" t="s">
        <v>6</v>
      </c>
      <c r="C103" s="75" t="s">
        <v>85</v>
      </c>
      <c r="D103" s="88">
        <v>734755</v>
      </c>
      <c r="G103" s="1"/>
      <c r="L103" s="1"/>
      <c r="M103" s="1"/>
    </row>
    <row r="104" spans="1:13" s="2" customFormat="1" x14ac:dyDescent="0.2">
      <c r="A104" s="87">
        <v>45070</v>
      </c>
      <c r="B104" s="120" t="s">
        <v>6</v>
      </c>
      <c r="C104" s="75" t="s">
        <v>270</v>
      </c>
      <c r="D104" s="88">
        <v>1147013</v>
      </c>
      <c r="G104" s="1"/>
      <c r="L104" s="1"/>
      <c r="M104" s="1"/>
    </row>
    <row r="105" spans="1:13" s="2" customFormat="1" x14ac:dyDescent="0.2">
      <c r="A105" s="87">
        <v>45070</v>
      </c>
      <c r="B105" s="120" t="s">
        <v>6</v>
      </c>
      <c r="C105" s="75" t="s">
        <v>270</v>
      </c>
      <c r="D105" s="88">
        <v>2489665</v>
      </c>
      <c r="G105" s="1"/>
      <c r="L105" s="1"/>
      <c r="M105" s="1"/>
    </row>
    <row r="106" spans="1:13" s="2" customFormat="1" x14ac:dyDescent="0.2">
      <c r="A106" s="87">
        <v>45070</v>
      </c>
      <c r="B106" s="120" t="s">
        <v>6</v>
      </c>
      <c r="C106" s="75" t="s">
        <v>270</v>
      </c>
      <c r="D106" s="88">
        <v>306124</v>
      </c>
      <c r="G106" s="1"/>
      <c r="L106" s="1"/>
      <c r="M106" s="1"/>
    </row>
    <row r="107" spans="1:13" s="2" customFormat="1" x14ac:dyDescent="0.2">
      <c r="A107" s="87">
        <v>45070</v>
      </c>
      <c r="B107" s="120" t="s">
        <v>6</v>
      </c>
      <c r="C107" s="75" t="s">
        <v>86</v>
      </c>
      <c r="D107" s="88">
        <v>4992840</v>
      </c>
      <c r="G107" s="1"/>
      <c r="L107" s="1"/>
      <c r="M107" s="1"/>
    </row>
    <row r="108" spans="1:13" s="2" customFormat="1" x14ac:dyDescent="0.2">
      <c r="A108" s="87">
        <v>45071</v>
      </c>
      <c r="B108" s="120" t="s">
        <v>6</v>
      </c>
      <c r="C108" s="75" t="s">
        <v>270</v>
      </c>
      <c r="D108" s="88">
        <v>107384</v>
      </c>
      <c r="G108" s="1"/>
      <c r="L108" s="1"/>
      <c r="M108" s="1"/>
    </row>
    <row r="109" spans="1:13" s="2" customFormat="1" x14ac:dyDescent="0.2">
      <c r="A109" s="87">
        <v>45071</v>
      </c>
      <c r="B109" s="120" t="s">
        <v>6</v>
      </c>
      <c r="C109" s="75" t="s">
        <v>18</v>
      </c>
      <c r="D109" s="88">
        <v>538125</v>
      </c>
      <c r="G109" s="1"/>
      <c r="L109" s="1"/>
      <c r="M109" s="1"/>
    </row>
    <row r="110" spans="1:13" s="2" customFormat="1" x14ac:dyDescent="0.2">
      <c r="A110" s="87">
        <v>45071</v>
      </c>
      <c r="B110" s="120" t="s">
        <v>6</v>
      </c>
      <c r="C110" s="75" t="s">
        <v>270</v>
      </c>
      <c r="D110" s="88">
        <v>46577</v>
      </c>
      <c r="G110" s="1"/>
      <c r="L110" s="1"/>
      <c r="M110" s="1"/>
    </row>
    <row r="111" spans="1:13" s="2" customFormat="1" x14ac:dyDescent="0.2">
      <c r="A111" s="87">
        <v>45072</v>
      </c>
      <c r="B111" s="120" t="s">
        <v>6</v>
      </c>
      <c r="C111" s="75" t="s">
        <v>84</v>
      </c>
      <c r="D111" s="88">
        <v>2000000</v>
      </c>
      <c r="G111" s="1"/>
      <c r="L111" s="1"/>
      <c r="M111" s="1"/>
    </row>
    <row r="112" spans="1:13" s="2" customFormat="1" x14ac:dyDescent="0.2">
      <c r="A112" s="87">
        <v>45072</v>
      </c>
      <c r="B112" s="120" t="s">
        <v>6</v>
      </c>
      <c r="C112" s="75" t="s">
        <v>594</v>
      </c>
      <c r="D112" s="88">
        <v>8866315</v>
      </c>
      <c r="G112" s="1"/>
      <c r="L112" s="1"/>
      <c r="M112" s="1"/>
    </row>
    <row r="113" spans="1:13" s="2" customFormat="1" x14ac:dyDescent="0.2">
      <c r="A113" s="87">
        <v>45075</v>
      </c>
      <c r="B113" s="120" t="s">
        <v>6</v>
      </c>
      <c r="C113" s="75" t="s">
        <v>270</v>
      </c>
      <c r="D113" s="88">
        <v>356832</v>
      </c>
      <c r="G113" s="1"/>
      <c r="L113" s="1"/>
      <c r="M113" s="1"/>
    </row>
    <row r="114" spans="1:13" s="2" customFormat="1" x14ac:dyDescent="0.2">
      <c r="A114" s="87">
        <v>45075</v>
      </c>
      <c r="B114" s="120" t="s">
        <v>6</v>
      </c>
      <c r="C114" s="75" t="s">
        <v>270</v>
      </c>
      <c r="D114" s="88">
        <v>523707</v>
      </c>
      <c r="G114" s="1"/>
      <c r="L114" s="1"/>
      <c r="M114" s="1"/>
    </row>
    <row r="115" spans="1:13" s="2" customFormat="1" x14ac:dyDescent="0.2">
      <c r="A115" s="87">
        <v>45075</v>
      </c>
      <c r="B115" s="120" t="s">
        <v>6</v>
      </c>
      <c r="C115" s="75" t="s">
        <v>270</v>
      </c>
      <c r="D115" s="88">
        <v>2050279</v>
      </c>
      <c r="G115" s="1"/>
      <c r="L115" s="1"/>
      <c r="M115" s="1"/>
    </row>
    <row r="116" spans="1:13" s="2" customFormat="1" x14ac:dyDescent="0.2">
      <c r="A116" s="87"/>
      <c r="B116" s="74"/>
      <c r="C116" s="75"/>
      <c r="D116" s="51">
        <f>SUM(D71:D115)</f>
        <v>86969634</v>
      </c>
      <c r="F116" s="2" t="s">
        <v>396</v>
      </c>
      <c r="G116" s="1"/>
      <c r="L116" s="1"/>
      <c r="M116" s="1"/>
    </row>
    <row r="117" spans="1:13" s="2" customFormat="1" x14ac:dyDescent="0.2">
      <c r="A117" s="24"/>
      <c r="B117" s="1"/>
      <c r="C117" s="14"/>
      <c r="D117" s="56"/>
      <c r="E117" s="13"/>
      <c r="G117" s="1"/>
      <c r="L117" s="1"/>
      <c r="M117" s="1"/>
    </row>
    <row r="118" spans="1:13" s="2" customFormat="1" x14ac:dyDescent="0.2">
      <c r="A118" s="24"/>
      <c r="B118" s="1"/>
      <c r="C118" s="218" t="s">
        <v>77</v>
      </c>
      <c r="D118" s="219"/>
      <c r="E118" s="219"/>
      <c r="F118" s="220"/>
      <c r="G118" s="1"/>
      <c r="L118" s="1"/>
      <c r="M118" s="1"/>
    </row>
    <row r="119" spans="1:13" s="2" customFormat="1" x14ac:dyDescent="0.2">
      <c r="A119" s="24"/>
      <c r="B119" s="1"/>
      <c r="C119" s="50"/>
      <c r="D119" s="57" t="s">
        <v>78</v>
      </c>
      <c r="E119" s="58" t="s">
        <v>79</v>
      </c>
      <c r="F119" s="57" t="s">
        <v>72</v>
      </c>
      <c r="G119" s="1"/>
      <c r="I119" s="1"/>
      <c r="J119" s="1"/>
      <c r="K119" s="1"/>
      <c r="L119" s="1"/>
      <c r="M119" s="1"/>
    </row>
    <row r="120" spans="1:13" s="2" customFormat="1" x14ac:dyDescent="0.2">
      <c r="A120" s="24"/>
      <c r="B120" s="1"/>
      <c r="C120" s="59" t="str">
        <f>"01-05-2023 to "&amp;TEXT(A5-2,"dd-mm-yyyy")</f>
        <v>01-05-2023 to 27-05-2023</v>
      </c>
      <c r="D120" s="60">
        <v>4076.58</v>
      </c>
      <c r="E120" s="60">
        <v>335.74</v>
      </c>
      <c r="F120" s="61">
        <f>SUM(D120:E120)</f>
        <v>4412.32</v>
      </c>
      <c r="G120" s="1"/>
    </row>
    <row r="121" spans="1:13" s="2" customFormat="1" x14ac:dyDescent="0.2">
      <c r="A121" s="24"/>
      <c r="B121" s="1"/>
      <c r="C121" s="62" t="str">
        <f>TEXT(A5-1,"dd-mm-yyyy")</f>
        <v>28-05-2023</v>
      </c>
      <c r="D121" s="60">
        <v>230.98</v>
      </c>
      <c r="E121" s="60">
        <v>5.67</v>
      </c>
      <c r="F121" s="61">
        <f>SUM(D121:E121)</f>
        <v>236.64999999999998</v>
      </c>
      <c r="G121" s="54"/>
      <c r="I121" s="1"/>
      <c r="J121" s="1"/>
      <c r="K121" s="1"/>
      <c r="L121" s="1"/>
      <c r="M121" s="1"/>
    </row>
    <row r="122" spans="1:13" s="2" customFormat="1" ht="13.5" thickBot="1" x14ac:dyDescent="0.25">
      <c r="A122" s="24"/>
      <c r="B122" s="1"/>
      <c r="C122" s="63" t="str">
        <f>"01-05-2023 to "&amp;TEXT(A5-1,"dd-mm-yyyy")</f>
        <v>01-05-2023 to 28-05-2023</v>
      </c>
      <c r="D122" s="64">
        <f>SUM(D120:D121)</f>
        <v>4307.5599999999995</v>
      </c>
      <c r="E122" s="64">
        <f>SUM(E120:E121)</f>
        <v>341.41</v>
      </c>
      <c r="F122" s="64">
        <f>SUM(F120:F121)</f>
        <v>4648.9699999999993</v>
      </c>
      <c r="G122" s="54"/>
      <c r="I122" s="1"/>
      <c r="J122" s="1"/>
      <c r="K122" s="1"/>
      <c r="L122" s="1"/>
      <c r="M122" s="1"/>
    </row>
    <row r="123" spans="1:13" s="2" customFormat="1" ht="13.5" thickTop="1" x14ac:dyDescent="0.2">
      <c r="A123" s="24"/>
      <c r="B123" s="1"/>
      <c r="C123" s="62"/>
      <c r="D123" s="65"/>
      <c r="E123" s="66"/>
      <c r="F123" s="67"/>
      <c r="G123" s="54"/>
      <c r="I123" s="1"/>
      <c r="J123" s="1"/>
      <c r="K123" s="1"/>
      <c r="L123" s="1"/>
      <c r="M123" s="1"/>
    </row>
    <row r="124" spans="1:13" s="2" customFormat="1" x14ac:dyDescent="0.2">
      <c r="A124" s="24"/>
      <c r="B124" s="1"/>
      <c r="C124" s="62" t="str">
        <f>"01-04-2023 to " &amp;C121</f>
        <v>01-04-2023 to 28-05-2023</v>
      </c>
      <c r="D124" s="68">
        <f>+D122+4343.67</f>
        <v>8651.23</v>
      </c>
      <c r="E124" s="68">
        <f>+E122+536.17</f>
        <v>877.57999999999993</v>
      </c>
      <c r="F124" s="68">
        <f>+F122+4879.84</f>
        <v>9528.81</v>
      </c>
      <c r="G124" s="54"/>
      <c r="I124" s="1"/>
      <c r="J124" s="1"/>
      <c r="K124" s="1"/>
      <c r="L124" s="1"/>
      <c r="M124" s="1"/>
    </row>
    <row r="125" spans="1:13" x14ac:dyDescent="0.2">
      <c r="C125" s="52"/>
      <c r="D125" s="85"/>
      <c r="E125" s="53"/>
      <c r="F125" s="53"/>
      <c r="G125" s="54"/>
      <c r="H125" s="2" t="s">
        <v>396</v>
      </c>
    </row>
    <row r="126" spans="1:13" s="2" customFormat="1" x14ac:dyDescent="0.2">
      <c r="A126" s="24"/>
      <c r="B126" s="1"/>
      <c r="C126" s="52"/>
      <c r="D126" s="85"/>
      <c r="E126" s="53"/>
      <c r="F126" s="53"/>
      <c r="G126" s="54"/>
      <c r="H126" s="53"/>
    </row>
    <row r="127" spans="1:13" x14ac:dyDescent="0.2">
      <c r="C127" s="52"/>
      <c r="D127" s="85"/>
      <c r="E127" s="53"/>
      <c r="F127" s="53"/>
      <c r="G127" s="54"/>
      <c r="H127" s="53" t="s">
        <v>396</v>
      </c>
    </row>
    <row r="128" spans="1:13" x14ac:dyDescent="0.2">
      <c r="C128" s="52"/>
      <c r="D128" s="85"/>
      <c r="E128" s="53"/>
      <c r="F128" s="53"/>
      <c r="G128" s="54"/>
      <c r="H128" s="53" t="s">
        <v>396</v>
      </c>
      <c r="J128" s="42"/>
    </row>
    <row r="129" spans="7:9" x14ac:dyDescent="0.2">
      <c r="G129" s="54"/>
      <c r="H129" s="53"/>
      <c r="I129" s="101"/>
    </row>
    <row r="130" spans="7:9" x14ac:dyDescent="0.2">
      <c r="G130" s="54"/>
      <c r="H130" s="53"/>
    </row>
    <row r="131" spans="7:9" x14ac:dyDescent="0.2">
      <c r="G131" s="54"/>
      <c r="H131" s="53"/>
    </row>
    <row r="132" spans="7:9" x14ac:dyDescent="0.2">
      <c r="H132" s="53"/>
    </row>
  </sheetData>
  <mergeCells count="5">
    <mergeCell ref="A1:G1"/>
    <mergeCell ref="A3:F3"/>
    <mergeCell ref="A9:F9"/>
    <mergeCell ref="A69:D69"/>
    <mergeCell ref="C118:F118"/>
  </mergeCells>
  <conditionalFormatting sqref="G66:G67">
    <cfRule type="cellIs" dxfId="535" priority="1" operator="lessThan">
      <formula>0</formula>
    </cfRule>
  </conditionalFormatting>
  <conditionalFormatting sqref="C11">
    <cfRule type="duplicateValues" dxfId="534" priority="2"/>
  </conditionalFormatting>
  <conditionalFormatting sqref="C12:C46">
    <cfRule type="duplicateValues" dxfId="533" priority="511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338">
    <pageSetUpPr fitToPage="1"/>
  </sheetPr>
  <dimension ref="A1:N137"/>
  <sheetViews>
    <sheetView topLeftCell="A109" zoomScaleNormal="100" workbookViewId="0">
      <selection activeCell="C46" sqref="C46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47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1024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45076</v>
      </c>
      <c r="B5" s="9" t="s">
        <v>6</v>
      </c>
      <c r="C5" s="10" t="s">
        <v>7</v>
      </c>
      <c r="D5" s="11"/>
      <c r="E5" s="12">
        <v>219062.70000000019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219062.70000000019</v>
      </c>
      <c r="F6" s="16"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+E6</f>
        <v>219062.70000000019</v>
      </c>
      <c r="F7" s="22"/>
      <c r="G7" s="23"/>
      <c r="H7" s="112"/>
      <c r="I7" s="112"/>
      <c r="J7" s="13"/>
    </row>
    <row r="8" spans="1:10" s="2" customFormat="1" ht="12.75" customHeight="1" x14ac:dyDescent="0.4">
      <c r="A8" s="24"/>
      <c r="B8" s="1"/>
      <c r="C8" s="14"/>
      <c r="D8" s="25"/>
      <c r="G8" s="23"/>
      <c r="H8" s="112"/>
      <c r="I8" s="112"/>
      <c r="J8" s="13"/>
    </row>
    <row r="9" spans="1:10" s="2" customFormat="1" ht="21.75" customHeight="1" x14ac:dyDescent="0.4">
      <c r="A9" s="214" t="s">
        <v>10</v>
      </c>
      <c r="B9" s="214"/>
      <c r="C9" s="214"/>
      <c r="D9" s="214"/>
      <c r="E9" s="214"/>
      <c r="F9" s="214"/>
      <c r="G9" s="13"/>
      <c r="H9" s="112"/>
      <c r="I9" s="112"/>
      <c r="J9" s="13"/>
    </row>
    <row r="10" spans="1:10" s="2" customFormat="1" ht="12.75" customHeight="1" x14ac:dyDescent="0.4">
      <c r="A10" s="26" t="s">
        <v>1</v>
      </c>
      <c r="B10" s="27" t="s">
        <v>2</v>
      </c>
      <c r="C10" s="5"/>
      <c r="D10" s="6" t="s">
        <v>3</v>
      </c>
      <c r="E10" s="7" t="s">
        <v>4</v>
      </c>
      <c r="F10" s="7" t="s">
        <v>5</v>
      </c>
      <c r="G10" s="23"/>
      <c r="H10" s="112"/>
      <c r="I10" s="112"/>
      <c r="J10" s="13"/>
    </row>
    <row r="11" spans="1:10" s="2" customFormat="1" ht="12.75" customHeight="1" x14ac:dyDescent="0.2">
      <c r="A11" s="89">
        <v>45076</v>
      </c>
      <c r="B11" s="91" t="s">
        <v>11</v>
      </c>
      <c r="C11" s="29" t="s">
        <v>7</v>
      </c>
      <c r="D11" s="25"/>
      <c r="E11" s="31"/>
      <c r="F11" s="2">
        <v>298617969.27999985</v>
      </c>
      <c r="G11" s="30"/>
      <c r="I11" s="13"/>
      <c r="J11" s="13"/>
    </row>
    <row r="12" spans="1:10" s="2" customFormat="1" ht="12.75" customHeight="1" x14ac:dyDescent="0.2">
      <c r="A12" s="89">
        <v>45076</v>
      </c>
      <c r="B12" s="91" t="s">
        <v>6</v>
      </c>
      <c r="C12" s="76" t="s">
        <v>488</v>
      </c>
      <c r="D12" s="116" t="s">
        <v>13</v>
      </c>
      <c r="E12" s="31">
        <v>83764</v>
      </c>
      <c r="G12" s="30"/>
      <c r="I12" s="13"/>
      <c r="J12" s="13"/>
    </row>
    <row r="13" spans="1:10" s="2" customFormat="1" ht="12.75" customHeight="1" x14ac:dyDescent="0.2">
      <c r="A13" s="89">
        <v>45076</v>
      </c>
      <c r="B13" s="91" t="s">
        <v>6</v>
      </c>
      <c r="C13" s="76" t="s">
        <v>272</v>
      </c>
      <c r="D13" s="116" t="s">
        <v>13</v>
      </c>
      <c r="E13" s="31">
        <v>1236243</v>
      </c>
      <c r="G13" s="30"/>
      <c r="I13" s="13"/>
      <c r="J13" s="13"/>
    </row>
    <row r="14" spans="1:10" s="2" customFormat="1" ht="12.75" customHeight="1" x14ac:dyDescent="0.2">
      <c r="A14" s="89">
        <v>45076</v>
      </c>
      <c r="B14" s="91" t="s">
        <v>6</v>
      </c>
      <c r="C14" s="76" t="s">
        <v>19</v>
      </c>
      <c r="D14" s="116" t="s">
        <v>13</v>
      </c>
      <c r="E14" s="31">
        <v>123622</v>
      </c>
      <c r="G14" s="30"/>
      <c r="I14" s="13"/>
      <c r="J14" s="13"/>
    </row>
    <row r="15" spans="1:10" s="2" customFormat="1" ht="12.75" customHeight="1" x14ac:dyDescent="0.2">
      <c r="A15" s="89">
        <v>45076</v>
      </c>
      <c r="B15" s="91" t="s">
        <v>6</v>
      </c>
      <c r="C15" s="76" t="s">
        <v>24</v>
      </c>
      <c r="D15" s="116" t="s">
        <v>13</v>
      </c>
      <c r="E15" s="31">
        <v>7616</v>
      </c>
      <c r="G15" s="30"/>
      <c r="I15" s="13"/>
      <c r="J15" s="13"/>
    </row>
    <row r="16" spans="1:10" s="2" customFormat="1" ht="12.75" customHeight="1" x14ac:dyDescent="0.2">
      <c r="A16" s="89">
        <v>45076</v>
      </c>
      <c r="B16" s="91" t="s">
        <v>6</v>
      </c>
      <c r="C16" s="76" t="s">
        <v>180</v>
      </c>
      <c r="D16" s="116" t="s">
        <v>13</v>
      </c>
      <c r="E16" s="31">
        <v>461379</v>
      </c>
      <c r="G16" s="30"/>
      <c r="I16" s="13"/>
      <c r="J16" s="13"/>
    </row>
    <row r="17" spans="1:10" s="2" customFormat="1" ht="12.75" customHeight="1" x14ac:dyDescent="0.2">
      <c r="A17" s="89">
        <v>45076</v>
      </c>
      <c r="B17" s="91" t="s">
        <v>6</v>
      </c>
      <c r="C17" s="76" t="s">
        <v>325</v>
      </c>
      <c r="D17" s="116" t="s">
        <v>13</v>
      </c>
      <c r="E17" s="31">
        <v>127480</v>
      </c>
      <c r="G17" s="30"/>
      <c r="I17" s="13"/>
      <c r="J17" s="13"/>
    </row>
    <row r="18" spans="1:10" s="2" customFormat="1" ht="12.75" customHeight="1" x14ac:dyDescent="0.2">
      <c r="A18" s="89">
        <v>45076</v>
      </c>
      <c r="B18" s="91" t="s">
        <v>6</v>
      </c>
      <c r="C18" s="76" t="s">
        <v>298</v>
      </c>
      <c r="D18" s="116" t="s">
        <v>13</v>
      </c>
      <c r="E18" s="31">
        <v>360418.19</v>
      </c>
      <c r="G18" s="30"/>
      <c r="I18" s="13"/>
      <c r="J18" s="13"/>
    </row>
    <row r="19" spans="1:10" s="2" customFormat="1" ht="12.75" customHeight="1" x14ac:dyDescent="0.2">
      <c r="A19" s="89">
        <v>45076</v>
      </c>
      <c r="B19" s="91" t="s">
        <v>6</v>
      </c>
      <c r="C19" s="76" t="s">
        <v>105</v>
      </c>
      <c r="D19" s="116" t="s">
        <v>13</v>
      </c>
      <c r="E19" s="31">
        <v>203095</v>
      </c>
      <c r="G19" s="30"/>
      <c r="I19" s="13"/>
      <c r="J19" s="13"/>
    </row>
    <row r="20" spans="1:10" s="2" customFormat="1" ht="12.75" customHeight="1" x14ac:dyDescent="0.2">
      <c r="A20" s="89">
        <v>45076</v>
      </c>
      <c r="B20" s="91" t="s">
        <v>6</v>
      </c>
      <c r="C20" s="76" t="s">
        <v>15</v>
      </c>
      <c r="D20" s="116" t="s">
        <v>13</v>
      </c>
      <c r="E20" s="31">
        <v>567.19000000000005</v>
      </c>
      <c r="G20" s="30"/>
      <c r="I20" s="13"/>
      <c r="J20" s="13"/>
    </row>
    <row r="21" spans="1:10" s="2" customFormat="1" ht="12.75" customHeight="1" x14ac:dyDescent="0.2">
      <c r="A21" s="89">
        <v>45076</v>
      </c>
      <c r="B21" s="91" t="s">
        <v>6</v>
      </c>
      <c r="C21" s="76" t="s">
        <v>516</v>
      </c>
      <c r="D21" s="116" t="s">
        <v>13</v>
      </c>
      <c r="E21" s="31">
        <v>55000</v>
      </c>
      <c r="G21" s="30"/>
      <c r="I21" s="13"/>
      <c r="J21" s="13"/>
    </row>
    <row r="22" spans="1:10" s="2" customFormat="1" ht="12.75" customHeight="1" x14ac:dyDescent="0.2">
      <c r="A22" s="89">
        <v>45076</v>
      </c>
      <c r="B22" s="91" t="s">
        <v>6</v>
      </c>
      <c r="C22" s="76" t="s">
        <v>752</v>
      </c>
      <c r="D22" s="116" t="s">
        <v>13</v>
      </c>
      <c r="E22" s="31">
        <v>324393</v>
      </c>
      <c r="G22" s="30"/>
      <c r="I22" s="13"/>
      <c r="J22" s="13"/>
    </row>
    <row r="23" spans="1:10" s="2" customFormat="1" ht="12.75" customHeight="1" x14ac:dyDescent="0.2">
      <c r="A23" s="89">
        <v>45076</v>
      </c>
      <c r="B23" s="91" t="s">
        <v>6</v>
      </c>
      <c r="C23" s="76" t="s">
        <v>335</v>
      </c>
      <c r="D23" s="116" t="s">
        <v>13</v>
      </c>
      <c r="E23" s="31">
        <v>2003302</v>
      </c>
      <c r="G23" s="30"/>
      <c r="I23" s="13"/>
      <c r="J23" s="13"/>
    </row>
    <row r="24" spans="1:10" s="2" customFormat="1" ht="12.75" customHeight="1" x14ac:dyDescent="0.2">
      <c r="A24" s="89">
        <v>45076</v>
      </c>
      <c r="B24" s="91" t="s">
        <v>6</v>
      </c>
      <c r="C24" s="76" t="s">
        <v>391</v>
      </c>
      <c r="D24" s="116" t="s">
        <v>13</v>
      </c>
      <c r="E24" s="31">
        <v>814815</v>
      </c>
      <c r="G24" s="30"/>
      <c r="I24" s="13"/>
      <c r="J24" s="13"/>
    </row>
    <row r="25" spans="1:10" s="2" customFormat="1" ht="12.75" customHeight="1" x14ac:dyDescent="0.2">
      <c r="A25" s="89">
        <v>45076</v>
      </c>
      <c r="B25" s="91" t="s">
        <v>6</v>
      </c>
      <c r="C25" s="76" t="s">
        <v>810</v>
      </c>
      <c r="D25" s="116" t="s">
        <v>13</v>
      </c>
      <c r="E25" s="31">
        <v>250000</v>
      </c>
      <c r="G25" s="30"/>
      <c r="I25" s="13"/>
      <c r="J25" s="13"/>
    </row>
    <row r="26" spans="1:10" s="2" customFormat="1" ht="12.75" customHeight="1" x14ac:dyDescent="0.2">
      <c r="A26" s="89">
        <v>45076</v>
      </c>
      <c r="B26" s="91" t="s">
        <v>6</v>
      </c>
      <c r="C26" s="76" t="s">
        <v>103</v>
      </c>
      <c r="D26" s="116" t="s">
        <v>13</v>
      </c>
      <c r="E26" s="31">
        <v>935366</v>
      </c>
      <c r="G26" s="30"/>
      <c r="I26" s="13"/>
      <c r="J26" s="13"/>
    </row>
    <row r="27" spans="1:10" s="2" customFormat="1" ht="12.75" customHeight="1" x14ac:dyDescent="0.2">
      <c r="A27" s="89">
        <v>45076</v>
      </c>
      <c r="B27" s="91" t="s">
        <v>6</v>
      </c>
      <c r="C27" s="76" t="s">
        <v>266</v>
      </c>
      <c r="D27" s="116" t="s">
        <v>13</v>
      </c>
      <c r="E27" s="31">
        <v>500000</v>
      </c>
      <c r="G27" s="30"/>
      <c r="I27" s="13"/>
      <c r="J27" s="13"/>
    </row>
    <row r="28" spans="1:10" s="2" customFormat="1" ht="12.75" customHeight="1" x14ac:dyDescent="0.2">
      <c r="A28" s="89">
        <v>45076</v>
      </c>
      <c r="B28" s="91" t="s">
        <v>6</v>
      </c>
      <c r="C28" s="76" t="s">
        <v>316</v>
      </c>
      <c r="D28" s="116" t="s">
        <v>13</v>
      </c>
      <c r="E28" s="31">
        <v>1248757</v>
      </c>
      <c r="G28" s="30"/>
      <c r="I28" s="13"/>
      <c r="J28" s="13"/>
    </row>
    <row r="29" spans="1:10" s="2" customFormat="1" ht="12.75" customHeight="1" x14ac:dyDescent="0.2">
      <c r="A29" s="89">
        <v>45076</v>
      </c>
      <c r="B29" s="91" t="s">
        <v>6</v>
      </c>
      <c r="C29" s="76" t="s">
        <v>281</v>
      </c>
      <c r="D29" s="116" t="s">
        <v>13</v>
      </c>
      <c r="E29" s="31">
        <v>138588.70000000001</v>
      </c>
      <c r="G29" s="30"/>
      <c r="I29" s="13"/>
      <c r="J29" s="13"/>
    </row>
    <row r="30" spans="1:10" s="2" customFormat="1" ht="12.75" customHeight="1" x14ac:dyDescent="0.2">
      <c r="A30" s="89">
        <v>45076</v>
      </c>
      <c r="B30" s="91" t="s">
        <v>6</v>
      </c>
      <c r="C30" s="76" t="s">
        <v>93</v>
      </c>
      <c r="D30" s="116" t="s">
        <v>13</v>
      </c>
      <c r="E30" s="31">
        <v>564897</v>
      </c>
      <c r="G30" s="30"/>
      <c r="I30" s="13"/>
      <c r="J30" s="13"/>
    </row>
    <row r="31" spans="1:10" s="2" customFormat="1" ht="12.75" customHeight="1" x14ac:dyDescent="0.2">
      <c r="A31" s="89">
        <v>45076</v>
      </c>
      <c r="B31" s="91" t="s">
        <v>6</v>
      </c>
      <c r="C31" s="76" t="s">
        <v>26</v>
      </c>
      <c r="D31" s="116" t="s">
        <v>13</v>
      </c>
      <c r="E31" s="31">
        <v>653710.21</v>
      </c>
      <c r="G31" s="30"/>
      <c r="I31" s="13"/>
      <c r="J31" s="13"/>
    </row>
    <row r="32" spans="1:10" s="2" customFormat="1" ht="12.75" customHeight="1" x14ac:dyDescent="0.2">
      <c r="A32" s="89">
        <v>45076</v>
      </c>
      <c r="B32" s="91" t="s">
        <v>6</v>
      </c>
      <c r="C32" s="76" t="s">
        <v>960</v>
      </c>
      <c r="D32" s="116" t="s">
        <v>13</v>
      </c>
      <c r="E32" s="31">
        <v>2250000</v>
      </c>
      <c r="G32" s="30"/>
      <c r="I32" s="13"/>
      <c r="J32" s="13"/>
    </row>
    <row r="33" spans="1:10" s="2" customFormat="1" ht="12.75" customHeight="1" x14ac:dyDescent="0.2">
      <c r="A33" s="89">
        <v>45076</v>
      </c>
      <c r="B33" s="91" t="s">
        <v>6</v>
      </c>
      <c r="C33" s="76" t="s">
        <v>233</v>
      </c>
      <c r="D33" s="116" t="s">
        <v>13</v>
      </c>
      <c r="E33" s="31">
        <v>77065</v>
      </c>
      <c r="G33" s="30"/>
      <c r="I33" s="13"/>
      <c r="J33" s="13"/>
    </row>
    <row r="34" spans="1:10" s="2" customFormat="1" ht="12.75" customHeight="1" x14ac:dyDescent="0.2">
      <c r="A34" s="89">
        <v>45076</v>
      </c>
      <c r="B34" s="91" t="s">
        <v>11</v>
      </c>
      <c r="C34" s="76" t="s">
        <v>795</v>
      </c>
      <c r="D34" s="116" t="s">
        <v>29</v>
      </c>
      <c r="E34" s="31"/>
      <c r="F34" s="2">
        <v>1169639.1000000001</v>
      </c>
      <c r="G34" s="30"/>
      <c r="I34" s="13"/>
      <c r="J34" s="13"/>
    </row>
    <row r="35" spans="1:10" s="2" customFormat="1" ht="12.75" customHeight="1" x14ac:dyDescent="0.2">
      <c r="A35" s="89">
        <v>45076</v>
      </c>
      <c r="B35" s="91" t="s">
        <v>11</v>
      </c>
      <c r="C35" s="76" t="s">
        <v>64</v>
      </c>
      <c r="D35" s="116" t="s">
        <v>29</v>
      </c>
      <c r="E35" s="31"/>
      <c r="F35" s="2">
        <f>15621.03+395.94</f>
        <v>16016.970000000001</v>
      </c>
      <c r="G35" s="30"/>
      <c r="I35" s="13"/>
      <c r="J35" s="13"/>
    </row>
    <row r="36" spans="1:10" s="2" customFormat="1" ht="12.75" customHeight="1" x14ac:dyDescent="0.2">
      <c r="A36" s="89">
        <v>45076</v>
      </c>
      <c r="B36" s="91" t="s">
        <v>11</v>
      </c>
      <c r="C36" s="76" t="s">
        <v>111</v>
      </c>
      <c r="D36" s="116" t="s">
        <v>29</v>
      </c>
      <c r="E36" s="31"/>
      <c r="F36" s="2">
        <v>1249006.05</v>
      </c>
      <c r="G36" s="30"/>
      <c r="I36" s="13"/>
      <c r="J36" s="13"/>
    </row>
    <row r="37" spans="1:10" s="2" customFormat="1" ht="12.75" customHeight="1" x14ac:dyDescent="0.2">
      <c r="A37" s="89">
        <v>45076</v>
      </c>
      <c r="B37" s="91" t="s">
        <v>11</v>
      </c>
      <c r="C37" s="76" t="s">
        <v>109</v>
      </c>
      <c r="D37" s="116" t="s">
        <v>29</v>
      </c>
      <c r="E37" s="31"/>
      <c r="F37" s="2">
        <v>391559</v>
      </c>
      <c r="G37" s="30"/>
      <c r="I37" s="13"/>
      <c r="J37" s="13"/>
    </row>
    <row r="38" spans="1:10" s="2" customFormat="1" ht="12.75" customHeight="1" x14ac:dyDescent="0.2">
      <c r="A38" s="89">
        <v>45076</v>
      </c>
      <c r="B38" s="91" t="s">
        <v>11</v>
      </c>
      <c r="C38" s="76" t="s">
        <v>199</v>
      </c>
      <c r="D38" s="116" t="s">
        <v>29</v>
      </c>
      <c r="E38" s="31"/>
      <c r="F38" s="2">
        <v>1854065</v>
      </c>
      <c r="G38" s="30"/>
      <c r="I38" s="13"/>
      <c r="J38" s="13"/>
    </row>
    <row r="39" spans="1:10" s="2" customFormat="1" ht="12.75" customHeight="1" x14ac:dyDescent="0.2">
      <c r="A39" s="89">
        <v>45076</v>
      </c>
      <c r="B39" s="91" t="s">
        <v>11</v>
      </c>
      <c r="C39" s="76" t="s">
        <v>1025</v>
      </c>
      <c r="D39" s="116" t="s">
        <v>29</v>
      </c>
      <c r="E39" s="31"/>
      <c r="F39" s="2">
        <v>2500000</v>
      </c>
      <c r="G39" s="30"/>
      <c r="I39" s="13"/>
      <c r="J39" s="13"/>
    </row>
    <row r="40" spans="1:10" s="2" customFormat="1" ht="12.75" customHeight="1" x14ac:dyDescent="0.2">
      <c r="A40" s="89">
        <v>45076</v>
      </c>
      <c r="B40" s="91" t="s">
        <v>11</v>
      </c>
      <c r="C40" s="76" t="s">
        <v>1026</v>
      </c>
      <c r="D40" s="116" t="s">
        <v>29</v>
      </c>
      <c r="E40" s="31"/>
      <c r="F40" s="2">
        <v>133400</v>
      </c>
      <c r="G40" s="30"/>
      <c r="I40" s="13"/>
      <c r="J40" s="13"/>
    </row>
    <row r="41" spans="1:10" s="2" customFormat="1" ht="12.75" customHeight="1" x14ac:dyDescent="0.2">
      <c r="A41" s="89">
        <v>45076</v>
      </c>
      <c r="B41" s="91" t="s">
        <v>11</v>
      </c>
      <c r="C41" s="76" t="s">
        <v>1027</v>
      </c>
      <c r="D41" s="116" t="s">
        <v>29</v>
      </c>
      <c r="E41" s="31"/>
      <c r="F41" s="2">
        <v>13724</v>
      </c>
      <c r="G41" s="30"/>
      <c r="I41" s="13"/>
      <c r="J41" s="13"/>
    </row>
    <row r="42" spans="1:10" s="2" customFormat="1" ht="12.75" customHeight="1" x14ac:dyDescent="0.2">
      <c r="A42" s="89">
        <v>45076</v>
      </c>
      <c r="B42" s="91" t="s">
        <v>11</v>
      </c>
      <c r="C42" s="76" t="s">
        <v>242</v>
      </c>
      <c r="D42" s="116" t="s">
        <v>29</v>
      </c>
      <c r="E42" s="31"/>
      <c r="F42" s="2">
        <v>32174</v>
      </c>
      <c r="G42" s="30"/>
      <c r="I42" s="13"/>
      <c r="J42" s="13"/>
    </row>
    <row r="43" spans="1:10" s="2" customFormat="1" ht="12.75" customHeight="1" x14ac:dyDescent="0.2">
      <c r="A43" s="89">
        <v>45076</v>
      </c>
      <c r="B43" s="91" t="s">
        <v>11</v>
      </c>
      <c r="C43" s="76" t="s">
        <v>476</v>
      </c>
      <c r="D43" s="116" t="s">
        <v>29</v>
      </c>
      <c r="E43" s="31"/>
      <c r="F43" s="2">
        <v>123750</v>
      </c>
      <c r="G43" s="30"/>
      <c r="I43" s="13"/>
      <c r="J43" s="13"/>
    </row>
    <row r="44" spans="1:10" s="2" customFormat="1" ht="12.75" customHeight="1" x14ac:dyDescent="0.2">
      <c r="A44" s="89">
        <v>45076</v>
      </c>
      <c r="B44" s="91" t="s">
        <v>11</v>
      </c>
      <c r="C44" s="76" t="s">
        <v>57</v>
      </c>
      <c r="D44" s="116" t="s">
        <v>29</v>
      </c>
      <c r="E44" s="31"/>
      <c r="F44" s="2">
        <v>5500000</v>
      </c>
      <c r="G44" s="30"/>
      <c r="I44" s="13"/>
      <c r="J44" s="13"/>
    </row>
    <row r="45" spans="1:10" s="2" customFormat="1" ht="12.75" customHeight="1" x14ac:dyDescent="0.2">
      <c r="A45" s="89">
        <v>45076</v>
      </c>
      <c r="B45" s="91" t="s">
        <v>11</v>
      </c>
      <c r="C45" s="76" t="s">
        <v>814</v>
      </c>
      <c r="D45" s="116" t="s">
        <v>29</v>
      </c>
      <c r="E45" s="31"/>
      <c r="F45" s="2">
        <v>350199</v>
      </c>
      <c r="G45" s="30"/>
      <c r="I45" s="13"/>
      <c r="J45" s="13"/>
    </row>
    <row r="46" spans="1:10" s="2" customFormat="1" ht="12.75" customHeight="1" x14ac:dyDescent="0.2">
      <c r="A46" s="89">
        <v>45076</v>
      </c>
      <c r="B46" s="91" t="s">
        <v>11</v>
      </c>
      <c r="C46" s="76" t="s">
        <v>56</v>
      </c>
      <c r="D46" s="116" t="s">
        <v>29</v>
      </c>
      <c r="E46" s="31"/>
      <c r="F46" s="2">
        <v>443436.5</v>
      </c>
      <c r="G46" s="30"/>
      <c r="I46" s="13"/>
      <c r="J46" s="13"/>
    </row>
    <row r="47" spans="1:10" s="2" customFormat="1" ht="12.75" customHeight="1" x14ac:dyDescent="0.2">
      <c r="A47" s="89">
        <v>45076</v>
      </c>
      <c r="B47" s="91" t="s">
        <v>11</v>
      </c>
      <c r="C47" s="76" t="s">
        <v>139</v>
      </c>
      <c r="D47" s="116" t="s">
        <v>29</v>
      </c>
      <c r="E47" s="31"/>
      <c r="F47" s="2">
        <v>1814255</v>
      </c>
      <c r="G47" s="30"/>
      <c r="I47" s="13"/>
      <c r="J47" s="13"/>
    </row>
    <row r="48" spans="1:10" s="2" customFormat="1" ht="12.75" customHeight="1" x14ac:dyDescent="0.2">
      <c r="A48" s="89">
        <v>45076</v>
      </c>
      <c r="B48" s="91" t="s">
        <v>11</v>
      </c>
      <c r="C48" s="76" t="s">
        <v>540</v>
      </c>
      <c r="D48" s="116" t="s">
        <v>29</v>
      </c>
      <c r="E48" s="31"/>
      <c r="F48" s="2">
        <v>3100</v>
      </c>
      <c r="G48" s="30"/>
      <c r="I48" s="13"/>
      <c r="J48" s="13"/>
    </row>
    <row r="49" spans="1:14" s="2" customFormat="1" ht="12.75" customHeight="1" x14ac:dyDescent="0.2">
      <c r="A49" s="89">
        <v>45076</v>
      </c>
      <c r="B49" s="91" t="s">
        <v>11</v>
      </c>
      <c r="C49" s="76" t="s">
        <v>829</v>
      </c>
      <c r="D49" s="116" t="s">
        <v>29</v>
      </c>
      <c r="E49" s="31"/>
      <c r="F49" s="2">
        <v>59940</v>
      </c>
      <c r="G49" s="30"/>
      <c r="I49" s="13"/>
      <c r="J49" s="13"/>
      <c r="K49" s="2" t="s">
        <v>396</v>
      </c>
    </row>
    <row r="50" spans="1:14" s="2" customFormat="1" ht="12.75" customHeight="1" x14ac:dyDescent="0.2">
      <c r="A50" s="89">
        <v>45076</v>
      </c>
      <c r="B50" s="91" t="s">
        <v>11</v>
      </c>
      <c r="C50" s="76" t="s">
        <v>62</v>
      </c>
      <c r="D50" s="116" t="s">
        <v>29</v>
      </c>
      <c r="E50" s="31"/>
      <c r="F50" s="2">
        <v>30000</v>
      </c>
      <c r="G50" s="30"/>
      <c r="I50" s="13"/>
      <c r="J50" s="13"/>
    </row>
    <row r="51" spans="1:14" s="2" customFormat="1" ht="12.75" customHeight="1" x14ac:dyDescent="0.2">
      <c r="A51" s="89">
        <v>45076</v>
      </c>
      <c r="B51" s="91" t="s">
        <v>11</v>
      </c>
      <c r="C51" s="76" t="s">
        <v>823</v>
      </c>
      <c r="D51" s="116" t="s">
        <v>29</v>
      </c>
      <c r="E51" s="31"/>
      <c r="F51" s="2">
        <v>16066</v>
      </c>
      <c r="G51" s="30"/>
      <c r="I51" s="13"/>
      <c r="J51" s="13" t="s">
        <v>601</v>
      </c>
      <c r="K51" s="25" t="s">
        <v>779</v>
      </c>
    </row>
    <row r="52" spans="1:14" s="2" customFormat="1" ht="12.75" customHeight="1" x14ac:dyDescent="0.25">
      <c r="A52" s="32"/>
      <c r="B52" s="33"/>
      <c r="C52" s="14"/>
      <c r="D52" s="34"/>
      <c r="E52" s="16">
        <f>SUM(E11:E51)</f>
        <v>12420078.289999999</v>
      </c>
      <c r="F52" s="16">
        <f>SUM(F11:F51)</f>
        <v>314318299.89999992</v>
      </c>
      <c r="G52" s="30"/>
      <c r="H52" s="1"/>
      <c r="I52" s="39">
        <v>305285102.61000001</v>
      </c>
      <c r="J52" s="2">
        <f>842607+2544274</f>
        <v>3386881</v>
      </c>
      <c r="K52" s="92">
        <f>E53-I52</f>
        <v>-3386881.0000001192</v>
      </c>
      <c r="L52" s="41"/>
      <c r="M52" s="42"/>
    </row>
    <row r="53" spans="1:14" s="2" customFormat="1" ht="12.75" customHeight="1" x14ac:dyDescent="0.2">
      <c r="A53" s="36"/>
      <c r="B53" s="28" t="s">
        <v>11</v>
      </c>
      <c r="C53" s="19" t="s">
        <v>65</v>
      </c>
      <c r="D53" s="37"/>
      <c r="E53" s="38">
        <f>F52-E52</f>
        <v>301898221.6099999</v>
      </c>
      <c r="F53" s="22"/>
      <c r="G53" s="1"/>
      <c r="H53" s="1"/>
      <c r="J53" s="1"/>
      <c r="K53" s="1"/>
      <c r="L53" s="1"/>
      <c r="M53" s="1"/>
    </row>
    <row r="54" spans="1:14" s="2" customFormat="1" ht="12.75" customHeight="1" x14ac:dyDescent="0.2">
      <c r="A54" s="36"/>
      <c r="B54" s="28" t="s">
        <v>66</v>
      </c>
      <c r="C54" s="43" t="s">
        <v>67</v>
      </c>
      <c r="D54" s="43"/>
      <c r="E54" s="12">
        <v>40592640</v>
      </c>
      <c r="F54" s="22"/>
      <c r="G54" s="1"/>
      <c r="H54" s="40"/>
      <c r="I54" s="45">
        <v>3430.29</v>
      </c>
      <c r="J54" s="46"/>
      <c r="K54" s="46"/>
      <c r="L54" s="13"/>
    </row>
    <row r="55" spans="1:14" s="2" customFormat="1" ht="12.75" customHeight="1" x14ac:dyDescent="0.25">
      <c r="A55" s="36"/>
      <c r="B55" s="28"/>
      <c r="C55" s="44" t="s">
        <v>68</v>
      </c>
      <c r="D55" s="43"/>
      <c r="E55" s="7">
        <f>E53+E54</f>
        <v>342490861.6099999</v>
      </c>
      <c r="F55" s="22"/>
      <c r="G55" s="1"/>
      <c r="H55" s="103" t="s">
        <v>69</v>
      </c>
      <c r="I55" s="45">
        <v>-231.94</v>
      </c>
      <c r="J55" s="46"/>
      <c r="K55" s="46"/>
      <c r="N55" s="1"/>
    </row>
    <row r="56" spans="1:14" s="2" customFormat="1" x14ac:dyDescent="0.2">
      <c r="A56" s="24"/>
      <c r="B56" s="1"/>
      <c r="C56" s="14"/>
      <c r="D56" s="25"/>
      <c r="E56" s="1"/>
      <c r="H56" s="35" t="s">
        <v>70</v>
      </c>
      <c r="I56" s="45">
        <v>100</v>
      </c>
      <c r="J56" s="46">
        <f>+I57-D59</f>
        <v>0</v>
      </c>
      <c r="M56" s="2">
        <v>19.57</v>
      </c>
      <c r="N56" s="1"/>
    </row>
    <row r="57" spans="1:14" x14ac:dyDescent="0.2">
      <c r="C57" s="56"/>
      <c r="D57" s="56"/>
      <c r="E57" s="104"/>
      <c r="I57" s="49">
        <f>SUM(I54:I56)</f>
        <v>3298.35</v>
      </c>
      <c r="J57" s="46"/>
      <c r="K57" s="46"/>
      <c r="L57" s="2"/>
      <c r="M57" s="2"/>
      <c r="N57" s="2"/>
    </row>
    <row r="58" spans="1:14" x14ac:dyDescent="0.2">
      <c r="C58" s="78" t="s">
        <v>575</v>
      </c>
      <c r="D58" s="48" t="s">
        <v>576</v>
      </c>
      <c r="E58" s="104"/>
      <c r="I58" s="2"/>
      <c r="J58" s="2"/>
      <c r="K58" s="2"/>
      <c r="L58" s="2"/>
      <c r="M58" s="2"/>
      <c r="N58" s="2"/>
    </row>
    <row r="59" spans="1:14" s="2" customFormat="1" x14ac:dyDescent="0.2">
      <c r="A59" s="24"/>
      <c r="B59" s="1"/>
      <c r="C59" s="47" t="s">
        <v>570</v>
      </c>
      <c r="D59" s="111">
        <v>3298.35</v>
      </c>
      <c r="E59" s="104"/>
      <c r="G59" s="1"/>
      <c r="H59" s="110" t="s">
        <v>581</v>
      </c>
      <c r="N59" s="2" t="s">
        <v>535</v>
      </c>
    </row>
    <row r="60" spans="1:14" s="2" customFormat="1" x14ac:dyDescent="0.2">
      <c r="A60" s="24"/>
      <c r="B60" s="1"/>
      <c r="C60" s="47" t="s">
        <v>931</v>
      </c>
      <c r="D60" s="111">
        <v>443.57</v>
      </c>
      <c r="E60" s="104"/>
      <c r="G60" s="1"/>
      <c r="H60" s="110" t="s">
        <v>580</v>
      </c>
    </row>
    <row r="61" spans="1:14" s="2" customFormat="1" x14ac:dyDescent="0.2">
      <c r="A61" s="24"/>
      <c r="B61" s="1"/>
      <c r="C61" s="47" t="s">
        <v>572</v>
      </c>
      <c r="D61" s="111">
        <f>+D121/100000</f>
        <v>869.69633999999996</v>
      </c>
      <c r="E61" s="104"/>
      <c r="G61" s="1"/>
      <c r="H61" s="90" t="s">
        <v>587</v>
      </c>
    </row>
    <row r="62" spans="1:14" s="2" customFormat="1" x14ac:dyDescent="0.2">
      <c r="A62" s="24"/>
      <c r="B62" s="1"/>
      <c r="C62" s="108" t="s">
        <v>578</v>
      </c>
      <c r="D62" s="48">
        <f>SUM(D59:D61)</f>
        <v>4611.6163400000005</v>
      </c>
      <c r="E62" s="104"/>
      <c r="G62" s="1"/>
    </row>
    <row r="63" spans="1:14" s="2" customFormat="1" x14ac:dyDescent="0.2">
      <c r="A63" s="24"/>
      <c r="B63" s="1"/>
      <c r="C63" s="47"/>
      <c r="D63" s="107"/>
      <c r="E63" s="104"/>
      <c r="G63" s="1"/>
    </row>
    <row r="64" spans="1:14" s="2" customFormat="1" x14ac:dyDescent="0.2">
      <c r="A64" s="24"/>
      <c r="B64" s="1"/>
      <c r="C64" s="47" t="s">
        <v>932</v>
      </c>
      <c r="D64" s="111">
        <v>619.48</v>
      </c>
      <c r="E64" s="104"/>
      <c r="G64" s="1"/>
      <c r="H64" s="110" t="s">
        <v>581</v>
      </c>
    </row>
    <row r="65" spans="1:13" s="2" customFormat="1" x14ac:dyDescent="0.2">
      <c r="A65" s="24"/>
      <c r="B65" s="1"/>
      <c r="C65" s="47" t="s">
        <v>933</v>
      </c>
      <c r="D65" s="111">
        <f>630.55-26.36</f>
        <v>604.18999999999994</v>
      </c>
      <c r="E65" s="104"/>
      <c r="G65" s="1"/>
      <c r="H65" s="110" t="s">
        <v>581</v>
      </c>
      <c r="J65" s="114" t="s">
        <v>713</v>
      </c>
    </row>
    <row r="66" spans="1:13" s="2" customFormat="1" x14ac:dyDescent="0.2">
      <c r="A66" s="24"/>
      <c r="B66" s="1"/>
      <c r="C66" s="78" t="s">
        <v>579</v>
      </c>
      <c r="D66" s="109">
        <f>D64+D65</f>
        <v>1223.67</v>
      </c>
      <c r="E66" s="104"/>
      <c r="G66" s="1"/>
      <c r="I66" s="113"/>
      <c r="J66" s="113" t="s">
        <v>709</v>
      </c>
      <c r="K66" s="113" t="s">
        <v>710</v>
      </c>
      <c r="L66" s="113" t="s">
        <v>711</v>
      </c>
      <c r="M66" s="113" t="s">
        <v>712</v>
      </c>
    </row>
    <row r="67" spans="1:13" s="2" customFormat="1" x14ac:dyDescent="0.2">
      <c r="A67" s="24"/>
      <c r="B67" s="1"/>
      <c r="C67" s="105"/>
      <c r="D67" s="106"/>
      <c r="E67" s="104"/>
      <c r="G67" s="1"/>
      <c r="I67" s="113" t="s">
        <v>706</v>
      </c>
      <c r="J67" s="115"/>
      <c r="K67" s="115">
        <v>968.99</v>
      </c>
      <c r="L67" s="115">
        <v>968.99</v>
      </c>
      <c r="M67" s="113">
        <f>+J67+L67-K67</f>
        <v>0</v>
      </c>
    </row>
    <row r="68" spans="1:13" s="2" customFormat="1" x14ac:dyDescent="0.2">
      <c r="A68" s="24"/>
      <c r="B68" s="1"/>
      <c r="C68" s="78" t="s">
        <v>577</v>
      </c>
      <c r="D68" s="109">
        <f>D59+D66</f>
        <v>4522.0200000000004</v>
      </c>
      <c r="E68" s="104"/>
      <c r="G68" s="1"/>
      <c r="I68" s="113" t="s">
        <v>707</v>
      </c>
      <c r="J68" s="115">
        <v>183.1</v>
      </c>
      <c r="K68" s="115">
        <v>1960.96</v>
      </c>
      <c r="L68" s="115">
        <v>2792.81</v>
      </c>
      <c r="M68" s="113">
        <f>+J68+L68-K68</f>
        <v>1014.9499999999998</v>
      </c>
    </row>
    <row r="69" spans="1:13" s="2" customFormat="1" x14ac:dyDescent="0.2">
      <c r="A69" s="24"/>
      <c r="B69" s="1"/>
      <c r="C69" s="56"/>
      <c r="D69" s="56"/>
      <c r="E69" s="104"/>
      <c r="G69" s="1"/>
      <c r="I69" s="113" t="s">
        <v>708</v>
      </c>
      <c r="J69" s="115">
        <v>1371.02</v>
      </c>
      <c r="K69" s="115">
        <v>11577.86</v>
      </c>
      <c r="L69" s="115">
        <v>11654.81</v>
      </c>
      <c r="M69" s="113">
        <f>+J69+L69-K69</f>
        <v>1447.9699999999993</v>
      </c>
    </row>
    <row r="70" spans="1:13" s="2" customFormat="1" ht="38.25" x14ac:dyDescent="0.2">
      <c r="A70" s="24"/>
      <c r="B70" s="1"/>
      <c r="C70" s="79" t="str">
        <f>"Particulars ( 01-04-2021 to "&amp;TEXT(A5,"dd-mm-yyyy")&amp;" )"</f>
        <v>Particulars ( 01-04-2021 to 30-05-2023 )</v>
      </c>
      <c r="D70" s="80" t="s">
        <v>73</v>
      </c>
      <c r="E70" s="80" t="s">
        <v>74</v>
      </c>
      <c r="F70" s="81" t="s">
        <v>75</v>
      </c>
      <c r="G70" s="80" t="s">
        <v>76</v>
      </c>
      <c r="J70" s="118">
        <f>SUM(J67:J69)</f>
        <v>1554.12</v>
      </c>
      <c r="K70" s="118">
        <f>SUM(K67:K69)</f>
        <v>14507.810000000001</v>
      </c>
      <c r="L70" s="118">
        <f>SUM(L67:L69)</f>
        <v>15416.61</v>
      </c>
      <c r="M70" s="118">
        <f>SUM(M67:M69)</f>
        <v>2462.9199999999992</v>
      </c>
    </row>
    <row r="71" spans="1:13" s="2" customFormat="1" x14ac:dyDescent="0.2">
      <c r="A71" s="24"/>
      <c r="B71" s="1"/>
      <c r="C71" s="50" t="s">
        <v>444</v>
      </c>
      <c r="D71" s="55">
        <f>+L67+L68+J68</f>
        <v>3944.9</v>
      </c>
      <c r="E71" s="55">
        <f>+K67+K68</f>
        <v>2929.95</v>
      </c>
      <c r="F71" s="55">
        <f>+D71-E71</f>
        <v>1014.9500000000003</v>
      </c>
      <c r="G71" s="55">
        <f>1500-F71</f>
        <v>485.04999999999973</v>
      </c>
      <c r="H71" s="2" t="s">
        <v>396</v>
      </c>
    </row>
    <row r="72" spans="1:13" s="2" customFormat="1" x14ac:dyDescent="0.2">
      <c r="A72" s="24"/>
      <c r="B72" s="1"/>
      <c r="C72" s="50" t="s">
        <v>71</v>
      </c>
      <c r="D72" s="55">
        <f>+J69+L69</f>
        <v>13025.83</v>
      </c>
      <c r="E72" s="55">
        <f>+K69</f>
        <v>11577.86</v>
      </c>
      <c r="F72" s="55">
        <f>+D72-E72</f>
        <v>1447.9699999999993</v>
      </c>
      <c r="G72" s="55">
        <f>1500+700-F72</f>
        <v>752.03000000000065</v>
      </c>
      <c r="H72" s="2" t="s">
        <v>396</v>
      </c>
    </row>
    <row r="73" spans="1:13" s="2" customFormat="1" x14ac:dyDescent="0.2">
      <c r="A73" s="24"/>
      <c r="B73" s="1"/>
      <c r="C73" s="14"/>
      <c r="D73" s="56"/>
      <c r="E73" s="13"/>
      <c r="G73" s="1"/>
    </row>
    <row r="74" spans="1:13" s="2" customFormat="1" x14ac:dyDescent="0.2">
      <c r="A74" s="215" t="s">
        <v>80</v>
      </c>
      <c r="B74" s="216"/>
      <c r="C74" s="216"/>
      <c r="D74" s="217"/>
      <c r="E74" s="69"/>
      <c r="F74" s="70"/>
      <c r="G74" s="1"/>
      <c r="H74" s="53"/>
    </row>
    <row r="75" spans="1:13" s="2" customFormat="1" x14ac:dyDescent="0.2">
      <c r="A75" s="71" t="s">
        <v>81</v>
      </c>
      <c r="B75" s="71"/>
      <c r="C75" s="72" t="s">
        <v>82</v>
      </c>
      <c r="D75" s="73" t="s">
        <v>83</v>
      </c>
      <c r="E75" s="69"/>
      <c r="F75" s="70"/>
      <c r="H75" s="53"/>
    </row>
    <row r="76" spans="1:13" s="2" customFormat="1" x14ac:dyDescent="0.2">
      <c r="A76" s="87">
        <v>45050</v>
      </c>
      <c r="B76" s="120" t="s">
        <v>6</v>
      </c>
      <c r="C76" s="75" t="s">
        <v>594</v>
      </c>
      <c r="D76" s="88">
        <v>1562637</v>
      </c>
      <c r="G76" s="1"/>
      <c r="L76" s="1"/>
      <c r="M76" s="1"/>
    </row>
    <row r="77" spans="1:13" s="2" customFormat="1" x14ac:dyDescent="0.2">
      <c r="A77" s="87">
        <v>45050</v>
      </c>
      <c r="B77" s="120" t="s">
        <v>6</v>
      </c>
      <c r="C77" s="75" t="s">
        <v>86</v>
      </c>
      <c r="D77" s="88">
        <v>2499321</v>
      </c>
    </row>
    <row r="78" spans="1:13" s="2" customFormat="1" x14ac:dyDescent="0.2">
      <c r="A78" s="87">
        <v>45050</v>
      </c>
      <c r="B78" s="120" t="s">
        <v>6</v>
      </c>
      <c r="C78" s="75" t="s">
        <v>86</v>
      </c>
      <c r="D78" s="88">
        <v>6876102</v>
      </c>
    </row>
    <row r="79" spans="1:13" s="2" customFormat="1" x14ac:dyDescent="0.2">
      <c r="A79" s="87">
        <v>45052</v>
      </c>
      <c r="B79" s="120" t="s">
        <v>6</v>
      </c>
      <c r="C79" s="75" t="s">
        <v>270</v>
      </c>
      <c r="D79" s="88">
        <v>1124141</v>
      </c>
    </row>
    <row r="80" spans="1:13" s="2" customFormat="1" x14ac:dyDescent="0.2">
      <c r="A80" s="87">
        <v>45054</v>
      </c>
      <c r="B80" s="120" t="s">
        <v>6</v>
      </c>
      <c r="C80" s="75" t="s">
        <v>271</v>
      </c>
      <c r="D80" s="88">
        <v>476726</v>
      </c>
      <c r="G80" s="1"/>
      <c r="L80" s="1"/>
      <c r="M80" s="1"/>
    </row>
    <row r="81" spans="1:13" s="2" customFormat="1" x14ac:dyDescent="0.2">
      <c r="A81" s="87">
        <v>45054</v>
      </c>
      <c r="B81" s="120" t="s">
        <v>6</v>
      </c>
      <c r="C81" s="75" t="s">
        <v>271</v>
      </c>
      <c r="D81" s="88">
        <v>926688</v>
      </c>
      <c r="G81" s="1"/>
      <c r="L81" s="1"/>
      <c r="M81" s="1"/>
    </row>
    <row r="82" spans="1:13" s="2" customFormat="1" x14ac:dyDescent="0.2">
      <c r="A82" s="87">
        <v>45054</v>
      </c>
      <c r="B82" s="120" t="s">
        <v>6</v>
      </c>
      <c r="C82" s="75" t="s">
        <v>87</v>
      </c>
      <c r="D82" s="88">
        <v>1844917</v>
      </c>
      <c r="G82" s="1"/>
      <c r="L82" s="1"/>
      <c r="M82" s="1"/>
    </row>
    <row r="83" spans="1:13" s="2" customFormat="1" x14ac:dyDescent="0.2">
      <c r="A83" s="87">
        <v>45054</v>
      </c>
      <c r="B83" s="120" t="s">
        <v>6</v>
      </c>
      <c r="C83" s="75" t="s">
        <v>271</v>
      </c>
      <c r="D83" s="88">
        <v>1640794</v>
      </c>
      <c r="G83" s="1"/>
      <c r="L83" s="1"/>
      <c r="M83" s="1"/>
    </row>
    <row r="84" spans="1:13" s="2" customFormat="1" x14ac:dyDescent="0.2">
      <c r="A84" s="87">
        <v>45055</v>
      </c>
      <c r="B84" s="120" t="s">
        <v>6</v>
      </c>
      <c r="C84" s="75" t="s">
        <v>84</v>
      </c>
      <c r="D84" s="88">
        <v>2000000</v>
      </c>
      <c r="G84" s="1"/>
      <c r="L84" s="1"/>
      <c r="M84" s="1"/>
    </row>
    <row r="85" spans="1:13" s="2" customFormat="1" x14ac:dyDescent="0.2">
      <c r="A85" s="87">
        <v>45055</v>
      </c>
      <c r="B85" s="120" t="s">
        <v>6</v>
      </c>
      <c r="C85" s="75" t="s">
        <v>87</v>
      </c>
      <c r="D85" s="88">
        <v>2540563</v>
      </c>
      <c r="G85" s="1"/>
      <c r="L85" s="1"/>
      <c r="M85" s="1"/>
    </row>
    <row r="86" spans="1:13" s="2" customFormat="1" x14ac:dyDescent="0.2">
      <c r="A86" s="87">
        <v>45055</v>
      </c>
      <c r="B86" s="120" t="s">
        <v>6</v>
      </c>
      <c r="C86" s="75" t="s">
        <v>18</v>
      </c>
      <c r="D86" s="88">
        <v>950137</v>
      </c>
      <c r="G86" s="1"/>
      <c r="L86" s="1"/>
      <c r="M86" s="1"/>
    </row>
    <row r="87" spans="1:13" s="2" customFormat="1" x14ac:dyDescent="0.2">
      <c r="A87" s="87">
        <v>45056</v>
      </c>
      <c r="B87" s="120" t="s">
        <v>6</v>
      </c>
      <c r="C87" s="75" t="s">
        <v>271</v>
      </c>
      <c r="D87" s="88">
        <v>242417</v>
      </c>
      <c r="G87" s="1"/>
      <c r="L87" s="1"/>
      <c r="M87" s="1"/>
    </row>
    <row r="88" spans="1:13" s="2" customFormat="1" x14ac:dyDescent="0.2">
      <c r="A88" s="87">
        <v>45056</v>
      </c>
      <c r="B88" s="120" t="s">
        <v>6</v>
      </c>
      <c r="C88" s="75" t="s">
        <v>271</v>
      </c>
      <c r="D88" s="88">
        <v>674909</v>
      </c>
      <c r="G88" s="1"/>
      <c r="L88" s="1"/>
      <c r="M88" s="1"/>
    </row>
    <row r="89" spans="1:13" s="2" customFormat="1" x14ac:dyDescent="0.2">
      <c r="A89" s="87">
        <v>45056</v>
      </c>
      <c r="B89" s="120" t="s">
        <v>6</v>
      </c>
      <c r="C89" s="75" t="s">
        <v>271</v>
      </c>
      <c r="D89" s="88">
        <v>969371</v>
      </c>
      <c r="G89" s="1"/>
      <c r="L89" s="1"/>
      <c r="M89" s="1"/>
    </row>
    <row r="90" spans="1:13" s="2" customFormat="1" x14ac:dyDescent="0.2">
      <c r="A90" s="87">
        <v>45058</v>
      </c>
      <c r="B90" s="120" t="s">
        <v>6</v>
      </c>
      <c r="C90" s="75" t="s">
        <v>271</v>
      </c>
      <c r="D90" s="88">
        <v>650439</v>
      </c>
      <c r="G90" s="1"/>
      <c r="L90" s="1"/>
      <c r="M90" s="1"/>
    </row>
    <row r="91" spans="1:13" s="2" customFormat="1" x14ac:dyDescent="0.2">
      <c r="A91" s="87">
        <v>45058</v>
      </c>
      <c r="B91" s="120" t="s">
        <v>6</v>
      </c>
      <c r="C91" s="75" t="s">
        <v>271</v>
      </c>
      <c r="D91" s="88">
        <v>432067</v>
      </c>
      <c r="G91" s="1"/>
      <c r="L91" s="1"/>
      <c r="M91" s="1"/>
    </row>
    <row r="92" spans="1:13" s="2" customFormat="1" x14ac:dyDescent="0.2">
      <c r="A92" s="87">
        <v>45058</v>
      </c>
      <c r="B92" s="120" t="s">
        <v>6</v>
      </c>
      <c r="C92" s="75" t="s">
        <v>271</v>
      </c>
      <c r="D92" s="88">
        <v>412906</v>
      </c>
      <c r="G92" s="1"/>
      <c r="L92" s="1"/>
      <c r="M92" s="1"/>
    </row>
    <row r="93" spans="1:13" s="2" customFormat="1" x14ac:dyDescent="0.2">
      <c r="A93" s="87">
        <v>45061</v>
      </c>
      <c r="B93" s="120" t="s">
        <v>6</v>
      </c>
      <c r="C93" s="75" t="s">
        <v>594</v>
      </c>
      <c r="D93" s="88">
        <v>7500000</v>
      </c>
      <c r="G93" s="1"/>
      <c r="L93" s="1"/>
      <c r="M93" s="1"/>
    </row>
    <row r="94" spans="1:13" s="2" customFormat="1" x14ac:dyDescent="0.2">
      <c r="A94" s="87">
        <v>45062</v>
      </c>
      <c r="B94" s="120" t="s">
        <v>6</v>
      </c>
      <c r="C94" s="75" t="s">
        <v>86</v>
      </c>
      <c r="D94" s="88">
        <v>3769130</v>
      </c>
      <c r="G94" s="1"/>
      <c r="L94" s="1"/>
      <c r="M94" s="1"/>
    </row>
    <row r="95" spans="1:13" s="2" customFormat="1" x14ac:dyDescent="0.2">
      <c r="A95" s="87">
        <v>45063</v>
      </c>
      <c r="B95" s="120" t="s">
        <v>6</v>
      </c>
      <c r="C95" s="75" t="s">
        <v>84</v>
      </c>
      <c r="D95" s="88">
        <v>5033848</v>
      </c>
      <c r="G95" s="1"/>
      <c r="L95" s="1"/>
      <c r="M95" s="1"/>
    </row>
    <row r="96" spans="1:13" s="2" customFormat="1" x14ac:dyDescent="0.2">
      <c r="A96" s="87">
        <v>45065</v>
      </c>
      <c r="B96" s="120" t="s">
        <v>6</v>
      </c>
      <c r="C96" s="75" t="s">
        <v>594</v>
      </c>
      <c r="D96" s="88">
        <v>6001798</v>
      </c>
      <c r="G96" s="1"/>
      <c r="L96" s="1"/>
      <c r="M96" s="1"/>
    </row>
    <row r="97" spans="1:13" s="2" customFormat="1" x14ac:dyDescent="0.2">
      <c r="A97" s="87">
        <v>45065</v>
      </c>
      <c r="B97" s="120" t="s">
        <v>6</v>
      </c>
      <c r="C97" s="75" t="s">
        <v>594</v>
      </c>
      <c r="D97" s="88">
        <v>9126</v>
      </c>
      <c r="G97" s="1"/>
      <c r="L97" s="1"/>
      <c r="M97" s="1"/>
    </row>
    <row r="98" spans="1:13" s="2" customFormat="1" x14ac:dyDescent="0.2">
      <c r="A98" s="87">
        <v>45066</v>
      </c>
      <c r="B98" s="120" t="s">
        <v>6</v>
      </c>
      <c r="C98" s="75" t="s">
        <v>271</v>
      </c>
      <c r="D98" s="88">
        <v>231880</v>
      </c>
      <c r="G98" s="1"/>
      <c r="L98" s="1"/>
      <c r="M98" s="1"/>
    </row>
    <row r="99" spans="1:13" s="2" customFormat="1" x14ac:dyDescent="0.2">
      <c r="A99" s="87">
        <v>45066</v>
      </c>
      <c r="B99" s="120" t="s">
        <v>6</v>
      </c>
      <c r="C99" s="75" t="s">
        <v>271</v>
      </c>
      <c r="D99" s="88">
        <v>1166054</v>
      </c>
      <c r="G99" s="1"/>
      <c r="L99" s="1"/>
      <c r="M99" s="1"/>
    </row>
    <row r="100" spans="1:13" s="2" customFormat="1" x14ac:dyDescent="0.2">
      <c r="A100" s="87">
        <v>45066</v>
      </c>
      <c r="B100" s="120" t="s">
        <v>6</v>
      </c>
      <c r="C100" s="75" t="s">
        <v>271</v>
      </c>
      <c r="D100" s="88">
        <v>197868</v>
      </c>
      <c r="G100" s="1"/>
      <c r="L100" s="1"/>
      <c r="M100" s="1"/>
    </row>
    <row r="101" spans="1:13" s="2" customFormat="1" x14ac:dyDescent="0.2">
      <c r="A101" s="87">
        <v>45066</v>
      </c>
      <c r="B101" s="120" t="s">
        <v>6</v>
      </c>
      <c r="C101" s="75" t="s">
        <v>271</v>
      </c>
      <c r="D101" s="88">
        <v>411515</v>
      </c>
      <c r="G101" s="1"/>
      <c r="L101" s="1"/>
      <c r="M101" s="1"/>
    </row>
    <row r="102" spans="1:13" s="2" customFormat="1" x14ac:dyDescent="0.2">
      <c r="A102" s="87">
        <v>45066</v>
      </c>
      <c r="B102" s="120" t="s">
        <v>6</v>
      </c>
      <c r="C102" s="75" t="s">
        <v>271</v>
      </c>
      <c r="D102" s="88">
        <v>781035</v>
      </c>
      <c r="G102" s="1"/>
      <c r="L102" s="1"/>
      <c r="M102" s="1"/>
    </row>
    <row r="103" spans="1:13" s="2" customFormat="1" x14ac:dyDescent="0.2">
      <c r="A103" s="87">
        <v>45066</v>
      </c>
      <c r="B103" s="120" t="s">
        <v>6</v>
      </c>
      <c r="C103" s="75" t="s">
        <v>87</v>
      </c>
      <c r="D103" s="88">
        <v>1320555</v>
      </c>
      <c r="G103" s="1"/>
      <c r="L103" s="1"/>
      <c r="M103" s="1"/>
    </row>
    <row r="104" spans="1:13" s="2" customFormat="1" x14ac:dyDescent="0.2">
      <c r="A104" s="87">
        <v>45066</v>
      </c>
      <c r="B104" s="120" t="s">
        <v>6</v>
      </c>
      <c r="C104" s="75" t="s">
        <v>323</v>
      </c>
      <c r="D104" s="88">
        <v>2498439</v>
      </c>
      <c r="G104" s="1"/>
      <c r="L104" s="1"/>
      <c r="M104" s="1"/>
    </row>
    <row r="105" spans="1:13" s="2" customFormat="1" x14ac:dyDescent="0.2">
      <c r="A105" s="87">
        <v>45068</v>
      </c>
      <c r="B105" s="120" t="s">
        <v>6</v>
      </c>
      <c r="C105" s="75" t="s">
        <v>86</v>
      </c>
      <c r="D105" s="88">
        <v>588418</v>
      </c>
      <c r="G105" s="1"/>
      <c r="L105" s="1"/>
      <c r="M105" s="1"/>
    </row>
    <row r="106" spans="1:13" s="2" customFormat="1" x14ac:dyDescent="0.2">
      <c r="A106" s="87">
        <v>45068</v>
      </c>
      <c r="B106" s="120" t="s">
        <v>6</v>
      </c>
      <c r="C106" s="75" t="s">
        <v>86</v>
      </c>
      <c r="D106" s="88">
        <v>6280875</v>
      </c>
      <c r="G106" s="1"/>
      <c r="L106" s="1"/>
      <c r="M106" s="1"/>
    </row>
    <row r="107" spans="1:13" s="2" customFormat="1" x14ac:dyDescent="0.2">
      <c r="A107" s="87">
        <v>45068</v>
      </c>
      <c r="B107" s="120" t="s">
        <v>6</v>
      </c>
      <c r="C107" s="75" t="s">
        <v>86</v>
      </c>
      <c r="D107" s="88">
        <v>1195342</v>
      </c>
      <c r="G107" s="1"/>
      <c r="L107" s="1"/>
      <c r="M107" s="1"/>
    </row>
    <row r="108" spans="1:13" s="2" customFormat="1" x14ac:dyDescent="0.2">
      <c r="A108" s="87">
        <v>45070</v>
      </c>
      <c r="B108" s="120" t="s">
        <v>6</v>
      </c>
      <c r="C108" s="75" t="s">
        <v>85</v>
      </c>
      <c r="D108" s="88">
        <v>734755</v>
      </c>
      <c r="G108" s="1"/>
      <c r="L108" s="1"/>
      <c r="M108" s="1"/>
    </row>
    <row r="109" spans="1:13" s="2" customFormat="1" x14ac:dyDescent="0.2">
      <c r="A109" s="87">
        <v>45070</v>
      </c>
      <c r="B109" s="120" t="s">
        <v>6</v>
      </c>
      <c r="C109" s="75" t="s">
        <v>270</v>
      </c>
      <c r="D109" s="88">
        <v>1147013</v>
      </c>
      <c r="G109" s="1"/>
      <c r="L109" s="1"/>
      <c r="M109" s="1"/>
    </row>
    <row r="110" spans="1:13" s="2" customFormat="1" x14ac:dyDescent="0.2">
      <c r="A110" s="87">
        <v>45070</v>
      </c>
      <c r="B110" s="120" t="s">
        <v>6</v>
      </c>
      <c r="C110" s="75" t="s">
        <v>270</v>
      </c>
      <c r="D110" s="88">
        <v>2489665</v>
      </c>
      <c r="G110" s="1"/>
      <c r="L110" s="1"/>
      <c r="M110" s="1"/>
    </row>
    <row r="111" spans="1:13" s="2" customFormat="1" x14ac:dyDescent="0.2">
      <c r="A111" s="87">
        <v>45070</v>
      </c>
      <c r="B111" s="120" t="s">
        <v>6</v>
      </c>
      <c r="C111" s="75" t="s">
        <v>270</v>
      </c>
      <c r="D111" s="88">
        <v>306124</v>
      </c>
      <c r="G111" s="1"/>
      <c r="L111" s="1"/>
      <c r="M111" s="1"/>
    </row>
    <row r="112" spans="1:13" s="2" customFormat="1" x14ac:dyDescent="0.2">
      <c r="A112" s="87">
        <v>45070</v>
      </c>
      <c r="B112" s="120" t="s">
        <v>6</v>
      </c>
      <c r="C112" s="75" t="s">
        <v>86</v>
      </c>
      <c r="D112" s="88">
        <v>4992840</v>
      </c>
      <c r="G112" s="1"/>
      <c r="L112" s="1"/>
      <c r="M112" s="1"/>
    </row>
    <row r="113" spans="1:13" s="2" customFormat="1" x14ac:dyDescent="0.2">
      <c r="A113" s="87">
        <v>45071</v>
      </c>
      <c r="B113" s="120" t="s">
        <v>6</v>
      </c>
      <c r="C113" s="75" t="s">
        <v>270</v>
      </c>
      <c r="D113" s="88">
        <v>107384</v>
      </c>
      <c r="G113" s="1"/>
      <c r="L113" s="1"/>
      <c r="M113" s="1"/>
    </row>
    <row r="114" spans="1:13" s="2" customFormat="1" x14ac:dyDescent="0.2">
      <c r="A114" s="87">
        <v>45071</v>
      </c>
      <c r="B114" s="120" t="s">
        <v>6</v>
      </c>
      <c r="C114" s="75" t="s">
        <v>18</v>
      </c>
      <c r="D114" s="88">
        <v>538125</v>
      </c>
      <c r="G114" s="1"/>
      <c r="L114" s="1"/>
      <c r="M114" s="1"/>
    </row>
    <row r="115" spans="1:13" s="2" customFormat="1" x14ac:dyDescent="0.2">
      <c r="A115" s="87">
        <v>45071</v>
      </c>
      <c r="B115" s="120" t="s">
        <v>6</v>
      </c>
      <c r="C115" s="75" t="s">
        <v>270</v>
      </c>
      <c r="D115" s="88">
        <v>46577</v>
      </c>
      <c r="G115" s="1"/>
      <c r="L115" s="1"/>
      <c r="M115" s="1"/>
    </row>
    <row r="116" spans="1:13" s="2" customFormat="1" x14ac:dyDescent="0.2">
      <c r="A116" s="87">
        <v>45072</v>
      </c>
      <c r="B116" s="120" t="s">
        <v>6</v>
      </c>
      <c r="C116" s="75" t="s">
        <v>84</v>
      </c>
      <c r="D116" s="88">
        <v>2000000</v>
      </c>
      <c r="G116" s="1"/>
      <c r="L116" s="1"/>
      <c r="M116" s="1"/>
    </row>
    <row r="117" spans="1:13" s="2" customFormat="1" x14ac:dyDescent="0.2">
      <c r="A117" s="87">
        <v>45072</v>
      </c>
      <c r="B117" s="120" t="s">
        <v>6</v>
      </c>
      <c r="C117" s="75" t="s">
        <v>594</v>
      </c>
      <c r="D117" s="88">
        <v>8866315</v>
      </c>
      <c r="G117" s="1"/>
      <c r="L117" s="1"/>
      <c r="M117" s="1"/>
    </row>
    <row r="118" spans="1:13" s="2" customFormat="1" x14ac:dyDescent="0.2">
      <c r="A118" s="87">
        <v>45075</v>
      </c>
      <c r="B118" s="120" t="s">
        <v>6</v>
      </c>
      <c r="C118" s="75" t="s">
        <v>270</v>
      </c>
      <c r="D118" s="88">
        <v>356832</v>
      </c>
      <c r="G118" s="1"/>
      <c r="L118" s="1"/>
      <c r="M118" s="1"/>
    </row>
    <row r="119" spans="1:13" s="2" customFormat="1" x14ac:dyDescent="0.2">
      <c r="A119" s="87">
        <v>45075</v>
      </c>
      <c r="B119" s="120" t="s">
        <v>6</v>
      </c>
      <c r="C119" s="75" t="s">
        <v>270</v>
      </c>
      <c r="D119" s="88">
        <v>523707</v>
      </c>
      <c r="G119" s="1"/>
      <c r="L119" s="1"/>
      <c r="M119" s="1"/>
    </row>
    <row r="120" spans="1:13" s="2" customFormat="1" x14ac:dyDescent="0.2">
      <c r="A120" s="87">
        <v>45075</v>
      </c>
      <c r="B120" s="120" t="s">
        <v>6</v>
      </c>
      <c r="C120" s="75" t="s">
        <v>270</v>
      </c>
      <c r="D120" s="88">
        <v>2050279</v>
      </c>
      <c r="G120" s="1"/>
      <c r="L120" s="1"/>
      <c r="M120" s="1"/>
    </row>
    <row r="121" spans="1:13" s="2" customFormat="1" x14ac:dyDescent="0.2">
      <c r="A121" s="87"/>
      <c r="B121" s="74"/>
      <c r="C121" s="75"/>
      <c r="D121" s="51">
        <f>SUM(D76:D120)</f>
        <v>86969634</v>
      </c>
      <c r="F121" s="2" t="s">
        <v>396</v>
      </c>
      <c r="G121" s="1"/>
      <c r="L121" s="1"/>
      <c r="M121" s="1"/>
    </row>
    <row r="122" spans="1:13" s="2" customFormat="1" x14ac:dyDescent="0.2">
      <c r="A122" s="24"/>
      <c r="B122" s="1"/>
      <c r="C122" s="14"/>
      <c r="D122" s="56"/>
      <c r="E122" s="13"/>
      <c r="G122" s="1"/>
      <c r="L122" s="1"/>
      <c r="M122" s="1"/>
    </row>
    <row r="123" spans="1:13" s="2" customFormat="1" x14ac:dyDescent="0.2">
      <c r="A123" s="24"/>
      <c r="B123" s="1"/>
      <c r="C123" s="218" t="s">
        <v>77</v>
      </c>
      <c r="D123" s="219"/>
      <c r="E123" s="219"/>
      <c r="F123" s="220"/>
      <c r="G123" s="1"/>
      <c r="L123" s="1"/>
      <c r="M123" s="1"/>
    </row>
    <row r="124" spans="1:13" s="2" customFormat="1" x14ac:dyDescent="0.2">
      <c r="A124" s="24"/>
      <c r="B124" s="1"/>
      <c r="C124" s="50"/>
      <c r="D124" s="57" t="s">
        <v>78</v>
      </c>
      <c r="E124" s="58" t="s">
        <v>79</v>
      </c>
      <c r="F124" s="57" t="s">
        <v>72</v>
      </c>
      <c r="G124" s="1"/>
      <c r="I124" s="1"/>
      <c r="J124" s="1"/>
      <c r="K124" s="1"/>
      <c r="L124" s="1"/>
      <c r="M124" s="1"/>
    </row>
    <row r="125" spans="1:13" s="2" customFormat="1" x14ac:dyDescent="0.2">
      <c r="A125" s="24"/>
      <c r="B125" s="1"/>
      <c r="C125" s="59" t="str">
        <f>"01-05-2023 to "&amp;TEXT(A5-2,"dd-mm-yyyy")</f>
        <v>01-05-2023 to 28-05-2023</v>
      </c>
      <c r="D125" s="60">
        <v>4307.5600000000004</v>
      </c>
      <c r="E125" s="60">
        <v>341.41</v>
      </c>
      <c r="F125" s="61">
        <f>SUM(D125:E125)</f>
        <v>4648.97</v>
      </c>
      <c r="G125" s="1"/>
    </row>
    <row r="126" spans="1:13" s="2" customFormat="1" x14ac:dyDescent="0.2">
      <c r="A126" s="24"/>
      <c r="B126" s="1"/>
      <c r="C126" s="62" t="str">
        <f>TEXT(A5-1,"dd-mm-yyyy")</f>
        <v>29-05-2023</v>
      </c>
      <c r="D126" s="60">
        <v>125.38</v>
      </c>
      <c r="E126" s="60">
        <v>10.41</v>
      </c>
      <c r="F126" s="61">
        <f>SUM(D126:E126)</f>
        <v>135.79</v>
      </c>
      <c r="G126" s="54"/>
      <c r="I126" s="1"/>
      <c r="J126" s="1"/>
      <c r="K126" s="1"/>
      <c r="L126" s="1"/>
      <c r="M126" s="1"/>
    </row>
    <row r="127" spans="1:13" s="2" customFormat="1" ht="13.5" thickBot="1" x14ac:dyDescent="0.25">
      <c r="A127" s="24"/>
      <c r="B127" s="1"/>
      <c r="C127" s="63" t="str">
        <f>"01-05-2023 to "&amp;TEXT(A5-1,"dd-mm-yyyy")</f>
        <v>01-05-2023 to 29-05-2023</v>
      </c>
      <c r="D127" s="64">
        <f>SUM(D125:D126)</f>
        <v>4432.9400000000005</v>
      </c>
      <c r="E127" s="64">
        <f>SUM(E125:E126)</f>
        <v>351.82000000000005</v>
      </c>
      <c r="F127" s="64">
        <f>SUM(F125:F126)</f>
        <v>4784.76</v>
      </c>
      <c r="G127" s="54"/>
      <c r="I127" s="1"/>
      <c r="J127" s="1"/>
      <c r="K127" s="1"/>
      <c r="L127" s="1"/>
      <c r="M127" s="1"/>
    </row>
    <row r="128" spans="1:13" s="2" customFormat="1" ht="13.5" thickTop="1" x14ac:dyDescent="0.2">
      <c r="A128" s="24"/>
      <c r="B128" s="1"/>
      <c r="C128" s="62"/>
      <c r="D128" s="65"/>
      <c r="E128" s="66"/>
      <c r="F128" s="67"/>
      <c r="G128" s="54"/>
      <c r="I128" s="1"/>
      <c r="J128" s="1"/>
      <c r="K128" s="1"/>
      <c r="L128" s="1"/>
      <c r="M128" s="1"/>
    </row>
    <row r="129" spans="1:13" s="2" customFormat="1" x14ac:dyDescent="0.2">
      <c r="A129" s="24"/>
      <c r="B129" s="1"/>
      <c r="C129" s="62" t="str">
        <f>"01-04-2023 to " &amp;C126</f>
        <v>01-04-2023 to 29-05-2023</v>
      </c>
      <c r="D129" s="68">
        <f>+D127+4343.67</f>
        <v>8776.61</v>
      </c>
      <c r="E129" s="68">
        <f>+E127+536.17</f>
        <v>887.99</v>
      </c>
      <c r="F129" s="68">
        <f>+F127+4879.84</f>
        <v>9664.6</v>
      </c>
      <c r="G129" s="54"/>
      <c r="I129" s="1"/>
      <c r="J129" s="1"/>
      <c r="K129" s="1"/>
      <c r="L129" s="1"/>
      <c r="M129" s="1"/>
    </row>
    <row r="130" spans="1:13" x14ac:dyDescent="0.2">
      <c r="C130" s="52"/>
      <c r="D130" s="85"/>
      <c r="E130" s="53"/>
      <c r="F130" s="53"/>
      <c r="G130" s="54"/>
      <c r="H130" s="2" t="s">
        <v>396</v>
      </c>
    </row>
    <row r="131" spans="1:13" s="2" customFormat="1" x14ac:dyDescent="0.2">
      <c r="A131" s="24"/>
      <c r="B131" s="1"/>
      <c r="C131" s="52"/>
      <c r="D131" s="85"/>
      <c r="E131" s="53"/>
      <c r="F131" s="53"/>
      <c r="G131" s="54"/>
      <c r="H131" s="53"/>
    </row>
    <row r="132" spans="1:13" x14ac:dyDescent="0.2">
      <c r="C132" s="52"/>
      <c r="D132" s="85"/>
      <c r="E132" s="53"/>
      <c r="F132" s="53"/>
      <c r="G132" s="54"/>
      <c r="H132" s="53" t="s">
        <v>396</v>
      </c>
    </row>
    <row r="133" spans="1:13" x14ac:dyDescent="0.2">
      <c r="C133" s="52"/>
      <c r="D133" s="85"/>
      <c r="E133" s="53"/>
      <c r="F133" s="53"/>
      <c r="G133" s="54"/>
      <c r="H133" s="53" t="s">
        <v>396</v>
      </c>
      <c r="J133" s="42"/>
    </row>
    <row r="134" spans="1:13" x14ac:dyDescent="0.2">
      <c r="G134" s="54"/>
      <c r="H134" s="53"/>
      <c r="I134" s="101"/>
    </row>
    <row r="135" spans="1:13" x14ac:dyDescent="0.2">
      <c r="G135" s="54"/>
      <c r="H135" s="53"/>
    </row>
    <row r="136" spans="1:13" x14ac:dyDescent="0.2">
      <c r="G136" s="54"/>
      <c r="H136" s="53"/>
    </row>
    <row r="137" spans="1:13" x14ac:dyDescent="0.2">
      <c r="H137" s="53"/>
    </row>
  </sheetData>
  <mergeCells count="5">
    <mergeCell ref="A1:G1"/>
    <mergeCell ref="A3:F3"/>
    <mergeCell ref="A9:F9"/>
    <mergeCell ref="A74:D74"/>
    <mergeCell ref="C123:F123"/>
  </mergeCells>
  <conditionalFormatting sqref="G71:G72">
    <cfRule type="cellIs" dxfId="532" priority="1" operator="lessThan">
      <formula>0</formula>
    </cfRule>
  </conditionalFormatting>
  <conditionalFormatting sqref="C11">
    <cfRule type="duplicateValues" dxfId="531" priority="2"/>
  </conditionalFormatting>
  <conditionalFormatting sqref="C12:C51">
    <cfRule type="duplicateValues" dxfId="530" priority="513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339">
    <pageSetUpPr fitToPage="1"/>
  </sheetPr>
  <dimension ref="A1:N127"/>
  <sheetViews>
    <sheetView topLeftCell="A112" zoomScaleNormal="100" workbookViewId="0">
      <selection activeCell="C46" sqref="C46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47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1028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45077</v>
      </c>
      <c r="B5" s="9" t="s">
        <v>6</v>
      </c>
      <c r="C5" s="10" t="s">
        <v>7</v>
      </c>
      <c r="D5" s="11"/>
      <c r="E5" s="12">
        <v>219062.70000000019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219062.70000000019</v>
      </c>
      <c r="F6" s="16"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+E6</f>
        <v>219062.70000000019</v>
      </c>
      <c r="F7" s="22"/>
      <c r="G7" s="23"/>
      <c r="H7" s="112"/>
      <c r="I7" s="112"/>
      <c r="J7" s="13"/>
    </row>
    <row r="8" spans="1:10" s="2" customFormat="1" ht="12.75" customHeight="1" x14ac:dyDescent="0.4">
      <c r="A8" s="24"/>
      <c r="B8" s="1"/>
      <c r="C8" s="14"/>
      <c r="D8" s="25"/>
      <c r="G8" s="23"/>
      <c r="H8" s="112"/>
      <c r="I8" s="112"/>
      <c r="J8" s="13"/>
    </row>
    <row r="9" spans="1:10" s="2" customFormat="1" ht="21.75" customHeight="1" x14ac:dyDescent="0.4">
      <c r="A9" s="214" t="s">
        <v>10</v>
      </c>
      <c r="B9" s="214"/>
      <c r="C9" s="214"/>
      <c r="D9" s="214"/>
      <c r="E9" s="214"/>
      <c r="F9" s="214"/>
      <c r="G9" s="13"/>
      <c r="H9" s="112"/>
      <c r="I9" s="112"/>
      <c r="J9" s="13"/>
    </row>
    <row r="10" spans="1:10" s="2" customFormat="1" ht="12.75" customHeight="1" x14ac:dyDescent="0.4">
      <c r="A10" s="26" t="s">
        <v>1</v>
      </c>
      <c r="B10" s="27" t="s">
        <v>2</v>
      </c>
      <c r="C10" s="5"/>
      <c r="D10" s="6" t="s">
        <v>3</v>
      </c>
      <c r="E10" s="7" t="s">
        <v>4</v>
      </c>
      <c r="F10" s="7" t="s">
        <v>5</v>
      </c>
      <c r="G10" s="23"/>
      <c r="H10" s="112"/>
      <c r="I10" s="112"/>
      <c r="J10" s="13"/>
    </row>
    <row r="11" spans="1:10" s="2" customFormat="1" ht="12.75" customHeight="1" x14ac:dyDescent="0.2">
      <c r="A11" s="89">
        <v>45077</v>
      </c>
      <c r="B11" s="91" t="s">
        <v>11</v>
      </c>
      <c r="C11" s="29" t="s">
        <v>7</v>
      </c>
      <c r="D11" s="25"/>
      <c r="E11" s="31"/>
      <c r="F11" s="2">
        <v>301898221.6099999</v>
      </c>
      <c r="G11" s="30"/>
      <c r="I11" s="13"/>
      <c r="J11" s="13"/>
    </row>
    <row r="12" spans="1:10" s="2" customFormat="1" ht="12.75" customHeight="1" x14ac:dyDescent="0.2">
      <c r="A12" s="89">
        <v>45077</v>
      </c>
      <c r="B12" s="91" t="s">
        <v>6</v>
      </c>
      <c r="C12" s="76" t="s">
        <v>960</v>
      </c>
      <c r="D12" s="116" t="s">
        <v>13</v>
      </c>
      <c r="E12" s="31">
        <v>16573670</v>
      </c>
      <c r="G12" s="30"/>
      <c r="I12" s="13"/>
      <c r="J12" s="13"/>
    </row>
    <row r="13" spans="1:10" s="2" customFormat="1" ht="12.75" customHeight="1" x14ac:dyDescent="0.2">
      <c r="A13" s="89">
        <v>45077</v>
      </c>
      <c r="B13" s="91" t="s">
        <v>6</v>
      </c>
      <c r="C13" s="76" t="s">
        <v>26</v>
      </c>
      <c r="D13" s="116" t="s">
        <v>13</v>
      </c>
      <c r="E13" s="31">
        <v>2978440.43</v>
      </c>
      <c r="G13" s="30"/>
      <c r="I13" s="13"/>
      <c r="J13" s="13"/>
    </row>
    <row r="14" spans="1:10" s="2" customFormat="1" ht="12.75" customHeight="1" x14ac:dyDescent="0.2">
      <c r="A14" s="89">
        <v>45077</v>
      </c>
      <c r="B14" s="91" t="s">
        <v>6</v>
      </c>
      <c r="C14" s="76" t="s">
        <v>565</v>
      </c>
      <c r="D14" s="116" t="s">
        <v>13</v>
      </c>
      <c r="E14" s="31">
        <v>907767</v>
      </c>
      <c r="G14" s="30"/>
      <c r="I14" s="13"/>
      <c r="J14" s="13"/>
    </row>
    <row r="15" spans="1:10" s="2" customFormat="1" ht="12.75" customHeight="1" x14ac:dyDescent="0.2">
      <c r="A15" s="89">
        <v>45077</v>
      </c>
      <c r="B15" s="91" t="s">
        <v>6</v>
      </c>
      <c r="C15" s="76" t="s">
        <v>434</v>
      </c>
      <c r="D15" s="116" t="s">
        <v>13</v>
      </c>
      <c r="E15" s="31">
        <v>12471</v>
      </c>
      <c r="G15" s="30"/>
      <c r="I15" s="13"/>
      <c r="J15" s="13"/>
    </row>
    <row r="16" spans="1:10" s="2" customFormat="1" ht="12.75" customHeight="1" x14ac:dyDescent="0.2">
      <c r="A16" s="89">
        <v>45077</v>
      </c>
      <c r="B16" s="91" t="s">
        <v>6</v>
      </c>
      <c r="C16" s="76" t="s">
        <v>143</v>
      </c>
      <c r="D16" s="116" t="s">
        <v>13</v>
      </c>
      <c r="E16" s="31">
        <v>99727</v>
      </c>
      <c r="G16" s="30"/>
      <c r="I16" s="13"/>
      <c r="J16" s="13"/>
    </row>
    <row r="17" spans="1:10" s="2" customFormat="1" ht="12.75" customHeight="1" x14ac:dyDescent="0.2">
      <c r="A17" s="89">
        <v>45077</v>
      </c>
      <c r="B17" s="91" t="s">
        <v>6</v>
      </c>
      <c r="C17" s="76" t="s">
        <v>385</v>
      </c>
      <c r="D17" s="116" t="s">
        <v>13</v>
      </c>
      <c r="E17" s="31">
        <v>58000</v>
      </c>
      <c r="G17" s="30"/>
      <c r="I17" s="13"/>
      <c r="J17" s="13"/>
    </row>
    <row r="18" spans="1:10" s="2" customFormat="1" ht="12.75" customHeight="1" x14ac:dyDescent="0.2">
      <c r="A18" s="89">
        <v>45077</v>
      </c>
      <c r="B18" s="91" t="s">
        <v>6</v>
      </c>
      <c r="C18" s="76" t="s">
        <v>944</v>
      </c>
      <c r="D18" s="116" t="s">
        <v>13</v>
      </c>
      <c r="E18" s="31">
        <v>3000000</v>
      </c>
      <c r="G18" s="30"/>
      <c r="I18" s="13"/>
      <c r="J18" s="13"/>
    </row>
    <row r="19" spans="1:10" s="2" customFormat="1" ht="12.75" customHeight="1" x14ac:dyDescent="0.2">
      <c r="A19" s="89">
        <v>45077</v>
      </c>
      <c r="B19" s="91" t="s">
        <v>6</v>
      </c>
      <c r="C19" s="76" t="s">
        <v>27</v>
      </c>
      <c r="D19" s="116" t="s">
        <v>13</v>
      </c>
      <c r="E19" s="31">
        <v>1546960.0000000002</v>
      </c>
      <c r="G19" s="30"/>
      <c r="I19" s="13"/>
      <c r="J19" s="13"/>
    </row>
    <row r="20" spans="1:10" s="2" customFormat="1" ht="12.75" customHeight="1" x14ac:dyDescent="0.2">
      <c r="A20" s="89">
        <v>45077</v>
      </c>
      <c r="B20" s="91" t="s">
        <v>6</v>
      </c>
      <c r="C20" s="76" t="s">
        <v>15</v>
      </c>
      <c r="D20" s="116" t="s">
        <v>13</v>
      </c>
      <c r="E20" s="31">
        <v>92938.87000000001</v>
      </c>
      <c r="G20" s="30"/>
      <c r="I20" s="13"/>
      <c r="J20" s="13"/>
    </row>
    <row r="21" spans="1:10" s="2" customFormat="1" ht="12.75" customHeight="1" x14ac:dyDescent="0.2">
      <c r="A21" s="89">
        <v>45077</v>
      </c>
      <c r="B21" s="91" t="s">
        <v>6</v>
      </c>
      <c r="C21" s="76" t="s">
        <v>788</v>
      </c>
      <c r="D21" s="116" t="s">
        <v>13</v>
      </c>
      <c r="E21" s="31">
        <v>346505</v>
      </c>
      <c r="G21" s="30"/>
      <c r="I21" s="13"/>
      <c r="J21" s="13"/>
    </row>
    <row r="22" spans="1:10" s="2" customFormat="1" ht="12.75" customHeight="1" x14ac:dyDescent="0.2">
      <c r="A22" s="89">
        <v>45077</v>
      </c>
      <c r="B22" s="91" t="s">
        <v>6</v>
      </c>
      <c r="C22" s="76" t="s">
        <v>810</v>
      </c>
      <c r="D22" s="116" t="s">
        <v>13</v>
      </c>
      <c r="E22" s="31">
        <v>100000</v>
      </c>
      <c r="G22" s="30"/>
      <c r="I22" s="13"/>
      <c r="J22" s="13"/>
    </row>
    <row r="23" spans="1:10" s="2" customFormat="1" ht="12.75" customHeight="1" x14ac:dyDescent="0.2">
      <c r="A23" s="89">
        <v>45077</v>
      </c>
      <c r="B23" s="91" t="s">
        <v>6</v>
      </c>
      <c r="C23" s="76" t="s">
        <v>824</v>
      </c>
      <c r="D23" s="116" t="s">
        <v>13</v>
      </c>
      <c r="E23" s="31">
        <v>186396</v>
      </c>
      <c r="G23" s="30"/>
      <c r="I23" s="13"/>
      <c r="J23" s="13"/>
    </row>
    <row r="24" spans="1:10" s="2" customFormat="1" ht="12.75" customHeight="1" x14ac:dyDescent="0.2">
      <c r="A24" s="89">
        <v>45077</v>
      </c>
      <c r="B24" s="91" t="s">
        <v>6</v>
      </c>
      <c r="C24" s="76" t="s">
        <v>120</v>
      </c>
      <c r="D24" s="116" t="s">
        <v>13</v>
      </c>
      <c r="E24" s="31">
        <v>377758</v>
      </c>
      <c r="G24" s="30"/>
      <c r="I24" s="13"/>
      <c r="J24" s="13"/>
    </row>
    <row r="25" spans="1:10" s="2" customFormat="1" ht="12.75" customHeight="1" x14ac:dyDescent="0.2">
      <c r="A25" s="89">
        <v>45077</v>
      </c>
      <c r="B25" s="91" t="s">
        <v>11</v>
      </c>
      <c r="C25" s="76" t="s">
        <v>64</v>
      </c>
      <c r="D25" s="116" t="s">
        <v>29</v>
      </c>
      <c r="E25" s="31"/>
      <c r="F25" s="2">
        <v>12041.83</v>
      </c>
      <c r="G25" s="30"/>
      <c r="I25" s="13"/>
      <c r="J25" s="13"/>
    </row>
    <row r="26" spans="1:10" s="2" customFormat="1" ht="12.75" customHeight="1" x14ac:dyDescent="0.2">
      <c r="A26" s="89">
        <v>45077</v>
      </c>
      <c r="B26" s="91" t="s">
        <v>11</v>
      </c>
      <c r="C26" s="76" t="s">
        <v>733</v>
      </c>
      <c r="D26" s="116" t="s">
        <v>29</v>
      </c>
      <c r="E26" s="31"/>
      <c r="F26" s="2">
        <v>215556</v>
      </c>
      <c r="G26" s="30"/>
      <c r="I26" s="13"/>
      <c r="J26" s="13"/>
    </row>
    <row r="27" spans="1:10" s="2" customFormat="1" ht="12.75" customHeight="1" x14ac:dyDescent="0.2">
      <c r="A27" s="89">
        <v>45077</v>
      </c>
      <c r="B27" s="91" t="s">
        <v>11</v>
      </c>
      <c r="C27" s="76" t="s">
        <v>732</v>
      </c>
      <c r="D27" s="116" t="s">
        <v>29</v>
      </c>
      <c r="E27" s="31"/>
      <c r="F27" s="2">
        <v>323334</v>
      </c>
      <c r="G27" s="30"/>
      <c r="I27" s="13"/>
      <c r="J27" s="13"/>
    </row>
    <row r="28" spans="1:10" s="2" customFormat="1" ht="12.75" customHeight="1" x14ac:dyDescent="0.2">
      <c r="A28" s="89">
        <v>45077</v>
      </c>
      <c r="B28" s="91" t="s">
        <v>11</v>
      </c>
      <c r="C28" s="76" t="s">
        <v>531</v>
      </c>
      <c r="D28" s="116" t="s">
        <v>29</v>
      </c>
      <c r="E28" s="31"/>
      <c r="F28" s="2">
        <v>40365</v>
      </c>
      <c r="G28" s="30"/>
      <c r="I28" s="13"/>
      <c r="J28" s="13"/>
    </row>
    <row r="29" spans="1:10" s="2" customFormat="1" ht="12.75" customHeight="1" x14ac:dyDescent="0.2">
      <c r="A29" s="89">
        <v>45077</v>
      </c>
      <c r="B29" s="91" t="s">
        <v>11</v>
      </c>
      <c r="C29" s="76" t="s">
        <v>1025</v>
      </c>
      <c r="D29" s="116" t="s">
        <v>29</v>
      </c>
      <c r="E29" s="31"/>
      <c r="F29" s="2">
        <v>600000</v>
      </c>
      <c r="G29" s="30"/>
      <c r="I29" s="13"/>
      <c r="J29" s="13"/>
    </row>
    <row r="30" spans="1:10" s="2" customFormat="1" ht="12.75" customHeight="1" x14ac:dyDescent="0.2">
      <c r="A30" s="89">
        <v>45077</v>
      </c>
      <c r="B30" s="91" t="s">
        <v>11</v>
      </c>
      <c r="C30" s="76" t="s">
        <v>517</v>
      </c>
      <c r="D30" s="116" t="s">
        <v>29</v>
      </c>
      <c r="E30" s="31"/>
      <c r="F30" s="2">
        <v>57714</v>
      </c>
      <c r="G30" s="30"/>
      <c r="I30" s="13"/>
      <c r="J30" s="13"/>
    </row>
    <row r="31" spans="1:10" s="2" customFormat="1" ht="12.75" customHeight="1" x14ac:dyDescent="0.2">
      <c r="A31" s="89">
        <v>45077</v>
      </c>
      <c r="B31" s="91" t="s">
        <v>11</v>
      </c>
      <c r="C31" s="76" t="s">
        <v>414</v>
      </c>
      <c r="D31" s="116" t="s">
        <v>29</v>
      </c>
      <c r="E31" s="31"/>
      <c r="F31" s="2">
        <v>27500</v>
      </c>
      <c r="G31" s="30"/>
      <c r="I31" s="13"/>
      <c r="J31" s="13"/>
    </row>
    <row r="32" spans="1:10" s="2" customFormat="1" ht="12.75" customHeight="1" x14ac:dyDescent="0.2">
      <c r="A32" s="89">
        <v>45077</v>
      </c>
      <c r="B32" s="91" t="s">
        <v>11</v>
      </c>
      <c r="C32" s="76" t="s">
        <v>262</v>
      </c>
      <c r="D32" s="116" t="s">
        <v>29</v>
      </c>
      <c r="E32" s="31"/>
      <c r="F32" s="2">
        <v>5844</v>
      </c>
      <c r="G32" s="30"/>
      <c r="I32" s="13"/>
      <c r="J32" s="13"/>
    </row>
    <row r="33" spans="1:14" s="2" customFormat="1" ht="12.75" customHeight="1" x14ac:dyDescent="0.2">
      <c r="A33" s="89">
        <v>45077</v>
      </c>
      <c r="B33" s="91" t="s">
        <v>11</v>
      </c>
      <c r="C33" s="76" t="s">
        <v>476</v>
      </c>
      <c r="D33" s="116" t="s">
        <v>29</v>
      </c>
      <c r="E33" s="31"/>
      <c r="F33" s="2">
        <v>27878</v>
      </c>
      <c r="G33" s="30"/>
      <c r="I33" s="13"/>
      <c r="J33" s="13"/>
    </row>
    <row r="34" spans="1:14" s="2" customFormat="1" ht="12.75" customHeight="1" x14ac:dyDescent="0.2">
      <c r="A34" s="89">
        <v>45077</v>
      </c>
      <c r="B34" s="91" t="s">
        <v>11</v>
      </c>
      <c r="C34" s="76" t="s">
        <v>453</v>
      </c>
      <c r="D34" s="116" t="s">
        <v>29</v>
      </c>
      <c r="E34" s="31"/>
      <c r="F34" s="2">
        <v>73071</v>
      </c>
      <c r="G34" s="30"/>
      <c r="I34" s="13"/>
      <c r="J34" s="13"/>
    </row>
    <row r="35" spans="1:14" s="2" customFormat="1" ht="12.75" customHeight="1" x14ac:dyDescent="0.2">
      <c r="A35" s="89">
        <v>45077</v>
      </c>
      <c r="B35" s="91" t="s">
        <v>11</v>
      </c>
      <c r="C35" s="76" t="s">
        <v>1029</v>
      </c>
      <c r="D35" s="116" t="s">
        <v>29</v>
      </c>
      <c r="E35" s="31"/>
      <c r="F35" s="2">
        <v>232807</v>
      </c>
      <c r="G35" s="30"/>
      <c r="I35" s="13"/>
      <c r="J35" s="13"/>
    </row>
    <row r="36" spans="1:14" s="2" customFormat="1" ht="12.75" customHeight="1" x14ac:dyDescent="0.2">
      <c r="A36" s="89">
        <v>45077</v>
      </c>
      <c r="B36" s="91" t="s">
        <v>11</v>
      </c>
      <c r="C36" s="76" t="s">
        <v>340</v>
      </c>
      <c r="D36" s="116" t="s">
        <v>29</v>
      </c>
      <c r="E36" s="31"/>
      <c r="F36" s="2">
        <v>613080</v>
      </c>
      <c r="G36" s="30"/>
      <c r="I36" s="13"/>
      <c r="J36" s="13"/>
    </row>
    <row r="37" spans="1:14" s="2" customFormat="1" ht="12.75" customHeight="1" x14ac:dyDescent="0.2">
      <c r="A37" s="89">
        <v>45077</v>
      </c>
      <c r="B37" s="91" t="s">
        <v>11</v>
      </c>
      <c r="C37" s="76" t="s">
        <v>253</v>
      </c>
      <c r="D37" s="116" t="s">
        <v>29</v>
      </c>
      <c r="E37" s="31"/>
      <c r="F37" s="2">
        <v>251340</v>
      </c>
      <c r="G37" s="30"/>
      <c r="I37" s="13"/>
      <c r="J37" s="13"/>
    </row>
    <row r="38" spans="1:14" s="2" customFormat="1" ht="12.75" customHeight="1" x14ac:dyDescent="0.2">
      <c r="A38" s="89">
        <v>45077</v>
      </c>
      <c r="B38" s="91" t="s">
        <v>11</v>
      </c>
      <c r="C38" s="76" t="s">
        <v>813</v>
      </c>
      <c r="D38" s="116" t="s">
        <v>29</v>
      </c>
      <c r="E38" s="31"/>
      <c r="F38" s="2">
        <v>23045</v>
      </c>
      <c r="G38" s="30"/>
      <c r="I38" s="13"/>
      <c r="J38" s="13"/>
    </row>
    <row r="39" spans="1:14" s="2" customFormat="1" ht="12.75" customHeight="1" x14ac:dyDescent="0.2">
      <c r="A39" s="89">
        <v>45077</v>
      </c>
      <c r="B39" s="91" t="s">
        <v>11</v>
      </c>
      <c r="C39" s="76" t="s">
        <v>834</v>
      </c>
      <c r="D39" s="116" t="s">
        <v>29</v>
      </c>
      <c r="E39" s="31"/>
      <c r="F39" s="2">
        <v>10450</v>
      </c>
      <c r="G39" s="30"/>
      <c r="I39" s="13"/>
      <c r="J39" s="13"/>
    </row>
    <row r="40" spans="1:14" s="2" customFormat="1" ht="12.75" customHeight="1" x14ac:dyDescent="0.2">
      <c r="A40" s="89">
        <v>45077</v>
      </c>
      <c r="B40" s="91" t="s">
        <v>11</v>
      </c>
      <c r="C40" s="76" t="s">
        <v>795</v>
      </c>
      <c r="D40" s="116" t="s">
        <v>29</v>
      </c>
      <c r="E40" s="31"/>
      <c r="F40" s="2">
        <v>655133.4</v>
      </c>
      <c r="G40" s="30"/>
      <c r="I40" s="13"/>
      <c r="J40" s="13"/>
    </row>
    <row r="41" spans="1:14" s="2" customFormat="1" ht="12.75" customHeight="1" x14ac:dyDescent="0.2">
      <c r="A41" s="89">
        <v>45077</v>
      </c>
      <c r="B41" s="91" t="s">
        <v>11</v>
      </c>
      <c r="C41" s="76" t="s">
        <v>156</v>
      </c>
      <c r="D41" s="116" t="s">
        <v>29</v>
      </c>
      <c r="E41" s="31"/>
      <c r="F41" s="2">
        <v>14.620000000000001</v>
      </c>
      <c r="G41" s="30"/>
      <c r="I41" s="13"/>
      <c r="J41" s="13" t="s">
        <v>601</v>
      </c>
      <c r="K41" s="25" t="s">
        <v>779</v>
      </c>
    </row>
    <row r="42" spans="1:14" s="2" customFormat="1" ht="12.75" customHeight="1" x14ac:dyDescent="0.25">
      <c r="A42" s="32"/>
      <c r="B42" s="33"/>
      <c r="C42" s="14"/>
      <c r="D42" s="34"/>
      <c r="E42" s="16">
        <f>SUM(E11:E41)</f>
        <v>26280633.300000001</v>
      </c>
      <c r="F42" s="16">
        <f>SUM(F11:F41)</f>
        <v>305067395.45999986</v>
      </c>
      <c r="G42" s="30"/>
      <c r="H42" s="1"/>
      <c r="I42" s="39">
        <v>282173643.16000003</v>
      </c>
      <c r="J42" s="2">
        <f>842607+2544274</f>
        <v>3386881</v>
      </c>
      <c r="K42" s="92">
        <f>E43-I42</f>
        <v>-3386881.0000001788</v>
      </c>
      <c r="L42" s="41"/>
      <c r="M42" s="42"/>
    </row>
    <row r="43" spans="1:14" s="2" customFormat="1" ht="12.75" customHeight="1" x14ac:dyDescent="0.2">
      <c r="A43" s="36"/>
      <c r="B43" s="28" t="s">
        <v>11</v>
      </c>
      <c r="C43" s="19" t="s">
        <v>65</v>
      </c>
      <c r="D43" s="37"/>
      <c r="E43" s="38">
        <f>F42-E42</f>
        <v>278786762.15999985</v>
      </c>
      <c r="F43" s="22"/>
      <c r="G43" s="1"/>
      <c r="H43" s="1"/>
      <c r="J43" s="1"/>
      <c r="K43" s="1"/>
      <c r="L43" s="1"/>
      <c r="M43" s="1"/>
    </row>
    <row r="44" spans="1:14" s="2" customFormat="1" ht="12.75" customHeight="1" x14ac:dyDescent="0.2">
      <c r="A44" s="36"/>
      <c r="B44" s="28" t="s">
        <v>66</v>
      </c>
      <c r="C44" s="43" t="s">
        <v>67</v>
      </c>
      <c r="D44" s="43"/>
      <c r="E44" s="12">
        <v>59416310</v>
      </c>
      <c r="F44" s="22"/>
      <c r="G44" s="1"/>
      <c r="H44" s="40"/>
      <c r="I44" s="45">
        <f>3602.49-121.98</f>
        <v>3480.5099999999998</v>
      </c>
      <c r="J44" s="46"/>
      <c r="K44" s="46"/>
      <c r="L44" s="13"/>
    </row>
    <row r="45" spans="1:14" s="2" customFormat="1" ht="12.75" customHeight="1" x14ac:dyDescent="0.25">
      <c r="A45" s="36"/>
      <c r="B45" s="28"/>
      <c r="C45" s="44" t="s">
        <v>68</v>
      </c>
      <c r="D45" s="43"/>
      <c r="E45" s="7">
        <f>E43+E44</f>
        <v>338203072.15999985</v>
      </c>
      <c r="F45" s="22"/>
      <c r="G45" s="1"/>
      <c r="H45" s="103" t="s">
        <v>69</v>
      </c>
      <c r="I45" s="45">
        <v>-231.14</v>
      </c>
      <c r="J45" s="46"/>
      <c r="K45" s="46"/>
      <c r="N45" s="1"/>
    </row>
    <row r="46" spans="1:14" s="2" customFormat="1" x14ac:dyDescent="0.2">
      <c r="A46" s="24"/>
      <c r="B46" s="1"/>
      <c r="C46" s="14"/>
      <c r="D46" s="25"/>
      <c r="E46" s="1"/>
      <c r="H46" s="35" t="s">
        <v>70</v>
      </c>
      <c r="I46" s="45">
        <v>100</v>
      </c>
      <c r="J46" s="46">
        <f>+I47-D49</f>
        <v>0</v>
      </c>
      <c r="M46" s="2">
        <v>19.57</v>
      </c>
      <c r="N46" s="1"/>
    </row>
    <row r="47" spans="1:14" x14ac:dyDescent="0.2">
      <c r="C47" s="56"/>
      <c r="D47" s="56"/>
      <c r="E47" s="104"/>
      <c r="I47" s="49">
        <f>SUM(I44:I46)</f>
        <v>3349.37</v>
      </c>
      <c r="J47" s="46"/>
      <c r="K47" s="46"/>
      <c r="L47" s="2"/>
      <c r="M47" s="2"/>
      <c r="N47" s="2"/>
    </row>
    <row r="48" spans="1:14" x14ac:dyDescent="0.2">
      <c r="C48" s="78" t="s">
        <v>575</v>
      </c>
      <c r="D48" s="48" t="s">
        <v>576</v>
      </c>
      <c r="E48" s="104"/>
      <c r="I48" s="2"/>
      <c r="J48" s="2"/>
      <c r="K48" s="2"/>
      <c r="L48" s="2"/>
      <c r="M48" s="2"/>
      <c r="N48" s="2"/>
    </row>
    <row r="49" spans="1:14" s="2" customFormat="1" x14ac:dyDescent="0.2">
      <c r="A49" s="24"/>
      <c r="B49" s="1"/>
      <c r="C49" s="47" t="s">
        <v>570</v>
      </c>
      <c r="D49" s="111">
        <v>3349.37</v>
      </c>
      <c r="E49" s="104"/>
      <c r="G49" s="1"/>
      <c r="H49" s="110" t="s">
        <v>581</v>
      </c>
      <c r="N49" s="2" t="s">
        <v>535</v>
      </c>
    </row>
    <row r="50" spans="1:14" s="2" customFormat="1" x14ac:dyDescent="0.2">
      <c r="A50" s="24"/>
      <c r="B50" s="1"/>
      <c r="C50" s="47" t="s">
        <v>931</v>
      </c>
      <c r="D50" s="111">
        <v>443.57</v>
      </c>
      <c r="E50" s="104"/>
      <c r="G50" s="1"/>
      <c r="H50" s="110" t="s">
        <v>580</v>
      </c>
    </row>
    <row r="51" spans="1:14" s="2" customFormat="1" x14ac:dyDescent="0.2">
      <c r="A51" s="24"/>
      <c r="B51" s="1"/>
      <c r="C51" s="47" t="s">
        <v>572</v>
      </c>
      <c r="D51" s="111">
        <f>+D111/100000</f>
        <v>869.69633999999996</v>
      </c>
      <c r="E51" s="104"/>
      <c r="G51" s="1"/>
      <c r="H51" s="90" t="s">
        <v>587</v>
      </c>
    </row>
    <row r="52" spans="1:14" s="2" customFormat="1" x14ac:dyDescent="0.2">
      <c r="A52" s="24"/>
      <c r="B52" s="1"/>
      <c r="C52" s="108" t="s">
        <v>578</v>
      </c>
      <c r="D52" s="48">
        <f>SUM(D49:D51)</f>
        <v>4662.63634</v>
      </c>
      <c r="E52" s="104"/>
      <c r="G52" s="1"/>
    </row>
    <row r="53" spans="1:14" s="2" customFormat="1" x14ac:dyDescent="0.2">
      <c r="A53" s="24"/>
      <c r="B53" s="1"/>
      <c r="C53" s="47"/>
      <c r="D53" s="107"/>
      <c r="E53" s="104"/>
      <c r="G53" s="1"/>
    </row>
    <row r="54" spans="1:14" s="2" customFormat="1" x14ac:dyDescent="0.2">
      <c r="A54" s="24"/>
      <c r="B54" s="1"/>
      <c r="C54" s="47" t="s">
        <v>932</v>
      </c>
      <c r="D54" s="111">
        <v>619.48</v>
      </c>
      <c r="E54" s="104"/>
      <c r="G54" s="1"/>
      <c r="H54" s="110" t="s">
        <v>581</v>
      </c>
    </row>
    <row r="55" spans="1:14" s="2" customFormat="1" x14ac:dyDescent="0.2">
      <c r="A55" s="24"/>
      <c r="B55" s="1"/>
      <c r="C55" s="47" t="s">
        <v>933</v>
      </c>
      <c r="D55" s="111">
        <f>646.02-32.91</f>
        <v>613.11</v>
      </c>
      <c r="E55" s="104"/>
      <c r="G55" s="1"/>
      <c r="H55" s="110" t="s">
        <v>581</v>
      </c>
      <c r="J55" s="114" t="s">
        <v>713</v>
      </c>
    </row>
    <row r="56" spans="1:14" s="2" customFormat="1" x14ac:dyDescent="0.2">
      <c r="A56" s="24"/>
      <c r="B56" s="1"/>
      <c r="C56" s="78" t="s">
        <v>579</v>
      </c>
      <c r="D56" s="109">
        <f>D54+D55</f>
        <v>1232.5900000000001</v>
      </c>
      <c r="E56" s="104"/>
      <c r="G56" s="1"/>
      <c r="I56" s="113"/>
      <c r="J56" s="113" t="s">
        <v>709</v>
      </c>
      <c r="K56" s="113" t="s">
        <v>710</v>
      </c>
      <c r="L56" s="113" t="s">
        <v>711</v>
      </c>
      <c r="M56" s="113" t="s">
        <v>712</v>
      </c>
    </row>
    <row r="57" spans="1:14" s="2" customFormat="1" x14ac:dyDescent="0.2">
      <c r="A57" s="24"/>
      <c r="B57" s="1"/>
      <c r="C57" s="105"/>
      <c r="D57" s="106"/>
      <c r="E57" s="104"/>
      <c r="G57" s="1"/>
      <c r="I57" s="113" t="s">
        <v>706</v>
      </c>
      <c r="J57" s="115"/>
      <c r="K57" s="115">
        <v>968.99</v>
      </c>
      <c r="L57" s="115">
        <v>968.99</v>
      </c>
      <c r="M57" s="113">
        <f>+J57+L57-K57</f>
        <v>0</v>
      </c>
    </row>
    <row r="58" spans="1:14" s="2" customFormat="1" x14ac:dyDescent="0.2">
      <c r="A58" s="24"/>
      <c r="B58" s="1"/>
      <c r="C58" s="78" t="s">
        <v>577</v>
      </c>
      <c r="D58" s="109">
        <f>D49+D56</f>
        <v>4581.96</v>
      </c>
      <c r="E58" s="104"/>
      <c r="G58" s="1"/>
      <c r="I58" s="113" t="s">
        <v>707</v>
      </c>
      <c r="J58" s="115">
        <v>183.1</v>
      </c>
      <c r="K58" s="115">
        <v>1960.96</v>
      </c>
      <c r="L58" s="115">
        <v>2792.81</v>
      </c>
      <c r="M58" s="113">
        <f>+J58+L58-K58</f>
        <v>1014.9499999999998</v>
      </c>
    </row>
    <row r="59" spans="1:14" s="2" customFormat="1" x14ac:dyDescent="0.2">
      <c r="A59" s="24"/>
      <c r="B59" s="1"/>
      <c r="C59" s="56"/>
      <c r="D59" s="56"/>
      <c r="E59" s="104"/>
      <c r="G59" s="1"/>
      <c r="I59" s="113" t="s">
        <v>708</v>
      </c>
      <c r="J59" s="115">
        <v>1371.02</v>
      </c>
      <c r="K59" s="115">
        <v>11584.41</v>
      </c>
      <c r="L59" s="115">
        <v>11670.28</v>
      </c>
      <c r="M59" s="113">
        <f>+J59+L59-K59</f>
        <v>1456.8900000000012</v>
      </c>
    </row>
    <row r="60" spans="1:14" s="2" customFormat="1" ht="38.25" x14ac:dyDescent="0.2">
      <c r="A60" s="24"/>
      <c r="B60" s="1"/>
      <c r="C60" s="79" t="str">
        <f>"Particulars ( 01-04-2021 to "&amp;TEXT(A5,"dd-mm-yyyy")&amp;" )"</f>
        <v>Particulars ( 01-04-2021 to 31-05-2023 )</v>
      </c>
      <c r="D60" s="80" t="s">
        <v>73</v>
      </c>
      <c r="E60" s="80" t="s">
        <v>74</v>
      </c>
      <c r="F60" s="81" t="s">
        <v>75</v>
      </c>
      <c r="G60" s="80" t="s">
        <v>76</v>
      </c>
      <c r="J60" s="118">
        <f>SUM(J57:J59)</f>
        <v>1554.12</v>
      </c>
      <c r="K60" s="118">
        <f>SUM(K57:K59)</f>
        <v>14514.36</v>
      </c>
      <c r="L60" s="118">
        <f>SUM(L57:L59)</f>
        <v>15432.080000000002</v>
      </c>
      <c r="M60" s="118">
        <f>SUM(M57:M59)</f>
        <v>2471.8400000000011</v>
      </c>
    </row>
    <row r="61" spans="1:14" s="2" customFormat="1" x14ac:dyDescent="0.2">
      <c r="A61" s="24"/>
      <c r="B61" s="1"/>
      <c r="C61" s="50" t="s">
        <v>444</v>
      </c>
      <c r="D61" s="55">
        <f>+L57+L58+J58</f>
        <v>3944.9</v>
      </c>
      <c r="E61" s="55">
        <f>+K57+K58</f>
        <v>2929.95</v>
      </c>
      <c r="F61" s="55">
        <f>+D61-E61</f>
        <v>1014.9500000000003</v>
      </c>
      <c r="G61" s="55">
        <f>1500-F61</f>
        <v>485.04999999999973</v>
      </c>
      <c r="H61" s="2" t="s">
        <v>396</v>
      </c>
    </row>
    <row r="62" spans="1:14" s="2" customFormat="1" x14ac:dyDescent="0.2">
      <c r="A62" s="24"/>
      <c r="B62" s="1"/>
      <c r="C62" s="50" t="s">
        <v>71</v>
      </c>
      <c r="D62" s="55">
        <f>+J59+L59</f>
        <v>13041.300000000001</v>
      </c>
      <c r="E62" s="55">
        <f>+K59</f>
        <v>11584.41</v>
      </c>
      <c r="F62" s="55">
        <f>+D62-E62</f>
        <v>1456.8900000000012</v>
      </c>
      <c r="G62" s="55">
        <f>1500+700-F62</f>
        <v>743.10999999999876</v>
      </c>
      <c r="H62" s="2" t="s">
        <v>396</v>
      </c>
    </row>
    <row r="63" spans="1:14" s="2" customFormat="1" x14ac:dyDescent="0.2">
      <c r="A63" s="24"/>
      <c r="B63" s="1"/>
      <c r="C63" s="14"/>
      <c r="D63" s="56"/>
      <c r="E63" s="13"/>
      <c r="G63" s="1"/>
    </row>
    <row r="64" spans="1:14" s="2" customFormat="1" x14ac:dyDescent="0.2">
      <c r="A64" s="215" t="s">
        <v>80</v>
      </c>
      <c r="B64" s="216"/>
      <c r="C64" s="216"/>
      <c r="D64" s="217"/>
      <c r="E64" s="69"/>
      <c r="F64" s="70"/>
      <c r="G64" s="1"/>
      <c r="H64" s="53"/>
    </row>
    <row r="65" spans="1:13" s="2" customFormat="1" x14ac:dyDescent="0.2">
      <c r="A65" s="71" t="s">
        <v>81</v>
      </c>
      <c r="B65" s="71"/>
      <c r="C65" s="72" t="s">
        <v>82</v>
      </c>
      <c r="D65" s="73" t="s">
        <v>83</v>
      </c>
      <c r="E65" s="69"/>
      <c r="F65" s="70"/>
      <c r="H65" s="53"/>
    </row>
    <row r="66" spans="1:13" s="2" customFormat="1" x14ac:dyDescent="0.2">
      <c r="A66" s="87">
        <v>45050</v>
      </c>
      <c r="B66" s="120" t="s">
        <v>6</v>
      </c>
      <c r="C66" s="75" t="s">
        <v>594</v>
      </c>
      <c r="D66" s="88">
        <v>1562637</v>
      </c>
      <c r="G66" s="1"/>
      <c r="L66" s="1"/>
      <c r="M66" s="1"/>
    </row>
    <row r="67" spans="1:13" s="2" customFormat="1" x14ac:dyDescent="0.2">
      <c r="A67" s="87">
        <v>45050</v>
      </c>
      <c r="B67" s="120" t="s">
        <v>6</v>
      </c>
      <c r="C67" s="75" t="s">
        <v>86</v>
      </c>
      <c r="D67" s="88">
        <v>2499321</v>
      </c>
    </row>
    <row r="68" spans="1:13" s="2" customFormat="1" x14ac:dyDescent="0.2">
      <c r="A68" s="87">
        <v>45050</v>
      </c>
      <c r="B68" s="120" t="s">
        <v>6</v>
      </c>
      <c r="C68" s="75" t="s">
        <v>86</v>
      </c>
      <c r="D68" s="88">
        <v>6876102</v>
      </c>
    </row>
    <row r="69" spans="1:13" s="2" customFormat="1" x14ac:dyDescent="0.2">
      <c r="A69" s="87">
        <v>45052</v>
      </c>
      <c r="B69" s="120" t="s">
        <v>6</v>
      </c>
      <c r="C69" s="75" t="s">
        <v>270</v>
      </c>
      <c r="D69" s="88">
        <v>1124141</v>
      </c>
    </row>
    <row r="70" spans="1:13" s="2" customFormat="1" x14ac:dyDescent="0.2">
      <c r="A70" s="87">
        <v>45054</v>
      </c>
      <c r="B70" s="120" t="s">
        <v>6</v>
      </c>
      <c r="C70" s="75" t="s">
        <v>271</v>
      </c>
      <c r="D70" s="88">
        <v>476726</v>
      </c>
      <c r="G70" s="1"/>
      <c r="L70" s="1"/>
      <c r="M70" s="1"/>
    </row>
    <row r="71" spans="1:13" s="2" customFormat="1" x14ac:dyDescent="0.2">
      <c r="A71" s="87">
        <v>45054</v>
      </c>
      <c r="B71" s="120" t="s">
        <v>6</v>
      </c>
      <c r="C71" s="75" t="s">
        <v>271</v>
      </c>
      <c r="D71" s="88">
        <v>926688</v>
      </c>
      <c r="G71" s="1"/>
      <c r="L71" s="1"/>
      <c r="M71" s="1"/>
    </row>
    <row r="72" spans="1:13" s="2" customFormat="1" x14ac:dyDescent="0.2">
      <c r="A72" s="87">
        <v>45054</v>
      </c>
      <c r="B72" s="120" t="s">
        <v>6</v>
      </c>
      <c r="C72" s="75" t="s">
        <v>87</v>
      </c>
      <c r="D72" s="88">
        <v>1844917</v>
      </c>
      <c r="G72" s="1"/>
      <c r="L72" s="1"/>
      <c r="M72" s="1"/>
    </row>
    <row r="73" spans="1:13" s="2" customFormat="1" x14ac:dyDescent="0.2">
      <c r="A73" s="87">
        <v>45054</v>
      </c>
      <c r="B73" s="120" t="s">
        <v>6</v>
      </c>
      <c r="C73" s="75" t="s">
        <v>271</v>
      </c>
      <c r="D73" s="88">
        <v>1640794</v>
      </c>
      <c r="G73" s="1"/>
      <c r="L73" s="1"/>
      <c r="M73" s="1"/>
    </row>
    <row r="74" spans="1:13" s="2" customFormat="1" x14ac:dyDescent="0.2">
      <c r="A74" s="87">
        <v>45055</v>
      </c>
      <c r="B74" s="120" t="s">
        <v>6</v>
      </c>
      <c r="C74" s="75" t="s">
        <v>84</v>
      </c>
      <c r="D74" s="88">
        <v>2000000</v>
      </c>
      <c r="G74" s="1"/>
      <c r="L74" s="1"/>
      <c r="M74" s="1"/>
    </row>
    <row r="75" spans="1:13" s="2" customFormat="1" x14ac:dyDescent="0.2">
      <c r="A75" s="87">
        <v>45055</v>
      </c>
      <c r="B75" s="120" t="s">
        <v>6</v>
      </c>
      <c r="C75" s="75" t="s">
        <v>87</v>
      </c>
      <c r="D75" s="88">
        <v>2540563</v>
      </c>
      <c r="G75" s="1"/>
      <c r="L75" s="1"/>
      <c r="M75" s="1"/>
    </row>
    <row r="76" spans="1:13" s="2" customFormat="1" x14ac:dyDescent="0.2">
      <c r="A76" s="87">
        <v>45055</v>
      </c>
      <c r="B76" s="120" t="s">
        <v>6</v>
      </c>
      <c r="C76" s="75" t="s">
        <v>18</v>
      </c>
      <c r="D76" s="88">
        <v>950137</v>
      </c>
      <c r="G76" s="1"/>
      <c r="L76" s="1"/>
      <c r="M76" s="1"/>
    </row>
    <row r="77" spans="1:13" s="2" customFormat="1" x14ac:dyDescent="0.2">
      <c r="A77" s="87">
        <v>45056</v>
      </c>
      <c r="B77" s="120" t="s">
        <v>6</v>
      </c>
      <c r="C77" s="75" t="s">
        <v>271</v>
      </c>
      <c r="D77" s="88">
        <v>242417</v>
      </c>
      <c r="G77" s="1"/>
      <c r="L77" s="1"/>
      <c r="M77" s="1"/>
    </row>
    <row r="78" spans="1:13" s="2" customFormat="1" x14ac:dyDescent="0.2">
      <c r="A78" s="87">
        <v>45056</v>
      </c>
      <c r="B78" s="120" t="s">
        <v>6</v>
      </c>
      <c r="C78" s="75" t="s">
        <v>271</v>
      </c>
      <c r="D78" s="88">
        <v>674909</v>
      </c>
      <c r="G78" s="1"/>
      <c r="L78" s="1"/>
      <c r="M78" s="1"/>
    </row>
    <row r="79" spans="1:13" s="2" customFormat="1" x14ac:dyDescent="0.2">
      <c r="A79" s="87">
        <v>45056</v>
      </c>
      <c r="B79" s="120" t="s">
        <v>6</v>
      </c>
      <c r="C79" s="75" t="s">
        <v>271</v>
      </c>
      <c r="D79" s="88">
        <v>969371</v>
      </c>
      <c r="G79" s="1"/>
      <c r="L79" s="1"/>
      <c r="M79" s="1"/>
    </row>
    <row r="80" spans="1:13" s="2" customFormat="1" x14ac:dyDescent="0.2">
      <c r="A80" s="87">
        <v>45058</v>
      </c>
      <c r="B80" s="120" t="s">
        <v>6</v>
      </c>
      <c r="C80" s="75" t="s">
        <v>271</v>
      </c>
      <c r="D80" s="88">
        <v>650439</v>
      </c>
      <c r="G80" s="1"/>
      <c r="L80" s="1"/>
      <c r="M80" s="1"/>
    </row>
    <row r="81" spans="1:13" s="2" customFormat="1" x14ac:dyDescent="0.2">
      <c r="A81" s="87">
        <v>45058</v>
      </c>
      <c r="B81" s="120" t="s">
        <v>6</v>
      </c>
      <c r="C81" s="75" t="s">
        <v>271</v>
      </c>
      <c r="D81" s="88">
        <v>432067</v>
      </c>
      <c r="G81" s="1"/>
      <c r="L81" s="1"/>
      <c r="M81" s="1"/>
    </row>
    <row r="82" spans="1:13" s="2" customFormat="1" x14ac:dyDescent="0.2">
      <c r="A82" s="87">
        <v>45058</v>
      </c>
      <c r="B82" s="120" t="s">
        <v>6</v>
      </c>
      <c r="C82" s="75" t="s">
        <v>271</v>
      </c>
      <c r="D82" s="88">
        <v>412906</v>
      </c>
      <c r="G82" s="1"/>
      <c r="L82" s="1"/>
      <c r="M82" s="1"/>
    </row>
    <row r="83" spans="1:13" s="2" customFormat="1" x14ac:dyDescent="0.2">
      <c r="A83" s="87">
        <v>45061</v>
      </c>
      <c r="B83" s="120" t="s">
        <v>6</v>
      </c>
      <c r="C83" s="75" t="s">
        <v>594</v>
      </c>
      <c r="D83" s="88">
        <v>7500000</v>
      </c>
      <c r="G83" s="1"/>
      <c r="L83" s="1"/>
      <c r="M83" s="1"/>
    </row>
    <row r="84" spans="1:13" s="2" customFormat="1" x14ac:dyDescent="0.2">
      <c r="A84" s="87">
        <v>45062</v>
      </c>
      <c r="B84" s="120" t="s">
        <v>6</v>
      </c>
      <c r="C84" s="75" t="s">
        <v>86</v>
      </c>
      <c r="D84" s="88">
        <v>3769130</v>
      </c>
      <c r="G84" s="1"/>
      <c r="L84" s="1"/>
      <c r="M84" s="1"/>
    </row>
    <row r="85" spans="1:13" s="2" customFormat="1" x14ac:dyDescent="0.2">
      <c r="A85" s="87">
        <v>45063</v>
      </c>
      <c r="B85" s="120" t="s">
        <v>6</v>
      </c>
      <c r="C85" s="75" t="s">
        <v>84</v>
      </c>
      <c r="D85" s="88">
        <v>5033848</v>
      </c>
      <c r="G85" s="1"/>
      <c r="L85" s="1"/>
      <c r="M85" s="1"/>
    </row>
    <row r="86" spans="1:13" s="2" customFormat="1" x14ac:dyDescent="0.2">
      <c r="A86" s="87">
        <v>45065</v>
      </c>
      <c r="B86" s="120" t="s">
        <v>6</v>
      </c>
      <c r="C86" s="75" t="s">
        <v>594</v>
      </c>
      <c r="D86" s="88">
        <v>6001798</v>
      </c>
      <c r="G86" s="1"/>
      <c r="L86" s="1"/>
      <c r="M86" s="1"/>
    </row>
    <row r="87" spans="1:13" s="2" customFormat="1" x14ac:dyDescent="0.2">
      <c r="A87" s="87">
        <v>45065</v>
      </c>
      <c r="B87" s="120" t="s">
        <v>6</v>
      </c>
      <c r="C87" s="75" t="s">
        <v>594</v>
      </c>
      <c r="D87" s="88">
        <v>9126</v>
      </c>
      <c r="G87" s="1"/>
      <c r="L87" s="1"/>
      <c r="M87" s="1"/>
    </row>
    <row r="88" spans="1:13" s="2" customFormat="1" x14ac:dyDescent="0.2">
      <c r="A88" s="87">
        <v>45066</v>
      </c>
      <c r="B88" s="120" t="s">
        <v>6</v>
      </c>
      <c r="C88" s="75" t="s">
        <v>271</v>
      </c>
      <c r="D88" s="88">
        <v>231880</v>
      </c>
      <c r="G88" s="1"/>
      <c r="L88" s="1"/>
      <c r="M88" s="1"/>
    </row>
    <row r="89" spans="1:13" s="2" customFormat="1" x14ac:dyDescent="0.2">
      <c r="A89" s="87">
        <v>45066</v>
      </c>
      <c r="B89" s="120" t="s">
        <v>6</v>
      </c>
      <c r="C89" s="75" t="s">
        <v>271</v>
      </c>
      <c r="D89" s="88">
        <v>1166054</v>
      </c>
      <c r="G89" s="1"/>
      <c r="L89" s="1"/>
      <c r="M89" s="1"/>
    </row>
    <row r="90" spans="1:13" s="2" customFormat="1" x14ac:dyDescent="0.2">
      <c r="A90" s="87">
        <v>45066</v>
      </c>
      <c r="B90" s="120" t="s">
        <v>6</v>
      </c>
      <c r="C90" s="75" t="s">
        <v>271</v>
      </c>
      <c r="D90" s="88">
        <v>197868</v>
      </c>
      <c r="G90" s="1"/>
      <c r="L90" s="1"/>
      <c r="M90" s="1"/>
    </row>
    <row r="91" spans="1:13" s="2" customFormat="1" x14ac:dyDescent="0.2">
      <c r="A91" s="87">
        <v>45066</v>
      </c>
      <c r="B91" s="120" t="s">
        <v>6</v>
      </c>
      <c r="C91" s="75" t="s">
        <v>271</v>
      </c>
      <c r="D91" s="88">
        <v>411515</v>
      </c>
      <c r="G91" s="1"/>
      <c r="L91" s="1"/>
      <c r="M91" s="1"/>
    </row>
    <row r="92" spans="1:13" s="2" customFormat="1" x14ac:dyDescent="0.2">
      <c r="A92" s="87">
        <v>45066</v>
      </c>
      <c r="B92" s="120" t="s">
        <v>6</v>
      </c>
      <c r="C92" s="75" t="s">
        <v>271</v>
      </c>
      <c r="D92" s="88">
        <v>781035</v>
      </c>
      <c r="G92" s="1"/>
      <c r="L92" s="1"/>
      <c r="M92" s="1"/>
    </row>
    <row r="93" spans="1:13" s="2" customFormat="1" x14ac:dyDescent="0.2">
      <c r="A93" s="87">
        <v>45066</v>
      </c>
      <c r="B93" s="120" t="s">
        <v>6</v>
      </c>
      <c r="C93" s="75" t="s">
        <v>87</v>
      </c>
      <c r="D93" s="88">
        <v>1320555</v>
      </c>
      <c r="G93" s="1"/>
      <c r="L93" s="1"/>
      <c r="M93" s="1"/>
    </row>
    <row r="94" spans="1:13" s="2" customFormat="1" x14ac:dyDescent="0.2">
      <c r="A94" s="87">
        <v>45066</v>
      </c>
      <c r="B94" s="120" t="s">
        <v>6</v>
      </c>
      <c r="C94" s="75" t="s">
        <v>323</v>
      </c>
      <c r="D94" s="88">
        <v>2498439</v>
      </c>
      <c r="G94" s="1"/>
      <c r="L94" s="1"/>
      <c r="M94" s="1"/>
    </row>
    <row r="95" spans="1:13" s="2" customFormat="1" x14ac:dyDescent="0.2">
      <c r="A95" s="87">
        <v>45068</v>
      </c>
      <c r="B95" s="120" t="s">
        <v>6</v>
      </c>
      <c r="C95" s="75" t="s">
        <v>86</v>
      </c>
      <c r="D95" s="88">
        <v>588418</v>
      </c>
      <c r="G95" s="1"/>
      <c r="L95" s="1"/>
      <c r="M95" s="1"/>
    </row>
    <row r="96" spans="1:13" s="2" customFormat="1" x14ac:dyDescent="0.2">
      <c r="A96" s="87">
        <v>45068</v>
      </c>
      <c r="B96" s="120" t="s">
        <v>6</v>
      </c>
      <c r="C96" s="75" t="s">
        <v>86</v>
      </c>
      <c r="D96" s="88">
        <v>6280875</v>
      </c>
      <c r="G96" s="1"/>
      <c r="L96" s="1"/>
      <c r="M96" s="1"/>
    </row>
    <row r="97" spans="1:13" s="2" customFormat="1" x14ac:dyDescent="0.2">
      <c r="A97" s="87">
        <v>45068</v>
      </c>
      <c r="B97" s="120" t="s">
        <v>6</v>
      </c>
      <c r="C97" s="75" t="s">
        <v>86</v>
      </c>
      <c r="D97" s="88">
        <v>1195342</v>
      </c>
      <c r="G97" s="1"/>
      <c r="L97" s="1"/>
      <c r="M97" s="1"/>
    </row>
    <row r="98" spans="1:13" s="2" customFormat="1" x14ac:dyDescent="0.2">
      <c r="A98" s="87">
        <v>45070</v>
      </c>
      <c r="B98" s="120" t="s">
        <v>6</v>
      </c>
      <c r="C98" s="75" t="s">
        <v>85</v>
      </c>
      <c r="D98" s="88">
        <v>734755</v>
      </c>
      <c r="G98" s="1"/>
      <c r="L98" s="1"/>
      <c r="M98" s="1"/>
    </row>
    <row r="99" spans="1:13" s="2" customFormat="1" x14ac:dyDescent="0.2">
      <c r="A99" s="87">
        <v>45070</v>
      </c>
      <c r="B99" s="120" t="s">
        <v>6</v>
      </c>
      <c r="C99" s="75" t="s">
        <v>270</v>
      </c>
      <c r="D99" s="88">
        <v>1147013</v>
      </c>
      <c r="G99" s="1"/>
      <c r="L99" s="1"/>
      <c r="M99" s="1"/>
    </row>
    <row r="100" spans="1:13" s="2" customFormat="1" x14ac:dyDescent="0.2">
      <c r="A100" s="87">
        <v>45070</v>
      </c>
      <c r="B100" s="120" t="s">
        <v>6</v>
      </c>
      <c r="C100" s="75" t="s">
        <v>270</v>
      </c>
      <c r="D100" s="88">
        <v>2489665</v>
      </c>
      <c r="G100" s="1"/>
      <c r="L100" s="1"/>
      <c r="M100" s="1"/>
    </row>
    <row r="101" spans="1:13" s="2" customFormat="1" x14ac:dyDescent="0.2">
      <c r="A101" s="87">
        <v>45070</v>
      </c>
      <c r="B101" s="120" t="s">
        <v>6</v>
      </c>
      <c r="C101" s="75" t="s">
        <v>270</v>
      </c>
      <c r="D101" s="88">
        <v>306124</v>
      </c>
      <c r="G101" s="1"/>
      <c r="L101" s="1"/>
      <c r="M101" s="1"/>
    </row>
    <row r="102" spans="1:13" s="2" customFormat="1" x14ac:dyDescent="0.2">
      <c r="A102" s="87">
        <v>45070</v>
      </c>
      <c r="B102" s="120" t="s">
        <v>6</v>
      </c>
      <c r="C102" s="75" t="s">
        <v>86</v>
      </c>
      <c r="D102" s="88">
        <v>4992840</v>
      </c>
      <c r="G102" s="1"/>
      <c r="L102" s="1"/>
      <c r="M102" s="1"/>
    </row>
    <row r="103" spans="1:13" s="2" customFormat="1" x14ac:dyDescent="0.2">
      <c r="A103" s="87">
        <v>45071</v>
      </c>
      <c r="B103" s="120" t="s">
        <v>6</v>
      </c>
      <c r="C103" s="75" t="s">
        <v>270</v>
      </c>
      <c r="D103" s="88">
        <v>107384</v>
      </c>
      <c r="G103" s="1"/>
      <c r="L103" s="1"/>
      <c r="M103" s="1"/>
    </row>
    <row r="104" spans="1:13" s="2" customFormat="1" x14ac:dyDescent="0.2">
      <c r="A104" s="87">
        <v>45071</v>
      </c>
      <c r="B104" s="120" t="s">
        <v>6</v>
      </c>
      <c r="C104" s="75" t="s">
        <v>18</v>
      </c>
      <c r="D104" s="88">
        <v>538125</v>
      </c>
      <c r="G104" s="1"/>
      <c r="L104" s="1"/>
      <c r="M104" s="1"/>
    </row>
    <row r="105" spans="1:13" s="2" customFormat="1" x14ac:dyDescent="0.2">
      <c r="A105" s="87">
        <v>45071</v>
      </c>
      <c r="B105" s="120" t="s">
        <v>6</v>
      </c>
      <c r="C105" s="75" t="s">
        <v>270</v>
      </c>
      <c r="D105" s="88">
        <v>46577</v>
      </c>
      <c r="G105" s="1"/>
      <c r="L105" s="1"/>
      <c r="M105" s="1"/>
    </row>
    <row r="106" spans="1:13" s="2" customFormat="1" x14ac:dyDescent="0.2">
      <c r="A106" s="87">
        <v>45072</v>
      </c>
      <c r="B106" s="120" t="s">
        <v>6</v>
      </c>
      <c r="C106" s="75" t="s">
        <v>84</v>
      </c>
      <c r="D106" s="88">
        <v>2000000</v>
      </c>
      <c r="G106" s="1"/>
      <c r="L106" s="1"/>
      <c r="M106" s="1"/>
    </row>
    <row r="107" spans="1:13" s="2" customFormat="1" x14ac:dyDescent="0.2">
      <c r="A107" s="87">
        <v>45072</v>
      </c>
      <c r="B107" s="120" t="s">
        <v>6</v>
      </c>
      <c r="C107" s="75" t="s">
        <v>594</v>
      </c>
      <c r="D107" s="88">
        <v>8866315</v>
      </c>
      <c r="G107" s="1"/>
      <c r="L107" s="1"/>
      <c r="M107" s="1"/>
    </row>
    <row r="108" spans="1:13" s="2" customFormat="1" x14ac:dyDescent="0.2">
      <c r="A108" s="87">
        <v>45075</v>
      </c>
      <c r="B108" s="120" t="s">
        <v>6</v>
      </c>
      <c r="C108" s="75" t="s">
        <v>270</v>
      </c>
      <c r="D108" s="88">
        <v>356832</v>
      </c>
      <c r="G108" s="1"/>
      <c r="L108" s="1"/>
      <c r="M108" s="1"/>
    </row>
    <row r="109" spans="1:13" s="2" customFormat="1" x14ac:dyDescent="0.2">
      <c r="A109" s="87">
        <v>45075</v>
      </c>
      <c r="B109" s="120" t="s">
        <v>6</v>
      </c>
      <c r="C109" s="75" t="s">
        <v>270</v>
      </c>
      <c r="D109" s="88">
        <v>523707</v>
      </c>
      <c r="G109" s="1"/>
      <c r="L109" s="1"/>
      <c r="M109" s="1"/>
    </row>
    <row r="110" spans="1:13" s="2" customFormat="1" x14ac:dyDescent="0.2">
      <c r="A110" s="87">
        <v>45075</v>
      </c>
      <c r="B110" s="120" t="s">
        <v>6</v>
      </c>
      <c r="C110" s="75" t="s">
        <v>270</v>
      </c>
      <c r="D110" s="88">
        <v>2050279</v>
      </c>
      <c r="G110" s="1"/>
      <c r="L110" s="1"/>
      <c r="M110" s="1"/>
    </row>
    <row r="111" spans="1:13" s="2" customFormat="1" x14ac:dyDescent="0.2">
      <c r="A111" s="87"/>
      <c r="B111" s="74"/>
      <c r="C111" s="75"/>
      <c r="D111" s="51">
        <f>SUM(D66:D110)</f>
        <v>86969634</v>
      </c>
      <c r="F111" s="2" t="s">
        <v>396</v>
      </c>
      <c r="G111" s="1"/>
      <c r="L111" s="1"/>
      <c r="M111" s="1"/>
    </row>
    <row r="112" spans="1:13" s="2" customFormat="1" x14ac:dyDescent="0.2">
      <c r="A112" s="24"/>
      <c r="B112" s="1"/>
      <c r="C112" s="14"/>
      <c r="D112" s="56"/>
      <c r="E112" s="13"/>
      <c r="G112" s="1"/>
      <c r="L112" s="1"/>
      <c r="M112" s="1"/>
    </row>
    <row r="113" spans="1:13" s="2" customFormat="1" x14ac:dyDescent="0.2">
      <c r="A113" s="24"/>
      <c r="B113" s="1"/>
      <c r="C113" s="218" t="s">
        <v>77</v>
      </c>
      <c r="D113" s="219"/>
      <c r="E113" s="219"/>
      <c r="F113" s="220"/>
      <c r="G113" s="1"/>
      <c r="L113" s="1"/>
      <c r="M113" s="1"/>
    </row>
    <row r="114" spans="1:13" s="2" customFormat="1" x14ac:dyDescent="0.2">
      <c r="A114" s="24"/>
      <c r="B114" s="1"/>
      <c r="C114" s="50"/>
      <c r="D114" s="57" t="s">
        <v>78</v>
      </c>
      <c r="E114" s="58" t="s">
        <v>79</v>
      </c>
      <c r="F114" s="57" t="s">
        <v>72</v>
      </c>
      <c r="G114" s="1"/>
      <c r="I114" s="1"/>
      <c r="J114" s="1"/>
      <c r="K114" s="1"/>
      <c r="L114" s="1"/>
      <c r="M114" s="1"/>
    </row>
    <row r="115" spans="1:13" s="2" customFormat="1" x14ac:dyDescent="0.2">
      <c r="A115" s="24"/>
      <c r="B115" s="1"/>
      <c r="C115" s="59" t="str">
        <f>"01-05-2023 to "&amp;TEXT(A5-2,"dd-mm-yyyy")</f>
        <v>01-05-2023 to 29-05-2023</v>
      </c>
      <c r="D115" s="60">
        <v>4432.9399999999996</v>
      </c>
      <c r="E115" s="60">
        <v>351.82</v>
      </c>
      <c r="F115" s="61">
        <f>SUM(D115:E115)</f>
        <v>4784.7599999999993</v>
      </c>
      <c r="G115" s="1"/>
    </row>
    <row r="116" spans="1:13" s="2" customFormat="1" x14ac:dyDescent="0.2">
      <c r="A116" s="24"/>
      <c r="B116" s="1"/>
      <c r="C116" s="62" t="str">
        <f>TEXT(A5-1,"dd-mm-yyyy")</f>
        <v>30-05-2023</v>
      </c>
      <c r="D116" s="60">
        <v>240.09</v>
      </c>
      <c r="E116" s="60">
        <v>12.07</v>
      </c>
      <c r="F116" s="61">
        <f>SUM(D116:E116)</f>
        <v>252.16</v>
      </c>
      <c r="G116" s="54"/>
      <c r="I116" s="1"/>
      <c r="J116" s="1"/>
      <c r="K116" s="1"/>
      <c r="L116" s="1"/>
      <c r="M116" s="1"/>
    </row>
    <row r="117" spans="1:13" s="2" customFormat="1" ht="13.5" thickBot="1" x14ac:dyDescent="0.25">
      <c r="A117" s="24"/>
      <c r="B117" s="1"/>
      <c r="C117" s="63" t="str">
        <f>"01-05-2023 to "&amp;TEXT(A5-1,"dd-mm-yyyy")</f>
        <v>01-05-2023 to 30-05-2023</v>
      </c>
      <c r="D117" s="64">
        <f>SUM(D115:D116)</f>
        <v>4673.03</v>
      </c>
      <c r="E117" s="64">
        <f>SUM(E115:E116)</f>
        <v>363.89</v>
      </c>
      <c r="F117" s="64">
        <f>SUM(F115:F116)</f>
        <v>5036.9199999999992</v>
      </c>
      <c r="G117" s="54"/>
      <c r="I117" s="1"/>
      <c r="J117" s="1"/>
      <c r="K117" s="1"/>
      <c r="L117" s="1"/>
      <c r="M117" s="1"/>
    </row>
    <row r="118" spans="1:13" s="2" customFormat="1" ht="13.5" thickTop="1" x14ac:dyDescent="0.2">
      <c r="A118" s="24"/>
      <c r="B118" s="1"/>
      <c r="C118" s="62"/>
      <c r="D118" s="65"/>
      <c r="E118" s="66"/>
      <c r="F118" s="67"/>
      <c r="G118" s="54"/>
      <c r="I118" s="1"/>
      <c r="J118" s="1"/>
      <c r="K118" s="1"/>
      <c r="L118" s="1"/>
      <c r="M118" s="1"/>
    </row>
    <row r="119" spans="1:13" s="2" customFormat="1" x14ac:dyDescent="0.2">
      <c r="A119" s="24"/>
      <c r="B119" s="1"/>
      <c r="C119" s="62" t="str">
        <f>"01-04-2023 to " &amp;C116</f>
        <v>01-04-2023 to 30-05-2023</v>
      </c>
      <c r="D119" s="68">
        <f>+D117+4343.67</f>
        <v>9016.7000000000007</v>
      </c>
      <c r="E119" s="68">
        <f>+E117+536.17</f>
        <v>900.06</v>
      </c>
      <c r="F119" s="68">
        <f>+F117+4879.84</f>
        <v>9916.7599999999984</v>
      </c>
      <c r="G119" s="54"/>
      <c r="I119" s="1"/>
      <c r="J119" s="1"/>
      <c r="K119" s="1"/>
      <c r="L119" s="1"/>
      <c r="M119" s="1"/>
    </row>
    <row r="120" spans="1:13" x14ac:dyDescent="0.2">
      <c r="C120" s="52"/>
      <c r="D120" s="85"/>
      <c r="E120" s="53"/>
      <c r="F120" s="53"/>
      <c r="G120" s="54"/>
      <c r="H120" s="2" t="s">
        <v>396</v>
      </c>
    </row>
    <row r="121" spans="1:13" s="2" customFormat="1" x14ac:dyDescent="0.2">
      <c r="A121" s="24"/>
      <c r="B121" s="1"/>
      <c r="C121" s="52"/>
      <c r="D121" s="85"/>
      <c r="E121" s="53"/>
      <c r="F121" s="53"/>
      <c r="G121" s="54"/>
      <c r="H121" s="53"/>
    </row>
    <row r="122" spans="1:13" x14ac:dyDescent="0.2">
      <c r="C122" s="52"/>
      <c r="D122" s="85"/>
      <c r="E122" s="53"/>
      <c r="F122" s="53"/>
      <c r="G122" s="54"/>
      <c r="H122" s="53" t="s">
        <v>396</v>
      </c>
    </row>
    <row r="123" spans="1:13" x14ac:dyDescent="0.2">
      <c r="C123" s="52"/>
      <c r="D123" s="85"/>
      <c r="E123" s="53"/>
      <c r="F123" s="53"/>
      <c r="G123" s="54"/>
      <c r="H123" s="53" t="s">
        <v>396</v>
      </c>
      <c r="J123" s="42"/>
    </row>
    <row r="124" spans="1:13" x14ac:dyDescent="0.2">
      <c r="G124" s="54"/>
      <c r="H124" s="53"/>
      <c r="I124" s="101"/>
    </row>
    <row r="125" spans="1:13" x14ac:dyDescent="0.2">
      <c r="G125" s="54"/>
      <c r="H125" s="53"/>
    </row>
    <row r="126" spans="1:13" x14ac:dyDescent="0.2">
      <c r="G126" s="54"/>
      <c r="H126" s="53"/>
    </row>
    <row r="127" spans="1:13" x14ac:dyDescent="0.2">
      <c r="H127" s="53"/>
    </row>
  </sheetData>
  <mergeCells count="5">
    <mergeCell ref="A1:G1"/>
    <mergeCell ref="A3:F3"/>
    <mergeCell ref="A9:F9"/>
    <mergeCell ref="A64:D64"/>
    <mergeCell ref="C113:F113"/>
  </mergeCells>
  <conditionalFormatting sqref="G61:G62">
    <cfRule type="cellIs" dxfId="529" priority="1" operator="lessThan">
      <formula>0</formula>
    </cfRule>
  </conditionalFormatting>
  <conditionalFormatting sqref="C11">
    <cfRule type="duplicateValues" dxfId="528" priority="2"/>
  </conditionalFormatting>
  <conditionalFormatting sqref="C12:C41">
    <cfRule type="duplicateValues" dxfId="527" priority="515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340">
    <pageSetUpPr fitToPage="1"/>
  </sheetPr>
  <dimension ref="A1:N134"/>
  <sheetViews>
    <sheetView topLeftCell="A115" zoomScaleNormal="100" workbookViewId="0">
      <selection activeCell="C46" sqref="C46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47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1030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45078</v>
      </c>
      <c r="B5" s="9" t="s">
        <v>6</v>
      </c>
      <c r="C5" s="10" t="s">
        <v>7</v>
      </c>
      <c r="D5" s="11"/>
      <c r="E5" s="12">
        <v>219062.70000000019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219062.70000000019</v>
      </c>
      <c r="F6" s="16"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+E6</f>
        <v>219062.70000000019</v>
      </c>
      <c r="F7" s="22"/>
      <c r="G7" s="23"/>
      <c r="H7" s="112"/>
      <c r="I7" s="112"/>
      <c r="J7" s="13"/>
    </row>
    <row r="8" spans="1:10" ht="12.75" customHeight="1" x14ac:dyDescent="0.4">
      <c r="H8" s="112"/>
      <c r="I8" s="112"/>
    </row>
    <row r="9" spans="1:10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12"/>
    </row>
    <row r="10" spans="1:10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12"/>
    </row>
    <row r="11" spans="1:10" s="2" customFormat="1" ht="14.25" customHeight="1" x14ac:dyDescent="0.4">
      <c r="A11" s="89">
        <v>45078</v>
      </c>
      <c r="B11" s="9" t="s">
        <v>6</v>
      </c>
      <c r="C11" s="10" t="s">
        <v>7</v>
      </c>
      <c r="D11" s="11"/>
      <c r="F11" s="12">
        <v>24380868.949999999</v>
      </c>
      <c r="G11" s="1"/>
      <c r="H11" s="112"/>
      <c r="I11" s="112"/>
    </row>
    <row r="12" spans="1:10" s="2" customFormat="1" ht="14.25" customHeight="1" x14ac:dyDescent="0.4">
      <c r="A12" s="89">
        <v>45078</v>
      </c>
      <c r="B12" s="9" t="s">
        <v>6</v>
      </c>
      <c r="C12" s="10" t="s">
        <v>468</v>
      </c>
      <c r="D12" s="11" t="s">
        <v>13</v>
      </c>
      <c r="E12" s="12">
        <v>1109549</v>
      </c>
      <c r="F12" s="12">
        <v>0</v>
      </c>
      <c r="G12" s="1"/>
      <c r="H12" s="112"/>
      <c r="I12" s="112"/>
    </row>
    <row r="13" spans="1:10" s="2" customFormat="1" ht="14.25" customHeight="1" x14ac:dyDescent="0.4">
      <c r="A13" s="89">
        <v>45078</v>
      </c>
      <c r="B13" s="9" t="s">
        <v>6</v>
      </c>
      <c r="C13" s="10" t="s">
        <v>405</v>
      </c>
      <c r="D13" s="11" t="s">
        <v>13</v>
      </c>
      <c r="E13" s="12">
        <v>7155</v>
      </c>
      <c r="F13" s="12">
        <v>0</v>
      </c>
      <c r="G13" s="1"/>
      <c r="H13" s="112"/>
      <c r="I13" s="112"/>
    </row>
    <row r="14" spans="1:10" s="2" customFormat="1" ht="14.25" customHeight="1" x14ac:dyDescent="0.4">
      <c r="A14" s="89">
        <v>45078</v>
      </c>
      <c r="B14" s="9" t="s">
        <v>6</v>
      </c>
      <c r="C14" s="10" t="s">
        <v>375</v>
      </c>
      <c r="D14" s="11" t="s">
        <v>13</v>
      </c>
      <c r="E14" s="12">
        <v>5248879</v>
      </c>
      <c r="F14" s="12">
        <v>0</v>
      </c>
      <c r="G14" s="1"/>
      <c r="H14" s="112"/>
      <c r="I14" s="112"/>
    </row>
    <row r="15" spans="1:10" s="2" customFormat="1" ht="14.25" customHeight="1" x14ac:dyDescent="0.4">
      <c r="A15" s="89">
        <v>45078</v>
      </c>
      <c r="B15" s="9" t="s">
        <v>6</v>
      </c>
      <c r="C15" s="10" t="s">
        <v>142</v>
      </c>
      <c r="D15" s="11" t="s">
        <v>13</v>
      </c>
      <c r="E15" s="12">
        <v>4642589.76</v>
      </c>
      <c r="F15" s="12">
        <v>0</v>
      </c>
      <c r="G15" s="1"/>
      <c r="H15" s="112"/>
      <c r="I15" s="112"/>
    </row>
    <row r="16" spans="1:10" s="2" customFormat="1" ht="14.25" customHeight="1" x14ac:dyDescent="0.4">
      <c r="A16" s="89">
        <v>45078</v>
      </c>
      <c r="B16" s="9" t="s">
        <v>11</v>
      </c>
      <c r="C16" s="10" t="s">
        <v>63</v>
      </c>
      <c r="D16" s="11" t="s">
        <v>29</v>
      </c>
      <c r="E16" s="12">
        <v>0</v>
      </c>
      <c r="F16" s="12">
        <v>2500000</v>
      </c>
      <c r="G16" s="1"/>
      <c r="H16" s="112"/>
      <c r="I16" s="112"/>
    </row>
    <row r="17" spans="1:10" s="2" customFormat="1" ht="14.25" customHeight="1" x14ac:dyDescent="0.4">
      <c r="A17" s="89">
        <v>45078</v>
      </c>
      <c r="B17" s="9" t="s">
        <v>11</v>
      </c>
      <c r="C17" s="10" t="s">
        <v>57</v>
      </c>
      <c r="D17" s="11" t="s">
        <v>29</v>
      </c>
      <c r="E17" s="12">
        <v>0</v>
      </c>
      <c r="F17" s="12">
        <v>3000000</v>
      </c>
      <c r="G17" s="1"/>
      <c r="H17" s="112"/>
      <c r="I17" s="112"/>
    </row>
    <row r="18" spans="1:10" s="2" customFormat="1" ht="14.25" customHeight="1" x14ac:dyDescent="0.4">
      <c r="A18" s="89">
        <v>45078</v>
      </c>
      <c r="B18" s="9" t="s">
        <v>11</v>
      </c>
      <c r="C18" s="10" t="s">
        <v>156</v>
      </c>
      <c r="D18" s="11" t="s">
        <v>29</v>
      </c>
      <c r="E18" s="12">
        <v>0</v>
      </c>
      <c r="F18" s="12">
        <v>10800</v>
      </c>
      <c r="G18" s="1"/>
      <c r="H18" s="112"/>
      <c r="I18" s="112"/>
    </row>
    <row r="19" spans="1:10" s="2" customFormat="1" ht="12.75" customHeight="1" x14ac:dyDescent="0.4">
      <c r="D19" s="15" t="s">
        <v>8</v>
      </c>
      <c r="E19" s="16">
        <f>+SUBTOTAL(9,E11:E18)</f>
        <v>11008172.76</v>
      </c>
      <c r="F19" s="16">
        <f>+SUBTOTAL(9,F11:F18)</f>
        <v>29891668.949999999</v>
      </c>
      <c r="G19" s="1"/>
      <c r="H19" s="112"/>
      <c r="I19" s="112"/>
    </row>
    <row r="20" spans="1:10" s="2" customFormat="1" ht="12.75" customHeight="1" x14ac:dyDescent="0.4">
      <c r="A20" s="17"/>
      <c r="B20" s="18"/>
      <c r="C20" s="96" t="s">
        <v>9</v>
      </c>
      <c r="D20" s="20"/>
      <c r="E20" s="21">
        <f>+F19-E19</f>
        <v>18883496.189999998</v>
      </c>
      <c r="G20" s="23"/>
      <c r="H20" s="112"/>
      <c r="I20" s="112"/>
      <c r="J20" s="13"/>
    </row>
    <row r="21" spans="1:10" s="2" customFormat="1" ht="12.75" customHeight="1" x14ac:dyDescent="0.4">
      <c r="A21" s="24"/>
      <c r="B21" s="1"/>
      <c r="C21" s="14"/>
      <c r="D21" s="25"/>
      <c r="G21" s="23"/>
      <c r="H21" s="112"/>
      <c r="I21" s="112"/>
      <c r="J21" s="13"/>
    </row>
    <row r="22" spans="1:10" s="2" customFormat="1" ht="21.75" customHeight="1" x14ac:dyDescent="0.4">
      <c r="A22" s="214" t="s">
        <v>10</v>
      </c>
      <c r="B22" s="214"/>
      <c r="C22" s="214"/>
      <c r="D22" s="214"/>
      <c r="E22" s="214"/>
      <c r="F22" s="214"/>
      <c r="G22" s="13"/>
      <c r="H22" s="112"/>
      <c r="I22" s="112"/>
      <c r="J22" s="13"/>
    </row>
    <row r="23" spans="1:10" s="2" customFormat="1" ht="12.75" customHeight="1" x14ac:dyDescent="0.4">
      <c r="A23" s="26" t="s">
        <v>1</v>
      </c>
      <c r="B23" s="27" t="s">
        <v>2</v>
      </c>
      <c r="C23" s="5"/>
      <c r="D23" s="6" t="s">
        <v>3</v>
      </c>
      <c r="E23" s="7" t="s">
        <v>4</v>
      </c>
      <c r="F23" s="7" t="s">
        <v>5</v>
      </c>
      <c r="G23" s="23"/>
      <c r="H23" s="112"/>
      <c r="I23" s="112"/>
      <c r="J23" s="13"/>
    </row>
    <row r="24" spans="1:10" s="2" customFormat="1" ht="12.75" customHeight="1" x14ac:dyDescent="0.2">
      <c r="A24" s="89">
        <v>45078</v>
      </c>
      <c r="B24" s="91" t="s">
        <v>11</v>
      </c>
      <c r="C24" s="29" t="s">
        <v>7</v>
      </c>
      <c r="D24" s="25"/>
      <c r="E24" s="31"/>
      <c r="F24" s="2">
        <v>278786762.15999985</v>
      </c>
      <c r="G24" s="30"/>
      <c r="I24" s="13"/>
      <c r="J24" s="13"/>
    </row>
    <row r="25" spans="1:10" s="2" customFormat="1" ht="12.75" customHeight="1" x14ac:dyDescent="0.2">
      <c r="A25" s="89">
        <v>45078</v>
      </c>
      <c r="B25" s="91" t="s">
        <v>6</v>
      </c>
      <c r="C25" s="76" t="s">
        <v>755</v>
      </c>
      <c r="D25" s="116" t="s">
        <v>13</v>
      </c>
      <c r="E25" s="31">
        <v>870411.86</v>
      </c>
      <c r="G25" s="30"/>
      <c r="I25" s="13"/>
      <c r="J25" s="13"/>
    </row>
    <row r="26" spans="1:10" s="2" customFormat="1" ht="12.75" customHeight="1" x14ac:dyDescent="0.2">
      <c r="A26" s="89">
        <v>45078</v>
      </c>
      <c r="B26" s="91" t="s">
        <v>6</v>
      </c>
      <c r="C26" s="76" t="s">
        <v>759</v>
      </c>
      <c r="D26" s="116" t="s">
        <v>13</v>
      </c>
      <c r="E26" s="31">
        <v>2936201.35</v>
      </c>
      <c r="G26" s="30"/>
      <c r="I26" s="13"/>
      <c r="J26" s="13"/>
    </row>
    <row r="27" spans="1:10" s="2" customFormat="1" ht="12.75" customHeight="1" x14ac:dyDescent="0.2">
      <c r="A27" s="89">
        <v>45078</v>
      </c>
      <c r="B27" s="91" t="s">
        <v>6</v>
      </c>
      <c r="C27" s="76" t="s">
        <v>748</v>
      </c>
      <c r="D27" s="116" t="s">
        <v>13</v>
      </c>
      <c r="E27" s="31">
        <v>808955.29</v>
      </c>
      <c r="G27" s="30"/>
      <c r="I27" s="13"/>
      <c r="J27" s="13"/>
    </row>
    <row r="28" spans="1:10" s="2" customFormat="1" ht="12.75" customHeight="1" x14ac:dyDescent="0.2">
      <c r="A28" s="89">
        <v>45078</v>
      </c>
      <c r="B28" s="91" t="s">
        <v>6</v>
      </c>
      <c r="C28" s="76" t="s">
        <v>765</v>
      </c>
      <c r="D28" s="116" t="s">
        <v>13</v>
      </c>
      <c r="E28" s="31">
        <v>629556.93000000005</v>
      </c>
      <c r="G28" s="30"/>
      <c r="I28" s="13"/>
      <c r="J28" s="13"/>
    </row>
    <row r="29" spans="1:10" s="2" customFormat="1" ht="12.75" customHeight="1" x14ac:dyDescent="0.2">
      <c r="A29" s="89">
        <v>45078</v>
      </c>
      <c r="B29" s="91" t="s">
        <v>6</v>
      </c>
      <c r="C29" s="76" t="s">
        <v>750</v>
      </c>
      <c r="D29" s="116" t="s">
        <v>13</v>
      </c>
      <c r="E29" s="31">
        <v>2560989.31</v>
      </c>
      <c r="G29" s="30"/>
      <c r="I29" s="13"/>
      <c r="J29" s="13"/>
    </row>
    <row r="30" spans="1:10" s="2" customFormat="1" ht="12.75" customHeight="1" x14ac:dyDescent="0.2">
      <c r="A30" s="89">
        <v>45078</v>
      </c>
      <c r="B30" s="91" t="s">
        <v>6</v>
      </c>
      <c r="C30" s="76" t="s">
        <v>796</v>
      </c>
      <c r="D30" s="116" t="s">
        <v>13</v>
      </c>
      <c r="E30" s="31">
        <v>8081</v>
      </c>
      <c r="G30" s="30"/>
      <c r="I30" s="13"/>
      <c r="J30" s="13"/>
    </row>
    <row r="31" spans="1:10" s="2" customFormat="1" ht="12.75" customHeight="1" x14ac:dyDescent="0.2">
      <c r="A31" s="89">
        <v>45078</v>
      </c>
      <c r="B31" s="91" t="s">
        <v>6</v>
      </c>
      <c r="C31" s="76" t="s">
        <v>146</v>
      </c>
      <c r="D31" s="116" t="s">
        <v>13</v>
      </c>
      <c r="E31" s="31">
        <v>187902</v>
      </c>
      <c r="G31" s="30"/>
      <c r="I31" s="13"/>
      <c r="J31" s="13"/>
    </row>
    <row r="32" spans="1:10" s="2" customFormat="1" ht="12.75" customHeight="1" x14ac:dyDescent="0.2">
      <c r="A32" s="89">
        <v>45078</v>
      </c>
      <c r="B32" s="91" t="s">
        <v>6</v>
      </c>
      <c r="C32" s="76" t="s">
        <v>122</v>
      </c>
      <c r="D32" s="116" t="s">
        <v>13</v>
      </c>
      <c r="E32" s="31">
        <v>11014</v>
      </c>
      <c r="G32" s="30"/>
      <c r="I32" s="13"/>
      <c r="J32" s="13"/>
    </row>
    <row r="33" spans="1:10" s="2" customFormat="1" ht="12.75" customHeight="1" x14ac:dyDescent="0.2">
      <c r="A33" s="89">
        <v>45078</v>
      </c>
      <c r="B33" s="91" t="s">
        <v>6</v>
      </c>
      <c r="C33" s="76" t="s">
        <v>271</v>
      </c>
      <c r="D33" s="116" t="s">
        <v>13</v>
      </c>
      <c r="E33" s="31">
        <v>127034</v>
      </c>
      <c r="G33" s="30"/>
      <c r="I33" s="13"/>
      <c r="J33" s="13"/>
    </row>
    <row r="34" spans="1:10" s="2" customFormat="1" ht="12.75" customHeight="1" x14ac:dyDescent="0.2">
      <c r="A34" s="89">
        <v>45078</v>
      </c>
      <c r="B34" s="91" t="s">
        <v>6</v>
      </c>
      <c r="C34" s="76" t="s">
        <v>149</v>
      </c>
      <c r="D34" s="116" t="s">
        <v>13</v>
      </c>
      <c r="E34" s="31">
        <v>350570</v>
      </c>
      <c r="G34" s="30"/>
      <c r="I34" s="13"/>
      <c r="J34" s="13"/>
    </row>
    <row r="35" spans="1:10" s="2" customFormat="1" ht="12.75" customHeight="1" x14ac:dyDescent="0.2">
      <c r="A35" s="89">
        <v>45078</v>
      </c>
      <c r="B35" s="91" t="s">
        <v>6</v>
      </c>
      <c r="C35" s="76" t="s">
        <v>296</v>
      </c>
      <c r="D35" s="116" t="s">
        <v>13</v>
      </c>
      <c r="E35" s="31">
        <v>100000</v>
      </c>
      <c r="G35" s="30"/>
      <c r="I35" s="13"/>
      <c r="J35" s="13"/>
    </row>
    <row r="36" spans="1:10" s="2" customFormat="1" ht="12.75" customHeight="1" x14ac:dyDescent="0.2">
      <c r="A36" s="89">
        <v>45078</v>
      </c>
      <c r="B36" s="91" t="s">
        <v>6</v>
      </c>
      <c r="C36" s="76" t="s">
        <v>450</v>
      </c>
      <c r="D36" s="116" t="s">
        <v>13</v>
      </c>
      <c r="E36" s="31">
        <v>1040130</v>
      </c>
      <c r="G36" s="30"/>
      <c r="I36" s="13"/>
      <c r="J36" s="13"/>
    </row>
    <row r="37" spans="1:10" s="2" customFormat="1" ht="12.75" customHeight="1" x14ac:dyDescent="0.2">
      <c r="A37" s="89">
        <v>45078</v>
      </c>
      <c r="B37" s="91" t="s">
        <v>6</v>
      </c>
      <c r="C37" s="76" t="s">
        <v>272</v>
      </c>
      <c r="D37" s="116" t="s">
        <v>13</v>
      </c>
      <c r="E37" s="31">
        <v>3649</v>
      </c>
      <c r="G37" s="30"/>
      <c r="I37" s="13"/>
      <c r="J37" s="13"/>
    </row>
    <row r="38" spans="1:10" s="2" customFormat="1" ht="12.75" customHeight="1" x14ac:dyDescent="0.2">
      <c r="A38" s="89">
        <v>45078</v>
      </c>
      <c r="B38" s="91" t="s">
        <v>6</v>
      </c>
      <c r="C38" s="76" t="s">
        <v>538</v>
      </c>
      <c r="D38" s="116" t="s">
        <v>13</v>
      </c>
      <c r="E38" s="31">
        <v>8236</v>
      </c>
      <c r="G38" s="30"/>
      <c r="I38" s="13"/>
      <c r="J38" s="13"/>
    </row>
    <row r="39" spans="1:10" s="2" customFormat="1" ht="12.75" customHeight="1" x14ac:dyDescent="0.2">
      <c r="A39" s="89">
        <v>45078</v>
      </c>
      <c r="B39" s="91" t="s">
        <v>6</v>
      </c>
      <c r="C39" s="76" t="s">
        <v>1033</v>
      </c>
      <c r="D39" s="116" t="s">
        <v>13</v>
      </c>
      <c r="E39" s="31">
        <v>313390</v>
      </c>
      <c r="G39" s="30"/>
      <c r="I39" s="13"/>
      <c r="J39" s="13"/>
    </row>
    <row r="40" spans="1:10" s="2" customFormat="1" ht="12.75" customHeight="1" x14ac:dyDescent="0.2">
      <c r="A40" s="89">
        <v>45078</v>
      </c>
      <c r="B40" s="91" t="s">
        <v>6</v>
      </c>
      <c r="C40" s="76" t="s">
        <v>503</v>
      </c>
      <c r="D40" s="116" t="s">
        <v>13</v>
      </c>
      <c r="E40" s="31">
        <v>8350.0400000000009</v>
      </c>
      <c r="G40" s="30"/>
      <c r="I40" s="13"/>
      <c r="J40" s="13"/>
    </row>
    <row r="41" spans="1:10" s="2" customFormat="1" ht="12.75" customHeight="1" x14ac:dyDescent="0.2">
      <c r="A41" s="89">
        <v>45078</v>
      </c>
      <c r="B41" s="91" t="s">
        <v>6</v>
      </c>
      <c r="C41" s="76" t="s">
        <v>511</v>
      </c>
      <c r="D41" s="116" t="s">
        <v>13</v>
      </c>
      <c r="E41" s="31">
        <v>9109</v>
      </c>
      <c r="G41" s="30"/>
      <c r="I41" s="13"/>
      <c r="J41" s="13"/>
    </row>
    <row r="42" spans="1:10" s="2" customFormat="1" ht="12.75" customHeight="1" x14ac:dyDescent="0.2">
      <c r="A42" s="89">
        <v>45078</v>
      </c>
      <c r="B42" s="91" t="s">
        <v>6</v>
      </c>
      <c r="C42" s="76" t="s">
        <v>633</v>
      </c>
      <c r="D42" s="116" t="s">
        <v>13</v>
      </c>
      <c r="E42" s="31">
        <v>1006431</v>
      </c>
      <c r="G42" s="30"/>
      <c r="I42" s="13"/>
      <c r="J42" s="13"/>
    </row>
    <row r="43" spans="1:10" s="2" customFormat="1" ht="12.75" customHeight="1" x14ac:dyDescent="0.2">
      <c r="A43" s="89">
        <v>45078</v>
      </c>
      <c r="B43" s="91" t="s">
        <v>6</v>
      </c>
      <c r="C43" s="76" t="s">
        <v>240</v>
      </c>
      <c r="D43" s="116" t="s">
        <v>13</v>
      </c>
      <c r="E43" s="31">
        <v>4085</v>
      </c>
      <c r="G43" s="30"/>
      <c r="I43" s="13"/>
      <c r="J43" s="13"/>
    </row>
    <row r="44" spans="1:10" s="2" customFormat="1" ht="12.75" customHeight="1" x14ac:dyDescent="0.2">
      <c r="A44" s="89">
        <v>45078</v>
      </c>
      <c r="B44" s="91" t="s">
        <v>6</v>
      </c>
      <c r="C44" s="76" t="s">
        <v>234</v>
      </c>
      <c r="D44" s="116" t="s">
        <v>13</v>
      </c>
      <c r="E44" s="31">
        <v>8732</v>
      </c>
      <c r="G44" s="30"/>
      <c r="I44" s="13"/>
      <c r="J44" s="13"/>
    </row>
    <row r="45" spans="1:10" s="2" customFormat="1" ht="12.75" customHeight="1" x14ac:dyDescent="0.2">
      <c r="A45" s="89">
        <v>45078</v>
      </c>
      <c r="B45" s="91" t="s">
        <v>6</v>
      </c>
      <c r="C45" s="76" t="s">
        <v>276</v>
      </c>
      <c r="D45" s="116" t="s">
        <v>13</v>
      </c>
      <c r="E45" s="31">
        <v>51289</v>
      </c>
      <c r="G45" s="30"/>
      <c r="I45" s="13"/>
      <c r="J45" s="13"/>
    </row>
    <row r="46" spans="1:10" s="2" customFormat="1" ht="12.75" customHeight="1" x14ac:dyDescent="0.2">
      <c r="A46" s="89">
        <v>45078</v>
      </c>
      <c r="B46" s="91" t="s">
        <v>6</v>
      </c>
      <c r="C46" s="76" t="s">
        <v>1034</v>
      </c>
      <c r="D46" s="116" t="s">
        <v>13</v>
      </c>
      <c r="E46" s="31">
        <v>2561149</v>
      </c>
      <c r="G46" s="30"/>
      <c r="I46" s="13"/>
      <c r="J46" s="13"/>
    </row>
    <row r="47" spans="1:10" s="2" customFormat="1" ht="12.75" customHeight="1" x14ac:dyDescent="0.2">
      <c r="A47" s="89">
        <v>45078</v>
      </c>
      <c r="B47" s="91" t="s">
        <v>6</v>
      </c>
      <c r="C47" s="76" t="s">
        <v>283</v>
      </c>
      <c r="D47" s="116" t="s">
        <v>13</v>
      </c>
      <c r="E47" s="31">
        <v>15620863</v>
      </c>
      <c r="G47" s="30"/>
      <c r="I47" s="13"/>
      <c r="J47" s="13"/>
    </row>
    <row r="48" spans="1:10" s="2" customFormat="1" ht="12.75" customHeight="1" x14ac:dyDescent="0.2">
      <c r="A48" s="89">
        <v>45078</v>
      </c>
      <c r="B48" s="91" t="s">
        <v>6</v>
      </c>
      <c r="C48" s="76" t="s">
        <v>612</v>
      </c>
      <c r="D48" s="116" t="s">
        <v>13</v>
      </c>
      <c r="E48" s="31">
        <v>503932</v>
      </c>
      <c r="G48" s="30"/>
      <c r="I48" s="13"/>
      <c r="J48" s="13"/>
    </row>
    <row r="49" spans="1:10" s="2" customFormat="1" ht="12.75" customHeight="1" x14ac:dyDescent="0.2">
      <c r="A49" s="89">
        <v>45078</v>
      </c>
      <c r="B49" s="91" t="s">
        <v>6</v>
      </c>
      <c r="C49" s="76" t="s">
        <v>403</v>
      </c>
      <c r="D49" s="116" t="s">
        <v>13</v>
      </c>
      <c r="E49" s="31">
        <v>1526050</v>
      </c>
      <c r="G49" s="30"/>
      <c r="I49" s="13"/>
      <c r="J49" s="13"/>
    </row>
    <row r="50" spans="1:10" s="2" customFormat="1" ht="12.75" customHeight="1" x14ac:dyDescent="0.2">
      <c r="A50" s="89">
        <v>45078</v>
      </c>
      <c r="B50" s="91" t="s">
        <v>6</v>
      </c>
      <c r="C50" s="76" t="s">
        <v>1031</v>
      </c>
      <c r="D50" s="116" t="s">
        <v>13</v>
      </c>
      <c r="E50" s="31">
        <v>35398.179999999993</v>
      </c>
      <c r="G50" s="30"/>
      <c r="I50" s="13"/>
      <c r="J50" s="13"/>
    </row>
    <row r="51" spans="1:10" s="2" customFormat="1" ht="12.75" customHeight="1" x14ac:dyDescent="0.2">
      <c r="A51" s="89">
        <v>45078</v>
      </c>
      <c r="B51" s="91" t="s">
        <v>6</v>
      </c>
      <c r="C51" s="76" t="s">
        <v>15</v>
      </c>
      <c r="D51" s="116" t="s">
        <v>13</v>
      </c>
      <c r="E51" s="31">
        <v>844.29</v>
      </c>
      <c r="G51" s="30"/>
      <c r="I51" s="13"/>
      <c r="J51" s="13"/>
    </row>
    <row r="52" spans="1:10" s="2" customFormat="1" ht="12.75" customHeight="1" x14ac:dyDescent="0.2">
      <c r="A52" s="89">
        <v>45078</v>
      </c>
      <c r="B52" s="91" t="s">
        <v>11</v>
      </c>
      <c r="C52" s="76" t="s">
        <v>64</v>
      </c>
      <c r="D52" s="116" t="s">
        <v>29</v>
      </c>
      <c r="E52" s="31"/>
      <c r="F52" s="2">
        <v>22126.18</v>
      </c>
      <c r="G52" s="30"/>
      <c r="I52" s="13"/>
      <c r="J52" s="13"/>
    </row>
    <row r="53" spans="1:10" s="2" customFormat="1" ht="12.75" customHeight="1" x14ac:dyDescent="0.2">
      <c r="A53" s="89">
        <v>45078</v>
      </c>
      <c r="B53" s="91" t="s">
        <v>11</v>
      </c>
      <c r="C53" s="76" t="s">
        <v>1031</v>
      </c>
      <c r="D53" s="116" t="s">
        <v>29</v>
      </c>
      <c r="E53" s="31"/>
      <c r="F53" s="2">
        <v>158406.78999999998</v>
      </c>
      <c r="G53" s="30"/>
      <c r="I53" s="13"/>
      <c r="J53" s="13"/>
    </row>
    <row r="54" spans="1:10" s="2" customFormat="1" ht="12.75" customHeight="1" x14ac:dyDescent="0.2">
      <c r="A54" s="89">
        <v>45078</v>
      </c>
      <c r="B54" s="91" t="s">
        <v>11</v>
      </c>
      <c r="C54" s="76" t="s">
        <v>102</v>
      </c>
      <c r="D54" s="116" t="s">
        <v>29</v>
      </c>
      <c r="E54" s="31"/>
      <c r="F54" s="2">
        <v>2526407</v>
      </c>
      <c r="G54" s="30"/>
      <c r="I54" s="13"/>
      <c r="J54" s="13"/>
    </row>
    <row r="55" spans="1:10" s="2" customFormat="1" ht="12.75" customHeight="1" x14ac:dyDescent="0.2">
      <c r="A55" s="89">
        <v>45078</v>
      </c>
      <c r="B55" s="91" t="s">
        <v>11</v>
      </c>
      <c r="C55" s="76" t="s">
        <v>92</v>
      </c>
      <c r="D55" s="116" t="s">
        <v>29</v>
      </c>
      <c r="E55" s="31"/>
      <c r="F55" s="2">
        <v>16615</v>
      </c>
      <c r="G55" s="30"/>
      <c r="I55" s="13"/>
      <c r="J55" s="13"/>
    </row>
    <row r="56" spans="1:10" s="2" customFormat="1" ht="12.75" customHeight="1" x14ac:dyDescent="0.2">
      <c r="A56" s="89">
        <v>45078</v>
      </c>
      <c r="B56" s="91" t="s">
        <v>11</v>
      </c>
      <c r="C56" s="76" t="s">
        <v>518</v>
      </c>
      <c r="D56" s="116" t="s">
        <v>29</v>
      </c>
      <c r="E56" s="31"/>
      <c r="F56" s="2">
        <v>20302</v>
      </c>
      <c r="G56" s="30"/>
      <c r="I56" s="13"/>
      <c r="J56" s="13"/>
    </row>
    <row r="57" spans="1:10" s="2" customFormat="1" ht="12.75" customHeight="1" x14ac:dyDescent="0.2">
      <c r="A57" s="89">
        <v>45078</v>
      </c>
      <c r="B57" s="91" t="s">
        <v>11</v>
      </c>
      <c r="C57" s="76" t="s">
        <v>301</v>
      </c>
      <c r="D57" s="116" t="s">
        <v>29</v>
      </c>
      <c r="E57" s="31"/>
      <c r="F57" s="2">
        <v>2473142</v>
      </c>
      <c r="G57" s="30"/>
      <c r="I57" s="13"/>
      <c r="J57" s="13"/>
    </row>
    <row r="58" spans="1:10" s="2" customFormat="1" ht="12.75" customHeight="1" x14ac:dyDescent="0.2">
      <c r="A58" s="89">
        <v>45078</v>
      </c>
      <c r="B58" s="91" t="s">
        <v>11</v>
      </c>
      <c r="C58" s="76" t="s">
        <v>1032</v>
      </c>
      <c r="D58" s="116" t="s">
        <v>29</v>
      </c>
      <c r="E58" s="31"/>
      <c r="F58" s="2">
        <v>3780</v>
      </c>
      <c r="G58" s="30"/>
      <c r="I58" s="13"/>
      <c r="J58" s="13"/>
    </row>
    <row r="59" spans="1:10" s="2" customFormat="1" ht="12.75" customHeight="1" x14ac:dyDescent="0.2">
      <c r="A59" s="89">
        <v>45078</v>
      </c>
      <c r="B59" s="91" t="s">
        <v>11</v>
      </c>
      <c r="C59" s="76" t="s">
        <v>770</v>
      </c>
      <c r="D59" s="116" t="s">
        <v>29</v>
      </c>
      <c r="E59" s="31"/>
      <c r="F59" s="2">
        <v>7497</v>
      </c>
      <c r="G59" s="30"/>
      <c r="I59" s="13"/>
      <c r="J59" s="13"/>
    </row>
    <row r="60" spans="1:10" s="2" customFormat="1" ht="12.75" customHeight="1" x14ac:dyDescent="0.2">
      <c r="A60" s="89">
        <v>45078</v>
      </c>
      <c r="B60" s="91" t="s">
        <v>11</v>
      </c>
      <c r="C60" s="76" t="s">
        <v>62</v>
      </c>
      <c r="D60" s="116" t="s">
        <v>29</v>
      </c>
      <c r="E60" s="31"/>
      <c r="F60" s="2">
        <v>25000</v>
      </c>
      <c r="G60" s="30"/>
      <c r="I60" s="13"/>
      <c r="J60" s="13"/>
    </row>
    <row r="61" spans="1:10" s="2" customFormat="1" ht="12.75" customHeight="1" x14ac:dyDescent="0.2">
      <c r="A61" s="89">
        <v>45078</v>
      </c>
      <c r="B61" s="91" t="s">
        <v>11</v>
      </c>
      <c r="C61" s="76" t="s">
        <v>34</v>
      </c>
      <c r="D61" s="116" t="s">
        <v>29</v>
      </c>
      <c r="E61" s="31"/>
      <c r="F61" s="2">
        <v>30000</v>
      </c>
      <c r="G61" s="30"/>
      <c r="I61" s="13"/>
      <c r="J61" s="13"/>
    </row>
    <row r="62" spans="1:10" s="2" customFormat="1" ht="12.75" customHeight="1" x14ac:dyDescent="0.2">
      <c r="A62" s="89">
        <v>45078</v>
      </c>
      <c r="B62" s="91" t="s">
        <v>11</v>
      </c>
      <c r="C62" s="76" t="s">
        <v>259</v>
      </c>
      <c r="D62" s="116" t="s">
        <v>29</v>
      </c>
      <c r="E62" s="31"/>
      <c r="F62" s="2">
        <v>3995.61</v>
      </c>
      <c r="G62" s="30"/>
      <c r="I62" s="13"/>
      <c r="J62" s="13"/>
    </row>
    <row r="63" spans="1:10" s="2" customFormat="1" ht="12.75" customHeight="1" x14ac:dyDescent="0.2">
      <c r="A63" s="89">
        <v>45078</v>
      </c>
      <c r="B63" s="91" t="s">
        <v>11</v>
      </c>
      <c r="C63" s="76" t="s">
        <v>287</v>
      </c>
      <c r="D63" s="116" t="s">
        <v>29</v>
      </c>
      <c r="E63" s="31"/>
      <c r="F63" s="2">
        <v>12111</v>
      </c>
      <c r="G63" s="30"/>
      <c r="I63" s="13"/>
      <c r="J63" s="13"/>
    </row>
    <row r="64" spans="1:10" s="2" customFormat="1" ht="12.75" customHeight="1" x14ac:dyDescent="0.2">
      <c r="A64" s="89">
        <v>45078</v>
      </c>
      <c r="B64" s="91" t="s">
        <v>11</v>
      </c>
      <c r="C64" s="76" t="s">
        <v>484</v>
      </c>
      <c r="D64" s="116" t="s">
        <v>29</v>
      </c>
      <c r="E64" s="31"/>
      <c r="F64" s="2">
        <v>5030</v>
      </c>
      <c r="G64" s="30"/>
      <c r="I64" s="13"/>
      <c r="J64" s="13"/>
    </row>
    <row r="65" spans="1:10" s="2" customFormat="1" ht="12.75" customHeight="1" x14ac:dyDescent="0.2">
      <c r="A65" s="89">
        <v>45078</v>
      </c>
      <c r="B65" s="91" t="s">
        <v>11</v>
      </c>
      <c r="C65" s="76" t="s">
        <v>662</v>
      </c>
      <c r="D65" s="116" t="s">
        <v>29</v>
      </c>
      <c r="E65" s="31"/>
      <c r="F65" s="2">
        <v>1500</v>
      </c>
      <c r="G65" s="30"/>
      <c r="I65" s="13"/>
      <c r="J65" s="13"/>
    </row>
    <row r="66" spans="1:10" s="2" customFormat="1" ht="12.75" customHeight="1" x14ac:dyDescent="0.2">
      <c r="A66" s="89">
        <v>45078</v>
      </c>
      <c r="B66" s="91" t="s">
        <v>11</v>
      </c>
      <c r="C66" s="76" t="s">
        <v>740</v>
      </c>
      <c r="D66" s="116" t="s">
        <v>29</v>
      </c>
      <c r="E66" s="31"/>
      <c r="F66" s="2">
        <v>44098</v>
      </c>
      <c r="G66" s="30"/>
      <c r="I66" s="13"/>
      <c r="J66" s="13"/>
    </row>
    <row r="67" spans="1:10" s="2" customFormat="1" ht="12.75" customHeight="1" x14ac:dyDescent="0.2">
      <c r="A67" s="89">
        <v>45078</v>
      </c>
      <c r="B67" s="91" t="s">
        <v>11</v>
      </c>
      <c r="C67" s="76" t="s">
        <v>715</v>
      </c>
      <c r="D67" s="116" t="s">
        <v>29</v>
      </c>
      <c r="E67" s="31"/>
      <c r="F67" s="2">
        <v>2899050</v>
      </c>
      <c r="G67" s="30"/>
      <c r="I67" s="13"/>
      <c r="J67" s="13"/>
    </row>
    <row r="68" spans="1:10" s="2" customFormat="1" ht="12.75" customHeight="1" x14ac:dyDescent="0.2">
      <c r="A68" s="89">
        <v>45078</v>
      </c>
      <c r="B68" s="91" t="s">
        <v>11</v>
      </c>
      <c r="C68" s="76" t="s">
        <v>107</v>
      </c>
      <c r="D68" s="116" t="s">
        <v>29</v>
      </c>
      <c r="E68" s="31"/>
      <c r="F68" s="2">
        <v>165091.72</v>
      </c>
      <c r="G68" s="30"/>
      <c r="I68" s="13"/>
      <c r="J68" s="13"/>
    </row>
    <row r="69" spans="1:10" s="2" customFormat="1" ht="12.75" customHeight="1" x14ac:dyDescent="0.2">
      <c r="A69" s="89">
        <v>45078</v>
      </c>
      <c r="B69" s="91" t="s">
        <v>11</v>
      </c>
      <c r="C69" s="76" t="s">
        <v>108</v>
      </c>
      <c r="D69" s="116" t="s">
        <v>29</v>
      </c>
      <c r="E69" s="31"/>
      <c r="F69" s="2">
        <v>271495.28000000003</v>
      </c>
      <c r="G69" s="30"/>
      <c r="I69" s="13"/>
      <c r="J69" s="13"/>
    </row>
    <row r="70" spans="1:10" s="2" customFormat="1" ht="12.75" customHeight="1" x14ac:dyDescent="0.2">
      <c r="A70" s="89">
        <v>45078</v>
      </c>
      <c r="B70" s="91" t="s">
        <v>11</v>
      </c>
      <c r="C70" s="76" t="s">
        <v>729</v>
      </c>
      <c r="D70" s="116" t="s">
        <v>29</v>
      </c>
      <c r="E70" s="31"/>
      <c r="F70" s="2">
        <v>12300</v>
      </c>
      <c r="G70" s="30"/>
      <c r="I70" s="13"/>
      <c r="J70" s="13"/>
    </row>
    <row r="71" spans="1:10" s="2" customFormat="1" ht="12.75" customHeight="1" x14ac:dyDescent="0.2">
      <c r="A71" s="89">
        <v>45078</v>
      </c>
      <c r="B71" s="91" t="s">
        <v>11</v>
      </c>
      <c r="C71" s="76" t="s">
        <v>1035</v>
      </c>
      <c r="D71" s="116" t="s">
        <v>29</v>
      </c>
      <c r="E71" s="31"/>
      <c r="F71" s="2">
        <v>69650</v>
      </c>
      <c r="G71" s="30"/>
      <c r="I71" s="13"/>
      <c r="J71" s="13"/>
    </row>
    <row r="72" spans="1:10" s="2" customFormat="1" ht="12.75" customHeight="1" x14ac:dyDescent="0.2">
      <c r="A72" s="89">
        <v>45078</v>
      </c>
      <c r="B72" s="91" t="s">
        <v>11</v>
      </c>
      <c r="C72" s="76" t="s">
        <v>602</v>
      </c>
      <c r="D72" s="116" t="s">
        <v>29</v>
      </c>
      <c r="E72" s="31"/>
      <c r="F72" s="2">
        <v>7513</v>
      </c>
      <c r="G72" s="30"/>
      <c r="I72" s="13"/>
      <c r="J72" s="13"/>
    </row>
    <row r="73" spans="1:10" s="2" customFormat="1" ht="12.75" customHeight="1" x14ac:dyDescent="0.2">
      <c r="A73" s="89">
        <v>45078</v>
      </c>
      <c r="B73" s="91" t="s">
        <v>11</v>
      </c>
      <c r="C73" s="76" t="s">
        <v>314</v>
      </c>
      <c r="D73" s="116" t="s">
        <v>29</v>
      </c>
      <c r="E73" s="31"/>
      <c r="F73" s="2">
        <v>84031</v>
      </c>
      <c r="G73" s="30"/>
      <c r="I73" s="13"/>
      <c r="J73" s="13"/>
    </row>
    <row r="74" spans="1:10" s="2" customFormat="1" ht="12.75" customHeight="1" x14ac:dyDescent="0.2">
      <c r="A74" s="89">
        <v>45078</v>
      </c>
      <c r="B74" s="91" t="s">
        <v>11</v>
      </c>
      <c r="C74" s="76" t="s">
        <v>1036</v>
      </c>
      <c r="D74" s="116" t="s">
        <v>29</v>
      </c>
      <c r="E74" s="31"/>
      <c r="F74" s="2">
        <v>35640</v>
      </c>
      <c r="G74" s="30"/>
      <c r="I74" s="13"/>
      <c r="J74" s="13"/>
    </row>
    <row r="75" spans="1:10" s="2" customFormat="1" ht="12.75" customHeight="1" x14ac:dyDescent="0.2">
      <c r="A75" s="89">
        <v>45078</v>
      </c>
      <c r="B75" s="91" t="s">
        <v>11</v>
      </c>
      <c r="C75" s="76" t="s">
        <v>437</v>
      </c>
      <c r="D75" s="116" t="s">
        <v>29</v>
      </c>
      <c r="E75" s="31"/>
      <c r="F75" s="2">
        <v>18652</v>
      </c>
      <c r="G75" s="30"/>
      <c r="I75" s="13"/>
      <c r="J75" s="13"/>
    </row>
    <row r="76" spans="1:10" s="2" customFormat="1" ht="12.75" customHeight="1" x14ac:dyDescent="0.2">
      <c r="A76" s="89">
        <v>45078</v>
      </c>
      <c r="B76" s="91" t="s">
        <v>11</v>
      </c>
      <c r="C76" s="76" t="s">
        <v>787</v>
      </c>
      <c r="D76" s="116" t="s">
        <v>29</v>
      </c>
      <c r="E76" s="31"/>
      <c r="F76" s="2">
        <v>47879.92</v>
      </c>
      <c r="G76" s="30"/>
      <c r="I76" s="13"/>
      <c r="J76" s="13"/>
    </row>
    <row r="77" spans="1:10" s="2" customFormat="1" ht="12.75" customHeight="1" x14ac:dyDescent="0.2">
      <c r="A77" s="89">
        <v>45078</v>
      </c>
      <c r="B77" s="91" t="s">
        <v>11</v>
      </c>
      <c r="C77" s="76" t="s">
        <v>415</v>
      </c>
      <c r="D77" s="116" t="s">
        <v>29</v>
      </c>
      <c r="E77" s="31"/>
      <c r="F77" s="2">
        <v>20768</v>
      </c>
      <c r="G77" s="30"/>
      <c r="I77" s="13"/>
      <c r="J77" s="13"/>
    </row>
    <row r="78" spans="1:10" s="2" customFormat="1" ht="12.75" customHeight="1" x14ac:dyDescent="0.2">
      <c r="A78" s="89">
        <v>45078</v>
      </c>
      <c r="B78" s="91" t="s">
        <v>11</v>
      </c>
      <c r="C78" s="76" t="s">
        <v>196</v>
      </c>
      <c r="D78" s="116" t="s">
        <v>29</v>
      </c>
      <c r="E78" s="31"/>
      <c r="F78" s="2">
        <v>57858</v>
      </c>
      <c r="G78" s="30"/>
      <c r="I78" s="13"/>
      <c r="J78" s="13"/>
    </row>
    <row r="79" spans="1:10" s="2" customFormat="1" ht="12.75" customHeight="1" x14ac:dyDescent="0.2">
      <c r="A79" s="89">
        <v>45078</v>
      </c>
      <c r="B79" s="91" t="s">
        <v>11</v>
      </c>
      <c r="C79" s="76" t="s">
        <v>222</v>
      </c>
      <c r="D79" s="116" t="s">
        <v>29</v>
      </c>
      <c r="E79" s="31"/>
      <c r="F79" s="2">
        <v>2090</v>
      </c>
      <c r="G79" s="30"/>
      <c r="I79" s="13"/>
      <c r="J79" s="13"/>
    </row>
    <row r="80" spans="1:10" s="2" customFormat="1" ht="12.75" customHeight="1" x14ac:dyDescent="0.2">
      <c r="A80" s="89">
        <v>45078</v>
      </c>
      <c r="B80" s="91" t="s">
        <v>11</v>
      </c>
      <c r="C80" s="76" t="s">
        <v>96</v>
      </c>
      <c r="D80" s="116" t="s">
        <v>29</v>
      </c>
      <c r="E80" s="31"/>
      <c r="F80" s="2">
        <v>5999</v>
      </c>
      <c r="G80" s="30"/>
      <c r="I80" s="13"/>
      <c r="J80" s="13"/>
    </row>
    <row r="81" spans="1:14" s="2" customFormat="1" ht="12.75" customHeight="1" x14ac:dyDescent="0.2">
      <c r="A81" s="89">
        <v>45078</v>
      </c>
      <c r="B81" s="91" t="s">
        <v>11</v>
      </c>
      <c r="C81" s="76" t="s">
        <v>521</v>
      </c>
      <c r="D81" s="116" t="s">
        <v>29</v>
      </c>
      <c r="E81" s="31"/>
      <c r="F81" s="2">
        <v>57420</v>
      </c>
      <c r="G81" s="30"/>
      <c r="I81" s="13"/>
      <c r="J81" s="13"/>
    </row>
    <row r="82" spans="1:14" s="2" customFormat="1" ht="12.75" customHeight="1" x14ac:dyDescent="0.2">
      <c r="A82" s="89">
        <v>45078</v>
      </c>
      <c r="B82" s="91" t="s">
        <v>11</v>
      </c>
      <c r="C82" s="76" t="s">
        <v>57</v>
      </c>
      <c r="D82" s="116" t="s">
        <v>29</v>
      </c>
      <c r="E82" s="31"/>
      <c r="F82" s="2">
        <v>10500000</v>
      </c>
      <c r="G82" s="30"/>
      <c r="I82" s="13"/>
      <c r="J82" s="13"/>
    </row>
    <row r="83" spans="1:14" s="2" customFormat="1" ht="12.75" customHeight="1" x14ac:dyDescent="0.2">
      <c r="A83" s="89">
        <v>45078</v>
      </c>
      <c r="B83" s="91" t="s">
        <v>11</v>
      </c>
      <c r="C83" s="76" t="s">
        <v>734</v>
      </c>
      <c r="D83" s="116" t="s">
        <v>29</v>
      </c>
      <c r="E83" s="31"/>
      <c r="F83" s="2">
        <v>168742</v>
      </c>
      <c r="G83" s="30"/>
      <c r="I83" s="13"/>
      <c r="J83" s="13"/>
    </row>
    <row r="84" spans="1:14" s="2" customFormat="1" ht="12.75" customHeight="1" x14ac:dyDescent="0.2">
      <c r="A84" s="89">
        <v>45078</v>
      </c>
      <c r="B84" s="91" t="s">
        <v>11</v>
      </c>
      <c r="C84" s="76" t="s">
        <v>404</v>
      </c>
      <c r="D84" s="116" t="s">
        <v>29</v>
      </c>
      <c r="E84" s="31"/>
      <c r="F84" s="2">
        <v>776494</v>
      </c>
      <c r="G84" s="30"/>
      <c r="I84" s="13"/>
      <c r="J84" s="13"/>
    </row>
    <row r="85" spans="1:14" s="2" customFormat="1" ht="12.75" customHeight="1" x14ac:dyDescent="0.2">
      <c r="A85" s="89">
        <v>45078</v>
      </c>
      <c r="B85" s="91" t="s">
        <v>11</v>
      </c>
      <c r="C85" s="76" t="s">
        <v>443</v>
      </c>
      <c r="D85" s="116" t="s">
        <v>29</v>
      </c>
      <c r="E85" s="31"/>
      <c r="F85" s="2">
        <v>700000</v>
      </c>
      <c r="G85" s="30"/>
      <c r="I85" s="13"/>
      <c r="J85" s="13"/>
    </row>
    <row r="86" spans="1:14" s="2" customFormat="1" ht="12.75" customHeight="1" x14ac:dyDescent="0.2">
      <c r="A86" s="89">
        <v>45078</v>
      </c>
      <c r="B86" s="91" t="s">
        <v>11</v>
      </c>
      <c r="C86" s="76" t="s">
        <v>198</v>
      </c>
      <c r="D86" s="116" t="s">
        <v>29</v>
      </c>
      <c r="E86" s="31"/>
      <c r="F86" s="2">
        <v>700000</v>
      </c>
      <c r="G86" s="30"/>
      <c r="I86" s="13"/>
      <c r="J86" s="13"/>
    </row>
    <row r="87" spans="1:14" s="2" customFormat="1" ht="12.75" customHeight="1" x14ac:dyDescent="0.2">
      <c r="A87" s="89">
        <v>45078</v>
      </c>
      <c r="B87" s="91" t="s">
        <v>11</v>
      </c>
      <c r="C87" s="76" t="s">
        <v>15</v>
      </c>
      <c r="D87" s="116" t="s">
        <v>29</v>
      </c>
      <c r="E87" s="31"/>
      <c r="F87" s="2">
        <v>243909.9</v>
      </c>
      <c r="G87" s="30"/>
      <c r="I87" s="13"/>
      <c r="J87" s="13"/>
    </row>
    <row r="88" spans="1:14" s="2" customFormat="1" ht="12.75" customHeight="1" x14ac:dyDescent="0.2">
      <c r="A88" s="89">
        <v>45078</v>
      </c>
      <c r="B88" s="91" t="s">
        <v>11</v>
      </c>
      <c r="C88" s="76" t="s">
        <v>500</v>
      </c>
      <c r="D88" s="116" t="s">
        <v>29</v>
      </c>
      <c r="E88" s="31"/>
      <c r="F88" s="2">
        <v>191228</v>
      </c>
      <c r="G88" s="30"/>
      <c r="I88" s="13"/>
      <c r="J88" s="13"/>
    </row>
    <row r="89" spans="1:14" s="2" customFormat="1" ht="12.75" customHeight="1" x14ac:dyDescent="0.2">
      <c r="A89" s="89">
        <v>45078</v>
      </c>
      <c r="B89" s="91" t="s">
        <v>11</v>
      </c>
      <c r="C89" s="76" t="s">
        <v>171</v>
      </c>
      <c r="D89" s="116" t="s">
        <v>29</v>
      </c>
      <c r="E89" s="31"/>
      <c r="F89" s="2">
        <v>5576</v>
      </c>
      <c r="G89" s="30"/>
      <c r="I89" s="13"/>
      <c r="J89" s="13"/>
    </row>
    <row r="90" spans="1:14" s="2" customFormat="1" ht="12.75" customHeight="1" x14ac:dyDescent="0.2">
      <c r="A90" s="89">
        <v>45078</v>
      </c>
      <c r="B90" s="91" t="s">
        <v>11</v>
      </c>
      <c r="C90" s="76" t="s">
        <v>98</v>
      </c>
      <c r="D90" s="116" t="s">
        <v>29</v>
      </c>
      <c r="E90" s="31"/>
      <c r="F90" s="2">
        <v>4870</v>
      </c>
      <c r="G90" s="30"/>
      <c r="I90" s="13"/>
      <c r="J90" s="13"/>
    </row>
    <row r="91" spans="1:14" s="2" customFormat="1" ht="12.75" customHeight="1" x14ac:dyDescent="0.2">
      <c r="A91" s="89">
        <v>45078</v>
      </c>
      <c r="B91" s="91" t="s">
        <v>11</v>
      </c>
      <c r="C91" s="76" t="s">
        <v>243</v>
      </c>
      <c r="D91" s="116" t="s">
        <v>29</v>
      </c>
      <c r="E91" s="31"/>
      <c r="F91" s="2">
        <v>3535.28</v>
      </c>
      <c r="G91" s="30"/>
      <c r="I91" s="13"/>
      <c r="J91" s="13"/>
    </row>
    <row r="92" spans="1:14" s="2" customFormat="1" ht="12.75" customHeight="1" x14ac:dyDescent="0.2">
      <c r="A92" s="89">
        <v>45078</v>
      </c>
      <c r="B92" s="91" t="s">
        <v>11</v>
      </c>
      <c r="C92" s="76" t="s">
        <v>533</v>
      </c>
      <c r="D92" s="116" t="s">
        <v>29</v>
      </c>
      <c r="E92" s="31"/>
      <c r="F92" s="2">
        <v>3386881</v>
      </c>
      <c r="G92" s="30"/>
      <c r="I92" s="13"/>
      <c r="J92" s="13"/>
      <c r="K92" s="25" t="s">
        <v>779</v>
      </c>
    </row>
    <row r="93" spans="1:14" s="2" customFormat="1" ht="12.75" customHeight="1" x14ac:dyDescent="0.25">
      <c r="A93" s="32"/>
      <c r="B93" s="33"/>
      <c r="C93" s="14"/>
      <c r="D93" s="34"/>
      <c r="E93" s="16">
        <f>SUM(E24:E92)</f>
        <v>31292353.25</v>
      </c>
      <c r="F93" s="16">
        <f>SUM(F24:F92)</f>
        <v>304573446.83999985</v>
      </c>
      <c r="G93" s="30"/>
      <c r="H93" s="1"/>
      <c r="I93" s="39">
        <v>273281093.58999997</v>
      </c>
      <c r="K93" s="92">
        <f>E94-I93</f>
        <v>0</v>
      </c>
      <c r="L93" s="41"/>
      <c r="M93" s="42"/>
    </row>
    <row r="94" spans="1:14" s="2" customFormat="1" ht="12.75" customHeight="1" x14ac:dyDescent="0.2">
      <c r="A94" s="36"/>
      <c r="B94" s="28" t="s">
        <v>11</v>
      </c>
      <c r="C94" s="19" t="s">
        <v>65</v>
      </c>
      <c r="D94" s="37"/>
      <c r="E94" s="38">
        <f>F93-E93</f>
        <v>273281093.58999985</v>
      </c>
      <c r="F94" s="22"/>
      <c r="G94" s="1"/>
      <c r="H94" s="1"/>
      <c r="J94" s="1"/>
      <c r="K94" s="1"/>
      <c r="L94" s="1"/>
      <c r="M94" s="1"/>
    </row>
    <row r="95" spans="1:14" s="2" customFormat="1" ht="12.75" customHeight="1" x14ac:dyDescent="0.2">
      <c r="A95" s="36"/>
      <c r="B95" s="28" t="s">
        <v>66</v>
      </c>
      <c r="C95" s="43" t="s">
        <v>67</v>
      </c>
      <c r="D95" s="43"/>
      <c r="E95" s="12">
        <v>59416310</v>
      </c>
      <c r="F95" s="22"/>
      <c r="G95" s="1"/>
      <c r="H95" s="40"/>
      <c r="I95" s="45">
        <v>180.53</v>
      </c>
      <c r="J95" s="46"/>
      <c r="K95" s="46"/>
      <c r="L95" s="13"/>
    </row>
    <row r="96" spans="1:14" s="2" customFormat="1" ht="12.75" customHeight="1" x14ac:dyDescent="0.25">
      <c r="A96" s="36"/>
      <c r="B96" s="28"/>
      <c r="C96" s="44" t="s">
        <v>68</v>
      </c>
      <c r="D96" s="43"/>
      <c r="E96" s="7">
        <f>E94+E95</f>
        <v>332697403.58999985</v>
      </c>
      <c r="F96" s="22"/>
      <c r="G96" s="1"/>
      <c r="H96" s="103" t="s">
        <v>69</v>
      </c>
      <c r="I96" s="45">
        <v>0</v>
      </c>
      <c r="J96" s="46"/>
      <c r="K96" s="46"/>
      <c r="N96" s="1"/>
    </row>
    <row r="97" spans="1:14" s="2" customFormat="1" x14ac:dyDescent="0.2">
      <c r="A97" s="24"/>
      <c r="B97" s="1"/>
      <c r="C97" s="14"/>
      <c r="D97" s="25"/>
      <c r="E97" s="1"/>
      <c r="H97" s="35" t="s">
        <v>70</v>
      </c>
      <c r="I97" s="45">
        <v>0</v>
      </c>
      <c r="J97" s="46">
        <f>+I98-D100</f>
        <v>0</v>
      </c>
      <c r="M97" s="2">
        <v>19.57</v>
      </c>
      <c r="N97" s="1"/>
    </row>
    <row r="98" spans="1:14" x14ac:dyDescent="0.2">
      <c r="C98" s="56"/>
      <c r="D98" s="56"/>
      <c r="E98" s="104"/>
      <c r="I98" s="49">
        <f>SUM(I95:I97)</f>
        <v>180.53</v>
      </c>
      <c r="J98" s="46"/>
      <c r="K98" s="46"/>
      <c r="L98" s="2"/>
      <c r="M98" s="2"/>
      <c r="N98" s="2"/>
    </row>
    <row r="99" spans="1:14" x14ac:dyDescent="0.2">
      <c r="C99" s="78" t="s">
        <v>575</v>
      </c>
      <c r="D99" s="48" t="s">
        <v>576</v>
      </c>
      <c r="E99" s="104"/>
      <c r="I99" s="2"/>
      <c r="J99" s="2"/>
      <c r="K99" s="2"/>
      <c r="L99" s="2"/>
      <c r="M99" s="2"/>
      <c r="N99" s="2"/>
    </row>
    <row r="100" spans="1:14" s="2" customFormat="1" x14ac:dyDescent="0.2">
      <c r="A100" s="24"/>
      <c r="B100" s="1"/>
      <c r="C100" s="47" t="s">
        <v>570</v>
      </c>
      <c r="D100" s="111">
        <v>180.53</v>
      </c>
      <c r="E100" s="104"/>
      <c r="G100" s="1"/>
      <c r="H100" s="110" t="s">
        <v>581</v>
      </c>
      <c r="N100" s="2" t="s">
        <v>535</v>
      </c>
    </row>
    <row r="101" spans="1:14" s="2" customFormat="1" x14ac:dyDescent="0.2">
      <c r="A101" s="24"/>
      <c r="B101" s="1"/>
      <c r="C101" s="47" t="s">
        <v>931</v>
      </c>
      <c r="D101" s="111">
        <v>0</v>
      </c>
      <c r="E101" s="104"/>
      <c r="G101" s="1"/>
      <c r="H101" s="110" t="s">
        <v>580</v>
      </c>
    </row>
    <row r="102" spans="1:14" s="2" customFormat="1" x14ac:dyDescent="0.2">
      <c r="A102" s="24"/>
      <c r="B102" s="1"/>
      <c r="C102" s="47" t="s">
        <v>572</v>
      </c>
      <c r="D102" s="111">
        <f>+D118/100000</f>
        <v>0</v>
      </c>
      <c r="E102" s="104"/>
      <c r="G102" s="1"/>
      <c r="H102" s="90" t="s">
        <v>587</v>
      </c>
    </row>
    <row r="103" spans="1:14" s="2" customFormat="1" x14ac:dyDescent="0.2">
      <c r="A103" s="24"/>
      <c r="B103" s="1"/>
      <c r="C103" s="108" t="s">
        <v>578</v>
      </c>
      <c r="D103" s="48">
        <f>SUM(D100:D102)</f>
        <v>180.53</v>
      </c>
      <c r="E103" s="104"/>
      <c r="G103" s="1"/>
    </row>
    <row r="104" spans="1:14" s="2" customFormat="1" x14ac:dyDescent="0.2">
      <c r="A104" s="24"/>
      <c r="B104" s="1"/>
      <c r="C104" s="47"/>
      <c r="D104" s="107"/>
      <c r="E104" s="104"/>
      <c r="G104" s="1"/>
    </row>
    <row r="105" spans="1:14" s="2" customFormat="1" x14ac:dyDescent="0.2">
      <c r="A105" s="24"/>
      <c r="B105" s="1"/>
      <c r="C105" s="47" t="s">
        <v>932</v>
      </c>
      <c r="D105" s="111">
        <v>156.21</v>
      </c>
      <c r="E105" s="104"/>
      <c r="G105" s="1"/>
      <c r="H105" s="110" t="s">
        <v>581</v>
      </c>
    </row>
    <row r="106" spans="1:14" s="2" customFormat="1" x14ac:dyDescent="0.2">
      <c r="A106" s="24"/>
      <c r="B106" s="1"/>
      <c r="C106" s="47" t="s">
        <v>933</v>
      </c>
      <c r="D106" s="111">
        <v>0</v>
      </c>
      <c r="E106" s="104"/>
      <c r="G106" s="1"/>
      <c r="H106" s="110" t="s">
        <v>581</v>
      </c>
      <c r="J106" s="114" t="s">
        <v>713</v>
      </c>
    </row>
    <row r="107" spans="1:14" s="2" customFormat="1" x14ac:dyDescent="0.2">
      <c r="A107" s="24"/>
      <c r="B107" s="1"/>
      <c r="C107" s="78" t="s">
        <v>579</v>
      </c>
      <c r="D107" s="109">
        <f>D105+D106</f>
        <v>156.21</v>
      </c>
      <c r="E107" s="104"/>
      <c r="G107" s="1"/>
      <c r="I107" s="113"/>
      <c r="J107" s="113" t="s">
        <v>709</v>
      </c>
      <c r="K107" s="113" t="s">
        <v>710</v>
      </c>
      <c r="L107" s="113" t="s">
        <v>711</v>
      </c>
      <c r="M107" s="113" t="s">
        <v>712</v>
      </c>
    </row>
    <row r="108" spans="1:14" s="2" customFormat="1" x14ac:dyDescent="0.2">
      <c r="A108" s="24"/>
      <c r="B108" s="1"/>
      <c r="C108" s="105"/>
      <c r="D108" s="106"/>
      <c r="E108" s="104"/>
      <c r="G108" s="1"/>
      <c r="I108" s="113" t="s">
        <v>706</v>
      </c>
      <c r="J108" s="115"/>
      <c r="K108" s="115">
        <v>968.99</v>
      </c>
      <c r="L108" s="115">
        <v>968.99</v>
      </c>
      <c r="M108" s="113">
        <f>+J108+L108-K108</f>
        <v>0</v>
      </c>
    </row>
    <row r="109" spans="1:14" s="2" customFormat="1" x14ac:dyDescent="0.2">
      <c r="A109" s="24"/>
      <c r="B109" s="1"/>
      <c r="C109" s="78" t="s">
        <v>577</v>
      </c>
      <c r="D109" s="109">
        <f>D100+D107</f>
        <v>336.74</v>
      </c>
      <c r="E109" s="104"/>
      <c r="G109" s="1"/>
      <c r="I109" s="113" t="s">
        <v>707</v>
      </c>
      <c r="J109" s="115">
        <v>183.1</v>
      </c>
      <c r="K109" s="115">
        <v>1960.96</v>
      </c>
      <c r="L109" s="115">
        <v>2949.02</v>
      </c>
      <c r="M109" s="113">
        <f>+J109+L109-K109</f>
        <v>1171.1599999999999</v>
      </c>
    </row>
    <row r="110" spans="1:14" s="2" customFormat="1" x14ac:dyDescent="0.2">
      <c r="A110" s="24"/>
      <c r="B110" s="1"/>
      <c r="C110" s="56"/>
      <c r="D110" s="56"/>
      <c r="E110" s="104"/>
      <c r="G110" s="1"/>
      <c r="I110" s="113" t="s">
        <v>708</v>
      </c>
      <c r="J110" s="115">
        <v>1371.02</v>
      </c>
      <c r="K110" s="115">
        <v>11599.24</v>
      </c>
      <c r="L110" s="115">
        <v>11750.13</v>
      </c>
      <c r="M110" s="113">
        <f>+J110+L110-K110</f>
        <v>1521.9099999999999</v>
      </c>
    </row>
    <row r="111" spans="1:14" s="2" customFormat="1" ht="38.25" x14ac:dyDescent="0.2">
      <c r="A111" s="24"/>
      <c r="B111" s="1"/>
      <c r="C111" s="79" t="str">
        <f>"Particulars ( 01-04-2021 to "&amp;TEXT(A5,"dd-mm-yyyy")&amp;" )"</f>
        <v>Particulars ( 01-04-2021 to 01-06-2023 )</v>
      </c>
      <c r="D111" s="80" t="s">
        <v>73</v>
      </c>
      <c r="E111" s="80" t="s">
        <v>74</v>
      </c>
      <c r="F111" s="81" t="s">
        <v>75</v>
      </c>
      <c r="G111" s="80" t="s">
        <v>76</v>
      </c>
      <c r="J111" s="118">
        <f>SUM(J108:J110)</f>
        <v>1554.12</v>
      </c>
      <c r="K111" s="118">
        <f>SUM(K108:K110)</f>
        <v>14529.189999999999</v>
      </c>
      <c r="L111" s="118">
        <f>SUM(L108:L110)</f>
        <v>15668.14</v>
      </c>
      <c r="M111" s="118">
        <f>SUM(M108:M110)</f>
        <v>2693.0699999999997</v>
      </c>
    </row>
    <row r="112" spans="1:14" s="2" customFormat="1" x14ac:dyDescent="0.2">
      <c r="A112" s="24"/>
      <c r="B112" s="1"/>
      <c r="C112" s="50" t="s">
        <v>444</v>
      </c>
      <c r="D112" s="55">
        <f>+L108+L109+J109</f>
        <v>4101.1100000000006</v>
      </c>
      <c r="E112" s="55">
        <f>+K108+K109</f>
        <v>2929.95</v>
      </c>
      <c r="F112" s="55">
        <f>+D112-E112</f>
        <v>1171.1600000000008</v>
      </c>
      <c r="G112" s="55">
        <f>1500-F112</f>
        <v>328.83999999999924</v>
      </c>
      <c r="H112" s="2" t="s">
        <v>396</v>
      </c>
    </row>
    <row r="113" spans="1:13" s="2" customFormat="1" x14ac:dyDescent="0.2">
      <c r="A113" s="24"/>
      <c r="B113" s="1"/>
      <c r="C113" s="50" t="s">
        <v>71</v>
      </c>
      <c r="D113" s="55">
        <f>+J110+L110</f>
        <v>13121.15</v>
      </c>
      <c r="E113" s="55">
        <f>+K110</f>
        <v>11599.24</v>
      </c>
      <c r="F113" s="55">
        <f>+D113-E113</f>
        <v>1521.9099999999999</v>
      </c>
      <c r="G113" s="55">
        <f>1500+700-F113</f>
        <v>678.09000000000015</v>
      </c>
      <c r="H113" s="2" t="s">
        <v>396</v>
      </c>
    </row>
    <row r="114" spans="1:13" s="2" customFormat="1" x14ac:dyDescent="0.2">
      <c r="A114" s="24"/>
      <c r="B114" s="1"/>
      <c r="C114" s="14"/>
      <c r="D114" s="56"/>
      <c r="E114" s="13"/>
      <c r="G114" s="1"/>
    </row>
    <row r="115" spans="1:13" s="2" customFormat="1" x14ac:dyDescent="0.2">
      <c r="A115" s="215" t="s">
        <v>80</v>
      </c>
      <c r="B115" s="216"/>
      <c r="C115" s="216"/>
      <c r="D115" s="217"/>
      <c r="E115" s="69"/>
      <c r="F115" s="70"/>
      <c r="G115" s="1"/>
      <c r="H115" s="53"/>
    </row>
    <row r="116" spans="1:13" s="2" customFormat="1" x14ac:dyDescent="0.2">
      <c r="A116" s="71" t="s">
        <v>81</v>
      </c>
      <c r="B116" s="71"/>
      <c r="C116" s="72" t="s">
        <v>82</v>
      </c>
      <c r="D116" s="73" t="s">
        <v>83</v>
      </c>
      <c r="E116" s="69"/>
      <c r="F116" s="70"/>
      <c r="H116" s="53"/>
    </row>
    <row r="117" spans="1:13" s="2" customFormat="1" x14ac:dyDescent="0.2">
      <c r="A117" s="87"/>
      <c r="B117" s="120"/>
      <c r="C117" s="75"/>
      <c r="D117" s="88"/>
      <c r="G117" s="1"/>
      <c r="L117" s="1"/>
      <c r="M117" s="1"/>
    </row>
    <row r="118" spans="1:13" s="2" customFormat="1" x14ac:dyDescent="0.2">
      <c r="A118" s="87"/>
      <c r="B118" s="74"/>
      <c r="C118" s="75"/>
      <c r="D118" s="51">
        <f>SUM(D117:D117)</f>
        <v>0</v>
      </c>
      <c r="F118" s="2" t="s">
        <v>396</v>
      </c>
      <c r="G118" s="1"/>
      <c r="L118" s="1"/>
      <c r="M118" s="1"/>
    </row>
    <row r="119" spans="1:13" s="2" customFormat="1" x14ac:dyDescent="0.2">
      <c r="A119" s="24"/>
      <c r="B119" s="1"/>
      <c r="C119" s="14"/>
      <c r="D119" s="56"/>
      <c r="E119" s="13"/>
      <c r="G119" s="1"/>
      <c r="L119" s="1"/>
      <c r="M119" s="1"/>
    </row>
    <row r="120" spans="1:13" s="2" customFormat="1" x14ac:dyDescent="0.2">
      <c r="A120" s="24"/>
      <c r="B120" s="1"/>
      <c r="C120" s="218" t="s">
        <v>77</v>
      </c>
      <c r="D120" s="219"/>
      <c r="E120" s="219"/>
      <c r="F120" s="220"/>
      <c r="G120" s="1"/>
      <c r="L120" s="1"/>
      <c r="M120" s="1"/>
    </row>
    <row r="121" spans="1:13" s="2" customFormat="1" x14ac:dyDescent="0.2">
      <c r="A121" s="24"/>
      <c r="B121" s="1"/>
      <c r="C121" s="50"/>
      <c r="D121" s="57" t="s">
        <v>78</v>
      </c>
      <c r="E121" s="58" t="s">
        <v>79</v>
      </c>
      <c r="F121" s="57" t="s">
        <v>72</v>
      </c>
      <c r="G121" s="1"/>
      <c r="I121" s="1"/>
      <c r="J121" s="1"/>
      <c r="K121" s="1"/>
      <c r="L121" s="1"/>
      <c r="M121" s="1"/>
    </row>
    <row r="122" spans="1:13" s="2" customFormat="1" x14ac:dyDescent="0.2">
      <c r="A122" s="24"/>
      <c r="B122" s="1"/>
      <c r="C122" s="59" t="str">
        <f>"01-05-2023 to "&amp;TEXT(A5-2,"dd-mm-yyyy")</f>
        <v>01-05-2023 to 30-05-2023</v>
      </c>
      <c r="D122" s="60">
        <v>4673.03</v>
      </c>
      <c r="E122" s="60">
        <v>363.9</v>
      </c>
      <c r="F122" s="61">
        <f>SUM(D122:E122)</f>
        <v>5036.9299999999994</v>
      </c>
      <c r="G122" s="1"/>
    </row>
    <row r="123" spans="1:13" s="2" customFormat="1" x14ac:dyDescent="0.2">
      <c r="A123" s="24"/>
      <c r="B123" s="1"/>
      <c r="C123" s="62" t="str">
        <f>TEXT(A5-1,"dd-mm-yyyy")</f>
        <v>31-05-2023</v>
      </c>
      <c r="D123" s="60">
        <v>205.7</v>
      </c>
      <c r="E123" s="60">
        <v>6.51</v>
      </c>
      <c r="F123" s="61">
        <f>SUM(D123:E123)</f>
        <v>212.20999999999998</v>
      </c>
      <c r="G123" s="54"/>
      <c r="I123" s="1"/>
      <c r="J123" s="1"/>
      <c r="K123" s="1"/>
      <c r="L123" s="1"/>
      <c r="M123" s="1"/>
    </row>
    <row r="124" spans="1:13" s="2" customFormat="1" ht="13.5" thickBot="1" x14ac:dyDescent="0.25">
      <c r="A124" s="24"/>
      <c r="B124" s="1"/>
      <c r="C124" s="63" t="str">
        <f>"01-05-2023 to "&amp;TEXT(A5-1,"dd-mm-yyyy")</f>
        <v>01-05-2023 to 31-05-2023</v>
      </c>
      <c r="D124" s="64">
        <f>SUM(D122:D123)</f>
        <v>4878.7299999999996</v>
      </c>
      <c r="E124" s="64">
        <f>SUM(E122:E123)</f>
        <v>370.40999999999997</v>
      </c>
      <c r="F124" s="64">
        <f>SUM(F122:F123)</f>
        <v>5249.1399999999994</v>
      </c>
      <c r="G124" s="54"/>
      <c r="I124" s="1"/>
      <c r="J124" s="1"/>
      <c r="K124" s="1"/>
      <c r="L124" s="1"/>
      <c r="M124" s="1"/>
    </row>
    <row r="125" spans="1:13" s="2" customFormat="1" ht="13.5" thickTop="1" x14ac:dyDescent="0.2">
      <c r="A125" s="24"/>
      <c r="B125" s="1"/>
      <c r="C125" s="62"/>
      <c r="D125" s="65"/>
      <c r="E125" s="66"/>
      <c r="F125" s="67"/>
      <c r="G125" s="54"/>
      <c r="I125" s="1"/>
      <c r="J125" s="1"/>
      <c r="K125" s="1"/>
      <c r="L125" s="1"/>
      <c r="M125" s="1"/>
    </row>
    <row r="126" spans="1:13" s="2" customFormat="1" x14ac:dyDescent="0.2">
      <c r="A126" s="24"/>
      <c r="B126" s="1"/>
      <c r="C126" s="62" t="str">
        <f>"01-04-2023 to " &amp;C123</f>
        <v>01-04-2023 to 31-05-2023</v>
      </c>
      <c r="D126" s="68">
        <f>+D124+4343.67</f>
        <v>9222.4</v>
      </c>
      <c r="E126" s="68">
        <f>+E124+536.17</f>
        <v>906.57999999999993</v>
      </c>
      <c r="F126" s="68">
        <f>+F124+4879.84</f>
        <v>10128.98</v>
      </c>
      <c r="G126" s="54"/>
      <c r="I126" s="1"/>
      <c r="J126" s="1"/>
      <c r="K126" s="1"/>
      <c r="L126" s="1"/>
      <c r="M126" s="1"/>
    </row>
    <row r="127" spans="1:13" x14ac:dyDescent="0.2">
      <c r="C127" s="52"/>
      <c r="D127" s="85"/>
      <c r="E127" s="53"/>
      <c r="F127" s="53"/>
      <c r="G127" s="54"/>
      <c r="H127" s="2" t="s">
        <v>396</v>
      </c>
    </row>
    <row r="128" spans="1:13" s="2" customFormat="1" x14ac:dyDescent="0.2">
      <c r="A128" s="24"/>
      <c r="B128" s="1"/>
      <c r="C128" s="52"/>
      <c r="D128" s="85"/>
      <c r="E128" s="53"/>
      <c r="F128" s="53"/>
      <c r="G128" s="54"/>
      <c r="H128" s="53"/>
    </row>
    <row r="129" spans="3:10" x14ac:dyDescent="0.2">
      <c r="C129" s="52"/>
      <c r="D129" s="85"/>
      <c r="E129" s="53"/>
      <c r="F129" s="53"/>
      <c r="G129" s="54"/>
      <c r="H129" s="53" t="s">
        <v>396</v>
      </c>
    </row>
    <row r="130" spans="3:10" x14ac:dyDescent="0.2">
      <c r="C130" s="52"/>
      <c r="D130" s="85"/>
      <c r="E130" s="53"/>
      <c r="F130" s="53"/>
      <c r="G130" s="54"/>
      <c r="H130" s="53" t="s">
        <v>396</v>
      </c>
      <c r="J130" s="42"/>
    </row>
    <row r="131" spans="3:10" x14ac:dyDescent="0.2">
      <c r="G131" s="54"/>
      <c r="H131" s="53"/>
      <c r="I131" s="101"/>
    </row>
    <row r="132" spans="3:10" x14ac:dyDescent="0.2">
      <c r="G132" s="54"/>
      <c r="H132" s="53"/>
    </row>
    <row r="133" spans="3:10" x14ac:dyDescent="0.2">
      <c r="G133" s="54"/>
      <c r="H133" s="53"/>
    </row>
    <row r="134" spans="3:10" x14ac:dyDescent="0.2">
      <c r="H134" s="53"/>
    </row>
  </sheetData>
  <mergeCells count="6">
    <mergeCell ref="A1:G1"/>
    <mergeCell ref="A3:F3"/>
    <mergeCell ref="A22:F22"/>
    <mergeCell ref="A115:D115"/>
    <mergeCell ref="C120:F120"/>
    <mergeCell ref="A9:F9"/>
  </mergeCells>
  <conditionalFormatting sqref="G112:G113">
    <cfRule type="cellIs" dxfId="526" priority="2" operator="lessThan">
      <formula>0</formula>
    </cfRule>
  </conditionalFormatting>
  <conditionalFormatting sqref="C24">
    <cfRule type="duplicateValues" dxfId="525" priority="3"/>
  </conditionalFormatting>
  <conditionalFormatting sqref="C25:C49 C91 C51:C83">
    <cfRule type="duplicateValues" dxfId="524" priority="517"/>
  </conditionalFormatting>
  <conditionalFormatting sqref="C92">
    <cfRule type="duplicateValues" dxfId="523" priority="1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341">
    <pageSetUpPr fitToPage="1"/>
  </sheetPr>
  <dimension ref="A1:N94"/>
  <sheetViews>
    <sheetView topLeftCell="A73" zoomScaleNormal="100" workbookViewId="0">
      <selection activeCell="C46" sqref="C46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47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1038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45079</v>
      </c>
      <c r="B5" s="9" t="s">
        <v>6</v>
      </c>
      <c r="C5" s="10" t="s">
        <v>7</v>
      </c>
      <c r="D5" s="11"/>
      <c r="E5" s="12">
        <v>219062.70000000019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219062.70000000019</v>
      </c>
      <c r="F6" s="16"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+E6</f>
        <v>219062.70000000019</v>
      </c>
      <c r="F7" s="22"/>
      <c r="G7" s="23"/>
      <c r="H7" s="112"/>
      <c r="I7" s="112"/>
      <c r="J7" s="13"/>
    </row>
    <row r="8" spans="1:10" ht="12.75" customHeight="1" x14ac:dyDescent="0.4">
      <c r="H8" s="112"/>
      <c r="I8" s="112"/>
    </row>
    <row r="9" spans="1:10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12"/>
    </row>
    <row r="10" spans="1:10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12"/>
    </row>
    <row r="11" spans="1:10" s="2" customFormat="1" ht="14.25" customHeight="1" x14ac:dyDescent="0.4">
      <c r="A11" s="89">
        <v>45079</v>
      </c>
      <c r="B11" s="9" t="s">
        <v>6</v>
      </c>
      <c r="C11" s="10" t="s">
        <v>7</v>
      </c>
      <c r="D11" s="11"/>
      <c r="F11" s="12">
        <v>18883496.189999998</v>
      </c>
      <c r="G11" s="1"/>
      <c r="H11" s="112"/>
      <c r="I11" s="112"/>
    </row>
    <row r="12" spans="1:10" s="2" customFormat="1" ht="14.25" customHeight="1" x14ac:dyDescent="0.4">
      <c r="A12" s="89">
        <v>45079</v>
      </c>
      <c r="B12" s="9" t="s">
        <v>6</v>
      </c>
      <c r="C12" s="10" t="s">
        <v>1043</v>
      </c>
      <c r="D12" s="117" t="s">
        <v>13</v>
      </c>
      <c r="E12" s="12">
        <v>5916463.2699999996</v>
      </c>
      <c r="F12" s="12"/>
      <c r="G12" s="1"/>
      <c r="H12" s="112"/>
      <c r="I12" s="112"/>
    </row>
    <row r="13" spans="1:10" s="2" customFormat="1" ht="14.25" customHeight="1" x14ac:dyDescent="0.4">
      <c r="A13" s="89">
        <v>45079</v>
      </c>
      <c r="B13" s="9" t="s">
        <v>6</v>
      </c>
      <c r="C13" s="10" t="s">
        <v>156</v>
      </c>
      <c r="D13" s="11" t="s">
        <v>29</v>
      </c>
      <c r="E13" s="12"/>
      <c r="F13" s="12">
        <v>2543.5699999999997</v>
      </c>
      <c r="G13" s="1"/>
      <c r="H13" s="112"/>
      <c r="I13" s="112"/>
    </row>
    <row r="14" spans="1:10" s="2" customFormat="1" ht="14.25" customHeight="1" x14ac:dyDescent="0.4">
      <c r="A14" s="89">
        <v>45079</v>
      </c>
      <c r="B14" s="9" t="s">
        <v>6</v>
      </c>
      <c r="C14" s="10" t="s">
        <v>1041</v>
      </c>
      <c r="D14" s="11" t="s">
        <v>29</v>
      </c>
      <c r="E14" s="12"/>
      <c r="F14" s="12">
        <v>117075</v>
      </c>
      <c r="G14" s="1"/>
      <c r="H14" s="112"/>
      <c r="I14" s="112"/>
    </row>
    <row r="15" spans="1:10" s="2" customFormat="1" ht="14.25" customHeight="1" x14ac:dyDescent="0.4">
      <c r="A15" s="89">
        <v>45079</v>
      </c>
      <c r="B15" s="9" t="s">
        <v>6</v>
      </c>
      <c r="C15" s="10" t="s">
        <v>15</v>
      </c>
      <c r="D15" s="11" t="s">
        <v>29</v>
      </c>
      <c r="E15" s="12"/>
      <c r="F15" s="12">
        <v>83415</v>
      </c>
      <c r="G15" s="1"/>
      <c r="H15" s="112"/>
      <c r="I15" s="112"/>
    </row>
    <row r="16" spans="1:10" s="2" customFormat="1" ht="14.25" customHeight="1" x14ac:dyDescent="0.4">
      <c r="A16" s="89">
        <v>45079</v>
      </c>
      <c r="B16" s="9" t="s">
        <v>6</v>
      </c>
      <c r="C16" s="10" t="s">
        <v>57</v>
      </c>
      <c r="D16" s="11" t="s">
        <v>29</v>
      </c>
      <c r="E16" s="12"/>
      <c r="F16" s="12">
        <v>5200000</v>
      </c>
      <c r="G16" s="1"/>
      <c r="H16" s="112"/>
      <c r="I16" s="112"/>
    </row>
    <row r="17" spans="1:10" s="2" customFormat="1" ht="12.75" customHeight="1" x14ac:dyDescent="0.4">
      <c r="D17" s="15" t="s">
        <v>8</v>
      </c>
      <c r="E17" s="16">
        <f>+SUBTOTAL(9,E11:E16)</f>
        <v>5916463.2699999996</v>
      </c>
      <c r="F17" s="16">
        <f>+SUBTOTAL(9,F11:F16)</f>
        <v>24286529.759999998</v>
      </c>
      <c r="G17" s="1"/>
      <c r="H17" s="112"/>
      <c r="I17" s="112"/>
    </row>
    <row r="18" spans="1:10" s="2" customFormat="1" ht="12.75" customHeight="1" x14ac:dyDescent="0.4">
      <c r="A18" s="17"/>
      <c r="B18" s="18"/>
      <c r="C18" s="96" t="s">
        <v>9</v>
      </c>
      <c r="D18" s="20"/>
      <c r="E18" s="21">
        <f>+F17-E17</f>
        <v>18370066.489999998</v>
      </c>
      <c r="G18" s="23"/>
      <c r="H18" s="112"/>
      <c r="I18" s="112"/>
      <c r="J18" s="13"/>
    </row>
    <row r="19" spans="1:10" s="2" customFormat="1" ht="12.75" customHeight="1" x14ac:dyDescent="0.4">
      <c r="A19" s="24"/>
      <c r="B19" s="1"/>
      <c r="C19" s="14"/>
      <c r="D19" s="25"/>
      <c r="G19" s="23"/>
      <c r="H19" s="112"/>
      <c r="I19" s="112"/>
      <c r="J19" s="13"/>
    </row>
    <row r="20" spans="1:10" s="2" customFormat="1" ht="21.75" customHeight="1" x14ac:dyDescent="0.4">
      <c r="A20" s="214" t="s">
        <v>10</v>
      </c>
      <c r="B20" s="214"/>
      <c r="C20" s="214"/>
      <c r="D20" s="214"/>
      <c r="E20" s="214"/>
      <c r="F20" s="214"/>
      <c r="G20" s="13"/>
      <c r="H20" s="112"/>
      <c r="I20" s="112"/>
      <c r="J20" s="13"/>
    </row>
    <row r="21" spans="1:10" s="2" customFormat="1" ht="12.75" customHeight="1" x14ac:dyDescent="0.4">
      <c r="A21" s="26" t="s">
        <v>1</v>
      </c>
      <c r="B21" s="27" t="s">
        <v>2</v>
      </c>
      <c r="C21" s="5"/>
      <c r="D21" s="6" t="s">
        <v>3</v>
      </c>
      <c r="E21" s="7" t="s">
        <v>4</v>
      </c>
      <c r="F21" s="7" t="s">
        <v>5</v>
      </c>
      <c r="G21" s="23"/>
      <c r="H21" s="112"/>
      <c r="I21" s="112"/>
      <c r="J21" s="13"/>
    </row>
    <row r="22" spans="1:10" s="2" customFormat="1" ht="12.75" customHeight="1" x14ac:dyDescent="0.2">
      <c r="A22" s="89">
        <v>45079</v>
      </c>
      <c r="B22" s="91" t="s">
        <v>11</v>
      </c>
      <c r="C22" s="29" t="s">
        <v>7</v>
      </c>
      <c r="D22" s="25"/>
      <c r="E22" s="31"/>
      <c r="F22" s="2">
        <v>273281093.58999985</v>
      </c>
      <c r="G22" s="30"/>
      <c r="I22" s="13"/>
      <c r="J22" s="13"/>
    </row>
    <row r="23" spans="1:10" s="2" customFormat="1" ht="12.75" customHeight="1" x14ac:dyDescent="0.2">
      <c r="A23" s="89">
        <v>45079</v>
      </c>
      <c r="B23" s="91" t="s">
        <v>6</v>
      </c>
      <c r="C23" s="76" t="s">
        <v>316</v>
      </c>
      <c r="D23" s="116" t="s">
        <v>13</v>
      </c>
      <c r="E23" s="31">
        <v>969401</v>
      </c>
      <c r="G23" s="30"/>
      <c r="I23" s="13"/>
      <c r="J23" s="13"/>
    </row>
    <row r="24" spans="1:10" s="2" customFormat="1" ht="12.75" customHeight="1" x14ac:dyDescent="0.2">
      <c r="A24" s="89">
        <v>45079</v>
      </c>
      <c r="B24" s="91" t="s">
        <v>6</v>
      </c>
      <c r="C24" s="76" t="s">
        <v>761</v>
      </c>
      <c r="D24" s="116" t="s">
        <v>13</v>
      </c>
      <c r="E24" s="31">
        <v>348500</v>
      </c>
      <c r="G24" s="30"/>
      <c r="I24" s="13"/>
      <c r="J24" s="13"/>
    </row>
    <row r="25" spans="1:10" s="2" customFormat="1" ht="12.75" customHeight="1" x14ac:dyDescent="0.2">
      <c r="A25" s="89">
        <v>45079</v>
      </c>
      <c r="B25" s="91" t="s">
        <v>6</v>
      </c>
      <c r="C25" s="76" t="s">
        <v>146</v>
      </c>
      <c r="D25" s="116" t="s">
        <v>13</v>
      </c>
      <c r="E25" s="31">
        <v>115026</v>
      </c>
      <c r="G25" s="30"/>
      <c r="I25" s="13"/>
      <c r="J25" s="13"/>
    </row>
    <row r="26" spans="1:10" s="2" customFormat="1" ht="12.75" customHeight="1" x14ac:dyDescent="0.2">
      <c r="A26" s="89">
        <v>45079</v>
      </c>
      <c r="B26" s="91" t="s">
        <v>6</v>
      </c>
      <c r="C26" s="76" t="s">
        <v>1040</v>
      </c>
      <c r="D26" s="116" t="s">
        <v>13</v>
      </c>
      <c r="E26" s="31">
        <v>179550</v>
      </c>
      <c r="G26" s="30"/>
      <c r="I26" s="13"/>
      <c r="J26" s="13"/>
    </row>
    <row r="27" spans="1:10" s="2" customFormat="1" ht="12.75" customHeight="1" x14ac:dyDescent="0.2">
      <c r="A27" s="89">
        <v>45079</v>
      </c>
      <c r="B27" s="91" t="s">
        <v>6</v>
      </c>
      <c r="C27" s="76" t="s">
        <v>1042</v>
      </c>
      <c r="D27" s="116" t="s">
        <v>13</v>
      </c>
      <c r="E27" s="31">
        <v>30000</v>
      </c>
      <c r="G27" s="30"/>
      <c r="I27" s="13"/>
      <c r="J27" s="13"/>
    </row>
    <row r="28" spans="1:10" s="2" customFormat="1" ht="12.75" customHeight="1" x14ac:dyDescent="0.2">
      <c r="A28" s="89">
        <v>45079</v>
      </c>
      <c r="B28" s="91" t="s">
        <v>6</v>
      </c>
      <c r="C28" s="76" t="s">
        <v>332</v>
      </c>
      <c r="D28" s="116" t="s">
        <v>13</v>
      </c>
      <c r="E28" s="31">
        <v>485159</v>
      </c>
      <c r="G28" s="30"/>
      <c r="I28" s="13"/>
      <c r="J28" s="13"/>
    </row>
    <row r="29" spans="1:10" s="2" customFormat="1" ht="12.75" customHeight="1" x14ac:dyDescent="0.2">
      <c r="A29" s="89">
        <v>45079</v>
      </c>
      <c r="B29" s="91" t="s">
        <v>6</v>
      </c>
      <c r="C29" s="76" t="s">
        <v>26</v>
      </c>
      <c r="D29" s="116" t="s">
        <v>13</v>
      </c>
      <c r="E29" s="31">
        <v>6430908.0700000003</v>
      </c>
      <c r="G29" s="30"/>
      <c r="I29" s="13"/>
      <c r="J29" s="13"/>
    </row>
    <row r="30" spans="1:10" s="2" customFormat="1" ht="12.75" customHeight="1" x14ac:dyDescent="0.2">
      <c r="A30" s="89">
        <v>45079</v>
      </c>
      <c r="B30" s="91" t="s">
        <v>6</v>
      </c>
      <c r="C30" s="76" t="s">
        <v>366</v>
      </c>
      <c r="D30" s="116" t="s">
        <v>13</v>
      </c>
      <c r="E30" s="31">
        <v>5000000</v>
      </c>
      <c r="G30" s="30"/>
      <c r="I30" s="13"/>
      <c r="J30" s="13"/>
    </row>
    <row r="31" spans="1:10" s="2" customFormat="1" ht="12.75" customHeight="1" x14ac:dyDescent="0.2">
      <c r="A31" s="89">
        <v>45079</v>
      </c>
      <c r="B31" s="91" t="s">
        <v>6</v>
      </c>
      <c r="C31" s="76" t="s">
        <v>803</v>
      </c>
      <c r="D31" s="116" t="s">
        <v>13</v>
      </c>
      <c r="E31" s="31">
        <v>18900</v>
      </c>
      <c r="G31" s="30"/>
      <c r="I31" s="13"/>
      <c r="J31" s="13"/>
    </row>
    <row r="32" spans="1:10" s="2" customFormat="1" ht="12.75" customHeight="1" x14ac:dyDescent="0.2">
      <c r="A32" s="89">
        <v>45079</v>
      </c>
      <c r="B32" s="91" t="s">
        <v>6</v>
      </c>
      <c r="C32" s="76" t="s">
        <v>726</v>
      </c>
      <c r="D32" s="116" t="s">
        <v>13</v>
      </c>
      <c r="E32" s="31">
        <v>173565</v>
      </c>
      <c r="G32" s="30"/>
      <c r="I32" s="13"/>
      <c r="J32" s="13"/>
    </row>
    <row r="33" spans="1:10" s="2" customFormat="1" ht="12.75" customHeight="1" x14ac:dyDescent="0.2">
      <c r="A33" s="89">
        <v>45079</v>
      </c>
      <c r="B33" s="91" t="s">
        <v>6</v>
      </c>
      <c r="C33" s="76" t="s">
        <v>743</v>
      </c>
      <c r="D33" s="116" t="s">
        <v>13</v>
      </c>
      <c r="E33" s="31">
        <v>775305</v>
      </c>
      <c r="G33" s="30"/>
      <c r="I33" s="13"/>
      <c r="J33" s="13"/>
    </row>
    <row r="34" spans="1:10" s="2" customFormat="1" ht="12.75" customHeight="1" x14ac:dyDescent="0.2">
      <c r="A34" s="89">
        <v>45079</v>
      </c>
      <c r="B34" s="91" t="s">
        <v>11</v>
      </c>
      <c r="C34" s="76" t="s">
        <v>64</v>
      </c>
      <c r="D34" s="116" t="s">
        <v>29</v>
      </c>
      <c r="E34" s="31"/>
      <c r="F34" s="2">
        <v>18312.21</v>
      </c>
      <c r="G34" s="30"/>
      <c r="I34" s="13"/>
      <c r="J34" s="13"/>
    </row>
    <row r="35" spans="1:10" s="2" customFormat="1" ht="12.75" customHeight="1" x14ac:dyDescent="0.2">
      <c r="A35" s="89">
        <v>45079</v>
      </c>
      <c r="B35" s="91" t="s">
        <v>11</v>
      </c>
      <c r="C35" s="76" t="s">
        <v>486</v>
      </c>
      <c r="D35" s="116" t="s">
        <v>29</v>
      </c>
      <c r="E35" s="31"/>
      <c r="F35" s="2">
        <v>500000</v>
      </c>
      <c r="G35" s="30"/>
      <c r="I35" s="13"/>
      <c r="J35" s="13"/>
    </row>
    <row r="36" spans="1:10" s="2" customFormat="1" ht="12.75" customHeight="1" x14ac:dyDescent="0.2">
      <c r="A36" s="89">
        <v>45079</v>
      </c>
      <c r="B36" s="91" t="s">
        <v>11</v>
      </c>
      <c r="C36" s="76" t="s">
        <v>34</v>
      </c>
      <c r="D36" s="116" t="s">
        <v>29</v>
      </c>
      <c r="E36" s="31"/>
      <c r="F36" s="2">
        <v>30000</v>
      </c>
      <c r="G36" s="30"/>
      <c r="I36" s="13"/>
      <c r="J36" s="13"/>
    </row>
    <row r="37" spans="1:10" s="2" customFormat="1" ht="12.75" customHeight="1" x14ac:dyDescent="0.2">
      <c r="A37" s="89">
        <v>45079</v>
      </c>
      <c r="B37" s="91" t="s">
        <v>11</v>
      </c>
      <c r="C37" s="76" t="s">
        <v>463</v>
      </c>
      <c r="D37" s="116" t="s">
        <v>29</v>
      </c>
      <c r="E37" s="31"/>
      <c r="F37" s="2">
        <v>85260</v>
      </c>
      <c r="G37" s="30"/>
      <c r="I37" s="13"/>
      <c r="J37" s="13"/>
    </row>
    <row r="38" spans="1:10" s="2" customFormat="1" ht="12.75" customHeight="1" x14ac:dyDescent="0.2">
      <c r="A38" s="89">
        <v>45079</v>
      </c>
      <c r="B38" s="91" t="s">
        <v>11</v>
      </c>
      <c r="C38" s="76" t="s">
        <v>167</v>
      </c>
      <c r="D38" s="116" t="s">
        <v>29</v>
      </c>
      <c r="E38" s="31"/>
      <c r="F38" s="2">
        <v>71873</v>
      </c>
      <c r="G38" s="30"/>
      <c r="I38" s="13"/>
      <c r="J38" s="13"/>
    </row>
    <row r="39" spans="1:10" s="2" customFormat="1" ht="12.75" customHeight="1" x14ac:dyDescent="0.2">
      <c r="A39" s="89">
        <v>45079</v>
      </c>
      <c r="B39" s="91" t="s">
        <v>11</v>
      </c>
      <c r="C39" s="76" t="s">
        <v>170</v>
      </c>
      <c r="D39" s="116" t="s">
        <v>29</v>
      </c>
      <c r="E39" s="31"/>
      <c r="F39" s="2">
        <v>10000</v>
      </c>
      <c r="G39" s="30"/>
      <c r="I39" s="13"/>
      <c r="J39" s="13"/>
    </row>
    <row r="40" spans="1:10" s="2" customFormat="1" ht="12.75" customHeight="1" x14ac:dyDescent="0.2">
      <c r="A40" s="89">
        <v>45079</v>
      </c>
      <c r="B40" s="91" t="s">
        <v>11</v>
      </c>
      <c r="C40" s="76" t="s">
        <v>169</v>
      </c>
      <c r="D40" s="116" t="s">
        <v>29</v>
      </c>
      <c r="E40" s="31"/>
      <c r="F40" s="2">
        <v>8500</v>
      </c>
      <c r="G40" s="30"/>
      <c r="I40" s="13"/>
      <c r="J40" s="13"/>
    </row>
    <row r="41" spans="1:10" s="2" customFormat="1" ht="12.75" customHeight="1" x14ac:dyDescent="0.2">
      <c r="A41" s="89">
        <v>45079</v>
      </c>
      <c r="B41" s="91" t="s">
        <v>11</v>
      </c>
      <c r="C41" s="76" t="s">
        <v>168</v>
      </c>
      <c r="D41" s="116" t="s">
        <v>29</v>
      </c>
      <c r="E41" s="31"/>
      <c r="F41" s="2">
        <v>3600</v>
      </c>
      <c r="G41" s="30"/>
      <c r="I41" s="13"/>
      <c r="J41" s="13"/>
    </row>
    <row r="42" spans="1:10" s="2" customFormat="1" ht="12.75" customHeight="1" x14ac:dyDescent="0.2">
      <c r="A42" s="89">
        <v>45079</v>
      </c>
      <c r="B42" s="91" t="s">
        <v>11</v>
      </c>
      <c r="C42" s="76" t="s">
        <v>937</v>
      </c>
      <c r="D42" s="116" t="s">
        <v>29</v>
      </c>
      <c r="E42" s="31"/>
      <c r="F42" s="2">
        <v>4689</v>
      </c>
      <c r="G42" s="30"/>
      <c r="I42" s="13"/>
      <c r="J42" s="13"/>
    </row>
    <row r="43" spans="1:10" s="2" customFormat="1" ht="12.75" customHeight="1" x14ac:dyDescent="0.2">
      <c r="A43" s="89">
        <v>45079</v>
      </c>
      <c r="B43" s="91" t="s">
        <v>11</v>
      </c>
      <c r="C43" s="76" t="s">
        <v>911</v>
      </c>
      <c r="D43" s="116" t="s">
        <v>29</v>
      </c>
      <c r="E43" s="31"/>
      <c r="F43" s="2">
        <v>13570</v>
      </c>
      <c r="G43" s="30"/>
      <c r="I43" s="13"/>
      <c r="J43" s="13"/>
    </row>
    <row r="44" spans="1:10" s="2" customFormat="1" ht="12.75" customHeight="1" x14ac:dyDescent="0.2">
      <c r="A44" s="89">
        <v>45079</v>
      </c>
      <c r="B44" s="91" t="s">
        <v>11</v>
      </c>
      <c r="C44" s="76" t="s">
        <v>235</v>
      </c>
      <c r="D44" s="116" t="s">
        <v>29</v>
      </c>
      <c r="E44" s="31"/>
      <c r="F44" s="2">
        <v>6442</v>
      </c>
      <c r="G44" s="30"/>
      <c r="I44" s="13"/>
      <c r="J44" s="13"/>
    </row>
    <row r="45" spans="1:10" s="2" customFormat="1" ht="12.75" customHeight="1" x14ac:dyDescent="0.2">
      <c r="A45" s="89">
        <v>45079</v>
      </c>
      <c r="B45" s="91" t="s">
        <v>11</v>
      </c>
      <c r="C45" s="76" t="s">
        <v>441</v>
      </c>
      <c r="D45" s="116" t="s">
        <v>29</v>
      </c>
      <c r="E45" s="31"/>
      <c r="F45" s="2">
        <v>2633.2</v>
      </c>
      <c r="G45" s="30"/>
      <c r="I45" s="13"/>
      <c r="J45" s="13"/>
    </row>
    <row r="46" spans="1:10" s="2" customFormat="1" ht="12.75" customHeight="1" x14ac:dyDescent="0.2">
      <c r="A46" s="89">
        <v>45079</v>
      </c>
      <c r="B46" s="91" t="s">
        <v>11</v>
      </c>
      <c r="C46" s="76" t="s">
        <v>879</v>
      </c>
      <c r="D46" s="116" t="s">
        <v>29</v>
      </c>
      <c r="E46" s="31"/>
      <c r="F46" s="2">
        <v>1000</v>
      </c>
      <c r="G46" s="30"/>
      <c r="I46" s="13"/>
      <c r="J46" s="13"/>
    </row>
    <row r="47" spans="1:10" s="2" customFormat="1" ht="12.75" customHeight="1" x14ac:dyDescent="0.2">
      <c r="A47" s="89">
        <v>45079</v>
      </c>
      <c r="B47" s="91" t="s">
        <v>11</v>
      </c>
      <c r="C47" s="76" t="s">
        <v>57</v>
      </c>
      <c r="D47" s="116" t="s">
        <v>29</v>
      </c>
      <c r="E47" s="31"/>
      <c r="F47" s="2">
        <v>10000000</v>
      </c>
      <c r="G47" s="30"/>
      <c r="I47" s="13"/>
      <c r="J47" s="13"/>
    </row>
    <row r="48" spans="1:10" s="2" customFormat="1" ht="12.75" customHeight="1" x14ac:dyDescent="0.2">
      <c r="A48" s="89">
        <v>45079</v>
      </c>
      <c r="B48" s="91" t="s">
        <v>11</v>
      </c>
      <c r="C48" s="76" t="s">
        <v>1039</v>
      </c>
      <c r="D48" s="116" t="s">
        <v>29</v>
      </c>
      <c r="E48" s="31"/>
      <c r="F48" s="2">
        <v>1698427</v>
      </c>
      <c r="G48" s="30"/>
      <c r="I48" s="13"/>
      <c r="J48" s="13"/>
    </row>
    <row r="49" spans="1:14" s="2" customFormat="1" ht="12.75" customHeight="1" x14ac:dyDescent="0.2">
      <c r="A49" s="89">
        <v>45079</v>
      </c>
      <c r="B49" s="91" t="s">
        <v>11</v>
      </c>
      <c r="C49" s="76" t="s">
        <v>63</v>
      </c>
      <c r="D49" s="116" t="s">
        <v>29</v>
      </c>
      <c r="E49" s="31"/>
      <c r="F49" s="2">
        <v>3500000</v>
      </c>
      <c r="G49" s="30"/>
      <c r="I49" s="13"/>
      <c r="J49" s="13"/>
    </row>
    <row r="50" spans="1:14" s="2" customFormat="1" ht="12.75" customHeight="1" x14ac:dyDescent="0.2">
      <c r="A50" s="89">
        <v>45079</v>
      </c>
      <c r="B50" s="91" t="s">
        <v>11</v>
      </c>
      <c r="C50" s="76" t="s">
        <v>156</v>
      </c>
      <c r="D50" s="116" t="s">
        <v>29</v>
      </c>
      <c r="E50" s="31"/>
      <c r="F50" s="2">
        <v>2838.53</v>
      </c>
      <c r="G50" s="30"/>
      <c r="I50" s="13"/>
      <c r="J50" s="13"/>
    </row>
    <row r="51" spans="1:14" s="2" customFormat="1" ht="12.75" customHeight="1" x14ac:dyDescent="0.2">
      <c r="A51" s="89">
        <v>45079</v>
      </c>
      <c r="B51" s="91" t="s">
        <v>11</v>
      </c>
      <c r="C51" s="76" t="s">
        <v>256</v>
      </c>
      <c r="D51" s="116" t="s">
        <v>29</v>
      </c>
      <c r="E51" s="31"/>
      <c r="F51" s="2">
        <v>369311</v>
      </c>
      <c r="G51" s="30"/>
      <c r="I51" s="13"/>
      <c r="J51" s="13"/>
    </row>
    <row r="52" spans="1:14" s="2" customFormat="1" ht="12.75" customHeight="1" x14ac:dyDescent="0.2">
      <c r="A52" s="89">
        <v>45079</v>
      </c>
      <c r="B52" s="91" t="s">
        <v>11</v>
      </c>
      <c r="C52" s="76" t="s">
        <v>417</v>
      </c>
      <c r="D52" s="116" t="s">
        <v>29</v>
      </c>
      <c r="E52" s="31"/>
      <c r="F52" s="2">
        <v>2000000</v>
      </c>
      <c r="G52" s="30"/>
      <c r="I52" s="13"/>
      <c r="J52" s="13"/>
      <c r="K52" s="25" t="s">
        <v>779</v>
      </c>
    </row>
    <row r="53" spans="1:14" s="2" customFormat="1" ht="12.75" customHeight="1" x14ac:dyDescent="0.25">
      <c r="A53" s="32"/>
      <c r="B53" s="33"/>
      <c r="C53" s="14"/>
      <c r="D53" s="34"/>
      <c r="E53" s="16">
        <f>SUM(E22:E52)</f>
        <v>14526314.07</v>
      </c>
      <c r="F53" s="16">
        <f>SUM(F22:F52)</f>
        <v>291607549.52999979</v>
      </c>
      <c r="G53" s="30"/>
      <c r="H53" s="1"/>
      <c r="I53" s="39">
        <v>277081235.45999998</v>
      </c>
      <c r="K53" s="92">
        <f>E54-I53</f>
        <v>0</v>
      </c>
      <c r="L53" s="41"/>
      <c r="M53" s="42"/>
    </row>
    <row r="54" spans="1:14" s="2" customFormat="1" ht="12.75" customHeight="1" x14ac:dyDescent="0.2">
      <c r="A54" s="36"/>
      <c r="B54" s="28" t="s">
        <v>11</v>
      </c>
      <c r="C54" s="19" t="s">
        <v>65</v>
      </c>
      <c r="D54" s="37"/>
      <c r="E54" s="38">
        <f>F53-E53</f>
        <v>277081235.4599998</v>
      </c>
      <c r="F54" s="22"/>
      <c r="G54" s="1"/>
      <c r="H54" s="1"/>
      <c r="J54" s="1"/>
      <c r="K54" s="1"/>
      <c r="L54" s="1"/>
      <c r="M54" s="1"/>
    </row>
    <row r="55" spans="1:14" s="2" customFormat="1" ht="12.75" customHeight="1" x14ac:dyDescent="0.2">
      <c r="A55" s="36"/>
      <c r="B55" s="28" t="s">
        <v>66</v>
      </c>
      <c r="C55" s="43" t="s">
        <v>67</v>
      </c>
      <c r="D55" s="43"/>
      <c r="E55" s="12">
        <v>59416310</v>
      </c>
      <c r="F55" s="22"/>
      <c r="G55" s="1"/>
      <c r="H55" s="40"/>
      <c r="I55" s="45">
        <v>386.05</v>
      </c>
      <c r="J55" s="46"/>
      <c r="K55" s="46"/>
      <c r="L55" s="13"/>
    </row>
    <row r="56" spans="1:14" s="2" customFormat="1" ht="12.75" customHeight="1" x14ac:dyDescent="0.25">
      <c r="A56" s="36"/>
      <c r="B56" s="28"/>
      <c r="C56" s="44" t="s">
        <v>68</v>
      </c>
      <c r="D56" s="43"/>
      <c r="E56" s="7">
        <f>E54+E55</f>
        <v>336497545.4599998</v>
      </c>
      <c r="F56" s="22"/>
      <c r="G56" s="1"/>
      <c r="H56" s="103" t="s">
        <v>69</v>
      </c>
      <c r="I56" s="45">
        <v>1.17</v>
      </c>
      <c r="J56" s="46"/>
      <c r="K56" s="46"/>
      <c r="N56" s="1"/>
    </row>
    <row r="57" spans="1:14" s="2" customFormat="1" x14ac:dyDescent="0.2">
      <c r="A57" s="24"/>
      <c r="B57" s="1"/>
      <c r="C57" s="14"/>
      <c r="D57" s="25"/>
      <c r="E57" s="1"/>
      <c r="H57" s="35" t="s">
        <v>70</v>
      </c>
      <c r="I57" s="45">
        <v>0</v>
      </c>
      <c r="J57" s="46">
        <f>+I58-D60</f>
        <v>0</v>
      </c>
      <c r="M57" s="2">
        <v>19.57</v>
      </c>
      <c r="N57" s="1"/>
    </row>
    <row r="58" spans="1:14" x14ac:dyDescent="0.2">
      <c r="C58" s="56"/>
      <c r="D58" s="56"/>
      <c r="E58" s="104"/>
      <c r="I58" s="49">
        <f>SUM(I55:I57)</f>
        <v>387.22</v>
      </c>
      <c r="J58" s="46"/>
      <c r="K58" s="46"/>
      <c r="L58" s="2"/>
      <c r="M58" s="2"/>
      <c r="N58" s="2"/>
    </row>
    <row r="59" spans="1:14" x14ac:dyDescent="0.2">
      <c r="C59" s="78" t="s">
        <v>575</v>
      </c>
      <c r="D59" s="48" t="s">
        <v>576</v>
      </c>
      <c r="E59" s="104"/>
      <c r="I59" s="2"/>
      <c r="J59" s="2"/>
      <c r="K59" s="2"/>
      <c r="L59" s="2"/>
      <c r="M59" s="2"/>
      <c r="N59" s="2"/>
    </row>
    <row r="60" spans="1:14" s="2" customFormat="1" x14ac:dyDescent="0.2">
      <c r="A60" s="24"/>
      <c r="B60" s="1"/>
      <c r="C60" s="47" t="s">
        <v>570</v>
      </c>
      <c r="D60" s="111">
        <v>387.22</v>
      </c>
      <c r="E60" s="104"/>
      <c r="G60" s="1"/>
      <c r="H60" s="110" t="s">
        <v>581</v>
      </c>
      <c r="N60" s="2" t="s">
        <v>535</v>
      </c>
    </row>
    <row r="61" spans="1:14" s="2" customFormat="1" x14ac:dyDescent="0.2">
      <c r="A61" s="24"/>
      <c r="B61" s="1"/>
      <c r="C61" s="47" t="s">
        <v>931</v>
      </c>
      <c r="D61" s="111">
        <v>0</v>
      </c>
      <c r="E61" s="104"/>
      <c r="G61" s="1"/>
      <c r="H61" s="110" t="s">
        <v>580</v>
      </c>
    </row>
    <row r="62" spans="1:14" s="2" customFormat="1" x14ac:dyDescent="0.2">
      <c r="A62" s="24"/>
      <c r="B62" s="1"/>
      <c r="C62" s="47" t="s">
        <v>572</v>
      </c>
      <c r="D62" s="111">
        <f>+D78/100000</f>
        <v>0</v>
      </c>
      <c r="E62" s="104"/>
      <c r="G62" s="1"/>
      <c r="H62" s="90" t="s">
        <v>587</v>
      </c>
    </row>
    <row r="63" spans="1:14" s="2" customFormat="1" x14ac:dyDescent="0.2">
      <c r="A63" s="24"/>
      <c r="B63" s="1"/>
      <c r="C63" s="108" t="s">
        <v>578</v>
      </c>
      <c r="D63" s="48">
        <f>SUM(D60:D62)</f>
        <v>387.22</v>
      </c>
      <c r="E63" s="104"/>
      <c r="G63" s="1"/>
    </row>
    <row r="64" spans="1:14" s="2" customFormat="1" x14ac:dyDescent="0.2">
      <c r="A64" s="24"/>
      <c r="B64" s="1"/>
      <c r="C64" s="47"/>
      <c r="D64" s="107"/>
      <c r="E64" s="104"/>
      <c r="G64" s="1"/>
    </row>
    <row r="65" spans="1:13" s="2" customFormat="1" x14ac:dyDescent="0.2">
      <c r="A65" s="24"/>
      <c r="B65" s="1"/>
      <c r="C65" s="47" t="s">
        <v>932</v>
      </c>
      <c r="D65" s="111">
        <v>156.21</v>
      </c>
      <c r="E65" s="104"/>
      <c r="G65" s="1"/>
      <c r="H65" s="110" t="s">
        <v>581</v>
      </c>
    </row>
    <row r="66" spans="1:13" s="2" customFormat="1" x14ac:dyDescent="0.2">
      <c r="A66" s="24"/>
      <c r="B66" s="1"/>
      <c r="C66" s="47" t="s">
        <v>933</v>
      </c>
      <c r="D66" s="111">
        <v>0</v>
      </c>
      <c r="E66" s="104"/>
      <c r="G66" s="1"/>
      <c r="H66" s="110" t="s">
        <v>581</v>
      </c>
      <c r="J66" s="114" t="s">
        <v>713</v>
      </c>
    </row>
    <row r="67" spans="1:13" s="2" customFormat="1" x14ac:dyDescent="0.2">
      <c r="A67" s="24"/>
      <c r="B67" s="1"/>
      <c r="C67" s="78" t="s">
        <v>579</v>
      </c>
      <c r="D67" s="109">
        <f>D65+D66</f>
        <v>156.21</v>
      </c>
      <c r="E67" s="104"/>
      <c r="G67" s="1"/>
      <c r="I67" s="113"/>
      <c r="J67" s="113" t="s">
        <v>709</v>
      </c>
      <c r="K67" s="113" t="s">
        <v>710</v>
      </c>
      <c r="L67" s="113" t="s">
        <v>711</v>
      </c>
      <c r="M67" s="113" t="s">
        <v>712</v>
      </c>
    </row>
    <row r="68" spans="1:13" s="2" customFormat="1" x14ac:dyDescent="0.2">
      <c r="A68" s="24"/>
      <c r="B68" s="1"/>
      <c r="C68" s="105"/>
      <c r="D68" s="106"/>
      <c r="E68" s="104"/>
      <c r="G68" s="1"/>
      <c r="I68" s="113" t="s">
        <v>706</v>
      </c>
      <c r="J68" s="115"/>
      <c r="K68" s="115">
        <v>968.99</v>
      </c>
      <c r="L68" s="115">
        <v>968.99</v>
      </c>
      <c r="M68" s="113">
        <f>+J68+L68-K68</f>
        <v>0</v>
      </c>
    </row>
    <row r="69" spans="1:13" s="2" customFormat="1" x14ac:dyDescent="0.2">
      <c r="A69" s="24"/>
      <c r="B69" s="1"/>
      <c r="C69" s="78" t="s">
        <v>577</v>
      </c>
      <c r="D69" s="109">
        <f>D60+D67</f>
        <v>543.43000000000006</v>
      </c>
      <c r="E69" s="104"/>
      <c r="G69" s="1"/>
      <c r="I69" s="113" t="s">
        <v>707</v>
      </c>
      <c r="J69" s="115">
        <v>183.1</v>
      </c>
      <c r="K69" s="115">
        <v>1960.96</v>
      </c>
      <c r="L69" s="115">
        <v>2949.02</v>
      </c>
      <c r="M69" s="113">
        <f>+J69+L69-K69</f>
        <v>1171.1599999999999</v>
      </c>
    </row>
    <row r="70" spans="1:13" s="2" customFormat="1" x14ac:dyDescent="0.2">
      <c r="A70" s="24"/>
      <c r="B70" s="1"/>
      <c r="C70" s="56"/>
      <c r="D70" s="56"/>
      <c r="E70" s="104"/>
      <c r="G70" s="1"/>
      <c r="I70" s="113" t="s">
        <v>708</v>
      </c>
      <c r="J70" s="115">
        <v>1371.02</v>
      </c>
      <c r="K70" s="115">
        <v>11599.24</v>
      </c>
      <c r="L70" s="115">
        <v>11750.13</v>
      </c>
      <c r="M70" s="113">
        <f>+J70+L70-K70</f>
        <v>1521.9099999999999</v>
      </c>
    </row>
    <row r="71" spans="1:13" s="2" customFormat="1" ht="38.25" x14ac:dyDescent="0.2">
      <c r="A71" s="24"/>
      <c r="B71" s="1"/>
      <c r="C71" s="79" t="str">
        <f>"Particulars ( 01-04-2021 to "&amp;TEXT(A5,"dd-mm-yyyy")&amp;" )"</f>
        <v>Particulars ( 01-04-2021 to 02-06-2023 )</v>
      </c>
      <c r="D71" s="80" t="s">
        <v>73</v>
      </c>
      <c r="E71" s="80" t="s">
        <v>74</v>
      </c>
      <c r="F71" s="81" t="s">
        <v>75</v>
      </c>
      <c r="G71" s="80" t="s">
        <v>76</v>
      </c>
      <c r="J71" s="118">
        <f>SUM(J68:J70)</f>
        <v>1554.12</v>
      </c>
      <c r="K71" s="118">
        <f>SUM(K68:K70)</f>
        <v>14529.189999999999</v>
      </c>
      <c r="L71" s="118">
        <f>SUM(L68:L70)</f>
        <v>15668.14</v>
      </c>
      <c r="M71" s="118">
        <f>SUM(M68:M70)</f>
        <v>2693.0699999999997</v>
      </c>
    </row>
    <row r="72" spans="1:13" s="2" customFormat="1" x14ac:dyDescent="0.2">
      <c r="A72" s="24"/>
      <c r="B72" s="1"/>
      <c r="C72" s="50" t="s">
        <v>444</v>
      </c>
      <c r="D72" s="55">
        <f>+L68+L69+J69</f>
        <v>4101.1100000000006</v>
      </c>
      <c r="E72" s="55">
        <f>+K68+K69</f>
        <v>2929.95</v>
      </c>
      <c r="F72" s="55">
        <f>+D72-E72</f>
        <v>1171.1600000000008</v>
      </c>
      <c r="G72" s="55">
        <f>1500-F72</f>
        <v>328.83999999999924</v>
      </c>
      <c r="H72" s="2" t="s">
        <v>396</v>
      </c>
    </row>
    <row r="73" spans="1:13" s="2" customFormat="1" x14ac:dyDescent="0.2">
      <c r="A73" s="24"/>
      <c r="B73" s="1"/>
      <c r="C73" s="50" t="s">
        <v>71</v>
      </c>
      <c r="D73" s="55">
        <f>+J70+L70</f>
        <v>13121.15</v>
      </c>
      <c r="E73" s="55">
        <f>+K70</f>
        <v>11599.24</v>
      </c>
      <c r="F73" s="55">
        <f>+D73-E73</f>
        <v>1521.9099999999999</v>
      </c>
      <c r="G73" s="55">
        <f>1500+700-F73</f>
        <v>678.09000000000015</v>
      </c>
      <c r="H73" s="2" t="s">
        <v>396</v>
      </c>
    </row>
    <row r="74" spans="1:13" s="2" customFormat="1" x14ac:dyDescent="0.2">
      <c r="A74" s="24"/>
      <c r="B74" s="1"/>
      <c r="C74" s="14"/>
      <c r="D74" s="56"/>
      <c r="E74" s="13"/>
      <c r="G74" s="1"/>
    </row>
    <row r="75" spans="1:13" s="2" customFormat="1" x14ac:dyDescent="0.2">
      <c r="A75" s="215" t="s">
        <v>80</v>
      </c>
      <c r="B75" s="216"/>
      <c r="C75" s="216"/>
      <c r="D75" s="217"/>
      <c r="E75" s="69"/>
      <c r="F75" s="70"/>
      <c r="G75" s="1"/>
      <c r="H75" s="53"/>
    </row>
    <row r="76" spans="1:13" s="2" customFormat="1" x14ac:dyDescent="0.2">
      <c r="A76" s="71" t="s">
        <v>81</v>
      </c>
      <c r="B76" s="71"/>
      <c r="C76" s="72" t="s">
        <v>82</v>
      </c>
      <c r="D76" s="73" t="s">
        <v>83</v>
      </c>
      <c r="E76" s="69"/>
      <c r="F76" s="70"/>
      <c r="H76" s="53"/>
    </row>
    <row r="77" spans="1:13" s="2" customFormat="1" x14ac:dyDescent="0.2">
      <c r="A77" s="87"/>
      <c r="B77" s="120"/>
      <c r="C77" s="75"/>
      <c r="D77" s="88"/>
      <c r="G77" s="1"/>
      <c r="L77" s="1"/>
      <c r="M77" s="1"/>
    </row>
    <row r="78" spans="1:13" s="2" customFormat="1" x14ac:dyDescent="0.2">
      <c r="A78" s="87"/>
      <c r="B78" s="74"/>
      <c r="C78" s="75"/>
      <c r="D78" s="51">
        <f>SUM(D77:D77)</f>
        <v>0</v>
      </c>
      <c r="F78" s="2" t="s">
        <v>396</v>
      </c>
      <c r="G78" s="1"/>
      <c r="L78" s="1"/>
      <c r="M78" s="1"/>
    </row>
    <row r="79" spans="1:13" s="2" customFormat="1" x14ac:dyDescent="0.2">
      <c r="A79" s="24"/>
      <c r="B79" s="1"/>
      <c r="C79" s="14"/>
      <c r="D79" s="56"/>
      <c r="E79" s="13"/>
      <c r="G79" s="1"/>
      <c r="L79" s="1"/>
      <c r="M79" s="1"/>
    </row>
    <row r="80" spans="1:13" s="2" customFormat="1" x14ac:dyDescent="0.2">
      <c r="A80" s="24"/>
      <c r="B80" s="1"/>
      <c r="C80" s="218" t="s">
        <v>77</v>
      </c>
      <c r="D80" s="219"/>
      <c r="E80" s="219"/>
      <c r="F80" s="220"/>
      <c r="G80" s="1"/>
      <c r="L80" s="1"/>
      <c r="M80" s="1"/>
    </row>
    <row r="81" spans="1:13" s="2" customFormat="1" x14ac:dyDescent="0.2">
      <c r="A81" s="24"/>
      <c r="B81" s="1"/>
      <c r="C81" s="50"/>
      <c r="D81" s="57" t="s">
        <v>78</v>
      </c>
      <c r="E81" s="58" t="s">
        <v>79</v>
      </c>
      <c r="F81" s="57" t="s">
        <v>72</v>
      </c>
      <c r="G81" s="1"/>
      <c r="I81" s="1"/>
      <c r="J81" s="1"/>
      <c r="K81" s="1"/>
      <c r="L81" s="1"/>
      <c r="M81" s="1"/>
    </row>
    <row r="82" spans="1:13" s="2" customFormat="1" x14ac:dyDescent="0.2">
      <c r="A82" s="24"/>
      <c r="B82" s="1"/>
      <c r="C82" s="59" t="str">
        <f>"01-05-2023 to "&amp;TEXT(A5-2,"dd-mm-yyyy")</f>
        <v>01-05-2023 to 31-05-2023</v>
      </c>
      <c r="D82" s="60">
        <v>4878.7299999999996</v>
      </c>
      <c r="E82" s="60">
        <v>370.4</v>
      </c>
      <c r="F82" s="61">
        <f>SUM(D82:E82)</f>
        <v>5249.1299999999992</v>
      </c>
      <c r="G82" s="1"/>
    </row>
    <row r="83" spans="1:13" s="2" customFormat="1" x14ac:dyDescent="0.2">
      <c r="A83" s="24"/>
      <c r="B83" s="1"/>
      <c r="C83" s="62" t="str">
        <f>TEXT(A5-1,"dd-mm-yyyy")</f>
        <v>01-06-2023</v>
      </c>
      <c r="D83" s="60">
        <v>395.24</v>
      </c>
      <c r="E83" s="60">
        <v>12.44</v>
      </c>
      <c r="F83" s="61">
        <f>SUM(D83:E83)</f>
        <v>407.68</v>
      </c>
      <c r="G83" s="54"/>
      <c r="I83" s="1"/>
      <c r="J83" s="1"/>
      <c r="K83" s="1"/>
      <c r="L83" s="1"/>
      <c r="M83" s="1"/>
    </row>
    <row r="84" spans="1:13" s="2" customFormat="1" ht="13.5" thickBot="1" x14ac:dyDescent="0.25">
      <c r="A84" s="24"/>
      <c r="B84" s="1"/>
      <c r="C84" s="63" t="str">
        <f>"01-05-2023 to "&amp;TEXT(A5-1,"dd-mm-yyyy")</f>
        <v>01-05-2023 to 01-06-2023</v>
      </c>
      <c r="D84" s="64">
        <f>SUM(D82:D83)</f>
        <v>5273.9699999999993</v>
      </c>
      <c r="E84" s="64">
        <f>SUM(E82:E83)</f>
        <v>382.84</v>
      </c>
      <c r="F84" s="64">
        <f>SUM(F82:F83)</f>
        <v>5656.8099999999995</v>
      </c>
      <c r="G84" s="54"/>
      <c r="I84" s="1"/>
      <c r="J84" s="1"/>
      <c r="K84" s="1"/>
      <c r="L84" s="1"/>
      <c r="M84" s="1"/>
    </row>
    <row r="85" spans="1:13" s="2" customFormat="1" ht="13.5" thickTop="1" x14ac:dyDescent="0.2">
      <c r="A85" s="24"/>
      <c r="B85" s="1"/>
      <c r="C85" s="62"/>
      <c r="D85" s="65"/>
      <c r="E85" s="66"/>
      <c r="F85" s="67"/>
      <c r="G85" s="54"/>
      <c r="I85" s="1"/>
      <c r="J85" s="1"/>
      <c r="K85" s="1"/>
      <c r="L85" s="1"/>
      <c r="M85" s="1"/>
    </row>
    <row r="86" spans="1:13" s="2" customFormat="1" x14ac:dyDescent="0.2">
      <c r="A86" s="24"/>
      <c r="B86" s="1"/>
      <c r="C86" s="62" t="str">
        <f>"01-04-2023 to " &amp;C83</f>
        <v>01-04-2023 to 01-06-2023</v>
      </c>
      <c r="D86" s="68">
        <f>+D84+4343.67</f>
        <v>9617.64</v>
      </c>
      <c r="E86" s="68">
        <f>+E84+536.17</f>
        <v>919.01</v>
      </c>
      <c r="F86" s="68">
        <f>+F84+4879.84</f>
        <v>10536.65</v>
      </c>
      <c r="G86" s="54"/>
      <c r="I86" s="1"/>
      <c r="J86" s="1"/>
      <c r="K86" s="1"/>
      <c r="L86" s="1"/>
      <c r="M86" s="1"/>
    </row>
    <row r="87" spans="1:13" x14ac:dyDescent="0.2">
      <c r="C87" s="52"/>
      <c r="D87" s="85"/>
      <c r="E87" s="53"/>
      <c r="F87" s="53"/>
      <c r="G87" s="54"/>
      <c r="H87" s="2" t="s">
        <v>396</v>
      </c>
    </row>
    <row r="88" spans="1:13" s="2" customFormat="1" x14ac:dyDescent="0.2">
      <c r="A88" s="24"/>
      <c r="B88" s="1"/>
      <c r="C88" s="52"/>
      <c r="D88" s="85"/>
      <c r="E88" s="53"/>
      <c r="F88" s="53"/>
      <c r="G88" s="54"/>
      <c r="H88" s="53"/>
    </row>
    <row r="89" spans="1:13" x14ac:dyDescent="0.2">
      <c r="C89" s="52"/>
      <c r="D89" s="85"/>
      <c r="E89" s="53"/>
      <c r="F89" s="53"/>
      <c r="G89" s="54"/>
      <c r="H89" s="53" t="s">
        <v>396</v>
      </c>
    </row>
    <row r="90" spans="1:13" x14ac:dyDescent="0.2">
      <c r="C90" s="52"/>
      <c r="D90" s="85"/>
      <c r="E90" s="53"/>
      <c r="F90" s="53"/>
      <c r="G90" s="54"/>
      <c r="H90" s="53" t="s">
        <v>396</v>
      </c>
      <c r="J90" s="42"/>
    </row>
    <row r="91" spans="1:13" x14ac:dyDescent="0.2">
      <c r="G91" s="54"/>
      <c r="H91" s="53"/>
      <c r="I91" s="101"/>
    </row>
    <row r="92" spans="1:13" x14ac:dyDescent="0.2">
      <c r="G92" s="54"/>
      <c r="H92" s="53"/>
    </row>
    <row r="93" spans="1:13" x14ac:dyDescent="0.2">
      <c r="G93" s="54"/>
      <c r="H93" s="53"/>
    </row>
    <row r="94" spans="1:13" x14ac:dyDescent="0.2">
      <c r="H94" s="53"/>
    </row>
  </sheetData>
  <mergeCells count="6">
    <mergeCell ref="C80:F80"/>
    <mergeCell ref="A1:G1"/>
    <mergeCell ref="A3:F3"/>
    <mergeCell ref="A9:F9"/>
    <mergeCell ref="A20:F20"/>
    <mergeCell ref="A75:D75"/>
  </mergeCells>
  <conditionalFormatting sqref="G72:G73">
    <cfRule type="cellIs" dxfId="522" priority="2" operator="lessThan">
      <formula>0</formula>
    </cfRule>
  </conditionalFormatting>
  <conditionalFormatting sqref="C22">
    <cfRule type="duplicateValues" dxfId="521" priority="3"/>
  </conditionalFormatting>
  <conditionalFormatting sqref="C50:C52 C23:C48">
    <cfRule type="duplicateValues" dxfId="520" priority="518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342">
    <pageSetUpPr fitToPage="1"/>
  </sheetPr>
  <dimension ref="A1:N91"/>
  <sheetViews>
    <sheetView topLeftCell="A73" zoomScaleNormal="100" workbookViewId="0">
      <selection activeCell="C46" sqref="C46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47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1044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45080</v>
      </c>
      <c r="B5" s="9" t="s">
        <v>6</v>
      </c>
      <c r="C5" s="10" t="s">
        <v>7</v>
      </c>
      <c r="D5" s="11"/>
      <c r="E5" s="12">
        <v>219062.70000000019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219062.70000000019</v>
      </c>
      <c r="F6" s="16"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+E6</f>
        <v>219062.70000000019</v>
      </c>
      <c r="F7" s="22"/>
      <c r="G7" s="23"/>
      <c r="H7" s="112"/>
      <c r="I7" s="112"/>
      <c r="J7" s="13"/>
    </row>
    <row r="8" spans="1:10" ht="12.75" customHeight="1" x14ac:dyDescent="0.4">
      <c r="H8" s="112"/>
      <c r="I8" s="112"/>
    </row>
    <row r="9" spans="1:10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12"/>
    </row>
    <row r="10" spans="1:10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12"/>
    </row>
    <row r="11" spans="1:10" s="2" customFormat="1" ht="14.25" customHeight="1" x14ac:dyDescent="0.4">
      <c r="A11" s="89">
        <v>45080</v>
      </c>
      <c r="B11" s="9" t="s">
        <v>6</v>
      </c>
      <c r="C11" s="10" t="s">
        <v>7</v>
      </c>
      <c r="D11" s="11"/>
      <c r="F11" s="12">
        <v>18370066.489999998</v>
      </c>
      <c r="G11" s="1"/>
      <c r="H11" s="112"/>
      <c r="I11" s="112"/>
    </row>
    <row r="12" spans="1:10" s="13" customFormat="1" ht="14.25" customHeight="1" x14ac:dyDescent="0.4">
      <c r="A12" s="97">
        <v>45080</v>
      </c>
      <c r="B12" s="98" t="s">
        <v>6</v>
      </c>
      <c r="C12" s="121" t="s">
        <v>142</v>
      </c>
      <c r="D12" s="122" t="s">
        <v>258</v>
      </c>
      <c r="E12" s="38"/>
      <c r="F12" s="38">
        <v>1009659.54</v>
      </c>
      <c r="G12" s="23"/>
      <c r="H12" s="123"/>
      <c r="I12" s="123"/>
    </row>
    <row r="13" spans="1:10" s="2" customFormat="1" ht="12.75" customHeight="1" x14ac:dyDescent="0.4">
      <c r="D13" s="15" t="s">
        <v>8</v>
      </c>
      <c r="E13" s="16">
        <f>+SUBTOTAL(9,E11:E12)</f>
        <v>0</v>
      </c>
      <c r="F13" s="16">
        <f>+SUBTOTAL(9,F11:F12)</f>
        <v>19379726.029999997</v>
      </c>
      <c r="G13" s="1"/>
      <c r="H13" s="112"/>
      <c r="I13" s="112"/>
    </row>
    <row r="14" spans="1:10" s="2" customFormat="1" ht="12.75" customHeight="1" x14ac:dyDescent="0.4">
      <c r="A14" s="17"/>
      <c r="B14" s="18"/>
      <c r="C14" s="96" t="s">
        <v>9</v>
      </c>
      <c r="D14" s="20"/>
      <c r="E14" s="21">
        <f>+F13-E13</f>
        <v>19379726.029999997</v>
      </c>
      <c r="G14" s="23"/>
      <c r="H14" s="112"/>
      <c r="I14" s="112"/>
      <c r="J14" s="13"/>
    </row>
    <row r="15" spans="1:10" s="2" customFormat="1" ht="12.75" customHeight="1" x14ac:dyDescent="0.4">
      <c r="A15" s="24"/>
      <c r="B15" s="1"/>
      <c r="C15" s="14"/>
      <c r="D15" s="25"/>
      <c r="G15" s="23"/>
      <c r="H15" s="112"/>
      <c r="I15" s="112"/>
      <c r="J15" s="13"/>
    </row>
    <row r="16" spans="1:10" s="2" customFormat="1" ht="21.75" customHeight="1" x14ac:dyDescent="0.4">
      <c r="A16" s="214" t="s">
        <v>10</v>
      </c>
      <c r="B16" s="214"/>
      <c r="C16" s="214"/>
      <c r="D16" s="214"/>
      <c r="E16" s="214"/>
      <c r="F16" s="214"/>
      <c r="G16" s="13"/>
      <c r="H16" s="112"/>
      <c r="I16" s="112"/>
      <c r="J16" s="13"/>
    </row>
    <row r="17" spans="1:10" s="2" customFormat="1" ht="12.75" customHeight="1" x14ac:dyDescent="0.4">
      <c r="A17" s="26" t="s">
        <v>1</v>
      </c>
      <c r="B17" s="27" t="s">
        <v>2</v>
      </c>
      <c r="C17" s="5"/>
      <c r="D17" s="6" t="s">
        <v>3</v>
      </c>
      <c r="E17" s="7" t="s">
        <v>4</v>
      </c>
      <c r="F17" s="7" t="s">
        <v>5</v>
      </c>
      <c r="G17" s="23"/>
      <c r="H17" s="112"/>
      <c r="I17" s="112"/>
      <c r="J17" s="13"/>
    </row>
    <row r="18" spans="1:10" s="2" customFormat="1" ht="12.75" customHeight="1" x14ac:dyDescent="0.2">
      <c r="A18" s="89">
        <v>45080</v>
      </c>
      <c r="B18" s="91" t="s">
        <v>11</v>
      </c>
      <c r="C18" s="29" t="s">
        <v>7</v>
      </c>
      <c r="D18" s="25"/>
      <c r="E18" s="31"/>
      <c r="F18" s="2">
        <v>277081235.4599998</v>
      </c>
      <c r="G18" s="30"/>
      <c r="I18" s="13"/>
      <c r="J18" s="13"/>
    </row>
    <row r="19" spans="1:10" s="2" customFormat="1" ht="12.75" customHeight="1" x14ac:dyDescent="0.2">
      <c r="A19" s="89">
        <v>45080</v>
      </c>
      <c r="B19" s="91" t="s">
        <v>6</v>
      </c>
      <c r="C19" s="76" t="s">
        <v>465</v>
      </c>
      <c r="D19" s="116" t="s">
        <v>13</v>
      </c>
      <c r="E19" s="31">
        <v>85106</v>
      </c>
      <c r="G19" s="30"/>
      <c r="I19" s="13"/>
      <c r="J19" s="13"/>
    </row>
    <row r="20" spans="1:10" s="2" customFormat="1" ht="12.75" customHeight="1" x14ac:dyDescent="0.2">
      <c r="A20" s="89">
        <v>45080</v>
      </c>
      <c r="B20" s="91" t="s">
        <v>6</v>
      </c>
      <c r="C20" s="76" t="s">
        <v>364</v>
      </c>
      <c r="D20" s="116" t="s">
        <v>13</v>
      </c>
      <c r="E20" s="31">
        <v>751819</v>
      </c>
      <c r="G20" s="30"/>
      <c r="I20" s="13"/>
      <c r="J20" s="13"/>
    </row>
    <row r="21" spans="1:10" s="2" customFormat="1" ht="12.75" customHeight="1" x14ac:dyDescent="0.2">
      <c r="A21" s="89">
        <v>45080</v>
      </c>
      <c r="B21" s="91" t="s">
        <v>6</v>
      </c>
      <c r="C21" s="76" t="s">
        <v>515</v>
      </c>
      <c r="D21" s="116" t="s">
        <v>13</v>
      </c>
      <c r="E21" s="31">
        <v>38640</v>
      </c>
      <c r="G21" s="30"/>
      <c r="I21" s="13"/>
      <c r="J21" s="13"/>
    </row>
    <row r="22" spans="1:10" s="2" customFormat="1" ht="12.75" customHeight="1" x14ac:dyDescent="0.2">
      <c r="A22" s="89">
        <v>45080</v>
      </c>
      <c r="B22" s="91" t="s">
        <v>6</v>
      </c>
      <c r="C22" s="76" t="s">
        <v>418</v>
      </c>
      <c r="D22" s="116" t="s">
        <v>13</v>
      </c>
      <c r="E22" s="31">
        <v>32175</v>
      </c>
      <c r="G22" s="30"/>
      <c r="I22" s="13"/>
      <c r="J22" s="13"/>
    </row>
    <row r="23" spans="1:10" s="2" customFormat="1" ht="12.75" customHeight="1" x14ac:dyDescent="0.2">
      <c r="A23" s="89">
        <v>45080</v>
      </c>
      <c r="B23" s="91" t="s">
        <v>6</v>
      </c>
      <c r="C23" s="76" t="s">
        <v>299</v>
      </c>
      <c r="D23" s="116" t="s">
        <v>13</v>
      </c>
      <c r="E23" s="31">
        <v>80117</v>
      </c>
      <c r="G23" s="30"/>
      <c r="I23" s="13"/>
      <c r="J23" s="13"/>
    </row>
    <row r="24" spans="1:10" s="2" customFormat="1" ht="12.75" customHeight="1" x14ac:dyDescent="0.2">
      <c r="A24" s="89">
        <v>45080</v>
      </c>
      <c r="B24" s="91" t="s">
        <v>6</v>
      </c>
      <c r="C24" s="76" t="s">
        <v>916</v>
      </c>
      <c r="D24" s="116" t="s">
        <v>13</v>
      </c>
      <c r="E24" s="31">
        <v>224907</v>
      </c>
      <c r="G24" s="30"/>
      <c r="I24" s="13"/>
      <c r="J24" s="13"/>
    </row>
    <row r="25" spans="1:10" s="2" customFormat="1" ht="12.75" customHeight="1" x14ac:dyDescent="0.2">
      <c r="A25" s="89">
        <v>45080</v>
      </c>
      <c r="B25" s="91" t="s">
        <v>6</v>
      </c>
      <c r="C25" s="76" t="s">
        <v>529</v>
      </c>
      <c r="D25" s="116" t="s">
        <v>13</v>
      </c>
      <c r="E25" s="31">
        <v>212099</v>
      </c>
      <c r="G25" s="30"/>
      <c r="I25" s="13"/>
      <c r="J25" s="13"/>
    </row>
    <row r="26" spans="1:10" s="2" customFormat="1" ht="12.75" customHeight="1" x14ac:dyDescent="0.2">
      <c r="A26" s="89">
        <v>45080</v>
      </c>
      <c r="B26" s="91" t="s">
        <v>6</v>
      </c>
      <c r="C26" s="76" t="s">
        <v>24</v>
      </c>
      <c r="D26" s="116" t="s">
        <v>13</v>
      </c>
      <c r="E26" s="31">
        <v>60060</v>
      </c>
      <c r="G26" s="30"/>
      <c r="I26" s="13"/>
      <c r="J26" s="13"/>
    </row>
    <row r="27" spans="1:10" s="2" customFormat="1" ht="12.75" customHeight="1" x14ac:dyDescent="0.2">
      <c r="A27" s="89">
        <v>45080</v>
      </c>
      <c r="B27" s="91" t="s">
        <v>6</v>
      </c>
      <c r="C27" s="76" t="s">
        <v>14</v>
      </c>
      <c r="D27" s="116" t="s">
        <v>13</v>
      </c>
      <c r="E27" s="31">
        <v>26775</v>
      </c>
      <c r="G27" s="30"/>
      <c r="I27" s="13"/>
      <c r="J27" s="13"/>
    </row>
    <row r="28" spans="1:10" s="2" customFormat="1" ht="12.75" customHeight="1" x14ac:dyDescent="0.2">
      <c r="A28" s="89">
        <v>45080</v>
      </c>
      <c r="B28" s="91" t="s">
        <v>6</v>
      </c>
      <c r="C28" s="76" t="s">
        <v>257</v>
      </c>
      <c r="D28" s="116" t="s">
        <v>13</v>
      </c>
      <c r="E28" s="31">
        <v>5144151.24</v>
      </c>
      <c r="G28" s="30"/>
      <c r="I28" s="13"/>
      <c r="J28" s="13"/>
    </row>
    <row r="29" spans="1:10" s="2" customFormat="1" ht="12.75" customHeight="1" x14ac:dyDescent="0.2">
      <c r="A29" s="89">
        <v>45080</v>
      </c>
      <c r="B29" s="91" t="s">
        <v>11</v>
      </c>
      <c r="C29" s="76" t="s">
        <v>64</v>
      </c>
      <c r="D29" s="116" t="s">
        <v>29</v>
      </c>
      <c r="E29" s="31"/>
      <c r="F29" s="2">
        <v>12.98</v>
      </c>
      <c r="G29" s="30"/>
      <c r="I29" s="13"/>
      <c r="J29" s="13"/>
    </row>
    <row r="30" spans="1:10" s="2" customFormat="1" ht="12.75" customHeight="1" x14ac:dyDescent="0.2">
      <c r="A30" s="89">
        <v>45080</v>
      </c>
      <c r="B30" s="91" t="s">
        <v>11</v>
      </c>
      <c r="C30" s="76" t="s">
        <v>111</v>
      </c>
      <c r="D30" s="116" t="s">
        <v>29</v>
      </c>
      <c r="E30" s="31"/>
      <c r="F30" s="2">
        <v>1160458.3799999999</v>
      </c>
      <c r="G30" s="30"/>
      <c r="I30" s="13"/>
      <c r="J30" s="13"/>
    </row>
    <row r="31" spans="1:10" s="2" customFormat="1" ht="12.75" customHeight="1" x14ac:dyDescent="0.2">
      <c r="A31" s="89">
        <v>45080</v>
      </c>
      <c r="B31" s="91" t="s">
        <v>11</v>
      </c>
      <c r="C31" s="76" t="s">
        <v>109</v>
      </c>
      <c r="D31" s="116" t="s">
        <v>29</v>
      </c>
      <c r="E31" s="31"/>
      <c r="F31" s="2">
        <v>1195767.3999999999</v>
      </c>
      <c r="G31" s="30"/>
      <c r="I31" s="13"/>
      <c r="J31" s="13"/>
    </row>
    <row r="32" spans="1:10" s="2" customFormat="1" ht="12.75" customHeight="1" x14ac:dyDescent="0.2">
      <c r="A32" s="89">
        <v>45080</v>
      </c>
      <c r="B32" s="91" t="s">
        <v>11</v>
      </c>
      <c r="C32" s="76" t="s">
        <v>676</v>
      </c>
      <c r="D32" s="116" t="s">
        <v>29</v>
      </c>
      <c r="E32" s="31"/>
      <c r="F32" s="2">
        <v>252358</v>
      </c>
      <c r="G32" s="30"/>
      <c r="I32" s="13"/>
      <c r="J32" s="13"/>
    </row>
    <row r="33" spans="1:10" s="2" customFormat="1" ht="12.75" customHeight="1" x14ac:dyDescent="0.2">
      <c r="A33" s="89">
        <v>45080</v>
      </c>
      <c r="B33" s="91" t="s">
        <v>11</v>
      </c>
      <c r="C33" s="76" t="s">
        <v>186</v>
      </c>
      <c r="D33" s="116" t="s">
        <v>29</v>
      </c>
      <c r="E33" s="31"/>
      <c r="F33" s="2">
        <v>398380</v>
      </c>
      <c r="G33" s="30"/>
      <c r="I33" s="13"/>
      <c r="J33" s="13"/>
    </row>
    <row r="34" spans="1:10" s="2" customFormat="1" ht="12.75" customHeight="1" x14ac:dyDescent="0.2">
      <c r="A34" s="89">
        <v>45080</v>
      </c>
      <c r="B34" s="91" t="s">
        <v>11</v>
      </c>
      <c r="C34" s="76" t="s">
        <v>804</v>
      </c>
      <c r="D34" s="116" t="s">
        <v>29</v>
      </c>
      <c r="E34" s="31"/>
      <c r="F34" s="2">
        <v>219437</v>
      </c>
      <c r="G34" s="30"/>
      <c r="I34" s="13"/>
      <c r="J34" s="13"/>
    </row>
    <row r="35" spans="1:10" s="2" customFormat="1" ht="12.75" customHeight="1" x14ac:dyDescent="0.2">
      <c r="A35" s="89">
        <v>45080</v>
      </c>
      <c r="B35" s="91" t="s">
        <v>11</v>
      </c>
      <c r="C35" s="76" t="s">
        <v>184</v>
      </c>
      <c r="D35" s="116" t="s">
        <v>29</v>
      </c>
      <c r="E35" s="31"/>
      <c r="F35" s="2">
        <v>53856</v>
      </c>
      <c r="G35" s="30"/>
      <c r="I35" s="13"/>
      <c r="J35" s="13"/>
    </row>
    <row r="36" spans="1:10" s="2" customFormat="1" ht="12.75" customHeight="1" x14ac:dyDescent="0.2">
      <c r="A36" s="89">
        <v>45080</v>
      </c>
      <c r="B36" s="91" t="s">
        <v>11</v>
      </c>
      <c r="C36" s="76" t="s">
        <v>185</v>
      </c>
      <c r="D36" s="116" t="s">
        <v>29</v>
      </c>
      <c r="E36" s="31"/>
      <c r="F36" s="2">
        <v>760400</v>
      </c>
      <c r="G36" s="30"/>
      <c r="I36" s="13"/>
      <c r="J36" s="13"/>
    </row>
    <row r="37" spans="1:10" s="2" customFormat="1" ht="12.75" customHeight="1" x14ac:dyDescent="0.2">
      <c r="A37" s="89">
        <v>45080</v>
      </c>
      <c r="B37" s="91" t="s">
        <v>11</v>
      </c>
      <c r="C37" s="76" t="s">
        <v>187</v>
      </c>
      <c r="D37" s="116" t="s">
        <v>29</v>
      </c>
      <c r="E37" s="31"/>
      <c r="F37" s="2">
        <v>1178145</v>
      </c>
      <c r="G37" s="30"/>
      <c r="I37" s="13"/>
      <c r="J37" s="13"/>
    </row>
    <row r="38" spans="1:10" s="2" customFormat="1" ht="12.75" customHeight="1" x14ac:dyDescent="0.2">
      <c r="A38" s="89">
        <v>45080</v>
      </c>
      <c r="B38" s="91" t="s">
        <v>11</v>
      </c>
      <c r="C38" s="76" t="s">
        <v>188</v>
      </c>
      <c r="D38" s="116" t="s">
        <v>29</v>
      </c>
      <c r="E38" s="31"/>
      <c r="F38" s="2">
        <v>237636</v>
      </c>
      <c r="G38" s="30"/>
      <c r="I38" s="13"/>
      <c r="J38" s="13"/>
    </row>
    <row r="39" spans="1:10" s="2" customFormat="1" ht="12.75" customHeight="1" x14ac:dyDescent="0.2">
      <c r="A39" s="89">
        <v>45080</v>
      </c>
      <c r="B39" s="91" t="s">
        <v>11</v>
      </c>
      <c r="C39" s="76" t="s">
        <v>630</v>
      </c>
      <c r="D39" s="116" t="s">
        <v>29</v>
      </c>
      <c r="E39" s="31"/>
      <c r="F39" s="2">
        <v>22500</v>
      </c>
      <c r="G39" s="30"/>
      <c r="I39" s="13"/>
      <c r="J39" s="13"/>
    </row>
    <row r="40" spans="1:10" s="2" customFormat="1" ht="12.75" customHeight="1" x14ac:dyDescent="0.2">
      <c r="A40" s="89">
        <v>45080</v>
      </c>
      <c r="B40" s="91" t="s">
        <v>11</v>
      </c>
      <c r="C40" s="76" t="s">
        <v>189</v>
      </c>
      <c r="D40" s="116" t="s">
        <v>29</v>
      </c>
      <c r="E40" s="31"/>
      <c r="F40" s="2">
        <v>547584</v>
      </c>
      <c r="G40" s="30"/>
      <c r="I40" s="13"/>
      <c r="J40" s="13"/>
    </row>
    <row r="41" spans="1:10" s="2" customFormat="1" ht="12.75" customHeight="1" x14ac:dyDescent="0.2">
      <c r="A41" s="89">
        <v>45080</v>
      </c>
      <c r="B41" s="91" t="s">
        <v>11</v>
      </c>
      <c r="C41" s="76" t="s">
        <v>190</v>
      </c>
      <c r="D41" s="116" t="s">
        <v>29</v>
      </c>
      <c r="E41" s="31"/>
      <c r="F41" s="2">
        <v>1234617</v>
      </c>
      <c r="G41" s="30"/>
      <c r="I41" s="13"/>
      <c r="J41" s="13"/>
    </row>
    <row r="42" spans="1:10" s="2" customFormat="1" ht="12.75" customHeight="1" x14ac:dyDescent="0.2">
      <c r="A42" s="89">
        <v>45080</v>
      </c>
      <c r="B42" s="91" t="s">
        <v>11</v>
      </c>
      <c r="C42" s="76" t="s">
        <v>191</v>
      </c>
      <c r="D42" s="116" t="s">
        <v>29</v>
      </c>
      <c r="E42" s="31"/>
      <c r="F42" s="2">
        <v>65090</v>
      </c>
      <c r="G42" s="30"/>
      <c r="I42" s="13"/>
      <c r="J42" s="13"/>
    </row>
    <row r="43" spans="1:10" s="2" customFormat="1" ht="12.75" customHeight="1" x14ac:dyDescent="0.2">
      <c r="A43" s="89">
        <v>45080</v>
      </c>
      <c r="B43" s="91" t="s">
        <v>11</v>
      </c>
      <c r="C43" s="76" t="s">
        <v>588</v>
      </c>
      <c r="D43" s="116" t="s">
        <v>29</v>
      </c>
      <c r="E43" s="31"/>
      <c r="F43" s="2">
        <v>230145</v>
      </c>
      <c r="G43" s="30"/>
      <c r="I43" s="13"/>
      <c r="J43" s="13"/>
    </row>
    <row r="44" spans="1:10" s="2" customFormat="1" ht="12.75" customHeight="1" x14ac:dyDescent="0.2">
      <c r="A44" s="89">
        <v>45080</v>
      </c>
      <c r="B44" s="91" t="s">
        <v>11</v>
      </c>
      <c r="C44" s="76" t="s">
        <v>206</v>
      </c>
      <c r="D44" s="116" t="s">
        <v>29</v>
      </c>
      <c r="E44" s="31"/>
      <c r="F44" s="2">
        <v>1137101</v>
      </c>
      <c r="G44" s="30"/>
      <c r="I44" s="13"/>
      <c r="J44" s="13"/>
    </row>
    <row r="45" spans="1:10" s="2" customFormat="1" ht="12.75" customHeight="1" x14ac:dyDescent="0.2">
      <c r="A45" s="89">
        <v>45080</v>
      </c>
      <c r="B45" s="91" t="s">
        <v>11</v>
      </c>
      <c r="C45" s="76" t="s">
        <v>192</v>
      </c>
      <c r="D45" s="116" t="s">
        <v>29</v>
      </c>
      <c r="E45" s="31"/>
      <c r="F45" s="2">
        <v>530094</v>
      </c>
      <c r="G45" s="30"/>
      <c r="I45" s="13"/>
      <c r="J45" s="13"/>
    </row>
    <row r="46" spans="1:10" s="2" customFormat="1" ht="12.75" customHeight="1" x14ac:dyDescent="0.2">
      <c r="A46" s="89">
        <v>45080</v>
      </c>
      <c r="B46" s="91" t="s">
        <v>11</v>
      </c>
      <c r="C46" s="76" t="s">
        <v>664</v>
      </c>
      <c r="D46" s="116" t="s">
        <v>29</v>
      </c>
      <c r="E46" s="31"/>
      <c r="F46" s="2">
        <v>37442</v>
      </c>
      <c r="G46" s="30"/>
      <c r="I46" s="13"/>
      <c r="J46" s="13"/>
    </row>
    <row r="47" spans="1:10" s="2" customFormat="1" ht="12.75" customHeight="1" x14ac:dyDescent="0.2">
      <c r="A47" s="89">
        <v>45080</v>
      </c>
      <c r="B47" s="91" t="s">
        <v>11</v>
      </c>
      <c r="C47" s="76" t="s">
        <v>387</v>
      </c>
      <c r="D47" s="116" t="s">
        <v>29</v>
      </c>
      <c r="E47" s="31"/>
      <c r="F47" s="2">
        <v>25780</v>
      </c>
      <c r="G47" s="30"/>
      <c r="I47" s="13"/>
      <c r="J47" s="13"/>
    </row>
    <row r="48" spans="1:10" s="2" customFormat="1" ht="12.75" customHeight="1" x14ac:dyDescent="0.2">
      <c r="A48" s="89">
        <v>45080</v>
      </c>
      <c r="B48" s="91" t="s">
        <v>11</v>
      </c>
      <c r="C48" s="76" t="s">
        <v>747</v>
      </c>
      <c r="D48" s="116" t="s">
        <v>29</v>
      </c>
      <c r="E48" s="31"/>
      <c r="F48" s="2">
        <v>100000</v>
      </c>
      <c r="G48" s="30"/>
      <c r="I48" s="13"/>
      <c r="J48" s="13"/>
    </row>
    <row r="49" spans="1:14" s="2" customFormat="1" ht="12.75" customHeight="1" x14ac:dyDescent="0.2">
      <c r="A49" s="89">
        <v>45080</v>
      </c>
      <c r="B49" s="91" t="s">
        <v>11</v>
      </c>
      <c r="C49" s="76" t="s">
        <v>123</v>
      </c>
      <c r="D49" s="116" t="s">
        <v>29</v>
      </c>
      <c r="E49" s="31"/>
      <c r="F49" s="2">
        <v>2745199</v>
      </c>
      <c r="G49" s="30"/>
      <c r="I49" s="13"/>
      <c r="J49" s="13"/>
      <c r="K49" s="25" t="s">
        <v>779</v>
      </c>
    </row>
    <row r="50" spans="1:14" s="2" customFormat="1" ht="12.75" customHeight="1" x14ac:dyDescent="0.25">
      <c r="A50" s="32"/>
      <c r="B50" s="33"/>
      <c r="C50" s="14"/>
      <c r="D50" s="34"/>
      <c r="E50" s="16">
        <f>SUM(E18:E49)</f>
        <v>6655849.2400000002</v>
      </c>
      <c r="F50" s="16">
        <f>SUM(F18:F49)</f>
        <v>289213238.21999979</v>
      </c>
      <c r="G50" s="30"/>
      <c r="H50" s="1"/>
      <c r="I50" s="39">
        <v>282557388.98000002</v>
      </c>
      <c r="K50" s="92">
        <f>E51-I50</f>
        <v>0</v>
      </c>
      <c r="L50" s="41"/>
      <c r="M50" s="42"/>
    </row>
    <row r="51" spans="1:14" s="2" customFormat="1" ht="12.75" customHeight="1" x14ac:dyDescent="0.2">
      <c r="A51" s="36"/>
      <c r="B51" s="28" t="s">
        <v>11</v>
      </c>
      <c r="C51" s="19" t="s">
        <v>65</v>
      </c>
      <c r="D51" s="37"/>
      <c r="E51" s="38">
        <f>F50-E50</f>
        <v>282557388.97999978</v>
      </c>
      <c r="F51" s="22"/>
      <c r="G51" s="1"/>
      <c r="H51" s="1"/>
      <c r="J51" s="1"/>
      <c r="K51" s="1"/>
      <c r="L51" s="1"/>
      <c r="M51" s="1"/>
    </row>
    <row r="52" spans="1:14" s="2" customFormat="1" ht="12.75" customHeight="1" x14ac:dyDescent="0.2">
      <c r="A52" s="36"/>
      <c r="B52" s="28" t="s">
        <v>66</v>
      </c>
      <c r="C52" s="43" t="s">
        <v>67</v>
      </c>
      <c r="D52" s="43"/>
      <c r="E52" s="12">
        <v>59416310</v>
      </c>
      <c r="F52" s="22"/>
      <c r="G52" s="1"/>
      <c r="H52" s="40"/>
      <c r="I52" s="45">
        <v>444.24</v>
      </c>
      <c r="J52" s="46"/>
      <c r="K52" s="46"/>
      <c r="L52" s="13"/>
    </row>
    <row r="53" spans="1:14" s="2" customFormat="1" ht="12.75" customHeight="1" x14ac:dyDescent="0.25">
      <c r="A53" s="36"/>
      <c r="B53" s="28"/>
      <c r="C53" s="44" t="s">
        <v>68</v>
      </c>
      <c r="D53" s="43"/>
      <c r="E53" s="7">
        <f>E51+E52</f>
        <v>341973698.97999978</v>
      </c>
      <c r="F53" s="22"/>
      <c r="G53" s="1"/>
      <c r="H53" s="103" t="s">
        <v>69</v>
      </c>
      <c r="I53" s="45">
        <v>11.27</v>
      </c>
      <c r="J53" s="46"/>
      <c r="K53" s="46"/>
      <c r="N53" s="1"/>
    </row>
    <row r="54" spans="1:14" s="2" customFormat="1" x14ac:dyDescent="0.2">
      <c r="A54" s="24"/>
      <c r="B54" s="1"/>
      <c r="C54" s="14"/>
      <c r="D54" s="25"/>
      <c r="E54" s="1"/>
      <c r="H54" s="35" t="s">
        <v>70</v>
      </c>
      <c r="I54" s="45">
        <v>0</v>
      </c>
      <c r="J54" s="46">
        <f>+I55-D57</f>
        <v>0</v>
      </c>
      <c r="M54" s="2">
        <v>19.57</v>
      </c>
      <c r="N54" s="1"/>
    </row>
    <row r="55" spans="1:14" x14ac:dyDescent="0.2">
      <c r="C55" s="56"/>
      <c r="D55" s="56"/>
      <c r="E55" s="104"/>
      <c r="I55" s="49">
        <f>SUM(I52:I54)</f>
        <v>455.51</v>
      </c>
      <c r="J55" s="46"/>
      <c r="K55" s="46"/>
      <c r="L55" s="2"/>
      <c r="M55" s="2"/>
      <c r="N55" s="2"/>
    </row>
    <row r="56" spans="1:14" x14ac:dyDescent="0.2">
      <c r="C56" s="78" t="s">
        <v>575</v>
      </c>
      <c r="D56" s="48" t="s">
        <v>576</v>
      </c>
      <c r="E56" s="104"/>
      <c r="I56" s="2"/>
      <c r="J56" s="2"/>
      <c r="K56" s="2"/>
      <c r="L56" s="2"/>
      <c r="M56" s="2"/>
      <c r="N56" s="2"/>
    </row>
    <row r="57" spans="1:14" s="2" customFormat="1" x14ac:dyDescent="0.2">
      <c r="A57" s="24"/>
      <c r="B57" s="1"/>
      <c r="C57" s="47" t="s">
        <v>570</v>
      </c>
      <c r="D57" s="111">
        <v>455.51</v>
      </c>
      <c r="E57" s="104"/>
      <c r="G57" s="1"/>
      <c r="H57" s="110" t="s">
        <v>581</v>
      </c>
      <c r="N57" s="2" t="s">
        <v>535</v>
      </c>
    </row>
    <row r="58" spans="1:14" s="2" customFormat="1" x14ac:dyDescent="0.2">
      <c r="A58" s="24"/>
      <c r="B58" s="1"/>
      <c r="C58" s="47" t="s">
        <v>931</v>
      </c>
      <c r="D58" s="111">
        <v>12.84</v>
      </c>
      <c r="E58" s="104"/>
      <c r="G58" s="1"/>
      <c r="H58" s="110" t="s">
        <v>580</v>
      </c>
    </row>
    <row r="59" spans="1:14" s="2" customFormat="1" x14ac:dyDescent="0.2">
      <c r="A59" s="24"/>
      <c r="B59" s="1"/>
      <c r="C59" s="47" t="s">
        <v>572</v>
      </c>
      <c r="D59" s="111">
        <f>+D75/100000</f>
        <v>0</v>
      </c>
      <c r="E59" s="104"/>
      <c r="G59" s="1"/>
      <c r="H59" s="90" t="s">
        <v>587</v>
      </c>
    </row>
    <row r="60" spans="1:14" s="2" customFormat="1" x14ac:dyDescent="0.2">
      <c r="A60" s="24"/>
      <c r="B60" s="1"/>
      <c r="C60" s="108" t="s">
        <v>578</v>
      </c>
      <c r="D60" s="48">
        <f>SUM(D57:D59)</f>
        <v>468.34999999999997</v>
      </c>
      <c r="E60" s="104"/>
      <c r="G60" s="1"/>
    </row>
    <row r="61" spans="1:14" s="2" customFormat="1" x14ac:dyDescent="0.2">
      <c r="A61" s="24"/>
      <c r="B61" s="1"/>
      <c r="C61" s="47"/>
      <c r="D61" s="107"/>
      <c r="E61" s="104"/>
      <c r="G61" s="1"/>
    </row>
    <row r="62" spans="1:14" s="2" customFormat="1" x14ac:dyDescent="0.2">
      <c r="A62" s="24"/>
      <c r="B62" s="1"/>
      <c r="C62" s="47" t="s">
        <v>932</v>
      </c>
      <c r="D62" s="111">
        <v>156.21</v>
      </c>
      <c r="E62" s="104"/>
      <c r="G62" s="1"/>
      <c r="H62" s="110" t="s">
        <v>581</v>
      </c>
    </row>
    <row r="63" spans="1:14" s="2" customFormat="1" x14ac:dyDescent="0.2">
      <c r="A63" s="24"/>
      <c r="B63" s="1"/>
      <c r="C63" s="47" t="s">
        <v>933</v>
      </c>
      <c r="D63" s="111">
        <v>0</v>
      </c>
      <c r="E63" s="104"/>
      <c r="G63" s="1"/>
      <c r="H63" s="110" t="s">
        <v>581</v>
      </c>
      <c r="J63" s="114" t="s">
        <v>713</v>
      </c>
    </row>
    <row r="64" spans="1:14" s="2" customFormat="1" x14ac:dyDescent="0.2">
      <c r="A64" s="24"/>
      <c r="B64" s="1"/>
      <c r="C64" s="78" t="s">
        <v>579</v>
      </c>
      <c r="D64" s="109">
        <f>D62+D63</f>
        <v>156.21</v>
      </c>
      <c r="E64" s="104"/>
      <c r="G64" s="1"/>
      <c r="I64" s="113"/>
      <c r="J64" s="113" t="s">
        <v>709</v>
      </c>
      <c r="K64" s="113" t="s">
        <v>710</v>
      </c>
      <c r="L64" s="113" t="s">
        <v>711</v>
      </c>
      <c r="M64" s="113" t="s">
        <v>712</v>
      </c>
    </row>
    <row r="65" spans="1:13" s="2" customFormat="1" x14ac:dyDescent="0.2">
      <c r="A65" s="24"/>
      <c r="B65" s="1"/>
      <c r="C65" s="105"/>
      <c r="D65" s="106"/>
      <c r="E65" s="104"/>
      <c r="G65" s="1"/>
      <c r="I65" s="113" t="s">
        <v>706</v>
      </c>
      <c r="J65" s="115"/>
      <c r="K65" s="115">
        <v>968.99</v>
      </c>
      <c r="L65" s="115">
        <v>968.99</v>
      </c>
      <c r="M65" s="113">
        <f>+J65+L65-K65</f>
        <v>0</v>
      </c>
    </row>
    <row r="66" spans="1:13" s="2" customFormat="1" x14ac:dyDescent="0.2">
      <c r="A66" s="24"/>
      <c r="B66" s="1"/>
      <c r="C66" s="78" t="s">
        <v>577</v>
      </c>
      <c r="D66" s="109">
        <f>D57+D64</f>
        <v>611.72</v>
      </c>
      <c r="E66" s="104"/>
      <c r="G66" s="1"/>
      <c r="I66" s="113" t="s">
        <v>707</v>
      </c>
      <c r="J66" s="115">
        <v>183.1</v>
      </c>
      <c r="K66" s="115">
        <v>1973.8</v>
      </c>
      <c r="L66" s="115">
        <v>2949.02</v>
      </c>
      <c r="M66" s="113">
        <f>+J66+L66-K66</f>
        <v>1158.32</v>
      </c>
    </row>
    <row r="67" spans="1:13" s="2" customFormat="1" x14ac:dyDescent="0.2">
      <c r="A67" s="24"/>
      <c r="B67" s="1"/>
      <c r="C67" s="56"/>
      <c r="D67" s="56"/>
      <c r="E67" s="104"/>
      <c r="G67" s="1"/>
      <c r="I67" s="113" t="s">
        <v>708</v>
      </c>
      <c r="J67" s="115">
        <v>1371.02</v>
      </c>
      <c r="K67" s="115">
        <v>11599.24</v>
      </c>
      <c r="L67" s="115">
        <v>11750.13</v>
      </c>
      <c r="M67" s="113">
        <f>+J67+L67-K67</f>
        <v>1521.9099999999999</v>
      </c>
    </row>
    <row r="68" spans="1:13" s="2" customFormat="1" ht="38.25" x14ac:dyDescent="0.2">
      <c r="A68" s="24"/>
      <c r="B68" s="1"/>
      <c r="C68" s="79" t="str">
        <f>"Particulars ( 01-04-2021 to "&amp;TEXT(A5,"dd-mm-yyyy")&amp;" )"</f>
        <v>Particulars ( 01-04-2021 to 03-06-2023 )</v>
      </c>
      <c r="D68" s="80" t="s">
        <v>73</v>
      </c>
      <c r="E68" s="80" t="s">
        <v>74</v>
      </c>
      <c r="F68" s="81" t="s">
        <v>75</v>
      </c>
      <c r="G68" s="80" t="s">
        <v>76</v>
      </c>
      <c r="J68" s="118">
        <f>SUM(J65:J67)</f>
        <v>1554.12</v>
      </c>
      <c r="K68" s="118">
        <f>SUM(K65:K67)</f>
        <v>14542.029999999999</v>
      </c>
      <c r="L68" s="118">
        <f>SUM(L65:L67)</f>
        <v>15668.14</v>
      </c>
      <c r="M68" s="118">
        <f>SUM(M65:M67)</f>
        <v>2680.2299999999996</v>
      </c>
    </row>
    <row r="69" spans="1:13" s="2" customFormat="1" x14ac:dyDescent="0.2">
      <c r="A69" s="24"/>
      <c r="B69" s="1"/>
      <c r="C69" s="50" t="s">
        <v>444</v>
      </c>
      <c r="D69" s="55">
        <f>+L65+L66+J66</f>
        <v>4101.1100000000006</v>
      </c>
      <c r="E69" s="55">
        <f>+K65+K66</f>
        <v>2942.79</v>
      </c>
      <c r="F69" s="55">
        <f>+D69-E69</f>
        <v>1158.3200000000006</v>
      </c>
      <c r="G69" s="55">
        <f>1500-F69</f>
        <v>341.67999999999938</v>
      </c>
      <c r="H69" s="2" t="s">
        <v>396</v>
      </c>
    </row>
    <row r="70" spans="1:13" s="2" customFormat="1" x14ac:dyDescent="0.2">
      <c r="A70" s="24"/>
      <c r="B70" s="1"/>
      <c r="C70" s="50" t="s">
        <v>71</v>
      </c>
      <c r="D70" s="55">
        <f>+J67+L67</f>
        <v>13121.15</v>
      </c>
      <c r="E70" s="55">
        <f>+K67</f>
        <v>11599.24</v>
      </c>
      <c r="F70" s="55">
        <f>+D70-E70</f>
        <v>1521.9099999999999</v>
      </c>
      <c r="G70" s="55">
        <f>1500+700-F70</f>
        <v>678.09000000000015</v>
      </c>
      <c r="H70" s="2" t="s">
        <v>396</v>
      </c>
    </row>
    <row r="71" spans="1:13" s="2" customFormat="1" x14ac:dyDescent="0.2">
      <c r="A71" s="24"/>
      <c r="B71" s="1"/>
      <c r="C71" s="14"/>
      <c r="D71" s="56"/>
      <c r="E71" s="13"/>
      <c r="G71" s="1"/>
    </row>
    <row r="72" spans="1:13" s="2" customFormat="1" x14ac:dyDescent="0.2">
      <c r="A72" s="215" t="s">
        <v>80</v>
      </c>
      <c r="B72" s="216"/>
      <c r="C72" s="216"/>
      <c r="D72" s="217"/>
      <c r="E72" s="69"/>
      <c r="F72" s="70"/>
      <c r="G72" s="1"/>
      <c r="H72" s="53"/>
    </row>
    <row r="73" spans="1:13" s="2" customFormat="1" x14ac:dyDescent="0.2">
      <c r="A73" s="71" t="s">
        <v>81</v>
      </c>
      <c r="B73" s="71"/>
      <c r="C73" s="72" t="s">
        <v>82</v>
      </c>
      <c r="D73" s="73" t="s">
        <v>83</v>
      </c>
      <c r="E73" s="69"/>
      <c r="F73" s="70"/>
      <c r="H73" s="53"/>
    </row>
    <row r="74" spans="1:13" s="2" customFormat="1" x14ac:dyDescent="0.2">
      <c r="A74" s="87"/>
      <c r="B74" s="120"/>
      <c r="C74" s="75"/>
      <c r="D74" s="88"/>
      <c r="G74" s="1"/>
      <c r="L74" s="1"/>
      <c r="M74" s="1"/>
    </row>
    <row r="75" spans="1:13" s="2" customFormat="1" x14ac:dyDescent="0.2">
      <c r="A75" s="87"/>
      <c r="B75" s="74"/>
      <c r="C75" s="75"/>
      <c r="D75" s="51">
        <f>SUM(D74:D74)</f>
        <v>0</v>
      </c>
      <c r="F75" s="2" t="s">
        <v>396</v>
      </c>
      <c r="G75" s="1"/>
      <c r="L75" s="1"/>
      <c r="M75" s="1"/>
    </row>
    <row r="76" spans="1:13" s="2" customFormat="1" x14ac:dyDescent="0.2">
      <c r="A76" s="24"/>
      <c r="B76" s="1"/>
      <c r="C76" s="14"/>
      <c r="D76" s="56"/>
      <c r="E76" s="13"/>
      <c r="G76" s="1"/>
      <c r="L76" s="1"/>
      <c r="M76" s="1"/>
    </row>
    <row r="77" spans="1:13" s="2" customFormat="1" x14ac:dyDescent="0.2">
      <c r="A77" s="24"/>
      <c r="B77" s="1"/>
      <c r="C77" s="218" t="s">
        <v>77</v>
      </c>
      <c r="D77" s="219"/>
      <c r="E77" s="219"/>
      <c r="F77" s="220"/>
      <c r="G77" s="1"/>
      <c r="L77" s="1"/>
      <c r="M77" s="1"/>
    </row>
    <row r="78" spans="1:13" s="2" customFormat="1" x14ac:dyDescent="0.2">
      <c r="A78" s="24"/>
      <c r="B78" s="1"/>
      <c r="C78" s="50"/>
      <c r="D78" s="57" t="s">
        <v>78</v>
      </c>
      <c r="E78" s="58" t="s">
        <v>79</v>
      </c>
      <c r="F78" s="57" t="s">
        <v>72</v>
      </c>
      <c r="G78" s="1"/>
      <c r="I78" s="1"/>
      <c r="J78" s="1"/>
      <c r="K78" s="1"/>
      <c r="L78" s="1"/>
      <c r="M78" s="1"/>
    </row>
    <row r="79" spans="1:13" s="2" customFormat="1" x14ac:dyDescent="0.2">
      <c r="A79" s="24"/>
      <c r="B79" s="1"/>
      <c r="C79" s="59" t="str">
        <f>"01-06-2023 to "&amp;TEXT(A5-2,"dd-mm-yyyy")</f>
        <v>01-06-2023 to 01-06-2023</v>
      </c>
      <c r="D79" s="60">
        <v>444.98</v>
      </c>
      <c r="E79" s="60">
        <v>12.44</v>
      </c>
      <c r="F79" s="61">
        <f>SUM(D79:E79)</f>
        <v>457.42</v>
      </c>
      <c r="G79" s="1"/>
    </row>
    <row r="80" spans="1:13" s="2" customFormat="1" x14ac:dyDescent="0.2">
      <c r="A80" s="24"/>
      <c r="B80" s="1"/>
      <c r="C80" s="62" t="str">
        <f>TEXT(A5-1,"dd-mm-yyyy")</f>
        <v>02-06-2023</v>
      </c>
      <c r="D80" s="60">
        <v>89.42</v>
      </c>
      <c r="E80" s="60">
        <v>14.99</v>
      </c>
      <c r="F80" s="61">
        <f>SUM(D80:E80)</f>
        <v>104.41</v>
      </c>
      <c r="G80" s="54"/>
      <c r="I80" s="1"/>
      <c r="J80" s="1"/>
      <c r="K80" s="1"/>
      <c r="L80" s="1"/>
      <c r="M80" s="1"/>
    </row>
    <row r="81" spans="1:13" s="2" customFormat="1" ht="13.5" thickBot="1" x14ac:dyDescent="0.25">
      <c r="A81" s="24"/>
      <c r="B81" s="1"/>
      <c r="C81" s="63" t="str">
        <f>"01-06-2023 to "&amp;TEXT(A5-1,"dd-mm-yyyy")</f>
        <v>01-06-2023 to 02-06-2023</v>
      </c>
      <c r="D81" s="64">
        <f>SUM(D79:D80)</f>
        <v>534.4</v>
      </c>
      <c r="E81" s="64">
        <f>SUM(E79:E80)</f>
        <v>27.43</v>
      </c>
      <c r="F81" s="64">
        <f>SUM(F79:F80)</f>
        <v>561.83000000000004</v>
      </c>
      <c r="G81" s="54"/>
      <c r="I81" s="1"/>
      <c r="J81" s="1"/>
      <c r="K81" s="1"/>
      <c r="L81" s="1"/>
      <c r="M81" s="1"/>
    </row>
    <row r="82" spans="1:13" s="2" customFormat="1" ht="13.5" thickTop="1" x14ac:dyDescent="0.2">
      <c r="A82" s="24"/>
      <c r="B82" s="1"/>
      <c r="C82" s="62"/>
      <c r="D82" s="65"/>
      <c r="E82" s="66"/>
      <c r="F82" s="67"/>
      <c r="G82" s="54"/>
      <c r="I82" s="1"/>
      <c r="J82" s="1"/>
      <c r="K82" s="1"/>
      <c r="L82" s="1"/>
      <c r="M82" s="1"/>
    </row>
    <row r="83" spans="1:13" s="2" customFormat="1" x14ac:dyDescent="0.2">
      <c r="A83" s="24"/>
      <c r="B83" s="1"/>
      <c r="C83" s="62" t="str">
        <f>"01-04-2023 to " &amp;C80</f>
        <v>01-04-2023 to 02-06-2023</v>
      </c>
      <c r="D83" s="68">
        <f>+D81+9222.31</f>
        <v>9756.7099999999991</v>
      </c>
      <c r="E83" s="68">
        <f>+E81+906.58</f>
        <v>934.01</v>
      </c>
      <c r="F83" s="68">
        <f>+F81+10128.88</f>
        <v>10690.71</v>
      </c>
      <c r="G83" s="54"/>
      <c r="I83" s="1"/>
      <c r="J83" s="1"/>
      <c r="K83" s="1"/>
      <c r="L83" s="1"/>
      <c r="M83" s="1"/>
    </row>
    <row r="84" spans="1:13" x14ac:dyDescent="0.2">
      <c r="C84" s="52"/>
      <c r="D84" s="85"/>
      <c r="E84" s="53"/>
      <c r="F84" s="53"/>
      <c r="G84" s="54"/>
      <c r="H84" s="2" t="s">
        <v>396</v>
      </c>
    </row>
    <row r="85" spans="1:13" s="2" customFormat="1" x14ac:dyDescent="0.2">
      <c r="A85" s="24"/>
      <c r="B85" s="1"/>
      <c r="C85" s="52"/>
      <c r="D85" s="85"/>
      <c r="E85" s="53"/>
      <c r="F85" s="53"/>
      <c r="G85" s="54"/>
      <c r="H85" s="53"/>
    </row>
    <row r="86" spans="1:13" x14ac:dyDescent="0.2">
      <c r="C86" s="52"/>
      <c r="D86" s="85"/>
      <c r="E86" s="53"/>
      <c r="F86" s="53"/>
      <c r="G86" s="54"/>
      <c r="H86" s="53" t="s">
        <v>396</v>
      </c>
    </row>
    <row r="87" spans="1:13" x14ac:dyDescent="0.2">
      <c r="C87" s="52"/>
      <c r="D87" s="85"/>
      <c r="E87" s="53"/>
      <c r="F87" s="53"/>
      <c r="G87" s="54"/>
      <c r="H87" s="53" t="s">
        <v>396</v>
      </c>
      <c r="J87" s="42"/>
    </row>
    <row r="88" spans="1:13" x14ac:dyDescent="0.2">
      <c r="G88" s="54"/>
      <c r="H88" s="53"/>
      <c r="I88" s="101"/>
    </row>
    <row r="89" spans="1:13" x14ac:dyDescent="0.2">
      <c r="G89" s="54"/>
      <c r="H89" s="53"/>
    </row>
    <row r="90" spans="1:13" x14ac:dyDescent="0.2">
      <c r="G90" s="54"/>
      <c r="H90" s="53"/>
    </row>
    <row r="91" spans="1:13" x14ac:dyDescent="0.2">
      <c r="H91" s="53"/>
    </row>
  </sheetData>
  <mergeCells count="6">
    <mergeCell ref="C77:F77"/>
    <mergeCell ref="A1:G1"/>
    <mergeCell ref="A3:F3"/>
    <mergeCell ref="A9:F9"/>
    <mergeCell ref="A16:F16"/>
    <mergeCell ref="A72:D72"/>
  </mergeCells>
  <conditionalFormatting sqref="G69:G70">
    <cfRule type="cellIs" dxfId="519" priority="1" operator="lessThan">
      <formula>0</formula>
    </cfRule>
  </conditionalFormatting>
  <conditionalFormatting sqref="C18">
    <cfRule type="duplicateValues" dxfId="518" priority="2"/>
  </conditionalFormatting>
  <conditionalFormatting sqref="C19:C49">
    <cfRule type="duplicateValues" dxfId="517" priority="520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343">
    <pageSetUpPr fitToPage="1"/>
  </sheetPr>
  <dimension ref="A1:N105"/>
  <sheetViews>
    <sheetView topLeftCell="A62" zoomScaleNormal="100" workbookViewId="0">
      <selection activeCell="C46" sqref="C46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47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1045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45082</v>
      </c>
      <c r="B5" s="9" t="s">
        <v>6</v>
      </c>
      <c r="C5" s="10" t="s">
        <v>7</v>
      </c>
      <c r="D5" s="11"/>
      <c r="E5" s="12">
        <v>219062.70000000019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219062.70000000019</v>
      </c>
      <c r="F6" s="16"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+E6</f>
        <v>219062.70000000019</v>
      </c>
      <c r="F7" s="22"/>
      <c r="G7" s="23"/>
      <c r="H7" s="112"/>
      <c r="I7" s="112"/>
      <c r="J7" s="13"/>
    </row>
    <row r="8" spans="1:10" ht="12.75" customHeight="1" x14ac:dyDescent="0.4">
      <c r="H8" s="112"/>
      <c r="I8" s="112"/>
    </row>
    <row r="9" spans="1:10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12"/>
    </row>
    <row r="10" spans="1:10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12"/>
    </row>
    <row r="11" spans="1:10" s="2" customFormat="1" ht="14.25" customHeight="1" x14ac:dyDescent="0.4">
      <c r="A11" s="89">
        <v>45082</v>
      </c>
      <c r="B11" s="9" t="s">
        <v>6</v>
      </c>
      <c r="C11" s="10" t="s">
        <v>7</v>
      </c>
      <c r="D11" s="11"/>
      <c r="F11" s="12">
        <v>19379726.029999997</v>
      </c>
      <c r="G11" s="1"/>
      <c r="H11" s="112"/>
      <c r="I11" s="112"/>
    </row>
    <row r="12" spans="1:10" s="2" customFormat="1" ht="14.25" customHeight="1" x14ac:dyDescent="0.4">
      <c r="A12" s="89">
        <v>45082</v>
      </c>
      <c r="B12" s="9" t="s">
        <v>6</v>
      </c>
      <c r="C12" s="10" t="s">
        <v>419</v>
      </c>
      <c r="D12" s="11" t="s">
        <v>13</v>
      </c>
      <c r="E12" s="124">
        <v>600000</v>
      </c>
      <c r="F12" s="12"/>
      <c r="G12" s="1"/>
      <c r="H12" s="112"/>
      <c r="I12" s="112"/>
    </row>
    <row r="13" spans="1:10" s="2" customFormat="1" ht="14.25" customHeight="1" x14ac:dyDescent="0.4">
      <c r="A13" s="89">
        <v>45082</v>
      </c>
      <c r="B13" s="9" t="s">
        <v>11</v>
      </c>
      <c r="C13" s="10" t="s">
        <v>194</v>
      </c>
      <c r="D13" s="11" t="s">
        <v>29</v>
      </c>
      <c r="F13" s="12">
        <v>2188386</v>
      </c>
      <c r="G13" s="1"/>
      <c r="H13" s="112"/>
      <c r="I13" s="112"/>
    </row>
    <row r="14" spans="1:10" s="2" customFormat="1" ht="14.25" customHeight="1" x14ac:dyDescent="0.4">
      <c r="A14" s="89">
        <v>45082</v>
      </c>
      <c r="B14" s="9" t="s">
        <v>11</v>
      </c>
      <c r="C14" s="10" t="s">
        <v>790</v>
      </c>
      <c r="D14" s="11" t="s">
        <v>29</v>
      </c>
      <c r="F14" s="12">
        <v>655200</v>
      </c>
      <c r="G14" s="1"/>
      <c r="H14" s="112"/>
      <c r="I14" s="112"/>
    </row>
    <row r="15" spans="1:10" s="2" customFormat="1" ht="14.25" customHeight="1" x14ac:dyDescent="0.4">
      <c r="A15" s="89">
        <v>45082</v>
      </c>
      <c r="B15" s="9" t="s">
        <v>11</v>
      </c>
      <c r="C15" s="10" t="s">
        <v>849</v>
      </c>
      <c r="D15" s="11" t="s">
        <v>29</v>
      </c>
      <c r="F15" s="12">
        <v>805479.25</v>
      </c>
      <c r="G15" s="1"/>
      <c r="H15" s="112"/>
      <c r="I15" s="112"/>
    </row>
    <row r="16" spans="1:10" s="2" customFormat="1" ht="14.25" customHeight="1" x14ac:dyDescent="0.4">
      <c r="A16" s="89">
        <v>45082</v>
      </c>
      <c r="B16" s="9" t="s">
        <v>11</v>
      </c>
      <c r="C16" s="10" t="s">
        <v>745</v>
      </c>
      <c r="D16" s="11" t="s">
        <v>29</v>
      </c>
      <c r="F16" s="12">
        <v>2664213</v>
      </c>
      <c r="G16" s="1"/>
      <c r="H16" s="112"/>
      <c r="I16" s="112"/>
    </row>
    <row r="17" spans="1:10" s="2" customFormat="1" ht="14.25" customHeight="1" x14ac:dyDescent="0.4">
      <c r="A17" s="89">
        <v>45082</v>
      </c>
      <c r="B17" s="9" t="s">
        <v>11</v>
      </c>
      <c r="C17" s="10" t="s">
        <v>193</v>
      </c>
      <c r="D17" s="11" t="s">
        <v>29</v>
      </c>
      <c r="F17" s="12">
        <v>143155</v>
      </c>
      <c r="G17" s="1"/>
      <c r="H17" s="112"/>
      <c r="I17" s="112"/>
    </row>
    <row r="18" spans="1:10" s="2" customFormat="1" ht="14.25" customHeight="1" x14ac:dyDescent="0.4">
      <c r="A18" s="89">
        <v>45082</v>
      </c>
      <c r="B18" s="9" t="s">
        <v>11</v>
      </c>
      <c r="C18" s="10" t="s">
        <v>56</v>
      </c>
      <c r="D18" s="11" t="s">
        <v>29</v>
      </c>
      <c r="F18" s="12">
        <v>366913</v>
      </c>
      <c r="G18" s="1"/>
      <c r="H18" s="112"/>
      <c r="I18" s="112"/>
    </row>
    <row r="19" spans="1:10" s="2" customFormat="1" ht="14.25" customHeight="1" x14ac:dyDescent="0.4">
      <c r="A19" s="89">
        <v>45082</v>
      </c>
      <c r="B19" s="9" t="s">
        <v>11</v>
      </c>
      <c r="C19" s="10" t="s">
        <v>57</v>
      </c>
      <c r="D19" s="11" t="s">
        <v>29</v>
      </c>
      <c r="F19" s="12">
        <v>1000000</v>
      </c>
      <c r="G19" s="1"/>
      <c r="H19" s="112"/>
      <c r="I19" s="112"/>
    </row>
    <row r="20" spans="1:10" s="2" customFormat="1" ht="14.25" customHeight="1" x14ac:dyDescent="0.4">
      <c r="A20" s="89">
        <v>45082</v>
      </c>
      <c r="B20" s="9" t="s">
        <v>11</v>
      </c>
      <c r="C20" s="10" t="s">
        <v>63</v>
      </c>
      <c r="D20" s="11" t="s">
        <v>29</v>
      </c>
      <c r="F20" s="12">
        <v>250000</v>
      </c>
      <c r="G20" s="1"/>
      <c r="H20" s="112"/>
      <c r="I20" s="112"/>
    </row>
    <row r="21" spans="1:10" s="2" customFormat="1" ht="14.25" customHeight="1" x14ac:dyDescent="0.4">
      <c r="A21" s="89">
        <v>45082</v>
      </c>
      <c r="B21" s="9" t="s">
        <v>11</v>
      </c>
      <c r="C21" s="10" t="s">
        <v>592</v>
      </c>
      <c r="D21" s="11" t="s">
        <v>29</v>
      </c>
      <c r="F21" s="12">
        <v>620975</v>
      </c>
      <c r="G21" s="1"/>
      <c r="H21" s="112"/>
      <c r="I21" s="112"/>
    </row>
    <row r="22" spans="1:10" s="2" customFormat="1" ht="14.25" customHeight="1" x14ac:dyDescent="0.4">
      <c r="A22" s="89">
        <v>45082</v>
      </c>
      <c r="B22" s="9" t="s">
        <v>11</v>
      </c>
      <c r="C22" s="10" t="s">
        <v>1046</v>
      </c>
      <c r="D22" s="11" t="s">
        <v>29</v>
      </c>
      <c r="F22" s="12">
        <v>189775</v>
      </c>
      <c r="G22" s="1"/>
      <c r="H22" s="112"/>
      <c r="I22" s="112"/>
    </row>
    <row r="23" spans="1:10" s="13" customFormat="1" ht="14.25" customHeight="1" x14ac:dyDescent="0.4">
      <c r="A23" s="89">
        <v>45082</v>
      </c>
      <c r="B23" s="9" t="s">
        <v>11</v>
      </c>
      <c r="C23" s="10" t="s">
        <v>1047</v>
      </c>
      <c r="D23" s="11" t="s">
        <v>29</v>
      </c>
      <c r="E23" s="12"/>
      <c r="F23" s="12">
        <v>188575</v>
      </c>
      <c r="G23" s="23"/>
      <c r="H23" s="123"/>
      <c r="I23" s="123"/>
    </row>
    <row r="24" spans="1:10" s="2" customFormat="1" ht="12.75" customHeight="1" x14ac:dyDescent="0.4">
      <c r="D24" s="15" t="s">
        <v>8</v>
      </c>
      <c r="E24" s="16">
        <f>SUM(E12:E23)</f>
        <v>600000</v>
      </c>
      <c r="F24" s="16">
        <f>SUM(F11:F23)</f>
        <v>28452397.279999997</v>
      </c>
      <c r="G24" s="1"/>
      <c r="H24" s="112"/>
      <c r="I24" s="112"/>
    </row>
    <row r="25" spans="1:10" s="2" customFormat="1" ht="12.75" customHeight="1" x14ac:dyDescent="0.4">
      <c r="A25" s="17"/>
      <c r="B25" s="18"/>
      <c r="C25" s="96" t="s">
        <v>9</v>
      </c>
      <c r="D25" s="20"/>
      <c r="E25" s="21">
        <f>+F24-E24</f>
        <v>27852397.279999997</v>
      </c>
      <c r="G25" s="23"/>
      <c r="H25" s="112"/>
      <c r="I25" s="112"/>
      <c r="J25" s="13"/>
    </row>
    <row r="26" spans="1:10" s="2" customFormat="1" ht="12.75" customHeight="1" x14ac:dyDescent="0.4">
      <c r="A26" s="24"/>
      <c r="B26" s="1"/>
      <c r="C26" s="14"/>
      <c r="D26" s="25"/>
      <c r="G26" s="23"/>
      <c r="H26" s="112"/>
      <c r="I26" s="112"/>
      <c r="J26" s="13"/>
    </row>
    <row r="27" spans="1:10" s="2" customFormat="1" ht="21.75" customHeight="1" x14ac:dyDescent="0.4">
      <c r="A27" s="214" t="s">
        <v>10</v>
      </c>
      <c r="B27" s="214"/>
      <c r="C27" s="214"/>
      <c r="D27" s="214"/>
      <c r="E27" s="214"/>
      <c r="F27" s="214"/>
      <c r="G27" s="13"/>
      <c r="H27" s="112"/>
      <c r="I27" s="112"/>
      <c r="J27" s="13"/>
    </row>
    <row r="28" spans="1:10" s="2" customFormat="1" ht="12.75" customHeight="1" x14ac:dyDescent="0.4">
      <c r="A28" s="26" t="s">
        <v>1</v>
      </c>
      <c r="B28" s="27" t="s">
        <v>2</v>
      </c>
      <c r="C28" s="5"/>
      <c r="D28" s="6" t="s">
        <v>3</v>
      </c>
      <c r="E28" s="7" t="s">
        <v>4</v>
      </c>
      <c r="F28" s="7" t="s">
        <v>5</v>
      </c>
      <c r="G28" s="23"/>
      <c r="H28" s="112"/>
      <c r="I28" s="112"/>
      <c r="J28" s="13"/>
    </row>
    <row r="29" spans="1:10" s="2" customFormat="1" ht="12.75" customHeight="1" x14ac:dyDescent="0.2">
      <c r="A29" s="89">
        <v>45082</v>
      </c>
      <c r="B29" s="91" t="s">
        <v>11</v>
      </c>
      <c r="C29" s="29" t="s">
        <v>7</v>
      </c>
      <c r="D29" s="25"/>
      <c r="E29" s="31"/>
      <c r="F29" s="2">
        <v>282557388.97999978</v>
      </c>
      <c r="G29" s="30"/>
      <c r="I29" s="13"/>
      <c r="J29" s="13"/>
    </row>
    <row r="30" spans="1:10" s="2" customFormat="1" ht="12.75" customHeight="1" x14ac:dyDescent="0.2">
      <c r="A30" s="89">
        <v>45082</v>
      </c>
      <c r="B30" s="91" t="s">
        <v>6</v>
      </c>
      <c r="C30" s="76" t="s">
        <v>679</v>
      </c>
      <c r="D30" s="116" t="s">
        <v>13</v>
      </c>
      <c r="E30" s="31">
        <v>26880</v>
      </c>
      <c r="G30" s="30"/>
      <c r="I30" s="13"/>
      <c r="J30" s="13"/>
    </row>
    <row r="31" spans="1:10" s="2" customFormat="1" ht="12.75" customHeight="1" x14ac:dyDescent="0.2">
      <c r="A31" s="89">
        <v>45082</v>
      </c>
      <c r="B31" s="91" t="s">
        <v>6</v>
      </c>
      <c r="C31" s="76" t="s">
        <v>807</v>
      </c>
      <c r="D31" s="116" t="s">
        <v>13</v>
      </c>
      <c r="E31" s="31">
        <v>17167</v>
      </c>
      <c r="G31" s="30"/>
      <c r="I31" s="13"/>
      <c r="J31" s="13"/>
    </row>
    <row r="32" spans="1:10" s="2" customFormat="1" ht="12.75" customHeight="1" x14ac:dyDescent="0.2">
      <c r="A32" s="89">
        <v>45082</v>
      </c>
      <c r="B32" s="91" t="s">
        <v>6</v>
      </c>
      <c r="C32" s="76" t="s">
        <v>123</v>
      </c>
      <c r="D32" s="116" t="s">
        <v>13</v>
      </c>
      <c r="E32" s="31">
        <v>40325</v>
      </c>
      <c r="G32" s="30"/>
      <c r="I32" s="13"/>
      <c r="J32" s="13"/>
    </row>
    <row r="33" spans="1:10" s="2" customFormat="1" ht="12.75" customHeight="1" x14ac:dyDescent="0.2">
      <c r="A33" s="89">
        <v>45082</v>
      </c>
      <c r="B33" s="91" t="s">
        <v>6</v>
      </c>
      <c r="C33" s="76" t="s">
        <v>14</v>
      </c>
      <c r="D33" s="116" t="s">
        <v>13</v>
      </c>
      <c r="E33" s="31">
        <v>26775</v>
      </c>
      <c r="G33" s="30"/>
      <c r="I33" s="13"/>
      <c r="J33" s="13"/>
    </row>
    <row r="34" spans="1:10" s="2" customFormat="1" ht="12.75" customHeight="1" x14ac:dyDescent="0.2">
      <c r="A34" s="89">
        <v>45082</v>
      </c>
      <c r="B34" s="91" t="s">
        <v>6</v>
      </c>
      <c r="C34" s="76" t="s">
        <v>332</v>
      </c>
      <c r="D34" s="116" t="s">
        <v>13</v>
      </c>
      <c r="E34" s="31">
        <v>20538</v>
      </c>
      <c r="G34" s="30"/>
      <c r="I34" s="13"/>
      <c r="J34" s="13"/>
    </row>
    <row r="35" spans="1:10" s="2" customFormat="1" ht="12.75" customHeight="1" x14ac:dyDescent="0.2">
      <c r="A35" s="89">
        <v>45082</v>
      </c>
      <c r="B35" s="91" t="s">
        <v>6</v>
      </c>
      <c r="C35" s="76" t="s">
        <v>202</v>
      </c>
      <c r="D35" s="116" t="s">
        <v>13</v>
      </c>
      <c r="E35" s="31">
        <v>70000</v>
      </c>
      <c r="G35" s="30"/>
      <c r="I35" s="13"/>
      <c r="J35" s="13"/>
    </row>
    <row r="36" spans="1:10" s="2" customFormat="1" ht="12.75" customHeight="1" x14ac:dyDescent="0.2">
      <c r="A36" s="89">
        <v>45082</v>
      </c>
      <c r="B36" s="91" t="s">
        <v>6</v>
      </c>
      <c r="C36" s="76" t="s">
        <v>148</v>
      </c>
      <c r="D36" s="116" t="s">
        <v>13</v>
      </c>
      <c r="E36" s="31">
        <v>1534366.15</v>
      </c>
      <c r="G36" s="30"/>
      <c r="I36" s="13"/>
      <c r="J36" s="13"/>
    </row>
    <row r="37" spans="1:10" s="2" customFormat="1" ht="12.75" customHeight="1" x14ac:dyDescent="0.2">
      <c r="A37" s="89">
        <v>45082</v>
      </c>
      <c r="B37" s="91" t="s">
        <v>6</v>
      </c>
      <c r="C37" s="76" t="s">
        <v>560</v>
      </c>
      <c r="D37" s="116" t="s">
        <v>13</v>
      </c>
      <c r="E37" s="31">
        <v>56754.32</v>
      </c>
      <c r="G37" s="30"/>
      <c r="I37" s="13"/>
      <c r="J37" s="13"/>
    </row>
    <row r="38" spans="1:10" s="2" customFormat="1" ht="12.75" customHeight="1" x14ac:dyDescent="0.2">
      <c r="A38" s="89">
        <v>45082</v>
      </c>
      <c r="B38" s="91" t="s">
        <v>6</v>
      </c>
      <c r="C38" s="76" t="s">
        <v>20</v>
      </c>
      <c r="D38" s="116" t="s">
        <v>13</v>
      </c>
      <c r="E38" s="31">
        <v>852765</v>
      </c>
      <c r="G38" s="30"/>
      <c r="I38" s="13"/>
      <c r="J38" s="13"/>
    </row>
    <row r="39" spans="1:10" s="2" customFormat="1" ht="12.75" customHeight="1" x14ac:dyDescent="0.2">
      <c r="A39" s="89">
        <v>45082</v>
      </c>
      <c r="B39" s="91" t="s">
        <v>6</v>
      </c>
      <c r="C39" s="76" t="s">
        <v>177</v>
      </c>
      <c r="D39" s="116" t="s">
        <v>13</v>
      </c>
      <c r="E39" s="31">
        <v>579844</v>
      </c>
      <c r="G39" s="30"/>
      <c r="I39" s="13"/>
      <c r="J39" s="13"/>
    </row>
    <row r="40" spans="1:10" s="2" customFormat="1" ht="12.75" customHeight="1" x14ac:dyDescent="0.2">
      <c r="A40" s="89">
        <v>45082</v>
      </c>
      <c r="B40" s="91" t="s">
        <v>6</v>
      </c>
      <c r="C40" s="76" t="s">
        <v>149</v>
      </c>
      <c r="D40" s="116" t="s">
        <v>13</v>
      </c>
      <c r="E40" s="31">
        <v>7745</v>
      </c>
      <c r="G40" s="30"/>
      <c r="I40" s="13"/>
      <c r="J40" s="13"/>
    </row>
    <row r="41" spans="1:10" s="2" customFormat="1" ht="12.75" customHeight="1" x14ac:dyDescent="0.2">
      <c r="A41" s="89">
        <v>45082</v>
      </c>
      <c r="B41" s="91" t="s">
        <v>6</v>
      </c>
      <c r="C41" s="76" t="s">
        <v>15</v>
      </c>
      <c r="D41" s="116" t="s">
        <v>13</v>
      </c>
      <c r="E41" s="31">
        <v>4171.93</v>
      </c>
      <c r="G41" s="30"/>
      <c r="I41" s="13"/>
      <c r="J41" s="13"/>
    </row>
    <row r="42" spans="1:10" s="2" customFormat="1" ht="12.75" customHeight="1" x14ac:dyDescent="0.2">
      <c r="A42" s="89">
        <v>45082</v>
      </c>
      <c r="B42" s="91" t="s">
        <v>6</v>
      </c>
      <c r="C42" s="76" t="s">
        <v>1049</v>
      </c>
      <c r="D42" s="116" t="s">
        <v>13</v>
      </c>
      <c r="E42" s="31">
        <v>14280</v>
      </c>
      <c r="G42" s="30"/>
      <c r="I42" s="13"/>
      <c r="J42" s="13"/>
    </row>
    <row r="43" spans="1:10" s="2" customFormat="1" ht="12.75" customHeight="1" x14ac:dyDescent="0.2">
      <c r="A43" s="89">
        <v>45082</v>
      </c>
      <c r="B43" s="91" t="s">
        <v>6</v>
      </c>
      <c r="C43" s="76" t="s">
        <v>666</v>
      </c>
      <c r="D43" s="116" t="s">
        <v>13</v>
      </c>
      <c r="E43" s="31">
        <v>5250</v>
      </c>
      <c r="G43" s="30"/>
      <c r="I43" s="13"/>
      <c r="J43" s="13"/>
    </row>
    <row r="44" spans="1:10" s="2" customFormat="1" ht="12.75" customHeight="1" x14ac:dyDescent="0.2">
      <c r="A44" s="89">
        <v>45082</v>
      </c>
      <c r="B44" s="91" t="s">
        <v>11</v>
      </c>
      <c r="C44" s="76" t="s">
        <v>64</v>
      </c>
      <c r="D44" s="116" t="s">
        <v>29</v>
      </c>
      <c r="E44" s="31"/>
      <c r="F44" s="2">
        <v>10861.44</v>
      </c>
      <c r="G44" s="30"/>
      <c r="I44" s="13"/>
      <c r="J44" s="13"/>
    </row>
    <row r="45" spans="1:10" s="2" customFormat="1" ht="12.75" customHeight="1" x14ac:dyDescent="0.2">
      <c r="A45" s="89">
        <v>45082</v>
      </c>
      <c r="B45" s="91" t="s">
        <v>11</v>
      </c>
      <c r="C45" s="76" t="s">
        <v>533</v>
      </c>
      <c r="D45" s="116" t="s">
        <v>29</v>
      </c>
      <c r="E45" s="31"/>
      <c r="F45" s="2">
        <v>102127</v>
      </c>
      <c r="G45" s="30"/>
      <c r="I45" s="13"/>
      <c r="J45" s="13"/>
    </row>
    <row r="46" spans="1:10" s="2" customFormat="1" ht="12.75" customHeight="1" x14ac:dyDescent="0.2">
      <c r="A46" s="89">
        <v>45082</v>
      </c>
      <c r="B46" s="91" t="s">
        <v>11</v>
      </c>
      <c r="C46" s="76" t="s">
        <v>109</v>
      </c>
      <c r="D46" s="116" t="s">
        <v>29</v>
      </c>
      <c r="E46" s="31"/>
      <c r="F46" s="2">
        <v>1196271</v>
      </c>
      <c r="G46" s="30"/>
      <c r="I46" s="13"/>
      <c r="J46" s="13"/>
    </row>
    <row r="47" spans="1:10" s="2" customFormat="1" ht="12.75" customHeight="1" x14ac:dyDescent="0.2">
      <c r="A47" s="89">
        <v>45082</v>
      </c>
      <c r="B47" s="91" t="s">
        <v>11</v>
      </c>
      <c r="C47" s="76" t="s">
        <v>183</v>
      </c>
      <c r="D47" s="116" t="s">
        <v>29</v>
      </c>
      <c r="E47" s="31"/>
      <c r="F47" s="2">
        <v>20623</v>
      </c>
      <c r="G47" s="30"/>
      <c r="I47" s="13"/>
      <c r="J47" s="13"/>
    </row>
    <row r="48" spans="1:10" s="2" customFormat="1" ht="12.75" customHeight="1" x14ac:dyDescent="0.2">
      <c r="A48" s="89">
        <v>45082</v>
      </c>
      <c r="B48" s="91" t="s">
        <v>11</v>
      </c>
      <c r="C48" s="76" t="s">
        <v>182</v>
      </c>
      <c r="D48" s="116" t="s">
        <v>29</v>
      </c>
      <c r="E48" s="31"/>
      <c r="F48" s="2">
        <v>164557</v>
      </c>
      <c r="G48" s="30"/>
      <c r="I48" s="13"/>
      <c r="J48" s="13"/>
    </row>
    <row r="49" spans="1:13" s="2" customFormat="1" ht="12.75" customHeight="1" x14ac:dyDescent="0.2">
      <c r="A49" s="89">
        <v>45082</v>
      </c>
      <c r="B49" s="91" t="s">
        <v>11</v>
      </c>
      <c r="C49" s="76" t="s">
        <v>125</v>
      </c>
      <c r="D49" s="116" t="s">
        <v>29</v>
      </c>
      <c r="E49" s="31"/>
      <c r="F49" s="2">
        <v>1524670</v>
      </c>
      <c r="G49" s="30"/>
      <c r="I49" s="13"/>
      <c r="J49" s="13"/>
    </row>
    <row r="50" spans="1:13" s="2" customFormat="1" ht="12.75" customHeight="1" x14ac:dyDescent="0.2">
      <c r="A50" s="89">
        <v>45082</v>
      </c>
      <c r="B50" s="91" t="s">
        <v>11</v>
      </c>
      <c r="C50" s="76" t="s">
        <v>110</v>
      </c>
      <c r="D50" s="116" t="s">
        <v>29</v>
      </c>
      <c r="E50" s="31"/>
      <c r="F50" s="2">
        <v>808205.75</v>
      </c>
      <c r="G50" s="30"/>
      <c r="I50" s="13"/>
      <c r="J50" s="13"/>
    </row>
    <row r="51" spans="1:13" s="2" customFormat="1" ht="12.75" customHeight="1" x14ac:dyDescent="0.2">
      <c r="A51" s="89">
        <v>45082</v>
      </c>
      <c r="B51" s="91" t="s">
        <v>11</v>
      </c>
      <c r="C51" s="76" t="s">
        <v>127</v>
      </c>
      <c r="D51" s="116" t="s">
        <v>29</v>
      </c>
      <c r="E51" s="31"/>
      <c r="F51" s="2">
        <v>8866958</v>
      </c>
      <c r="G51" s="30"/>
      <c r="I51" s="13"/>
      <c r="J51" s="13"/>
    </row>
    <row r="52" spans="1:13" s="2" customFormat="1" ht="12.75" customHeight="1" x14ac:dyDescent="0.2">
      <c r="A52" s="89">
        <v>45082</v>
      </c>
      <c r="B52" s="91" t="s">
        <v>11</v>
      </c>
      <c r="C52" s="76" t="s">
        <v>619</v>
      </c>
      <c r="D52" s="116" t="s">
        <v>29</v>
      </c>
      <c r="E52" s="31"/>
      <c r="F52" s="2">
        <v>1710</v>
      </c>
      <c r="G52" s="30"/>
      <c r="I52" s="13"/>
      <c r="J52" s="13"/>
    </row>
    <row r="53" spans="1:13" s="2" customFormat="1" ht="12.75" customHeight="1" x14ac:dyDescent="0.2">
      <c r="A53" s="89">
        <v>45082</v>
      </c>
      <c r="B53" s="91" t="s">
        <v>11</v>
      </c>
      <c r="C53" s="76" t="s">
        <v>181</v>
      </c>
      <c r="D53" s="116" t="s">
        <v>29</v>
      </c>
      <c r="E53" s="31"/>
      <c r="F53" s="2">
        <v>48600</v>
      </c>
      <c r="G53" s="30"/>
      <c r="I53" s="13"/>
      <c r="J53" s="13"/>
    </row>
    <row r="54" spans="1:13" s="2" customFormat="1" ht="12.75" customHeight="1" x14ac:dyDescent="0.2">
      <c r="A54" s="89">
        <v>45082</v>
      </c>
      <c r="B54" s="91" t="s">
        <v>11</v>
      </c>
      <c r="C54" s="76" t="s">
        <v>437</v>
      </c>
      <c r="D54" s="116" t="s">
        <v>29</v>
      </c>
      <c r="E54" s="31"/>
      <c r="F54" s="2">
        <v>36000</v>
      </c>
      <c r="G54" s="30"/>
      <c r="I54" s="13"/>
      <c r="J54" s="13"/>
    </row>
    <row r="55" spans="1:13" s="2" customFormat="1" ht="12.75" customHeight="1" x14ac:dyDescent="0.2">
      <c r="A55" s="89">
        <v>45082</v>
      </c>
      <c r="B55" s="91" t="s">
        <v>11</v>
      </c>
      <c r="C55" s="76" t="s">
        <v>530</v>
      </c>
      <c r="D55" s="116" t="s">
        <v>29</v>
      </c>
      <c r="E55" s="31"/>
      <c r="F55" s="2">
        <v>32436</v>
      </c>
      <c r="G55" s="30"/>
      <c r="I55" s="13"/>
      <c r="J55" s="13"/>
    </row>
    <row r="56" spans="1:13" s="2" customFormat="1" ht="12.75" customHeight="1" x14ac:dyDescent="0.2">
      <c r="A56" s="89">
        <v>45082</v>
      </c>
      <c r="B56" s="91" t="s">
        <v>11</v>
      </c>
      <c r="C56" s="76" t="s">
        <v>248</v>
      </c>
      <c r="D56" s="116" t="s">
        <v>29</v>
      </c>
      <c r="E56" s="31"/>
      <c r="F56" s="2">
        <v>61578</v>
      </c>
      <c r="G56" s="30"/>
      <c r="I56" s="13"/>
      <c r="J56" s="13"/>
    </row>
    <row r="57" spans="1:13" s="2" customFormat="1" ht="12.75" customHeight="1" x14ac:dyDescent="0.2">
      <c r="A57" s="89">
        <v>45082</v>
      </c>
      <c r="B57" s="91" t="s">
        <v>11</v>
      </c>
      <c r="C57" s="76" t="s">
        <v>1048</v>
      </c>
      <c r="D57" s="116" t="s">
        <v>29</v>
      </c>
      <c r="E57" s="31"/>
      <c r="F57" s="2">
        <v>9942.68</v>
      </c>
      <c r="G57" s="30"/>
      <c r="I57" s="13"/>
      <c r="J57" s="13"/>
    </row>
    <row r="58" spans="1:13" s="2" customFormat="1" ht="12.75" customHeight="1" x14ac:dyDescent="0.2">
      <c r="A58" s="89">
        <v>45082</v>
      </c>
      <c r="B58" s="91" t="s">
        <v>11</v>
      </c>
      <c r="C58" s="76" t="s">
        <v>367</v>
      </c>
      <c r="D58" s="116" t="s">
        <v>29</v>
      </c>
      <c r="E58" s="31"/>
      <c r="F58" s="2">
        <v>48852</v>
      </c>
      <c r="G58" s="30"/>
      <c r="I58" s="13"/>
      <c r="J58" s="13"/>
    </row>
    <row r="59" spans="1:13" s="2" customFormat="1" ht="12.75" customHeight="1" x14ac:dyDescent="0.2">
      <c r="A59" s="89">
        <v>45082</v>
      </c>
      <c r="B59" s="91" t="s">
        <v>11</v>
      </c>
      <c r="C59" s="76" t="s">
        <v>537</v>
      </c>
      <c r="D59" s="116" t="s">
        <v>29</v>
      </c>
      <c r="E59" s="31"/>
      <c r="F59" s="2">
        <v>105303</v>
      </c>
      <c r="G59" s="30"/>
      <c r="I59" s="13"/>
      <c r="J59" s="13"/>
    </row>
    <row r="60" spans="1:13" s="2" customFormat="1" ht="12.75" customHeight="1" x14ac:dyDescent="0.2">
      <c r="A60" s="89">
        <v>45082</v>
      </c>
      <c r="B60" s="91" t="s">
        <v>11</v>
      </c>
      <c r="C60" s="76" t="s">
        <v>273</v>
      </c>
      <c r="D60" s="116" t="s">
        <v>29</v>
      </c>
      <c r="E60" s="31"/>
      <c r="F60" s="2">
        <v>13780.88</v>
      </c>
      <c r="G60" s="30"/>
      <c r="I60" s="13"/>
      <c r="J60" s="13"/>
    </row>
    <row r="61" spans="1:13" s="2" customFormat="1" ht="12.75" customHeight="1" x14ac:dyDescent="0.2">
      <c r="A61" s="89">
        <v>45082</v>
      </c>
      <c r="B61" s="91" t="s">
        <v>11</v>
      </c>
      <c r="C61" s="76" t="s">
        <v>223</v>
      </c>
      <c r="D61" s="116" t="s">
        <v>29</v>
      </c>
      <c r="E61" s="31"/>
      <c r="F61" s="2">
        <v>4303916</v>
      </c>
      <c r="G61" s="30"/>
      <c r="I61" s="13"/>
      <c r="J61" s="13"/>
    </row>
    <row r="62" spans="1:13" s="2" customFormat="1" ht="12.75" customHeight="1" x14ac:dyDescent="0.2">
      <c r="A62" s="89">
        <v>45082</v>
      </c>
      <c r="B62" s="91" t="s">
        <v>11</v>
      </c>
      <c r="C62" s="76" t="s">
        <v>748</v>
      </c>
      <c r="D62" s="116" t="s">
        <v>29</v>
      </c>
      <c r="E62" s="31"/>
      <c r="F62" s="2">
        <v>330147.3</v>
      </c>
      <c r="G62" s="30"/>
      <c r="I62" s="13"/>
      <c r="J62" s="13"/>
    </row>
    <row r="63" spans="1:13" s="2" customFormat="1" ht="12.75" customHeight="1" x14ac:dyDescent="0.2">
      <c r="A63" s="89">
        <v>45082</v>
      </c>
      <c r="B63" s="91" t="s">
        <v>11</v>
      </c>
      <c r="C63" s="76" t="s">
        <v>773</v>
      </c>
      <c r="D63" s="116" t="s">
        <v>29</v>
      </c>
      <c r="E63" s="31"/>
      <c r="F63" s="2">
        <v>218857.2</v>
      </c>
      <c r="G63" s="30"/>
      <c r="I63" s="13"/>
      <c r="J63" s="13" t="s">
        <v>601</v>
      </c>
      <c r="K63" s="25" t="s">
        <v>779</v>
      </c>
    </row>
    <row r="64" spans="1:13" s="2" customFormat="1" ht="12.75" customHeight="1" x14ac:dyDescent="0.25">
      <c r="A64" s="32"/>
      <c r="B64" s="33"/>
      <c r="C64" s="14"/>
      <c r="D64" s="34"/>
      <c r="E64" s="16">
        <f>SUM(E29:E63)</f>
        <v>3256861.4</v>
      </c>
      <c r="F64" s="16">
        <f>SUM(F29:F63)</f>
        <v>300462785.22999978</v>
      </c>
      <c r="G64" s="30"/>
      <c r="H64" s="1"/>
      <c r="I64" s="39">
        <v>302214804.97000003</v>
      </c>
      <c r="J64" s="2">
        <v>5021349</v>
      </c>
      <c r="K64" s="92">
        <f>E65-I64</f>
        <v>-5008881.1400002241</v>
      </c>
      <c r="L64" s="41"/>
      <c r="M64" s="42"/>
    </row>
    <row r="65" spans="1:14" s="2" customFormat="1" ht="12.75" customHeight="1" x14ac:dyDescent="0.2">
      <c r="A65" s="36"/>
      <c r="B65" s="28" t="s">
        <v>11</v>
      </c>
      <c r="C65" s="19" t="s">
        <v>65</v>
      </c>
      <c r="D65" s="37"/>
      <c r="E65" s="38">
        <f>F64-E64</f>
        <v>297205923.8299998</v>
      </c>
      <c r="F65" s="22"/>
      <c r="G65" s="1"/>
      <c r="H65" s="1"/>
      <c r="J65" s="1"/>
      <c r="K65" s="1"/>
      <c r="L65" s="1"/>
      <c r="M65" s="1"/>
    </row>
    <row r="66" spans="1:14" s="2" customFormat="1" ht="12.75" customHeight="1" x14ac:dyDescent="0.2">
      <c r="A66" s="36"/>
      <c r="B66" s="28" t="s">
        <v>66</v>
      </c>
      <c r="C66" s="43" t="s">
        <v>67</v>
      </c>
      <c r="D66" s="43"/>
      <c r="E66" s="12">
        <v>59416310</v>
      </c>
      <c r="F66" s="22"/>
      <c r="G66" s="1"/>
      <c r="H66" s="40"/>
      <c r="I66" s="45">
        <v>491.89</v>
      </c>
      <c r="J66" s="46"/>
      <c r="K66" s="46"/>
      <c r="L66" s="13"/>
    </row>
    <row r="67" spans="1:14" s="2" customFormat="1" ht="12.75" customHeight="1" x14ac:dyDescent="0.25">
      <c r="A67" s="36"/>
      <c r="B67" s="28"/>
      <c r="C67" s="44" t="s">
        <v>68</v>
      </c>
      <c r="D67" s="43"/>
      <c r="E67" s="7">
        <f>E65+E66</f>
        <v>356622233.8299998</v>
      </c>
      <c r="F67" s="22"/>
      <c r="G67" s="1"/>
      <c r="H67" s="103" t="s">
        <v>69</v>
      </c>
      <c r="I67" s="45">
        <v>-11.27</v>
      </c>
      <c r="J67" s="46"/>
      <c r="K67" s="46"/>
      <c r="N67" s="1"/>
    </row>
    <row r="68" spans="1:14" s="2" customFormat="1" x14ac:dyDescent="0.2">
      <c r="A68" s="24"/>
      <c r="B68" s="1"/>
      <c r="C68" s="14"/>
      <c r="D68" s="25"/>
      <c r="E68" s="1"/>
      <c r="H68" s="35" t="s">
        <v>70</v>
      </c>
      <c r="I68" s="45">
        <v>1.17</v>
      </c>
      <c r="J68" s="46">
        <f>+I69-D71</f>
        <v>0</v>
      </c>
      <c r="M68" s="2">
        <v>19.57</v>
      </c>
      <c r="N68" s="1"/>
    </row>
    <row r="69" spans="1:14" x14ac:dyDescent="0.2">
      <c r="C69" s="56"/>
      <c r="D69" s="56"/>
      <c r="E69" s="104"/>
      <c r="I69" s="49">
        <f>SUM(I66:I68)</f>
        <v>481.79</v>
      </c>
      <c r="J69" s="46"/>
      <c r="K69" s="46"/>
      <c r="L69" s="2"/>
      <c r="M69" s="2"/>
      <c r="N69" s="2"/>
    </row>
    <row r="70" spans="1:14" x14ac:dyDescent="0.2">
      <c r="C70" s="78" t="s">
        <v>575</v>
      </c>
      <c r="D70" s="48" t="s">
        <v>576</v>
      </c>
      <c r="E70" s="104"/>
      <c r="I70" s="2"/>
      <c r="J70" s="2"/>
      <c r="K70" s="2"/>
      <c r="L70" s="2"/>
      <c r="M70" s="2"/>
      <c r="N70" s="2"/>
    </row>
    <row r="71" spans="1:14" s="2" customFormat="1" x14ac:dyDescent="0.2">
      <c r="A71" s="24"/>
      <c r="B71" s="1"/>
      <c r="C71" s="47" t="s">
        <v>570</v>
      </c>
      <c r="D71" s="111">
        <v>481.79</v>
      </c>
      <c r="E71" s="104"/>
      <c r="G71" s="1"/>
      <c r="H71" s="110" t="s">
        <v>581</v>
      </c>
      <c r="N71" s="2" t="s">
        <v>535</v>
      </c>
    </row>
    <row r="72" spans="1:14" s="2" customFormat="1" x14ac:dyDescent="0.2">
      <c r="A72" s="24"/>
      <c r="B72" s="1"/>
      <c r="C72" s="47" t="s">
        <v>931</v>
      </c>
      <c r="D72" s="111">
        <v>12.84</v>
      </c>
      <c r="E72" s="104"/>
      <c r="G72" s="1"/>
      <c r="H72" s="110" t="s">
        <v>580</v>
      </c>
    </row>
    <row r="73" spans="1:14" s="2" customFormat="1" x14ac:dyDescent="0.2">
      <c r="A73" s="24"/>
      <c r="B73" s="1"/>
      <c r="C73" s="47" t="s">
        <v>572</v>
      </c>
      <c r="D73" s="111">
        <f>+D89/100000</f>
        <v>0</v>
      </c>
      <c r="E73" s="104"/>
      <c r="G73" s="1"/>
      <c r="H73" s="90" t="s">
        <v>587</v>
      </c>
    </row>
    <row r="74" spans="1:14" s="2" customFormat="1" x14ac:dyDescent="0.2">
      <c r="A74" s="24"/>
      <c r="B74" s="1"/>
      <c r="C74" s="108" t="s">
        <v>578</v>
      </c>
      <c r="D74" s="48">
        <f>SUM(D71:D73)</f>
        <v>494.63</v>
      </c>
      <c r="E74" s="104"/>
      <c r="G74" s="1"/>
    </row>
    <row r="75" spans="1:14" s="2" customFormat="1" x14ac:dyDescent="0.2">
      <c r="A75" s="24"/>
      <c r="B75" s="1"/>
      <c r="C75" s="47"/>
      <c r="D75" s="107"/>
      <c r="E75" s="104"/>
      <c r="G75" s="1"/>
    </row>
    <row r="76" spans="1:14" s="2" customFormat="1" x14ac:dyDescent="0.2">
      <c r="A76" s="24"/>
      <c r="B76" s="1"/>
      <c r="C76" s="47" t="s">
        <v>932</v>
      </c>
      <c r="D76" s="111">
        <f>156.21-5.49</f>
        <v>150.72</v>
      </c>
      <c r="E76" s="104"/>
      <c r="G76" s="1"/>
      <c r="H76" s="110" t="s">
        <v>581</v>
      </c>
    </row>
    <row r="77" spans="1:14" s="2" customFormat="1" x14ac:dyDescent="0.2">
      <c r="A77" s="24"/>
      <c r="B77" s="1"/>
      <c r="C77" s="47" t="s">
        <v>933</v>
      </c>
      <c r="D77" s="111">
        <v>0</v>
      </c>
      <c r="E77" s="104"/>
      <c r="G77" s="1"/>
      <c r="H77" s="110" t="s">
        <v>581</v>
      </c>
      <c r="J77" s="114" t="s">
        <v>713</v>
      </c>
    </row>
    <row r="78" spans="1:14" s="2" customFormat="1" x14ac:dyDescent="0.2">
      <c r="A78" s="24"/>
      <c r="B78" s="1"/>
      <c r="C78" s="78" t="s">
        <v>579</v>
      </c>
      <c r="D78" s="109">
        <f>D76+D77</f>
        <v>150.72</v>
      </c>
      <c r="E78" s="104"/>
      <c r="G78" s="1"/>
      <c r="I78" s="113"/>
      <c r="J78" s="113" t="s">
        <v>709</v>
      </c>
      <c r="K78" s="113" t="s">
        <v>710</v>
      </c>
      <c r="L78" s="113" t="s">
        <v>711</v>
      </c>
      <c r="M78" s="113" t="s">
        <v>712</v>
      </c>
    </row>
    <row r="79" spans="1:14" s="2" customFormat="1" x14ac:dyDescent="0.2">
      <c r="A79" s="24"/>
      <c r="B79" s="1"/>
      <c r="C79" s="105"/>
      <c r="D79" s="106"/>
      <c r="E79" s="104"/>
      <c r="G79" s="1"/>
      <c r="I79" s="113" t="s">
        <v>706</v>
      </c>
      <c r="J79" s="115"/>
      <c r="K79" s="115">
        <v>968.99</v>
      </c>
      <c r="L79" s="115">
        <v>968.99</v>
      </c>
      <c r="M79" s="113">
        <f>+J79+L79-K79</f>
        <v>0</v>
      </c>
    </row>
    <row r="80" spans="1:14" s="2" customFormat="1" x14ac:dyDescent="0.2">
      <c r="A80" s="24"/>
      <c r="B80" s="1"/>
      <c r="C80" s="78" t="s">
        <v>577</v>
      </c>
      <c r="D80" s="109">
        <f>D71+D78</f>
        <v>632.51</v>
      </c>
      <c r="E80" s="104"/>
      <c r="G80" s="1"/>
      <c r="I80" s="113" t="s">
        <v>707</v>
      </c>
      <c r="J80" s="115">
        <v>183.1</v>
      </c>
      <c r="K80" s="115">
        <v>1973.8</v>
      </c>
      <c r="L80" s="115">
        <v>2949.02</v>
      </c>
      <c r="M80" s="113">
        <f>+J80+L80-K80</f>
        <v>1158.32</v>
      </c>
    </row>
    <row r="81" spans="1:13" s="2" customFormat="1" x14ac:dyDescent="0.2">
      <c r="A81" s="24"/>
      <c r="B81" s="1"/>
      <c r="C81" s="56"/>
      <c r="D81" s="56"/>
      <c r="E81" s="104"/>
      <c r="G81" s="1"/>
      <c r="I81" s="113" t="s">
        <v>708</v>
      </c>
      <c r="J81" s="115">
        <v>1371.02</v>
      </c>
      <c r="K81" s="115">
        <v>11604.8</v>
      </c>
      <c r="L81" s="115">
        <v>11750.13</v>
      </c>
      <c r="M81" s="113">
        <f>+J81+L81-K81</f>
        <v>1516.3500000000004</v>
      </c>
    </row>
    <row r="82" spans="1:13" s="2" customFormat="1" ht="38.25" x14ac:dyDescent="0.2">
      <c r="A82" s="24"/>
      <c r="B82" s="1"/>
      <c r="C82" s="79" t="str">
        <f>"Particulars ( 01-04-2021 to "&amp;TEXT(A5,"dd-mm-yyyy")&amp;" )"</f>
        <v>Particulars ( 01-04-2021 to 05-06-2023 )</v>
      </c>
      <c r="D82" s="80" t="s">
        <v>73</v>
      </c>
      <c r="E82" s="80" t="s">
        <v>74</v>
      </c>
      <c r="F82" s="81" t="s">
        <v>75</v>
      </c>
      <c r="G82" s="80" t="s">
        <v>76</v>
      </c>
      <c r="J82" s="118">
        <f>SUM(J79:J81)</f>
        <v>1554.12</v>
      </c>
      <c r="K82" s="118">
        <f>SUM(K79:K81)</f>
        <v>14547.59</v>
      </c>
      <c r="L82" s="118">
        <f>SUM(L79:L81)</f>
        <v>15668.14</v>
      </c>
      <c r="M82" s="118">
        <f>SUM(M79:M81)</f>
        <v>2674.67</v>
      </c>
    </row>
    <row r="83" spans="1:13" s="2" customFormat="1" x14ac:dyDescent="0.2">
      <c r="A83" s="24"/>
      <c r="B83" s="1"/>
      <c r="C83" s="50" t="s">
        <v>444</v>
      </c>
      <c r="D83" s="55">
        <f>+L79+L80+J80</f>
        <v>4101.1100000000006</v>
      </c>
      <c r="E83" s="55">
        <f>+K79+K80</f>
        <v>2942.79</v>
      </c>
      <c r="F83" s="55">
        <f>+D83-E83</f>
        <v>1158.3200000000006</v>
      </c>
      <c r="G83" s="55">
        <f>1500-F83</f>
        <v>341.67999999999938</v>
      </c>
      <c r="H83" s="2" t="s">
        <v>396</v>
      </c>
    </row>
    <row r="84" spans="1:13" s="2" customFormat="1" x14ac:dyDescent="0.2">
      <c r="A84" s="24"/>
      <c r="B84" s="1"/>
      <c r="C84" s="50" t="s">
        <v>71</v>
      </c>
      <c r="D84" s="55">
        <f>+J81+L81</f>
        <v>13121.15</v>
      </c>
      <c r="E84" s="55">
        <f>+K81</f>
        <v>11604.8</v>
      </c>
      <c r="F84" s="55">
        <f>+D84-E84</f>
        <v>1516.3500000000004</v>
      </c>
      <c r="G84" s="55">
        <f>1500+700-F84</f>
        <v>683.64999999999964</v>
      </c>
      <c r="H84" s="2" t="s">
        <v>396</v>
      </c>
    </row>
    <row r="85" spans="1:13" s="2" customFormat="1" x14ac:dyDescent="0.2">
      <c r="A85" s="24"/>
      <c r="B85" s="1"/>
      <c r="C85" s="14"/>
      <c r="D85" s="56"/>
      <c r="E85" s="13"/>
      <c r="G85" s="1"/>
    </row>
    <row r="86" spans="1:13" s="2" customFormat="1" x14ac:dyDescent="0.2">
      <c r="A86" s="215" t="s">
        <v>80</v>
      </c>
      <c r="B86" s="216"/>
      <c r="C86" s="216"/>
      <c r="D86" s="217"/>
      <c r="E86" s="69"/>
      <c r="F86" s="70"/>
      <c r="G86" s="1"/>
      <c r="H86" s="53"/>
    </row>
    <row r="87" spans="1:13" s="2" customFormat="1" x14ac:dyDescent="0.2">
      <c r="A87" s="71" t="s">
        <v>81</v>
      </c>
      <c r="B87" s="71"/>
      <c r="C87" s="72" t="s">
        <v>82</v>
      </c>
      <c r="D87" s="73" t="s">
        <v>83</v>
      </c>
      <c r="E87" s="69"/>
      <c r="F87" s="70"/>
      <c r="H87" s="53"/>
    </row>
    <row r="88" spans="1:13" s="2" customFormat="1" x14ac:dyDescent="0.2">
      <c r="A88" s="87"/>
      <c r="B88" s="120"/>
      <c r="C88" s="75"/>
      <c r="D88" s="88"/>
      <c r="G88" s="1"/>
      <c r="L88" s="1"/>
      <c r="M88" s="1"/>
    </row>
    <row r="89" spans="1:13" s="2" customFormat="1" x14ac:dyDescent="0.2">
      <c r="A89" s="87"/>
      <c r="B89" s="74"/>
      <c r="C89" s="75"/>
      <c r="D89" s="51">
        <f>SUM(D88:D88)</f>
        <v>0</v>
      </c>
      <c r="F89" s="2" t="s">
        <v>396</v>
      </c>
      <c r="G89" s="1"/>
      <c r="L89" s="1"/>
      <c r="M89" s="1"/>
    </row>
    <row r="90" spans="1:13" s="2" customFormat="1" x14ac:dyDescent="0.2">
      <c r="A90" s="24"/>
      <c r="B90" s="1"/>
      <c r="C90" s="14"/>
      <c r="D90" s="56"/>
      <c r="E90" s="13"/>
      <c r="G90" s="1"/>
      <c r="L90" s="1"/>
      <c r="M90" s="1"/>
    </row>
    <row r="91" spans="1:13" s="2" customFormat="1" x14ac:dyDescent="0.2">
      <c r="A91" s="24"/>
      <c r="B91" s="1"/>
      <c r="C91" s="218" t="s">
        <v>77</v>
      </c>
      <c r="D91" s="219"/>
      <c r="E91" s="219"/>
      <c r="F91" s="220"/>
      <c r="G91" s="1"/>
      <c r="L91" s="1"/>
      <c r="M91" s="1"/>
    </row>
    <row r="92" spans="1:13" s="2" customFormat="1" x14ac:dyDescent="0.2">
      <c r="A92" s="24"/>
      <c r="B92" s="1"/>
      <c r="C92" s="50"/>
      <c r="D92" s="57" t="s">
        <v>78</v>
      </c>
      <c r="E92" s="58" t="s">
        <v>79</v>
      </c>
      <c r="F92" s="57" t="s">
        <v>72</v>
      </c>
      <c r="G92" s="1"/>
      <c r="I92" s="1"/>
      <c r="J92" s="1"/>
      <c r="K92" s="1"/>
      <c r="L92" s="1"/>
      <c r="M92" s="1"/>
    </row>
    <row r="93" spans="1:13" s="2" customFormat="1" x14ac:dyDescent="0.2">
      <c r="A93" s="24"/>
      <c r="B93" s="1"/>
      <c r="C93" s="59" t="str">
        <f>"01-06-2023 to "&amp;TEXT(A5-2,"dd-mm-yyyy")</f>
        <v>01-06-2023 to 03-06-2023</v>
      </c>
      <c r="D93" s="60">
        <v>785.35</v>
      </c>
      <c r="E93" s="60">
        <v>39.47</v>
      </c>
      <c r="F93" s="61">
        <f>SUM(D93:E93)</f>
        <v>824.82</v>
      </c>
      <c r="G93" s="1"/>
    </row>
    <row r="94" spans="1:13" s="2" customFormat="1" x14ac:dyDescent="0.2">
      <c r="A94" s="24"/>
      <c r="B94" s="1"/>
      <c r="C94" s="62" t="str">
        <f>TEXT(A5-1,"dd-mm-yyyy")</f>
        <v>04-06-2023</v>
      </c>
      <c r="D94" s="60">
        <v>205.65</v>
      </c>
      <c r="E94" s="60">
        <v>2.02</v>
      </c>
      <c r="F94" s="61">
        <f>SUM(D94:E94)</f>
        <v>207.67000000000002</v>
      </c>
      <c r="G94" s="54"/>
      <c r="I94" s="1"/>
      <c r="J94" s="1"/>
      <c r="K94" s="1"/>
      <c r="L94" s="1"/>
      <c r="M94" s="1"/>
    </row>
    <row r="95" spans="1:13" s="2" customFormat="1" ht="13.5" thickBot="1" x14ac:dyDescent="0.25">
      <c r="A95" s="24"/>
      <c r="B95" s="1"/>
      <c r="C95" s="63" t="str">
        <f>"01-06-2023 to "&amp;TEXT(A5-1,"dd-mm-yyyy")</f>
        <v>01-06-2023 to 04-06-2023</v>
      </c>
      <c r="D95" s="64">
        <f>SUM(D93:D94)</f>
        <v>991</v>
      </c>
      <c r="E95" s="64">
        <f>SUM(E93:E94)</f>
        <v>41.49</v>
      </c>
      <c r="F95" s="64">
        <f>SUM(F93:F94)</f>
        <v>1032.49</v>
      </c>
      <c r="G95" s="54"/>
      <c r="I95" s="1"/>
      <c r="J95" s="1"/>
      <c r="K95" s="1"/>
      <c r="L95" s="1"/>
      <c r="M95" s="1"/>
    </row>
    <row r="96" spans="1:13" s="2" customFormat="1" ht="13.5" thickTop="1" x14ac:dyDescent="0.2">
      <c r="A96" s="24"/>
      <c r="B96" s="1"/>
      <c r="C96" s="62"/>
      <c r="D96" s="65"/>
      <c r="E96" s="66"/>
      <c r="F96" s="67"/>
      <c r="G96" s="54"/>
      <c r="I96" s="1"/>
      <c r="J96" s="1"/>
      <c r="K96" s="1"/>
      <c r="L96" s="1"/>
      <c r="M96" s="1"/>
    </row>
    <row r="97" spans="1:13" s="2" customFormat="1" x14ac:dyDescent="0.2">
      <c r="A97" s="24"/>
      <c r="B97" s="1"/>
      <c r="C97" s="62" t="str">
        <f>"01-04-2023 to " &amp;C94</f>
        <v>01-04-2023 to 04-06-2023</v>
      </c>
      <c r="D97" s="68">
        <f>+D95+9222.31</f>
        <v>10213.31</v>
      </c>
      <c r="E97" s="68">
        <f>+E95+906.58</f>
        <v>948.07</v>
      </c>
      <c r="F97" s="68">
        <f>+F95+10128.88</f>
        <v>11161.369999999999</v>
      </c>
      <c r="G97" s="54"/>
      <c r="I97" s="1"/>
      <c r="J97" s="1"/>
      <c r="K97" s="1"/>
      <c r="L97" s="1"/>
      <c r="M97" s="1"/>
    </row>
    <row r="98" spans="1:13" x14ac:dyDescent="0.2">
      <c r="C98" s="52"/>
      <c r="D98" s="85"/>
      <c r="E98" s="53"/>
      <c r="F98" s="53"/>
      <c r="G98" s="54"/>
      <c r="H98" s="2" t="s">
        <v>396</v>
      </c>
    </row>
    <row r="99" spans="1:13" s="2" customFormat="1" x14ac:dyDescent="0.2">
      <c r="A99" s="24"/>
      <c r="B99" s="1"/>
      <c r="C99" s="52"/>
      <c r="D99" s="85"/>
      <c r="E99" s="53"/>
      <c r="F99" s="53"/>
      <c r="G99" s="54"/>
      <c r="H99" s="53"/>
    </row>
    <row r="100" spans="1:13" x14ac:dyDescent="0.2">
      <c r="C100" s="52"/>
      <c r="D100" s="85"/>
      <c r="E100" s="53"/>
      <c r="F100" s="53"/>
      <c r="G100" s="54"/>
      <c r="H100" s="53" t="s">
        <v>396</v>
      </c>
    </row>
    <row r="101" spans="1:13" x14ac:dyDescent="0.2">
      <c r="C101" s="52"/>
      <c r="D101" s="85"/>
      <c r="E101" s="53"/>
      <c r="F101" s="53"/>
      <c r="G101" s="54"/>
      <c r="H101" s="53" t="s">
        <v>396</v>
      </c>
      <c r="J101" s="42"/>
    </row>
    <row r="102" spans="1:13" x14ac:dyDescent="0.2">
      <c r="G102" s="54"/>
      <c r="H102" s="53"/>
      <c r="I102" s="101"/>
    </row>
    <row r="103" spans="1:13" x14ac:dyDescent="0.2">
      <c r="G103" s="54"/>
      <c r="H103" s="53"/>
    </row>
    <row r="104" spans="1:13" x14ac:dyDescent="0.2">
      <c r="G104" s="54"/>
      <c r="H104" s="53"/>
    </row>
    <row r="105" spans="1:13" x14ac:dyDescent="0.2">
      <c r="H105" s="53"/>
    </row>
  </sheetData>
  <mergeCells count="6">
    <mergeCell ref="C91:F91"/>
    <mergeCell ref="A1:G1"/>
    <mergeCell ref="A3:F3"/>
    <mergeCell ref="A9:F9"/>
    <mergeCell ref="A27:F27"/>
    <mergeCell ref="A86:D86"/>
  </mergeCells>
  <conditionalFormatting sqref="G83:G84">
    <cfRule type="cellIs" dxfId="516" priority="1" operator="lessThan">
      <formula>0</formula>
    </cfRule>
  </conditionalFormatting>
  <conditionalFormatting sqref="C29">
    <cfRule type="duplicateValues" dxfId="515" priority="2"/>
  </conditionalFormatting>
  <conditionalFormatting sqref="C30:C63">
    <cfRule type="duplicateValues" dxfId="514" priority="522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344">
    <pageSetUpPr fitToPage="1"/>
  </sheetPr>
  <dimension ref="A1:N117"/>
  <sheetViews>
    <sheetView topLeftCell="A37" zoomScaleNormal="100" workbookViewId="0">
      <selection activeCell="C46" sqref="C46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47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1050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45083</v>
      </c>
      <c r="B5" s="9" t="s">
        <v>6</v>
      </c>
      <c r="C5" s="10" t="s">
        <v>7</v>
      </c>
      <c r="D5" s="11"/>
      <c r="E5" s="12">
        <v>219062.70000000019</v>
      </c>
      <c r="F5" s="12"/>
      <c r="G5" s="1"/>
      <c r="H5" s="112"/>
      <c r="I5" s="112"/>
    </row>
    <row r="6" spans="1:10" s="2" customFormat="1" ht="14.25" customHeight="1" x14ac:dyDescent="0.4">
      <c r="A6" s="89">
        <v>45083</v>
      </c>
      <c r="B6" s="9" t="s">
        <v>6</v>
      </c>
      <c r="C6" s="10" t="s">
        <v>400</v>
      </c>
      <c r="D6" s="11" t="s">
        <v>13</v>
      </c>
      <c r="E6" s="12">
        <v>3200000</v>
      </c>
      <c r="F6" s="12"/>
      <c r="G6" s="1"/>
      <c r="H6" s="112"/>
      <c r="I6" s="112"/>
    </row>
    <row r="7" spans="1:10" s="2" customFormat="1" ht="12.75" customHeight="1" x14ac:dyDescent="0.4">
      <c r="D7" s="15" t="s">
        <v>8</v>
      </c>
      <c r="E7" s="16">
        <f>SUM(E5:E6)</f>
        <v>3419062.7</v>
      </c>
      <c r="F7" s="16">
        <v>0</v>
      </c>
      <c r="G7" s="1"/>
      <c r="H7" s="112"/>
      <c r="I7" s="112"/>
    </row>
    <row r="8" spans="1:10" s="2" customFormat="1" ht="12.75" customHeight="1" x14ac:dyDescent="0.4">
      <c r="A8" s="17"/>
      <c r="B8" s="18"/>
      <c r="C8" s="19" t="s">
        <v>9</v>
      </c>
      <c r="D8" s="20"/>
      <c r="E8" s="21">
        <f>+E7</f>
        <v>3419062.7</v>
      </c>
      <c r="F8" s="22"/>
      <c r="G8" s="23"/>
      <c r="H8" s="112"/>
      <c r="I8" s="112"/>
      <c r="J8" s="13"/>
    </row>
    <row r="9" spans="1:10" ht="12.75" customHeight="1" x14ac:dyDescent="0.4">
      <c r="H9" s="112"/>
      <c r="I9" s="112"/>
    </row>
    <row r="10" spans="1:10" ht="18" customHeight="1" x14ac:dyDescent="0.4">
      <c r="A10" s="213" t="s">
        <v>1037</v>
      </c>
      <c r="B10" s="213"/>
      <c r="C10" s="213"/>
      <c r="D10" s="213"/>
      <c r="E10" s="213"/>
      <c r="F10" s="213"/>
      <c r="H10" s="112"/>
      <c r="I10" s="112"/>
    </row>
    <row r="11" spans="1:10" ht="12.75" customHeight="1" x14ac:dyDescent="0.4">
      <c r="A11" s="3" t="s">
        <v>1</v>
      </c>
      <c r="B11" s="4" t="s">
        <v>2</v>
      </c>
      <c r="C11" s="5"/>
      <c r="D11" s="6" t="s">
        <v>3</v>
      </c>
      <c r="E11" s="7" t="s">
        <v>4</v>
      </c>
      <c r="F11" s="7" t="s">
        <v>5</v>
      </c>
      <c r="H11" s="112"/>
      <c r="I11" s="112"/>
    </row>
    <row r="12" spans="1:10" s="2" customFormat="1" ht="14.25" customHeight="1" x14ac:dyDescent="0.4">
      <c r="A12" s="89">
        <v>45083</v>
      </c>
      <c r="B12" s="9" t="s">
        <v>6</v>
      </c>
      <c r="C12" s="10" t="s">
        <v>7</v>
      </c>
      <c r="D12" s="11"/>
      <c r="F12" s="12">
        <v>27852397.279999997</v>
      </c>
      <c r="G12" s="1"/>
      <c r="H12" s="112"/>
      <c r="I12" s="112"/>
    </row>
    <row r="13" spans="1:10" s="2" customFormat="1" ht="14.25" customHeight="1" x14ac:dyDescent="0.4">
      <c r="A13" s="89">
        <v>45083</v>
      </c>
      <c r="B13" s="9" t="s">
        <v>6</v>
      </c>
      <c r="C13" s="10" t="s">
        <v>419</v>
      </c>
      <c r="D13" s="11" t="s">
        <v>13</v>
      </c>
      <c r="E13" s="124">
        <v>621759</v>
      </c>
      <c r="F13" s="12"/>
      <c r="G13" s="1"/>
      <c r="H13" s="112"/>
      <c r="I13" s="112"/>
    </row>
    <row r="14" spans="1:10" s="2" customFormat="1" ht="14.25" customHeight="1" x14ac:dyDescent="0.4">
      <c r="A14" s="89">
        <v>45083</v>
      </c>
      <c r="B14" s="9" t="s">
        <v>11</v>
      </c>
      <c r="C14" s="10" t="s">
        <v>400</v>
      </c>
      <c r="D14" s="11" t="s">
        <v>29</v>
      </c>
      <c r="F14" s="12">
        <v>1500000</v>
      </c>
      <c r="G14" s="1"/>
      <c r="H14" s="112"/>
      <c r="I14" s="112"/>
    </row>
    <row r="15" spans="1:10" s="2" customFormat="1" ht="12.75" customHeight="1" x14ac:dyDescent="0.4">
      <c r="D15" s="15" t="s">
        <v>8</v>
      </c>
      <c r="E15" s="16">
        <f>SUM(E13:E14)</f>
        <v>621759</v>
      </c>
      <c r="F15" s="16">
        <f>SUM(F12:F14)</f>
        <v>29352397.279999997</v>
      </c>
      <c r="G15" s="1"/>
      <c r="H15" s="112"/>
      <c r="I15" s="112"/>
    </row>
    <row r="16" spans="1:10" s="2" customFormat="1" ht="12.75" customHeight="1" x14ac:dyDescent="0.4">
      <c r="A16" s="17"/>
      <c r="B16" s="18"/>
      <c r="C16" s="96" t="s">
        <v>9</v>
      </c>
      <c r="D16" s="20"/>
      <c r="E16" s="21">
        <f>+F15-E15</f>
        <v>28730638.279999997</v>
      </c>
      <c r="G16" s="23"/>
      <c r="H16" s="112"/>
      <c r="I16" s="112"/>
      <c r="J16" s="13"/>
    </row>
    <row r="17" spans="1:10" s="2" customFormat="1" ht="12.75" customHeight="1" x14ac:dyDescent="0.4">
      <c r="A17" s="24"/>
      <c r="B17" s="1"/>
      <c r="C17" s="14"/>
      <c r="D17" s="25"/>
      <c r="G17" s="23"/>
      <c r="H17" s="112"/>
      <c r="I17" s="112"/>
      <c r="J17" s="13"/>
    </row>
    <row r="18" spans="1:10" s="2" customFormat="1" ht="21.75" customHeight="1" x14ac:dyDescent="0.4">
      <c r="A18" s="214" t="s">
        <v>10</v>
      </c>
      <c r="B18" s="214"/>
      <c r="C18" s="214"/>
      <c r="D18" s="214"/>
      <c r="E18" s="214"/>
      <c r="F18" s="214"/>
      <c r="G18" s="13"/>
      <c r="H18" s="112"/>
      <c r="I18" s="112"/>
      <c r="J18" s="13"/>
    </row>
    <row r="19" spans="1:10" s="2" customFormat="1" ht="12.75" customHeight="1" x14ac:dyDescent="0.4">
      <c r="A19" s="26" t="s">
        <v>1</v>
      </c>
      <c r="B19" s="27" t="s">
        <v>2</v>
      </c>
      <c r="C19" s="5"/>
      <c r="D19" s="6" t="s">
        <v>3</v>
      </c>
      <c r="E19" s="7" t="s">
        <v>4</v>
      </c>
      <c r="F19" s="7" t="s">
        <v>5</v>
      </c>
      <c r="G19" s="23"/>
      <c r="H19" s="112"/>
      <c r="I19" s="112"/>
      <c r="J19" s="13"/>
    </row>
    <row r="20" spans="1:10" s="2" customFormat="1" ht="12.75" customHeight="1" x14ac:dyDescent="0.2">
      <c r="A20" s="89">
        <v>45083</v>
      </c>
      <c r="B20" s="91" t="s">
        <v>11</v>
      </c>
      <c r="C20" s="29" t="s">
        <v>7</v>
      </c>
      <c r="D20" s="25"/>
      <c r="E20" s="31"/>
      <c r="F20" s="2">
        <v>297205923.8299998</v>
      </c>
      <c r="G20" s="30"/>
      <c r="I20" s="13"/>
      <c r="J20" s="13"/>
    </row>
    <row r="21" spans="1:10" s="2" customFormat="1" ht="12.75" customHeight="1" x14ac:dyDescent="0.2">
      <c r="A21" s="89">
        <v>45083</v>
      </c>
      <c r="B21" s="91" t="s">
        <v>6</v>
      </c>
      <c r="C21" s="76" t="s">
        <v>681</v>
      </c>
      <c r="D21" s="116" t="s">
        <v>13</v>
      </c>
      <c r="E21" s="31">
        <v>518413.92</v>
      </c>
      <c r="G21" s="30"/>
      <c r="I21" s="13"/>
      <c r="J21" s="13"/>
    </row>
    <row r="22" spans="1:10" s="2" customFormat="1" ht="12.75" customHeight="1" x14ac:dyDescent="0.2">
      <c r="A22" s="89">
        <v>45083</v>
      </c>
      <c r="B22" s="91" t="s">
        <v>6</v>
      </c>
      <c r="C22" s="76" t="s">
        <v>785</v>
      </c>
      <c r="D22" s="116" t="s">
        <v>13</v>
      </c>
      <c r="E22" s="31">
        <v>5101213</v>
      </c>
      <c r="G22" s="30"/>
      <c r="I22" s="13"/>
      <c r="J22" s="13"/>
    </row>
    <row r="23" spans="1:10" s="2" customFormat="1" ht="12.75" customHeight="1" x14ac:dyDescent="0.2">
      <c r="A23" s="89">
        <v>45083</v>
      </c>
      <c r="B23" s="91" t="s">
        <v>6</v>
      </c>
      <c r="C23" s="76" t="s">
        <v>103</v>
      </c>
      <c r="D23" s="116" t="s">
        <v>13</v>
      </c>
      <c r="E23" s="31">
        <v>579812</v>
      </c>
      <c r="G23" s="30"/>
      <c r="I23" s="13"/>
      <c r="J23" s="13"/>
    </row>
    <row r="24" spans="1:10" s="2" customFormat="1" ht="12.75" customHeight="1" x14ac:dyDescent="0.2">
      <c r="A24" s="89">
        <v>45083</v>
      </c>
      <c r="B24" s="91" t="s">
        <v>6</v>
      </c>
      <c r="C24" s="76" t="s">
        <v>466</v>
      </c>
      <c r="D24" s="116" t="s">
        <v>13</v>
      </c>
      <c r="E24" s="31">
        <v>1030620</v>
      </c>
      <c r="G24" s="30"/>
      <c r="I24" s="13"/>
      <c r="J24" s="13"/>
    </row>
    <row r="25" spans="1:10" s="2" customFormat="1" ht="12.75" customHeight="1" x14ac:dyDescent="0.2">
      <c r="A25" s="89">
        <v>45083</v>
      </c>
      <c r="B25" s="91" t="s">
        <v>6</v>
      </c>
      <c r="C25" s="76" t="s">
        <v>276</v>
      </c>
      <c r="D25" s="116" t="s">
        <v>13</v>
      </c>
      <c r="E25" s="31">
        <v>14005</v>
      </c>
      <c r="G25" s="30"/>
      <c r="I25" s="13"/>
      <c r="J25" s="13"/>
    </row>
    <row r="26" spans="1:10" s="2" customFormat="1" ht="12.75" customHeight="1" x14ac:dyDescent="0.2">
      <c r="A26" s="89">
        <v>45083</v>
      </c>
      <c r="B26" s="91" t="s">
        <v>6</v>
      </c>
      <c r="C26" s="76" t="s">
        <v>741</v>
      </c>
      <c r="D26" s="116" t="s">
        <v>13</v>
      </c>
      <c r="E26" s="31">
        <v>146141</v>
      </c>
      <c r="G26" s="30"/>
      <c r="I26" s="13"/>
      <c r="J26" s="13"/>
    </row>
    <row r="27" spans="1:10" s="2" customFormat="1" ht="12.75" customHeight="1" x14ac:dyDescent="0.2">
      <c r="A27" s="89">
        <v>45083</v>
      </c>
      <c r="B27" s="91" t="s">
        <v>6</v>
      </c>
      <c r="C27" s="76" t="s">
        <v>332</v>
      </c>
      <c r="D27" s="116" t="s">
        <v>13</v>
      </c>
      <c r="E27" s="31">
        <v>7736253</v>
      </c>
      <c r="G27" s="30"/>
      <c r="I27" s="13"/>
      <c r="J27" s="13"/>
    </row>
    <row r="28" spans="1:10" s="2" customFormat="1" ht="12.75" customHeight="1" x14ac:dyDescent="0.2">
      <c r="A28" s="89">
        <v>45083</v>
      </c>
      <c r="B28" s="91" t="s">
        <v>6</v>
      </c>
      <c r="C28" s="76" t="s">
        <v>62</v>
      </c>
      <c r="D28" s="116" t="s">
        <v>13</v>
      </c>
      <c r="E28" s="31">
        <v>4000</v>
      </c>
      <c r="G28" s="30"/>
      <c r="I28" s="13"/>
      <c r="J28" s="13"/>
    </row>
    <row r="29" spans="1:10" s="2" customFormat="1" ht="12.75" customHeight="1" x14ac:dyDescent="0.2">
      <c r="A29" s="89">
        <v>45083</v>
      </c>
      <c r="B29" s="91" t="s">
        <v>6</v>
      </c>
      <c r="C29" s="76" t="s">
        <v>944</v>
      </c>
      <c r="D29" s="116" t="s">
        <v>13</v>
      </c>
      <c r="E29" s="31">
        <v>1500000</v>
      </c>
      <c r="G29" s="30"/>
      <c r="I29" s="13"/>
      <c r="J29" s="13"/>
    </row>
    <row r="30" spans="1:10" s="2" customFormat="1" ht="12.75" customHeight="1" x14ac:dyDescent="0.2">
      <c r="A30" s="89">
        <v>45083</v>
      </c>
      <c r="B30" s="91" t="s">
        <v>6</v>
      </c>
      <c r="C30" s="76" t="s">
        <v>145</v>
      </c>
      <c r="D30" s="116" t="s">
        <v>13</v>
      </c>
      <c r="E30" s="31">
        <v>1034951</v>
      </c>
      <c r="G30" s="30"/>
      <c r="I30" s="13"/>
      <c r="J30" s="13"/>
    </row>
    <row r="31" spans="1:10" s="2" customFormat="1" ht="12.75" customHeight="1" x14ac:dyDescent="0.2">
      <c r="A31" s="89">
        <v>45083</v>
      </c>
      <c r="B31" s="91" t="s">
        <v>6</v>
      </c>
      <c r="C31" s="76" t="s">
        <v>526</v>
      </c>
      <c r="D31" s="116" t="s">
        <v>13</v>
      </c>
      <c r="E31" s="31">
        <v>1202698.2</v>
      </c>
      <c r="G31" s="30"/>
      <c r="I31" s="13"/>
      <c r="J31" s="13"/>
    </row>
    <row r="32" spans="1:10" s="2" customFormat="1" ht="12.75" customHeight="1" x14ac:dyDescent="0.2">
      <c r="A32" s="89">
        <v>45083</v>
      </c>
      <c r="B32" s="91" t="s">
        <v>6</v>
      </c>
      <c r="C32" s="76" t="s">
        <v>1051</v>
      </c>
      <c r="D32" s="116" t="s">
        <v>13</v>
      </c>
      <c r="E32" s="31">
        <v>730678.61</v>
      </c>
      <c r="G32" s="30"/>
      <c r="I32" s="13"/>
      <c r="J32" s="13"/>
    </row>
    <row r="33" spans="1:10" s="2" customFormat="1" ht="12.75" customHeight="1" x14ac:dyDescent="0.2">
      <c r="A33" s="89">
        <v>45083</v>
      </c>
      <c r="B33" s="91" t="s">
        <v>6</v>
      </c>
      <c r="C33" s="76" t="s">
        <v>760</v>
      </c>
      <c r="D33" s="116" t="s">
        <v>13</v>
      </c>
      <c r="E33" s="31">
        <v>52261.599999999999</v>
      </c>
      <c r="G33" s="30"/>
      <c r="I33" s="13"/>
      <c r="J33" s="13"/>
    </row>
    <row r="34" spans="1:10" s="2" customFormat="1" ht="12.75" customHeight="1" x14ac:dyDescent="0.2">
      <c r="A34" s="89">
        <v>45083</v>
      </c>
      <c r="B34" s="91" t="s">
        <v>6</v>
      </c>
      <c r="C34" s="76" t="s">
        <v>755</v>
      </c>
      <c r="D34" s="116" t="s">
        <v>13</v>
      </c>
      <c r="E34" s="31">
        <v>257643.9</v>
      </c>
      <c r="G34" s="30"/>
      <c r="I34" s="13"/>
      <c r="J34" s="13"/>
    </row>
    <row r="35" spans="1:10" s="2" customFormat="1" ht="12.75" customHeight="1" x14ac:dyDescent="0.2">
      <c r="A35" s="89">
        <v>45083</v>
      </c>
      <c r="B35" s="91" t="s">
        <v>6</v>
      </c>
      <c r="C35" s="76" t="s">
        <v>20</v>
      </c>
      <c r="D35" s="116" t="s">
        <v>13</v>
      </c>
      <c r="E35" s="31">
        <v>1392246</v>
      </c>
      <c r="G35" s="30"/>
      <c r="I35" s="13"/>
      <c r="J35" s="13"/>
    </row>
    <row r="36" spans="1:10" s="2" customFormat="1" ht="12.75" customHeight="1" x14ac:dyDescent="0.2">
      <c r="A36" s="89">
        <v>45083</v>
      </c>
      <c r="B36" s="91" t="s">
        <v>6</v>
      </c>
      <c r="C36" s="76" t="s">
        <v>212</v>
      </c>
      <c r="D36" s="116" t="s">
        <v>13</v>
      </c>
      <c r="E36" s="31">
        <v>9936</v>
      </c>
      <c r="G36" s="30"/>
      <c r="I36" s="13"/>
      <c r="J36" s="13"/>
    </row>
    <row r="37" spans="1:10" s="2" customFormat="1" ht="12.75" customHeight="1" x14ac:dyDescent="0.2">
      <c r="A37" s="89">
        <v>45083</v>
      </c>
      <c r="B37" s="91" t="s">
        <v>6</v>
      </c>
      <c r="C37" s="76" t="s">
        <v>16</v>
      </c>
      <c r="D37" s="116" t="s">
        <v>13</v>
      </c>
      <c r="E37" s="31">
        <v>899536.54</v>
      </c>
      <c r="G37" s="30"/>
      <c r="I37" s="13"/>
      <c r="J37" s="13"/>
    </row>
    <row r="38" spans="1:10" s="2" customFormat="1" ht="12.75" customHeight="1" x14ac:dyDescent="0.2">
      <c r="A38" s="89">
        <v>45083</v>
      </c>
      <c r="B38" s="91" t="s">
        <v>6</v>
      </c>
      <c r="C38" s="76" t="s">
        <v>391</v>
      </c>
      <c r="D38" s="116" t="s">
        <v>13</v>
      </c>
      <c r="E38" s="31">
        <v>821953</v>
      </c>
      <c r="G38" s="30"/>
      <c r="I38" s="13"/>
      <c r="J38" s="13"/>
    </row>
    <row r="39" spans="1:10" s="2" customFormat="1" ht="12.75" customHeight="1" x14ac:dyDescent="0.2">
      <c r="A39" s="89">
        <v>45083</v>
      </c>
      <c r="B39" s="91" t="s">
        <v>6</v>
      </c>
      <c r="C39" s="76" t="s">
        <v>15</v>
      </c>
      <c r="D39" s="116" t="s">
        <v>13</v>
      </c>
      <c r="E39" s="31">
        <v>29030.07</v>
      </c>
      <c r="G39" s="30"/>
      <c r="I39" s="13"/>
      <c r="J39" s="13"/>
    </row>
    <row r="40" spans="1:10" s="2" customFormat="1" ht="12.75" customHeight="1" x14ac:dyDescent="0.2">
      <c r="A40" s="89">
        <v>45083</v>
      </c>
      <c r="B40" s="91" t="s">
        <v>11</v>
      </c>
      <c r="C40" s="76" t="s">
        <v>64</v>
      </c>
      <c r="D40" s="116" t="s">
        <v>29</v>
      </c>
      <c r="E40" s="31"/>
      <c r="F40" s="2">
        <f>17509.69-12467.86</f>
        <v>5041.8299999999981</v>
      </c>
      <c r="G40" s="30"/>
      <c r="I40" s="13"/>
      <c r="J40" s="13"/>
    </row>
    <row r="41" spans="1:10" s="2" customFormat="1" ht="12.75" customHeight="1" x14ac:dyDescent="0.2">
      <c r="A41" s="89">
        <v>45083</v>
      </c>
      <c r="B41" s="91" t="s">
        <v>11</v>
      </c>
      <c r="C41" s="76" t="s">
        <v>15</v>
      </c>
      <c r="D41" s="116" t="s">
        <v>29</v>
      </c>
      <c r="E41" s="31"/>
      <c r="F41" s="2">
        <v>77923.19</v>
      </c>
      <c r="G41" s="30"/>
      <c r="I41" s="13"/>
      <c r="J41" s="13"/>
    </row>
    <row r="42" spans="1:10" s="2" customFormat="1" ht="12.75" customHeight="1" x14ac:dyDescent="0.2">
      <c r="A42" s="89">
        <v>45083</v>
      </c>
      <c r="B42" s="91" t="s">
        <v>11</v>
      </c>
      <c r="C42" s="76" t="s">
        <v>111</v>
      </c>
      <c r="D42" s="116" t="s">
        <v>29</v>
      </c>
      <c r="E42" s="31"/>
      <c r="F42" s="2">
        <v>766504.48</v>
      </c>
      <c r="G42" s="30"/>
      <c r="I42" s="13"/>
      <c r="J42" s="13"/>
    </row>
    <row r="43" spans="1:10" s="2" customFormat="1" ht="12.75" customHeight="1" x14ac:dyDescent="0.2">
      <c r="A43" s="89">
        <v>45083</v>
      </c>
      <c r="B43" s="91" t="s">
        <v>11</v>
      </c>
      <c r="C43" s="76" t="s">
        <v>533</v>
      </c>
      <c r="D43" s="116" t="s">
        <v>29</v>
      </c>
      <c r="E43" s="31"/>
      <c r="F43" s="2">
        <v>7965</v>
      </c>
      <c r="G43" s="30"/>
      <c r="I43" s="13"/>
      <c r="J43" s="13"/>
    </row>
    <row r="44" spans="1:10" s="2" customFormat="1" ht="12.75" customHeight="1" x14ac:dyDescent="0.2">
      <c r="A44" s="89">
        <v>45083</v>
      </c>
      <c r="B44" s="91" t="s">
        <v>11</v>
      </c>
      <c r="C44" s="76" t="s">
        <v>109</v>
      </c>
      <c r="D44" s="116" t="s">
        <v>29</v>
      </c>
      <c r="E44" s="31"/>
      <c r="F44" s="2">
        <v>535116</v>
      </c>
      <c r="G44" s="30"/>
      <c r="I44" s="13"/>
      <c r="J44" s="13"/>
    </row>
    <row r="45" spans="1:10" s="2" customFormat="1" ht="12.75" customHeight="1" x14ac:dyDescent="0.2">
      <c r="A45" s="89">
        <v>45083</v>
      </c>
      <c r="B45" s="91" t="s">
        <v>11</v>
      </c>
      <c r="C45" s="76" t="s">
        <v>203</v>
      </c>
      <c r="D45" s="116" t="s">
        <v>29</v>
      </c>
      <c r="E45" s="31"/>
      <c r="F45" s="2">
        <v>25799</v>
      </c>
      <c r="G45" s="30"/>
      <c r="I45" s="13"/>
      <c r="J45" s="13"/>
    </row>
    <row r="46" spans="1:10" s="2" customFormat="1" ht="12.75" customHeight="1" x14ac:dyDescent="0.2">
      <c r="A46" s="89">
        <v>45083</v>
      </c>
      <c r="B46" s="91" t="s">
        <v>11</v>
      </c>
      <c r="C46" s="76" t="s">
        <v>687</v>
      </c>
      <c r="D46" s="116" t="s">
        <v>29</v>
      </c>
      <c r="E46" s="31"/>
      <c r="F46" s="2">
        <v>124561</v>
      </c>
      <c r="G46" s="30"/>
      <c r="I46" s="13"/>
      <c r="J46" s="13"/>
    </row>
    <row r="47" spans="1:10" s="2" customFormat="1" ht="12.75" customHeight="1" x14ac:dyDescent="0.2">
      <c r="A47" s="89">
        <v>45083</v>
      </c>
      <c r="B47" s="91" t="s">
        <v>11</v>
      </c>
      <c r="C47" s="76" t="s">
        <v>663</v>
      </c>
      <c r="D47" s="116" t="s">
        <v>29</v>
      </c>
      <c r="E47" s="31"/>
      <c r="F47" s="2">
        <v>55440</v>
      </c>
      <c r="G47" s="30"/>
      <c r="I47" s="13"/>
      <c r="J47" s="13"/>
    </row>
    <row r="48" spans="1:10" s="2" customFormat="1" ht="12.75" customHeight="1" x14ac:dyDescent="0.2">
      <c r="A48" s="89">
        <v>45083</v>
      </c>
      <c r="B48" s="91" t="s">
        <v>11</v>
      </c>
      <c r="C48" s="76" t="s">
        <v>212</v>
      </c>
      <c r="D48" s="116" t="s">
        <v>29</v>
      </c>
      <c r="E48" s="31"/>
      <c r="F48" s="2">
        <v>1633825</v>
      </c>
      <c r="G48" s="30"/>
      <c r="I48" s="13"/>
      <c r="J48" s="13"/>
    </row>
    <row r="49" spans="1:10" s="2" customFormat="1" ht="12.75" customHeight="1" x14ac:dyDescent="0.2">
      <c r="A49" s="89">
        <v>45083</v>
      </c>
      <c r="B49" s="91" t="s">
        <v>11</v>
      </c>
      <c r="C49" s="76" t="s">
        <v>402</v>
      </c>
      <c r="D49" s="116" t="s">
        <v>29</v>
      </c>
      <c r="E49" s="31"/>
      <c r="F49" s="2">
        <v>3200000</v>
      </c>
      <c r="G49" s="30"/>
      <c r="I49" s="13"/>
      <c r="J49" s="13"/>
    </row>
    <row r="50" spans="1:10" s="2" customFormat="1" ht="12.75" customHeight="1" x14ac:dyDescent="0.2">
      <c r="A50" s="89">
        <v>45083</v>
      </c>
      <c r="B50" s="91" t="s">
        <v>11</v>
      </c>
      <c r="C50" s="76" t="s">
        <v>731</v>
      </c>
      <c r="D50" s="116" t="s">
        <v>29</v>
      </c>
      <c r="E50" s="31"/>
      <c r="F50" s="2">
        <v>218622</v>
      </c>
      <c r="G50" s="30"/>
      <c r="I50" s="13"/>
      <c r="J50" s="13"/>
    </row>
    <row r="51" spans="1:10" s="2" customFormat="1" ht="12.75" customHeight="1" x14ac:dyDescent="0.2">
      <c r="A51" s="89">
        <v>45083</v>
      </c>
      <c r="B51" s="91" t="s">
        <v>11</v>
      </c>
      <c r="C51" s="76" t="s">
        <v>476</v>
      </c>
      <c r="D51" s="116" t="s">
        <v>29</v>
      </c>
      <c r="E51" s="31"/>
      <c r="F51" s="2">
        <v>3465</v>
      </c>
      <c r="G51" s="30"/>
      <c r="I51" s="13"/>
      <c r="J51" s="13"/>
    </row>
    <row r="52" spans="1:10" s="2" customFormat="1" ht="12.75" customHeight="1" x14ac:dyDescent="0.2">
      <c r="A52" s="89">
        <v>45083</v>
      </c>
      <c r="B52" s="91" t="s">
        <v>11</v>
      </c>
      <c r="C52" s="76" t="s">
        <v>34</v>
      </c>
      <c r="D52" s="116" t="s">
        <v>29</v>
      </c>
      <c r="E52" s="31"/>
      <c r="F52" s="2">
        <v>30000</v>
      </c>
      <c r="G52" s="30"/>
      <c r="I52" s="13"/>
      <c r="J52" s="13"/>
    </row>
    <row r="53" spans="1:10" s="2" customFormat="1" ht="12.75" customHeight="1" x14ac:dyDescent="0.2">
      <c r="A53" s="89">
        <v>45083</v>
      </c>
      <c r="B53" s="91" t="s">
        <v>11</v>
      </c>
      <c r="C53" s="76" t="s">
        <v>885</v>
      </c>
      <c r="D53" s="116" t="s">
        <v>29</v>
      </c>
      <c r="E53" s="31"/>
      <c r="F53" s="2">
        <v>8750</v>
      </c>
      <c r="G53" s="30"/>
      <c r="I53" s="13"/>
      <c r="J53" s="13"/>
    </row>
    <row r="54" spans="1:10" s="2" customFormat="1" ht="12.75" customHeight="1" x14ac:dyDescent="0.2">
      <c r="A54" s="89">
        <v>45083</v>
      </c>
      <c r="B54" s="91" t="s">
        <v>11</v>
      </c>
      <c r="C54" s="76" t="s">
        <v>137</v>
      </c>
      <c r="D54" s="116" t="s">
        <v>29</v>
      </c>
      <c r="E54" s="31"/>
      <c r="F54" s="2">
        <v>200000</v>
      </c>
      <c r="G54" s="30"/>
      <c r="I54" s="13"/>
      <c r="J54" s="13"/>
    </row>
    <row r="55" spans="1:10" s="2" customFormat="1" ht="12.75" customHeight="1" x14ac:dyDescent="0.2">
      <c r="A55" s="89">
        <v>45083</v>
      </c>
      <c r="B55" s="91" t="s">
        <v>11</v>
      </c>
      <c r="C55" s="76" t="s">
        <v>735</v>
      </c>
      <c r="D55" s="116" t="s">
        <v>29</v>
      </c>
      <c r="E55" s="31"/>
      <c r="F55" s="2">
        <v>429607</v>
      </c>
      <c r="G55" s="30"/>
      <c r="I55" s="13"/>
      <c r="J55" s="13"/>
    </row>
    <row r="56" spans="1:10" s="2" customFormat="1" ht="12.75" customHeight="1" x14ac:dyDescent="0.2">
      <c r="A56" s="89">
        <v>45083</v>
      </c>
      <c r="B56" s="91" t="s">
        <v>11</v>
      </c>
      <c r="C56" s="76" t="s">
        <v>621</v>
      </c>
      <c r="D56" s="116" t="s">
        <v>29</v>
      </c>
      <c r="E56" s="31"/>
      <c r="F56" s="2">
        <v>15723</v>
      </c>
      <c r="G56" s="30"/>
      <c r="I56" s="13"/>
      <c r="J56" s="13"/>
    </row>
    <row r="57" spans="1:10" s="2" customFormat="1" ht="12.75" customHeight="1" x14ac:dyDescent="0.2">
      <c r="A57" s="89">
        <v>45083</v>
      </c>
      <c r="B57" s="91" t="s">
        <v>11</v>
      </c>
      <c r="C57" s="76" t="s">
        <v>383</v>
      </c>
      <c r="D57" s="116" t="s">
        <v>29</v>
      </c>
      <c r="E57" s="31"/>
      <c r="F57" s="2">
        <v>3414</v>
      </c>
      <c r="G57" s="30"/>
      <c r="I57" s="13"/>
      <c r="J57" s="13"/>
    </row>
    <row r="58" spans="1:10" s="2" customFormat="1" ht="12.75" customHeight="1" x14ac:dyDescent="0.2">
      <c r="A58" s="89">
        <v>45083</v>
      </c>
      <c r="B58" s="91" t="s">
        <v>11</v>
      </c>
      <c r="C58" s="76" t="s">
        <v>373</v>
      </c>
      <c r="D58" s="116" t="s">
        <v>29</v>
      </c>
      <c r="E58" s="31"/>
      <c r="F58" s="2">
        <v>306</v>
      </c>
      <c r="G58" s="30"/>
      <c r="I58" s="13"/>
      <c r="J58" s="13"/>
    </row>
    <row r="59" spans="1:10" s="2" customFormat="1" ht="12.75" customHeight="1" x14ac:dyDescent="0.2">
      <c r="A59" s="89">
        <v>45083</v>
      </c>
      <c r="B59" s="91" t="s">
        <v>11</v>
      </c>
      <c r="C59" s="76" t="s">
        <v>313</v>
      </c>
      <c r="D59" s="116" t="s">
        <v>29</v>
      </c>
      <c r="E59" s="31"/>
      <c r="F59" s="2">
        <v>56767</v>
      </c>
      <c r="G59" s="30"/>
      <c r="I59" s="13"/>
      <c r="J59" s="13"/>
    </row>
    <row r="60" spans="1:10" s="2" customFormat="1" ht="12.75" customHeight="1" x14ac:dyDescent="0.2">
      <c r="A60" s="89">
        <v>45083</v>
      </c>
      <c r="B60" s="91" t="s">
        <v>11</v>
      </c>
      <c r="C60" s="76" t="s">
        <v>214</v>
      </c>
      <c r="D60" s="116" t="s">
        <v>29</v>
      </c>
      <c r="E60" s="31"/>
      <c r="F60" s="2">
        <v>133424</v>
      </c>
      <c r="G60" s="30"/>
      <c r="I60" s="13"/>
      <c r="J60" s="13"/>
    </row>
    <row r="61" spans="1:10" s="2" customFormat="1" ht="12.75" customHeight="1" x14ac:dyDescent="0.2">
      <c r="A61" s="89">
        <v>45083</v>
      </c>
      <c r="B61" s="91" t="s">
        <v>11</v>
      </c>
      <c r="C61" s="76" t="s">
        <v>442</v>
      </c>
      <c r="D61" s="116" t="s">
        <v>29</v>
      </c>
      <c r="E61" s="31"/>
      <c r="F61" s="2">
        <v>238464</v>
      </c>
      <c r="G61" s="30"/>
      <c r="I61" s="13"/>
      <c r="J61" s="13"/>
    </row>
    <row r="62" spans="1:10" s="2" customFormat="1" ht="12.75" customHeight="1" x14ac:dyDescent="0.2">
      <c r="A62" s="89">
        <v>45083</v>
      </c>
      <c r="B62" s="91" t="s">
        <v>11</v>
      </c>
      <c r="C62" s="76" t="s">
        <v>57</v>
      </c>
      <c r="D62" s="116" t="s">
        <v>29</v>
      </c>
      <c r="E62" s="31"/>
      <c r="F62" s="2">
        <v>600000</v>
      </c>
      <c r="G62" s="30"/>
      <c r="I62" s="13"/>
      <c r="J62" s="13"/>
    </row>
    <row r="63" spans="1:10" s="2" customFormat="1" ht="12.75" customHeight="1" x14ac:dyDescent="0.2">
      <c r="A63" s="89">
        <v>45083</v>
      </c>
      <c r="B63" s="91" t="s">
        <v>11</v>
      </c>
      <c r="C63" s="76" t="s">
        <v>702</v>
      </c>
      <c r="D63" s="116" t="s">
        <v>29</v>
      </c>
      <c r="E63" s="31"/>
      <c r="F63" s="2">
        <v>150000</v>
      </c>
      <c r="G63" s="30"/>
      <c r="I63" s="13"/>
      <c r="J63" s="13"/>
    </row>
    <row r="64" spans="1:10" s="2" customFormat="1" ht="12.75" customHeight="1" x14ac:dyDescent="0.2">
      <c r="A64" s="89">
        <v>45083</v>
      </c>
      <c r="B64" s="91" t="s">
        <v>11</v>
      </c>
      <c r="C64" s="76" t="s">
        <v>287</v>
      </c>
      <c r="D64" s="116" t="s">
        <v>29</v>
      </c>
      <c r="E64" s="31"/>
      <c r="F64" s="2">
        <v>20958</v>
      </c>
      <c r="G64" s="30"/>
      <c r="I64" s="13"/>
    </row>
    <row r="65" spans="1:14" s="2" customFormat="1" ht="12.75" customHeight="1" x14ac:dyDescent="0.2">
      <c r="A65" s="89">
        <v>45083</v>
      </c>
      <c r="B65" s="91" t="s">
        <v>11</v>
      </c>
      <c r="C65" s="76" t="s">
        <v>330</v>
      </c>
      <c r="D65" s="116" t="s">
        <v>29</v>
      </c>
      <c r="E65" s="31"/>
      <c r="F65" s="2">
        <v>1000000</v>
      </c>
      <c r="G65" s="30"/>
      <c r="I65" s="13"/>
      <c r="J65" s="13"/>
      <c r="K65" s="25"/>
    </row>
    <row r="66" spans="1:14" s="2" customFormat="1" ht="12.75" customHeight="1" x14ac:dyDescent="0.2">
      <c r="A66" s="89">
        <v>45083</v>
      </c>
      <c r="B66" s="91" t="s">
        <v>11</v>
      </c>
      <c r="C66" s="76" t="s">
        <v>923</v>
      </c>
      <c r="D66" s="116" t="s">
        <v>29</v>
      </c>
      <c r="E66" s="31"/>
      <c r="F66" s="2">
        <v>300000</v>
      </c>
      <c r="G66" s="30"/>
      <c r="I66" s="13"/>
      <c r="J66" s="13"/>
      <c r="K66" s="25"/>
    </row>
    <row r="67" spans="1:14" s="2" customFormat="1" ht="12.75" customHeight="1" x14ac:dyDescent="0.2">
      <c r="A67" s="89">
        <v>45083</v>
      </c>
      <c r="B67" s="91" t="s">
        <v>11</v>
      </c>
      <c r="C67" s="76" t="s">
        <v>273</v>
      </c>
      <c r="D67" s="116" t="s">
        <v>29</v>
      </c>
      <c r="E67" s="31"/>
      <c r="F67" s="2">
        <v>7500.84</v>
      </c>
      <c r="G67" s="30"/>
      <c r="I67" s="13"/>
      <c r="J67" s="13"/>
      <c r="K67" s="25"/>
    </row>
    <row r="68" spans="1:14" s="2" customFormat="1" ht="12.75" customHeight="1" x14ac:dyDescent="0.2">
      <c r="A68" s="89">
        <v>45083</v>
      </c>
      <c r="B68" s="91" t="s">
        <v>11</v>
      </c>
      <c r="C68" s="76" t="s">
        <v>823</v>
      </c>
      <c r="D68" s="116" t="s">
        <v>29</v>
      </c>
      <c r="E68" s="31"/>
      <c r="F68" s="2">
        <v>18520</v>
      </c>
      <c r="G68" s="30"/>
      <c r="I68" s="13"/>
      <c r="J68" s="13"/>
      <c r="K68" s="25"/>
    </row>
    <row r="69" spans="1:14" s="2" customFormat="1" ht="12.75" customHeight="1" x14ac:dyDescent="0.2">
      <c r="A69" s="89">
        <v>45083</v>
      </c>
      <c r="B69" s="91" t="s">
        <v>11</v>
      </c>
      <c r="C69" s="76" t="s">
        <v>232</v>
      </c>
      <c r="D69" s="116" t="s">
        <v>29</v>
      </c>
      <c r="E69" s="31"/>
      <c r="F69" s="2">
        <v>12660</v>
      </c>
      <c r="G69" s="30"/>
      <c r="I69" s="13"/>
      <c r="J69" s="13"/>
      <c r="K69" s="25"/>
    </row>
    <row r="70" spans="1:14" s="2" customFormat="1" ht="12.75" customHeight="1" x14ac:dyDescent="0.2">
      <c r="A70" s="89">
        <v>45083</v>
      </c>
      <c r="B70" s="91" t="s">
        <v>11</v>
      </c>
      <c r="C70" s="76" t="s">
        <v>53</v>
      </c>
      <c r="D70" s="116" t="s">
        <v>29</v>
      </c>
      <c r="E70" s="31"/>
      <c r="F70" s="2">
        <v>550</v>
      </c>
      <c r="G70" s="30"/>
      <c r="I70" s="13"/>
      <c r="J70" s="13"/>
      <c r="K70" s="25"/>
    </row>
    <row r="71" spans="1:14" s="2" customFormat="1" ht="12.75" customHeight="1" x14ac:dyDescent="0.2">
      <c r="A71" s="89">
        <v>45083</v>
      </c>
      <c r="B71" s="91" t="s">
        <v>11</v>
      </c>
      <c r="C71" s="76" t="s">
        <v>302</v>
      </c>
      <c r="D71" s="116" t="s">
        <v>29</v>
      </c>
      <c r="E71" s="31"/>
      <c r="F71" s="2">
        <v>8700</v>
      </c>
      <c r="G71" s="30"/>
      <c r="I71" s="13"/>
      <c r="J71" s="13"/>
      <c r="K71" s="25"/>
    </row>
    <row r="72" spans="1:14" s="2" customFormat="1" ht="12.75" customHeight="1" x14ac:dyDescent="0.2">
      <c r="A72" s="89">
        <v>45083</v>
      </c>
      <c r="B72" s="91" t="s">
        <v>11</v>
      </c>
      <c r="C72" s="76" t="s">
        <v>760</v>
      </c>
      <c r="D72" s="116" t="s">
        <v>29</v>
      </c>
      <c r="E72" s="31"/>
      <c r="F72" s="2">
        <v>5776352.6000000006</v>
      </c>
      <c r="G72" s="30"/>
      <c r="I72" s="13"/>
      <c r="J72" s="13"/>
      <c r="K72" s="25"/>
    </row>
    <row r="73" spans="1:14" s="2" customFormat="1" ht="12.75" customHeight="1" x14ac:dyDescent="0.2">
      <c r="A73" s="89">
        <v>45083</v>
      </c>
      <c r="B73" s="91" t="s">
        <v>11</v>
      </c>
      <c r="C73" s="76" t="s">
        <v>748</v>
      </c>
      <c r="D73" s="116" t="s">
        <v>29</v>
      </c>
      <c r="E73" s="31"/>
      <c r="F73" s="2">
        <v>1578924.9</v>
      </c>
      <c r="G73" s="30"/>
      <c r="I73" s="13"/>
      <c r="J73" s="13" t="s">
        <v>601</v>
      </c>
      <c r="K73" s="25" t="s">
        <v>779</v>
      </c>
    </row>
    <row r="74" spans="1:14" s="2" customFormat="1" ht="12.75" customHeight="1" x14ac:dyDescent="0.25">
      <c r="A74" s="32"/>
      <c r="B74" s="33"/>
      <c r="C74" s="14"/>
      <c r="D74" s="34"/>
      <c r="E74" s="16">
        <f>SUM(E20:E73)</f>
        <v>23061392.84</v>
      </c>
      <c r="F74" s="16">
        <f>SUM(F20:F73)</f>
        <v>314450807.66999978</v>
      </c>
      <c r="G74" s="30"/>
      <c r="H74" s="1"/>
      <c r="I74" s="39">
        <v>296801094.82999998</v>
      </c>
      <c r="J74" s="2">
        <f>5021349+390331</f>
        <v>5411680</v>
      </c>
      <c r="K74" s="92">
        <f>E75-I74</f>
        <v>-5411680.0000001788</v>
      </c>
      <c r="L74" s="41"/>
      <c r="M74" s="42"/>
    </row>
    <row r="75" spans="1:14" s="2" customFormat="1" ht="12.75" customHeight="1" x14ac:dyDescent="0.2">
      <c r="A75" s="36"/>
      <c r="B75" s="28" t="s">
        <v>11</v>
      </c>
      <c r="C75" s="19" t="s">
        <v>65</v>
      </c>
      <c r="D75" s="37"/>
      <c r="E75" s="38">
        <f>F74-E74</f>
        <v>291389414.8299998</v>
      </c>
      <c r="F75" s="22"/>
      <c r="G75" s="1"/>
      <c r="H75" s="1"/>
      <c r="J75" s="1"/>
      <c r="K75" s="1"/>
      <c r="L75" s="1"/>
      <c r="M75" s="1"/>
    </row>
    <row r="76" spans="1:14" s="2" customFormat="1" ht="12.75" customHeight="1" x14ac:dyDescent="0.2">
      <c r="A76" s="36"/>
      <c r="B76" s="28" t="s">
        <v>66</v>
      </c>
      <c r="C76" s="43" t="s">
        <v>67</v>
      </c>
      <c r="D76" s="43"/>
      <c r="E76" s="12">
        <v>59416310</v>
      </c>
      <c r="F76" s="22"/>
      <c r="G76" s="1"/>
      <c r="H76" s="40"/>
      <c r="I76" s="45">
        <v>658.93</v>
      </c>
      <c r="J76" s="46"/>
      <c r="K76" s="46"/>
      <c r="L76" s="13"/>
    </row>
    <row r="77" spans="1:14" s="2" customFormat="1" ht="12.75" customHeight="1" x14ac:dyDescent="0.25">
      <c r="A77" s="36"/>
      <c r="B77" s="28"/>
      <c r="C77" s="44" t="s">
        <v>68</v>
      </c>
      <c r="D77" s="43"/>
      <c r="E77" s="7">
        <f>E75+E76</f>
        <v>350805724.8299998</v>
      </c>
      <c r="F77" s="22"/>
      <c r="G77" s="1"/>
      <c r="H77" s="103" t="s">
        <v>69</v>
      </c>
      <c r="I77" s="45">
        <v>-11.38</v>
      </c>
      <c r="J77" s="46"/>
      <c r="K77" s="46"/>
      <c r="N77" s="1"/>
    </row>
    <row r="78" spans="1:14" s="2" customFormat="1" x14ac:dyDescent="0.2">
      <c r="A78" s="24"/>
      <c r="B78" s="1"/>
      <c r="C78" s="14"/>
      <c r="D78" s="25"/>
      <c r="E78" s="1"/>
      <c r="H78" s="35" t="s">
        <v>70</v>
      </c>
      <c r="I78" s="45">
        <v>1.28</v>
      </c>
      <c r="J78" s="46">
        <f>+I79-D81</f>
        <v>0</v>
      </c>
      <c r="M78" s="2">
        <v>19.57</v>
      </c>
      <c r="N78" s="1"/>
    </row>
    <row r="79" spans="1:14" x14ac:dyDescent="0.2">
      <c r="C79" s="56"/>
      <c r="D79" s="56"/>
      <c r="E79" s="104"/>
      <c r="I79" s="49">
        <f>SUM(I76:I78)</f>
        <v>648.82999999999993</v>
      </c>
      <c r="J79" s="46"/>
      <c r="K79" s="46"/>
      <c r="L79" s="2"/>
      <c r="M79" s="2"/>
      <c r="N79" s="2"/>
    </row>
    <row r="80" spans="1:14" x14ac:dyDescent="0.2">
      <c r="C80" s="78" t="s">
        <v>575</v>
      </c>
      <c r="D80" s="48" t="s">
        <v>576</v>
      </c>
      <c r="E80" s="104"/>
      <c r="I80" s="2"/>
      <c r="J80" s="2"/>
      <c r="K80" s="2"/>
      <c r="L80" s="2"/>
      <c r="M80" s="2"/>
      <c r="N80" s="2"/>
    </row>
    <row r="81" spans="1:14" s="2" customFormat="1" x14ac:dyDescent="0.2">
      <c r="A81" s="24"/>
      <c r="B81" s="1"/>
      <c r="C81" s="47" t="s">
        <v>570</v>
      </c>
      <c r="D81" s="111">
        <v>648.83000000000004</v>
      </c>
      <c r="E81" s="104"/>
      <c r="G81" s="1"/>
      <c r="H81" s="110" t="s">
        <v>581</v>
      </c>
      <c r="N81" s="2" t="s">
        <v>535</v>
      </c>
    </row>
    <row r="82" spans="1:14" s="2" customFormat="1" x14ac:dyDescent="0.2">
      <c r="A82" s="24"/>
      <c r="B82" s="1"/>
      <c r="C82" s="47" t="s">
        <v>931</v>
      </c>
      <c r="D82" s="111">
        <v>12.84</v>
      </c>
      <c r="E82" s="104"/>
      <c r="G82" s="1"/>
      <c r="H82" s="110" t="s">
        <v>580</v>
      </c>
    </row>
    <row r="83" spans="1:14" s="2" customFormat="1" x14ac:dyDescent="0.2">
      <c r="A83" s="24"/>
      <c r="B83" s="1"/>
      <c r="C83" s="47" t="s">
        <v>572</v>
      </c>
      <c r="D83" s="111">
        <f>+D101/100000</f>
        <v>18.655329999999999</v>
      </c>
      <c r="E83" s="104"/>
      <c r="G83" s="1"/>
      <c r="H83" s="90" t="s">
        <v>587</v>
      </c>
    </row>
    <row r="84" spans="1:14" s="2" customFormat="1" x14ac:dyDescent="0.2">
      <c r="A84" s="24"/>
      <c r="B84" s="1"/>
      <c r="C84" s="108" t="s">
        <v>578</v>
      </c>
      <c r="D84" s="48">
        <f>SUM(D81:D83)</f>
        <v>680.32533000000012</v>
      </c>
      <c r="E84" s="104"/>
      <c r="G84" s="1"/>
    </row>
    <row r="85" spans="1:14" s="2" customFormat="1" x14ac:dyDescent="0.2">
      <c r="A85" s="24"/>
      <c r="B85" s="1"/>
      <c r="C85" s="47"/>
      <c r="D85" s="107"/>
      <c r="E85" s="104"/>
      <c r="G85" s="1"/>
    </row>
    <row r="86" spans="1:14" s="2" customFormat="1" x14ac:dyDescent="0.2">
      <c r="A86" s="24"/>
      <c r="B86" s="1"/>
      <c r="C86" s="47" t="s">
        <v>932</v>
      </c>
      <c r="D86" s="111">
        <v>207.22</v>
      </c>
      <c r="E86" s="104"/>
      <c r="G86" s="1"/>
      <c r="H86" s="110" t="s">
        <v>581</v>
      </c>
    </row>
    <row r="87" spans="1:14" s="2" customFormat="1" x14ac:dyDescent="0.2">
      <c r="A87" s="24"/>
      <c r="B87" s="1"/>
      <c r="C87" s="47" t="s">
        <v>933</v>
      </c>
      <c r="D87" s="111">
        <v>0</v>
      </c>
      <c r="E87" s="104"/>
      <c r="G87" s="1"/>
      <c r="H87" s="110" t="s">
        <v>581</v>
      </c>
      <c r="J87" s="114" t="s">
        <v>713</v>
      </c>
    </row>
    <row r="88" spans="1:14" s="2" customFormat="1" x14ac:dyDescent="0.2">
      <c r="A88" s="24"/>
      <c r="B88" s="1"/>
      <c r="C88" s="78" t="s">
        <v>579</v>
      </c>
      <c r="D88" s="109">
        <f>D86+D87</f>
        <v>207.22</v>
      </c>
      <c r="E88" s="104"/>
      <c r="G88" s="1"/>
      <c r="I88" s="113"/>
      <c r="J88" s="113" t="s">
        <v>709</v>
      </c>
      <c r="K88" s="113" t="s">
        <v>710</v>
      </c>
      <c r="L88" s="113" t="s">
        <v>711</v>
      </c>
      <c r="M88" s="113" t="s">
        <v>712</v>
      </c>
    </row>
    <row r="89" spans="1:14" s="2" customFormat="1" x14ac:dyDescent="0.2">
      <c r="A89" s="24"/>
      <c r="B89" s="1"/>
      <c r="C89" s="105"/>
      <c r="D89" s="106"/>
      <c r="E89" s="104"/>
      <c r="G89" s="1"/>
      <c r="I89" s="113" t="s">
        <v>706</v>
      </c>
      <c r="J89" s="115"/>
      <c r="K89" s="115">
        <v>968.99</v>
      </c>
      <c r="L89" s="115">
        <v>968.99</v>
      </c>
      <c r="M89" s="113">
        <f>+J89+L89-K89</f>
        <v>0</v>
      </c>
    </row>
    <row r="90" spans="1:14" s="2" customFormat="1" x14ac:dyDescent="0.2">
      <c r="A90" s="24"/>
      <c r="B90" s="1"/>
      <c r="C90" s="78" t="s">
        <v>577</v>
      </c>
      <c r="D90" s="109">
        <f>D81+D88</f>
        <v>856.05000000000007</v>
      </c>
      <c r="E90" s="104"/>
      <c r="G90" s="1"/>
      <c r="I90" s="113" t="s">
        <v>707</v>
      </c>
      <c r="J90" s="115">
        <v>183.1</v>
      </c>
      <c r="K90" s="115">
        <v>1973.8</v>
      </c>
      <c r="L90" s="115">
        <v>3000.03</v>
      </c>
      <c r="M90" s="113">
        <f>+J90+L90-K90</f>
        <v>1209.3300000000002</v>
      </c>
    </row>
    <row r="91" spans="1:14" s="2" customFormat="1" x14ac:dyDescent="0.2">
      <c r="A91" s="24"/>
      <c r="B91" s="1"/>
      <c r="C91" s="56"/>
      <c r="D91" s="56"/>
      <c r="E91" s="104"/>
      <c r="G91" s="1"/>
      <c r="I91" s="113" t="s">
        <v>708</v>
      </c>
      <c r="J91" s="115">
        <v>1371.02</v>
      </c>
      <c r="K91" s="115">
        <v>11696.94</v>
      </c>
      <c r="L91" s="115">
        <v>11753.23</v>
      </c>
      <c r="M91" s="113">
        <f>+J91+L91-K91</f>
        <v>1427.3099999999995</v>
      </c>
    </row>
    <row r="92" spans="1:14" s="2" customFormat="1" ht="38.25" x14ac:dyDescent="0.2">
      <c r="A92" s="24"/>
      <c r="B92" s="1"/>
      <c r="C92" s="79" t="str">
        <f>"Particulars ( 01-04-2021 to "&amp;TEXT(A5,"dd-mm-yyyy")&amp;" )"</f>
        <v>Particulars ( 01-04-2021 to 06-06-2023 )</v>
      </c>
      <c r="D92" s="80" t="s">
        <v>73</v>
      </c>
      <c r="E92" s="80" t="s">
        <v>74</v>
      </c>
      <c r="F92" s="81" t="s">
        <v>75</v>
      </c>
      <c r="G92" s="80" t="s">
        <v>76</v>
      </c>
      <c r="J92" s="118">
        <f>SUM(J89:J91)</f>
        <v>1554.12</v>
      </c>
      <c r="K92" s="118">
        <f>SUM(K89:K91)</f>
        <v>14639.73</v>
      </c>
      <c r="L92" s="118">
        <f>SUM(L89:L91)</f>
        <v>15722.25</v>
      </c>
      <c r="M92" s="118">
        <f>SUM(M89:M91)</f>
        <v>2636.6399999999994</v>
      </c>
    </row>
    <row r="93" spans="1:14" s="2" customFormat="1" x14ac:dyDescent="0.2">
      <c r="A93" s="24"/>
      <c r="B93" s="1"/>
      <c r="C93" s="50" t="s">
        <v>444</v>
      </c>
      <c r="D93" s="55">
        <f>+L89+L90+J90</f>
        <v>4152.1200000000008</v>
      </c>
      <c r="E93" s="55">
        <f>+K89+K90</f>
        <v>2942.79</v>
      </c>
      <c r="F93" s="55">
        <f>+D93-E93</f>
        <v>1209.3300000000008</v>
      </c>
      <c r="G93" s="55">
        <f>1500-F93</f>
        <v>290.66999999999916</v>
      </c>
      <c r="H93" s="2" t="s">
        <v>396</v>
      </c>
    </row>
    <row r="94" spans="1:14" s="2" customFormat="1" x14ac:dyDescent="0.2">
      <c r="A94" s="24"/>
      <c r="B94" s="1"/>
      <c r="C94" s="50" t="s">
        <v>71</v>
      </c>
      <c r="D94" s="55">
        <f>+J91+L91</f>
        <v>13124.25</v>
      </c>
      <c r="E94" s="55">
        <f>+K91</f>
        <v>11696.94</v>
      </c>
      <c r="F94" s="55">
        <f>+D94-E94</f>
        <v>1427.3099999999995</v>
      </c>
      <c r="G94" s="55">
        <f>1500+700-F94</f>
        <v>772.69000000000051</v>
      </c>
      <c r="H94" s="2" t="s">
        <v>396</v>
      </c>
    </row>
    <row r="95" spans="1:14" s="2" customFormat="1" x14ac:dyDescent="0.2">
      <c r="A95" s="24"/>
      <c r="B95" s="1"/>
      <c r="C95" s="14"/>
      <c r="D95" s="56"/>
      <c r="E95" s="13"/>
      <c r="G95" s="1"/>
    </row>
    <row r="96" spans="1:14" s="2" customFormat="1" x14ac:dyDescent="0.2">
      <c r="A96" s="215" t="s">
        <v>80</v>
      </c>
      <c r="B96" s="216"/>
      <c r="C96" s="216"/>
      <c r="D96" s="217"/>
      <c r="E96" s="69"/>
      <c r="F96" s="70"/>
      <c r="G96" s="1"/>
      <c r="H96" s="53"/>
    </row>
    <row r="97" spans="1:13" s="2" customFormat="1" x14ac:dyDescent="0.2">
      <c r="A97" s="71" t="s">
        <v>81</v>
      </c>
      <c r="B97" s="71"/>
      <c r="C97" s="72" t="s">
        <v>82</v>
      </c>
      <c r="D97" s="73" t="s">
        <v>83</v>
      </c>
      <c r="E97" s="69"/>
      <c r="F97" s="70"/>
      <c r="H97" s="53"/>
    </row>
    <row r="98" spans="1:13" s="2" customFormat="1" x14ac:dyDescent="0.2">
      <c r="A98" s="87">
        <v>45080</v>
      </c>
      <c r="B98" s="120" t="s">
        <v>1052</v>
      </c>
      <c r="C98" s="75" t="s">
        <v>86</v>
      </c>
      <c r="D98" s="88">
        <v>163799</v>
      </c>
      <c r="G98" s="1"/>
      <c r="L98" s="1"/>
      <c r="M98" s="1"/>
    </row>
    <row r="99" spans="1:13" s="2" customFormat="1" x14ac:dyDescent="0.2">
      <c r="A99" s="87">
        <v>45080</v>
      </c>
      <c r="B99" s="120" t="s">
        <v>1052</v>
      </c>
      <c r="C99" s="75" t="s">
        <v>86</v>
      </c>
      <c r="D99" s="88">
        <v>1695107</v>
      </c>
      <c r="G99" s="1"/>
      <c r="L99" s="1"/>
      <c r="M99" s="1"/>
    </row>
    <row r="100" spans="1:13" s="2" customFormat="1" x14ac:dyDescent="0.2">
      <c r="A100" s="87">
        <v>45082</v>
      </c>
      <c r="B100" s="120" t="s">
        <v>1052</v>
      </c>
      <c r="C100" s="75" t="s">
        <v>87</v>
      </c>
      <c r="D100" s="88">
        <v>6627</v>
      </c>
      <c r="G100" s="1"/>
      <c r="L100" s="1"/>
      <c r="M100" s="1"/>
    </row>
    <row r="101" spans="1:13" s="2" customFormat="1" x14ac:dyDescent="0.2">
      <c r="A101" s="87"/>
      <c r="B101" s="74"/>
      <c r="C101" s="75"/>
      <c r="D101" s="51">
        <f>SUM(D98:D100)</f>
        <v>1865533</v>
      </c>
      <c r="F101" s="2" t="s">
        <v>396</v>
      </c>
      <c r="G101" s="1"/>
      <c r="L101" s="1"/>
      <c r="M101" s="1"/>
    </row>
    <row r="102" spans="1:13" s="2" customFormat="1" x14ac:dyDescent="0.2">
      <c r="A102" s="24"/>
      <c r="B102" s="1"/>
      <c r="C102" s="14"/>
      <c r="D102" s="56"/>
      <c r="E102" s="13"/>
      <c r="G102" s="1"/>
      <c r="L102" s="1"/>
      <c r="M102" s="1"/>
    </row>
    <row r="103" spans="1:13" s="2" customFormat="1" x14ac:dyDescent="0.2">
      <c r="A103" s="24"/>
      <c r="B103" s="1"/>
      <c r="C103" s="218" t="s">
        <v>77</v>
      </c>
      <c r="D103" s="219"/>
      <c r="E103" s="219"/>
      <c r="F103" s="220"/>
      <c r="G103" s="1"/>
      <c r="L103" s="1"/>
      <c r="M103" s="1"/>
    </row>
    <row r="104" spans="1:13" s="2" customFormat="1" x14ac:dyDescent="0.2">
      <c r="A104" s="24"/>
      <c r="B104" s="1"/>
      <c r="C104" s="50"/>
      <c r="D104" s="57" t="s">
        <v>78</v>
      </c>
      <c r="E104" s="58" t="s">
        <v>79</v>
      </c>
      <c r="F104" s="57" t="s">
        <v>72</v>
      </c>
      <c r="G104" s="1"/>
      <c r="I104" s="1"/>
      <c r="J104" s="1"/>
      <c r="K104" s="1"/>
      <c r="L104" s="1"/>
      <c r="M104" s="1"/>
    </row>
    <row r="105" spans="1:13" s="2" customFormat="1" x14ac:dyDescent="0.2">
      <c r="A105" s="24"/>
      <c r="B105" s="1"/>
      <c r="C105" s="59" t="str">
        <f>"01-06-2023 to "&amp;TEXT(A5-2,"dd-mm-yyyy")</f>
        <v>01-06-2023 to 04-06-2023</v>
      </c>
      <c r="D105" s="60">
        <v>991.01</v>
      </c>
      <c r="E105" s="60">
        <v>41.5</v>
      </c>
      <c r="F105" s="61">
        <f>SUM(D105:E105)</f>
        <v>1032.51</v>
      </c>
      <c r="G105" s="1"/>
    </row>
    <row r="106" spans="1:13" s="2" customFormat="1" x14ac:dyDescent="0.2">
      <c r="A106" s="24"/>
      <c r="B106" s="1"/>
      <c r="C106" s="62" t="str">
        <f>TEXT(A5-1,"dd-mm-yyyy")</f>
        <v>05-06-2023</v>
      </c>
      <c r="D106" s="60">
        <v>247.92</v>
      </c>
      <c r="E106" s="60">
        <v>8.7899999999999991</v>
      </c>
      <c r="F106" s="61">
        <f>SUM(D106:E106)</f>
        <v>256.70999999999998</v>
      </c>
      <c r="G106" s="54"/>
      <c r="I106" s="1"/>
      <c r="J106" s="1"/>
      <c r="K106" s="1"/>
      <c r="L106" s="1"/>
      <c r="M106" s="1"/>
    </row>
    <row r="107" spans="1:13" s="2" customFormat="1" ht="13.5" thickBot="1" x14ac:dyDescent="0.25">
      <c r="A107" s="24"/>
      <c r="B107" s="1"/>
      <c r="C107" s="63" t="str">
        <f>"01-06-2023 to "&amp;TEXT(A5-1,"dd-mm-yyyy")</f>
        <v>01-06-2023 to 05-06-2023</v>
      </c>
      <c r="D107" s="64">
        <f>SUM(D105:D106)</f>
        <v>1238.93</v>
      </c>
      <c r="E107" s="64">
        <f>SUM(E105:E106)</f>
        <v>50.29</v>
      </c>
      <c r="F107" s="64">
        <f>SUM(F105:F106)</f>
        <v>1289.22</v>
      </c>
      <c r="G107" s="54"/>
      <c r="I107" s="1"/>
      <c r="J107" s="1"/>
      <c r="K107" s="1"/>
      <c r="L107" s="1"/>
      <c r="M107" s="1"/>
    </row>
    <row r="108" spans="1:13" s="2" customFormat="1" ht="13.5" thickTop="1" x14ac:dyDescent="0.2">
      <c r="A108" s="24"/>
      <c r="B108" s="1"/>
      <c r="C108" s="62"/>
      <c r="D108" s="65"/>
      <c r="E108" s="66"/>
      <c r="F108" s="67"/>
      <c r="G108" s="54"/>
      <c r="I108" s="1"/>
      <c r="J108" s="1"/>
      <c r="K108" s="1"/>
      <c r="L108" s="1"/>
      <c r="M108" s="1"/>
    </row>
    <row r="109" spans="1:13" s="2" customFormat="1" x14ac:dyDescent="0.2">
      <c r="A109" s="24"/>
      <c r="B109" s="1"/>
      <c r="C109" s="62" t="str">
        <f>"01-04-2023 to " &amp;C106</f>
        <v>01-04-2023 to 05-06-2023</v>
      </c>
      <c r="D109" s="68">
        <f>+D107+9222.31</f>
        <v>10461.24</v>
      </c>
      <c r="E109" s="68">
        <f>+E107+906.58</f>
        <v>956.87</v>
      </c>
      <c r="F109" s="68">
        <f>+F107+10128.88</f>
        <v>11418.099999999999</v>
      </c>
      <c r="G109" s="54"/>
      <c r="I109" s="1"/>
      <c r="J109" s="1"/>
      <c r="K109" s="1"/>
      <c r="L109" s="1"/>
      <c r="M109" s="1"/>
    </row>
    <row r="110" spans="1:13" x14ac:dyDescent="0.2">
      <c r="C110" s="52"/>
      <c r="D110" s="85"/>
      <c r="E110" s="53"/>
      <c r="F110" s="53"/>
      <c r="G110" s="54"/>
      <c r="H110" s="2" t="s">
        <v>396</v>
      </c>
    </row>
    <row r="111" spans="1:13" s="2" customFormat="1" x14ac:dyDescent="0.2">
      <c r="A111" s="24"/>
      <c r="B111" s="1"/>
      <c r="C111" s="52"/>
      <c r="D111" s="85"/>
      <c r="E111" s="53"/>
      <c r="F111" s="53"/>
      <c r="G111" s="54"/>
      <c r="H111" s="53"/>
    </row>
    <row r="112" spans="1:13" x14ac:dyDescent="0.2">
      <c r="C112" s="52"/>
      <c r="D112" s="85"/>
      <c r="E112" s="53"/>
      <c r="F112" s="53"/>
      <c r="G112" s="54"/>
      <c r="H112" s="53" t="s">
        <v>396</v>
      </c>
    </row>
    <row r="113" spans="3:10" x14ac:dyDescent="0.2">
      <c r="C113" s="52"/>
      <c r="D113" s="85"/>
      <c r="E113" s="53"/>
      <c r="F113" s="53"/>
      <c r="G113" s="54"/>
      <c r="H113" s="53" t="s">
        <v>396</v>
      </c>
      <c r="J113" s="42"/>
    </row>
    <row r="114" spans="3:10" x14ac:dyDescent="0.2">
      <c r="G114" s="54"/>
      <c r="H114" s="53"/>
      <c r="I114" s="101"/>
    </row>
    <row r="115" spans="3:10" x14ac:dyDescent="0.2">
      <c r="G115" s="54"/>
      <c r="H115" s="53"/>
    </row>
    <row r="116" spans="3:10" x14ac:dyDescent="0.2">
      <c r="G116" s="54"/>
      <c r="H116" s="53"/>
    </row>
    <row r="117" spans="3:10" x14ac:dyDescent="0.2">
      <c r="H117" s="53"/>
    </row>
  </sheetData>
  <mergeCells count="6">
    <mergeCell ref="C103:F103"/>
    <mergeCell ref="A1:G1"/>
    <mergeCell ref="A3:F3"/>
    <mergeCell ref="A10:F10"/>
    <mergeCell ref="A18:F18"/>
    <mergeCell ref="A96:D96"/>
  </mergeCells>
  <conditionalFormatting sqref="G93:G94">
    <cfRule type="cellIs" dxfId="513" priority="1" operator="lessThan">
      <formula>0</formula>
    </cfRule>
  </conditionalFormatting>
  <conditionalFormatting sqref="C20">
    <cfRule type="duplicateValues" dxfId="512" priority="2"/>
  </conditionalFormatting>
  <conditionalFormatting sqref="C21:C73">
    <cfRule type="duplicateValues" dxfId="511" priority="528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345">
    <pageSetUpPr fitToPage="1"/>
  </sheetPr>
  <dimension ref="A1:N120"/>
  <sheetViews>
    <sheetView topLeftCell="A54" zoomScaleNormal="100" workbookViewId="0">
      <selection activeCell="C46" sqref="C46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47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1053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45084</v>
      </c>
      <c r="B5" s="9" t="s">
        <v>6</v>
      </c>
      <c r="C5" s="10" t="s">
        <v>7</v>
      </c>
      <c r="D5" s="11"/>
      <c r="E5" s="12">
        <v>3419062.7</v>
      </c>
      <c r="F5" s="12"/>
      <c r="G5" s="1"/>
      <c r="H5" s="112"/>
      <c r="I5" s="112"/>
    </row>
    <row r="6" spans="1:10" s="2" customFormat="1" ht="14.25" customHeight="1" x14ac:dyDescent="0.4">
      <c r="A6" s="89">
        <v>45084</v>
      </c>
      <c r="B6" s="9" t="s">
        <v>6</v>
      </c>
      <c r="C6" s="10" t="s">
        <v>683</v>
      </c>
      <c r="D6" s="11" t="s">
        <v>13</v>
      </c>
      <c r="E6" s="12">
        <v>5387</v>
      </c>
      <c r="F6" s="12"/>
      <c r="G6" s="1"/>
      <c r="H6" s="112"/>
      <c r="I6" s="112"/>
    </row>
    <row r="7" spans="1:10" s="2" customFormat="1" ht="14.25" customHeight="1" x14ac:dyDescent="0.4">
      <c r="A7" s="89">
        <v>45084</v>
      </c>
      <c r="B7" s="9" t="s">
        <v>11</v>
      </c>
      <c r="C7" s="10" t="s">
        <v>380</v>
      </c>
      <c r="D7" s="11" t="s">
        <v>29</v>
      </c>
      <c r="E7" s="12"/>
      <c r="F7" s="12">
        <v>3181633</v>
      </c>
      <c r="G7" s="1"/>
      <c r="H7" s="112"/>
      <c r="I7" s="112"/>
    </row>
    <row r="8" spans="1:10" s="2" customFormat="1" ht="12.75" customHeight="1" x14ac:dyDescent="0.4">
      <c r="D8" s="15" t="s">
        <v>8</v>
      </c>
      <c r="E8" s="16">
        <f>SUM(E5:E7)</f>
        <v>3424449.7</v>
      </c>
      <c r="F8" s="16">
        <f>SUM(F7)</f>
        <v>3181633</v>
      </c>
      <c r="G8" s="1"/>
      <c r="H8" s="112"/>
      <c r="I8" s="112"/>
    </row>
    <row r="9" spans="1:10" s="2" customFormat="1" ht="12.75" customHeight="1" x14ac:dyDescent="0.4">
      <c r="A9" s="17"/>
      <c r="B9" s="18"/>
      <c r="C9" s="19" t="s">
        <v>9</v>
      </c>
      <c r="D9" s="20"/>
      <c r="E9" s="21">
        <f>+E8-F8</f>
        <v>242816.70000000019</v>
      </c>
      <c r="F9" s="22"/>
      <c r="G9" s="23"/>
      <c r="H9" s="112"/>
      <c r="I9" s="112"/>
      <c r="J9" s="13"/>
    </row>
    <row r="10" spans="1:10" ht="12.75" customHeight="1" x14ac:dyDescent="0.4">
      <c r="H10" s="112"/>
      <c r="I10" s="112"/>
    </row>
    <row r="11" spans="1:10" ht="18" customHeight="1" x14ac:dyDescent="0.4">
      <c r="A11" s="213" t="s">
        <v>1037</v>
      </c>
      <c r="B11" s="213"/>
      <c r="C11" s="213"/>
      <c r="D11" s="213"/>
      <c r="E11" s="213"/>
      <c r="F11" s="213"/>
      <c r="H11" s="112"/>
      <c r="I11" s="112"/>
    </row>
    <row r="12" spans="1:10" ht="12.75" customHeight="1" x14ac:dyDescent="0.4">
      <c r="A12" s="3" t="s">
        <v>1</v>
      </c>
      <c r="B12" s="4" t="s">
        <v>2</v>
      </c>
      <c r="C12" s="5"/>
      <c r="D12" s="6" t="s">
        <v>3</v>
      </c>
      <c r="E12" s="7" t="s">
        <v>4</v>
      </c>
      <c r="F12" s="7" t="s">
        <v>5</v>
      </c>
      <c r="H12" s="112"/>
      <c r="I12" s="112"/>
    </row>
    <row r="13" spans="1:10" s="2" customFormat="1" ht="14.25" customHeight="1" x14ac:dyDescent="0.4">
      <c r="A13" s="89">
        <v>45084</v>
      </c>
      <c r="B13" s="9" t="s">
        <v>6</v>
      </c>
      <c r="C13" s="10" t="s">
        <v>7</v>
      </c>
      <c r="D13" s="11"/>
      <c r="F13" s="12">
        <v>28730638.279999997</v>
      </c>
      <c r="G13" s="1"/>
      <c r="H13" s="112"/>
      <c r="I13" s="112"/>
    </row>
    <row r="14" spans="1:10" s="2" customFormat="1" ht="14.25" customHeight="1" x14ac:dyDescent="0.4">
      <c r="A14" s="89">
        <v>45084</v>
      </c>
      <c r="B14" s="9" t="s">
        <v>6</v>
      </c>
      <c r="C14" s="10" t="s">
        <v>420</v>
      </c>
      <c r="D14" s="11" t="s">
        <v>13</v>
      </c>
      <c r="E14" s="124">
        <v>2726362</v>
      </c>
      <c r="F14" s="12"/>
      <c r="G14" s="1"/>
      <c r="H14" s="112"/>
      <c r="I14" s="112"/>
    </row>
    <row r="15" spans="1:10" s="2" customFormat="1" ht="14.25" customHeight="1" x14ac:dyDescent="0.4">
      <c r="A15" s="89">
        <v>45084</v>
      </c>
      <c r="B15" s="9" t="s">
        <v>6</v>
      </c>
      <c r="C15" s="10" t="s">
        <v>375</v>
      </c>
      <c r="D15" s="11" t="s">
        <v>13</v>
      </c>
      <c r="E15" s="124">
        <v>6985410</v>
      </c>
      <c r="F15" s="12"/>
      <c r="G15" s="1"/>
      <c r="H15" s="112"/>
      <c r="I15" s="112"/>
    </row>
    <row r="16" spans="1:10" s="2" customFormat="1" ht="14.25" customHeight="1" x14ac:dyDescent="0.4">
      <c r="A16" s="89">
        <v>45084</v>
      </c>
      <c r="B16" s="9" t="s">
        <v>11</v>
      </c>
      <c r="C16" s="10" t="s">
        <v>539</v>
      </c>
      <c r="D16" s="11" t="s">
        <v>29</v>
      </c>
      <c r="E16" s="124"/>
      <c r="F16" s="12">
        <v>29913</v>
      </c>
      <c r="G16" s="1"/>
      <c r="H16" s="112"/>
      <c r="I16" s="112"/>
    </row>
    <row r="17" spans="1:10" s="2" customFormat="1" ht="14.25" customHeight="1" x14ac:dyDescent="0.4">
      <c r="A17" s="89">
        <v>45084</v>
      </c>
      <c r="B17" s="9" t="s">
        <v>11</v>
      </c>
      <c r="C17" s="10" t="s">
        <v>1054</v>
      </c>
      <c r="D17" s="11" t="s">
        <v>29</v>
      </c>
      <c r="E17" s="124"/>
      <c r="F17" s="12">
        <v>73002</v>
      </c>
      <c r="G17" s="1"/>
      <c r="H17" s="112"/>
      <c r="I17" s="112"/>
    </row>
    <row r="18" spans="1:10" s="2" customFormat="1" ht="14.25" customHeight="1" x14ac:dyDescent="0.4">
      <c r="A18" s="89">
        <v>45084</v>
      </c>
      <c r="B18" s="9" t="s">
        <v>11</v>
      </c>
      <c r="C18" s="10" t="s">
        <v>440</v>
      </c>
      <c r="D18" s="11" t="s">
        <v>29</v>
      </c>
      <c r="E18" s="124"/>
      <c r="F18" s="12">
        <v>100000</v>
      </c>
      <c r="G18" s="1"/>
      <c r="H18" s="112"/>
      <c r="I18" s="112"/>
    </row>
    <row r="19" spans="1:10" s="2" customFormat="1" ht="14.25" customHeight="1" x14ac:dyDescent="0.4">
      <c r="A19" s="89">
        <v>45084</v>
      </c>
      <c r="B19" s="9" t="s">
        <v>11</v>
      </c>
      <c r="C19" s="10" t="s">
        <v>63</v>
      </c>
      <c r="D19" s="11" t="s">
        <v>29</v>
      </c>
      <c r="E19" s="124"/>
      <c r="F19" s="12">
        <v>2000000</v>
      </c>
      <c r="G19" s="1"/>
      <c r="H19" s="112"/>
      <c r="I19" s="112"/>
    </row>
    <row r="20" spans="1:10" s="2" customFormat="1" ht="14.25" customHeight="1" x14ac:dyDescent="0.4">
      <c r="A20" s="89">
        <v>45084</v>
      </c>
      <c r="B20" s="9" t="s">
        <v>11</v>
      </c>
      <c r="C20" s="10" t="s">
        <v>1055</v>
      </c>
      <c r="D20" s="11" t="s">
        <v>29</v>
      </c>
      <c r="E20" s="124"/>
      <c r="F20" s="12">
        <v>10000</v>
      </c>
      <c r="G20" s="1"/>
      <c r="H20" s="112"/>
      <c r="I20" s="112"/>
    </row>
    <row r="21" spans="1:10" s="2" customFormat="1" ht="14.25" customHeight="1" x14ac:dyDescent="0.4">
      <c r="A21" s="89">
        <v>45084</v>
      </c>
      <c r="B21" s="9" t="s">
        <v>11</v>
      </c>
      <c r="C21" s="10" t="s">
        <v>1056</v>
      </c>
      <c r="D21" s="11" t="s">
        <v>29</v>
      </c>
      <c r="E21" s="124"/>
      <c r="F21" s="12">
        <v>36000</v>
      </c>
      <c r="G21" s="1"/>
      <c r="H21" s="112"/>
      <c r="I21" s="112"/>
    </row>
    <row r="22" spans="1:10" s="2" customFormat="1" ht="14.25" customHeight="1" x14ac:dyDescent="0.4">
      <c r="A22" s="89">
        <v>45084</v>
      </c>
      <c r="B22" s="9" t="s">
        <v>11</v>
      </c>
      <c r="C22" s="10" t="s">
        <v>1057</v>
      </c>
      <c r="D22" s="11" t="s">
        <v>29</v>
      </c>
      <c r="E22" s="124"/>
      <c r="F22" s="12">
        <v>1180</v>
      </c>
      <c r="G22" s="1"/>
      <c r="H22" s="112"/>
      <c r="I22" s="112"/>
    </row>
    <row r="23" spans="1:10" s="2" customFormat="1" ht="12.75" customHeight="1" x14ac:dyDescent="0.4">
      <c r="D23" s="15" t="s">
        <v>8</v>
      </c>
      <c r="E23" s="16">
        <f>SUM(E14:E22)</f>
        <v>9711772</v>
      </c>
      <c r="F23" s="16">
        <f>SUM(F13:F22)</f>
        <v>30980733.279999997</v>
      </c>
      <c r="G23" s="1"/>
      <c r="H23" s="112"/>
      <c r="I23" s="112"/>
    </row>
    <row r="24" spans="1:10" s="2" customFormat="1" ht="12.75" customHeight="1" x14ac:dyDescent="0.4">
      <c r="A24" s="17"/>
      <c r="B24" s="18"/>
      <c r="C24" s="96" t="s">
        <v>9</v>
      </c>
      <c r="D24" s="20"/>
      <c r="E24" s="21">
        <f>+F23-E23</f>
        <v>21268961.279999997</v>
      </c>
      <c r="G24" s="23"/>
      <c r="H24" s="112"/>
      <c r="I24" s="112"/>
      <c r="J24" s="13"/>
    </row>
    <row r="25" spans="1:10" s="2" customFormat="1" ht="12.75" customHeight="1" x14ac:dyDescent="0.4">
      <c r="A25" s="24"/>
      <c r="B25" s="1"/>
      <c r="C25" s="14"/>
      <c r="D25" s="25"/>
      <c r="G25" s="23"/>
      <c r="H25" s="112"/>
      <c r="I25" s="112"/>
      <c r="J25" s="13"/>
    </row>
    <row r="26" spans="1:10" s="2" customFormat="1" ht="21.75" customHeight="1" x14ac:dyDescent="0.4">
      <c r="A26" s="214" t="s">
        <v>10</v>
      </c>
      <c r="B26" s="214"/>
      <c r="C26" s="214"/>
      <c r="D26" s="214"/>
      <c r="E26" s="214"/>
      <c r="F26" s="214"/>
      <c r="G26" s="13"/>
      <c r="H26" s="112"/>
      <c r="I26" s="112"/>
      <c r="J26" s="13"/>
    </row>
    <row r="27" spans="1:10" s="2" customFormat="1" ht="12.75" customHeight="1" x14ac:dyDescent="0.4">
      <c r="A27" s="26" t="s">
        <v>1</v>
      </c>
      <c r="B27" s="27" t="s">
        <v>2</v>
      </c>
      <c r="C27" s="5"/>
      <c r="D27" s="6" t="s">
        <v>3</v>
      </c>
      <c r="E27" s="7" t="s">
        <v>4</v>
      </c>
      <c r="F27" s="7" t="s">
        <v>5</v>
      </c>
      <c r="G27" s="23"/>
      <c r="H27" s="112"/>
      <c r="I27" s="112"/>
      <c r="J27" s="13"/>
    </row>
    <row r="28" spans="1:10" s="2" customFormat="1" ht="12.75" customHeight="1" x14ac:dyDescent="0.2">
      <c r="A28" s="89">
        <v>45084</v>
      </c>
      <c r="B28" s="91" t="s">
        <v>11</v>
      </c>
      <c r="C28" s="29" t="s">
        <v>7</v>
      </c>
      <c r="D28" s="25"/>
      <c r="E28" s="31"/>
      <c r="F28" s="2">
        <v>291389414.8299998</v>
      </c>
      <c r="G28" s="30"/>
      <c r="I28" s="13"/>
      <c r="J28" s="13"/>
    </row>
    <row r="29" spans="1:10" s="2" customFormat="1" ht="12.75" customHeight="1" x14ac:dyDescent="0.2">
      <c r="A29" s="89">
        <v>45084</v>
      </c>
      <c r="B29" s="91" t="s">
        <v>6</v>
      </c>
      <c r="C29" s="76" t="s">
        <v>806</v>
      </c>
      <c r="D29" s="116" t="s">
        <v>13</v>
      </c>
      <c r="E29" s="31">
        <v>7791</v>
      </c>
      <c r="G29" s="30"/>
      <c r="I29" s="13"/>
      <c r="J29" s="13"/>
    </row>
    <row r="30" spans="1:10" s="2" customFormat="1" ht="12.75" customHeight="1" x14ac:dyDescent="0.2">
      <c r="A30" s="89">
        <v>45084</v>
      </c>
      <c r="B30" s="91" t="s">
        <v>6</v>
      </c>
      <c r="C30" s="76" t="s">
        <v>820</v>
      </c>
      <c r="D30" s="116" t="s">
        <v>13</v>
      </c>
      <c r="E30" s="31">
        <v>297979</v>
      </c>
      <c r="G30" s="30"/>
      <c r="I30" s="13"/>
      <c r="J30" s="13"/>
    </row>
    <row r="31" spans="1:10" s="2" customFormat="1" ht="12.75" customHeight="1" x14ac:dyDescent="0.2">
      <c r="A31" s="89">
        <v>45084</v>
      </c>
      <c r="B31" s="91" t="s">
        <v>6</v>
      </c>
      <c r="C31" s="76" t="s">
        <v>149</v>
      </c>
      <c r="D31" s="116" t="s">
        <v>13</v>
      </c>
      <c r="E31" s="31">
        <v>535569</v>
      </c>
      <c r="G31" s="30"/>
      <c r="I31" s="13"/>
      <c r="J31" s="13"/>
    </row>
    <row r="32" spans="1:10" s="2" customFormat="1" ht="12.75" customHeight="1" x14ac:dyDescent="0.2">
      <c r="A32" s="89">
        <v>45084</v>
      </c>
      <c r="B32" s="91" t="s">
        <v>6</v>
      </c>
      <c r="C32" s="76" t="s">
        <v>12</v>
      </c>
      <c r="D32" s="116" t="s">
        <v>13</v>
      </c>
      <c r="E32" s="31">
        <v>4127907.81</v>
      </c>
      <c r="G32" s="30"/>
      <c r="I32" s="13"/>
      <c r="J32" s="13"/>
    </row>
    <row r="33" spans="1:10" s="2" customFormat="1" ht="12.75" customHeight="1" x14ac:dyDescent="0.2">
      <c r="A33" s="89">
        <v>45084</v>
      </c>
      <c r="B33" s="91" t="s">
        <v>6</v>
      </c>
      <c r="C33" s="76" t="s">
        <v>27</v>
      </c>
      <c r="D33" s="116" t="s">
        <v>13</v>
      </c>
      <c r="E33" s="31">
        <v>7972614.8900000006</v>
      </c>
      <c r="G33" s="30"/>
      <c r="I33" s="13"/>
      <c r="J33" s="13"/>
    </row>
    <row r="34" spans="1:10" s="2" customFormat="1" ht="12.75" customHeight="1" x14ac:dyDescent="0.2">
      <c r="A34" s="89">
        <v>45084</v>
      </c>
      <c r="B34" s="91" t="s">
        <v>6</v>
      </c>
      <c r="C34" s="76" t="s">
        <v>386</v>
      </c>
      <c r="D34" s="116" t="s">
        <v>13</v>
      </c>
      <c r="E34" s="31">
        <v>300000</v>
      </c>
      <c r="G34" s="30"/>
      <c r="I34" s="13"/>
      <c r="J34" s="13"/>
    </row>
    <row r="35" spans="1:10" s="2" customFormat="1" ht="12.75" customHeight="1" x14ac:dyDescent="0.2">
      <c r="A35" s="89">
        <v>45084</v>
      </c>
      <c r="B35" s="91" t="s">
        <v>6</v>
      </c>
      <c r="C35" s="76" t="s">
        <v>622</v>
      </c>
      <c r="D35" s="116" t="s">
        <v>13</v>
      </c>
      <c r="E35" s="31">
        <v>34791</v>
      </c>
      <c r="G35" s="30"/>
      <c r="I35" s="13"/>
      <c r="J35" s="13"/>
    </row>
    <row r="36" spans="1:10" s="2" customFormat="1" ht="12.75" customHeight="1" x14ac:dyDescent="0.2">
      <c r="A36" s="89">
        <v>45084</v>
      </c>
      <c r="B36" s="91" t="s">
        <v>6</v>
      </c>
      <c r="C36" s="76" t="s">
        <v>276</v>
      </c>
      <c r="D36" s="116" t="s">
        <v>13</v>
      </c>
      <c r="E36" s="31">
        <v>11203</v>
      </c>
      <c r="G36" s="30"/>
      <c r="I36" s="13"/>
      <c r="J36" s="13"/>
    </row>
    <row r="37" spans="1:10" s="2" customFormat="1" ht="12.75" customHeight="1" x14ac:dyDescent="0.2">
      <c r="A37" s="89">
        <v>45084</v>
      </c>
      <c r="B37" s="91" t="s">
        <v>6</v>
      </c>
      <c r="C37" s="76" t="s">
        <v>969</v>
      </c>
      <c r="D37" s="116" t="s">
        <v>13</v>
      </c>
      <c r="E37" s="31">
        <v>1063561</v>
      </c>
      <c r="G37" s="30"/>
      <c r="I37" s="13"/>
      <c r="J37" s="13"/>
    </row>
    <row r="38" spans="1:10" s="2" customFormat="1" ht="12.75" customHeight="1" x14ac:dyDescent="0.2">
      <c r="A38" s="89">
        <v>45084</v>
      </c>
      <c r="B38" s="91" t="s">
        <v>6</v>
      </c>
      <c r="C38" s="76" t="s">
        <v>240</v>
      </c>
      <c r="D38" s="116" t="s">
        <v>13</v>
      </c>
      <c r="E38" s="31">
        <v>1135197</v>
      </c>
      <c r="G38" s="30"/>
      <c r="I38" s="13"/>
      <c r="J38" s="13"/>
    </row>
    <row r="39" spans="1:10" s="2" customFormat="1" ht="12.75" customHeight="1" x14ac:dyDescent="0.2">
      <c r="A39" s="89">
        <v>45084</v>
      </c>
      <c r="B39" s="91" t="s">
        <v>6</v>
      </c>
      <c r="C39" s="76" t="s">
        <v>514</v>
      </c>
      <c r="D39" s="116" t="s">
        <v>13</v>
      </c>
      <c r="E39" s="31">
        <v>7308</v>
      </c>
      <c r="G39" s="30"/>
      <c r="I39" s="13"/>
      <c r="J39" s="13"/>
    </row>
    <row r="40" spans="1:10" s="2" customFormat="1" ht="12.75" customHeight="1" x14ac:dyDescent="0.2">
      <c r="A40" s="89">
        <v>45084</v>
      </c>
      <c r="B40" s="91" t="s">
        <v>6</v>
      </c>
      <c r="C40" s="76" t="s">
        <v>614</v>
      </c>
      <c r="D40" s="116" t="s">
        <v>13</v>
      </c>
      <c r="E40" s="31">
        <v>317698</v>
      </c>
      <c r="G40" s="30"/>
      <c r="I40" s="13"/>
      <c r="J40" s="13"/>
    </row>
    <row r="41" spans="1:10" s="2" customFormat="1" ht="12.75" customHeight="1" x14ac:dyDescent="0.2">
      <c r="A41" s="89">
        <v>45084</v>
      </c>
      <c r="B41" s="91" t="s">
        <v>6</v>
      </c>
      <c r="C41" s="76" t="s">
        <v>993</v>
      </c>
      <c r="D41" s="116" t="s">
        <v>13</v>
      </c>
      <c r="E41" s="31">
        <v>3202</v>
      </c>
      <c r="G41" s="30"/>
      <c r="I41" s="13"/>
      <c r="J41" s="13"/>
    </row>
    <row r="42" spans="1:10" s="2" customFormat="1" ht="12.75" customHeight="1" x14ac:dyDescent="0.2">
      <c r="A42" s="89">
        <v>45084</v>
      </c>
      <c r="B42" s="91" t="s">
        <v>6</v>
      </c>
      <c r="C42" s="76" t="s">
        <v>1033</v>
      </c>
      <c r="D42" s="116" t="s">
        <v>13</v>
      </c>
      <c r="E42" s="31">
        <v>1486431</v>
      </c>
      <c r="G42" s="30"/>
      <c r="I42" s="13"/>
      <c r="J42" s="13"/>
    </row>
    <row r="43" spans="1:10" s="2" customFormat="1" ht="12.75" customHeight="1" x14ac:dyDescent="0.2">
      <c r="A43" s="89">
        <v>45084</v>
      </c>
      <c r="B43" s="91" t="s">
        <v>6</v>
      </c>
      <c r="C43" s="76" t="s">
        <v>538</v>
      </c>
      <c r="D43" s="116" t="s">
        <v>13</v>
      </c>
      <c r="E43" s="31">
        <v>5035</v>
      </c>
      <c r="G43" s="30"/>
      <c r="I43" s="13"/>
      <c r="J43" s="13"/>
    </row>
    <row r="44" spans="1:10" s="2" customFormat="1" ht="12.75" customHeight="1" x14ac:dyDescent="0.2">
      <c r="A44" s="89">
        <v>45084</v>
      </c>
      <c r="B44" s="91" t="s">
        <v>6</v>
      </c>
      <c r="C44" s="76" t="s">
        <v>633</v>
      </c>
      <c r="D44" s="116" t="s">
        <v>13</v>
      </c>
      <c r="E44" s="31">
        <v>9808</v>
      </c>
      <c r="G44" s="30"/>
      <c r="I44" s="13"/>
      <c r="J44" s="13"/>
    </row>
    <row r="45" spans="1:10" s="2" customFormat="1" ht="12.75" customHeight="1" x14ac:dyDescent="0.2">
      <c r="A45" s="89">
        <v>45084</v>
      </c>
      <c r="B45" s="91" t="s">
        <v>6</v>
      </c>
      <c r="C45" s="76" t="s">
        <v>272</v>
      </c>
      <c r="D45" s="116" t="s">
        <v>13</v>
      </c>
      <c r="E45" s="31">
        <v>536070</v>
      </c>
      <c r="G45" s="30"/>
      <c r="I45" s="13"/>
      <c r="J45" s="13"/>
    </row>
    <row r="46" spans="1:10" s="2" customFormat="1" ht="12.75" customHeight="1" x14ac:dyDescent="0.2">
      <c r="A46" s="89">
        <v>45084</v>
      </c>
      <c r="B46" s="91" t="s">
        <v>6</v>
      </c>
      <c r="C46" s="76" t="s">
        <v>788</v>
      </c>
      <c r="D46" s="116" t="s">
        <v>13</v>
      </c>
      <c r="E46" s="31">
        <v>600000</v>
      </c>
      <c r="G46" s="30"/>
      <c r="I46" s="13"/>
      <c r="J46" s="13"/>
    </row>
    <row r="47" spans="1:10" s="2" customFormat="1" ht="12.75" customHeight="1" x14ac:dyDescent="0.2">
      <c r="A47" s="89">
        <v>45084</v>
      </c>
      <c r="B47" s="91" t="s">
        <v>6</v>
      </c>
      <c r="C47" s="76" t="s">
        <v>165</v>
      </c>
      <c r="D47" s="116" t="s">
        <v>13</v>
      </c>
      <c r="E47" s="31">
        <v>2547157</v>
      </c>
      <c r="G47" s="30"/>
      <c r="I47" s="13"/>
      <c r="J47" s="13"/>
    </row>
    <row r="48" spans="1:10" s="2" customFormat="1" ht="12.75" customHeight="1" x14ac:dyDescent="0.2">
      <c r="A48" s="89">
        <v>45084</v>
      </c>
      <c r="B48" s="91" t="s">
        <v>6</v>
      </c>
      <c r="C48" s="76" t="s">
        <v>877</v>
      </c>
      <c r="D48" s="116" t="s">
        <v>13</v>
      </c>
      <c r="E48" s="31">
        <v>35017</v>
      </c>
      <c r="G48" s="30"/>
      <c r="I48" s="13"/>
      <c r="J48" s="13"/>
    </row>
    <row r="49" spans="1:10" s="2" customFormat="1" ht="12.75" customHeight="1" x14ac:dyDescent="0.2">
      <c r="A49" s="89">
        <v>45084</v>
      </c>
      <c r="B49" s="91" t="s">
        <v>6</v>
      </c>
      <c r="C49" s="76" t="s">
        <v>62</v>
      </c>
      <c r="D49" s="116" t="s">
        <v>13</v>
      </c>
      <c r="E49" s="31">
        <v>5000</v>
      </c>
      <c r="G49" s="30"/>
      <c r="I49" s="13"/>
      <c r="J49" s="13"/>
    </row>
    <row r="50" spans="1:10" s="2" customFormat="1" ht="12.75" customHeight="1" x14ac:dyDescent="0.2">
      <c r="A50" s="89">
        <v>45084</v>
      </c>
      <c r="B50" s="91" t="s">
        <v>6</v>
      </c>
      <c r="C50" s="76" t="s">
        <v>727</v>
      </c>
      <c r="D50" s="116" t="s">
        <v>13</v>
      </c>
      <c r="E50" s="31">
        <v>148446</v>
      </c>
      <c r="G50" s="30"/>
      <c r="I50" s="13"/>
      <c r="J50" s="13"/>
    </row>
    <row r="51" spans="1:10" s="2" customFormat="1" ht="12.75" customHeight="1" x14ac:dyDescent="0.2">
      <c r="A51" s="89">
        <v>45084</v>
      </c>
      <c r="B51" s="91" t="s">
        <v>6</v>
      </c>
      <c r="C51" s="76" t="s">
        <v>456</v>
      </c>
      <c r="D51" s="116" t="s">
        <v>13</v>
      </c>
      <c r="E51" s="31">
        <v>237000</v>
      </c>
      <c r="G51" s="30"/>
      <c r="I51" s="13"/>
      <c r="J51" s="13"/>
    </row>
    <row r="52" spans="1:10" s="2" customFormat="1" ht="12.75" customHeight="1" x14ac:dyDescent="0.2">
      <c r="A52" s="89">
        <v>45084</v>
      </c>
      <c r="B52" s="91" t="s">
        <v>6</v>
      </c>
      <c r="C52" s="76" t="s">
        <v>120</v>
      </c>
      <c r="D52" s="116" t="s">
        <v>13</v>
      </c>
      <c r="E52" s="31">
        <v>17012809</v>
      </c>
      <c r="G52" s="30"/>
      <c r="I52" s="13"/>
      <c r="J52" s="13"/>
    </row>
    <row r="53" spans="1:10" s="2" customFormat="1" ht="12.75" customHeight="1" x14ac:dyDescent="0.2">
      <c r="A53" s="89">
        <v>45084</v>
      </c>
      <c r="B53" s="91" t="s">
        <v>6</v>
      </c>
      <c r="C53" s="76" t="s">
        <v>19</v>
      </c>
      <c r="D53" s="116" t="s">
        <v>13</v>
      </c>
      <c r="E53" s="31">
        <v>8400</v>
      </c>
      <c r="G53" s="30"/>
      <c r="I53" s="13"/>
      <c r="J53" s="13"/>
    </row>
    <row r="54" spans="1:10" s="2" customFormat="1" ht="12.75" customHeight="1" x14ac:dyDescent="0.2">
      <c r="A54" s="89">
        <v>45084</v>
      </c>
      <c r="B54" s="91" t="s">
        <v>11</v>
      </c>
      <c r="C54" s="76" t="s">
        <v>16</v>
      </c>
      <c r="D54" s="116" t="s">
        <v>29</v>
      </c>
      <c r="E54" s="31"/>
      <c r="F54" s="2">
        <v>11201.05</v>
      </c>
      <c r="G54" s="30"/>
      <c r="I54" s="13"/>
      <c r="J54" s="13"/>
    </row>
    <row r="55" spans="1:10" s="2" customFormat="1" ht="12.75" customHeight="1" x14ac:dyDescent="0.2">
      <c r="A55" s="89">
        <v>45084</v>
      </c>
      <c r="B55" s="91" t="s">
        <v>11</v>
      </c>
      <c r="C55" s="76" t="s">
        <v>156</v>
      </c>
      <c r="D55" s="116" t="s">
        <v>29</v>
      </c>
      <c r="E55" s="31"/>
      <c r="F55" s="2">
        <v>45</v>
      </c>
      <c r="G55" s="30"/>
      <c r="I55" s="13"/>
      <c r="J55" s="13"/>
    </row>
    <row r="56" spans="1:10" s="2" customFormat="1" ht="12.75" customHeight="1" x14ac:dyDescent="0.2">
      <c r="A56" s="89">
        <v>45084</v>
      </c>
      <c r="B56" s="91" t="s">
        <v>11</v>
      </c>
      <c r="C56" s="76" t="s">
        <v>64</v>
      </c>
      <c r="D56" s="116" t="s">
        <v>29</v>
      </c>
      <c r="E56" s="31"/>
      <c r="F56" s="2">
        <v>21116.43</v>
      </c>
      <c r="G56" s="30"/>
      <c r="I56" s="13"/>
      <c r="J56" s="13"/>
    </row>
    <row r="57" spans="1:10" s="2" customFormat="1" ht="12.75" customHeight="1" x14ac:dyDescent="0.2">
      <c r="A57" s="89">
        <v>45084</v>
      </c>
      <c r="B57" s="91" t="s">
        <v>11</v>
      </c>
      <c r="C57" s="76" t="s">
        <v>111</v>
      </c>
      <c r="D57" s="116" t="s">
        <v>29</v>
      </c>
      <c r="E57" s="31"/>
      <c r="F57" s="2">
        <v>3917302.25</v>
      </c>
      <c r="G57" s="30"/>
      <c r="I57" s="13"/>
      <c r="J57" s="13"/>
    </row>
    <row r="58" spans="1:10" s="2" customFormat="1" ht="12.75" customHeight="1" x14ac:dyDescent="0.2">
      <c r="A58" s="89">
        <v>45084</v>
      </c>
      <c r="B58" s="91" t="s">
        <v>11</v>
      </c>
      <c r="C58" s="76" t="s">
        <v>140</v>
      </c>
      <c r="D58" s="116" t="s">
        <v>29</v>
      </c>
      <c r="E58" s="31"/>
      <c r="F58" s="2">
        <v>585663</v>
      </c>
      <c r="G58" s="30"/>
      <c r="I58" s="13"/>
      <c r="J58" s="13"/>
    </row>
    <row r="59" spans="1:10" s="2" customFormat="1" ht="12.75" customHeight="1" x14ac:dyDescent="0.2">
      <c r="A59" s="89">
        <v>45084</v>
      </c>
      <c r="B59" s="91" t="s">
        <v>11</v>
      </c>
      <c r="C59" s="76" t="s">
        <v>525</v>
      </c>
      <c r="D59" s="116" t="s">
        <v>29</v>
      </c>
      <c r="E59" s="31"/>
      <c r="F59" s="2">
        <v>1000000</v>
      </c>
      <c r="G59" s="30"/>
      <c r="I59" s="13"/>
      <c r="J59" s="13"/>
    </row>
    <row r="60" spans="1:10" s="2" customFormat="1" ht="12.75" customHeight="1" x14ac:dyDescent="0.2">
      <c r="A60" s="89">
        <v>45084</v>
      </c>
      <c r="B60" s="91" t="s">
        <v>11</v>
      </c>
      <c r="C60" s="76" t="s">
        <v>113</v>
      </c>
      <c r="D60" s="116" t="s">
        <v>29</v>
      </c>
      <c r="E60" s="31"/>
      <c r="F60" s="2">
        <v>454000</v>
      </c>
      <c r="G60" s="30"/>
      <c r="I60" s="13"/>
      <c r="J60" s="13"/>
    </row>
    <row r="61" spans="1:10" s="2" customFormat="1" ht="12.75" customHeight="1" x14ac:dyDescent="0.2">
      <c r="A61" s="89">
        <v>45084</v>
      </c>
      <c r="B61" s="91" t="s">
        <v>11</v>
      </c>
      <c r="C61" s="76" t="s">
        <v>223</v>
      </c>
      <c r="D61" s="116" t="s">
        <v>29</v>
      </c>
      <c r="E61" s="31"/>
      <c r="F61" s="2">
        <v>9166</v>
      </c>
      <c r="G61" s="30"/>
      <c r="I61" s="13"/>
      <c r="J61" s="13"/>
    </row>
    <row r="62" spans="1:10" s="2" customFormat="1" ht="12.75" customHeight="1" x14ac:dyDescent="0.2">
      <c r="A62" s="89">
        <v>45084</v>
      </c>
      <c r="B62" s="91" t="s">
        <v>11</v>
      </c>
      <c r="C62" s="76" t="s">
        <v>242</v>
      </c>
      <c r="D62" s="116" t="s">
        <v>29</v>
      </c>
      <c r="E62" s="31"/>
      <c r="F62" s="2">
        <v>87716.32</v>
      </c>
      <c r="G62" s="30"/>
      <c r="I62" s="13"/>
      <c r="J62" s="13"/>
    </row>
    <row r="63" spans="1:10" s="2" customFormat="1" ht="12.75" customHeight="1" x14ac:dyDescent="0.2">
      <c r="A63" s="89">
        <v>45084</v>
      </c>
      <c r="B63" s="91" t="s">
        <v>11</v>
      </c>
      <c r="C63" s="76" t="s">
        <v>370</v>
      </c>
      <c r="D63" s="116" t="s">
        <v>29</v>
      </c>
      <c r="E63" s="31"/>
      <c r="F63" s="2">
        <v>38423.26</v>
      </c>
      <c r="G63" s="30"/>
      <c r="I63" s="13"/>
      <c r="J63" s="13"/>
    </row>
    <row r="64" spans="1:10" s="2" customFormat="1" ht="12.75" customHeight="1" x14ac:dyDescent="0.2">
      <c r="A64" s="89">
        <v>45084</v>
      </c>
      <c r="B64" s="91" t="s">
        <v>11</v>
      </c>
      <c r="C64" s="76" t="s">
        <v>139</v>
      </c>
      <c r="D64" s="116" t="s">
        <v>29</v>
      </c>
      <c r="E64" s="31"/>
      <c r="F64" s="2">
        <v>1816614</v>
      </c>
      <c r="G64" s="30"/>
      <c r="I64" s="13"/>
      <c r="J64" s="13"/>
    </row>
    <row r="65" spans="1:14" s="2" customFormat="1" ht="12.75" customHeight="1" x14ac:dyDescent="0.2">
      <c r="A65" s="89">
        <v>45084</v>
      </c>
      <c r="B65" s="91" t="s">
        <v>11</v>
      </c>
      <c r="C65" s="76" t="s">
        <v>1058</v>
      </c>
      <c r="D65" s="116" t="s">
        <v>29</v>
      </c>
      <c r="E65" s="31"/>
      <c r="F65" s="2">
        <v>502770</v>
      </c>
      <c r="G65" s="30"/>
      <c r="I65" s="13"/>
      <c r="J65" s="13"/>
    </row>
    <row r="66" spans="1:14" s="2" customFormat="1" ht="12.75" customHeight="1" x14ac:dyDescent="0.2">
      <c r="A66" s="89">
        <v>45084</v>
      </c>
      <c r="B66" s="91" t="s">
        <v>11</v>
      </c>
      <c r="C66" s="76" t="s">
        <v>300</v>
      </c>
      <c r="D66" s="116" t="s">
        <v>29</v>
      </c>
      <c r="E66" s="31"/>
      <c r="F66" s="2">
        <v>192485</v>
      </c>
      <c r="G66" s="30"/>
      <c r="I66" s="13"/>
      <c r="J66" s="13"/>
    </row>
    <row r="67" spans="1:14" s="2" customFormat="1" ht="12.75" customHeight="1" x14ac:dyDescent="0.2">
      <c r="A67" s="89">
        <v>45084</v>
      </c>
      <c r="B67" s="91" t="s">
        <v>11</v>
      </c>
      <c r="C67" s="76" t="s">
        <v>32</v>
      </c>
      <c r="D67" s="116" t="s">
        <v>29</v>
      </c>
      <c r="E67" s="31"/>
      <c r="F67" s="2">
        <v>3310842</v>
      </c>
      <c r="G67" s="30"/>
      <c r="I67" s="13"/>
      <c r="J67" s="13"/>
    </row>
    <row r="68" spans="1:14" s="2" customFormat="1" ht="12.75" customHeight="1" x14ac:dyDescent="0.2">
      <c r="A68" s="89">
        <v>45084</v>
      </c>
      <c r="B68" s="91" t="s">
        <v>11</v>
      </c>
      <c r="C68" s="76" t="s">
        <v>33</v>
      </c>
      <c r="D68" s="116" t="s">
        <v>29</v>
      </c>
      <c r="E68" s="31"/>
      <c r="F68" s="2">
        <v>3331558</v>
      </c>
      <c r="G68" s="30"/>
      <c r="I68" s="13"/>
      <c r="J68" s="13"/>
    </row>
    <row r="69" spans="1:14" s="2" customFormat="1" ht="12.75" customHeight="1" x14ac:dyDescent="0.2">
      <c r="A69" s="89">
        <v>45084</v>
      </c>
      <c r="B69" s="91" t="s">
        <v>11</v>
      </c>
      <c r="C69" s="76" t="s">
        <v>57</v>
      </c>
      <c r="D69" s="116" t="s">
        <v>29</v>
      </c>
      <c r="E69" s="31"/>
      <c r="F69" s="2">
        <v>2500000</v>
      </c>
      <c r="G69" s="30"/>
      <c r="I69" s="13"/>
      <c r="J69" s="13"/>
    </row>
    <row r="70" spans="1:14" s="2" customFormat="1" ht="12.75" customHeight="1" x14ac:dyDescent="0.2">
      <c r="A70" s="89">
        <v>45084</v>
      </c>
      <c r="B70" s="91" t="s">
        <v>11</v>
      </c>
      <c r="C70" s="76" t="s">
        <v>998</v>
      </c>
      <c r="D70" s="116" t="s">
        <v>29</v>
      </c>
      <c r="E70" s="31"/>
      <c r="F70" s="2">
        <v>3161025</v>
      </c>
      <c r="G70" s="30"/>
      <c r="I70" s="13"/>
      <c r="J70" s="13"/>
    </row>
    <row r="71" spans="1:14" s="2" customFormat="1" ht="12.75" customHeight="1" x14ac:dyDescent="0.2">
      <c r="A71" s="89">
        <v>45084</v>
      </c>
      <c r="B71" s="91" t="s">
        <v>11</v>
      </c>
      <c r="C71" s="76" t="s">
        <v>292</v>
      </c>
      <c r="D71" s="116" t="s">
        <v>29</v>
      </c>
      <c r="E71" s="31"/>
      <c r="F71" s="2">
        <v>9396</v>
      </c>
      <c r="G71" s="30"/>
      <c r="I71" s="13"/>
      <c r="J71" s="13"/>
    </row>
    <row r="72" spans="1:14" s="2" customFormat="1" ht="12.75" customHeight="1" x14ac:dyDescent="0.2">
      <c r="A72" s="89">
        <v>45084</v>
      </c>
      <c r="B72" s="91" t="s">
        <v>11</v>
      </c>
      <c r="C72" s="76" t="s">
        <v>482</v>
      </c>
      <c r="D72" s="116" t="s">
        <v>29</v>
      </c>
      <c r="E72" s="31"/>
      <c r="F72" s="2">
        <v>40104</v>
      </c>
      <c r="G72" s="30"/>
      <c r="I72" s="13"/>
    </row>
    <row r="73" spans="1:14" s="2" customFormat="1" ht="12.75" customHeight="1" x14ac:dyDescent="0.2">
      <c r="A73" s="89">
        <v>45084</v>
      </c>
      <c r="B73" s="91" t="s">
        <v>11</v>
      </c>
      <c r="C73" s="76" t="s">
        <v>250</v>
      </c>
      <c r="D73" s="116" t="s">
        <v>29</v>
      </c>
      <c r="E73" s="31"/>
      <c r="F73" s="2">
        <v>6451</v>
      </c>
      <c r="G73" s="30"/>
      <c r="I73" s="13"/>
      <c r="J73" s="13"/>
      <c r="K73" s="25"/>
    </row>
    <row r="74" spans="1:14" s="2" customFormat="1" ht="12.75" customHeight="1" x14ac:dyDescent="0.2">
      <c r="A74" s="89">
        <v>45084</v>
      </c>
      <c r="B74" s="91" t="s">
        <v>11</v>
      </c>
      <c r="C74" s="76" t="s">
        <v>533</v>
      </c>
      <c r="D74" s="116" t="s">
        <v>29</v>
      </c>
      <c r="E74" s="31"/>
      <c r="F74" s="2">
        <v>5411680</v>
      </c>
      <c r="G74" s="30"/>
      <c r="I74" s="13"/>
      <c r="J74" s="13"/>
      <c r="K74" s="25" t="s">
        <v>779</v>
      </c>
    </row>
    <row r="75" spans="1:14" s="2" customFormat="1" ht="12.75" customHeight="1" x14ac:dyDescent="0.25">
      <c r="A75" s="32"/>
      <c r="B75" s="33"/>
      <c r="C75" s="14"/>
      <c r="D75" s="34"/>
      <c r="E75" s="16">
        <f>SUM(E28:E74)</f>
        <v>38445994.700000003</v>
      </c>
      <c r="F75" s="16">
        <f>SUM(F28:F74)</f>
        <v>317796973.13999981</v>
      </c>
      <c r="G75" s="30"/>
      <c r="H75" s="1"/>
      <c r="I75" s="39">
        <v>279350978.44</v>
      </c>
      <c r="K75" s="92">
        <f>E76-I75</f>
        <v>0</v>
      </c>
      <c r="L75" s="41"/>
      <c r="M75" s="42"/>
    </row>
    <row r="76" spans="1:14" s="2" customFormat="1" ht="12.75" customHeight="1" x14ac:dyDescent="0.2">
      <c r="A76" s="36"/>
      <c r="B76" s="28" t="s">
        <v>11</v>
      </c>
      <c r="C76" s="19" t="s">
        <v>65</v>
      </c>
      <c r="D76" s="37"/>
      <c r="E76" s="38">
        <f>F75-E75</f>
        <v>279350978.43999982</v>
      </c>
      <c r="F76" s="22"/>
      <c r="G76" s="1"/>
      <c r="H76" s="1"/>
      <c r="J76" s="1"/>
      <c r="K76" s="1"/>
      <c r="L76" s="1"/>
      <c r="M76" s="1"/>
    </row>
    <row r="77" spans="1:14" s="2" customFormat="1" ht="12.75" customHeight="1" x14ac:dyDescent="0.2">
      <c r="A77" s="36"/>
      <c r="B77" s="28" t="s">
        <v>66</v>
      </c>
      <c r="C77" s="43" t="s">
        <v>67</v>
      </c>
      <c r="D77" s="43"/>
      <c r="E77" s="12">
        <v>59416310</v>
      </c>
      <c r="F77" s="22"/>
      <c r="G77" s="1"/>
      <c r="H77" s="40"/>
      <c r="I77" s="45">
        <v>1057.6400000000001</v>
      </c>
      <c r="J77" s="46"/>
      <c r="K77" s="46"/>
      <c r="L77" s="13"/>
    </row>
    <row r="78" spans="1:14" s="2" customFormat="1" ht="12.75" customHeight="1" x14ac:dyDescent="0.25">
      <c r="A78" s="36"/>
      <c r="B78" s="28"/>
      <c r="C78" s="44" t="s">
        <v>68</v>
      </c>
      <c r="D78" s="43"/>
      <c r="E78" s="7">
        <f>E76+E77</f>
        <v>338767288.43999982</v>
      </c>
      <c r="F78" s="22"/>
      <c r="G78" s="1"/>
      <c r="H78" s="103" t="s">
        <v>69</v>
      </c>
      <c r="I78" s="45">
        <v>-11.38</v>
      </c>
      <c r="J78" s="46"/>
      <c r="K78" s="46"/>
      <c r="N78" s="1"/>
    </row>
    <row r="79" spans="1:14" s="2" customFormat="1" x14ac:dyDescent="0.2">
      <c r="A79" s="24"/>
      <c r="B79" s="1"/>
      <c r="C79" s="14"/>
      <c r="D79" s="25"/>
      <c r="E79" s="1"/>
      <c r="H79" s="35" t="s">
        <v>70</v>
      </c>
      <c r="I79" s="45">
        <v>1.28</v>
      </c>
      <c r="J79" s="46">
        <f>+I80-D82</f>
        <v>0</v>
      </c>
      <c r="M79" s="2">
        <v>19.57</v>
      </c>
      <c r="N79" s="1"/>
    </row>
    <row r="80" spans="1:14" x14ac:dyDescent="0.2">
      <c r="C80" s="56"/>
      <c r="D80" s="56"/>
      <c r="E80" s="104"/>
      <c r="I80" s="49">
        <f>SUM(I77:I79)</f>
        <v>1047.54</v>
      </c>
      <c r="J80" s="46"/>
      <c r="K80" s="46"/>
      <c r="L80" s="2"/>
      <c r="M80" s="2"/>
      <c r="N80" s="2"/>
    </row>
    <row r="81" spans="1:14" x14ac:dyDescent="0.2">
      <c r="C81" s="78" t="s">
        <v>575</v>
      </c>
      <c r="D81" s="48" t="s">
        <v>576</v>
      </c>
      <c r="E81" s="104"/>
      <c r="I81" s="2"/>
      <c r="J81" s="2"/>
      <c r="K81" s="2"/>
      <c r="L81" s="2"/>
      <c r="M81" s="2"/>
      <c r="N81" s="2"/>
    </row>
    <row r="82" spans="1:14" s="2" customFormat="1" x14ac:dyDescent="0.2">
      <c r="A82" s="24"/>
      <c r="B82" s="1"/>
      <c r="C82" s="47" t="s">
        <v>570</v>
      </c>
      <c r="D82" s="111">
        <v>1047.54</v>
      </c>
      <c r="E82" s="104"/>
      <c r="G82" s="1"/>
      <c r="H82" s="110" t="s">
        <v>581</v>
      </c>
      <c r="N82" s="2" t="s">
        <v>535</v>
      </c>
    </row>
    <row r="83" spans="1:14" s="2" customFormat="1" x14ac:dyDescent="0.2">
      <c r="A83" s="24"/>
      <c r="B83" s="1"/>
      <c r="C83" s="47" t="s">
        <v>931</v>
      </c>
      <c r="D83" s="111">
        <v>12.84</v>
      </c>
      <c r="E83" s="104"/>
      <c r="G83" s="1"/>
      <c r="H83" s="110" t="s">
        <v>580</v>
      </c>
    </row>
    <row r="84" spans="1:14" s="2" customFormat="1" x14ac:dyDescent="0.2">
      <c r="A84" s="24"/>
      <c r="B84" s="1"/>
      <c r="C84" s="47" t="s">
        <v>572</v>
      </c>
      <c r="D84" s="111">
        <f>+D104/100000</f>
        <v>29.691867999999999</v>
      </c>
      <c r="E84" s="104"/>
      <c r="G84" s="1"/>
      <c r="H84" s="90" t="s">
        <v>587</v>
      </c>
    </row>
    <row r="85" spans="1:14" s="2" customFormat="1" x14ac:dyDescent="0.2">
      <c r="A85" s="24"/>
      <c r="B85" s="1"/>
      <c r="C85" s="108" t="s">
        <v>578</v>
      </c>
      <c r="D85" s="48">
        <f>SUM(D82:D84)</f>
        <v>1090.071868</v>
      </c>
      <c r="E85" s="104"/>
      <c r="G85" s="1"/>
    </row>
    <row r="86" spans="1:14" s="2" customFormat="1" x14ac:dyDescent="0.2">
      <c r="A86" s="24"/>
      <c r="B86" s="1"/>
      <c r="C86" s="47"/>
      <c r="D86" s="107"/>
      <c r="E86" s="104"/>
      <c r="G86" s="1"/>
    </row>
    <row r="87" spans="1:14" s="2" customFormat="1" x14ac:dyDescent="0.2">
      <c r="A87" s="24"/>
      <c r="B87" s="1"/>
      <c r="C87" s="47" t="s">
        <v>932</v>
      </c>
      <c r="D87" s="111">
        <v>207.22</v>
      </c>
      <c r="E87" s="104"/>
      <c r="G87" s="1"/>
      <c r="H87" s="110" t="s">
        <v>581</v>
      </c>
    </row>
    <row r="88" spans="1:14" s="2" customFormat="1" x14ac:dyDescent="0.2">
      <c r="A88" s="24"/>
      <c r="B88" s="1"/>
      <c r="C88" s="47" t="s">
        <v>933</v>
      </c>
      <c r="D88" s="111">
        <f>82.83-79.04</f>
        <v>3.789999999999992</v>
      </c>
      <c r="E88" s="104"/>
      <c r="G88" s="1"/>
      <c r="H88" s="110" t="s">
        <v>581</v>
      </c>
      <c r="J88" s="114" t="s">
        <v>713</v>
      </c>
    </row>
    <row r="89" spans="1:14" s="2" customFormat="1" x14ac:dyDescent="0.2">
      <c r="A89" s="24"/>
      <c r="B89" s="1"/>
      <c r="C89" s="78" t="s">
        <v>579</v>
      </c>
      <c r="D89" s="109">
        <f>D87+D88</f>
        <v>211.01</v>
      </c>
      <c r="E89" s="104"/>
      <c r="G89" s="1"/>
      <c r="I89" s="113"/>
      <c r="J89" s="113" t="s">
        <v>709</v>
      </c>
      <c r="K89" s="113" t="s">
        <v>710</v>
      </c>
      <c r="L89" s="113" t="s">
        <v>711</v>
      </c>
      <c r="M89" s="113" t="s">
        <v>712</v>
      </c>
    </row>
    <row r="90" spans="1:14" s="2" customFormat="1" x14ac:dyDescent="0.2">
      <c r="A90" s="24"/>
      <c r="B90" s="1"/>
      <c r="C90" s="105"/>
      <c r="D90" s="106"/>
      <c r="E90" s="104"/>
      <c r="G90" s="1"/>
      <c r="I90" s="113" t="s">
        <v>706</v>
      </c>
      <c r="J90" s="115"/>
      <c r="K90" s="115">
        <v>968.99</v>
      </c>
      <c r="L90" s="115">
        <v>968.99</v>
      </c>
      <c r="M90" s="113">
        <f>+J90+L90-K90</f>
        <v>0</v>
      </c>
    </row>
    <row r="91" spans="1:14" s="2" customFormat="1" x14ac:dyDescent="0.2">
      <c r="A91" s="24"/>
      <c r="B91" s="1"/>
      <c r="C91" s="78" t="s">
        <v>577</v>
      </c>
      <c r="D91" s="109">
        <f>D82+D89</f>
        <v>1258.55</v>
      </c>
      <c r="E91" s="104"/>
      <c r="G91" s="1"/>
      <c r="I91" s="113" t="s">
        <v>707</v>
      </c>
      <c r="J91" s="115">
        <v>183.1</v>
      </c>
      <c r="K91" s="115">
        <v>1973.8</v>
      </c>
      <c r="L91" s="115">
        <v>3000.03</v>
      </c>
      <c r="M91" s="113">
        <f>+J91+L91-K91</f>
        <v>1209.3300000000002</v>
      </c>
    </row>
    <row r="92" spans="1:14" s="2" customFormat="1" x14ac:dyDescent="0.2">
      <c r="A92" s="24"/>
      <c r="B92" s="1"/>
      <c r="C92" s="56"/>
      <c r="D92" s="56"/>
      <c r="E92" s="104"/>
      <c r="G92" s="1"/>
      <c r="I92" s="113" t="s">
        <v>708</v>
      </c>
      <c r="J92" s="115">
        <v>1371.02</v>
      </c>
      <c r="K92" s="115">
        <v>11707.98</v>
      </c>
      <c r="L92" s="115">
        <v>11832.96</v>
      </c>
      <c r="M92" s="113">
        <f>+J92+L92-K92</f>
        <v>1496</v>
      </c>
    </row>
    <row r="93" spans="1:14" s="2" customFormat="1" ht="38.25" x14ac:dyDescent="0.2">
      <c r="A93" s="24"/>
      <c r="B93" s="1"/>
      <c r="C93" s="79" t="str">
        <f>"Particulars ( 01-04-2021 to "&amp;TEXT(A5,"dd-mm-yyyy")&amp;" )"</f>
        <v>Particulars ( 01-04-2021 to 07-06-2023 )</v>
      </c>
      <c r="D93" s="80" t="s">
        <v>73</v>
      </c>
      <c r="E93" s="80" t="s">
        <v>74</v>
      </c>
      <c r="F93" s="81" t="s">
        <v>75</v>
      </c>
      <c r="G93" s="80" t="s">
        <v>76</v>
      </c>
      <c r="J93" s="118">
        <f>SUM(J90:J92)</f>
        <v>1554.12</v>
      </c>
      <c r="K93" s="118">
        <f>SUM(K90:K92)</f>
        <v>14650.77</v>
      </c>
      <c r="L93" s="118">
        <f>SUM(L90:L92)</f>
        <v>15801.98</v>
      </c>
      <c r="M93" s="118">
        <f>SUM(M90:M92)</f>
        <v>2705.33</v>
      </c>
    </row>
    <row r="94" spans="1:14" s="2" customFormat="1" x14ac:dyDescent="0.2">
      <c r="A94" s="24"/>
      <c r="B94" s="1"/>
      <c r="C94" s="50" t="s">
        <v>444</v>
      </c>
      <c r="D94" s="55">
        <f>+L90+L91+J91</f>
        <v>4152.1200000000008</v>
      </c>
      <c r="E94" s="55">
        <f>+K90+K91</f>
        <v>2942.79</v>
      </c>
      <c r="F94" s="55">
        <f>+D94-E94</f>
        <v>1209.3300000000008</v>
      </c>
      <c r="G94" s="55">
        <f>1500-F94</f>
        <v>290.66999999999916</v>
      </c>
      <c r="H94" s="2" t="s">
        <v>396</v>
      </c>
    </row>
    <row r="95" spans="1:14" s="2" customFormat="1" x14ac:dyDescent="0.2">
      <c r="A95" s="24"/>
      <c r="B95" s="1"/>
      <c r="C95" s="50" t="s">
        <v>71</v>
      </c>
      <c r="D95" s="55">
        <f>+J92+L92</f>
        <v>13203.98</v>
      </c>
      <c r="E95" s="55">
        <f>+K92</f>
        <v>11707.98</v>
      </c>
      <c r="F95" s="55">
        <f>+D95-E95</f>
        <v>1496</v>
      </c>
      <c r="G95" s="55">
        <f>1500+700-F95</f>
        <v>704</v>
      </c>
      <c r="H95" s="2" t="s">
        <v>396</v>
      </c>
    </row>
    <row r="96" spans="1:14" s="2" customFormat="1" x14ac:dyDescent="0.2">
      <c r="A96" s="24"/>
      <c r="B96" s="1"/>
      <c r="C96" s="14"/>
      <c r="D96" s="56"/>
      <c r="E96" s="13"/>
      <c r="G96" s="1"/>
    </row>
    <row r="97" spans="1:13" s="2" customFormat="1" x14ac:dyDescent="0.2">
      <c r="A97" s="215" t="s">
        <v>80</v>
      </c>
      <c r="B97" s="216"/>
      <c r="C97" s="216"/>
      <c r="D97" s="217"/>
      <c r="E97" s="69"/>
      <c r="F97" s="70"/>
      <c r="G97" s="1"/>
      <c r="H97" s="53"/>
    </row>
    <row r="98" spans="1:13" s="2" customFormat="1" x14ac:dyDescent="0.2">
      <c r="A98" s="71" t="s">
        <v>81</v>
      </c>
      <c r="B98" s="71"/>
      <c r="C98" s="72" t="s">
        <v>82</v>
      </c>
      <c r="D98" s="73" t="s">
        <v>83</v>
      </c>
      <c r="E98" s="69"/>
      <c r="F98" s="70"/>
      <c r="H98" s="53"/>
    </row>
    <row r="99" spans="1:13" s="2" customFormat="1" x14ac:dyDescent="0.2">
      <c r="A99" s="87">
        <v>45080</v>
      </c>
      <c r="B99" s="120" t="s">
        <v>1052</v>
      </c>
      <c r="C99" s="75" t="s">
        <v>86</v>
      </c>
      <c r="D99" s="88">
        <v>163799</v>
      </c>
      <c r="G99" s="1"/>
      <c r="L99" s="1"/>
      <c r="M99" s="1"/>
    </row>
    <row r="100" spans="1:13" s="2" customFormat="1" x14ac:dyDescent="0.2">
      <c r="A100" s="87">
        <v>45080</v>
      </c>
      <c r="B100" s="120" t="s">
        <v>1052</v>
      </c>
      <c r="C100" s="75" t="s">
        <v>86</v>
      </c>
      <c r="D100" s="88">
        <v>1695107</v>
      </c>
      <c r="G100" s="1"/>
      <c r="L100" s="1"/>
      <c r="M100" s="1"/>
    </row>
    <row r="101" spans="1:13" s="2" customFormat="1" x14ac:dyDescent="0.2">
      <c r="A101" s="87">
        <v>45082</v>
      </c>
      <c r="B101" s="120" t="s">
        <v>1052</v>
      </c>
      <c r="C101" s="75" t="s">
        <v>87</v>
      </c>
      <c r="D101" s="88">
        <v>6627</v>
      </c>
      <c r="G101" s="1"/>
      <c r="L101" s="1"/>
      <c r="M101" s="1"/>
    </row>
    <row r="102" spans="1:13" s="2" customFormat="1" x14ac:dyDescent="0.2">
      <c r="A102" s="87">
        <v>45084</v>
      </c>
      <c r="B102" s="120" t="s">
        <v>1052</v>
      </c>
      <c r="C102" s="75" t="s">
        <v>87</v>
      </c>
      <c r="D102" s="88">
        <v>618395.80000000005</v>
      </c>
      <c r="G102" s="1"/>
      <c r="L102" s="1"/>
      <c r="M102" s="1"/>
    </row>
    <row r="103" spans="1:13" s="2" customFormat="1" x14ac:dyDescent="0.2">
      <c r="A103" s="87">
        <v>45084</v>
      </c>
      <c r="B103" s="120" t="s">
        <v>1052</v>
      </c>
      <c r="C103" s="75" t="s">
        <v>271</v>
      </c>
      <c r="D103" s="88">
        <v>485258</v>
      </c>
      <c r="G103" s="1"/>
      <c r="L103" s="1"/>
      <c r="M103" s="1"/>
    </row>
    <row r="104" spans="1:13" s="2" customFormat="1" x14ac:dyDescent="0.2">
      <c r="A104" s="87"/>
      <c r="B104" s="74"/>
      <c r="C104" s="75"/>
      <c r="D104" s="51">
        <f>SUM(D99:D103)</f>
        <v>2969186.8</v>
      </c>
      <c r="F104" s="2" t="s">
        <v>396</v>
      </c>
      <c r="G104" s="1"/>
      <c r="L104" s="1"/>
      <c r="M104" s="1"/>
    </row>
    <row r="105" spans="1:13" s="2" customFormat="1" x14ac:dyDescent="0.2">
      <c r="A105" s="24"/>
      <c r="B105" s="1"/>
      <c r="C105" s="14"/>
      <c r="D105" s="56"/>
      <c r="E105" s="13"/>
      <c r="G105" s="1"/>
      <c r="L105" s="1"/>
      <c r="M105" s="1"/>
    </row>
    <row r="106" spans="1:13" s="2" customFormat="1" x14ac:dyDescent="0.2">
      <c r="A106" s="24"/>
      <c r="B106" s="1"/>
      <c r="C106" s="218" t="s">
        <v>77</v>
      </c>
      <c r="D106" s="219"/>
      <c r="E106" s="219"/>
      <c r="F106" s="220"/>
      <c r="G106" s="1"/>
      <c r="L106" s="1"/>
      <c r="M106" s="1"/>
    </row>
    <row r="107" spans="1:13" s="2" customFormat="1" x14ac:dyDescent="0.2">
      <c r="A107" s="24"/>
      <c r="B107" s="1"/>
      <c r="C107" s="50"/>
      <c r="D107" s="57" t="s">
        <v>78</v>
      </c>
      <c r="E107" s="58" t="s">
        <v>79</v>
      </c>
      <c r="F107" s="57" t="s">
        <v>72</v>
      </c>
      <c r="G107" s="1"/>
      <c r="I107" s="1"/>
      <c r="J107" s="1"/>
      <c r="K107" s="1"/>
      <c r="L107" s="1"/>
      <c r="M107" s="1"/>
    </row>
    <row r="108" spans="1:13" s="2" customFormat="1" x14ac:dyDescent="0.2">
      <c r="A108" s="24"/>
      <c r="B108" s="1"/>
      <c r="C108" s="59" t="str">
        <f>"01-06-2023 to "&amp;TEXT(A5-2,"dd-mm-yyyy")</f>
        <v>01-06-2023 to 05-06-2023</v>
      </c>
      <c r="D108" s="60">
        <v>1238.3499999999999</v>
      </c>
      <c r="E108" s="60">
        <v>50.29</v>
      </c>
      <c r="F108" s="61">
        <f>SUM(D108:E108)</f>
        <v>1288.6399999999999</v>
      </c>
      <c r="G108" s="1"/>
    </row>
    <row r="109" spans="1:13" s="2" customFormat="1" x14ac:dyDescent="0.2">
      <c r="A109" s="24"/>
      <c r="B109" s="1"/>
      <c r="C109" s="62" t="str">
        <f>TEXT(A5-1,"dd-mm-yyyy")</f>
        <v>06-06-2023</v>
      </c>
      <c r="D109" s="60">
        <v>70.41</v>
      </c>
      <c r="E109" s="60">
        <v>8.2799999999999994</v>
      </c>
      <c r="F109" s="61">
        <f>SUM(D109:E109)</f>
        <v>78.69</v>
      </c>
      <c r="G109" s="54"/>
      <c r="I109" s="1"/>
      <c r="J109" s="1"/>
      <c r="K109" s="1"/>
      <c r="L109" s="1"/>
      <c r="M109" s="1"/>
    </row>
    <row r="110" spans="1:13" s="2" customFormat="1" ht="13.5" thickBot="1" x14ac:dyDescent="0.25">
      <c r="A110" s="24"/>
      <c r="B110" s="1"/>
      <c r="C110" s="63" t="str">
        <f>"01-06-2023 to "&amp;TEXT(A5-1,"dd-mm-yyyy")</f>
        <v>01-06-2023 to 06-06-2023</v>
      </c>
      <c r="D110" s="64">
        <f>SUM(D108:D109)</f>
        <v>1308.76</v>
      </c>
      <c r="E110" s="64">
        <f>SUM(E108:E109)</f>
        <v>58.57</v>
      </c>
      <c r="F110" s="64">
        <f>SUM(F108:F109)</f>
        <v>1367.33</v>
      </c>
      <c r="G110" s="54"/>
      <c r="I110" s="1"/>
      <c r="J110" s="1"/>
      <c r="K110" s="1"/>
      <c r="L110" s="1"/>
      <c r="M110" s="1"/>
    </row>
    <row r="111" spans="1:13" s="2" customFormat="1" ht="13.5" thickTop="1" x14ac:dyDescent="0.2">
      <c r="A111" s="24"/>
      <c r="B111" s="1"/>
      <c r="C111" s="62"/>
      <c r="D111" s="65"/>
      <c r="E111" s="66"/>
      <c r="F111" s="67"/>
      <c r="G111" s="54"/>
      <c r="I111" s="1"/>
      <c r="J111" s="1"/>
      <c r="K111" s="1"/>
      <c r="L111" s="1"/>
      <c r="M111" s="1"/>
    </row>
    <row r="112" spans="1:13" s="2" customFormat="1" x14ac:dyDescent="0.2">
      <c r="A112" s="24"/>
      <c r="B112" s="1"/>
      <c r="C112" s="62" t="str">
        <f>"01-04-2023 to " &amp;C109</f>
        <v>01-04-2023 to 06-06-2023</v>
      </c>
      <c r="D112" s="68">
        <f>+D110+9222.31</f>
        <v>10531.07</v>
      </c>
      <c r="E112" s="68">
        <f>+E110+906.58</f>
        <v>965.15000000000009</v>
      </c>
      <c r="F112" s="68">
        <f>+F110+10128.88</f>
        <v>11496.21</v>
      </c>
      <c r="G112" s="54"/>
      <c r="I112" s="1"/>
      <c r="J112" s="1"/>
      <c r="K112" s="1"/>
      <c r="L112" s="1"/>
      <c r="M112" s="1"/>
    </row>
    <row r="113" spans="1:10" x14ac:dyDescent="0.2">
      <c r="C113" s="52"/>
      <c r="D113" s="85"/>
      <c r="E113" s="53"/>
      <c r="F113" s="53"/>
      <c r="G113" s="54"/>
      <c r="H113" s="2" t="s">
        <v>396</v>
      </c>
    </row>
    <row r="114" spans="1:10" s="2" customFormat="1" x14ac:dyDescent="0.2">
      <c r="A114" s="24"/>
      <c r="B114" s="1"/>
      <c r="C114" s="52"/>
      <c r="D114" s="85"/>
      <c r="E114" s="53"/>
      <c r="F114" s="53"/>
      <c r="G114" s="54"/>
      <c r="H114" s="53"/>
    </row>
    <row r="115" spans="1:10" x14ac:dyDescent="0.2">
      <c r="C115" s="52"/>
      <c r="D115" s="85"/>
      <c r="E115" s="53"/>
      <c r="F115" s="53"/>
      <c r="G115" s="54"/>
      <c r="H115" s="53" t="s">
        <v>396</v>
      </c>
    </row>
    <row r="116" spans="1:10" x14ac:dyDescent="0.2">
      <c r="C116" s="52"/>
      <c r="D116" s="85"/>
      <c r="E116" s="53"/>
      <c r="F116" s="53"/>
      <c r="G116" s="54"/>
      <c r="H116" s="53" t="s">
        <v>396</v>
      </c>
      <c r="J116" s="42"/>
    </row>
    <row r="117" spans="1:10" x14ac:dyDescent="0.2">
      <c r="G117" s="54"/>
      <c r="H117" s="53"/>
      <c r="I117" s="101"/>
    </row>
    <row r="118" spans="1:10" x14ac:dyDescent="0.2">
      <c r="G118" s="54"/>
      <c r="H118" s="53"/>
    </row>
    <row r="119" spans="1:10" x14ac:dyDescent="0.2">
      <c r="G119" s="54"/>
      <c r="H119" s="53"/>
    </row>
    <row r="120" spans="1:10" x14ac:dyDescent="0.2">
      <c r="H120" s="53"/>
    </row>
  </sheetData>
  <mergeCells count="6">
    <mergeCell ref="C106:F106"/>
    <mergeCell ref="A1:G1"/>
    <mergeCell ref="A3:F3"/>
    <mergeCell ref="A11:F11"/>
    <mergeCell ref="A26:F26"/>
    <mergeCell ref="A97:D97"/>
  </mergeCells>
  <conditionalFormatting sqref="G94:G95">
    <cfRule type="cellIs" dxfId="510" priority="2" operator="lessThan">
      <formula>0</formula>
    </cfRule>
  </conditionalFormatting>
  <conditionalFormatting sqref="C28">
    <cfRule type="duplicateValues" dxfId="509" priority="3"/>
  </conditionalFormatting>
  <conditionalFormatting sqref="C74">
    <cfRule type="duplicateValues" dxfId="508" priority="1"/>
  </conditionalFormatting>
  <conditionalFormatting sqref="C29:C73">
    <cfRule type="duplicateValues" dxfId="507" priority="530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346">
    <pageSetUpPr fitToPage="1"/>
  </sheetPr>
  <dimension ref="A1:N113"/>
  <sheetViews>
    <sheetView topLeftCell="A61" zoomScaleNormal="100" workbookViewId="0">
      <selection activeCell="C46" sqref="C46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48.8554687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1059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45085</v>
      </c>
      <c r="B5" s="9" t="s">
        <v>6</v>
      </c>
      <c r="C5" s="10" t="s">
        <v>7</v>
      </c>
      <c r="D5" s="11"/>
      <c r="E5" s="12">
        <v>242816.70000000019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242816.70000000019</v>
      </c>
      <c r="F6" s="16">
        <f>F5</f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+E6-F6</f>
        <v>242816.70000000019</v>
      </c>
      <c r="F7" s="22"/>
      <c r="G7" s="23"/>
      <c r="H7" s="112"/>
      <c r="I7" s="112"/>
      <c r="J7" s="13"/>
    </row>
    <row r="8" spans="1:10" ht="12.75" customHeight="1" x14ac:dyDescent="0.4">
      <c r="H8" s="112"/>
      <c r="I8" s="112"/>
    </row>
    <row r="9" spans="1:10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12"/>
    </row>
    <row r="10" spans="1:10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12"/>
    </row>
    <row r="11" spans="1:10" s="2" customFormat="1" ht="14.25" customHeight="1" x14ac:dyDescent="0.4">
      <c r="A11" s="89">
        <v>45085</v>
      </c>
      <c r="B11" s="9" t="s">
        <v>6</v>
      </c>
      <c r="C11" s="10" t="s">
        <v>7</v>
      </c>
      <c r="D11" s="11"/>
      <c r="F11" s="12">
        <v>21268961.279999997</v>
      </c>
      <c r="G11" s="1"/>
      <c r="H11" s="112"/>
      <c r="I11" s="112"/>
    </row>
    <row r="12" spans="1:10" s="2" customFormat="1" ht="14.25" customHeight="1" x14ac:dyDescent="0.4">
      <c r="A12" s="89">
        <v>45085</v>
      </c>
      <c r="B12" s="9" t="s">
        <v>6</v>
      </c>
      <c r="C12" s="10" t="s">
        <v>405</v>
      </c>
      <c r="D12" s="11" t="s">
        <v>13</v>
      </c>
      <c r="E12" s="124">
        <v>1607953</v>
      </c>
      <c r="F12" s="12"/>
      <c r="G12" s="1"/>
      <c r="H12" s="112"/>
      <c r="I12" s="112"/>
    </row>
    <row r="13" spans="1:10" s="2" customFormat="1" ht="14.25" customHeight="1" x14ac:dyDescent="0.4">
      <c r="A13" s="89">
        <v>45085</v>
      </c>
      <c r="B13" s="9" t="s">
        <v>6</v>
      </c>
      <c r="C13" s="10" t="s">
        <v>165</v>
      </c>
      <c r="D13" s="11" t="s">
        <v>13</v>
      </c>
      <c r="E13" s="124">
        <v>2547157</v>
      </c>
      <c r="F13" s="12"/>
      <c r="G13" s="1"/>
      <c r="H13" s="112"/>
      <c r="I13" s="112"/>
    </row>
    <row r="14" spans="1:10" s="2" customFormat="1" ht="14.25" customHeight="1" x14ac:dyDescent="0.4">
      <c r="A14" s="89">
        <v>45085</v>
      </c>
      <c r="B14" s="9" t="s">
        <v>11</v>
      </c>
      <c r="C14" s="10" t="s">
        <v>207</v>
      </c>
      <c r="D14" s="11" t="s">
        <v>29</v>
      </c>
      <c r="E14" s="124"/>
      <c r="F14" s="12">
        <v>124800</v>
      </c>
      <c r="G14" s="1"/>
      <c r="H14" s="112"/>
      <c r="I14" s="112"/>
    </row>
    <row r="15" spans="1:10" s="2" customFormat="1" ht="14.25" customHeight="1" x14ac:dyDescent="0.4">
      <c r="A15" s="89">
        <v>45085</v>
      </c>
      <c r="B15" s="9" t="s">
        <v>11</v>
      </c>
      <c r="C15" s="10" t="s">
        <v>196</v>
      </c>
      <c r="D15" s="11" t="s">
        <v>29</v>
      </c>
      <c r="E15" s="124"/>
      <c r="F15" s="12">
        <v>25468</v>
      </c>
      <c r="G15" s="1"/>
      <c r="H15" s="112"/>
      <c r="I15" s="112"/>
    </row>
    <row r="16" spans="1:10" s="2" customFormat="1" ht="14.25" customHeight="1" x14ac:dyDescent="0.4">
      <c r="A16" s="89">
        <v>45085</v>
      </c>
      <c r="B16" s="9" t="s">
        <v>11</v>
      </c>
      <c r="C16" s="10" t="s">
        <v>195</v>
      </c>
      <c r="D16" s="11" t="s">
        <v>29</v>
      </c>
      <c r="E16" s="124"/>
      <c r="F16" s="12">
        <v>3145</v>
      </c>
      <c r="G16" s="1"/>
      <c r="H16" s="112"/>
      <c r="I16" s="112"/>
    </row>
    <row r="17" spans="1:10" s="2" customFormat="1" ht="14.25" customHeight="1" x14ac:dyDescent="0.4">
      <c r="A17" s="89">
        <v>45085</v>
      </c>
      <c r="B17" s="9" t="s">
        <v>11</v>
      </c>
      <c r="C17" s="10" t="s">
        <v>222</v>
      </c>
      <c r="D17" s="11" t="s">
        <v>29</v>
      </c>
      <c r="E17" s="124"/>
      <c r="F17" s="12">
        <v>1000</v>
      </c>
      <c r="G17" s="1"/>
      <c r="H17" s="112"/>
      <c r="I17" s="112"/>
    </row>
    <row r="18" spans="1:10" s="2" customFormat="1" ht="14.25" customHeight="1" x14ac:dyDescent="0.4">
      <c r="A18" s="89">
        <v>45085</v>
      </c>
      <c r="B18" s="9" t="s">
        <v>11</v>
      </c>
      <c r="C18" s="10" t="s">
        <v>221</v>
      </c>
      <c r="D18" s="11" t="s">
        <v>29</v>
      </c>
      <c r="E18" s="124"/>
      <c r="F18" s="12">
        <v>1150</v>
      </c>
      <c r="G18" s="1"/>
      <c r="H18" s="112"/>
      <c r="I18" s="112"/>
    </row>
    <row r="19" spans="1:10" s="2" customFormat="1" ht="14.25" customHeight="1" x14ac:dyDescent="0.4">
      <c r="A19" s="89">
        <v>45085</v>
      </c>
      <c r="B19" s="9" t="s">
        <v>11</v>
      </c>
      <c r="C19" s="10" t="s">
        <v>828</v>
      </c>
      <c r="D19" s="11" t="s">
        <v>29</v>
      </c>
      <c r="E19" s="124"/>
      <c r="F19" s="12">
        <v>8024</v>
      </c>
      <c r="G19" s="1"/>
      <c r="H19" s="112"/>
      <c r="I19" s="112"/>
    </row>
    <row r="20" spans="1:10" s="2" customFormat="1" ht="14.25" customHeight="1" x14ac:dyDescent="0.4">
      <c r="A20" s="89">
        <v>45085</v>
      </c>
      <c r="B20" s="9" t="s">
        <v>11</v>
      </c>
      <c r="C20" s="10" t="s">
        <v>1060</v>
      </c>
      <c r="D20" s="11" t="s">
        <v>29</v>
      </c>
      <c r="E20" s="124"/>
      <c r="F20" s="12">
        <v>8158</v>
      </c>
      <c r="G20" s="1"/>
      <c r="H20" s="112"/>
      <c r="I20" s="112"/>
    </row>
    <row r="21" spans="1:10" s="2" customFormat="1" ht="14.25" customHeight="1" x14ac:dyDescent="0.4">
      <c r="A21" s="89">
        <v>45085</v>
      </c>
      <c r="B21" s="9" t="s">
        <v>11</v>
      </c>
      <c r="C21" s="10" t="s">
        <v>569</v>
      </c>
      <c r="D21" s="11" t="s">
        <v>29</v>
      </c>
      <c r="E21" s="124"/>
      <c r="F21" s="12">
        <v>22184</v>
      </c>
      <c r="G21" s="1"/>
      <c r="H21" s="112"/>
      <c r="I21" s="112"/>
    </row>
    <row r="22" spans="1:10" s="2" customFormat="1" ht="14.25" customHeight="1" x14ac:dyDescent="0.4">
      <c r="A22" s="89">
        <v>45085</v>
      </c>
      <c r="B22" s="9" t="s">
        <v>11</v>
      </c>
      <c r="C22" s="10" t="s">
        <v>1029</v>
      </c>
      <c r="D22" s="11" t="s">
        <v>29</v>
      </c>
      <c r="E22" s="124"/>
      <c r="F22" s="12">
        <v>11361.86</v>
      </c>
      <c r="G22" s="1"/>
      <c r="H22" s="112"/>
      <c r="I22" s="112"/>
    </row>
    <row r="23" spans="1:10" s="2" customFormat="1" ht="14.25" customHeight="1" x14ac:dyDescent="0.4">
      <c r="A23" s="89">
        <v>45085</v>
      </c>
      <c r="B23" s="9" t="s">
        <v>11</v>
      </c>
      <c r="C23" s="10" t="s">
        <v>718</v>
      </c>
      <c r="D23" s="11" t="s">
        <v>29</v>
      </c>
      <c r="E23" s="124"/>
      <c r="F23" s="12">
        <v>18824</v>
      </c>
      <c r="G23" s="1"/>
      <c r="H23" s="112"/>
      <c r="I23" s="112"/>
    </row>
    <row r="24" spans="1:10" s="2" customFormat="1" ht="14.25" customHeight="1" x14ac:dyDescent="0.4">
      <c r="A24" s="89">
        <v>45085</v>
      </c>
      <c r="B24" s="9" t="s">
        <v>11</v>
      </c>
      <c r="C24" s="10" t="s">
        <v>238</v>
      </c>
      <c r="D24" s="11" t="s">
        <v>29</v>
      </c>
      <c r="E24" s="124"/>
      <c r="F24" s="12">
        <v>1500000</v>
      </c>
      <c r="G24" s="1"/>
      <c r="H24" s="112"/>
      <c r="I24" s="112"/>
    </row>
    <row r="25" spans="1:10" s="2" customFormat="1" ht="12.75" customHeight="1" x14ac:dyDescent="0.4">
      <c r="D25" s="15" t="s">
        <v>8</v>
      </c>
      <c r="E25" s="16">
        <f>SUM(E12:E24)</f>
        <v>4155110</v>
      </c>
      <c r="F25" s="16">
        <f>SUM(F11:F24)</f>
        <v>22993076.139999997</v>
      </c>
      <c r="G25" s="1"/>
      <c r="H25" s="112"/>
      <c r="I25" s="112"/>
    </row>
    <row r="26" spans="1:10" s="2" customFormat="1" ht="12.75" customHeight="1" x14ac:dyDescent="0.4">
      <c r="A26" s="17"/>
      <c r="B26" s="18"/>
      <c r="C26" s="96" t="s">
        <v>9</v>
      </c>
      <c r="D26" s="20"/>
      <c r="E26" s="21">
        <f>+F25-E25</f>
        <v>18837966.139999997</v>
      </c>
      <c r="G26" s="23"/>
      <c r="H26" s="112"/>
      <c r="I26" s="112"/>
      <c r="J26" s="13"/>
    </row>
    <row r="27" spans="1:10" s="2" customFormat="1" ht="12.75" customHeight="1" x14ac:dyDescent="0.4">
      <c r="A27" s="24"/>
      <c r="B27" s="1"/>
      <c r="C27" s="14"/>
      <c r="D27" s="25"/>
      <c r="G27" s="23"/>
      <c r="H27" s="112"/>
      <c r="I27" s="112"/>
      <c r="J27" s="13"/>
    </row>
    <row r="28" spans="1:10" s="2" customFormat="1" ht="21.75" customHeight="1" x14ac:dyDescent="0.4">
      <c r="A28" s="214" t="s">
        <v>10</v>
      </c>
      <c r="B28" s="214"/>
      <c r="C28" s="214"/>
      <c r="D28" s="214"/>
      <c r="E28" s="214"/>
      <c r="F28" s="214"/>
      <c r="G28" s="13"/>
      <c r="H28" s="112"/>
      <c r="I28" s="112"/>
      <c r="J28" s="13"/>
    </row>
    <row r="29" spans="1:10" s="2" customFormat="1" ht="12.75" customHeight="1" x14ac:dyDescent="0.4">
      <c r="A29" s="26" t="s">
        <v>1</v>
      </c>
      <c r="B29" s="27" t="s">
        <v>2</v>
      </c>
      <c r="C29" s="5"/>
      <c r="D29" s="6" t="s">
        <v>3</v>
      </c>
      <c r="E29" s="7" t="s">
        <v>4</v>
      </c>
      <c r="F29" s="7" t="s">
        <v>5</v>
      </c>
      <c r="G29" s="23"/>
      <c r="H29" s="112"/>
      <c r="I29" s="112"/>
      <c r="J29" s="13"/>
    </row>
    <row r="30" spans="1:10" s="2" customFormat="1" ht="12.75" customHeight="1" x14ac:dyDescent="0.2">
      <c r="A30" s="89">
        <v>45085</v>
      </c>
      <c r="B30" s="91" t="s">
        <v>11</v>
      </c>
      <c r="C30" s="29" t="s">
        <v>7</v>
      </c>
      <c r="D30" s="25"/>
      <c r="E30" s="31"/>
      <c r="F30" s="2">
        <v>279350978.43999982</v>
      </c>
      <c r="G30" s="30"/>
      <c r="I30" s="13"/>
      <c r="J30" s="13"/>
    </row>
    <row r="31" spans="1:10" s="2" customFormat="1" ht="12.75" customHeight="1" x14ac:dyDescent="0.2">
      <c r="A31" s="89">
        <v>45085</v>
      </c>
      <c r="B31" s="91" t="s">
        <v>6</v>
      </c>
      <c r="C31" s="76" t="s">
        <v>120</v>
      </c>
      <c r="D31" s="116" t="s">
        <v>13</v>
      </c>
      <c r="E31" s="31">
        <f>460221-178082</f>
        <v>282139</v>
      </c>
      <c r="G31" s="30"/>
      <c r="I31" s="13"/>
      <c r="J31" s="13"/>
    </row>
    <row r="32" spans="1:10" s="2" customFormat="1" ht="12.75" customHeight="1" x14ac:dyDescent="0.2">
      <c r="A32" s="89">
        <v>45085</v>
      </c>
      <c r="B32" s="91" t="s">
        <v>6</v>
      </c>
      <c r="C32" s="76" t="s">
        <v>1061</v>
      </c>
      <c r="D32" s="116" t="s">
        <v>13</v>
      </c>
      <c r="E32" s="31">
        <v>3857896</v>
      </c>
      <c r="G32" s="30"/>
      <c r="I32" s="13"/>
      <c r="J32" s="13"/>
    </row>
    <row r="33" spans="1:10" s="2" customFormat="1" ht="12.75" customHeight="1" x14ac:dyDescent="0.2">
      <c r="A33" s="89">
        <v>45085</v>
      </c>
      <c r="B33" s="91" t="s">
        <v>6</v>
      </c>
      <c r="C33" s="76" t="s">
        <v>947</v>
      </c>
      <c r="D33" s="116" t="s">
        <v>13</v>
      </c>
      <c r="E33" s="31">
        <v>10544369</v>
      </c>
      <c r="G33" s="30"/>
      <c r="I33" s="13"/>
      <c r="J33" s="13"/>
    </row>
    <row r="34" spans="1:10" s="2" customFormat="1" ht="12.75" customHeight="1" x14ac:dyDescent="0.2">
      <c r="A34" s="89">
        <v>45085</v>
      </c>
      <c r="B34" s="91" t="s">
        <v>6</v>
      </c>
      <c r="C34" s="76" t="s">
        <v>24</v>
      </c>
      <c r="D34" s="116" t="s">
        <v>13</v>
      </c>
      <c r="E34" s="31">
        <v>5495</v>
      </c>
      <c r="G34" s="30"/>
      <c r="I34" s="13"/>
      <c r="J34" s="13"/>
    </row>
    <row r="35" spans="1:10" s="2" customFormat="1" ht="12.75" customHeight="1" x14ac:dyDescent="0.2">
      <c r="A35" s="89">
        <v>45085</v>
      </c>
      <c r="B35" s="91" t="s">
        <v>6</v>
      </c>
      <c r="C35" s="76" t="s">
        <v>678</v>
      </c>
      <c r="D35" s="116" t="s">
        <v>13</v>
      </c>
      <c r="E35" s="31">
        <v>150000</v>
      </c>
      <c r="G35" s="30"/>
      <c r="I35" s="13"/>
      <c r="J35" s="13"/>
    </row>
    <row r="36" spans="1:10" s="2" customFormat="1" ht="12.75" customHeight="1" x14ac:dyDescent="0.2">
      <c r="A36" s="89">
        <v>45085</v>
      </c>
      <c r="B36" s="91" t="s">
        <v>6</v>
      </c>
      <c r="C36" s="76" t="s">
        <v>625</v>
      </c>
      <c r="D36" s="116" t="s">
        <v>13</v>
      </c>
      <c r="E36" s="31">
        <v>11498</v>
      </c>
      <c r="G36" s="30"/>
      <c r="I36" s="13"/>
      <c r="J36" s="13"/>
    </row>
    <row r="37" spans="1:10" s="2" customFormat="1" ht="12.75" customHeight="1" x14ac:dyDescent="0.2">
      <c r="A37" s="89">
        <v>45085</v>
      </c>
      <c r="B37" s="91" t="s">
        <v>6</v>
      </c>
      <c r="C37" s="76" t="s">
        <v>16</v>
      </c>
      <c r="D37" s="116" t="s">
        <v>13</v>
      </c>
      <c r="E37" s="31">
        <v>30742.29</v>
      </c>
      <c r="G37" s="30"/>
      <c r="I37" s="13"/>
      <c r="J37" s="13"/>
    </row>
    <row r="38" spans="1:10" s="2" customFormat="1" ht="12.75" customHeight="1" x14ac:dyDescent="0.2">
      <c r="A38" s="89">
        <v>45085</v>
      </c>
      <c r="B38" s="91" t="s">
        <v>6</v>
      </c>
      <c r="C38" s="76" t="s">
        <v>450</v>
      </c>
      <c r="D38" s="116" t="s">
        <v>13</v>
      </c>
      <c r="E38" s="31">
        <v>501888</v>
      </c>
      <c r="G38" s="30"/>
      <c r="I38" s="13"/>
      <c r="J38" s="13"/>
    </row>
    <row r="39" spans="1:10" s="2" customFormat="1" ht="12.75" customHeight="1" x14ac:dyDescent="0.2">
      <c r="A39" s="89">
        <v>45085</v>
      </c>
      <c r="B39" s="91" t="s">
        <v>6</v>
      </c>
      <c r="C39" s="76" t="s">
        <v>555</v>
      </c>
      <c r="D39" s="116" t="s">
        <v>13</v>
      </c>
      <c r="E39" s="31">
        <v>240984</v>
      </c>
      <c r="G39" s="30"/>
      <c r="I39" s="13"/>
      <c r="J39" s="13"/>
    </row>
    <row r="40" spans="1:10" s="2" customFormat="1" ht="12.75" customHeight="1" x14ac:dyDescent="0.2">
      <c r="A40" s="89">
        <v>45085</v>
      </c>
      <c r="B40" s="91" t="s">
        <v>6</v>
      </c>
      <c r="C40" s="76" t="s">
        <v>329</v>
      </c>
      <c r="D40" s="116" t="s">
        <v>13</v>
      </c>
      <c r="E40" s="31">
        <v>3833</v>
      </c>
      <c r="G40" s="30"/>
      <c r="I40" s="13"/>
      <c r="J40" s="13"/>
    </row>
    <row r="41" spans="1:10" s="2" customFormat="1" ht="12.75" customHeight="1" x14ac:dyDescent="0.2">
      <c r="A41" s="89">
        <v>45085</v>
      </c>
      <c r="B41" s="91" t="s">
        <v>6</v>
      </c>
      <c r="C41" s="76" t="s">
        <v>1062</v>
      </c>
      <c r="D41" s="116" t="s">
        <v>13</v>
      </c>
      <c r="E41" s="31">
        <v>3675</v>
      </c>
      <c r="G41" s="30"/>
      <c r="I41" s="13"/>
      <c r="J41" s="13"/>
    </row>
    <row r="42" spans="1:10" s="2" customFormat="1" ht="12.75" customHeight="1" x14ac:dyDescent="0.2">
      <c r="A42" s="89">
        <v>45085</v>
      </c>
      <c r="B42" s="91" t="s">
        <v>6</v>
      </c>
      <c r="C42" s="76" t="s">
        <v>62</v>
      </c>
      <c r="D42" s="116" t="s">
        <v>13</v>
      </c>
      <c r="E42" s="31">
        <v>5000</v>
      </c>
      <c r="G42" s="30"/>
      <c r="I42" s="13"/>
      <c r="J42" s="13"/>
    </row>
    <row r="43" spans="1:10" s="2" customFormat="1" ht="12.75" customHeight="1" x14ac:dyDescent="0.2">
      <c r="A43" s="89">
        <v>45085</v>
      </c>
      <c r="B43" s="91" t="s">
        <v>6</v>
      </c>
      <c r="C43" s="76" t="s">
        <v>22</v>
      </c>
      <c r="D43" s="116" t="s">
        <v>13</v>
      </c>
      <c r="E43" s="31">
        <v>1846779.43</v>
      </c>
      <c r="G43" s="30"/>
      <c r="I43" s="13"/>
      <c r="J43" s="13"/>
    </row>
    <row r="44" spans="1:10" s="2" customFormat="1" ht="12.75" customHeight="1" x14ac:dyDescent="0.2">
      <c r="A44" s="89">
        <v>45085</v>
      </c>
      <c r="B44" s="91" t="s">
        <v>6</v>
      </c>
      <c r="C44" s="76" t="s">
        <v>564</v>
      </c>
      <c r="D44" s="116" t="s">
        <v>13</v>
      </c>
      <c r="E44" s="31">
        <v>3734828.14</v>
      </c>
      <c r="G44" s="30"/>
      <c r="I44" s="13"/>
      <c r="J44" s="13"/>
    </row>
    <row r="45" spans="1:10" s="2" customFormat="1" ht="12.75" customHeight="1" x14ac:dyDescent="0.2">
      <c r="A45" s="89">
        <v>45085</v>
      </c>
      <c r="B45" s="91" t="s">
        <v>6</v>
      </c>
      <c r="C45" s="76" t="s">
        <v>526</v>
      </c>
      <c r="D45" s="116" t="s">
        <v>13</v>
      </c>
      <c r="E45" s="31">
        <v>2899837.79</v>
      </c>
      <c r="G45" s="30"/>
      <c r="I45" s="13"/>
      <c r="J45" s="13"/>
    </row>
    <row r="46" spans="1:10" s="2" customFormat="1" ht="12.75" customHeight="1" x14ac:dyDescent="0.2">
      <c r="A46" s="89">
        <v>45085</v>
      </c>
      <c r="B46" s="91" t="s">
        <v>6</v>
      </c>
      <c r="C46" s="76" t="s">
        <v>12</v>
      </c>
      <c r="D46" s="116" t="s">
        <v>13</v>
      </c>
      <c r="E46" s="31">
        <v>4989198.45</v>
      </c>
      <c r="G46" s="30"/>
      <c r="I46" s="13"/>
      <c r="J46" s="13"/>
    </row>
    <row r="47" spans="1:10" s="2" customFormat="1" ht="12.75" customHeight="1" x14ac:dyDescent="0.2">
      <c r="A47" s="89">
        <v>45085</v>
      </c>
      <c r="B47" s="91" t="s">
        <v>6</v>
      </c>
      <c r="C47" s="76" t="s">
        <v>149</v>
      </c>
      <c r="D47" s="116" t="s">
        <v>13</v>
      </c>
      <c r="E47" s="31">
        <v>104286</v>
      </c>
      <c r="G47" s="30"/>
      <c r="I47" s="13"/>
      <c r="J47" s="13"/>
    </row>
    <row r="48" spans="1:10" s="2" customFormat="1" ht="12.75" customHeight="1" x14ac:dyDescent="0.2">
      <c r="A48" s="89">
        <v>45085</v>
      </c>
      <c r="B48" s="91" t="s">
        <v>6</v>
      </c>
      <c r="C48" s="76" t="s">
        <v>992</v>
      </c>
      <c r="D48" s="116" t="s">
        <v>13</v>
      </c>
      <c r="E48" s="31">
        <v>222113</v>
      </c>
      <c r="G48" s="30"/>
      <c r="I48" s="13"/>
      <c r="J48" s="13"/>
    </row>
    <row r="49" spans="1:10" s="2" customFormat="1" ht="12.75" customHeight="1" x14ac:dyDescent="0.2">
      <c r="A49" s="89">
        <v>45085</v>
      </c>
      <c r="B49" s="91" t="s">
        <v>6</v>
      </c>
      <c r="C49" s="76" t="s">
        <v>155</v>
      </c>
      <c r="D49" s="116" t="s">
        <v>13</v>
      </c>
      <c r="E49" s="31">
        <v>14162</v>
      </c>
      <c r="G49" s="30"/>
      <c r="I49" s="13"/>
      <c r="J49" s="13"/>
    </row>
    <row r="50" spans="1:10" s="2" customFormat="1" ht="12.75" customHeight="1" x14ac:dyDescent="0.2">
      <c r="A50" s="89">
        <v>45085</v>
      </c>
      <c r="B50" s="91" t="s">
        <v>6</v>
      </c>
      <c r="C50" s="76" t="s">
        <v>177</v>
      </c>
      <c r="D50" s="116" t="s">
        <v>13</v>
      </c>
      <c r="E50" s="31">
        <v>669176</v>
      </c>
      <c r="G50" s="30"/>
      <c r="I50" s="13"/>
      <c r="J50" s="13"/>
    </row>
    <row r="51" spans="1:10" s="2" customFormat="1" ht="12.75" customHeight="1" x14ac:dyDescent="0.2">
      <c r="A51" s="89">
        <v>45085</v>
      </c>
      <c r="B51" s="91" t="s">
        <v>6</v>
      </c>
      <c r="C51" s="76" t="s">
        <v>822</v>
      </c>
      <c r="D51" s="116" t="s">
        <v>13</v>
      </c>
      <c r="E51" s="31">
        <v>840</v>
      </c>
      <c r="G51" s="30"/>
      <c r="I51" s="13"/>
      <c r="J51" s="13"/>
    </row>
    <row r="52" spans="1:10" s="2" customFormat="1" ht="12.75" customHeight="1" x14ac:dyDescent="0.2">
      <c r="A52" s="89">
        <v>45085</v>
      </c>
      <c r="B52" s="91" t="s">
        <v>6</v>
      </c>
      <c r="C52" s="76" t="s">
        <v>403</v>
      </c>
      <c r="D52" s="116" t="s">
        <v>13</v>
      </c>
      <c r="E52" s="31">
        <v>195049</v>
      </c>
      <c r="G52" s="30"/>
      <c r="I52" s="13"/>
      <c r="J52" s="13"/>
    </row>
    <row r="53" spans="1:10" s="2" customFormat="1" ht="12.75" customHeight="1" x14ac:dyDescent="0.2">
      <c r="A53" s="89">
        <v>45085</v>
      </c>
      <c r="B53" s="91" t="s">
        <v>11</v>
      </c>
      <c r="C53" s="76" t="s">
        <v>64</v>
      </c>
      <c r="D53" s="116" t="s">
        <v>29</v>
      </c>
      <c r="E53" s="31"/>
      <c r="F53" s="2">
        <f>40654.77+5900</f>
        <v>46554.77</v>
      </c>
      <c r="G53" s="30"/>
      <c r="I53" s="13"/>
      <c r="J53" s="13"/>
    </row>
    <row r="54" spans="1:10" s="2" customFormat="1" ht="12.75" customHeight="1" x14ac:dyDescent="0.2">
      <c r="A54" s="89">
        <v>45085</v>
      </c>
      <c r="B54" s="91" t="s">
        <v>11</v>
      </c>
      <c r="C54" s="76" t="s">
        <v>109</v>
      </c>
      <c r="D54" s="116" t="s">
        <v>29</v>
      </c>
      <c r="E54" s="31"/>
      <c r="F54" s="2">
        <v>1179396</v>
      </c>
      <c r="G54" s="30"/>
      <c r="I54" s="13"/>
      <c r="J54" s="13"/>
    </row>
    <row r="55" spans="1:10" s="2" customFormat="1" ht="12.75" customHeight="1" x14ac:dyDescent="0.2">
      <c r="A55" s="89">
        <v>45085</v>
      </c>
      <c r="B55" s="91" t="s">
        <v>11</v>
      </c>
      <c r="C55" s="76" t="s">
        <v>223</v>
      </c>
      <c r="D55" s="116" t="s">
        <v>29</v>
      </c>
      <c r="E55" s="31"/>
      <c r="F55" s="2">
        <v>3906</v>
      </c>
      <c r="G55" s="30"/>
      <c r="I55" s="13"/>
      <c r="J55" s="13"/>
    </row>
    <row r="56" spans="1:10" s="2" customFormat="1" ht="12.75" customHeight="1" x14ac:dyDescent="0.2">
      <c r="A56" s="89">
        <v>45085</v>
      </c>
      <c r="B56" s="91" t="s">
        <v>11</v>
      </c>
      <c r="C56" s="76" t="s">
        <v>293</v>
      </c>
      <c r="D56" s="116" t="s">
        <v>29</v>
      </c>
      <c r="E56" s="31"/>
      <c r="F56" s="2">
        <v>10640</v>
      </c>
      <c r="G56" s="30"/>
      <c r="I56" s="13"/>
      <c r="J56" s="13"/>
    </row>
    <row r="57" spans="1:10" s="2" customFormat="1" ht="12.75" customHeight="1" x14ac:dyDescent="0.2">
      <c r="A57" s="89">
        <v>45085</v>
      </c>
      <c r="B57" s="91" t="s">
        <v>11</v>
      </c>
      <c r="C57" s="76" t="s">
        <v>561</v>
      </c>
      <c r="D57" s="116" t="s">
        <v>29</v>
      </c>
      <c r="E57" s="31"/>
      <c r="F57" s="2">
        <v>448050</v>
      </c>
      <c r="G57" s="30"/>
      <c r="I57" s="13"/>
      <c r="J57" s="13"/>
    </row>
    <row r="58" spans="1:10" s="2" customFormat="1" ht="12.75" customHeight="1" x14ac:dyDescent="0.2">
      <c r="A58" s="89">
        <v>45085</v>
      </c>
      <c r="B58" s="91" t="s">
        <v>11</v>
      </c>
      <c r="C58" s="76" t="s">
        <v>698</v>
      </c>
      <c r="D58" s="116" t="s">
        <v>29</v>
      </c>
      <c r="E58" s="31"/>
      <c r="F58" s="2">
        <v>10040</v>
      </c>
      <c r="G58" s="30"/>
      <c r="I58" s="13"/>
      <c r="J58" s="13"/>
    </row>
    <row r="59" spans="1:10" s="2" customFormat="1" ht="12.75" customHeight="1" x14ac:dyDescent="0.2">
      <c r="A59" s="89">
        <v>45085</v>
      </c>
      <c r="B59" s="91" t="s">
        <v>11</v>
      </c>
      <c r="C59" s="10" t="s">
        <v>165</v>
      </c>
      <c r="D59" s="11" t="s">
        <v>499</v>
      </c>
      <c r="F59" s="124">
        <v>2547157</v>
      </c>
      <c r="G59" s="30"/>
      <c r="I59" s="13"/>
      <c r="J59" s="13"/>
    </row>
    <row r="60" spans="1:10" s="2" customFormat="1" ht="12.75" customHeight="1" x14ac:dyDescent="0.2">
      <c r="A60" s="89">
        <v>45085</v>
      </c>
      <c r="B60" s="91" t="s">
        <v>11</v>
      </c>
      <c r="C60" s="76" t="s">
        <v>616</v>
      </c>
      <c r="D60" s="116" t="s">
        <v>29</v>
      </c>
      <c r="E60" s="31"/>
      <c r="F60" s="2">
        <v>110840</v>
      </c>
      <c r="G60" s="30"/>
      <c r="I60" s="13"/>
      <c r="J60" s="13"/>
    </row>
    <row r="61" spans="1:10" s="2" customFormat="1" ht="12.75" customHeight="1" x14ac:dyDescent="0.2">
      <c r="A61" s="89">
        <v>45085</v>
      </c>
      <c r="B61" s="91" t="s">
        <v>11</v>
      </c>
      <c r="C61" s="76" t="s">
        <v>118</v>
      </c>
      <c r="D61" s="116" t="s">
        <v>29</v>
      </c>
      <c r="E61" s="31"/>
      <c r="F61" s="2">
        <v>400000</v>
      </c>
      <c r="G61" s="30"/>
      <c r="I61" s="13"/>
      <c r="J61" s="13"/>
    </row>
    <row r="62" spans="1:10" s="2" customFormat="1" ht="12.75" customHeight="1" x14ac:dyDescent="0.2">
      <c r="A62" s="89">
        <v>45085</v>
      </c>
      <c r="B62" s="91" t="s">
        <v>11</v>
      </c>
      <c r="C62" s="76" t="s">
        <v>63</v>
      </c>
      <c r="D62" s="116" t="s">
        <v>29</v>
      </c>
      <c r="E62" s="31"/>
      <c r="F62" s="2">
        <v>7200000</v>
      </c>
      <c r="G62" s="30"/>
      <c r="I62" s="13"/>
      <c r="J62" s="13"/>
    </row>
    <row r="63" spans="1:10" s="2" customFormat="1" ht="12.75" customHeight="1" x14ac:dyDescent="0.2">
      <c r="A63" s="89">
        <v>45085</v>
      </c>
      <c r="B63" s="91" t="s">
        <v>11</v>
      </c>
      <c r="C63" s="76" t="s">
        <v>998</v>
      </c>
      <c r="D63" s="116" t="s">
        <v>29</v>
      </c>
      <c r="E63" s="31"/>
      <c r="F63" s="2">
        <v>831935.41</v>
      </c>
      <c r="G63" s="30"/>
      <c r="I63" s="13"/>
      <c r="J63" s="13"/>
    </row>
    <row r="64" spans="1:10" s="2" customFormat="1" ht="12.75" customHeight="1" x14ac:dyDescent="0.2">
      <c r="A64" s="89">
        <v>45085</v>
      </c>
      <c r="B64" s="91" t="s">
        <v>11</v>
      </c>
      <c r="C64" s="76" t="s">
        <v>57</v>
      </c>
      <c r="D64" s="116" t="s">
        <v>29</v>
      </c>
      <c r="E64" s="31"/>
      <c r="F64" s="2">
        <v>9500000</v>
      </c>
      <c r="G64" s="30"/>
      <c r="I64" s="13" t="s">
        <v>396</v>
      </c>
      <c r="J64" s="13"/>
    </row>
    <row r="65" spans="1:14" s="2" customFormat="1" ht="12.75" customHeight="1" x14ac:dyDescent="0.2">
      <c r="A65" s="89">
        <v>45085</v>
      </c>
      <c r="B65" s="91" t="s">
        <v>11</v>
      </c>
      <c r="C65" s="76" t="s">
        <v>140</v>
      </c>
      <c r="D65" s="116" t="s">
        <v>29</v>
      </c>
      <c r="E65" s="31"/>
      <c r="F65" s="2">
        <v>7426916</v>
      </c>
      <c r="G65" s="30"/>
      <c r="I65" s="13"/>
      <c r="J65" s="13"/>
    </row>
    <row r="66" spans="1:14" s="2" customFormat="1" ht="12.75" customHeight="1" x14ac:dyDescent="0.2">
      <c r="A66" s="89">
        <v>45085</v>
      </c>
      <c r="B66" s="91" t="s">
        <v>11</v>
      </c>
      <c r="C66" s="76" t="s">
        <v>362</v>
      </c>
      <c r="D66" s="116" t="s">
        <v>29</v>
      </c>
      <c r="E66" s="31"/>
      <c r="F66" s="2">
        <v>63586.36</v>
      </c>
      <c r="G66" s="30"/>
      <c r="I66" s="13" t="s">
        <v>396</v>
      </c>
      <c r="J66" s="13"/>
    </row>
    <row r="67" spans="1:14" s="2" customFormat="1" ht="12.75" customHeight="1" x14ac:dyDescent="0.2">
      <c r="A67" s="89">
        <v>45085</v>
      </c>
      <c r="B67" s="91" t="s">
        <v>11</v>
      </c>
      <c r="C67" s="76" t="s">
        <v>786</v>
      </c>
      <c r="D67" s="116" t="s">
        <v>29</v>
      </c>
      <c r="E67" s="31"/>
      <c r="F67" s="2">
        <v>375000</v>
      </c>
      <c r="G67" s="30"/>
      <c r="I67" s="13"/>
      <c r="J67" s="13"/>
      <c r="K67" s="25" t="s">
        <v>779</v>
      </c>
    </row>
    <row r="68" spans="1:14" s="2" customFormat="1" ht="12.75" customHeight="1" x14ac:dyDescent="0.25">
      <c r="A68" s="32"/>
      <c r="B68" s="33"/>
      <c r="C68" s="14"/>
      <c r="D68" s="34"/>
      <c r="E68" s="16">
        <f>SUM(E30:E67)</f>
        <v>30313789.099999998</v>
      </c>
      <c r="F68" s="16">
        <f>SUM(F30:F67)</f>
        <v>309504999.97999984</v>
      </c>
      <c r="G68" s="30"/>
      <c r="H68" s="1"/>
      <c r="I68" s="39">
        <v>279191210.88</v>
      </c>
      <c r="K68" s="92">
        <f>E69-I68</f>
        <v>0</v>
      </c>
      <c r="L68" s="41"/>
      <c r="M68" s="42"/>
    </row>
    <row r="69" spans="1:14" s="2" customFormat="1" ht="12.75" customHeight="1" x14ac:dyDescent="0.2">
      <c r="A69" s="36"/>
      <c r="B69" s="28" t="s">
        <v>11</v>
      </c>
      <c r="C69" s="19" t="s">
        <v>65</v>
      </c>
      <c r="D69" s="37"/>
      <c r="E69" s="38">
        <f>F68-E68</f>
        <v>279191210.87999982</v>
      </c>
      <c r="F69" s="22"/>
      <c r="G69" s="1"/>
      <c r="H69" s="1"/>
      <c r="J69" s="1"/>
      <c r="K69" s="1"/>
      <c r="L69" s="1"/>
      <c r="M69" s="1"/>
    </row>
    <row r="70" spans="1:14" s="2" customFormat="1" ht="12.75" customHeight="1" x14ac:dyDescent="0.2">
      <c r="A70" s="36"/>
      <c r="B70" s="28" t="s">
        <v>66</v>
      </c>
      <c r="C70" s="43" t="s">
        <v>67</v>
      </c>
      <c r="D70" s="43"/>
      <c r="E70" s="12">
        <v>59416310</v>
      </c>
      <c r="F70" s="22"/>
      <c r="G70" s="1"/>
      <c r="H70" s="40"/>
      <c r="I70" s="45">
        <v>1375.65</v>
      </c>
      <c r="J70" s="46"/>
      <c r="K70" s="46"/>
      <c r="L70" s="13"/>
    </row>
    <row r="71" spans="1:14" s="2" customFormat="1" ht="12.75" customHeight="1" x14ac:dyDescent="0.25">
      <c r="A71" s="36"/>
      <c r="B71" s="28"/>
      <c r="C71" s="44" t="s">
        <v>68</v>
      </c>
      <c r="D71" s="43"/>
      <c r="E71" s="7">
        <f>E69+E70</f>
        <v>338607520.87999982</v>
      </c>
      <c r="F71" s="22"/>
      <c r="G71" s="1"/>
      <c r="H71" s="103" t="s">
        <v>69</v>
      </c>
      <c r="I71" s="45">
        <v>-10.38</v>
      </c>
      <c r="J71" s="46"/>
      <c r="K71" s="46"/>
      <c r="N71" s="1"/>
    </row>
    <row r="72" spans="1:14" s="2" customFormat="1" x14ac:dyDescent="0.2">
      <c r="A72" s="24"/>
      <c r="B72" s="1"/>
      <c r="C72" s="14"/>
      <c r="D72" s="25"/>
      <c r="E72" s="1"/>
      <c r="H72" s="35" t="s">
        <v>70</v>
      </c>
      <c r="I72" s="45">
        <v>1.28</v>
      </c>
      <c r="J72" s="46">
        <f>+I73-D75</f>
        <v>0</v>
      </c>
      <c r="M72" s="2">
        <v>19.57</v>
      </c>
      <c r="N72" s="1"/>
    </row>
    <row r="73" spans="1:14" x14ac:dyDescent="0.2">
      <c r="C73" s="56"/>
      <c r="D73" s="56"/>
      <c r="E73" s="104"/>
      <c r="I73" s="49">
        <f>SUM(I70:I72)</f>
        <v>1366.55</v>
      </c>
      <c r="J73" s="46"/>
      <c r="K73" s="46"/>
      <c r="L73" s="2"/>
      <c r="M73" s="2"/>
      <c r="N73" s="2"/>
    </row>
    <row r="74" spans="1:14" x14ac:dyDescent="0.2">
      <c r="C74" s="78" t="s">
        <v>575</v>
      </c>
      <c r="D74" s="48" t="s">
        <v>576</v>
      </c>
      <c r="E74" s="104"/>
      <c r="I74" s="2"/>
      <c r="J74" s="2"/>
      <c r="K74" s="2"/>
      <c r="L74" s="2"/>
      <c r="M74" s="2"/>
      <c r="N74" s="2"/>
    </row>
    <row r="75" spans="1:14" s="2" customFormat="1" x14ac:dyDescent="0.2">
      <c r="A75" s="24"/>
      <c r="B75" s="1"/>
      <c r="C75" s="47" t="s">
        <v>570</v>
      </c>
      <c r="D75" s="111">
        <v>1366.55</v>
      </c>
      <c r="E75" s="104"/>
      <c r="G75" s="1"/>
      <c r="H75" s="110" t="s">
        <v>581</v>
      </c>
      <c r="N75" s="2" t="s">
        <v>535</v>
      </c>
    </row>
    <row r="76" spans="1:14" s="2" customFormat="1" x14ac:dyDescent="0.2">
      <c r="A76" s="24"/>
      <c r="B76" s="1"/>
      <c r="C76" s="47" t="s">
        <v>931</v>
      </c>
      <c r="D76" s="111">
        <v>12.84</v>
      </c>
      <c r="E76" s="104"/>
      <c r="G76" s="1"/>
      <c r="H76" s="110" t="s">
        <v>580</v>
      </c>
    </row>
    <row r="77" spans="1:14" s="2" customFormat="1" x14ac:dyDescent="0.2">
      <c r="A77" s="24"/>
      <c r="B77" s="1"/>
      <c r="C77" s="47" t="s">
        <v>572</v>
      </c>
      <c r="D77" s="111">
        <f>+D97/100000</f>
        <v>29.691867999999999</v>
      </c>
      <c r="E77" s="104"/>
      <c r="G77" s="1"/>
      <c r="H77" s="90" t="s">
        <v>587</v>
      </c>
    </row>
    <row r="78" spans="1:14" s="2" customFormat="1" x14ac:dyDescent="0.2">
      <c r="A78" s="24"/>
      <c r="B78" s="1"/>
      <c r="C78" s="108" t="s">
        <v>578</v>
      </c>
      <c r="D78" s="48">
        <f>SUM(D75:D77)</f>
        <v>1409.0818679999998</v>
      </c>
      <c r="E78" s="104"/>
      <c r="G78" s="1"/>
    </row>
    <row r="79" spans="1:14" s="2" customFormat="1" x14ac:dyDescent="0.2">
      <c r="A79" s="24"/>
      <c r="B79" s="1"/>
      <c r="C79" s="47"/>
      <c r="D79" s="107"/>
      <c r="E79" s="104"/>
      <c r="G79" s="1"/>
    </row>
    <row r="80" spans="1:14" s="2" customFormat="1" x14ac:dyDescent="0.2">
      <c r="A80" s="24"/>
      <c r="B80" s="1"/>
      <c r="C80" s="47" t="s">
        <v>932</v>
      </c>
      <c r="D80" s="111">
        <v>207.22</v>
      </c>
      <c r="E80" s="104"/>
      <c r="G80" s="1"/>
      <c r="H80" s="110" t="s">
        <v>581</v>
      </c>
    </row>
    <row r="81" spans="1:13" s="2" customFormat="1" x14ac:dyDescent="0.2">
      <c r="A81" s="24"/>
      <c r="B81" s="1"/>
      <c r="C81" s="47" t="s">
        <v>933</v>
      </c>
      <c r="D81" s="111">
        <f>82.83-79.04</f>
        <v>3.789999999999992</v>
      </c>
      <c r="E81" s="104"/>
      <c r="G81" s="1"/>
      <c r="H81" s="110" t="s">
        <v>581</v>
      </c>
      <c r="J81" s="114" t="s">
        <v>713</v>
      </c>
    </row>
    <row r="82" spans="1:13" s="2" customFormat="1" x14ac:dyDescent="0.2">
      <c r="A82" s="24"/>
      <c r="B82" s="1"/>
      <c r="C82" s="78" t="s">
        <v>579</v>
      </c>
      <c r="D82" s="109">
        <f>D80+D81</f>
        <v>211.01</v>
      </c>
      <c r="E82" s="104"/>
      <c r="G82" s="1"/>
      <c r="I82" s="113"/>
      <c r="J82" s="113" t="s">
        <v>709</v>
      </c>
      <c r="K82" s="113" t="s">
        <v>710</v>
      </c>
      <c r="L82" s="113" t="s">
        <v>711</v>
      </c>
      <c r="M82" s="113" t="s">
        <v>712</v>
      </c>
    </row>
    <row r="83" spans="1:13" s="2" customFormat="1" x14ac:dyDescent="0.2">
      <c r="A83" s="24"/>
      <c r="B83" s="1"/>
      <c r="C83" s="105"/>
      <c r="D83" s="106"/>
      <c r="E83" s="104"/>
      <c r="G83" s="1"/>
      <c r="I83" s="113" t="s">
        <v>706</v>
      </c>
      <c r="J83" s="115"/>
      <c r="K83" s="115">
        <v>968.99</v>
      </c>
      <c r="L83" s="115">
        <v>968.99</v>
      </c>
      <c r="M83" s="113">
        <f>+J83+L83-K83</f>
        <v>0</v>
      </c>
    </row>
    <row r="84" spans="1:13" s="2" customFormat="1" x14ac:dyDescent="0.2">
      <c r="A84" s="24"/>
      <c r="B84" s="1"/>
      <c r="C84" s="78" t="s">
        <v>577</v>
      </c>
      <c r="D84" s="109">
        <f>D75+D82</f>
        <v>1577.56</v>
      </c>
      <c r="E84" s="104"/>
      <c r="G84" s="1"/>
      <c r="I84" s="113" t="s">
        <v>707</v>
      </c>
      <c r="J84" s="115">
        <v>183.1</v>
      </c>
      <c r="K84" s="115">
        <v>1973.8</v>
      </c>
      <c r="L84" s="115">
        <v>3000.03</v>
      </c>
      <c r="M84" s="113">
        <f>+J84+L84-K84</f>
        <v>1209.3300000000002</v>
      </c>
    </row>
    <row r="85" spans="1:13" s="2" customFormat="1" x14ac:dyDescent="0.2">
      <c r="A85" s="24"/>
      <c r="B85" s="1"/>
      <c r="C85" s="56"/>
      <c r="D85" s="56"/>
      <c r="E85" s="104"/>
      <c r="G85" s="1"/>
      <c r="I85" s="113" t="s">
        <v>708</v>
      </c>
      <c r="J85" s="115">
        <v>1371.02</v>
      </c>
      <c r="K85" s="115">
        <v>11707.98</v>
      </c>
      <c r="L85" s="115">
        <v>11832.96</v>
      </c>
      <c r="M85" s="113">
        <f>+J85+L85-K85</f>
        <v>1496</v>
      </c>
    </row>
    <row r="86" spans="1:13" s="2" customFormat="1" ht="38.25" x14ac:dyDescent="0.2">
      <c r="A86" s="24"/>
      <c r="B86" s="1"/>
      <c r="C86" s="79" t="str">
        <f>"Particulars ( 01-04-2021 to "&amp;TEXT(A5,"dd-mm-yyyy")&amp;" )"</f>
        <v>Particulars ( 01-04-2021 to 08-06-2023 )</v>
      </c>
      <c r="D86" s="80" t="s">
        <v>73</v>
      </c>
      <c r="E86" s="80" t="s">
        <v>74</v>
      </c>
      <c r="F86" s="81" t="s">
        <v>75</v>
      </c>
      <c r="G86" s="80" t="s">
        <v>76</v>
      </c>
      <c r="J86" s="118">
        <f>SUM(J83:J85)</f>
        <v>1554.12</v>
      </c>
      <c r="K86" s="118">
        <f>SUM(K83:K85)</f>
        <v>14650.77</v>
      </c>
      <c r="L86" s="118">
        <f>SUM(L83:L85)</f>
        <v>15801.98</v>
      </c>
      <c r="M86" s="118">
        <f>SUM(M83:M85)</f>
        <v>2705.33</v>
      </c>
    </row>
    <row r="87" spans="1:13" s="2" customFormat="1" x14ac:dyDescent="0.2">
      <c r="A87" s="24"/>
      <c r="B87" s="1"/>
      <c r="C87" s="50" t="s">
        <v>444</v>
      </c>
      <c r="D87" s="55">
        <f>+L83+L84+J84</f>
        <v>4152.1200000000008</v>
      </c>
      <c r="E87" s="55">
        <f>+K83+K84</f>
        <v>2942.79</v>
      </c>
      <c r="F87" s="55">
        <f>+D87-E87</f>
        <v>1209.3300000000008</v>
      </c>
      <c r="G87" s="55">
        <f>1500-F87</f>
        <v>290.66999999999916</v>
      </c>
      <c r="H87" s="2" t="s">
        <v>396</v>
      </c>
    </row>
    <row r="88" spans="1:13" s="2" customFormat="1" x14ac:dyDescent="0.2">
      <c r="A88" s="24"/>
      <c r="B88" s="1"/>
      <c r="C88" s="50" t="s">
        <v>71</v>
      </c>
      <c r="D88" s="55">
        <f>+J85+L85</f>
        <v>13203.98</v>
      </c>
      <c r="E88" s="55">
        <f>+K85</f>
        <v>11707.98</v>
      </c>
      <c r="F88" s="55">
        <f>+D88-E88</f>
        <v>1496</v>
      </c>
      <c r="G88" s="55">
        <f>1500+700-F88</f>
        <v>704</v>
      </c>
      <c r="H88" s="2" t="s">
        <v>396</v>
      </c>
    </row>
    <row r="89" spans="1:13" s="2" customFormat="1" x14ac:dyDescent="0.2">
      <c r="A89" s="24"/>
      <c r="B89" s="1"/>
      <c r="C89" s="14"/>
      <c r="D89" s="56"/>
      <c r="E89" s="13"/>
      <c r="G89" s="1"/>
    </row>
    <row r="90" spans="1:13" s="2" customFormat="1" x14ac:dyDescent="0.2">
      <c r="A90" s="215" t="s">
        <v>80</v>
      </c>
      <c r="B90" s="216"/>
      <c r="C90" s="216"/>
      <c r="D90" s="217"/>
      <c r="E90" s="69"/>
      <c r="F90" s="70"/>
      <c r="G90" s="1"/>
      <c r="H90" s="53"/>
    </row>
    <row r="91" spans="1:13" s="2" customFormat="1" x14ac:dyDescent="0.2">
      <c r="A91" s="71" t="s">
        <v>81</v>
      </c>
      <c r="B91" s="71"/>
      <c r="C91" s="72" t="s">
        <v>82</v>
      </c>
      <c r="D91" s="73" t="s">
        <v>83</v>
      </c>
      <c r="E91" s="69"/>
      <c r="F91" s="70"/>
      <c r="H91" s="53"/>
    </row>
    <row r="92" spans="1:13" s="2" customFormat="1" x14ac:dyDescent="0.2">
      <c r="A92" s="87">
        <v>45080</v>
      </c>
      <c r="B92" s="120" t="s">
        <v>1052</v>
      </c>
      <c r="C92" s="75" t="s">
        <v>86</v>
      </c>
      <c r="D92" s="88">
        <v>163799</v>
      </c>
      <c r="G92" s="1"/>
      <c r="L92" s="1"/>
      <c r="M92" s="1"/>
    </row>
    <row r="93" spans="1:13" s="2" customFormat="1" x14ac:dyDescent="0.2">
      <c r="A93" s="87">
        <v>45080</v>
      </c>
      <c r="B93" s="120" t="s">
        <v>1052</v>
      </c>
      <c r="C93" s="75" t="s">
        <v>86</v>
      </c>
      <c r="D93" s="88">
        <v>1695107</v>
      </c>
      <c r="G93" s="1"/>
      <c r="L93" s="1"/>
      <c r="M93" s="1"/>
    </row>
    <row r="94" spans="1:13" s="2" customFormat="1" x14ac:dyDescent="0.2">
      <c r="A94" s="87">
        <v>45082</v>
      </c>
      <c r="B94" s="120" t="s">
        <v>1052</v>
      </c>
      <c r="C94" s="75" t="s">
        <v>87</v>
      </c>
      <c r="D94" s="88">
        <v>6627</v>
      </c>
      <c r="G94" s="1"/>
      <c r="L94" s="1"/>
      <c r="M94" s="1"/>
    </row>
    <row r="95" spans="1:13" s="2" customFormat="1" x14ac:dyDescent="0.2">
      <c r="A95" s="87">
        <v>45084</v>
      </c>
      <c r="B95" s="120" t="s">
        <v>1052</v>
      </c>
      <c r="C95" s="75" t="s">
        <v>87</v>
      </c>
      <c r="D95" s="88">
        <v>618395.80000000005</v>
      </c>
      <c r="G95" s="1"/>
      <c r="L95" s="1"/>
      <c r="M95" s="1"/>
    </row>
    <row r="96" spans="1:13" s="2" customFormat="1" x14ac:dyDescent="0.2">
      <c r="A96" s="87">
        <v>45084</v>
      </c>
      <c r="B96" s="120" t="s">
        <v>1052</v>
      </c>
      <c r="C96" s="75" t="s">
        <v>271</v>
      </c>
      <c r="D96" s="88">
        <v>485258</v>
      </c>
      <c r="G96" s="1"/>
      <c r="L96" s="1"/>
      <c r="M96" s="1"/>
    </row>
    <row r="97" spans="1:13" s="2" customFormat="1" x14ac:dyDescent="0.2">
      <c r="A97" s="87"/>
      <c r="B97" s="74"/>
      <c r="C97" s="75"/>
      <c r="D97" s="51">
        <f>SUM(D92:D96)</f>
        <v>2969186.8</v>
      </c>
      <c r="F97" s="2" t="s">
        <v>396</v>
      </c>
      <c r="G97" s="1"/>
      <c r="L97" s="1"/>
      <c r="M97" s="1"/>
    </row>
    <row r="98" spans="1:13" s="2" customFormat="1" x14ac:dyDescent="0.2">
      <c r="A98" s="24"/>
      <c r="B98" s="1"/>
      <c r="C98" s="14"/>
      <c r="D98" s="56"/>
      <c r="E98" s="13"/>
      <c r="G98" s="1"/>
      <c r="L98" s="1"/>
      <c r="M98" s="1"/>
    </row>
    <row r="99" spans="1:13" s="2" customFormat="1" x14ac:dyDescent="0.2">
      <c r="A99" s="24"/>
      <c r="B99" s="1"/>
      <c r="C99" s="218" t="s">
        <v>77</v>
      </c>
      <c r="D99" s="219"/>
      <c r="E99" s="219"/>
      <c r="F99" s="220"/>
      <c r="G99" s="1"/>
      <c r="L99" s="1"/>
      <c r="M99" s="1"/>
    </row>
    <row r="100" spans="1:13" s="2" customFormat="1" x14ac:dyDescent="0.2">
      <c r="A100" s="24"/>
      <c r="B100" s="1"/>
      <c r="C100" s="50"/>
      <c r="D100" s="57" t="s">
        <v>78</v>
      </c>
      <c r="E100" s="58" t="s">
        <v>79</v>
      </c>
      <c r="F100" s="57" t="s">
        <v>72</v>
      </c>
      <c r="G100" s="1"/>
      <c r="I100" s="1"/>
      <c r="J100" s="1"/>
      <c r="K100" s="1"/>
      <c r="L100" s="1"/>
      <c r="M100" s="1"/>
    </row>
    <row r="101" spans="1:13" s="2" customFormat="1" x14ac:dyDescent="0.2">
      <c r="A101" s="24"/>
      <c r="B101" s="1"/>
      <c r="C101" s="59" t="str">
        <f>"01-06-2023 to "&amp;TEXT(A5-2,"dd-mm-yyyy")</f>
        <v>01-06-2023 to 06-06-2023</v>
      </c>
      <c r="D101" s="60">
        <v>1387.89</v>
      </c>
      <c r="E101" s="60">
        <v>58.57</v>
      </c>
      <c r="F101" s="61">
        <f>SUM(D101:E101)</f>
        <v>1446.46</v>
      </c>
      <c r="G101" s="1"/>
    </row>
    <row r="102" spans="1:13" s="2" customFormat="1" x14ac:dyDescent="0.2">
      <c r="A102" s="24"/>
      <c r="B102" s="1"/>
      <c r="C102" s="62" t="str">
        <f>TEXT(A5-1,"dd-mm-yyyy")</f>
        <v>07-06-2023</v>
      </c>
      <c r="D102" s="60">
        <v>363.51</v>
      </c>
      <c r="E102" s="60">
        <v>4.07</v>
      </c>
      <c r="F102" s="61">
        <f>SUM(D102:E102)</f>
        <v>367.58</v>
      </c>
      <c r="G102" s="54"/>
      <c r="I102" s="1"/>
      <c r="J102" s="1"/>
      <c r="K102" s="1"/>
      <c r="L102" s="1"/>
      <c r="M102" s="1"/>
    </row>
    <row r="103" spans="1:13" s="2" customFormat="1" ht="13.5" thickBot="1" x14ac:dyDescent="0.25">
      <c r="A103" s="24"/>
      <c r="B103" s="1"/>
      <c r="C103" s="63" t="str">
        <f>"01-06-2023 to "&amp;TEXT(A5-1,"dd-mm-yyyy")</f>
        <v>01-06-2023 to 07-06-2023</v>
      </c>
      <c r="D103" s="64">
        <f>SUM(D101:D102)</f>
        <v>1751.4</v>
      </c>
      <c r="E103" s="64">
        <f>SUM(E101:E102)</f>
        <v>62.64</v>
      </c>
      <c r="F103" s="64">
        <f>SUM(F101:F102)</f>
        <v>1814.04</v>
      </c>
      <c r="G103" s="54"/>
      <c r="I103" s="1"/>
      <c r="J103" s="1"/>
      <c r="K103" s="1"/>
      <c r="L103" s="1"/>
      <c r="M103" s="1"/>
    </row>
    <row r="104" spans="1:13" s="2" customFormat="1" ht="13.5" thickTop="1" x14ac:dyDescent="0.2">
      <c r="A104" s="24"/>
      <c r="B104" s="1"/>
      <c r="C104" s="62"/>
      <c r="D104" s="65"/>
      <c r="E104" s="66"/>
      <c r="F104" s="67"/>
      <c r="G104" s="54"/>
      <c r="I104" s="1"/>
      <c r="J104" s="1"/>
      <c r="K104" s="1"/>
      <c r="L104" s="1"/>
      <c r="M104" s="1"/>
    </row>
    <row r="105" spans="1:13" s="2" customFormat="1" x14ac:dyDescent="0.2">
      <c r="A105" s="24"/>
      <c r="B105" s="1"/>
      <c r="C105" s="62" t="str">
        <f>"01-04-2023 to " &amp;C102</f>
        <v>01-04-2023 to 07-06-2023</v>
      </c>
      <c r="D105" s="68">
        <f>+D103+9222.31</f>
        <v>10973.71</v>
      </c>
      <c r="E105" s="68">
        <f>+E103+906.58</f>
        <v>969.22</v>
      </c>
      <c r="F105" s="68">
        <f>+F103+10128.88</f>
        <v>11942.919999999998</v>
      </c>
      <c r="G105" s="54"/>
      <c r="I105" s="1"/>
      <c r="J105" s="1"/>
      <c r="K105" s="1"/>
      <c r="L105" s="1"/>
      <c r="M105" s="1"/>
    </row>
    <row r="106" spans="1:13" x14ac:dyDescent="0.2">
      <c r="C106" s="52"/>
      <c r="D106" s="85"/>
      <c r="E106" s="53"/>
      <c r="F106" s="53"/>
      <c r="G106" s="54"/>
      <c r="H106" s="2" t="s">
        <v>396</v>
      </c>
    </row>
    <row r="107" spans="1:13" s="2" customFormat="1" x14ac:dyDescent="0.2">
      <c r="A107" s="24"/>
      <c r="B107" s="1"/>
      <c r="C107" s="52"/>
      <c r="D107" s="85"/>
      <c r="E107" s="53"/>
      <c r="F107" s="53"/>
      <c r="G107" s="54"/>
      <c r="H107" s="53"/>
    </row>
    <row r="108" spans="1:13" x14ac:dyDescent="0.2">
      <c r="C108" s="52"/>
      <c r="D108" s="85"/>
      <c r="E108" s="53"/>
      <c r="F108" s="53"/>
      <c r="G108" s="54"/>
      <c r="H108" s="53" t="s">
        <v>396</v>
      </c>
    </row>
    <row r="109" spans="1:13" x14ac:dyDescent="0.2">
      <c r="C109" s="52"/>
      <c r="D109" s="85"/>
      <c r="E109" s="53"/>
      <c r="F109" s="53"/>
      <c r="G109" s="54"/>
      <c r="H109" s="53" t="s">
        <v>396</v>
      </c>
      <c r="J109" s="42"/>
    </row>
    <row r="110" spans="1:13" x14ac:dyDescent="0.2">
      <c r="G110" s="54"/>
      <c r="H110" s="53"/>
      <c r="I110" s="101"/>
    </row>
    <row r="111" spans="1:13" x14ac:dyDescent="0.2">
      <c r="G111" s="54"/>
      <c r="H111" s="53"/>
    </row>
    <row r="112" spans="1:13" x14ac:dyDescent="0.2">
      <c r="G112" s="54"/>
      <c r="H112" s="53"/>
    </row>
    <row r="113" spans="8:8" x14ac:dyDescent="0.2">
      <c r="H113" s="53"/>
    </row>
  </sheetData>
  <mergeCells count="6">
    <mergeCell ref="C99:F99"/>
    <mergeCell ref="A1:G1"/>
    <mergeCell ref="A3:F3"/>
    <mergeCell ref="A9:F9"/>
    <mergeCell ref="A28:F28"/>
    <mergeCell ref="A90:D90"/>
  </mergeCells>
  <conditionalFormatting sqref="G87:G88">
    <cfRule type="cellIs" dxfId="506" priority="2" operator="lessThan">
      <formula>0</formula>
    </cfRule>
  </conditionalFormatting>
  <conditionalFormatting sqref="C30">
    <cfRule type="duplicateValues" dxfId="505" priority="3"/>
  </conditionalFormatting>
  <conditionalFormatting sqref="C60:C67 C31:C58">
    <cfRule type="duplicateValues" dxfId="504" priority="531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347">
    <pageSetUpPr fitToPage="1"/>
  </sheetPr>
  <dimension ref="A1:N87"/>
  <sheetViews>
    <sheetView topLeftCell="A43" zoomScaleNormal="100" workbookViewId="0">
      <selection activeCell="C46" sqref="C46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48.8554687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1065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45086</v>
      </c>
      <c r="B5" s="9" t="s">
        <v>6</v>
      </c>
      <c r="C5" s="10" t="s">
        <v>7</v>
      </c>
      <c r="D5" s="11"/>
      <c r="E5" s="12">
        <v>242816.70000000019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242816.70000000019</v>
      </c>
      <c r="F6" s="16">
        <f>F5</f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+E6-F6</f>
        <v>242816.70000000019</v>
      </c>
      <c r="F7" s="22"/>
      <c r="G7" s="23"/>
      <c r="H7" s="112"/>
      <c r="I7" s="112"/>
      <c r="J7" s="13"/>
    </row>
    <row r="8" spans="1:10" ht="12.75" customHeight="1" x14ac:dyDescent="0.4">
      <c r="H8" s="112"/>
      <c r="I8" s="112"/>
    </row>
    <row r="9" spans="1:10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12"/>
    </row>
    <row r="10" spans="1:10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12"/>
    </row>
    <row r="11" spans="1:10" s="2" customFormat="1" ht="14.25" customHeight="1" x14ac:dyDescent="0.2">
      <c r="A11" s="127">
        <v>45086</v>
      </c>
      <c r="B11" s="9" t="s">
        <v>6</v>
      </c>
      <c r="C11" s="10" t="s">
        <v>7</v>
      </c>
      <c r="D11" s="11"/>
      <c r="F11" s="12">
        <v>18837966.139999997</v>
      </c>
      <c r="G11" s="1"/>
      <c r="H11" s="130"/>
      <c r="I11" s="130"/>
    </row>
    <row r="12" spans="1:10" s="2" customFormat="1" ht="14.25" customHeight="1" x14ac:dyDescent="0.2">
      <c r="A12" s="127">
        <v>45086</v>
      </c>
      <c r="B12" s="9" t="s">
        <v>6</v>
      </c>
      <c r="C12" s="10" t="s">
        <v>142</v>
      </c>
      <c r="D12" s="11" t="s">
        <v>13</v>
      </c>
      <c r="E12" s="124">
        <v>272725</v>
      </c>
      <c r="F12" s="12"/>
      <c r="G12" s="1"/>
      <c r="H12" s="130"/>
      <c r="I12" s="130"/>
    </row>
    <row r="13" spans="1:10" s="2" customFormat="1" ht="14.25" customHeight="1" x14ac:dyDescent="0.2">
      <c r="A13" s="127">
        <v>45086</v>
      </c>
      <c r="B13" s="9" t="s">
        <v>6</v>
      </c>
      <c r="C13" s="10" t="s">
        <v>158</v>
      </c>
      <c r="D13" s="11" t="s">
        <v>13</v>
      </c>
      <c r="E13" s="124">
        <v>645559</v>
      </c>
      <c r="F13" s="12"/>
      <c r="G13" s="1"/>
      <c r="H13" s="130"/>
      <c r="I13" s="130"/>
    </row>
    <row r="14" spans="1:10" s="2" customFormat="1" ht="14.25" customHeight="1" x14ac:dyDescent="0.2">
      <c r="A14" s="127">
        <v>45086</v>
      </c>
      <c r="B14" s="9" t="s">
        <v>11</v>
      </c>
      <c r="C14" s="10" t="s">
        <v>173</v>
      </c>
      <c r="D14" s="11" t="s">
        <v>13</v>
      </c>
      <c r="E14" s="124">
        <v>1000000</v>
      </c>
      <c r="F14" s="12"/>
      <c r="G14" s="1"/>
      <c r="H14" s="130"/>
      <c r="I14" s="130"/>
    </row>
    <row r="15" spans="1:10" s="2" customFormat="1" ht="14.25" customHeight="1" x14ac:dyDescent="0.2">
      <c r="A15" s="127">
        <v>45086</v>
      </c>
      <c r="B15" s="9" t="s">
        <v>11</v>
      </c>
      <c r="C15" s="10" t="s">
        <v>21</v>
      </c>
      <c r="D15" s="11" t="s">
        <v>13</v>
      </c>
      <c r="E15" s="124">
        <v>400000</v>
      </c>
      <c r="F15" s="12"/>
      <c r="G15" s="1"/>
      <c r="H15" s="130"/>
      <c r="I15" s="130"/>
    </row>
    <row r="16" spans="1:10" s="2" customFormat="1" ht="14.25" customHeight="1" x14ac:dyDescent="0.2">
      <c r="A16" s="127">
        <v>45086</v>
      </c>
      <c r="B16" s="9" t="s">
        <v>11</v>
      </c>
      <c r="C16" s="10" t="s">
        <v>1064</v>
      </c>
      <c r="D16" s="11" t="s">
        <v>29</v>
      </c>
      <c r="E16" s="124"/>
      <c r="F16" s="12">
        <v>15014.06</v>
      </c>
      <c r="G16" s="1"/>
      <c r="H16" s="130"/>
      <c r="I16" s="130"/>
    </row>
    <row r="17" spans="1:10" s="2" customFormat="1" ht="12.75" customHeight="1" x14ac:dyDescent="0.4">
      <c r="D17" s="15" t="s">
        <v>8</v>
      </c>
      <c r="E17" s="16">
        <f>SUM(E12:E16)</f>
        <v>2318284</v>
      </c>
      <c r="F17" s="16">
        <f>SUM(F11:F16)</f>
        <v>18852980.199999996</v>
      </c>
      <c r="G17" s="1"/>
      <c r="H17" s="112"/>
      <c r="I17" s="112"/>
    </row>
    <row r="18" spans="1:10" s="2" customFormat="1" ht="12.75" customHeight="1" x14ac:dyDescent="0.4">
      <c r="A18" s="17"/>
      <c r="B18" s="18"/>
      <c r="C18" s="96" t="s">
        <v>9</v>
      </c>
      <c r="D18" s="20"/>
      <c r="E18" s="21">
        <f>+F17-E17</f>
        <v>16534696.199999996</v>
      </c>
      <c r="G18" s="23"/>
      <c r="H18" s="112"/>
      <c r="I18" s="112"/>
      <c r="J18" s="13"/>
    </row>
    <row r="19" spans="1:10" s="2" customFormat="1" ht="12.75" customHeight="1" x14ac:dyDescent="0.4">
      <c r="A19" s="24"/>
      <c r="B19" s="1"/>
      <c r="C19" s="14"/>
      <c r="D19" s="25"/>
      <c r="G19" s="23"/>
      <c r="H19" s="112"/>
      <c r="I19" s="112"/>
      <c r="J19" s="13"/>
    </row>
    <row r="20" spans="1:10" s="2" customFormat="1" ht="21.75" customHeight="1" x14ac:dyDescent="0.4">
      <c r="A20" s="214" t="s">
        <v>10</v>
      </c>
      <c r="B20" s="214"/>
      <c r="C20" s="214"/>
      <c r="D20" s="214"/>
      <c r="E20" s="214"/>
      <c r="F20" s="214"/>
      <c r="G20" s="13"/>
      <c r="H20" s="112"/>
      <c r="I20" s="112"/>
      <c r="J20" s="13"/>
    </row>
    <row r="21" spans="1:10" s="2" customFormat="1" ht="12.75" customHeight="1" x14ac:dyDescent="0.4">
      <c r="A21" s="26" t="s">
        <v>1</v>
      </c>
      <c r="B21" s="27" t="s">
        <v>2</v>
      </c>
      <c r="C21" s="5"/>
      <c r="D21" s="6" t="s">
        <v>3</v>
      </c>
      <c r="E21" s="7" t="s">
        <v>4</v>
      </c>
      <c r="F21" s="7" t="s">
        <v>5</v>
      </c>
      <c r="G21" s="23"/>
      <c r="H21" s="112"/>
      <c r="I21" s="112"/>
      <c r="J21" s="13"/>
    </row>
    <row r="22" spans="1:10" s="2" customFormat="1" ht="12.75" customHeight="1" x14ac:dyDescent="0.2">
      <c r="A22" s="127">
        <v>45086</v>
      </c>
      <c r="B22" s="128" t="s">
        <v>11</v>
      </c>
      <c r="C22" s="29" t="s">
        <v>7</v>
      </c>
      <c r="D22" s="25"/>
      <c r="E22" s="31"/>
      <c r="F22" s="2">
        <v>279191210.87999982</v>
      </c>
      <c r="G22" s="30"/>
      <c r="I22" s="13"/>
      <c r="J22" s="13"/>
    </row>
    <row r="23" spans="1:10" s="70" customFormat="1" ht="12.75" customHeight="1" x14ac:dyDescent="0.2">
      <c r="A23" s="127">
        <v>45086</v>
      </c>
      <c r="B23" s="128" t="s">
        <v>6</v>
      </c>
      <c r="C23" s="76" t="s">
        <v>271</v>
      </c>
      <c r="D23" s="125" t="s">
        <v>13</v>
      </c>
      <c r="E23" s="129">
        <v>43324</v>
      </c>
      <c r="G23" s="30"/>
      <c r="I23" s="69"/>
      <c r="J23" s="69"/>
    </row>
    <row r="24" spans="1:10" s="70" customFormat="1" ht="12.75" customHeight="1" x14ac:dyDescent="0.2">
      <c r="A24" s="127">
        <v>45086</v>
      </c>
      <c r="B24" s="128" t="s">
        <v>6</v>
      </c>
      <c r="C24" s="76" t="s">
        <v>785</v>
      </c>
      <c r="D24" s="125" t="s">
        <v>13</v>
      </c>
      <c r="E24" s="129">
        <v>8356533</v>
      </c>
      <c r="G24" s="30"/>
      <c r="I24" s="69"/>
      <c r="J24" s="69"/>
    </row>
    <row r="25" spans="1:10" s="70" customFormat="1" ht="12.75" customHeight="1" x14ac:dyDescent="0.2">
      <c r="A25" s="127">
        <v>45086</v>
      </c>
      <c r="B25" s="128" t="s">
        <v>6</v>
      </c>
      <c r="C25" s="76" t="s">
        <v>788</v>
      </c>
      <c r="D25" s="126" t="s">
        <v>13</v>
      </c>
      <c r="E25" s="129">
        <v>700000</v>
      </c>
      <c r="G25" s="30"/>
      <c r="I25" s="69"/>
      <c r="J25" s="69"/>
    </row>
    <row r="26" spans="1:10" s="70" customFormat="1" ht="12.75" customHeight="1" x14ac:dyDescent="0.2">
      <c r="A26" s="127">
        <v>45086</v>
      </c>
      <c r="B26" s="128" t="s">
        <v>6</v>
      </c>
      <c r="C26" s="76" t="s">
        <v>316</v>
      </c>
      <c r="D26" s="126" t="s">
        <v>13</v>
      </c>
      <c r="E26" s="129">
        <v>215609</v>
      </c>
      <c r="G26" s="30"/>
      <c r="I26" s="69"/>
      <c r="J26" s="69"/>
    </row>
    <row r="27" spans="1:10" s="70" customFormat="1" ht="12.75" customHeight="1" x14ac:dyDescent="0.2">
      <c r="A27" s="127">
        <v>45086</v>
      </c>
      <c r="B27" s="128" t="s">
        <v>6</v>
      </c>
      <c r="C27" s="76" t="s">
        <v>803</v>
      </c>
      <c r="D27" s="126" t="s">
        <v>13</v>
      </c>
      <c r="E27" s="129">
        <v>24413</v>
      </c>
      <c r="G27" s="30"/>
      <c r="I27" s="69"/>
      <c r="J27" s="69"/>
    </row>
    <row r="28" spans="1:10" s="70" customFormat="1" ht="12.75" customHeight="1" x14ac:dyDescent="0.2">
      <c r="A28" s="127">
        <v>45086</v>
      </c>
      <c r="B28" s="128" t="s">
        <v>6</v>
      </c>
      <c r="C28" s="76" t="s">
        <v>105</v>
      </c>
      <c r="D28" s="126" t="s">
        <v>13</v>
      </c>
      <c r="E28" s="129">
        <v>42799</v>
      </c>
      <c r="G28" s="30"/>
      <c r="I28" s="69"/>
      <c r="J28" s="69"/>
    </row>
    <row r="29" spans="1:10" s="2" customFormat="1" ht="12.75" customHeight="1" x14ac:dyDescent="0.2">
      <c r="A29" s="127">
        <v>45086</v>
      </c>
      <c r="B29" s="128" t="s">
        <v>11</v>
      </c>
      <c r="C29" s="76" t="s">
        <v>15</v>
      </c>
      <c r="D29" s="116" t="s">
        <v>29</v>
      </c>
      <c r="E29" s="31"/>
      <c r="F29" s="2">
        <v>151138.76999999999</v>
      </c>
      <c r="G29" s="30"/>
      <c r="I29" s="13"/>
      <c r="J29" s="13"/>
    </row>
    <row r="30" spans="1:10" s="2" customFormat="1" ht="12.75" customHeight="1" x14ac:dyDescent="0.2">
      <c r="A30" s="127">
        <v>45086</v>
      </c>
      <c r="B30" s="128" t="s">
        <v>11</v>
      </c>
      <c r="C30" s="76" t="s">
        <v>64</v>
      </c>
      <c r="D30" s="116" t="s">
        <v>29</v>
      </c>
      <c r="E30" s="31"/>
      <c r="F30" s="2">
        <v>4732.9799999999996</v>
      </c>
      <c r="G30" s="30"/>
      <c r="I30" s="13"/>
      <c r="J30" s="13"/>
    </row>
    <row r="31" spans="1:10" s="2" customFormat="1" ht="12.75" customHeight="1" x14ac:dyDescent="0.2">
      <c r="A31" s="127">
        <v>45086</v>
      </c>
      <c r="B31" s="128" t="s">
        <v>11</v>
      </c>
      <c r="C31" s="76" t="s">
        <v>123</v>
      </c>
      <c r="D31" s="116" t="s">
        <v>29</v>
      </c>
      <c r="E31" s="31"/>
      <c r="F31" s="2">
        <v>38274</v>
      </c>
      <c r="G31" s="30"/>
      <c r="I31" s="13"/>
      <c r="J31" s="13"/>
    </row>
    <row r="32" spans="1:10" s="2" customFormat="1" ht="12.75" customHeight="1" x14ac:dyDescent="0.2">
      <c r="A32" s="127">
        <v>45086</v>
      </c>
      <c r="B32" s="128" t="s">
        <v>11</v>
      </c>
      <c r="C32" s="76" t="s">
        <v>34</v>
      </c>
      <c r="D32" s="116" t="s">
        <v>29</v>
      </c>
      <c r="E32" s="31"/>
      <c r="F32" s="2">
        <v>205000</v>
      </c>
      <c r="G32" s="30"/>
      <c r="I32" s="13"/>
      <c r="J32" s="13"/>
    </row>
    <row r="33" spans="1:14" s="2" customFormat="1" ht="12.75" customHeight="1" x14ac:dyDescent="0.2">
      <c r="A33" s="127">
        <v>45086</v>
      </c>
      <c r="B33" s="128" t="s">
        <v>11</v>
      </c>
      <c r="C33" s="76" t="s">
        <v>537</v>
      </c>
      <c r="D33" s="116" t="s">
        <v>29</v>
      </c>
      <c r="E33" s="31"/>
      <c r="F33" s="2">
        <v>228664</v>
      </c>
      <c r="G33" s="30"/>
      <c r="I33" s="13"/>
      <c r="J33" s="13"/>
    </row>
    <row r="34" spans="1:14" s="2" customFormat="1" ht="12.75" customHeight="1" x14ac:dyDescent="0.2">
      <c r="A34" s="127">
        <v>45086</v>
      </c>
      <c r="B34" s="128" t="s">
        <v>11</v>
      </c>
      <c r="C34" s="76" t="s">
        <v>294</v>
      </c>
      <c r="D34" s="116" t="s">
        <v>29</v>
      </c>
      <c r="E34" s="31"/>
      <c r="F34" s="2">
        <v>89208</v>
      </c>
      <c r="G34" s="30"/>
      <c r="I34" s="13"/>
      <c r="J34" s="13"/>
    </row>
    <row r="35" spans="1:14" s="2" customFormat="1" ht="12.75" customHeight="1" x14ac:dyDescent="0.2">
      <c r="A35" s="127">
        <v>45086</v>
      </c>
      <c r="B35" s="128" t="s">
        <v>11</v>
      </c>
      <c r="C35" s="76" t="s">
        <v>721</v>
      </c>
      <c r="D35" s="116" t="s">
        <v>29</v>
      </c>
      <c r="E35" s="31"/>
      <c r="F35" s="2">
        <v>3414</v>
      </c>
      <c r="G35" s="30"/>
      <c r="I35" s="13"/>
      <c r="J35" s="13"/>
    </row>
    <row r="36" spans="1:14" s="2" customFormat="1" ht="12.75" customHeight="1" x14ac:dyDescent="0.2">
      <c r="A36" s="127">
        <v>45086</v>
      </c>
      <c r="B36" s="128" t="s">
        <v>11</v>
      </c>
      <c r="C36" s="76" t="s">
        <v>1063</v>
      </c>
      <c r="D36" s="116" t="s">
        <v>29</v>
      </c>
      <c r="E36" s="31"/>
      <c r="F36" s="2">
        <v>40732</v>
      </c>
      <c r="G36" s="30"/>
      <c r="I36" s="13"/>
      <c r="J36" s="13"/>
    </row>
    <row r="37" spans="1:14" s="2" customFormat="1" ht="12.75" customHeight="1" x14ac:dyDescent="0.2">
      <c r="A37" s="127">
        <v>45086</v>
      </c>
      <c r="B37" s="128" t="s">
        <v>11</v>
      </c>
      <c r="C37" s="76" t="s">
        <v>870</v>
      </c>
      <c r="D37" s="116" t="s">
        <v>29</v>
      </c>
      <c r="E37" s="31"/>
      <c r="F37" s="2">
        <v>15205</v>
      </c>
      <c r="G37" s="30"/>
      <c r="I37" s="13"/>
      <c r="J37" s="13"/>
    </row>
    <row r="38" spans="1:14" s="2" customFormat="1" ht="12.75" customHeight="1" x14ac:dyDescent="0.2">
      <c r="A38" s="127">
        <v>45086</v>
      </c>
      <c r="B38" s="128" t="s">
        <v>11</v>
      </c>
      <c r="C38" s="76" t="s">
        <v>51</v>
      </c>
      <c r="D38" s="116" t="s">
        <v>29</v>
      </c>
      <c r="E38" s="31"/>
      <c r="F38" s="2">
        <v>133947</v>
      </c>
      <c r="G38" s="30"/>
      <c r="I38" s="13"/>
      <c r="J38" s="13"/>
    </row>
    <row r="39" spans="1:14" s="2" customFormat="1" ht="12.75" customHeight="1" x14ac:dyDescent="0.2">
      <c r="A39" s="127">
        <v>45086</v>
      </c>
      <c r="B39" s="128" t="s">
        <v>11</v>
      </c>
      <c r="C39" s="76" t="s">
        <v>203</v>
      </c>
      <c r="D39" s="116" t="s">
        <v>29</v>
      </c>
      <c r="F39" s="124">
        <v>19931</v>
      </c>
      <c r="G39" s="30"/>
      <c r="I39" s="13"/>
      <c r="J39" s="13"/>
    </row>
    <row r="40" spans="1:14" s="2" customFormat="1" ht="12.75" customHeight="1" x14ac:dyDescent="0.2">
      <c r="A40" s="127">
        <v>45086</v>
      </c>
      <c r="B40" s="128" t="s">
        <v>11</v>
      </c>
      <c r="C40" s="76" t="s">
        <v>63</v>
      </c>
      <c r="D40" s="116" t="s">
        <v>29</v>
      </c>
      <c r="E40" s="31"/>
      <c r="F40" s="2">
        <v>1750000</v>
      </c>
      <c r="G40" s="30"/>
      <c r="I40" s="13"/>
      <c r="J40" s="13"/>
    </row>
    <row r="41" spans="1:14" s="2" customFormat="1" ht="12.75" customHeight="1" x14ac:dyDescent="0.2">
      <c r="A41" s="127">
        <v>45086</v>
      </c>
      <c r="B41" s="128" t="s">
        <v>11</v>
      </c>
      <c r="C41" s="76" t="s">
        <v>57</v>
      </c>
      <c r="D41" s="116" t="s">
        <v>29</v>
      </c>
      <c r="E41" s="31"/>
      <c r="F41" s="2">
        <v>12500000</v>
      </c>
      <c r="G41" s="30"/>
      <c r="I41" s="13"/>
      <c r="J41" s="13"/>
    </row>
    <row r="42" spans="1:14" s="2" customFormat="1" ht="12.75" customHeight="1" x14ac:dyDescent="0.25">
      <c r="A42" s="32"/>
      <c r="B42" s="33"/>
      <c r="C42" s="14"/>
      <c r="D42" s="34"/>
      <c r="E42" s="16">
        <f>SUM(E22:E41)</f>
        <v>9382678</v>
      </c>
      <c r="F42" s="16">
        <f>SUM(F22:F41)</f>
        <v>294371457.62999982</v>
      </c>
      <c r="G42" s="30"/>
      <c r="H42" s="1"/>
      <c r="I42" s="39">
        <v>284988779.64999998</v>
      </c>
      <c r="K42" s="92">
        <f>E43-I42</f>
        <v>-2.0000159740447998E-2</v>
      </c>
      <c r="L42" s="41"/>
      <c r="M42" s="42"/>
    </row>
    <row r="43" spans="1:14" s="2" customFormat="1" ht="12.75" customHeight="1" x14ac:dyDescent="0.2">
      <c r="A43" s="36"/>
      <c r="B43" s="28" t="s">
        <v>11</v>
      </c>
      <c r="C43" s="19" t="s">
        <v>65</v>
      </c>
      <c r="D43" s="37"/>
      <c r="E43" s="38">
        <f>F42-E42</f>
        <v>284988779.62999982</v>
      </c>
      <c r="F43" s="22"/>
      <c r="G43" s="1"/>
      <c r="H43" s="1"/>
      <c r="J43" s="1"/>
      <c r="K43" s="1"/>
      <c r="L43" s="1"/>
      <c r="M43" s="1"/>
    </row>
    <row r="44" spans="1:14" s="2" customFormat="1" ht="12.75" customHeight="1" x14ac:dyDescent="0.2">
      <c r="A44" s="36"/>
      <c r="B44" s="28" t="s">
        <v>66</v>
      </c>
      <c r="C44" s="43" t="s">
        <v>67</v>
      </c>
      <c r="D44" s="43"/>
      <c r="E44" s="12">
        <v>59416310</v>
      </c>
      <c r="F44" s="22"/>
      <c r="G44" s="1"/>
      <c r="H44" s="40"/>
      <c r="I44" s="45">
        <v>1404.21</v>
      </c>
      <c r="J44" s="46"/>
      <c r="K44" s="46"/>
      <c r="L44" s="13"/>
    </row>
    <row r="45" spans="1:14" s="2" customFormat="1" ht="12.75" customHeight="1" x14ac:dyDescent="0.25">
      <c r="A45" s="36"/>
      <c r="B45" s="28"/>
      <c r="C45" s="44" t="s">
        <v>68</v>
      </c>
      <c r="D45" s="43"/>
      <c r="E45" s="7">
        <f>E43+E44</f>
        <v>344405089.62999982</v>
      </c>
      <c r="F45" s="22"/>
      <c r="G45" s="1"/>
      <c r="H45" s="103" t="s">
        <v>69</v>
      </c>
      <c r="I45" s="45">
        <v>-11.57</v>
      </c>
      <c r="J45" s="46"/>
      <c r="K45" s="46"/>
      <c r="N45" s="1"/>
    </row>
    <row r="46" spans="1:14" s="2" customFormat="1" x14ac:dyDescent="0.2">
      <c r="A46" s="24"/>
      <c r="B46" s="1"/>
      <c r="C46" s="14"/>
      <c r="D46" s="25"/>
      <c r="E46" s="1"/>
      <c r="H46" s="35" t="s">
        <v>70</v>
      </c>
      <c r="I46" s="45">
        <v>1.28</v>
      </c>
      <c r="J46" s="46">
        <f>+I47-D49</f>
        <v>0</v>
      </c>
      <c r="M46" s="2">
        <v>19.57</v>
      </c>
      <c r="N46" s="1"/>
    </row>
    <row r="47" spans="1:14" x14ac:dyDescent="0.2">
      <c r="C47" s="56"/>
      <c r="D47" s="56"/>
      <c r="E47" s="104"/>
      <c r="I47" s="49">
        <f>SUM(I44:I46)</f>
        <v>1393.92</v>
      </c>
      <c r="J47" s="46"/>
      <c r="K47" s="46"/>
      <c r="L47" s="2"/>
      <c r="M47" s="2"/>
      <c r="N47" s="2"/>
    </row>
    <row r="48" spans="1:14" x14ac:dyDescent="0.2">
      <c r="C48" s="78" t="s">
        <v>575</v>
      </c>
      <c r="D48" s="48" t="s">
        <v>576</v>
      </c>
      <c r="E48" s="104"/>
      <c r="I48" s="2"/>
      <c r="J48" s="2"/>
      <c r="K48" s="2"/>
      <c r="L48" s="2"/>
      <c r="M48" s="2"/>
      <c r="N48" s="2"/>
    </row>
    <row r="49" spans="1:14" s="2" customFormat="1" x14ac:dyDescent="0.2">
      <c r="A49" s="24"/>
      <c r="B49" s="1"/>
      <c r="C49" s="47" t="s">
        <v>570</v>
      </c>
      <c r="D49" s="111">
        <v>1393.92</v>
      </c>
      <c r="E49" s="104"/>
      <c r="G49" s="1"/>
      <c r="H49" s="110" t="s">
        <v>581</v>
      </c>
      <c r="N49" s="2" t="s">
        <v>535</v>
      </c>
    </row>
    <row r="50" spans="1:14" s="2" customFormat="1" x14ac:dyDescent="0.2">
      <c r="A50" s="24"/>
      <c r="B50" s="1"/>
      <c r="C50" s="47" t="s">
        <v>931</v>
      </c>
      <c r="D50" s="111">
        <v>12.84</v>
      </c>
      <c r="E50" s="104"/>
      <c r="G50" s="1"/>
      <c r="H50" s="110" t="s">
        <v>580</v>
      </c>
    </row>
    <row r="51" spans="1:14" s="2" customFormat="1" x14ac:dyDescent="0.2">
      <c r="A51" s="24"/>
      <c r="B51" s="1"/>
      <c r="C51" s="47" t="s">
        <v>572</v>
      </c>
      <c r="D51" s="111">
        <f>+D71/100000</f>
        <v>29.691867999999999</v>
      </c>
      <c r="E51" s="104"/>
      <c r="G51" s="1"/>
      <c r="H51" s="90" t="s">
        <v>587</v>
      </c>
    </row>
    <row r="52" spans="1:14" s="2" customFormat="1" x14ac:dyDescent="0.2">
      <c r="A52" s="24"/>
      <c r="B52" s="1"/>
      <c r="C52" s="108" t="s">
        <v>578</v>
      </c>
      <c r="D52" s="48">
        <f>SUM(D49:D51)</f>
        <v>1436.4518680000001</v>
      </c>
      <c r="E52" s="104"/>
      <c r="G52" s="1"/>
    </row>
    <row r="53" spans="1:14" s="2" customFormat="1" x14ac:dyDescent="0.2">
      <c r="A53" s="24"/>
      <c r="B53" s="1"/>
      <c r="C53" s="47"/>
      <c r="D53" s="107"/>
      <c r="E53" s="104"/>
      <c r="G53" s="1"/>
    </row>
    <row r="54" spans="1:14" s="2" customFormat="1" x14ac:dyDescent="0.2">
      <c r="A54" s="24"/>
      <c r="B54" s="1"/>
      <c r="C54" s="47" t="s">
        <v>932</v>
      </c>
      <c r="D54" s="111">
        <v>290.79000000000002</v>
      </c>
      <c r="E54" s="104"/>
      <c r="G54" s="1"/>
      <c r="H54" s="110" t="s">
        <v>581</v>
      </c>
    </row>
    <row r="55" spans="1:14" s="2" customFormat="1" x14ac:dyDescent="0.2">
      <c r="A55" s="24"/>
      <c r="B55" s="1"/>
      <c r="C55" s="47" t="s">
        <v>933</v>
      </c>
      <c r="D55" s="111">
        <f>84.68-79.04</f>
        <v>5.6400000000000006</v>
      </c>
      <c r="E55" s="104"/>
      <c r="G55" s="1"/>
      <c r="H55" s="110" t="s">
        <v>581</v>
      </c>
      <c r="J55" s="114" t="s">
        <v>713</v>
      </c>
    </row>
    <row r="56" spans="1:14" s="2" customFormat="1" x14ac:dyDescent="0.2">
      <c r="A56" s="24"/>
      <c r="B56" s="1"/>
      <c r="C56" s="78" t="s">
        <v>579</v>
      </c>
      <c r="D56" s="109">
        <f>D54+D55</f>
        <v>296.43</v>
      </c>
      <c r="E56" s="104"/>
      <c r="G56" s="1"/>
      <c r="I56" s="113"/>
      <c r="J56" s="113" t="s">
        <v>709</v>
      </c>
      <c r="K56" s="113" t="s">
        <v>710</v>
      </c>
      <c r="L56" s="113" t="s">
        <v>711</v>
      </c>
      <c r="M56" s="113" t="s">
        <v>712</v>
      </c>
    </row>
    <row r="57" spans="1:14" s="2" customFormat="1" x14ac:dyDescent="0.2">
      <c r="A57" s="24"/>
      <c r="B57" s="1"/>
      <c r="C57" s="105"/>
      <c r="D57" s="106"/>
      <c r="E57" s="104"/>
      <c r="G57" s="1"/>
      <c r="I57" s="113" t="s">
        <v>706</v>
      </c>
      <c r="J57" s="115"/>
      <c r="K57" s="115">
        <v>968.99</v>
      </c>
      <c r="L57" s="115">
        <v>968.99</v>
      </c>
      <c r="M57" s="113">
        <f>+J57+L57-K57</f>
        <v>0</v>
      </c>
    </row>
    <row r="58" spans="1:14" s="2" customFormat="1" x14ac:dyDescent="0.2">
      <c r="A58" s="24"/>
      <c r="B58" s="1"/>
      <c r="C58" s="78" t="s">
        <v>577</v>
      </c>
      <c r="D58" s="109">
        <f>D49+D56</f>
        <v>1690.3500000000001</v>
      </c>
      <c r="E58" s="104"/>
      <c r="G58" s="1"/>
      <c r="I58" s="113" t="s">
        <v>707</v>
      </c>
      <c r="J58" s="115">
        <v>183.1</v>
      </c>
      <c r="K58" s="115">
        <v>1973.8</v>
      </c>
      <c r="L58" s="115">
        <v>3083.6</v>
      </c>
      <c r="M58" s="113">
        <f>+J58+L58-K58</f>
        <v>1292.8999999999999</v>
      </c>
    </row>
    <row r="59" spans="1:14" s="2" customFormat="1" x14ac:dyDescent="0.2">
      <c r="A59" s="24"/>
      <c r="B59" s="1"/>
      <c r="C59" s="56"/>
      <c r="D59" s="56"/>
      <c r="E59" s="104"/>
      <c r="G59" s="1"/>
      <c r="I59" s="113" t="s">
        <v>708</v>
      </c>
      <c r="J59" s="115">
        <v>1371.02</v>
      </c>
      <c r="K59" s="115">
        <v>11707.98</v>
      </c>
      <c r="L59" s="115">
        <v>11834.81</v>
      </c>
      <c r="M59" s="113">
        <f>+J59+L59-K59</f>
        <v>1497.8500000000004</v>
      </c>
    </row>
    <row r="60" spans="1:14" s="2" customFormat="1" ht="38.25" x14ac:dyDescent="0.2">
      <c r="A60" s="24"/>
      <c r="B60" s="1"/>
      <c r="C60" s="79" t="str">
        <f>"Particulars ( 01-04-2021 to "&amp;TEXT(A5,"dd-mm-yyyy")&amp;" )"</f>
        <v>Particulars ( 01-04-2021 to 09-06-2023 )</v>
      </c>
      <c r="D60" s="80" t="s">
        <v>73</v>
      </c>
      <c r="E60" s="80" t="s">
        <v>74</v>
      </c>
      <c r="F60" s="81" t="s">
        <v>75</v>
      </c>
      <c r="G60" s="80" t="s">
        <v>76</v>
      </c>
      <c r="J60" s="118">
        <f>SUM(J57:J59)</f>
        <v>1554.12</v>
      </c>
      <c r="K60" s="118">
        <f>SUM(K57:K59)</f>
        <v>14650.77</v>
      </c>
      <c r="L60" s="118">
        <f>SUM(L57:L59)</f>
        <v>15887.4</v>
      </c>
      <c r="M60" s="118">
        <f>SUM(M57:M59)</f>
        <v>2790.75</v>
      </c>
    </row>
    <row r="61" spans="1:14" s="2" customFormat="1" x14ac:dyDescent="0.2">
      <c r="A61" s="24"/>
      <c r="B61" s="1"/>
      <c r="C61" s="50" t="s">
        <v>444</v>
      </c>
      <c r="D61" s="55">
        <f>+L57+L58+J58</f>
        <v>4235.6900000000005</v>
      </c>
      <c r="E61" s="55">
        <f>+K57+K58</f>
        <v>2942.79</v>
      </c>
      <c r="F61" s="55">
        <f>+D61-E61</f>
        <v>1292.9000000000005</v>
      </c>
      <c r="G61" s="55">
        <f>1500-F61</f>
        <v>207.09999999999945</v>
      </c>
      <c r="H61" s="2" t="s">
        <v>396</v>
      </c>
    </row>
    <row r="62" spans="1:14" s="2" customFormat="1" x14ac:dyDescent="0.2">
      <c r="A62" s="24"/>
      <c r="B62" s="1"/>
      <c r="C62" s="50" t="s">
        <v>71</v>
      </c>
      <c r="D62" s="55">
        <f>+J59+L59</f>
        <v>13205.83</v>
      </c>
      <c r="E62" s="55">
        <f>+K59</f>
        <v>11707.98</v>
      </c>
      <c r="F62" s="55">
        <f>+D62-E62</f>
        <v>1497.8500000000004</v>
      </c>
      <c r="G62" s="55">
        <f>1500+700-F62</f>
        <v>702.14999999999964</v>
      </c>
      <c r="H62" s="2" t="s">
        <v>396</v>
      </c>
    </row>
    <row r="63" spans="1:14" s="2" customFormat="1" x14ac:dyDescent="0.2">
      <c r="A63" s="24"/>
      <c r="B63" s="1"/>
      <c r="C63" s="14"/>
      <c r="D63" s="56"/>
      <c r="E63" s="13"/>
      <c r="G63" s="1"/>
    </row>
    <row r="64" spans="1:14" s="2" customFormat="1" x14ac:dyDescent="0.2">
      <c r="A64" s="215" t="s">
        <v>80</v>
      </c>
      <c r="B64" s="216"/>
      <c r="C64" s="216"/>
      <c r="D64" s="217"/>
      <c r="E64" s="69"/>
      <c r="F64" s="70"/>
      <c r="G64" s="1"/>
      <c r="H64" s="53"/>
    </row>
    <row r="65" spans="1:13" s="2" customFormat="1" x14ac:dyDescent="0.2">
      <c r="A65" s="71" t="s">
        <v>81</v>
      </c>
      <c r="B65" s="71"/>
      <c r="C65" s="72" t="s">
        <v>82</v>
      </c>
      <c r="D65" s="73" t="s">
        <v>83</v>
      </c>
      <c r="E65" s="69"/>
      <c r="F65" s="70"/>
      <c r="H65" s="53"/>
    </row>
    <row r="66" spans="1:13" s="2" customFormat="1" x14ac:dyDescent="0.2">
      <c r="A66" s="87">
        <v>45080</v>
      </c>
      <c r="B66" s="120" t="s">
        <v>1052</v>
      </c>
      <c r="C66" s="75" t="s">
        <v>86</v>
      </c>
      <c r="D66" s="88">
        <v>163799</v>
      </c>
      <c r="G66" s="1"/>
      <c r="L66" s="1"/>
      <c r="M66" s="1"/>
    </row>
    <row r="67" spans="1:13" s="2" customFormat="1" x14ac:dyDescent="0.2">
      <c r="A67" s="87">
        <v>45080</v>
      </c>
      <c r="B67" s="120" t="s">
        <v>1052</v>
      </c>
      <c r="C67" s="75" t="s">
        <v>86</v>
      </c>
      <c r="D67" s="88">
        <v>1695107</v>
      </c>
      <c r="G67" s="1"/>
      <c r="L67" s="1"/>
      <c r="M67" s="1"/>
    </row>
    <row r="68" spans="1:13" s="2" customFormat="1" x14ac:dyDescent="0.2">
      <c r="A68" s="87">
        <v>45082</v>
      </c>
      <c r="B68" s="120" t="s">
        <v>1052</v>
      </c>
      <c r="C68" s="75" t="s">
        <v>87</v>
      </c>
      <c r="D68" s="88">
        <v>6627</v>
      </c>
      <c r="G68" s="1"/>
      <c r="L68" s="1"/>
      <c r="M68" s="1"/>
    </row>
    <row r="69" spans="1:13" s="2" customFormat="1" x14ac:dyDescent="0.2">
      <c r="A69" s="87">
        <v>45084</v>
      </c>
      <c r="B69" s="120" t="s">
        <v>1052</v>
      </c>
      <c r="C69" s="75" t="s">
        <v>87</v>
      </c>
      <c r="D69" s="88">
        <v>618395.80000000005</v>
      </c>
      <c r="G69" s="1"/>
      <c r="L69" s="1"/>
      <c r="M69" s="1"/>
    </row>
    <row r="70" spans="1:13" s="2" customFormat="1" x14ac:dyDescent="0.2">
      <c r="A70" s="87">
        <v>45084</v>
      </c>
      <c r="B70" s="120" t="s">
        <v>1052</v>
      </c>
      <c r="C70" s="75" t="s">
        <v>271</v>
      </c>
      <c r="D70" s="88">
        <v>485258</v>
      </c>
      <c r="G70" s="1"/>
      <c r="L70" s="1"/>
      <c r="M70" s="1"/>
    </row>
    <row r="71" spans="1:13" s="2" customFormat="1" x14ac:dyDescent="0.2">
      <c r="A71" s="87"/>
      <c r="B71" s="74"/>
      <c r="C71" s="75"/>
      <c r="D71" s="51">
        <f>SUM(D66:D70)</f>
        <v>2969186.8</v>
      </c>
      <c r="F71" s="2" t="s">
        <v>396</v>
      </c>
      <c r="G71" s="1"/>
      <c r="L71" s="1"/>
      <c r="M71" s="1"/>
    </row>
    <row r="72" spans="1:13" s="2" customFormat="1" x14ac:dyDescent="0.2">
      <c r="A72" s="24"/>
      <c r="B72" s="1"/>
      <c r="C72" s="14"/>
      <c r="D72" s="56"/>
      <c r="E72" s="13"/>
      <c r="G72" s="1"/>
      <c r="L72" s="1"/>
      <c r="M72" s="1"/>
    </row>
    <row r="73" spans="1:13" s="2" customFormat="1" x14ac:dyDescent="0.2">
      <c r="A73" s="24"/>
      <c r="B73" s="1"/>
      <c r="C73" s="218" t="s">
        <v>77</v>
      </c>
      <c r="D73" s="219"/>
      <c r="E73" s="219"/>
      <c r="F73" s="220"/>
      <c r="G73" s="1"/>
      <c r="L73" s="1"/>
      <c r="M73" s="1"/>
    </row>
    <row r="74" spans="1:13" s="2" customFormat="1" x14ac:dyDescent="0.2">
      <c r="A74" s="24"/>
      <c r="B74" s="1"/>
      <c r="C74" s="50"/>
      <c r="D74" s="57" t="s">
        <v>78</v>
      </c>
      <c r="E74" s="58" t="s">
        <v>79</v>
      </c>
      <c r="F74" s="57" t="s">
        <v>72</v>
      </c>
      <c r="G74" s="1"/>
      <c r="I74" s="1"/>
      <c r="J74" s="1"/>
      <c r="K74" s="1"/>
      <c r="L74" s="1"/>
      <c r="M74" s="1"/>
    </row>
    <row r="75" spans="1:13" s="2" customFormat="1" x14ac:dyDescent="0.2">
      <c r="A75" s="24"/>
      <c r="B75" s="1"/>
      <c r="C75" s="59" t="str">
        <f>"01-06-2023 to "&amp;TEXT(A5-2,"dd-mm-yyyy")</f>
        <v>01-06-2023 to 07-06-2023</v>
      </c>
      <c r="D75" s="60">
        <v>1751.4</v>
      </c>
      <c r="E75" s="60">
        <v>62.64</v>
      </c>
      <c r="F75" s="61">
        <f>SUM(D75:E75)</f>
        <v>1814.0400000000002</v>
      </c>
      <c r="G75" s="1"/>
    </row>
    <row r="76" spans="1:13" s="2" customFormat="1" x14ac:dyDescent="0.2">
      <c r="A76" s="24"/>
      <c r="B76" s="1"/>
      <c r="C76" s="62" t="str">
        <f>TEXT(A5-1,"dd-mm-yyyy")</f>
        <v>08-06-2023</v>
      </c>
      <c r="D76" s="60">
        <v>165.44</v>
      </c>
      <c r="E76" s="60">
        <v>14.11</v>
      </c>
      <c r="F76" s="61">
        <f>SUM(D76:E76)</f>
        <v>179.55</v>
      </c>
      <c r="G76" s="54"/>
      <c r="I76" s="1"/>
      <c r="J76" s="1"/>
      <c r="K76" s="1"/>
      <c r="L76" s="1"/>
      <c r="M76" s="1"/>
    </row>
    <row r="77" spans="1:13" s="2" customFormat="1" ht="13.5" thickBot="1" x14ac:dyDescent="0.25">
      <c r="A77" s="24"/>
      <c r="B77" s="1"/>
      <c r="C77" s="63" t="str">
        <f>"01-06-2023 to "&amp;TEXT(A5-1,"dd-mm-yyyy")</f>
        <v>01-06-2023 to 08-06-2023</v>
      </c>
      <c r="D77" s="64">
        <f>SUM(D75:D76)</f>
        <v>1916.8400000000001</v>
      </c>
      <c r="E77" s="64">
        <f>SUM(E75:E76)</f>
        <v>76.75</v>
      </c>
      <c r="F77" s="64">
        <f>SUM(F75:F76)</f>
        <v>1993.5900000000001</v>
      </c>
      <c r="G77" s="54"/>
      <c r="I77" s="1"/>
      <c r="J77" s="1"/>
      <c r="K77" s="1"/>
      <c r="L77" s="1"/>
      <c r="M77" s="1"/>
    </row>
    <row r="78" spans="1:13" s="2" customFormat="1" ht="13.5" thickTop="1" x14ac:dyDescent="0.2">
      <c r="A78" s="24"/>
      <c r="B78" s="1"/>
      <c r="C78" s="62"/>
      <c r="D78" s="65"/>
      <c r="E78" s="66"/>
      <c r="F78" s="67"/>
      <c r="G78" s="54"/>
      <c r="I78" s="1"/>
      <c r="J78" s="1"/>
      <c r="K78" s="1"/>
      <c r="L78" s="1"/>
      <c r="M78" s="1"/>
    </row>
    <row r="79" spans="1:13" s="2" customFormat="1" x14ac:dyDescent="0.2">
      <c r="A79" s="24"/>
      <c r="B79" s="1"/>
      <c r="C79" s="62" t="str">
        <f>"01-04-2023 to " &amp;C76</f>
        <v>01-04-2023 to 08-06-2023</v>
      </c>
      <c r="D79" s="68">
        <f>+D77+9224.33</f>
        <v>11141.17</v>
      </c>
      <c r="E79" s="68">
        <f>+E77+906.58</f>
        <v>983.33</v>
      </c>
      <c r="F79" s="68">
        <f>+F77+10130.9</f>
        <v>12124.49</v>
      </c>
      <c r="G79" s="54"/>
      <c r="I79" s="1"/>
      <c r="J79" s="1"/>
      <c r="K79" s="1"/>
      <c r="L79" s="1"/>
      <c r="M79" s="1"/>
    </row>
    <row r="80" spans="1:13" x14ac:dyDescent="0.2">
      <c r="C80" s="52"/>
      <c r="D80" s="85"/>
      <c r="E80" s="53"/>
      <c r="F80" s="53"/>
      <c r="G80" s="54"/>
      <c r="H80" s="2" t="s">
        <v>396</v>
      </c>
    </row>
    <row r="81" spans="1:10" s="2" customFormat="1" x14ac:dyDescent="0.2">
      <c r="A81" s="24"/>
      <c r="B81" s="1"/>
      <c r="C81" s="52"/>
      <c r="D81" s="85"/>
      <c r="E81" s="53"/>
      <c r="F81" s="53"/>
      <c r="G81" s="54"/>
      <c r="H81" s="53"/>
    </row>
    <row r="82" spans="1:10" x14ac:dyDescent="0.2">
      <c r="C82" s="52"/>
      <c r="D82" s="85"/>
      <c r="E82" s="53"/>
      <c r="F82" s="53"/>
      <c r="G82" s="54"/>
      <c r="H82" s="53" t="s">
        <v>396</v>
      </c>
    </row>
    <row r="83" spans="1:10" x14ac:dyDescent="0.2">
      <c r="C83" s="52"/>
      <c r="D83" s="85"/>
      <c r="E83" s="53"/>
      <c r="F83" s="53"/>
      <c r="G83" s="54"/>
      <c r="H83" s="53" t="s">
        <v>396</v>
      </c>
      <c r="J83" s="42"/>
    </row>
    <row r="84" spans="1:10" x14ac:dyDescent="0.2">
      <c r="G84" s="54"/>
      <c r="H84" s="53"/>
      <c r="I84" s="101"/>
    </row>
    <row r="85" spans="1:10" x14ac:dyDescent="0.2">
      <c r="G85" s="54"/>
      <c r="H85" s="53"/>
    </row>
    <row r="86" spans="1:10" x14ac:dyDescent="0.2">
      <c r="G86" s="54"/>
      <c r="H86" s="53"/>
    </row>
    <row r="87" spans="1:10" x14ac:dyDescent="0.2">
      <c r="H87" s="53"/>
    </row>
  </sheetData>
  <mergeCells count="6">
    <mergeCell ref="C73:F73"/>
    <mergeCell ref="A1:G1"/>
    <mergeCell ref="A3:F3"/>
    <mergeCell ref="A9:F9"/>
    <mergeCell ref="A20:F20"/>
    <mergeCell ref="A64:D64"/>
  </mergeCells>
  <conditionalFormatting sqref="G61:G62">
    <cfRule type="cellIs" dxfId="503" priority="2" operator="lessThan">
      <formula>0</formula>
    </cfRule>
  </conditionalFormatting>
  <conditionalFormatting sqref="C22">
    <cfRule type="duplicateValues" dxfId="502" priority="3"/>
  </conditionalFormatting>
  <conditionalFormatting sqref="C41 C23:C38">
    <cfRule type="duplicateValues" dxfId="501" priority="534"/>
  </conditionalFormatting>
  <conditionalFormatting sqref="C39:C40">
    <cfRule type="duplicateValues" dxfId="500" priority="1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348">
    <pageSetUpPr fitToPage="1"/>
  </sheetPr>
  <dimension ref="A1:N114"/>
  <sheetViews>
    <sheetView topLeftCell="A35" zoomScaleNormal="100" workbookViewId="0">
      <selection activeCell="C46" sqref="C46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48.8554687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1066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45087</v>
      </c>
      <c r="B5" s="9" t="s">
        <v>6</v>
      </c>
      <c r="C5" s="10" t="s">
        <v>7</v>
      </c>
      <c r="D5" s="11"/>
      <c r="E5" s="12">
        <v>242816.70000000019</v>
      </c>
      <c r="F5" s="12"/>
      <c r="G5" s="1"/>
      <c r="H5" s="112"/>
      <c r="I5" s="112"/>
    </row>
    <row r="6" spans="1:10" s="2" customFormat="1" ht="14.25" customHeight="1" x14ac:dyDescent="0.4">
      <c r="A6" s="89">
        <v>45087</v>
      </c>
      <c r="B6" s="9" t="s">
        <v>6</v>
      </c>
      <c r="C6" s="10" t="s">
        <v>1067</v>
      </c>
      <c r="D6" s="11" t="s">
        <v>13</v>
      </c>
      <c r="E6" s="12">
        <v>5000000</v>
      </c>
      <c r="F6" s="12"/>
      <c r="G6" s="1"/>
      <c r="H6" s="112"/>
      <c r="I6" s="112"/>
    </row>
    <row r="7" spans="1:10" s="2" customFormat="1" ht="12.75" customHeight="1" x14ac:dyDescent="0.4">
      <c r="D7" s="15" t="s">
        <v>8</v>
      </c>
      <c r="E7" s="16">
        <f>SUM(E5:E6)</f>
        <v>5242816.7</v>
      </c>
      <c r="F7" s="16">
        <f>F5</f>
        <v>0</v>
      </c>
      <c r="G7" s="1"/>
      <c r="H7" s="112"/>
      <c r="I7" s="112"/>
    </row>
    <row r="8" spans="1:10" s="2" customFormat="1" ht="12.75" customHeight="1" x14ac:dyDescent="0.4">
      <c r="A8" s="17"/>
      <c r="B8" s="18"/>
      <c r="C8" s="19" t="s">
        <v>9</v>
      </c>
      <c r="D8" s="20"/>
      <c r="E8" s="21">
        <f>+E7-F7</f>
        <v>5242816.7</v>
      </c>
      <c r="F8" s="22"/>
      <c r="G8" s="23"/>
      <c r="H8" s="112"/>
      <c r="I8" s="112"/>
      <c r="J8" s="13"/>
    </row>
    <row r="9" spans="1:10" ht="12.75" customHeight="1" x14ac:dyDescent="0.4">
      <c r="H9" s="112"/>
      <c r="I9" s="112"/>
    </row>
    <row r="10" spans="1:10" ht="18" customHeight="1" x14ac:dyDescent="0.4">
      <c r="A10" s="213" t="s">
        <v>1037</v>
      </c>
      <c r="B10" s="213"/>
      <c r="C10" s="213"/>
      <c r="D10" s="213"/>
      <c r="E10" s="213"/>
      <c r="F10" s="213"/>
      <c r="H10" s="112"/>
      <c r="I10" s="112"/>
    </row>
    <row r="11" spans="1:10" ht="12.75" customHeight="1" x14ac:dyDescent="0.4">
      <c r="A11" s="3" t="s">
        <v>1</v>
      </c>
      <c r="B11" s="4" t="s">
        <v>2</v>
      </c>
      <c r="C11" s="5"/>
      <c r="D11" s="6" t="s">
        <v>3</v>
      </c>
      <c r="E11" s="7" t="s">
        <v>4</v>
      </c>
      <c r="F11" s="7" t="s">
        <v>5</v>
      </c>
      <c r="H11" s="112"/>
      <c r="I11" s="112"/>
    </row>
    <row r="12" spans="1:10" s="2" customFormat="1" ht="14.25" customHeight="1" x14ac:dyDescent="0.2">
      <c r="A12" s="127">
        <v>45087</v>
      </c>
      <c r="B12" s="9" t="s">
        <v>6</v>
      </c>
      <c r="C12" s="10" t="s">
        <v>7</v>
      </c>
      <c r="D12" s="11"/>
      <c r="F12" s="12">
        <v>16534696.199999996</v>
      </c>
      <c r="G12" s="1"/>
      <c r="H12" s="130"/>
      <c r="I12" s="130"/>
    </row>
    <row r="13" spans="1:10" s="2" customFormat="1" ht="14.25" customHeight="1" x14ac:dyDescent="0.2">
      <c r="A13" s="127">
        <v>45087</v>
      </c>
      <c r="B13" s="9" t="s">
        <v>11</v>
      </c>
      <c r="C13" s="76" t="s">
        <v>140</v>
      </c>
      <c r="D13" s="11" t="s">
        <v>29</v>
      </c>
      <c r="E13" s="124"/>
      <c r="F13" s="31">
        <v>1029768</v>
      </c>
      <c r="G13" s="1"/>
      <c r="H13" s="130"/>
      <c r="I13" s="130"/>
    </row>
    <row r="14" spans="1:10" s="2" customFormat="1" ht="14.25" customHeight="1" x14ac:dyDescent="0.2">
      <c r="A14" s="127">
        <v>45087</v>
      </c>
      <c r="B14" s="9" t="s">
        <v>11</v>
      </c>
      <c r="C14" s="76" t="s">
        <v>1068</v>
      </c>
      <c r="D14" s="11" t="s">
        <v>29</v>
      </c>
      <c r="E14" s="124"/>
      <c r="F14" s="31">
        <v>40828</v>
      </c>
      <c r="G14" s="1"/>
      <c r="H14" s="130"/>
      <c r="I14" s="130"/>
    </row>
    <row r="15" spans="1:10" s="2" customFormat="1" ht="14.25" customHeight="1" x14ac:dyDescent="0.2">
      <c r="A15" s="127">
        <v>45087</v>
      </c>
      <c r="B15" s="9" t="s">
        <v>11</v>
      </c>
      <c r="C15" s="76" t="s">
        <v>338</v>
      </c>
      <c r="D15" s="11" t="s">
        <v>29</v>
      </c>
      <c r="E15" s="124"/>
      <c r="F15" s="31">
        <v>117085.49</v>
      </c>
      <c r="G15" s="1"/>
      <c r="H15" s="130"/>
      <c r="I15" s="130"/>
    </row>
    <row r="16" spans="1:10" s="2" customFormat="1" ht="14.25" customHeight="1" x14ac:dyDescent="0.2">
      <c r="A16" s="127">
        <v>45087</v>
      </c>
      <c r="B16" s="9" t="s">
        <v>11</v>
      </c>
      <c r="C16" s="76" t="s">
        <v>410</v>
      </c>
      <c r="D16" s="11" t="s">
        <v>29</v>
      </c>
      <c r="E16" s="124"/>
      <c r="F16" s="31">
        <v>130980</v>
      </c>
      <c r="G16" s="1"/>
      <c r="H16" s="130"/>
      <c r="I16" s="130"/>
    </row>
    <row r="17" spans="1:10" s="2" customFormat="1" ht="14.25" customHeight="1" x14ac:dyDescent="0.2">
      <c r="A17" s="127">
        <v>45087</v>
      </c>
      <c r="B17" s="9" t="s">
        <v>11</v>
      </c>
      <c r="C17" s="76" t="s">
        <v>63</v>
      </c>
      <c r="D17" s="11" t="s">
        <v>29</v>
      </c>
      <c r="E17" s="124"/>
      <c r="F17" s="31">
        <v>2500000</v>
      </c>
      <c r="G17" s="1"/>
      <c r="H17" s="130"/>
      <c r="I17" s="130"/>
    </row>
    <row r="18" spans="1:10" s="2" customFormat="1" ht="14.25" customHeight="1" x14ac:dyDescent="0.2">
      <c r="A18" s="127">
        <v>45087</v>
      </c>
      <c r="B18" s="9" t="s">
        <v>11</v>
      </c>
      <c r="C18" s="76" t="s">
        <v>402</v>
      </c>
      <c r="D18" s="11" t="s">
        <v>29</v>
      </c>
      <c r="E18" s="124"/>
      <c r="F18" s="31">
        <v>5000000</v>
      </c>
      <c r="G18" s="1"/>
      <c r="H18" s="130"/>
      <c r="I18" s="130"/>
    </row>
    <row r="19" spans="1:10" s="2" customFormat="1" ht="14.25" customHeight="1" x14ac:dyDescent="0.2">
      <c r="A19" s="127">
        <v>45087</v>
      </c>
      <c r="B19" s="9" t="s">
        <v>11</v>
      </c>
      <c r="C19" s="76" t="s">
        <v>370</v>
      </c>
      <c r="D19" s="11" t="s">
        <v>29</v>
      </c>
      <c r="E19" s="124"/>
      <c r="F19" s="31">
        <v>53828</v>
      </c>
      <c r="G19" s="1"/>
      <c r="H19" s="130"/>
      <c r="I19" s="130"/>
    </row>
    <row r="20" spans="1:10" s="2" customFormat="1" ht="14.25" customHeight="1" x14ac:dyDescent="0.2">
      <c r="A20" s="127">
        <v>45087</v>
      </c>
      <c r="B20" s="9" t="s">
        <v>11</v>
      </c>
      <c r="C20" s="76" t="s">
        <v>1069</v>
      </c>
      <c r="D20" s="11" t="s">
        <v>29</v>
      </c>
      <c r="E20" s="124"/>
      <c r="F20" s="31">
        <v>18250</v>
      </c>
      <c r="G20" s="1"/>
      <c r="H20" s="130"/>
      <c r="I20" s="130"/>
    </row>
    <row r="21" spans="1:10" s="2" customFormat="1" ht="14.25" customHeight="1" x14ac:dyDescent="0.2">
      <c r="A21" s="127">
        <v>45087</v>
      </c>
      <c r="B21" s="9" t="s">
        <v>11</v>
      </c>
      <c r="C21" s="76" t="s">
        <v>1070</v>
      </c>
      <c r="D21" s="11" t="s">
        <v>29</v>
      </c>
      <c r="E21" s="124"/>
      <c r="F21" s="31">
        <v>17822</v>
      </c>
      <c r="G21" s="1"/>
      <c r="H21" s="130"/>
      <c r="I21" s="130"/>
    </row>
    <row r="22" spans="1:10" s="2" customFormat="1" ht="12.75" customHeight="1" x14ac:dyDescent="0.4">
      <c r="D22" s="15" t="s">
        <v>8</v>
      </c>
      <c r="E22" s="16">
        <f>SUM(E13:E21)</f>
        <v>0</v>
      </c>
      <c r="F22" s="16">
        <f>SUM(F12:F21)</f>
        <v>25443257.689999994</v>
      </c>
      <c r="G22" s="1"/>
      <c r="H22" s="112"/>
      <c r="I22" s="112"/>
    </row>
    <row r="23" spans="1:10" s="2" customFormat="1" ht="12.75" customHeight="1" x14ac:dyDescent="0.4">
      <c r="A23" s="17"/>
      <c r="B23" s="18"/>
      <c r="C23" s="96" t="s">
        <v>9</v>
      </c>
      <c r="D23" s="20"/>
      <c r="E23" s="21">
        <f>+F22-E22</f>
        <v>25443257.689999994</v>
      </c>
      <c r="G23" s="23"/>
      <c r="H23" s="112"/>
      <c r="I23" s="112"/>
      <c r="J23" s="13"/>
    </row>
    <row r="24" spans="1:10" s="2" customFormat="1" ht="12.75" customHeight="1" x14ac:dyDescent="0.4">
      <c r="A24" s="24"/>
      <c r="B24" s="1"/>
      <c r="C24" s="14"/>
      <c r="D24" s="25"/>
      <c r="G24" s="23"/>
      <c r="H24" s="112"/>
      <c r="I24" s="112"/>
      <c r="J24" s="13"/>
    </row>
    <row r="25" spans="1:10" s="2" customFormat="1" ht="21.75" customHeight="1" x14ac:dyDescent="0.4">
      <c r="A25" s="214" t="s">
        <v>10</v>
      </c>
      <c r="B25" s="214"/>
      <c r="C25" s="214"/>
      <c r="D25" s="214"/>
      <c r="E25" s="214"/>
      <c r="F25" s="214"/>
      <c r="G25" s="13"/>
      <c r="H25" s="112"/>
      <c r="I25" s="112"/>
      <c r="J25" s="13"/>
    </row>
    <row r="26" spans="1:10" s="2" customFormat="1" ht="12.75" customHeight="1" x14ac:dyDescent="0.4">
      <c r="A26" s="26" t="s">
        <v>1</v>
      </c>
      <c r="B26" s="27" t="s">
        <v>2</v>
      </c>
      <c r="C26" s="5"/>
      <c r="D26" s="6" t="s">
        <v>3</v>
      </c>
      <c r="E26" s="7" t="s">
        <v>4</v>
      </c>
      <c r="F26" s="7" t="s">
        <v>5</v>
      </c>
      <c r="G26" s="23"/>
      <c r="H26" s="112"/>
      <c r="I26" s="112"/>
      <c r="J26" s="13"/>
    </row>
    <row r="27" spans="1:10" s="2" customFormat="1" ht="12.75" customHeight="1" x14ac:dyDescent="0.2">
      <c r="A27" s="127">
        <v>45087</v>
      </c>
      <c r="B27" s="128" t="s">
        <v>11</v>
      </c>
      <c r="C27" s="29" t="s">
        <v>7</v>
      </c>
      <c r="D27" s="25"/>
      <c r="E27" s="31"/>
      <c r="F27" s="2">
        <v>284988779.62999982</v>
      </c>
      <c r="G27" s="30"/>
      <c r="I27" s="13"/>
      <c r="J27" s="13"/>
    </row>
    <row r="28" spans="1:10" s="70" customFormat="1" ht="12.75" customHeight="1" x14ac:dyDescent="0.2">
      <c r="A28" s="127">
        <v>45087</v>
      </c>
      <c r="B28" s="128" t="s">
        <v>6</v>
      </c>
      <c r="C28" s="76" t="s">
        <v>16</v>
      </c>
      <c r="D28" s="125" t="s">
        <v>13</v>
      </c>
      <c r="E28" s="129">
        <v>7644.9400000000005</v>
      </c>
      <c r="G28" s="30"/>
      <c r="I28" s="69"/>
      <c r="J28" s="69"/>
    </row>
    <row r="29" spans="1:10" s="70" customFormat="1" ht="12.75" customHeight="1" x14ac:dyDescent="0.2">
      <c r="A29" s="127">
        <v>45087</v>
      </c>
      <c r="B29" s="128" t="s">
        <v>6</v>
      </c>
      <c r="C29" s="76" t="s">
        <v>1071</v>
      </c>
      <c r="D29" s="125" t="s">
        <v>13</v>
      </c>
      <c r="E29" s="129">
        <v>4137</v>
      </c>
      <c r="G29" s="30"/>
      <c r="I29" s="69"/>
      <c r="J29" s="69"/>
    </row>
    <row r="30" spans="1:10" s="70" customFormat="1" ht="12.75" customHeight="1" x14ac:dyDescent="0.2">
      <c r="A30" s="127">
        <v>45087</v>
      </c>
      <c r="B30" s="128" t="s">
        <v>6</v>
      </c>
      <c r="C30" s="76" t="s">
        <v>24</v>
      </c>
      <c r="D30" s="126" t="s">
        <v>13</v>
      </c>
      <c r="E30" s="129">
        <v>1126337</v>
      </c>
      <c r="G30" s="30"/>
      <c r="I30" s="69"/>
      <c r="J30" s="69"/>
    </row>
    <row r="31" spans="1:10" s="70" customFormat="1" ht="12.75" customHeight="1" x14ac:dyDescent="0.2">
      <c r="A31" s="127">
        <v>45087</v>
      </c>
      <c r="B31" s="128" t="s">
        <v>6</v>
      </c>
      <c r="C31" s="76" t="s">
        <v>19</v>
      </c>
      <c r="D31" s="126" t="s">
        <v>13</v>
      </c>
      <c r="E31" s="129">
        <v>4640216</v>
      </c>
      <c r="G31" s="30"/>
      <c r="I31" s="69"/>
      <c r="J31" s="69"/>
    </row>
    <row r="32" spans="1:10" s="70" customFormat="1" ht="12.75" customHeight="1" x14ac:dyDescent="0.2">
      <c r="A32" s="127">
        <v>45087</v>
      </c>
      <c r="B32" s="128" t="s">
        <v>6</v>
      </c>
      <c r="C32" s="76" t="s">
        <v>120</v>
      </c>
      <c r="D32" s="126" t="s">
        <v>13</v>
      </c>
      <c r="E32" s="129">
        <v>6557933</v>
      </c>
      <c r="G32" s="30"/>
      <c r="I32" s="69"/>
      <c r="J32" s="69"/>
    </row>
    <row r="33" spans="1:10" s="70" customFormat="1" ht="12.75" customHeight="1" x14ac:dyDescent="0.2">
      <c r="A33" s="127">
        <v>45087</v>
      </c>
      <c r="B33" s="128" t="s">
        <v>6</v>
      </c>
      <c r="C33" s="76" t="s">
        <v>331</v>
      </c>
      <c r="D33" s="126" t="s">
        <v>13</v>
      </c>
      <c r="E33" s="129">
        <v>762558</v>
      </c>
      <c r="G33" s="30"/>
      <c r="I33" s="69"/>
      <c r="J33" s="69"/>
    </row>
    <row r="34" spans="1:10" s="70" customFormat="1" ht="12.75" customHeight="1" x14ac:dyDescent="0.2">
      <c r="A34" s="127">
        <v>45087</v>
      </c>
      <c r="B34" s="128" t="s">
        <v>6</v>
      </c>
      <c r="C34" s="76" t="s">
        <v>391</v>
      </c>
      <c r="D34" s="126" t="s">
        <v>13</v>
      </c>
      <c r="E34" s="129">
        <v>67179</v>
      </c>
      <c r="G34" s="30"/>
      <c r="I34" s="69"/>
      <c r="J34" s="69"/>
    </row>
    <row r="35" spans="1:10" s="70" customFormat="1" ht="12.75" customHeight="1" x14ac:dyDescent="0.2">
      <c r="A35" s="127">
        <v>45087</v>
      </c>
      <c r="B35" s="128" t="s">
        <v>6</v>
      </c>
      <c r="C35" s="76" t="s">
        <v>756</v>
      </c>
      <c r="D35" s="126" t="s">
        <v>13</v>
      </c>
      <c r="E35" s="129">
        <v>1581571</v>
      </c>
      <c r="G35" s="30"/>
      <c r="I35" s="69"/>
      <c r="J35" s="69"/>
    </row>
    <row r="36" spans="1:10" s="70" customFormat="1" ht="12.75" customHeight="1" x14ac:dyDescent="0.2">
      <c r="A36" s="127">
        <v>45087</v>
      </c>
      <c r="B36" s="128" t="s">
        <v>6</v>
      </c>
      <c r="C36" s="76" t="s">
        <v>123</v>
      </c>
      <c r="D36" s="126" t="s">
        <v>13</v>
      </c>
      <c r="E36" s="129">
        <v>14986</v>
      </c>
      <c r="G36" s="30"/>
      <c r="I36" s="69"/>
      <c r="J36" s="69"/>
    </row>
    <row r="37" spans="1:10" s="70" customFormat="1" ht="12.75" customHeight="1" x14ac:dyDescent="0.2">
      <c r="A37" s="127">
        <v>45087</v>
      </c>
      <c r="B37" s="128" t="s">
        <v>6</v>
      </c>
      <c r="C37" s="76" t="s">
        <v>15</v>
      </c>
      <c r="D37" s="126" t="s">
        <v>29</v>
      </c>
      <c r="E37" s="129">
        <v>2947.25</v>
      </c>
      <c r="F37" s="70">
        <v>1593</v>
      </c>
      <c r="G37" s="30"/>
      <c r="I37" s="69"/>
      <c r="J37" s="69"/>
    </row>
    <row r="38" spans="1:10" s="70" customFormat="1" ht="12.75" customHeight="1" x14ac:dyDescent="0.2">
      <c r="A38" s="127">
        <v>45087</v>
      </c>
      <c r="B38" s="128" t="s">
        <v>6</v>
      </c>
      <c r="C38" s="76" t="s">
        <v>64</v>
      </c>
      <c r="D38" s="126" t="s">
        <v>29</v>
      </c>
      <c r="E38" s="129"/>
      <c r="F38" s="70">
        <f>10219.11+0.02</f>
        <v>10219.130000000001</v>
      </c>
      <c r="G38" s="30"/>
      <c r="I38" s="69"/>
      <c r="J38" s="69"/>
    </row>
    <row r="39" spans="1:10" s="70" customFormat="1" ht="12.75" customHeight="1" x14ac:dyDescent="0.2">
      <c r="A39" s="127">
        <v>45087</v>
      </c>
      <c r="B39" s="128" t="s">
        <v>6</v>
      </c>
      <c r="C39" s="76" t="s">
        <v>274</v>
      </c>
      <c r="D39" s="126" t="s">
        <v>29</v>
      </c>
      <c r="E39" s="129"/>
      <c r="F39" s="70">
        <v>177878.03</v>
      </c>
      <c r="G39" s="30"/>
      <c r="I39" s="69"/>
      <c r="J39" s="69"/>
    </row>
    <row r="40" spans="1:10" s="70" customFormat="1" ht="12.75" customHeight="1" x14ac:dyDescent="0.2">
      <c r="A40" s="127">
        <v>45087</v>
      </c>
      <c r="B40" s="128" t="s">
        <v>6</v>
      </c>
      <c r="C40" s="76" t="s">
        <v>156</v>
      </c>
      <c r="D40" s="126" t="s">
        <v>29</v>
      </c>
      <c r="E40" s="129"/>
      <c r="F40" s="70">
        <v>250.09</v>
      </c>
      <c r="G40" s="30"/>
      <c r="I40" s="69"/>
      <c r="J40" s="69"/>
    </row>
    <row r="41" spans="1:10" s="70" customFormat="1" ht="12.75" customHeight="1" x14ac:dyDescent="0.2">
      <c r="A41" s="127">
        <v>45087</v>
      </c>
      <c r="B41" s="128" t="s">
        <v>6</v>
      </c>
      <c r="C41" s="76" t="s">
        <v>216</v>
      </c>
      <c r="D41" s="126" t="s">
        <v>29</v>
      </c>
      <c r="E41" s="129"/>
      <c r="F41" s="70">
        <v>201889</v>
      </c>
      <c r="G41" s="30"/>
      <c r="I41" s="69"/>
      <c r="J41" s="69"/>
    </row>
    <row r="42" spans="1:10" s="70" customFormat="1" ht="12.75" customHeight="1" x14ac:dyDescent="0.2">
      <c r="A42" s="127">
        <v>45087</v>
      </c>
      <c r="B42" s="128" t="s">
        <v>6</v>
      </c>
      <c r="C42" s="76" t="s">
        <v>218</v>
      </c>
      <c r="D42" s="126" t="s">
        <v>29</v>
      </c>
      <c r="E42" s="129"/>
      <c r="F42" s="70">
        <v>53355</v>
      </c>
      <c r="G42" s="30"/>
      <c r="I42" s="69"/>
      <c r="J42" s="69"/>
    </row>
    <row r="43" spans="1:10" s="70" customFormat="1" ht="12.75" customHeight="1" x14ac:dyDescent="0.2">
      <c r="A43" s="127">
        <v>45087</v>
      </c>
      <c r="B43" s="128" t="s">
        <v>6</v>
      </c>
      <c r="C43" s="76" t="s">
        <v>107</v>
      </c>
      <c r="D43" s="126" t="s">
        <v>29</v>
      </c>
      <c r="E43" s="129"/>
      <c r="F43" s="70">
        <v>362414.78</v>
      </c>
      <c r="G43" s="30"/>
      <c r="I43" s="69"/>
      <c r="J43" s="69"/>
    </row>
    <row r="44" spans="1:10" s="70" customFormat="1" ht="12.75" customHeight="1" x14ac:dyDescent="0.2">
      <c r="A44" s="127">
        <v>45087</v>
      </c>
      <c r="B44" s="128" t="s">
        <v>6</v>
      </c>
      <c r="C44" s="76" t="s">
        <v>723</v>
      </c>
      <c r="D44" s="126" t="s">
        <v>29</v>
      </c>
      <c r="E44" s="129"/>
      <c r="F44" s="70">
        <v>2916082.93</v>
      </c>
      <c r="G44" s="30"/>
      <c r="I44" s="69"/>
      <c r="J44" s="69"/>
    </row>
    <row r="45" spans="1:10" s="70" customFormat="1" ht="12.75" customHeight="1" x14ac:dyDescent="0.2">
      <c r="A45" s="127">
        <v>45087</v>
      </c>
      <c r="B45" s="128" t="s">
        <v>6</v>
      </c>
      <c r="C45" s="76" t="s">
        <v>217</v>
      </c>
      <c r="D45" s="126" t="s">
        <v>29</v>
      </c>
      <c r="E45" s="129"/>
      <c r="F45" s="70">
        <v>51995</v>
      </c>
      <c r="G45" s="30"/>
      <c r="I45" s="69"/>
      <c r="J45" s="69"/>
    </row>
    <row r="46" spans="1:10" s="70" customFormat="1" ht="12.75" customHeight="1" x14ac:dyDescent="0.2">
      <c r="A46" s="127">
        <v>45087</v>
      </c>
      <c r="B46" s="128" t="s">
        <v>6</v>
      </c>
      <c r="C46" s="76" t="s">
        <v>1072</v>
      </c>
      <c r="D46" s="126" t="s">
        <v>29</v>
      </c>
      <c r="E46" s="129"/>
      <c r="F46" s="70">
        <v>55480</v>
      </c>
      <c r="G46" s="30"/>
      <c r="I46" s="69"/>
      <c r="J46" s="69"/>
    </row>
    <row r="47" spans="1:10" s="70" customFormat="1" ht="12.75" customHeight="1" x14ac:dyDescent="0.2">
      <c r="A47" s="127">
        <v>45087</v>
      </c>
      <c r="B47" s="128" t="s">
        <v>6</v>
      </c>
      <c r="C47" s="76" t="s">
        <v>35</v>
      </c>
      <c r="D47" s="126" t="s">
        <v>29</v>
      </c>
      <c r="E47" s="129"/>
      <c r="F47" s="70">
        <v>100000</v>
      </c>
      <c r="G47" s="30"/>
      <c r="I47" s="69"/>
      <c r="J47" s="69"/>
    </row>
    <row r="48" spans="1:10" s="70" customFormat="1" ht="12.75" customHeight="1" x14ac:dyDescent="0.2">
      <c r="A48" s="127">
        <v>45087</v>
      </c>
      <c r="B48" s="128" t="s">
        <v>6</v>
      </c>
      <c r="C48" s="76" t="s">
        <v>476</v>
      </c>
      <c r="D48" s="126" t="s">
        <v>29</v>
      </c>
      <c r="E48" s="129"/>
      <c r="F48" s="70">
        <v>225000</v>
      </c>
      <c r="G48" s="30"/>
      <c r="I48" s="69"/>
      <c r="J48" s="69"/>
    </row>
    <row r="49" spans="1:10" s="70" customFormat="1" ht="12.75" customHeight="1" x14ac:dyDescent="0.2">
      <c r="A49" s="127">
        <v>45087</v>
      </c>
      <c r="B49" s="128" t="s">
        <v>6</v>
      </c>
      <c r="C49" s="76" t="s">
        <v>747</v>
      </c>
      <c r="D49" s="126" t="s">
        <v>29</v>
      </c>
      <c r="E49" s="129"/>
      <c r="F49" s="70">
        <v>39360</v>
      </c>
      <c r="G49" s="30"/>
      <c r="I49" s="69"/>
      <c r="J49" s="69"/>
    </row>
    <row r="50" spans="1:10" s="70" customFormat="1" ht="12.75" customHeight="1" x14ac:dyDescent="0.2">
      <c r="A50" s="127">
        <v>45087</v>
      </c>
      <c r="B50" s="128" t="s">
        <v>6</v>
      </c>
      <c r="C50" s="76" t="s">
        <v>138</v>
      </c>
      <c r="D50" s="126" t="s">
        <v>29</v>
      </c>
      <c r="E50" s="129"/>
      <c r="F50" s="70">
        <v>1660189</v>
      </c>
      <c r="G50" s="30"/>
      <c r="I50" s="69"/>
      <c r="J50" s="69"/>
    </row>
    <row r="51" spans="1:10" s="70" customFormat="1" ht="12.75" customHeight="1" x14ac:dyDescent="0.2">
      <c r="A51" s="127">
        <v>45087</v>
      </c>
      <c r="B51" s="128" t="s">
        <v>6</v>
      </c>
      <c r="C51" s="76" t="s">
        <v>44</v>
      </c>
      <c r="D51" s="126" t="s">
        <v>29</v>
      </c>
      <c r="E51" s="129"/>
      <c r="F51" s="70">
        <v>417976.8</v>
      </c>
      <c r="G51" s="30"/>
      <c r="I51" s="69"/>
      <c r="J51" s="69"/>
    </row>
    <row r="52" spans="1:10" s="70" customFormat="1" ht="12.75" customHeight="1" x14ac:dyDescent="0.2">
      <c r="A52" s="127">
        <v>45087</v>
      </c>
      <c r="B52" s="128" t="s">
        <v>6</v>
      </c>
      <c r="C52" s="76" t="s">
        <v>229</v>
      </c>
      <c r="D52" s="126" t="s">
        <v>29</v>
      </c>
      <c r="E52" s="129"/>
      <c r="F52" s="70">
        <v>269748</v>
      </c>
      <c r="G52" s="30"/>
      <c r="I52" s="69"/>
      <c r="J52" s="69"/>
    </row>
    <row r="53" spans="1:10" s="70" customFormat="1" ht="12.75" customHeight="1" x14ac:dyDescent="0.2">
      <c r="A53" s="127">
        <v>45087</v>
      </c>
      <c r="B53" s="128" t="s">
        <v>6</v>
      </c>
      <c r="C53" s="76" t="s">
        <v>242</v>
      </c>
      <c r="D53" s="126" t="s">
        <v>29</v>
      </c>
      <c r="E53" s="129"/>
      <c r="F53" s="70">
        <v>143633.66</v>
      </c>
      <c r="G53" s="30"/>
      <c r="I53" s="69"/>
      <c r="J53" s="69"/>
    </row>
    <row r="54" spans="1:10" s="2" customFormat="1" ht="12.75" customHeight="1" x14ac:dyDescent="0.2">
      <c r="A54" s="127">
        <v>45087</v>
      </c>
      <c r="B54" s="128" t="s">
        <v>11</v>
      </c>
      <c r="C54" s="76" t="s">
        <v>194</v>
      </c>
      <c r="D54" s="116" t="s">
        <v>29</v>
      </c>
      <c r="E54" s="31"/>
      <c r="F54" s="2">
        <v>1599105</v>
      </c>
      <c r="G54" s="30"/>
      <c r="I54" s="13"/>
      <c r="J54" s="13"/>
    </row>
    <row r="55" spans="1:10" s="2" customFormat="1" ht="12.75" customHeight="1" x14ac:dyDescent="0.2">
      <c r="A55" s="127">
        <v>45087</v>
      </c>
      <c r="B55" s="128" t="s">
        <v>11</v>
      </c>
      <c r="C55" s="76" t="s">
        <v>790</v>
      </c>
      <c r="D55" s="116" t="s">
        <v>29</v>
      </c>
      <c r="E55" s="31"/>
      <c r="F55" s="2">
        <v>405610</v>
      </c>
      <c r="G55" s="30"/>
      <c r="I55" s="13"/>
      <c r="J55" s="13"/>
    </row>
    <row r="56" spans="1:10" s="2" customFormat="1" ht="12.75" customHeight="1" x14ac:dyDescent="0.2">
      <c r="A56" s="127">
        <v>45087</v>
      </c>
      <c r="B56" s="128" t="s">
        <v>11</v>
      </c>
      <c r="C56" s="76" t="s">
        <v>745</v>
      </c>
      <c r="D56" s="116" t="s">
        <v>29</v>
      </c>
      <c r="E56" s="31"/>
      <c r="F56" s="2">
        <v>309743</v>
      </c>
      <c r="G56" s="30"/>
      <c r="I56" s="13"/>
      <c r="J56" s="13"/>
    </row>
    <row r="57" spans="1:10" s="2" customFormat="1" ht="12.75" customHeight="1" x14ac:dyDescent="0.2">
      <c r="A57" s="127">
        <v>45087</v>
      </c>
      <c r="B57" s="128" t="s">
        <v>11</v>
      </c>
      <c r="C57" s="76" t="s">
        <v>814</v>
      </c>
      <c r="D57" s="116" t="s">
        <v>29</v>
      </c>
      <c r="E57" s="31"/>
      <c r="F57" s="2">
        <v>618177.5</v>
      </c>
      <c r="G57" s="30"/>
      <c r="I57" s="13"/>
      <c r="J57" s="13"/>
    </row>
    <row r="58" spans="1:10" s="2" customFormat="1" ht="12.75" customHeight="1" x14ac:dyDescent="0.2">
      <c r="A58" s="127">
        <v>45087</v>
      </c>
      <c r="B58" s="128" t="s">
        <v>11</v>
      </c>
      <c r="C58" s="76" t="s">
        <v>193</v>
      </c>
      <c r="D58" s="116" t="s">
        <v>29</v>
      </c>
      <c r="E58" s="31"/>
      <c r="F58" s="2">
        <v>304160</v>
      </c>
      <c r="G58" s="30"/>
      <c r="I58" s="13"/>
      <c r="J58" s="13"/>
    </row>
    <row r="59" spans="1:10" s="2" customFormat="1" ht="12.75" customHeight="1" x14ac:dyDescent="0.2">
      <c r="A59" s="127">
        <v>45087</v>
      </c>
      <c r="B59" s="128" t="s">
        <v>11</v>
      </c>
      <c r="C59" s="76" t="s">
        <v>56</v>
      </c>
      <c r="D59" s="116" t="s">
        <v>29</v>
      </c>
      <c r="E59" s="31"/>
      <c r="F59" s="2">
        <v>145396</v>
      </c>
      <c r="G59" s="30"/>
      <c r="I59" s="13"/>
      <c r="J59" s="13"/>
    </row>
    <row r="60" spans="1:10" s="2" customFormat="1" ht="12.75" customHeight="1" x14ac:dyDescent="0.2">
      <c r="A60" s="127">
        <v>45087</v>
      </c>
      <c r="B60" s="128" t="s">
        <v>11</v>
      </c>
      <c r="C60" s="76" t="s">
        <v>1058</v>
      </c>
      <c r="D60" s="116" t="s">
        <v>29</v>
      </c>
      <c r="E60" s="31"/>
      <c r="F60" s="2">
        <v>1824173</v>
      </c>
      <c r="G60" s="30"/>
      <c r="I60" s="13"/>
      <c r="J60" s="13"/>
    </row>
    <row r="61" spans="1:10" s="2" customFormat="1" ht="12.75" customHeight="1" x14ac:dyDescent="0.2">
      <c r="A61" s="127">
        <v>45087</v>
      </c>
      <c r="B61" s="128" t="s">
        <v>11</v>
      </c>
      <c r="C61" s="76" t="s">
        <v>300</v>
      </c>
      <c r="D61" s="116" t="s">
        <v>29</v>
      </c>
      <c r="E61" s="31"/>
      <c r="F61" s="2">
        <v>230100</v>
      </c>
      <c r="G61" s="30"/>
      <c r="I61" s="13"/>
      <c r="J61" s="13"/>
    </row>
    <row r="62" spans="1:10" s="2" customFormat="1" ht="12.75" customHeight="1" x14ac:dyDescent="0.2">
      <c r="A62" s="127">
        <v>45087</v>
      </c>
      <c r="B62" s="128" t="s">
        <v>11</v>
      </c>
      <c r="C62" s="76" t="s">
        <v>30</v>
      </c>
      <c r="D62" s="116" t="s">
        <v>29</v>
      </c>
      <c r="E62" s="31"/>
      <c r="F62" s="2">
        <v>3747687</v>
      </c>
      <c r="G62" s="30"/>
      <c r="I62" s="13"/>
      <c r="J62" s="13"/>
    </row>
    <row r="63" spans="1:10" s="2" customFormat="1" ht="12.75" customHeight="1" x14ac:dyDescent="0.2">
      <c r="A63" s="127">
        <v>45087</v>
      </c>
      <c r="B63" s="128" t="s">
        <v>11</v>
      </c>
      <c r="C63" s="76" t="s">
        <v>849</v>
      </c>
      <c r="D63" s="116" t="s">
        <v>29</v>
      </c>
      <c r="E63" s="31"/>
      <c r="F63" s="2">
        <v>436595.5</v>
      </c>
      <c r="G63" s="30"/>
      <c r="I63" s="13"/>
      <c r="J63" s="13"/>
    </row>
    <row r="64" spans="1:10" s="2" customFormat="1" ht="12.75" customHeight="1" x14ac:dyDescent="0.2">
      <c r="A64" s="127">
        <v>45087</v>
      </c>
      <c r="B64" s="128" t="s">
        <v>11</v>
      </c>
      <c r="C64" s="76" t="s">
        <v>243</v>
      </c>
      <c r="D64" s="116" t="s">
        <v>29</v>
      </c>
      <c r="F64" s="124">
        <v>2236.1</v>
      </c>
      <c r="G64" s="30"/>
      <c r="I64" s="13"/>
      <c r="J64" s="13"/>
    </row>
    <row r="65" spans="1:14" s="2" customFormat="1" ht="12.75" customHeight="1" x14ac:dyDescent="0.25">
      <c r="A65" s="32"/>
      <c r="B65" s="33"/>
      <c r="C65" s="14"/>
      <c r="D65" s="34"/>
      <c r="E65" s="16">
        <f>SUM(E27:E64)</f>
        <v>14765509.189999999</v>
      </c>
      <c r="F65" s="16">
        <f>SUM(F27:F64)</f>
        <v>301298827.1499998</v>
      </c>
      <c r="G65" s="30"/>
      <c r="H65" s="1"/>
      <c r="I65" s="39">
        <v>286533317.95999998</v>
      </c>
      <c r="K65" s="92">
        <f>E66-I65</f>
        <v>0</v>
      </c>
      <c r="L65" s="41"/>
      <c r="M65" s="42"/>
    </row>
    <row r="66" spans="1:14" s="2" customFormat="1" ht="12.75" customHeight="1" x14ac:dyDescent="0.2">
      <c r="A66" s="36"/>
      <c r="B66" s="28" t="s">
        <v>11</v>
      </c>
      <c r="C66" s="19" t="s">
        <v>65</v>
      </c>
      <c r="D66" s="37"/>
      <c r="E66" s="38">
        <f>F65-E65</f>
        <v>286533317.9599998</v>
      </c>
      <c r="F66" s="22"/>
      <c r="G66" s="1"/>
      <c r="H66" s="1"/>
      <c r="J66" s="1"/>
      <c r="K66" s="1"/>
      <c r="L66" s="1"/>
      <c r="M66" s="1"/>
    </row>
    <row r="67" spans="1:14" s="2" customFormat="1" ht="12.75" customHeight="1" x14ac:dyDescent="0.2">
      <c r="A67" s="36"/>
      <c r="B67" s="28" t="s">
        <v>66</v>
      </c>
      <c r="C67" s="43" t="s">
        <v>67</v>
      </c>
      <c r="D67" s="43"/>
      <c r="E67" s="12">
        <v>59416310</v>
      </c>
      <c r="F67" s="22"/>
      <c r="G67" s="1"/>
      <c r="H67" s="40"/>
      <c r="I67" s="45">
        <v>1586.35</v>
      </c>
      <c r="J67" s="46"/>
      <c r="K67" s="46"/>
      <c r="L67" s="13"/>
    </row>
    <row r="68" spans="1:14" s="2" customFormat="1" ht="12.75" customHeight="1" x14ac:dyDescent="0.25">
      <c r="A68" s="36"/>
      <c r="B68" s="28"/>
      <c r="C68" s="44" t="s">
        <v>68</v>
      </c>
      <c r="D68" s="43"/>
      <c r="E68" s="7">
        <f>E66+E67</f>
        <v>345949627.9599998</v>
      </c>
      <c r="F68" s="22"/>
      <c r="G68" s="1"/>
      <c r="H68" s="103" t="s">
        <v>69</v>
      </c>
      <c r="I68" s="45">
        <v>-11.57</v>
      </c>
      <c r="J68" s="46"/>
      <c r="K68" s="46"/>
      <c r="N68" s="1"/>
    </row>
    <row r="69" spans="1:14" s="2" customFormat="1" x14ac:dyDescent="0.2">
      <c r="A69" s="24"/>
      <c r="B69" s="1"/>
      <c r="C69" s="14"/>
      <c r="D69" s="25"/>
      <c r="E69" s="1"/>
      <c r="H69" s="35" t="s">
        <v>70</v>
      </c>
      <c r="I69" s="45">
        <v>1.28</v>
      </c>
      <c r="J69" s="46">
        <f>+I70-D72</f>
        <v>0</v>
      </c>
      <c r="M69" s="2">
        <v>19.57</v>
      </c>
      <c r="N69" s="1"/>
    </row>
    <row r="70" spans="1:14" x14ac:dyDescent="0.2">
      <c r="C70" s="56"/>
      <c r="D70" s="56"/>
      <c r="E70" s="104"/>
      <c r="I70" s="49">
        <f>SUM(I67:I69)</f>
        <v>1576.06</v>
      </c>
      <c r="J70" s="46"/>
      <c r="K70" s="46"/>
      <c r="L70" s="2"/>
      <c r="M70" s="2"/>
      <c r="N70" s="2"/>
    </row>
    <row r="71" spans="1:14" x14ac:dyDescent="0.2">
      <c r="C71" s="78" t="s">
        <v>575</v>
      </c>
      <c r="D71" s="48" t="s">
        <v>576</v>
      </c>
      <c r="E71" s="104"/>
      <c r="I71" s="2"/>
      <c r="J71" s="2"/>
      <c r="K71" s="2"/>
      <c r="L71" s="2"/>
      <c r="M71" s="2"/>
      <c r="N71" s="2"/>
    </row>
    <row r="72" spans="1:14" s="2" customFormat="1" x14ac:dyDescent="0.2">
      <c r="A72" s="24"/>
      <c r="B72" s="1"/>
      <c r="C72" s="47" t="s">
        <v>570</v>
      </c>
      <c r="D72" s="111">
        <v>1576.06</v>
      </c>
      <c r="E72" s="104"/>
      <c r="G72" s="1"/>
      <c r="H72" s="110" t="s">
        <v>581</v>
      </c>
      <c r="N72" s="2" t="s">
        <v>535</v>
      </c>
    </row>
    <row r="73" spans="1:14" s="2" customFormat="1" x14ac:dyDescent="0.2">
      <c r="A73" s="24"/>
      <c r="B73" s="1"/>
      <c r="C73" s="47" t="s">
        <v>931</v>
      </c>
      <c r="D73" s="111">
        <v>55.49</v>
      </c>
      <c r="E73" s="104"/>
      <c r="G73" s="1"/>
      <c r="H73" s="110" t="s">
        <v>580</v>
      </c>
    </row>
    <row r="74" spans="1:14" s="2" customFormat="1" x14ac:dyDescent="0.2">
      <c r="A74" s="24"/>
      <c r="B74" s="1"/>
      <c r="C74" s="47" t="s">
        <v>572</v>
      </c>
      <c r="D74" s="111">
        <f>+D98/100000</f>
        <v>123.20884240000001</v>
      </c>
      <c r="E74" s="104"/>
      <c r="G74" s="1"/>
      <c r="H74" s="90" t="s">
        <v>587</v>
      </c>
    </row>
    <row r="75" spans="1:14" s="2" customFormat="1" x14ac:dyDescent="0.2">
      <c r="A75" s="24"/>
      <c r="B75" s="1"/>
      <c r="C75" s="108" t="s">
        <v>578</v>
      </c>
      <c r="D75" s="48">
        <f>SUM(D72:D74)</f>
        <v>1754.7588424</v>
      </c>
      <c r="E75" s="104"/>
      <c r="G75" s="1"/>
    </row>
    <row r="76" spans="1:14" s="2" customFormat="1" x14ac:dyDescent="0.2">
      <c r="A76" s="24"/>
      <c r="B76" s="1"/>
      <c r="C76" s="47"/>
      <c r="D76" s="107"/>
      <c r="E76" s="104"/>
      <c r="G76" s="1"/>
    </row>
    <row r="77" spans="1:14" s="2" customFormat="1" x14ac:dyDescent="0.2">
      <c r="A77" s="24"/>
      <c r="B77" s="1"/>
      <c r="C77" s="47" t="s">
        <v>932</v>
      </c>
      <c r="D77" s="111">
        <v>290.79000000000002</v>
      </c>
      <c r="E77" s="104"/>
      <c r="G77" s="1"/>
      <c r="H77" s="110" t="s">
        <v>581</v>
      </c>
    </row>
    <row r="78" spans="1:14" s="2" customFormat="1" x14ac:dyDescent="0.2">
      <c r="A78" s="24"/>
      <c r="B78" s="1"/>
      <c r="C78" s="47" t="s">
        <v>933</v>
      </c>
      <c r="D78" s="111">
        <f>84.68-79.04</f>
        <v>5.6400000000000006</v>
      </c>
      <c r="E78" s="104"/>
      <c r="G78" s="1"/>
      <c r="H78" s="110" t="s">
        <v>581</v>
      </c>
      <c r="J78" s="114" t="s">
        <v>713</v>
      </c>
    </row>
    <row r="79" spans="1:14" s="2" customFormat="1" x14ac:dyDescent="0.2">
      <c r="A79" s="24"/>
      <c r="B79" s="1"/>
      <c r="C79" s="78" t="s">
        <v>579</v>
      </c>
      <c r="D79" s="109">
        <f>D77+D78</f>
        <v>296.43</v>
      </c>
      <c r="E79" s="104"/>
      <c r="G79" s="1"/>
      <c r="I79" s="113"/>
      <c r="J79" s="113" t="s">
        <v>709</v>
      </c>
      <c r="K79" s="113" t="s">
        <v>710</v>
      </c>
      <c r="L79" s="113" t="s">
        <v>711</v>
      </c>
      <c r="M79" s="113" t="s">
        <v>712</v>
      </c>
    </row>
    <row r="80" spans="1:14" s="2" customFormat="1" x14ac:dyDescent="0.2">
      <c r="A80" s="24"/>
      <c r="B80" s="1"/>
      <c r="C80" s="105"/>
      <c r="D80" s="106"/>
      <c r="E80" s="104"/>
      <c r="G80" s="1"/>
      <c r="I80" s="113" t="s">
        <v>706</v>
      </c>
      <c r="J80" s="115"/>
      <c r="K80" s="115">
        <v>968.99</v>
      </c>
      <c r="L80" s="115">
        <v>968.99</v>
      </c>
      <c r="M80" s="113">
        <f>+J80+L80-K80</f>
        <v>0</v>
      </c>
    </row>
    <row r="81" spans="1:13" s="2" customFormat="1" x14ac:dyDescent="0.2">
      <c r="A81" s="24"/>
      <c r="B81" s="1"/>
      <c r="C81" s="78" t="s">
        <v>577</v>
      </c>
      <c r="D81" s="109">
        <f>D72+D79</f>
        <v>1872.49</v>
      </c>
      <c r="E81" s="104"/>
      <c r="G81" s="1"/>
      <c r="I81" s="113" t="s">
        <v>707</v>
      </c>
      <c r="J81" s="115">
        <v>183.1</v>
      </c>
      <c r="K81" s="115">
        <v>2016.46</v>
      </c>
      <c r="L81" s="115">
        <v>3083.6</v>
      </c>
      <c r="M81" s="113">
        <f>+J81+L81-K81</f>
        <v>1250.2399999999998</v>
      </c>
    </row>
    <row r="82" spans="1:13" s="2" customFormat="1" x14ac:dyDescent="0.2">
      <c r="A82" s="24"/>
      <c r="B82" s="1"/>
      <c r="C82" s="56"/>
      <c r="D82" s="56"/>
      <c r="E82" s="104"/>
      <c r="G82" s="1"/>
      <c r="I82" s="113" t="s">
        <v>708</v>
      </c>
      <c r="J82" s="115">
        <v>1371.02</v>
      </c>
      <c r="K82" s="115">
        <v>11801.5</v>
      </c>
      <c r="L82" s="115">
        <v>11834.81</v>
      </c>
      <c r="M82" s="113">
        <f>+J82+L82-K82</f>
        <v>1404.33</v>
      </c>
    </row>
    <row r="83" spans="1:13" s="2" customFormat="1" ht="38.25" x14ac:dyDescent="0.2">
      <c r="A83" s="24"/>
      <c r="B83" s="1"/>
      <c r="C83" s="79" t="str">
        <f>"Particulars ( 01-04-2021 to "&amp;TEXT(A5,"dd-mm-yyyy")&amp;" )"</f>
        <v>Particulars ( 01-04-2021 to 10-06-2023 )</v>
      </c>
      <c r="D83" s="80" t="s">
        <v>73</v>
      </c>
      <c r="E83" s="80" t="s">
        <v>74</v>
      </c>
      <c r="F83" s="81" t="s">
        <v>75</v>
      </c>
      <c r="G83" s="80" t="s">
        <v>76</v>
      </c>
      <c r="J83" s="118">
        <f>SUM(J80:J82)</f>
        <v>1554.12</v>
      </c>
      <c r="K83" s="118">
        <f>SUM(K80:K82)</f>
        <v>14786.95</v>
      </c>
      <c r="L83" s="118">
        <f>SUM(L80:L82)</f>
        <v>15887.4</v>
      </c>
      <c r="M83" s="118">
        <f>SUM(M80:M82)</f>
        <v>2654.5699999999997</v>
      </c>
    </row>
    <row r="84" spans="1:13" s="2" customFormat="1" x14ac:dyDescent="0.2">
      <c r="A84" s="24"/>
      <c r="B84" s="1"/>
      <c r="C84" s="50" t="s">
        <v>444</v>
      </c>
      <c r="D84" s="55">
        <f>+L80+L81+J81</f>
        <v>4235.6900000000005</v>
      </c>
      <c r="E84" s="55">
        <f>+K80+K81</f>
        <v>2985.45</v>
      </c>
      <c r="F84" s="55">
        <f>+D84-E84</f>
        <v>1250.2400000000007</v>
      </c>
      <c r="G84" s="55">
        <f>1500-F84</f>
        <v>249.75999999999931</v>
      </c>
      <c r="H84" s="2" t="s">
        <v>396</v>
      </c>
    </row>
    <row r="85" spans="1:13" s="2" customFormat="1" x14ac:dyDescent="0.2">
      <c r="A85" s="24"/>
      <c r="B85" s="1"/>
      <c r="C85" s="50" t="s">
        <v>71</v>
      </c>
      <c r="D85" s="55">
        <f>+J82+L82</f>
        <v>13205.83</v>
      </c>
      <c r="E85" s="55">
        <f>+K82</f>
        <v>11801.5</v>
      </c>
      <c r="F85" s="55">
        <f>+D85-E85</f>
        <v>1404.33</v>
      </c>
      <c r="G85" s="55">
        <f>1500+700-F85</f>
        <v>795.67000000000007</v>
      </c>
      <c r="H85" s="2" t="s">
        <v>396</v>
      </c>
    </row>
    <row r="86" spans="1:13" s="2" customFormat="1" x14ac:dyDescent="0.2">
      <c r="A86" s="24"/>
      <c r="B86" s="1"/>
      <c r="C86" s="14"/>
      <c r="D86" s="56"/>
      <c r="E86" s="13"/>
      <c r="G86" s="1"/>
    </row>
    <row r="87" spans="1:13" s="2" customFormat="1" x14ac:dyDescent="0.2">
      <c r="A87" s="215" t="s">
        <v>80</v>
      </c>
      <c r="B87" s="216"/>
      <c r="C87" s="216"/>
      <c r="D87" s="217"/>
      <c r="E87" s="69"/>
      <c r="F87" s="70"/>
      <c r="G87" s="1"/>
      <c r="H87" s="53"/>
    </row>
    <row r="88" spans="1:13" s="2" customFormat="1" x14ac:dyDescent="0.2">
      <c r="A88" s="71" t="s">
        <v>81</v>
      </c>
      <c r="B88" s="71"/>
      <c r="C88" s="72" t="s">
        <v>82</v>
      </c>
      <c r="D88" s="73" t="s">
        <v>83</v>
      </c>
      <c r="E88" s="69"/>
      <c r="F88" s="70"/>
      <c r="H88" s="53"/>
    </row>
    <row r="89" spans="1:13" s="2" customFormat="1" x14ac:dyDescent="0.2">
      <c r="A89" s="87">
        <v>45080</v>
      </c>
      <c r="B89" s="120" t="s">
        <v>1052</v>
      </c>
      <c r="C89" s="75" t="s">
        <v>86</v>
      </c>
      <c r="D89" s="88">
        <v>163799</v>
      </c>
      <c r="G89" s="1"/>
      <c r="L89" s="1"/>
      <c r="M89" s="1"/>
    </row>
    <row r="90" spans="1:13" s="2" customFormat="1" x14ac:dyDescent="0.2">
      <c r="A90" s="87">
        <v>45080</v>
      </c>
      <c r="B90" s="120" t="s">
        <v>1052</v>
      </c>
      <c r="C90" s="75" t="s">
        <v>86</v>
      </c>
      <c r="D90" s="88">
        <v>1695107</v>
      </c>
      <c r="G90" s="1"/>
      <c r="L90" s="1"/>
      <c r="M90" s="1"/>
    </row>
    <row r="91" spans="1:13" s="2" customFormat="1" x14ac:dyDescent="0.2">
      <c r="A91" s="87">
        <v>45082</v>
      </c>
      <c r="B91" s="120" t="s">
        <v>1052</v>
      </c>
      <c r="C91" s="75" t="s">
        <v>87</v>
      </c>
      <c r="D91" s="88">
        <v>6627</v>
      </c>
      <c r="G91" s="1"/>
      <c r="L91" s="1"/>
      <c r="M91" s="1"/>
    </row>
    <row r="92" spans="1:13" s="2" customFormat="1" x14ac:dyDescent="0.2">
      <c r="A92" s="87">
        <v>45084</v>
      </c>
      <c r="B92" s="120" t="s">
        <v>1052</v>
      </c>
      <c r="C92" s="75" t="s">
        <v>87</v>
      </c>
      <c r="D92" s="88">
        <v>618395.80000000005</v>
      </c>
      <c r="G92" s="1"/>
      <c r="L92" s="1"/>
      <c r="M92" s="1"/>
    </row>
    <row r="93" spans="1:13" s="2" customFormat="1" x14ac:dyDescent="0.2">
      <c r="A93" s="87">
        <v>45084</v>
      </c>
      <c r="B93" s="120" t="s">
        <v>1052</v>
      </c>
      <c r="C93" s="75" t="s">
        <v>271</v>
      </c>
      <c r="D93" s="88">
        <v>485258</v>
      </c>
      <c r="G93" s="1"/>
      <c r="L93" s="1"/>
      <c r="M93" s="1"/>
    </row>
    <row r="94" spans="1:13" s="2" customFormat="1" x14ac:dyDescent="0.2">
      <c r="A94" s="87">
        <v>45086</v>
      </c>
      <c r="B94" s="120" t="s">
        <v>1052</v>
      </c>
      <c r="C94" s="75" t="s">
        <v>784</v>
      </c>
      <c r="D94" s="88">
        <v>1104724</v>
      </c>
      <c r="G94" s="1"/>
      <c r="L94" s="1"/>
      <c r="M94" s="1"/>
    </row>
    <row r="95" spans="1:13" s="2" customFormat="1" x14ac:dyDescent="0.2">
      <c r="A95" s="87">
        <v>45086</v>
      </c>
      <c r="B95" s="120" t="s">
        <v>1052</v>
      </c>
      <c r="C95" s="75" t="s">
        <v>86</v>
      </c>
      <c r="D95" s="88">
        <v>1756907</v>
      </c>
      <c r="G95" s="1"/>
      <c r="L95" s="1"/>
      <c r="M95" s="1"/>
    </row>
    <row r="96" spans="1:13" s="2" customFormat="1" x14ac:dyDescent="0.2">
      <c r="A96" s="87">
        <v>45086</v>
      </c>
      <c r="B96" s="120" t="s">
        <v>1052</v>
      </c>
      <c r="C96" s="75" t="s">
        <v>784</v>
      </c>
      <c r="D96" s="88">
        <v>1489874</v>
      </c>
      <c r="G96" s="1"/>
      <c r="L96" s="1"/>
      <c r="M96" s="1"/>
    </row>
    <row r="97" spans="1:13" s="2" customFormat="1" x14ac:dyDescent="0.2">
      <c r="A97" s="87">
        <v>45086</v>
      </c>
      <c r="B97" s="120" t="s">
        <v>1052</v>
      </c>
      <c r="C97" s="75" t="s">
        <v>201</v>
      </c>
      <c r="D97" s="88">
        <v>5000192.4400000004</v>
      </c>
      <c r="G97" s="1"/>
      <c r="L97" s="1"/>
      <c r="M97" s="1"/>
    </row>
    <row r="98" spans="1:13" s="2" customFormat="1" x14ac:dyDescent="0.2">
      <c r="A98" s="87"/>
      <c r="B98" s="74"/>
      <c r="C98" s="75"/>
      <c r="D98" s="51">
        <f>SUM(D89:D97)</f>
        <v>12320884.24</v>
      </c>
      <c r="F98" s="2" t="s">
        <v>396</v>
      </c>
      <c r="G98" s="1"/>
      <c r="L98" s="1"/>
      <c r="M98" s="1"/>
    </row>
    <row r="99" spans="1:13" s="2" customFormat="1" x14ac:dyDescent="0.2">
      <c r="A99" s="24"/>
      <c r="B99" s="1"/>
      <c r="C99" s="14"/>
      <c r="D99" s="56"/>
      <c r="E99" s="13"/>
      <c r="G99" s="1"/>
      <c r="L99" s="1"/>
      <c r="M99" s="1"/>
    </row>
    <row r="100" spans="1:13" s="2" customFormat="1" x14ac:dyDescent="0.2">
      <c r="A100" s="24"/>
      <c r="B100" s="1"/>
      <c r="C100" s="218" t="s">
        <v>77</v>
      </c>
      <c r="D100" s="219"/>
      <c r="E100" s="219"/>
      <c r="F100" s="220"/>
      <c r="G100" s="1"/>
      <c r="L100" s="1"/>
      <c r="M100" s="1"/>
    </row>
    <row r="101" spans="1:13" s="2" customFormat="1" x14ac:dyDescent="0.2">
      <c r="A101" s="24"/>
      <c r="B101" s="1"/>
      <c r="C101" s="50"/>
      <c r="D101" s="57" t="s">
        <v>78</v>
      </c>
      <c r="E101" s="58" t="s">
        <v>79</v>
      </c>
      <c r="F101" s="57" t="s">
        <v>72</v>
      </c>
      <c r="G101" s="1"/>
      <c r="I101" s="1"/>
      <c r="J101" s="1"/>
      <c r="K101" s="1"/>
      <c r="L101" s="1"/>
      <c r="M101" s="1"/>
    </row>
    <row r="102" spans="1:13" s="2" customFormat="1" x14ac:dyDescent="0.2">
      <c r="A102" s="24"/>
      <c r="B102" s="1"/>
      <c r="C102" s="59" t="str">
        <f>"01-06-2023 to "&amp;TEXT(A5-2,"dd-mm-yyyy")</f>
        <v>01-06-2023 to 08-06-2023</v>
      </c>
      <c r="D102" s="60">
        <v>1916.84</v>
      </c>
      <c r="E102" s="60">
        <v>76.75</v>
      </c>
      <c r="F102" s="61">
        <f>SUM(D102:E102)</f>
        <v>1993.59</v>
      </c>
      <c r="G102" s="1"/>
    </row>
    <row r="103" spans="1:13" s="2" customFormat="1" x14ac:dyDescent="0.2">
      <c r="A103" s="24"/>
      <c r="B103" s="1"/>
      <c r="C103" s="62" t="str">
        <f>TEXT(A5-1,"dd-mm-yyyy")</f>
        <v>09-06-2023</v>
      </c>
      <c r="D103" s="60">
        <v>125.16</v>
      </c>
      <c r="E103" s="60">
        <v>2.78</v>
      </c>
      <c r="F103" s="61">
        <f>SUM(D103:E103)</f>
        <v>127.94</v>
      </c>
      <c r="G103" s="54"/>
      <c r="I103" s="1"/>
      <c r="J103" s="1"/>
      <c r="K103" s="1"/>
      <c r="L103" s="1"/>
      <c r="M103" s="1"/>
    </row>
    <row r="104" spans="1:13" s="2" customFormat="1" ht="13.5" thickBot="1" x14ac:dyDescent="0.25">
      <c r="A104" s="24"/>
      <c r="B104" s="1"/>
      <c r="C104" s="63" t="str">
        <f>"01-06-2023 to "&amp;TEXT(A5-1,"dd-mm-yyyy")</f>
        <v>01-06-2023 to 09-06-2023</v>
      </c>
      <c r="D104" s="64">
        <f>SUM(D102:D103)</f>
        <v>2042</v>
      </c>
      <c r="E104" s="64">
        <f>SUM(E102:E103)</f>
        <v>79.53</v>
      </c>
      <c r="F104" s="64">
        <f>SUM(F102:F103)</f>
        <v>2121.5299999999997</v>
      </c>
      <c r="G104" s="54"/>
      <c r="I104" s="1"/>
      <c r="J104" s="1"/>
      <c r="K104" s="1"/>
      <c r="L104" s="1"/>
      <c r="M104" s="1"/>
    </row>
    <row r="105" spans="1:13" s="2" customFormat="1" ht="13.5" thickTop="1" x14ac:dyDescent="0.2">
      <c r="A105" s="24"/>
      <c r="B105" s="1"/>
      <c r="C105" s="62"/>
      <c r="D105" s="65"/>
      <c r="E105" s="66"/>
      <c r="F105" s="67"/>
      <c r="G105" s="54"/>
      <c r="I105" s="1"/>
      <c r="J105" s="1"/>
      <c r="K105" s="1"/>
      <c r="L105" s="1"/>
      <c r="M105" s="1"/>
    </row>
    <row r="106" spans="1:13" s="2" customFormat="1" x14ac:dyDescent="0.2">
      <c r="A106" s="24"/>
      <c r="B106" s="1"/>
      <c r="C106" s="62" t="str">
        <f>"01-04-2023 to " &amp;C103</f>
        <v>01-04-2023 to 09-06-2023</v>
      </c>
      <c r="D106" s="68">
        <f>+D104+9224.33</f>
        <v>11266.33</v>
      </c>
      <c r="E106" s="68">
        <f>+E104+906.58</f>
        <v>986.11</v>
      </c>
      <c r="F106" s="68">
        <f>+F104+10130.9</f>
        <v>12252.43</v>
      </c>
      <c r="G106" s="54"/>
      <c r="I106" s="1"/>
      <c r="J106" s="1"/>
      <c r="K106" s="1"/>
      <c r="L106" s="1"/>
      <c r="M106" s="1"/>
    </row>
    <row r="107" spans="1:13" x14ac:dyDescent="0.2">
      <c r="C107" s="52"/>
      <c r="D107" s="85"/>
      <c r="E107" s="53"/>
      <c r="F107" s="53"/>
      <c r="G107" s="54"/>
      <c r="H107" s="2" t="s">
        <v>396</v>
      </c>
    </row>
    <row r="108" spans="1:13" s="2" customFormat="1" x14ac:dyDescent="0.2">
      <c r="A108" s="24"/>
      <c r="B108" s="1"/>
      <c r="C108" s="52"/>
      <c r="D108" s="85"/>
      <c r="E108" s="53"/>
      <c r="F108" s="53"/>
      <c r="G108" s="54"/>
      <c r="H108" s="53"/>
    </row>
    <row r="109" spans="1:13" x14ac:dyDescent="0.2">
      <c r="C109" s="52"/>
      <c r="D109" s="85"/>
      <c r="E109" s="53"/>
      <c r="F109" s="53"/>
      <c r="G109" s="54"/>
      <c r="H109" s="53" t="s">
        <v>396</v>
      </c>
    </row>
    <row r="110" spans="1:13" x14ac:dyDescent="0.2">
      <c r="C110" s="52"/>
      <c r="D110" s="85"/>
      <c r="E110" s="53"/>
      <c r="F110" s="53"/>
      <c r="G110" s="54"/>
      <c r="H110" s="53" t="s">
        <v>396</v>
      </c>
      <c r="J110" s="42"/>
    </row>
    <row r="111" spans="1:13" x14ac:dyDescent="0.2">
      <c r="G111" s="54"/>
      <c r="H111" s="53"/>
      <c r="I111" s="101"/>
    </row>
    <row r="112" spans="1:13" x14ac:dyDescent="0.2">
      <c r="G112" s="54"/>
      <c r="H112" s="53"/>
    </row>
    <row r="113" spans="7:8" x14ac:dyDescent="0.2">
      <c r="G113" s="54"/>
      <c r="H113" s="53"/>
    </row>
    <row r="114" spans="7:8" x14ac:dyDescent="0.2">
      <c r="H114" s="53"/>
    </row>
  </sheetData>
  <mergeCells count="6">
    <mergeCell ref="C100:F100"/>
    <mergeCell ref="A1:G1"/>
    <mergeCell ref="A3:F3"/>
    <mergeCell ref="A10:F10"/>
    <mergeCell ref="A25:F25"/>
    <mergeCell ref="A87:D87"/>
  </mergeCells>
  <conditionalFormatting sqref="G84:G85">
    <cfRule type="cellIs" dxfId="499" priority="2" operator="lessThan">
      <formula>0</formula>
    </cfRule>
  </conditionalFormatting>
  <conditionalFormatting sqref="C27">
    <cfRule type="duplicateValues" dxfId="498" priority="3"/>
  </conditionalFormatting>
  <conditionalFormatting sqref="C28:C63">
    <cfRule type="duplicateValues" dxfId="497" priority="535"/>
  </conditionalFormatting>
  <conditionalFormatting sqref="C64">
    <cfRule type="duplicateValues" dxfId="496" priority="536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349">
    <pageSetUpPr fitToPage="1"/>
  </sheetPr>
  <dimension ref="A1:N112"/>
  <sheetViews>
    <sheetView topLeftCell="A16" zoomScaleNormal="100" workbookViewId="0">
      <selection activeCell="C46" sqref="C46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47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1073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45089</v>
      </c>
      <c r="B5" s="9" t="s">
        <v>6</v>
      </c>
      <c r="C5" s="10" t="s">
        <v>7</v>
      </c>
      <c r="D5" s="11"/>
      <c r="E5" s="12">
        <v>5242816.7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5242816.7</v>
      </c>
      <c r="F6" s="16">
        <f>F5</f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+E6-F6</f>
        <v>5242816.7</v>
      </c>
      <c r="F7" s="22"/>
      <c r="G7" s="23"/>
      <c r="H7" s="112"/>
      <c r="I7" s="112"/>
      <c r="J7" s="13"/>
    </row>
    <row r="8" spans="1:10" ht="12.75" customHeight="1" x14ac:dyDescent="0.4">
      <c r="H8" s="112"/>
      <c r="I8" s="112"/>
    </row>
    <row r="9" spans="1:10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12"/>
    </row>
    <row r="10" spans="1:10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12"/>
    </row>
    <row r="11" spans="1:10" s="2" customFormat="1" ht="14.25" customHeight="1" x14ac:dyDescent="0.2">
      <c r="A11" s="127">
        <v>45089</v>
      </c>
      <c r="B11" s="9" t="s">
        <v>6</v>
      </c>
      <c r="C11" s="10" t="s">
        <v>7</v>
      </c>
      <c r="D11" s="11"/>
      <c r="F11" s="12">
        <v>25443257.689999994</v>
      </c>
      <c r="G11" s="1"/>
      <c r="H11" s="130"/>
      <c r="I11" s="130"/>
    </row>
    <row r="12" spans="1:10" s="2" customFormat="1" ht="14.25" customHeight="1" x14ac:dyDescent="0.2">
      <c r="A12" s="127">
        <v>45089</v>
      </c>
      <c r="B12" s="9" t="s">
        <v>11</v>
      </c>
      <c r="C12" s="76" t="s">
        <v>235</v>
      </c>
      <c r="D12" s="11" t="s">
        <v>29</v>
      </c>
      <c r="E12" s="124"/>
      <c r="F12" s="31">
        <v>6879</v>
      </c>
      <c r="G12" s="1"/>
      <c r="H12" s="130"/>
      <c r="I12" s="130"/>
    </row>
    <row r="13" spans="1:10" s="2" customFormat="1" ht="14.25" customHeight="1" x14ac:dyDescent="0.2">
      <c r="A13" s="127">
        <v>45089</v>
      </c>
      <c r="B13" s="9" t="s">
        <v>11</v>
      </c>
      <c r="C13" s="76" t="s">
        <v>1074</v>
      </c>
      <c r="D13" s="11" t="s">
        <v>29</v>
      </c>
      <c r="E13" s="124"/>
      <c r="F13" s="31">
        <v>21219</v>
      </c>
      <c r="G13" s="1"/>
      <c r="H13" s="130"/>
      <c r="I13" s="130"/>
    </row>
    <row r="14" spans="1:10" s="2" customFormat="1" ht="14.25" customHeight="1" x14ac:dyDescent="0.2">
      <c r="A14" s="127">
        <v>45089</v>
      </c>
      <c r="B14" s="9" t="s">
        <v>11</v>
      </c>
      <c r="C14" s="76" t="s">
        <v>1075</v>
      </c>
      <c r="D14" s="11" t="s">
        <v>29</v>
      </c>
      <c r="E14" s="124"/>
      <c r="F14" s="31">
        <v>5310</v>
      </c>
      <c r="G14" s="1"/>
      <c r="H14" s="130"/>
      <c r="I14" s="130"/>
    </row>
    <row r="15" spans="1:10" s="2" customFormat="1" ht="14.25" customHeight="1" x14ac:dyDescent="0.2">
      <c r="A15" s="127">
        <v>45089</v>
      </c>
      <c r="B15" s="9" t="s">
        <v>11</v>
      </c>
      <c r="C15" s="76" t="s">
        <v>57</v>
      </c>
      <c r="D15" s="11" t="s">
        <v>29</v>
      </c>
      <c r="E15" s="124"/>
      <c r="F15" s="31">
        <v>1700000</v>
      </c>
      <c r="G15" s="1"/>
      <c r="H15" s="130"/>
      <c r="I15" s="130"/>
    </row>
    <row r="16" spans="1:10" s="2" customFormat="1" ht="12.75" customHeight="1" x14ac:dyDescent="0.4">
      <c r="D16" s="15" t="s">
        <v>8</v>
      </c>
      <c r="E16" s="16">
        <f>SUM(E12:E15)</f>
        <v>0</v>
      </c>
      <c r="F16" s="16">
        <f>SUM(F11:F15)</f>
        <v>27176665.689999994</v>
      </c>
      <c r="G16" s="1"/>
      <c r="H16" s="112"/>
      <c r="I16" s="112"/>
    </row>
    <row r="17" spans="1:10" s="2" customFormat="1" ht="12.75" customHeight="1" x14ac:dyDescent="0.4">
      <c r="A17" s="17"/>
      <c r="B17" s="18"/>
      <c r="C17" s="96" t="s">
        <v>9</v>
      </c>
      <c r="D17" s="20"/>
      <c r="E17" s="21">
        <f>+F16-E16</f>
        <v>27176665.689999994</v>
      </c>
      <c r="G17" s="23"/>
      <c r="H17" s="112"/>
      <c r="I17" s="112"/>
      <c r="J17" s="13"/>
    </row>
    <row r="18" spans="1:10" s="2" customFormat="1" ht="12.75" customHeight="1" x14ac:dyDescent="0.4">
      <c r="A18" s="24"/>
      <c r="B18" s="1"/>
      <c r="C18" s="14"/>
      <c r="D18" s="25"/>
      <c r="G18" s="23"/>
      <c r="H18" s="112"/>
      <c r="I18" s="112"/>
      <c r="J18" s="13"/>
    </row>
    <row r="19" spans="1:10" s="2" customFormat="1" ht="21.75" customHeight="1" x14ac:dyDescent="0.4">
      <c r="A19" s="214" t="s">
        <v>10</v>
      </c>
      <c r="B19" s="214"/>
      <c r="C19" s="214"/>
      <c r="D19" s="214"/>
      <c r="E19" s="214"/>
      <c r="F19" s="214"/>
      <c r="G19" s="13"/>
      <c r="H19" s="112"/>
      <c r="I19" s="112"/>
      <c r="J19" s="13"/>
    </row>
    <row r="20" spans="1:10" s="2" customFormat="1" ht="12.75" customHeight="1" x14ac:dyDescent="0.4">
      <c r="A20" s="26" t="s">
        <v>1</v>
      </c>
      <c r="B20" s="27" t="s">
        <v>2</v>
      </c>
      <c r="C20" s="5"/>
      <c r="D20" s="6" t="s">
        <v>3</v>
      </c>
      <c r="E20" s="7" t="s">
        <v>4</v>
      </c>
      <c r="F20" s="7" t="s">
        <v>5</v>
      </c>
      <c r="G20" s="23"/>
      <c r="H20" s="112"/>
      <c r="I20" s="112"/>
      <c r="J20" s="13"/>
    </row>
    <row r="21" spans="1:10" s="2" customFormat="1" ht="12.75" customHeight="1" x14ac:dyDescent="0.2">
      <c r="A21" s="127">
        <v>45089</v>
      </c>
      <c r="B21" s="128" t="s">
        <v>11</v>
      </c>
      <c r="C21" s="29" t="s">
        <v>7</v>
      </c>
      <c r="D21" s="25"/>
      <c r="E21" s="31"/>
      <c r="F21" s="2">
        <v>286533317.9599998</v>
      </c>
      <c r="G21" s="30"/>
      <c r="I21" s="13"/>
      <c r="J21" s="13"/>
    </row>
    <row r="22" spans="1:10" s="70" customFormat="1" ht="12.75" customHeight="1" x14ac:dyDescent="0.2">
      <c r="A22" s="127">
        <v>45089</v>
      </c>
      <c r="B22" s="128" t="s">
        <v>6</v>
      </c>
      <c r="C22" s="76" t="s">
        <v>743</v>
      </c>
      <c r="D22" s="125" t="s">
        <v>13</v>
      </c>
      <c r="E22" s="129">
        <v>504554</v>
      </c>
      <c r="G22" s="30"/>
      <c r="I22" s="69"/>
      <c r="J22" s="69"/>
    </row>
    <row r="23" spans="1:10" s="70" customFormat="1" ht="12.75" customHeight="1" x14ac:dyDescent="0.2">
      <c r="A23" s="127">
        <v>45089</v>
      </c>
      <c r="B23" s="128" t="s">
        <v>6</v>
      </c>
      <c r="C23" s="76" t="s">
        <v>488</v>
      </c>
      <c r="D23" s="125" t="s">
        <v>13</v>
      </c>
      <c r="E23" s="129">
        <v>442926</v>
      </c>
      <c r="G23" s="30"/>
      <c r="I23" s="69"/>
      <c r="J23" s="69"/>
    </row>
    <row r="24" spans="1:10" s="70" customFormat="1" ht="12.75" customHeight="1" x14ac:dyDescent="0.2">
      <c r="A24" s="127">
        <v>45089</v>
      </c>
      <c r="B24" s="128" t="s">
        <v>6</v>
      </c>
      <c r="C24" s="76" t="s">
        <v>651</v>
      </c>
      <c r="D24" s="126" t="s">
        <v>13</v>
      </c>
      <c r="E24" s="129">
        <v>3064635</v>
      </c>
      <c r="G24" s="30"/>
      <c r="I24" s="69"/>
      <c r="J24" s="69"/>
    </row>
    <row r="25" spans="1:10" s="70" customFormat="1" ht="12.75" customHeight="1" x14ac:dyDescent="0.2">
      <c r="A25" s="127">
        <v>45089</v>
      </c>
      <c r="B25" s="128" t="s">
        <v>6</v>
      </c>
      <c r="C25" s="76" t="s">
        <v>466</v>
      </c>
      <c r="D25" s="126" t="s">
        <v>13</v>
      </c>
      <c r="E25" s="129">
        <f>825515+2940</f>
        <v>828455</v>
      </c>
      <c r="G25" s="30"/>
      <c r="I25" s="69"/>
      <c r="J25" s="69"/>
    </row>
    <row r="26" spans="1:10" s="70" customFormat="1" ht="12.75" customHeight="1" x14ac:dyDescent="0.2">
      <c r="A26" s="127">
        <v>45089</v>
      </c>
      <c r="B26" s="128" t="s">
        <v>6</v>
      </c>
      <c r="C26" s="76" t="s">
        <v>93</v>
      </c>
      <c r="D26" s="126" t="s">
        <v>13</v>
      </c>
      <c r="E26" s="129">
        <v>500463</v>
      </c>
      <c r="G26" s="30"/>
      <c r="I26" s="69"/>
      <c r="J26" s="69"/>
    </row>
    <row r="27" spans="1:10" s="70" customFormat="1" ht="12.75" customHeight="1" x14ac:dyDescent="0.2">
      <c r="A27" s="127">
        <v>45089</v>
      </c>
      <c r="B27" s="128" t="s">
        <v>6</v>
      </c>
      <c r="C27" s="76" t="s">
        <v>159</v>
      </c>
      <c r="D27" s="126" t="s">
        <v>13</v>
      </c>
      <c r="E27" s="129">
        <v>670842</v>
      </c>
      <c r="G27" s="30"/>
      <c r="I27" s="69"/>
      <c r="J27" s="69"/>
    </row>
    <row r="28" spans="1:10" s="70" customFormat="1" ht="12.75" customHeight="1" x14ac:dyDescent="0.2">
      <c r="A28" s="127">
        <v>45089</v>
      </c>
      <c r="B28" s="128" t="s">
        <v>6</v>
      </c>
      <c r="C28" s="76" t="s">
        <v>915</v>
      </c>
      <c r="D28" s="126" t="s">
        <v>13</v>
      </c>
      <c r="E28" s="129">
        <v>116741</v>
      </c>
      <c r="G28" s="30"/>
      <c r="I28" s="69"/>
      <c r="J28" s="69"/>
    </row>
    <row r="29" spans="1:10" s="70" customFormat="1" ht="12.75" customHeight="1" x14ac:dyDescent="0.2">
      <c r="A29" s="127">
        <v>45089</v>
      </c>
      <c r="B29" s="128" t="s">
        <v>6</v>
      </c>
      <c r="C29" s="76" t="s">
        <v>1033</v>
      </c>
      <c r="D29" s="126" t="s">
        <v>13</v>
      </c>
      <c r="E29" s="129">
        <v>1614819</v>
      </c>
      <c r="G29" s="30"/>
      <c r="I29" s="69"/>
      <c r="J29" s="69"/>
    </row>
    <row r="30" spans="1:10" s="70" customFormat="1" ht="12.75" customHeight="1" x14ac:dyDescent="0.2">
      <c r="A30" s="127">
        <v>45089</v>
      </c>
      <c r="B30" s="128" t="s">
        <v>6</v>
      </c>
      <c r="C30" s="76" t="s">
        <v>688</v>
      </c>
      <c r="D30" s="126" t="s">
        <v>13</v>
      </c>
      <c r="E30" s="129">
        <v>300000</v>
      </c>
      <c r="G30" s="30"/>
      <c r="I30" s="69"/>
      <c r="J30" s="69"/>
    </row>
    <row r="31" spans="1:10" s="70" customFormat="1" ht="12.75" customHeight="1" x14ac:dyDescent="0.2">
      <c r="A31" s="127">
        <v>45089</v>
      </c>
      <c r="B31" s="128" t="s">
        <v>6</v>
      </c>
      <c r="C31" s="76" t="s">
        <v>615</v>
      </c>
      <c r="D31" s="126" t="s">
        <v>13</v>
      </c>
      <c r="E31" s="129">
        <v>42000</v>
      </c>
      <c r="G31" s="30"/>
      <c r="I31" s="69"/>
      <c r="J31" s="69"/>
    </row>
    <row r="32" spans="1:10" s="70" customFormat="1" ht="12.75" customHeight="1" x14ac:dyDescent="0.2">
      <c r="A32" s="127">
        <v>45089</v>
      </c>
      <c r="B32" s="128" t="s">
        <v>6</v>
      </c>
      <c r="C32" s="76" t="s">
        <v>177</v>
      </c>
      <c r="D32" s="126" t="s">
        <v>13</v>
      </c>
      <c r="E32" s="129">
        <v>615608</v>
      </c>
      <c r="G32" s="30"/>
      <c r="I32" s="69"/>
      <c r="J32" s="69"/>
    </row>
    <row r="33" spans="1:10" s="70" customFormat="1" ht="12.75" customHeight="1" x14ac:dyDescent="0.2">
      <c r="A33" s="127">
        <v>45089</v>
      </c>
      <c r="B33" s="128" t="s">
        <v>6</v>
      </c>
      <c r="C33" s="76" t="s">
        <v>326</v>
      </c>
      <c r="D33" s="126" t="s">
        <v>13</v>
      </c>
      <c r="E33" s="129">
        <v>800000</v>
      </c>
      <c r="G33" s="30"/>
      <c r="I33" s="69"/>
      <c r="J33" s="69"/>
    </row>
    <row r="34" spans="1:10" s="70" customFormat="1" ht="12.75" customHeight="1" x14ac:dyDescent="0.2">
      <c r="A34" s="127">
        <v>45089</v>
      </c>
      <c r="B34" s="128" t="s">
        <v>6</v>
      </c>
      <c r="C34" s="76" t="s">
        <v>543</v>
      </c>
      <c r="D34" s="126" t="s">
        <v>13</v>
      </c>
      <c r="E34" s="129">
        <v>170667</v>
      </c>
      <c r="G34" s="30"/>
      <c r="I34" s="69"/>
      <c r="J34" s="69"/>
    </row>
    <row r="35" spans="1:10" s="70" customFormat="1" ht="12.75" customHeight="1" x14ac:dyDescent="0.2">
      <c r="A35" s="127">
        <v>45089</v>
      </c>
      <c r="B35" s="128" t="s">
        <v>6</v>
      </c>
      <c r="C35" s="76" t="s">
        <v>756</v>
      </c>
      <c r="D35" s="126" t="s">
        <v>13</v>
      </c>
      <c r="E35" s="129">
        <v>295181</v>
      </c>
      <c r="G35" s="30"/>
      <c r="I35" s="69"/>
      <c r="J35" s="69"/>
    </row>
    <row r="36" spans="1:10" s="70" customFormat="1" ht="12.75" customHeight="1" x14ac:dyDescent="0.2">
      <c r="A36" s="127">
        <v>45089</v>
      </c>
      <c r="B36" s="128" t="s">
        <v>6</v>
      </c>
      <c r="C36" s="76" t="s">
        <v>272</v>
      </c>
      <c r="D36" s="126" t="s">
        <v>13</v>
      </c>
      <c r="E36" s="129">
        <v>1933007</v>
      </c>
      <c r="G36" s="30"/>
      <c r="I36" s="69"/>
      <c r="J36" s="69"/>
    </row>
    <row r="37" spans="1:10" s="70" customFormat="1" ht="12.75" customHeight="1" x14ac:dyDescent="0.2">
      <c r="A37" s="127">
        <v>45089</v>
      </c>
      <c r="B37" s="128" t="s">
        <v>6</v>
      </c>
      <c r="C37" s="76" t="s">
        <v>762</v>
      </c>
      <c r="D37" s="126" t="s">
        <v>13</v>
      </c>
      <c r="E37" s="129">
        <v>477075</v>
      </c>
      <c r="G37" s="30"/>
      <c r="I37" s="69"/>
      <c r="J37" s="69"/>
    </row>
    <row r="38" spans="1:10" s="70" customFormat="1" ht="12.75" customHeight="1" x14ac:dyDescent="0.2">
      <c r="A38" s="127">
        <v>45089</v>
      </c>
      <c r="B38" s="128" t="s">
        <v>6</v>
      </c>
      <c r="C38" s="76" t="s">
        <v>149</v>
      </c>
      <c r="D38" s="126" t="s">
        <v>13</v>
      </c>
      <c r="E38" s="129">
        <v>9380</v>
      </c>
      <c r="G38" s="30"/>
      <c r="I38" s="69"/>
      <c r="J38" s="69"/>
    </row>
    <row r="39" spans="1:10" s="70" customFormat="1" ht="12.75" customHeight="1" x14ac:dyDescent="0.2">
      <c r="A39" s="127">
        <v>45089</v>
      </c>
      <c r="B39" s="128" t="s">
        <v>6</v>
      </c>
      <c r="C39" s="76" t="s">
        <v>271</v>
      </c>
      <c r="D39" s="126" t="s">
        <v>13</v>
      </c>
      <c r="E39" s="129">
        <v>1527817</v>
      </c>
      <c r="G39" s="30"/>
      <c r="I39" s="69"/>
      <c r="J39" s="69"/>
    </row>
    <row r="40" spans="1:10" s="70" customFormat="1" ht="12.75" customHeight="1" x14ac:dyDescent="0.2">
      <c r="A40" s="127">
        <v>45089</v>
      </c>
      <c r="B40" s="128" t="s">
        <v>6</v>
      </c>
      <c r="C40" s="76" t="s">
        <v>120</v>
      </c>
      <c r="D40" s="126" t="s">
        <v>13</v>
      </c>
      <c r="E40" s="129">
        <v>7265685</v>
      </c>
      <c r="G40" s="30"/>
      <c r="I40" s="69"/>
      <c r="J40" s="69"/>
    </row>
    <row r="41" spans="1:10" s="70" customFormat="1" ht="12.75" customHeight="1" x14ac:dyDescent="0.2">
      <c r="A41" s="127">
        <v>45089</v>
      </c>
      <c r="B41" s="128" t="s">
        <v>11</v>
      </c>
      <c r="C41" s="76" t="s">
        <v>111</v>
      </c>
      <c r="D41" s="126" t="s">
        <v>29</v>
      </c>
      <c r="E41" s="129"/>
      <c r="F41" s="70">
        <v>7311318.4700000007</v>
      </c>
      <c r="G41" s="30"/>
      <c r="I41" s="69"/>
      <c r="J41" s="69"/>
    </row>
    <row r="42" spans="1:10" s="70" customFormat="1" ht="12.75" customHeight="1" x14ac:dyDescent="0.2">
      <c r="A42" s="127">
        <v>45089</v>
      </c>
      <c r="B42" s="128" t="s">
        <v>11</v>
      </c>
      <c r="C42" s="76" t="s">
        <v>284</v>
      </c>
      <c r="D42" s="126" t="s">
        <v>29</v>
      </c>
      <c r="E42" s="129"/>
      <c r="F42" s="70">
        <v>650297</v>
      </c>
      <c r="G42" s="30"/>
      <c r="I42" s="69"/>
      <c r="J42" s="69"/>
    </row>
    <row r="43" spans="1:10" s="70" customFormat="1" ht="12.75" customHeight="1" x14ac:dyDescent="0.2">
      <c r="A43" s="127">
        <v>45089</v>
      </c>
      <c r="B43" s="128" t="s">
        <v>11</v>
      </c>
      <c r="C43" s="76" t="s">
        <v>199</v>
      </c>
      <c r="D43" s="126" t="s">
        <v>29</v>
      </c>
      <c r="E43" s="129"/>
      <c r="F43" s="70">
        <v>932742</v>
      </c>
      <c r="G43" s="30"/>
      <c r="I43" s="69"/>
      <c r="J43" s="69"/>
    </row>
    <row r="44" spans="1:10" s="70" customFormat="1" ht="12.75" customHeight="1" x14ac:dyDescent="0.2">
      <c r="A44" s="127">
        <v>45089</v>
      </c>
      <c r="B44" s="128" t="s">
        <v>11</v>
      </c>
      <c r="C44" s="76" t="s">
        <v>64</v>
      </c>
      <c r="D44" s="126" t="s">
        <v>29</v>
      </c>
      <c r="E44" s="129"/>
      <c r="F44" s="70">
        <v>1888</v>
      </c>
      <c r="G44" s="30"/>
      <c r="I44" s="69"/>
      <c r="J44" s="69"/>
    </row>
    <row r="45" spans="1:10" s="70" customFormat="1" ht="12.75" customHeight="1" x14ac:dyDescent="0.2">
      <c r="A45" s="127">
        <v>45089</v>
      </c>
      <c r="B45" s="128" t="s">
        <v>11</v>
      </c>
      <c r="C45" s="76" t="s">
        <v>661</v>
      </c>
      <c r="D45" s="126" t="s">
        <v>29</v>
      </c>
      <c r="E45" s="129"/>
      <c r="F45" s="70">
        <v>75000</v>
      </c>
      <c r="G45" s="30"/>
      <c r="I45" s="69"/>
      <c r="J45" s="69"/>
    </row>
    <row r="46" spans="1:10" s="70" customFormat="1" ht="12.75" customHeight="1" x14ac:dyDescent="0.2">
      <c r="A46" s="127">
        <v>45089</v>
      </c>
      <c r="B46" s="128" t="s">
        <v>11</v>
      </c>
      <c r="C46" s="76" t="s">
        <v>486</v>
      </c>
      <c r="D46" s="126" t="s">
        <v>29</v>
      </c>
      <c r="E46" s="129"/>
      <c r="F46" s="70">
        <v>600000</v>
      </c>
      <c r="G46" s="30"/>
      <c r="I46" s="69"/>
      <c r="J46" s="69"/>
    </row>
    <row r="47" spans="1:10" s="70" customFormat="1" ht="12.75" customHeight="1" x14ac:dyDescent="0.2">
      <c r="A47" s="127">
        <v>45089</v>
      </c>
      <c r="B47" s="128" t="s">
        <v>11</v>
      </c>
      <c r="C47" s="76" t="s">
        <v>395</v>
      </c>
      <c r="D47" s="126" t="s">
        <v>29</v>
      </c>
      <c r="E47" s="129"/>
      <c r="F47" s="70">
        <v>100000</v>
      </c>
      <c r="G47" s="30"/>
      <c r="I47" s="69"/>
      <c r="J47" s="69"/>
    </row>
    <row r="48" spans="1:10" s="70" customFormat="1" ht="12.75" customHeight="1" x14ac:dyDescent="0.2">
      <c r="A48" s="127">
        <v>45089</v>
      </c>
      <c r="B48" s="128" t="s">
        <v>11</v>
      </c>
      <c r="C48" s="76" t="s">
        <v>25</v>
      </c>
      <c r="D48" s="126" t="s">
        <v>29</v>
      </c>
      <c r="E48" s="129"/>
      <c r="F48" s="70">
        <v>1000000</v>
      </c>
      <c r="G48" s="30"/>
      <c r="I48" s="69"/>
      <c r="J48" s="69"/>
    </row>
    <row r="49" spans="1:13" s="70" customFormat="1" ht="12.75" customHeight="1" x14ac:dyDescent="0.2">
      <c r="A49" s="127">
        <v>45089</v>
      </c>
      <c r="B49" s="128" t="s">
        <v>11</v>
      </c>
      <c r="C49" s="76" t="s">
        <v>134</v>
      </c>
      <c r="D49" s="126" t="s">
        <v>29</v>
      </c>
      <c r="E49" s="129"/>
      <c r="F49" s="70">
        <v>2000000</v>
      </c>
      <c r="G49" s="30"/>
      <c r="I49" s="69"/>
      <c r="J49" s="69"/>
    </row>
    <row r="50" spans="1:13" s="70" customFormat="1" ht="12.75" customHeight="1" x14ac:dyDescent="0.2">
      <c r="A50" s="127">
        <v>45089</v>
      </c>
      <c r="B50" s="128" t="s">
        <v>11</v>
      </c>
      <c r="C50" s="76" t="s">
        <v>209</v>
      </c>
      <c r="D50" s="126" t="s">
        <v>29</v>
      </c>
      <c r="E50" s="129"/>
      <c r="F50" s="70">
        <v>50000</v>
      </c>
      <c r="G50" s="30"/>
      <c r="I50" s="69"/>
      <c r="J50" s="69"/>
    </row>
    <row r="51" spans="1:13" s="70" customFormat="1" ht="12.75" customHeight="1" x14ac:dyDescent="0.2">
      <c r="A51" s="127">
        <v>45089</v>
      </c>
      <c r="B51" s="128" t="s">
        <v>11</v>
      </c>
      <c r="C51" s="76" t="s">
        <v>340</v>
      </c>
      <c r="D51" s="126" t="s">
        <v>29</v>
      </c>
      <c r="E51" s="129"/>
      <c r="F51" s="70">
        <v>613080</v>
      </c>
      <c r="G51" s="30"/>
      <c r="I51" s="69"/>
      <c r="J51" s="69"/>
    </row>
    <row r="52" spans="1:13" s="2" customFormat="1" ht="12.75" customHeight="1" x14ac:dyDescent="0.2">
      <c r="A52" s="127">
        <v>45089</v>
      </c>
      <c r="B52" s="128" t="s">
        <v>11</v>
      </c>
      <c r="C52" s="76" t="s">
        <v>302</v>
      </c>
      <c r="D52" s="116" t="s">
        <v>29</v>
      </c>
      <c r="E52" s="31"/>
      <c r="F52" s="2">
        <v>25300</v>
      </c>
      <c r="G52" s="30"/>
      <c r="I52" s="13"/>
      <c r="J52" s="13"/>
    </row>
    <row r="53" spans="1:13" s="2" customFormat="1" ht="12.75" customHeight="1" x14ac:dyDescent="0.2">
      <c r="A53" s="127">
        <v>45089</v>
      </c>
      <c r="B53" s="128" t="s">
        <v>11</v>
      </c>
      <c r="C53" s="76" t="s">
        <v>112</v>
      </c>
      <c r="D53" s="116" t="s">
        <v>29</v>
      </c>
      <c r="E53" s="31"/>
      <c r="F53" s="2">
        <v>2012184</v>
      </c>
      <c r="G53" s="30"/>
      <c r="I53" s="13"/>
      <c r="J53" s="13"/>
    </row>
    <row r="54" spans="1:13" s="2" customFormat="1" ht="12.75" customHeight="1" x14ac:dyDescent="0.2">
      <c r="A54" s="127">
        <v>45089</v>
      </c>
      <c r="B54" s="128" t="s">
        <v>11</v>
      </c>
      <c r="C54" s="76" t="s">
        <v>412</v>
      </c>
      <c r="D54" s="116" t="s">
        <v>29</v>
      </c>
      <c r="E54" s="31"/>
      <c r="F54" s="2">
        <v>225330</v>
      </c>
      <c r="G54" s="30"/>
      <c r="I54" s="13"/>
      <c r="J54" s="13"/>
    </row>
    <row r="55" spans="1:13" s="2" customFormat="1" ht="12.75" customHeight="1" x14ac:dyDescent="0.2">
      <c r="A55" s="127">
        <v>45089</v>
      </c>
      <c r="B55" s="128" t="s">
        <v>11</v>
      </c>
      <c r="C55" s="76" t="s">
        <v>63</v>
      </c>
      <c r="D55" s="116" t="s">
        <v>29</v>
      </c>
      <c r="E55" s="31"/>
      <c r="F55" s="2">
        <v>1500000</v>
      </c>
      <c r="G55" s="30"/>
      <c r="I55" s="13"/>
      <c r="J55" s="13"/>
    </row>
    <row r="56" spans="1:13" s="2" customFormat="1" ht="12.75" customHeight="1" x14ac:dyDescent="0.2">
      <c r="A56" s="127">
        <v>45089</v>
      </c>
      <c r="B56" s="128" t="s">
        <v>11</v>
      </c>
      <c r="C56" s="76" t="s">
        <v>171</v>
      </c>
      <c r="D56" s="116" t="s">
        <v>29</v>
      </c>
      <c r="E56" s="31"/>
      <c r="F56" s="2">
        <v>5985</v>
      </c>
      <c r="G56" s="30"/>
      <c r="I56" s="13"/>
      <c r="J56" s="13"/>
    </row>
    <row r="57" spans="1:13" s="2" customFormat="1" ht="12.75" customHeight="1" x14ac:dyDescent="0.2">
      <c r="A57" s="127">
        <v>45089</v>
      </c>
      <c r="B57" s="128" t="s">
        <v>11</v>
      </c>
      <c r="C57" s="76" t="s">
        <v>203</v>
      </c>
      <c r="D57" s="116" t="s">
        <v>29</v>
      </c>
      <c r="E57" s="31"/>
      <c r="F57" s="2">
        <v>6563</v>
      </c>
      <c r="G57" s="30"/>
      <c r="I57" s="13"/>
      <c r="J57" s="13"/>
    </row>
    <row r="58" spans="1:13" s="2" customFormat="1" ht="12.75" customHeight="1" x14ac:dyDescent="0.2">
      <c r="A58" s="127">
        <v>45089</v>
      </c>
      <c r="B58" s="128" t="s">
        <v>11</v>
      </c>
      <c r="C58" s="76" t="s">
        <v>738</v>
      </c>
      <c r="D58" s="116" t="s">
        <v>29</v>
      </c>
      <c r="E58" s="31"/>
      <c r="F58" s="2">
        <v>100000</v>
      </c>
      <c r="G58" s="30"/>
      <c r="I58" s="13"/>
      <c r="J58" s="13"/>
    </row>
    <row r="59" spans="1:13" s="2" customFormat="1" ht="12.75" customHeight="1" x14ac:dyDescent="0.2">
      <c r="A59" s="127">
        <v>45089</v>
      </c>
      <c r="B59" s="128" t="s">
        <v>11</v>
      </c>
      <c r="C59" s="76" t="s">
        <v>96</v>
      </c>
      <c r="D59" s="116" t="s">
        <v>29</v>
      </c>
      <c r="E59" s="31"/>
      <c r="F59" s="2">
        <v>6720</v>
      </c>
      <c r="G59" s="30"/>
      <c r="I59" s="13"/>
      <c r="J59" s="13"/>
    </row>
    <row r="60" spans="1:13" s="2" customFormat="1" ht="12.75" customHeight="1" x14ac:dyDescent="0.2">
      <c r="A60" s="127">
        <v>45089</v>
      </c>
      <c r="B60" s="128" t="s">
        <v>11</v>
      </c>
      <c r="C60" s="76" t="s">
        <v>1076</v>
      </c>
      <c r="D60" s="116" t="s">
        <v>29</v>
      </c>
      <c r="E60" s="31"/>
      <c r="F60" s="2">
        <v>88974.7</v>
      </c>
      <c r="G60" s="30"/>
      <c r="I60" s="13"/>
      <c r="J60" s="13"/>
    </row>
    <row r="61" spans="1:13" s="2" customFormat="1" ht="12.75" customHeight="1" x14ac:dyDescent="0.2">
      <c r="A61" s="127">
        <v>45089</v>
      </c>
      <c r="B61" s="128" t="s">
        <v>11</v>
      </c>
      <c r="C61" s="76" t="s">
        <v>156</v>
      </c>
      <c r="D61" s="116" t="s">
        <v>29</v>
      </c>
      <c r="E61" s="31"/>
      <c r="F61" s="2">
        <f>583.88+104.28</f>
        <v>688.16</v>
      </c>
      <c r="G61" s="30"/>
      <c r="I61" s="13"/>
      <c r="J61" s="13"/>
    </row>
    <row r="62" spans="1:13" s="2" customFormat="1" ht="12.75" customHeight="1" x14ac:dyDescent="0.25">
      <c r="A62" s="32"/>
      <c r="B62" s="33"/>
      <c r="C62" s="14"/>
      <c r="D62" s="34"/>
      <c r="E62" s="16">
        <f>SUM(E21:E61)</f>
        <v>21179855</v>
      </c>
      <c r="F62" s="16">
        <f>SUM(F21:F61)</f>
        <v>303839388.28999984</v>
      </c>
      <c r="G62" s="30"/>
      <c r="H62" s="1"/>
      <c r="I62" s="39">
        <v>291465251.00999999</v>
      </c>
      <c r="K62" s="92">
        <f>E63-I62</f>
        <v>-8805717.7200001478</v>
      </c>
      <c r="L62" s="41"/>
      <c r="M62" s="42"/>
    </row>
    <row r="63" spans="1:13" s="2" customFormat="1" ht="12.75" customHeight="1" x14ac:dyDescent="0.2">
      <c r="A63" s="36"/>
      <c r="B63" s="28" t="s">
        <v>11</v>
      </c>
      <c r="C63" s="19" t="s">
        <v>65</v>
      </c>
      <c r="D63" s="37"/>
      <c r="E63" s="38">
        <f>F62-E62</f>
        <v>282659533.28999984</v>
      </c>
      <c r="F63" s="22"/>
      <c r="G63" s="1"/>
      <c r="H63" s="1"/>
      <c r="J63" s="1"/>
      <c r="K63" s="1"/>
      <c r="L63" s="1"/>
      <c r="M63" s="1"/>
    </row>
    <row r="64" spans="1:13" s="2" customFormat="1" ht="12.75" customHeight="1" x14ac:dyDescent="0.2">
      <c r="A64" s="36"/>
      <c r="B64" s="28" t="s">
        <v>66</v>
      </c>
      <c r="C64" s="43" t="s">
        <v>67</v>
      </c>
      <c r="D64" s="43"/>
      <c r="E64" s="12">
        <v>59416310</v>
      </c>
      <c r="F64" s="22"/>
      <c r="G64" s="1"/>
      <c r="H64" s="40"/>
      <c r="I64" s="45">
        <v>1791.51</v>
      </c>
      <c r="J64" s="46"/>
      <c r="K64" s="46"/>
      <c r="L64" s="13"/>
    </row>
    <row r="65" spans="1:14" s="2" customFormat="1" ht="12.75" customHeight="1" x14ac:dyDescent="0.25">
      <c r="A65" s="36"/>
      <c r="B65" s="28"/>
      <c r="C65" s="44" t="s">
        <v>68</v>
      </c>
      <c r="D65" s="43"/>
      <c r="E65" s="7">
        <f>E63+E64</f>
        <v>342075843.28999984</v>
      </c>
      <c r="F65" s="22"/>
      <c r="G65" s="1"/>
      <c r="H65" s="103" t="s">
        <v>69</v>
      </c>
      <c r="I65" s="45">
        <v>-11.57</v>
      </c>
      <c r="J65" s="46"/>
      <c r="K65" s="46"/>
      <c r="N65" s="1"/>
    </row>
    <row r="66" spans="1:14" s="2" customFormat="1" x14ac:dyDescent="0.2">
      <c r="A66" s="24"/>
      <c r="B66" s="1"/>
      <c r="C66" s="14"/>
      <c r="D66" s="25"/>
      <c r="E66" s="1"/>
      <c r="H66" s="35" t="s">
        <v>70</v>
      </c>
      <c r="I66" s="45">
        <v>1.28</v>
      </c>
      <c r="J66" s="46">
        <f>+I67-D69</f>
        <v>0</v>
      </c>
      <c r="M66" s="2">
        <v>19.57</v>
      </c>
      <c r="N66" s="1"/>
    </row>
    <row r="67" spans="1:14" x14ac:dyDescent="0.2">
      <c r="C67" s="56"/>
      <c r="D67" s="56"/>
      <c r="E67" s="104"/>
      <c r="I67" s="49">
        <f>SUM(I64:I66)</f>
        <v>1781.22</v>
      </c>
      <c r="J67" s="46"/>
      <c r="K67" s="46"/>
      <c r="L67" s="2"/>
      <c r="M67" s="2"/>
      <c r="N67" s="2"/>
    </row>
    <row r="68" spans="1:14" x14ac:dyDescent="0.2">
      <c r="C68" s="78" t="s">
        <v>575</v>
      </c>
      <c r="D68" s="48" t="s">
        <v>576</v>
      </c>
      <c r="E68" s="104"/>
      <c r="I68" s="2"/>
      <c r="J68" s="2"/>
      <c r="K68" s="2"/>
      <c r="L68" s="2"/>
      <c r="M68" s="2"/>
      <c r="N68" s="2"/>
    </row>
    <row r="69" spans="1:14" s="2" customFormat="1" x14ac:dyDescent="0.2">
      <c r="A69" s="24"/>
      <c r="B69" s="1"/>
      <c r="C69" s="47" t="s">
        <v>570</v>
      </c>
      <c r="D69" s="111">
        <v>1781.22</v>
      </c>
      <c r="E69" s="104"/>
      <c r="G69" s="1"/>
      <c r="H69" s="110" t="s">
        <v>581</v>
      </c>
      <c r="N69" s="2" t="s">
        <v>535</v>
      </c>
    </row>
    <row r="70" spans="1:14" s="2" customFormat="1" x14ac:dyDescent="0.2">
      <c r="A70" s="24"/>
      <c r="B70" s="1"/>
      <c r="C70" s="47" t="s">
        <v>931</v>
      </c>
      <c r="D70" s="111">
        <v>55.5</v>
      </c>
      <c r="E70" s="104"/>
      <c r="G70" s="1"/>
      <c r="H70" s="110" t="s">
        <v>580</v>
      </c>
    </row>
    <row r="71" spans="1:14" s="2" customFormat="1" x14ac:dyDescent="0.2">
      <c r="A71" s="24"/>
      <c r="B71" s="1"/>
      <c r="C71" s="47" t="s">
        <v>572</v>
      </c>
      <c r="D71" s="111">
        <f>+D96/100000</f>
        <v>129.7531324</v>
      </c>
      <c r="E71" s="104"/>
      <c r="G71" s="1"/>
      <c r="H71" s="90" t="s">
        <v>587</v>
      </c>
    </row>
    <row r="72" spans="1:14" s="2" customFormat="1" x14ac:dyDescent="0.2">
      <c r="A72" s="24"/>
      <c r="B72" s="1"/>
      <c r="C72" s="108" t="s">
        <v>578</v>
      </c>
      <c r="D72" s="48">
        <f>SUM(D69:D71)</f>
        <v>1966.4731323999999</v>
      </c>
      <c r="E72" s="104"/>
      <c r="G72" s="1"/>
    </row>
    <row r="73" spans="1:14" s="2" customFormat="1" x14ac:dyDescent="0.2">
      <c r="A73" s="24"/>
      <c r="B73" s="1"/>
      <c r="C73" s="47"/>
      <c r="D73" s="107"/>
      <c r="E73" s="104"/>
      <c r="G73" s="1"/>
    </row>
    <row r="74" spans="1:14" s="2" customFormat="1" x14ac:dyDescent="0.2">
      <c r="A74" s="24"/>
      <c r="B74" s="1"/>
      <c r="C74" s="47" t="s">
        <v>932</v>
      </c>
      <c r="D74" s="111">
        <v>290.79000000000002</v>
      </c>
      <c r="E74" s="104"/>
      <c r="G74" s="1"/>
      <c r="H74" s="110" t="s">
        <v>581</v>
      </c>
    </row>
    <row r="75" spans="1:14" s="2" customFormat="1" x14ac:dyDescent="0.2">
      <c r="A75" s="24"/>
      <c r="B75" s="1"/>
      <c r="C75" s="47" t="s">
        <v>933</v>
      </c>
      <c r="D75" s="111">
        <f>84.68-79.04</f>
        <v>5.6400000000000006</v>
      </c>
      <c r="E75" s="104"/>
      <c r="G75" s="1"/>
      <c r="H75" s="110" t="s">
        <v>581</v>
      </c>
      <c r="J75" s="114" t="s">
        <v>713</v>
      </c>
    </row>
    <row r="76" spans="1:14" s="2" customFormat="1" x14ac:dyDescent="0.2">
      <c r="A76" s="24"/>
      <c r="B76" s="1"/>
      <c r="C76" s="78" t="s">
        <v>579</v>
      </c>
      <c r="D76" s="109">
        <f>D74+D75</f>
        <v>296.43</v>
      </c>
      <c r="E76" s="104"/>
      <c r="G76" s="1"/>
      <c r="I76" s="113"/>
      <c r="J76" s="113" t="s">
        <v>709</v>
      </c>
      <c r="K76" s="113" t="s">
        <v>710</v>
      </c>
      <c r="L76" s="113" t="s">
        <v>711</v>
      </c>
      <c r="M76" s="113" t="s">
        <v>712</v>
      </c>
    </row>
    <row r="77" spans="1:14" s="2" customFormat="1" x14ac:dyDescent="0.2">
      <c r="A77" s="24"/>
      <c r="B77" s="1"/>
      <c r="C77" s="105"/>
      <c r="D77" s="106"/>
      <c r="E77" s="104"/>
      <c r="G77" s="1"/>
      <c r="I77" s="113" t="s">
        <v>706</v>
      </c>
      <c r="J77" s="115"/>
      <c r="K77" s="115">
        <v>968.99</v>
      </c>
      <c r="L77" s="115">
        <v>968.99</v>
      </c>
      <c r="M77" s="113">
        <f>+J77+L77-K77</f>
        <v>0</v>
      </c>
    </row>
    <row r="78" spans="1:14" s="2" customFormat="1" x14ac:dyDescent="0.2">
      <c r="A78" s="24"/>
      <c r="B78" s="1"/>
      <c r="C78" s="78" t="s">
        <v>577</v>
      </c>
      <c r="D78" s="109">
        <f>D69+D76</f>
        <v>2077.65</v>
      </c>
      <c r="E78" s="104"/>
      <c r="G78" s="1"/>
      <c r="I78" s="113" t="s">
        <v>707</v>
      </c>
      <c r="J78" s="115">
        <v>183.1</v>
      </c>
      <c r="K78" s="115">
        <v>2016.46</v>
      </c>
      <c r="L78" s="115">
        <v>3083.6</v>
      </c>
      <c r="M78" s="113">
        <f>+J78+L78-K78</f>
        <v>1250.2399999999998</v>
      </c>
    </row>
    <row r="79" spans="1:14" s="2" customFormat="1" x14ac:dyDescent="0.2">
      <c r="A79" s="24"/>
      <c r="B79" s="1"/>
      <c r="C79" s="56"/>
      <c r="D79" s="56"/>
      <c r="E79" s="104"/>
      <c r="G79" s="1"/>
      <c r="I79" s="113" t="s">
        <v>708</v>
      </c>
      <c r="J79" s="115">
        <v>1371.02</v>
      </c>
      <c r="K79" s="115">
        <v>11808.04</v>
      </c>
      <c r="L79" s="115">
        <v>11833.15</v>
      </c>
      <c r="M79" s="113">
        <f>+J79+L79-K79</f>
        <v>1396.1299999999992</v>
      </c>
    </row>
    <row r="80" spans="1:14" s="2" customFormat="1" ht="38.25" x14ac:dyDescent="0.2">
      <c r="A80" s="24"/>
      <c r="B80" s="1"/>
      <c r="C80" s="79" t="str">
        <f>"Particulars ( 01-04-2021 to "&amp;TEXT(A5,"dd-mm-yyyy")&amp;" )"</f>
        <v>Particulars ( 01-04-2021 to 12-06-2023 )</v>
      </c>
      <c r="D80" s="80" t="s">
        <v>73</v>
      </c>
      <c r="E80" s="80" t="s">
        <v>74</v>
      </c>
      <c r="F80" s="81" t="s">
        <v>75</v>
      </c>
      <c r="G80" s="80" t="s">
        <v>76</v>
      </c>
      <c r="J80" s="118">
        <f>SUM(J77:J79)</f>
        <v>1554.12</v>
      </c>
      <c r="K80" s="118">
        <f>SUM(K77:K79)</f>
        <v>14793.490000000002</v>
      </c>
      <c r="L80" s="118">
        <f>SUM(L77:L79)</f>
        <v>15885.74</v>
      </c>
      <c r="M80" s="118">
        <f>SUM(M77:M79)</f>
        <v>2646.369999999999</v>
      </c>
    </row>
    <row r="81" spans="1:13" s="2" customFormat="1" x14ac:dyDescent="0.2">
      <c r="A81" s="24"/>
      <c r="B81" s="1"/>
      <c r="C81" s="50" t="s">
        <v>444</v>
      </c>
      <c r="D81" s="55">
        <f>+L77+L78+J78</f>
        <v>4235.6900000000005</v>
      </c>
      <c r="E81" s="55">
        <f>+K77+K78</f>
        <v>2985.45</v>
      </c>
      <c r="F81" s="55">
        <f>+D81-E81</f>
        <v>1250.2400000000007</v>
      </c>
      <c r="G81" s="55">
        <f>1500-F81</f>
        <v>249.75999999999931</v>
      </c>
      <c r="H81" s="2" t="s">
        <v>396</v>
      </c>
    </row>
    <row r="82" spans="1:13" s="2" customFormat="1" x14ac:dyDescent="0.2">
      <c r="A82" s="24"/>
      <c r="B82" s="1"/>
      <c r="C82" s="50" t="s">
        <v>71</v>
      </c>
      <c r="D82" s="55">
        <f>+J79+L79</f>
        <v>13204.17</v>
      </c>
      <c r="E82" s="55">
        <f>+K79</f>
        <v>11808.04</v>
      </c>
      <c r="F82" s="55">
        <f>+D82-E82</f>
        <v>1396.1299999999992</v>
      </c>
      <c r="G82" s="55">
        <f>1500+700-F82</f>
        <v>803.8700000000008</v>
      </c>
      <c r="H82" s="2" t="s">
        <v>396</v>
      </c>
    </row>
    <row r="83" spans="1:13" s="2" customFormat="1" x14ac:dyDescent="0.2">
      <c r="A83" s="24"/>
      <c r="B83" s="1"/>
      <c r="C83" s="14"/>
      <c r="D83" s="56"/>
      <c r="E83" s="13"/>
      <c r="G83" s="1"/>
    </row>
    <row r="84" spans="1:13" s="2" customFormat="1" x14ac:dyDescent="0.2">
      <c r="A84" s="215" t="s">
        <v>80</v>
      </c>
      <c r="B84" s="216"/>
      <c r="C84" s="216"/>
      <c r="D84" s="217"/>
      <c r="E84" s="69"/>
      <c r="F84" s="70"/>
      <c r="G84" s="1"/>
      <c r="H84" s="53"/>
    </row>
    <row r="85" spans="1:13" s="2" customFormat="1" x14ac:dyDescent="0.2">
      <c r="A85" s="71" t="s">
        <v>81</v>
      </c>
      <c r="B85" s="71"/>
      <c r="C85" s="72" t="s">
        <v>82</v>
      </c>
      <c r="D85" s="73" t="s">
        <v>83</v>
      </c>
      <c r="E85" s="69"/>
      <c r="F85" s="70"/>
      <c r="H85" s="53"/>
    </row>
    <row r="86" spans="1:13" s="2" customFormat="1" x14ac:dyDescent="0.2">
      <c r="A86" s="87">
        <v>45080</v>
      </c>
      <c r="B86" s="120" t="s">
        <v>1052</v>
      </c>
      <c r="C86" s="75" t="s">
        <v>86</v>
      </c>
      <c r="D86" s="88">
        <v>163799</v>
      </c>
      <c r="G86" s="1"/>
      <c r="L86" s="1"/>
      <c r="M86" s="1"/>
    </row>
    <row r="87" spans="1:13" s="2" customFormat="1" x14ac:dyDescent="0.2">
      <c r="A87" s="87">
        <v>45080</v>
      </c>
      <c r="B87" s="120" t="s">
        <v>1052</v>
      </c>
      <c r="C87" s="75" t="s">
        <v>86</v>
      </c>
      <c r="D87" s="88">
        <v>1695107</v>
      </c>
      <c r="G87" s="1"/>
      <c r="L87" s="1"/>
      <c r="M87" s="1"/>
    </row>
    <row r="88" spans="1:13" s="2" customFormat="1" x14ac:dyDescent="0.2">
      <c r="A88" s="87">
        <v>45082</v>
      </c>
      <c r="B88" s="120" t="s">
        <v>1052</v>
      </c>
      <c r="C88" s="75" t="s">
        <v>87</v>
      </c>
      <c r="D88" s="88">
        <v>6627</v>
      </c>
      <c r="G88" s="1"/>
      <c r="L88" s="1"/>
      <c r="M88" s="1"/>
    </row>
    <row r="89" spans="1:13" s="2" customFormat="1" x14ac:dyDescent="0.2">
      <c r="A89" s="87">
        <v>45084</v>
      </c>
      <c r="B89" s="120" t="s">
        <v>1052</v>
      </c>
      <c r="C89" s="75" t="s">
        <v>87</v>
      </c>
      <c r="D89" s="88">
        <v>618395.80000000005</v>
      </c>
      <c r="G89" s="1"/>
      <c r="L89" s="1"/>
      <c r="M89" s="1"/>
    </row>
    <row r="90" spans="1:13" s="2" customFormat="1" x14ac:dyDescent="0.2">
      <c r="A90" s="87">
        <v>45084</v>
      </c>
      <c r="B90" s="120" t="s">
        <v>1052</v>
      </c>
      <c r="C90" s="75" t="s">
        <v>271</v>
      </c>
      <c r="D90" s="88">
        <v>485258</v>
      </c>
      <c r="G90" s="1"/>
      <c r="L90" s="1"/>
      <c r="M90" s="1"/>
    </row>
    <row r="91" spans="1:13" s="2" customFormat="1" x14ac:dyDescent="0.2">
      <c r="A91" s="87">
        <v>45086</v>
      </c>
      <c r="B91" s="120" t="s">
        <v>1052</v>
      </c>
      <c r="C91" s="75" t="s">
        <v>784</v>
      </c>
      <c r="D91" s="88">
        <v>1104724</v>
      </c>
      <c r="G91" s="1"/>
      <c r="L91" s="1"/>
      <c r="M91" s="1"/>
    </row>
    <row r="92" spans="1:13" s="2" customFormat="1" x14ac:dyDescent="0.2">
      <c r="A92" s="87">
        <v>45086</v>
      </c>
      <c r="B92" s="120" t="s">
        <v>1052</v>
      </c>
      <c r="C92" s="75" t="s">
        <v>86</v>
      </c>
      <c r="D92" s="88">
        <v>1756907</v>
      </c>
      <c r="G92" s="1"/>
      <c r="L92" s="1"/>
      <c r="M92" s="1"/>
    </row>
    <row r="93" spans="1:13" s="2" customFormat="1" x14ac:dyDescent="0.2">
      <c r="A93" s="87">
        <v>45086</v>
      </c>
      <c r="B93" s="120" t="s">
        <v>1052</v>
      </c>
      <c r="C93" s="75" t="s">
        <v>784</v>
      </c>
      <c r="D93" s="88">
        <v>1489874</v>
      </c>
      <c r="G93" s="1"/>
      <c r="L93" s="1"/>
      <c r="M93" s="1"/>
    </row>
    <row r="94" spans="1:13" s="2" customFormat="1" x14ac:dyDescent="0.2">
      <c r="A94" s="87">
        <v>45086</v>
      </c>
      <c r="B94" s="120" t="s">
        <v>1052</v>
      </c>
      <c r="C94" s="75" t="s">
        <v>201</v>
      </c>
      <c r="D94" s="88">
        <v>5000192.4400000004</v>
      </c>
      <c r="G94" s="1"/>
      <c r="L94" s="1"/>
      <c r="M94" s="1"/>
    </row>
    <row r="95" spans="1:13" s="2" customFormat="1" x14ac:dyDescent="0.2">
      <c r="A95" s="87">
        <v>45089</v>
      </c>
      <c r="B95" s="120" t="s">
        <v>1052</v>
      </c>
      <c r="C95" s="75" t="s">
        <v>566</v>
      </c>
      <c r="D95" s="88">
        <v>654429</v>
      </c>
      <c r="G95" s="1"/>
      <c r="L95" s="1"/>
      <c r="M95" s="1"/>
    </row>
    <row r="96" spans="1:13" s="2" customFormat="1" x14ac:dyDescent="0.2">
      <c r="A96" s="87"/>
      <c r="B96" s="74"/>
      <c r="C96" s="75"/>
      <c r="D96" s="51">
        <f>SUM(D86:D95)</f>
        <v>12975313.24</v>
      </c>
      <c r="F96" s="2" t="s">
        <v>396</v>
      </c>
      <c r="G96" s="1"/>
      <c r="L96" s="1"/>
      <c r="M96" s="1"/>
    </row>
    <row r="97" spans="1:13" s="2" customFormat="1" x14ac:dyDescent="0.2">
      <c r="A97" s="24"/>
      <c r="B97" s="1"/>
      <c r="C97" s="14"/>
      <c r="D97" s="56"/>
      <c r="E97" s="13"/>
      <c r="G97" s="1"/>
      <c r="L97" s="1"/>
      <c r="M97" s="1"/>
    </row>
    <row r="98" spans="1:13" s="2" customFormat="1" x14ac:dyDescent="0.2">
      <c r="A98" s="24"/>
      <c r="B98" s="1"/>
      <c r="C98" s="218" t="s">
        <v>77</v>
      </c>
      <c r="D98" s="219"/>
      <c r="E98" s="219"/>
      <c r="F98" s="220"/>
      <c r="G98" s="1"/>
      <c r="L98" s="1"/>
      <c r="M98" s="1"/>
    </row>
    <row r="99" spans="1:13" s="2" customFormat="1" x14ac:dyDescent="0.2">
      <c r="A99" s="24"/>
      <c r="B99" s="1"/>
      <c r="C99" s="50"/>
      <c r="D99" s="57" t="s">
        <v>78</v>
      </c>
      <c r="E99" s="58" t="s">
        <v>79</v>
      </c>
      <c r="F99" s="57" t="s">
        <v>72</v>
      </c>
      <c r="G99" s="1"/>
      <c r="I99" s="1"/>
      <c r="J99" s="1"/>
      <c r="K99" s="1"/>
      <c r="L99" s="1"/>
      <c r="M99" s="1"/>
    </row>
    <row r="100" spans="1:13" s="2" customFormat="1" x14ac:dyDescent="0.2">
      <c r="A100" s="24"/>
      <c r="B100" s="1"/>
      <c r="C100" s="59" t="str">
        <f>"01-06-2023 to "&amp;TEXT(A5-2,"dd-mm-yyyy")</f>
        <v>01-06-2023 to 10-06-2023</v>
      </c>
      <c r="D100" s="60">
        <v>2375.87</v>
      </c>
      <c r="E100" s="60">
        <v>93.32</v>
      </c>
      <c r="F100" s="61">
        <f>SUM(D100:E100)</f>
        <v>2469.19</v>
      </c>
      <c r="G100" s="1"/>
    </row>
    <row r="101" spans="1:13" s="2" customFormat="1" x14ac:dyDescent="0.2">
      <c r="A101" s="24"/>
      <c r="B101" s="1"/>
      <c r="C101" s="62" t="str">
        <f>TEXT(A5-1,"dd-mm-yyyy")</f>
        <v>11-06-2023</v>
      </c>
      <c r="D101" s="60">
        <v>27.74</v>
      </c>
      <c r="E101" s="60">
        <v>3.25</v>
      </c>
      <c r="F101" s="61">
        <f>SUM(D101:E101)</f>
        <v>30.99</v>
      </c>
      <c r="G101" s="54"/>
      <c r="I101" s="1"/>
      <c r="J101" s="1"/>
      <c r="K101" s="1"/>
      <c r="L101" s="1"/>
      <c r="M101" s="1"/>
    </row>
    <row r="102" spans="1:13" s="2" customFormat="1" ht="13.5" thickBot="1" x14ac:dyDescent="0.25">
      <c r="A102" s="24"/>
      <c r="B102" s="1"/>
      <c r="C102" s="63" t="str">
        <f>"01-06-2023 to "&amp;TEXT(A5-1,"dd-mm-yyyy")</f>
        <v>01-06-2023 to 11-06-2023</v>
      </c>
      <c r="D102" s="64">
        <f>SUM(D100:D101)</f>
        <v>2403.6099999999997</v>
      </c>
      <c r="E102" s="64">
        <f>SUM(E100:E101)</f>
        <v>96.57</v>
      </c>
      <c r="F102" s="64">
        <f>SUM(F100:F101)</f>
        <v>2500.1799999999998</v>
      </c>
      <c r="G102" s="54"/>
      <c r="I102" s="1"/>
      <c r="J102" s="1"/>
      <c r="K102" s="1"/>
      <c r="L102" s="1"/>
      <c r="M102" s="1"/>
    </row>
    <row r="103" spans="1:13" s="2" customFormat="1" ht="13.5" thickTop="1" x14ac:dyDescent="0.2">
      <c r="A103" s="24"/>
      <c r="B103" s="1"/>
      <c r="C103" s="62"/>
      <c r="D103" s="65"/>
      <c r="E103" s="66"/>
      <c r="F103" s="67"/>
      <c r="G103" s="54"/>
      <c r="I103" s="1"/>
      <c r="J103" s="1"/>
      <c r="K103" s="1"/>
      <c r="L103" s="1"/>
      <c r="M103" s="1"/>
    </row>
    <row r="104" spans="1:13" s="2" customFormat="1" x14ac:dyDescent="0.2">
      <c r="A104" s="24"/>
      <c r="B104" s="1"/>
      <c r="C104" s="62" t="str">
        <f>"01-04-2023 to " &amp;C101</f>
        <v>01-04-2023 to 11-06-2023</v>
      </c>
      <c r="D104" s="68">
        <f>+D102+9224.33</f>
        <v>11627.939999999999</v>
      </c>
      <c r="E104" s="68">
        <f>+E102+906.58</f>
        <v>1003.1500000000001</v>
      </c>
      <c r="F104" s="68">
        <f>+F102+10130.9</f>
        <v>12631.08</v>
      </c>
      <c r="G104" s="54"/>
      <c r="I104" s="1"/>
      <c r="J104" s="1"/>
      <c r="K104" s="1"/>
      <c r="L104" s="1"/>
      <c r="M104" s="1"/>
    </row>
    <row r="105" spans="1:13" x14ac:dyDescent="0.2">
      <c r="C105" s="52"/>
      <c r="D105" s="85"/>
      <c r="E105" s="53"/>
      <c r="F105" s="53"/>
      <c r="G105" s="54"/>
      <c r="H105" s="2" t="s">
        <v>396</v>
      </c>
    </row>
    <row r="106" spans="1:13" s="2" customFormat="1" x14ac:dyDescent="0.2">
      <c r="A106" s="24"/>
      <c r="B106" s="1"/>
      <c r="C106" s="52"/>
      <c r="D106" s="85"/>
      <c r="E106" s="53"/>
      <c r="F106" s="53"/>
      <c r="G106" s="54"/>
      <c r="H106" s="53"/>
    </row>
    <row r="107" spans="1:13" x14ac:dyDescent="0.2">
      <c r="C107" s="52"/>
      <c r="D107" s="85"/>
      <c r="E107" s="53"/>
      <c r="F107" s="53"/>
      <c r="G107" s="54"/>
      <c r="H107" s="53" t="s">
        <v>396</v>
      </c>
    </row>
    <row r="108" spans="1:13" x14ac:dyDescent="0.2">
      <c r="C108" s="52"/>
      <c r="D108" s="85"/>
      <c r="E108" s="53"/>
      <c r="F108" s="53"/>
      <c r="G108" s="54"/>
      <c r="H108" s="53" t="s">
        <v>396</v>
      </c>
      <c r="J108" s="42"/>
    </row>
    <row r="109" spans="1:13" x14ac:dyDescent="0.2">
      <c r="G109" s="54"/>
      <c r="H109" s="53"/>
      <c r="I109" s="101"/>
    </row>
    <row r="110" spans="1:13" x14ac:dyDescent="0.2">
      <c r="G110" s="54"/>
      <c r="H110" s="53"/>
    </row>
    <row r="111" spans="1:13" x14ac:dyDescent="0.2">
      <c r="G111" s="54"/>
      <c r="H111" s="53"/>
    </row>
    <row r="112" spans="1:13" x14ac:dyDescent="0.2">
      <c r="H112" s="53"/>
    </row>
  </sheetData>
  <mergeCells count="6">
    <mergeCell ref="C98:F98"/>
    <mergeCell ref="A1:G1"/>
    <mergeCell ref="A3:F3"/>
    <mergeCell ref="A9:F9"/>
    <mergeCell ref="A19:F19"/>
    <mergeCell ref="A84:D84"/>
  </mergeCells>
  <conditionalFormatting sqref="G81:G82">
    <cfRule type="cellIs" dxfId="495" priority="1" operator="lessThan">
      <formula>0</formula>
    </cfRule>
  </conditionalFormatting>
  <conditionalFormatting sqref="C21">
    <cfRule type="duplicateValues" dxfId="494" priority="2"/>
  </conditionalFormatting>
  <conditionalFormatting sqref="C22:C61">
    <cfRule type="duplicateValues" dxfId="493" priority="539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350">
    <pageSetUpPr fitToPage="1"/>
  </sheetPr>
  <dimension ref="A1:N118"/>
  <sheetViews>
    <sheetView zoomScaleNormal="100" workbookViewId="0">
      <selection activeCell="C46" sqref="C46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47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1077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45090</v>
      </c>
      <c r="B5" s="9" t="s">
        <v>6</v>
      </c>
      <c r="C5" s="10" t="s">
        <v>7</v>
      </c>
      <c r="D5" s="11"/>
      <c r="E5" s="12">
        <v>5242816.7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5242816.7</v>
      </c>
      <c r="F6" s="16">
        <f>F5</f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+E6-F6</f>
        <v>5242816.7</v>
      </c>
      <c r="F7" s="22"/>
      <c r="G7" s="23"/>
      <c r="H7" s="112"/>
      <c r="I7" s="112"/>
      <c r="J7" s="13"/>
    </row>
    <row r="8" spans="1:10" ht="12.75" customHeight="1" x14ac:dyDescent="0.4">
      <c r="H8" s="112"/>
      <c r="I8" s="112"/>
    </row>
    <row r="9" spans="1:10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12"/>
    </row>
    <row r="10" spans="1:10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12"/>
    </row>
    <row r="11" spans="1:10" s="2" customFormat="1" ht="14.25" customHeight="1" x14ac:dyDescent="0.2">
      <c r="A11" s="127">
        <v>45090</v>
      </c>
      <c r="B11" s="9" t="s">
        <v>6</v>
      </c>
      <c r="C11" s="10" t="s">
        <v>7</v>
      </c>
      <c r="D11" s="11"/>
      <c r="F11" s="12">
        <v>27176665.689999994</v>
      </c>
      <c r="G11" s="1"/>
      <c r="H11" s="130"/>
      <c r="I11" s="130"/>
    </row>
    <row r="12" spans="1:10" s="2" customFormat="1" ht="14.25" customHeight="1" x14ac:dyDescent="0.2">
      <c r="A12" s="127">
        <v>45090</v>
      </c>
      <c r="B12" s="9" t="s">
        <v>6</v>
      </c>
      <c r="C12" s="76" t="s">
        <v>468</v>
      </c>
      <c r="D12" s="125" t="s">
        <v>13</v>
      </c>
      <c r="E12" s="124">
        <v>1460529</v>
      </c>
      <c r="F12" s="31"/>
      <c r="G12" s="1"/>
      <c r="H12" s="130"/>
      <c r="I12" s="130"/>
    </row>
    <row r="13" spans="1:10" s="2" customFormat="1" ht="14.25" customHeight="1" x14ac:dyDescent="0.2">
      <c r="A13" s="127">
        <v>45090</v>
      </c>
      <c r="B13" s="9" t="s">
        <v>11</v>
      </c>
      <c r="C13" s="76" t="s">
        <v>1078</v>
      </c>
      <c r="D13" s="11" t="s">
        <v>29</v>
      </c>
      <c r="E13" s="124"/>
      <c r="F13" s="31">
        <v>4750</v>
      </c>
      <c r="G13" s="1"/>
      <c r="H13" s="130"/>
      <c r="I13" s="130"/>
    </row>
    <row r="14" spans="1:10" s="2" customFormat="1" ht="14.25" customHeight="1" x14ac:dyDescent="0.2">
      <c r="A14" s="127">
        <v>45090</v>
      </c>
      <c r="B14" s="9" t="s">
        <v>11</v>
      </c>
      <c r="C14" s="76" t="s">
        <v>31</v>
      </c>
      <c r="D14" s="11" t="s">
        <v>29</v>
      </c>
      <c r="E14" s="124"/>
      <c r="F14" s="31">
        <v>2517803</v>
      </c>
      <c r="G14" s="1"/>
      <c r="H14" s="130"/>
      <c r="I14" s="130"/>
    </row>
    <row r="15" spans="1:10" s="2" customFormat="1" ht="14.25" customHeight="1" x14ac:dyDescent="0.2">
      <c r="A15" s="127">
        <v>45090</v>
      </c>
      <c r="B15" s="9" t="s">
        <v>11</v>
      </c>
      <c r="C15" s="76" t="s">
        <v>1079</v>
      </c>
      <c r="D15" s="11" t="s">
        <v>29</v>
      </c>
      <c r="E15" s="124"/>
      <c r="F15" s="31">
        <v>6018</v>
      </c>
      <c r="G15" s="1"/>
      <c r="H15" s="130"/>
      <c r="I15" s="130"/>
    </row>
    <row r="16" spans="1:10" s="2" customFormat="1" ht="12.75" customHeight="1" x14ac:dyDescent="0.4">
      <c r="D16" s="15" t="s">
        <v>8</v>
      </c>
      <c r="E16" s="16">
        <f>SUM(E12:E15)</f>
        <v>1460529</v>
      </c>
      <c r="F16" s="16">
        <f>SUM(F11:F15)</f>
        <v>29705236.689999994</v>
      </c>
      <c r="G16" s="1"/>
      <c r="H16" s="112"/>
      <c r="I16" s="112"/>
    </row>
    <row r="17" spans="1:10" s="2" customFormat="1" ht="12.75" customHeight="1" x14ac:dyDescent="0.4">
      <c r="A17" s="17"/>
      <c r="B17" s="18"/>
      <c r="C17" s="96" t="s">
        <v>9</v>
      </c>
      <c r="D17" s="20"/>
      <c r="E17" s="21">
        <f>+F16-E16</f>
        <v>28244707.689999994</v>
      </c>
      <c r="G17" s="23"/>
      <c r="H17" s="112"/>
      <c r="I17" s="112"/>
      <c r="J17" s="13"/>
    </row>
    <row r="18" spans="1:10" s="2" customFormat="1" ht="12.75" customHeight="1" x14ac:dyDescent="0.4">
      <c r="A18" s="24"/>
      <c r="B18" s="1"/>
      <c r="C18" s="14"/>
      <c r="D18" s="25"/>
      <c r="G18" s="23"/>
      <c r="H18" s="112"/>
      <c r="I18" s="112"/>
      <c r="J18" s="13"/>
    </row>
    <row r="19" spans="1:10" s="2" customFormat="1" ht="21.75" customHeight="1" x14ac:dyDescent="0.4">
      <c r="A19" s="214" t="s">
        <v>10</v>
      </c>
      <c r="B19" s="214"/>
      <c r="C19" s="214"/>
      <c r="D19" s="214"/>
      <c r="E19" s="214"/>
      <c r="F19" s="214"/>
      <c r="G19" s="13"/>
      <c r="H19" s="112"/>
      <c r="I19" s="112"/>
      <c r="J19" s="13"/>
    </row>
    <row r="20" spans="1:10" s="2" customFormat="1" ht="12.75" customHeight="1" x14ac:dyDescent="0.4">
      <c r="A20" s="26" t="s">
        <v>1</v>
      </c>
      <c r="B20" s="27" t="s">
        <v>2</v>
      </c>
      <c r="C20" s="5"/>
      <c r="D20" s="6" t="s">
        <v>3</v>
      </c>
      <c r="E20" s="7" t="s">
        <v>4</v>
      </c>
      <c r="F20" s="7" t="s">
        <v>5</v>
      </c>
      <c r="G20" s="23"/>
      <c r="H20" s="112"/>
      <c r="I20" s="112"/>
      <c r="J20" s="13"/>
    </row>
    <row r="21" spans="1:10" s="2" customFormat="1" ht="12.75" customHeight="1" x14ac:dyDescent="0.2">
      <c r="A21" s="127">
        <v>45090</v>
      </c>
      <c r="B21" s="128" t="s">
        <v>11</v>
      </c>
      <c r="C21" s="29" t="s">
        <v>7</v>
      </c>
      <c r="D21" s="25"/>
      <c r="E21" s="31"/>
      <c r="F21" s="2">
        <v>282659533.28999984</v>
      </c>
      <c r="G21" s="30"/>
      <c r="I21" s="13"/>
      <c r="J21" s="13"/>
    </row>
    <row r="22" spans="1:10" s="70" customFormat="1" ht="12.75" customHeight="1" x14ac:dyDescent="0.2">
      <c r="A22" s="127">
        <v>45090</v>
      </c>
      <c r="B22" s="128" t="s">
        <v>6</v>
      </c>
      <c r="C22" s="76" t="s">
        <v>317</v>
      </c>
      <c r="D22" s="125" t="s">
        <v>13</v>
      </c>
      <c r="E22" s="129">
        <v>444789</v>
      </c>
      <c r="G22" s="30"/>
      <c r="I22" s="69"/>
      <c r="J22" s="69"/>
    </row>
    <row r="23" spans="1:10" s="70" customFormat="1" ht="12.75" customHeight="1" x14ac:dyDescent="0.2">
      <c r="A23" s="127">
        <v>45090</v>
      </c>
      <c r="B23" s="128" t="s">
        <v>6</v>
      </c>
      <c r="C23" s="76" t="s">
        <v>120</v>
      </c>
      <c r="D23" s="125" t="s">
        <v>13</v>
      </c>
      <c r="E23" s="129">
        <v>123148</v>
      </c>
      <c r="G23" s="30"/>
      <c r="I23" s="69"/>
      <c r="J23" s="69"/>
    </row>
    <row r="24" spans="1:10" s="70" customFormat="1" ht="12.75" customHeight="1" x14ac:dyDescent="0.2">
      <c r="A24" s="127">
        <v>45090</v>
      </c>
      <c r="B24" s="128" t="s">
        <v>6</v>
      </c>
      <c r="C24" s="76" t="s">
        <v>178</v>
      </c>
      <c r="D24" s="126" t="s">
        <v>13</v>
      </c>
      <c r="E24" s="129">
        <v>1000000</v>
      </c>
      <c r="G24" s="30"/>
      <c r="I24" s="69"/>
      <c r="J24" s="69"/>
    </row>
    <row r="25" spans="1:10" s="70" customFormat="1" ht="12.75" customHeight="1" x14ac:dyDescent="0.2">
      <c r="A25" s="127">
        <v>45090</v>
      </c>
      <c r="B25" s="128" t="s">
        <v>6</v>
      </c>
      <c r="C25" s="76" t="s">
        <v>826</v>
      </c>
      <c r="D25" s="126" t="s">
        <v>13</v>
      </c>
      <c r="E25" s="129">
        <v>399294</v>
      </c>
      <c r="G25" s="30"/>
      <c r="I25" s="69"/>
      <c r="J25" s="69"/>
    </row>
    <row r="26" spans="1:10" s="70" customFormat="1" ht="12.75" customHeight="1" x14ac:dyDescent="0.2">
      <c r="A26" s="127">
        <v>45090</v>
      </c>
      <c r="B26" s="128" t="s">
        <v>6</v>
      </c>
      <c r="C26" s="76" t="s">
        <v>318</v>
      </c>
      <c r="D26" s="126" t="s">
        <v>13</v>
      </c>
      <c r="E26" s="129">
        <v>921702</v>
      </c>
      <c r="G26" s="30"/>
      <c r="I26" s="69"/>
      <c r="J26" s="69"/>
    </row>
    <row r="27" spans="1:10" s="70" customFormat="1" ht="12.75" customHeight="1" x14ac:dyDescent="0.2">
      <c r="A27" s="127">
        <v>45090</v>
      </c>
      <c r="B27" s="128" t="s">
        <v>6</v>
      </c>
      <c r="C27" s="76" t="s">
        <v>430</v>
      </c>
      <c r="D27" s="126" t="s">
        <v>13</v>
      </c>
      <c r="E27" s="129">
        <v>32025</v>
      </c>
      <c r="G27" s="30"/>
      <c r="I27" s="69"/>
      <c r="J27" s="69"/>
    </row>
    <row r="28" spans="1:10" s="70" customFormat="1" ht="12.75" customHeight="1" x14ac:dyDescent="0.2">
      <c r="A28" s="127">
        <v>45090</v>
      </c>
      <c r="B28" s="128" t="s">
        <v>6</v>
      </c>
      <c r="C28" s="76" t="s">
        <v>752</v>
      </c>
      <c r="D28" s="126" t="s">
        <v>13</v>
      </c>
      <c r="E28" s="129">
        <v>256698</v>
      </c>
      <c r="G28" s="30"/>
      <c r="I28" s="69"/>
      <c r="J28" s="69"/>
    </row>
    <row r="29" spans="1:10" s="70" customFormat="1" ht="12.75" customHeight="1" x14ac:dyDescent="0.2">
      <c r="A29" s="127">
        <v>45090</v>
      </c>
      <c r="B29" s="128" t="s">
        <v>11</v>
      </c>
      <c r="C29" s="76" t="s">
        <v>1080</v>
      </c>
      <c r="D29" s="126" t="s">
        <v>322</v>
      </c>
      <c r="E29" s="129"/>
      <c r="F29" s="70">
        <v>173394</v>
      </c>
      <c r="G29" s="30"/>
      <c r="I29" s="69"/>
      <c r="J29" s="69"/>
    </row>
    <row r="30" spans="1:10" s="70" customFormat="1" ht="12.75" customHeight="1" x14ac:dyDescent="0.2">
      <c r="A30" s="127">
        <v>45090</v>
      </c>
      <c r="B30" s="128" t="s">
        <v>11</v>
      </c>
      <c r="C30" s="76" t="s">
        <v>64</v>
      </c>
      <c r="D30" s="126" t="s">
        <v>29</v>
      </c>
      <c r="E30" s="129"/>
      <c r="F30" s="70">
        <v>38.94</v>
      </c>
      <c r="G30" s="30"/>
      <c r="I30" s="69"/>
      <c r="J30" s="69"/>
    </row>
    <row r="31" spans="1:10" s="70" customFormat="1" ht="12.75" customHeight="1" x14ac:dyDescent="0.2">
      <c r="A31" s="127">
        <v>45090</v>
      </c>
      <c r="B31" s="128" t="s">
        <v>11</v>
      </c>
      <c r="C31" s="76" t="s">
        <v>109</v>
      </c>
      <c r="D31" s="126" t="s">
        <v>29</v>
      </c>
      <c r="E31" s="129"/>
      <c r="F31" s="70">
        <v>1155335</v>
      </c>
      <c r="G31" s="30"/>
      <c r="I31" s="69"/>
      <c r="J31" s="69"/>
    </row>
    <row r="32" spans="1:10" s="70" customFormat="1" ht="12.75" customHeight="1" x14ac:dyDescent="0.2">
      <c r="A32" s="127">
        <v>45090</v>
      </c>
      <c r="B32" s="128" t="s">
        <v>11</v>
      </c>
      <c r="C32" s="76" t="s">
        <v>199</v>
      </c>
      <c r="D32" s="126" t="s">
        <v>29</v>
      </c>
      <c r="E32" s="129"/>
      <c r="F32" s="70">
        <v>1955266</v>
      </c>
      <c r="G32" s="30"/>
      <c r="I32" s="69"/>
      <c r="J32" s="69"/>
    </row>
    <row r="33" spans="1:10" s="70" customFormat="1" ht="12.75" customHeight="1" x14ac:dyDescent="0.2">
      <c r="A33" s="127">
        <v>45090</v>
      </c>
      <c r="B33" s="128" t="s">
        <v>11</v>
      </c>
      <c r="C33" s="76" t="s">
        <v>687</v>
      </c>
      <c r="D33" s="126" t="s">
        <v>29</v>
      </c>
      <c r="E33" s="129"/>
      <c r="F33" s="70">
        <v>289982</v>
      </c>
      <c r="G33" s="30"/>
      <c r="I33" s="69"/>
      <c r="J33" s="69"/>
    </row>
    <row r="34" spans="1:10" s="70" customFormat="1" ht="12.75" customHeight="1" x14ac:dyDescent="0.2">
      <c r="A34" s="127">
        <v>45090</v>
      </c>
      <c r="B34" s="128" t="s">
        <v>11</v>
      </c>
      <c r="C34" s="76" t="s">
        <v>110</v>
      </c>
      <c r="D34" s="126" t="s">
        <v>29</v>
      </c>
      <c r="E34" s="129"/>
      <c r="F34" s="70">
        <v>531470.66</v>
      </c>
      <c r="G34" s="30"/>
      <c r="I34" s="69"/>
      <c r="J34" s="69"/>
    </row>
    <row r="35" spans="1:10" s="70" customFormat="1" ht="12.75" customHeight="1" x14ac:dyDescent="0.2">
      <c r="A35" s="127">
        <v>45090</v>
      </c>
      <c r="B35" s="128" t="s">
        <v>11</v>
      </c>
      <c r="C35" s="76" t="s">
        <v>140</v>
      </c>
      <c r="D35" s="126" t="s">
        <v>29</v>
      </c>
      <c r="E35" s="129"/>
      <c r="F35" s="70">
        <v>1152557</v>
      </c>
      <c r="G35" s="30"/>
      <c r="I35" s="69"/>
      <c r="J35" s="69"/>
    </row>
    <row r="36" spans="1:10" s="70" customFormat="1" ht="12.75" customHeight="1" x14ac:dyDescent="0.2">
      <c r="A36" s="127">
        <v>45090</v>
      </c>
      <c r="B36" s="128" t="s">
        <v>11</v>
      </c>
      <c r="C36" s="76" t="s">
        <v>127</v>
      </c>
      <c r="D36" s="126" t="s">
        <v>29</v>
      </c>
      <c r="E36" s="129"/>
      <c r="F36" s="70">
        <v>22800</v>
      </c>
      <c r="G36" s="30"/>
      <c r="I36" s="69"/>
      <c r="J36" s="69"/>
    </row>
    <row r="37" spans="1:10" s="70" customFormat="1" ht="12.75" customHeight="1" x14ac:dyDescent="0.2">
      <c r="A37" s="127">
        <v>45090</v>
      </c>
      <c r="B37" s="128" t="s">
        <v>11</v>
      </c>
      <c r="C37" s="76" t="s">
        <v>123</v>
      </c>
      <c r="D37" s="126" t="s">
        <v>29</v>
      </c>
      <c r="E37" s="129"/>
      <c r="F37" s="70">
        <v>62985</v>
      </c>
      <c r="G37" s="30"/>
      <c r="I37" s="69"/>
      <c r="J37" s="69"/>
    </row>
    <row r="38" spans="1:10" s="70" customFormat="1" ht="12.75" customHeight="1" x14ac:dyDescent="0.2">
      <c r="A38" s="127">
        <v>45090</v>
      </c>
      <c r="B38" s="128" t="s">
        <v>11</v>
      </c>
      <c r="C38" s="76" t="s">
        <v>349</v>
      </c>
      <c r="D38" s="126" t="s">
        <v>29</v>
      </c>
      <c r="E38" s="129"/>
      <c r="F38" s="70">
        <v>12781</v>
      </c>
      <c r="G38" s="30"/>
      <c r="I38" s="69"/>
      <c r="J38" s="69"/>
    </row>
    <row r="39" spans="1:10" s="70" customFormat="1" ht="12.75" customHeight="1" x14ac:dyDescent="0.2">
      <c r="A39" s="127">
        <v>45090</v>
      </c>
      <c r="B39" s="128" t="s">
        <v>11</v>
      </c>
      <c r="C39" s="76" t="s">
        <v>42</v>
      </c>
      <c r="D39" s="126" t="s">
        <v>29</v>
      </c>
      <c r="E39" s="129"/>
      <c r="F39" s="70">
        <v>2739</v>
      </c>
      <c r="G39" s="30"/>
      <c r="I39" s="69"/>
      <c r="J39" s="69"/>
    </row>
    <row r="40" spans="1:10" s="70" customFormat="1" ht="12.75" customHeight="1" x14ac:dyDescent="0.2">
      <c r="A40" s="127">
        <v>45090</v>
      </c>
      <c r="B40" s="128" t="s">
        <v>11</v>
      </c>
      <c r="C40" s="76" t="s">
        <v>277</v>
      </c>
      <c r="D40" s="126" t="s">
        <v>29</v>
      </c>
      <c r="E40" s="129"/>
      <c r="F40" s="70">
        <v>42840</v>
      </c>
      <c r="G40" s="30"/>
      <c r="I40" s="69"/>
      <c r="J40" s="69"/>
    </row>
    <row r="41" spans="1:10" s="70" customFormat="1" ht="12.75" customHeight="1" x14ac:dyDescent="0.2">
      <c r="A41" s="127">
        <v>45090</v>
      </c>
      <c r="B41" s="128" t="s">
        <v>11</v>
      </c>
      <c r="C41" s="76" t="s">
        <v>43</v>
      </c>
      <c r="D41" s="126" t="s">
        <v>29</v>
      </c>
      <c r="E41" s="129"/>
      <c r="F41" s="70">
        <v>5900</v>
      </c>
      <c r="G41" s="30"/>
      <c r="I41" s="69"/>
      <c r="J41" s="69"/>
    </row>
    <row r="42" spans="1:10" s="70" customFormat="1" ht="12.75" customHeight="1" x14ac:dyDescent="0.2">
      <c r="A42" s="127">
        <v>45090</v>
      </c>
      <c r="B42" s="128" t="s">
        <v>11</v>
      </c>
      <c r="C42" s="76" t="s">
        <v>507</v>
      </c>
      <c r="D42" s="126" t="s">
        <v>29</v>
      </c>
      <c r="E42" s="129"/>
      <c r="F42" s="70">
        <v>11210</v>
      </c>
      <c r="G42" s="30"/>
      <c r="I42" s="69"/>
      <c r="J42" s="69"/>
    </row>
    <row r="43" spans="1:10" s="70" customFormat="1" ht="12.75" customHeight="1" x14ac:dyDescent="0.2">
      <c r="A43" s="127">
        <v>45090</v>
      </c>
      <c r="B43" s="128" t="s">
        <v>11</v>
      </c>
      <c r="C43" s="76" t="s">
        <v>45</v>
      </c>
      <c r="D43" s="126" t="s">
        <v>29</v>
      </c>
      <c r="E43" s="129"/>
      <c r="F43" s="70">
        <v>274788</v>
      </c>
      <c r="G43" s="30"/>
      <c r="I43" s="69"/>
      <c r="J43" s="69"/>
    </row>
    <row r="44" spans="1:10" s="70" customFormat="1" ht="12.75" customHeight="1" x14ac:dyDescent="0.2">
      <c r="A44" s="127">
        <v>45090</v>
      </c>
      <c r="B44" s="128" t="s">
        <v>11</v>
      </c>
      <c r="C44" s="76" t="s">
        <v>312</v>
      </c>
      <c r="D44" s="126" t="s">
        <v>29</v>
      </c>
      <c r="E44" s="129"/>
      <c r="F44" s="70">
        <v>109916</v>
      </c>
      <c r="G44" s="30"/>
      <c r="I44" s="69"/>
      <c r="J44" s="69"/>
    </row>
    <row r="45" spans="1:10" s="70" customFormat="1" ht="12.75" customHeight="1" x14ac:dyDescent="0.2">
      <c r="A45" s="127">
        <v>45090</v>
      </c>
      <c r="B45" s="128" t="s">
        <v>11</v>
      </c>
      <c r="C45" s="76" t="s">
        <v>46</v>
      </c>
      <c r="D45" s="126" t="s">
        <v>29</v>
      </c>
      <c r="E45" s="129"/>
      <c r="F45" s="70">
        <v>102100</v>
      </c>
      <c r="G45" s="30"/>
      <c r="I45" s="69"/>
      <c r="J45" s="69"/>
    </row>
    <row r="46" spans="1:10" s="70" customFormat="1" ht="12.75" customHeight="1" x14ac:dyDescent="0.2">
      <c r="A46" s="127">
        <v>45090</v>
      </c>
      <c r="B46" s="128" t="s">
        <v>11</v>
      </c>
      <c r="C46" s="76" t="s">
        <v>462</v>
      </c>
      <c r="D46" s="126" t="s">
        <v>29</v>
      </c>
      <c r="E46" s="129"/>
      <c r="F46" s="70">
        <v>15009</v>
      </c>
      <c r="G46" s="30"/>
      <c r="I46" s="69"/>
      <c r="J46" s="69"/>
    </row>
    <row r="47" spans="1:10" s="70" customFormat="1" ht="12.75" customHeight="1" x14ac:dyDescent="0.2">
      <c r="A47" s="127">
        <v>45090</v>
      </c>
      <c r="B47" s="128" t="s">
        <v>11</v>
      </c>
      <c r="C47" s="76" t="s">
        <v>809</v>
      </c>
      <c r="D47" s="126" t="s">
        <v>29</v>
      </c>
      <c r="E47" s="129"/>
      <c r="F47" s="70">
        <v>148680</v>
      </c>
      <c r="G47" s="30"/>
      <c r="I47" s="69"/>
      <c r="J47" s="69"/>
    </row>
    <row r="48" spans="1:10" s="70" customFormat="1" ht="12.75" customHeight="1" x14ac:dyDescent="0.2">
      <c r="A48" s="127">
        <v>45090</v>
      </c>
      <c r="B48" s="128" t="s">
        <v>11</v>
      </c>
      <c r="C48" s="76" t="s">
        <v>290</v>
      </c>
      <c r="D48" s="126" t="s">
        <v>29</v>
      </c>
      <c r="E48" s="129"/>
      <c r="F48" s="70">
        <v>10600</v>
      </c>
      <c r="G48" s="30"/>
      <c r="I48" s="69"/>
      <c r="J48" s="69"/>
    </row>
    <row r="49" spans="1:10" s="70" customFormat="1" ht="12.75" customHeight="1" x14ac:dyDescent="0.2">
      <c r="A49" s="127">
        <v>45090</v>
      </c>
      <c r="B49" s="128" t="s">
        <v>11</v>
      </c>
      <c r="C49" s="76" t="s">
        <v>117</v>
      </c>
      <c r="D49" s="126" t="s">
        <v>29</v>
      </c>
      <c r="E49" s="129"/>
      <c r="F49" s="70">
        <v>58351</v>
      </c>
      <c r="G49" s="30"/>
      <c r="I49" s="69"/>
      <c r="J49" s="69"/>
    </row>
    <row r="50" spans="1:10" s="70" customFormat="1" ht="12.75" customHeight="1" x14ac:dyDescent="0.2">
      <c r="A50" s="127">
        <v>45090</v>
      </c>
      <c r="B50" s="128" t="s">
        <v>11</v>
      </c>
      <c r="C50" s="76" t="s">
        <v>431</v>
      </c>
      <c r="D50" s="126" t="s">
        <v>29</v>
      </c>
      <c r="E50" s="129"/>
      <c r="F50" s="70">
        <v>36962</v>
      </c>
      <c r="G50" s="30"/>
      <c r="I50" s="69"/>
      <c r="J50" s="69"/>
    </row>
    <row r="51" spans="1:10" s="70" customFormat="1" ht="12.75" customHeight="1" x14ac:dyDescent="0.2">
      <c r="A51" s="127">
        <v>45090</v>
      </c>
      <c r="B51" s="128" t="s">
        <v>11</v>
      </c>
      <c r="C51" s="76" t="s">
        <v>483</v>
      </c>
      <c r="D51" s="126" t="s">
        <v>29</v>
      </c>
      <c r="E51" s="129"/>
      <c r="F51" s="70">
        <v>1800</v>
      </c>
      <c r="G51" s="30"/>
      <c r="I51" s="69"/>
      <c r="J51" s="69"/>
    </row>
    <row r="52" spans="1:10" s="70" customFormat="1" ht="12.75" customHeight="1" x14ac:dyDescent="0.2">
      <c r="A52" s="127">
        <v>45090</v>
      </c>
      <c r="B52" s="128" t="s">
        <v>11</v>
      </c>
      <c r="C52" s="76" t="s">
        <v>34</v>
      </c>
      <c r="D52" s="126" t="s">
        <v>29</v>
      </c>
      <c r="E52" s="129"/>
      <c r="F52" s="70">
        <v>45000</v>
      </c>
      <c r="G52" s="30"/>
      <c r="I52" s="69"/>
      <c r="J52" s="69"/>
    </row>
    <row r="53" spans="1:10" s="70" customFormat="1" ht="12.75" customHeight="1" x14ac:dyDescent="0.2">
      <c r="A53" s="127">
        <v>45090</v>
      </c>
      <c r="B53" s="128" t="s">
        <v>11</v>
      </c>
      <c r="C53" s="76" t="s">
        <v>777</v>
      </c>
      <c r="D53" s="126" t="s">
        <v>29</v>
      </c>
      <c r="E53" s="129"/>
      <c r="F53" s="70">
        <v>137902</v>
      </c>
      <c r="G53" s="30"/>
      <c r="I53" s="69"/>
      <c r="J53" s="69"/>
    </row>
    <row r="54" spans="1:10" s="70" customFormat="1" ht="12.75" customHeight="1" x14ac:dyDescent="0.2">
      <c r="A54" s="127">
        <v>45090</v>
      </c>
      <c r="B54" s="128" t="s">
        <v>11</v>
      </c>
      <c r="C54" s="76" t="s">
        <v>337</v>
      </c>
      <c r="D54" s="126" t="s">
        <v>29</v>
      </c>
      <c r="E54" s="129"/>
      <c r="F54" s="70">
        <v>62640</v>
      </c>
      <c r="G54" s="30"/>
      <c r="I54" s="69"/>
      <c r="J54" s="69"/>
    </row>
    <row r="55" spans="1:10" s="70" customFormat="1" ht="12.75" customHeight="1" x14ac:dyDescent="0.2">
      <c r="A55" s="127">
        <v>45090</v>
      </c>
      <c r="B55" s="128" t="s">
        <v>11</v>
      </c>
      <c r="C55" s="76" t="s">
        <v>57</v>
      </c>
      <c r="D55" s="126" t="s">
        <v>29</v>
      </c>
      <c r="E55" s="129"/>
      <c r="F55" s="70">
        <v>6500000</v>
      </c>
      <c r="G55" s="30"/>
      <c r="I55" s="69"/>
      <c r="J55" s="69"/>
    </row>
    <row r="56" spans="1:10" s="70" customFormat="1" ht="12.75" customHeight="1" x14ac:dyDescent="0.2">
      <c r="A56" s="127">
        <v>45090</v>
      </c>
      <c r="B56" s="128" t="s">
        <v>11</v>
      </c>
      <c r="C56" s="76" t="s">
        <v>642</v>
      </c>
      <c r="D56" s="126" t="s">
        <v>29</v>
      </c>
      <c r="E56" s="129"/>
      <c r="F56" s="70">
        <v>24000</v>
      </c>
      <c r="G56" s="30"/>
      <c r="I56" s="69"/>
      <c r="J56" s="69"/>
    </row>
    <row r="57" spans="1:10" s="70" customFormat="1" ht="12.75" customHeight="1" x14ac:dyDescent="0.2">
      <c r="A57" s="127">
        <v>45090</v>
      </c>
      <c r="B57" s="128" t="s">
        <v>11</v>
      </c>
      <c r="C57" s="76" t="s">
        <v>937</v>
      </c>
      <c r="D57" s="126" t="s">
        <v>29</v>
      </c>
      <c r="E57" s="129"/>
      <c r="F57" s="70">
        <v>4757</v>
      </c>
      <c r="G57" s="30"/>
      <c r="I57" s="69"/>
      <c r="J57" s="69"/>
    </row>
    <row r="58" spans="1:10" s="70" customFormat="1" ht="12.75" customHeight="1" x14ac:dyDescent="0.2">
      <c r="A58" s="127">
        <v>45090</v>
      </c>
      <c r="B58" s="128" t="s">
        <v>11</v>
      </c>
      <c r="C58" s="76" t="s">
        <v>410</v>
      </c>
      <c r="D58" s="126" t="s">
        <v>29</v>
      </c>
      <c r="E58" s="129"/>
      <c r="F58" s="70">
        <v>154061</v>
      </c>
      <c r="G58" s="30"/>
      <c r="I58" s="69"/>
      <c r="J58" s="69"/>
    </row>
    <row r="59" spans="1:10" s="70" customFormat="1" ht="12.75" customHeight="1" x14ac:dyDescent="0.2">
      <c r="A59" s="127">
        <v>45090</v>
      </c>
      <c r="B59" s="128" t="s">
        <v>11</v>
      </c>
      <c r="C59" s="76" t="s">
        <v>254</v>
      </c>
      <c r="D59" s="126" t="s">
        <v>29</v>
      </c>
      <c r="E59" s="129"/>
      <c r="F59" s="70">
        <v>283289.7</v>
      </c>
      <c r="G59" s="30"/>
      <c r="I59" s="69"/>
      <c r="J59" s="69"/>
    </row>
    <row r="60" spans="1:10" s="70" customFormat="1" ht="12.75" customHeight="1" x14ac:dyDescent="0.2">
      <c r="A60" s="127">
        <v>45090</v>
      </c>
      <c r="B60" s="128" t="s">
        <v>11</v>
      </c>
      <c r="C60" s="76" t="s">
        <v>253</v>
      </c>
      <c r="D60" s="126" t="s">
        <v>29</v>
      </c>
      <c r="E60" s="129"/>
      <c r="F60" s="70">
        <v>251340</v>
      </c>
      <c r="G60" s="30"/>
      <c r="I60" s="69"/>
      <c r="J60" s="69"/>
    </row>
    <row r="61" spans="1:10" s="70" customFormat="1" ht="12.75" customHeight="1" x14ac:dyDescent="0.2">
      <c r="A61" s="127">
        <v>45090</v>
      </c>
      <c r="B61" s="128" t="s">
        <v>11</v>
      </c>
      <c r="C61" s="76" t="s">
        <v>596</v>
      </c>
      <c r="D61" s="126" t="s">
        <v>29</v>
      </c>
      <c r="E61" s="129"/>
      <c r="F61" s="70">
        <v>95580</v>
      </c>
      <c r="G61" s="30"/>
      <c r="I61" s="69"/>
      <c r="J61" s="69"/>
    </row>
    <row r="62" spans="1:10" s="2" customFormat="1" ht="12.75" customHeight="1" x14ac:dyDescent="0.2">
      <c r="A62" s="127">
        <v>45090</v>
      </c>
      <c r="B62" s="128" t="s">
        <v>11</v>
      </c>
      <c r="C62" s="76" t="s">
        <v>308</v>
      </c>
      <c r="D62" s="116" t="s">
        <v>29</v>
      </c>
      <c r="E62" s="31"/>
      <c r="F62" s="2">
        <v>206500</v>
      </c>
      <c r="G62" s="30"/>
      <c r="I62" s="13"/>
      <c r="J62" s="13"/>
    </row>
    <row r="63" spans="1:10" s="2" customFormat="1" ht="12.75" customHeight="1" x14ac:dyDescent="0.2">
      <c r="A63" s="127">
        <v>45090</v>
      </c>
      <c r="B63" s="128" t="s">
        <v>11</v>
      </c>
      <c r="C63" s="76" t="s">
        <v>739</v>
      </c>
      <c r="D63" s="116" t="s">
        <v>29</v>
      </c>
      <c r="E63" s="31"/>
      <c r="F63" s="2">
        <v>386621</v>
      </c>
      <c r="G63" s="30"/>
      <c r="I63" s="13"/>
      <c r="J63" s="13"/>
    </row>
    <row r="64" spans="1:10" s="2" customFormat="1" ht="12.75" customHeight="1" x14ac:dyDescent="0.2">
      <c r="A64" s="127">
        <v>45090</v>
      </c>
      <c r="B64" s="128" t="s">
        <v>11</v>
      </c>
      <c r="C64" s="76" t="s">
        <v>970</v>
      </c>
      <c r="D64" s="116" t="s">
        <v>29</v>
      </c>
      <c r="E64" s="31"/>
      <c r="F64" s="2">
        <v>127706</v>
      </c>
      <c r="G64" s="30"/>
      <c r="I64" s="13"/>
      <c r="J64" s="13"/>
    </row>
    <row r="65" spans="1:14" s="2" customFormat="1" ht="12.75" customHeight="1" x14ac:dyDescent="0.2">
      <c r="A65" s="127">
        <v>45090</v>
      </c>
      <c r="B65" s="128" t="s">
        <v>11</v>
      </c>
      <c r="C65" s="76" t="s">
        <v>644</v>
      </c>
      <c r="D65" s="116" t="s">
        <v>29</v>
      </c>
      <c r="E65" s="31"/>
      <c r="F65" s="2">
        <v>45000</v>
      </c>
      <c r="G65" s="30"/>
      <c r="I65" s="13"/>
      <c r="J65" s="13"/>
    </row>
    <row r="66" spans="1:14" s="2" customFormat="1" ht="12.75" customHeight="1" x14ac:dyDescent="0.2">
      <c r="A66" s="127">
        <v>45090</v>
      </c>
      <c r="B66" s="128" t="s">
        <v>11</v>
      </c>
      <c r="C66" s="76" t="s">
        <v>473</v>
      </c>
      <c r="D66" s="116" t="s">
        <v>29</v>
      </c>
      <c r="E66" s="31"/>
      <c r="F66" s="2">
        <v>30000</v>
      </c>
      <c r="G66" s="30"/>
      <c r="I66" s="13"/>
      <c r="J66" s="13"/>
    </row>
    <row r="67" spans="1:14" s="2" customFormat="1" ht="12.75" customHeight="1" x14ac:dyDescent="0.25">
      <c r="A67" s="32"/>
      <c r="B67" s="33"/>
      <c r="C67" s="14"/>
      <c r="D67" s="34"/>
      <c r="E67" s="16">
        <f>SUM(E21:E66)</f>
        <v>3177656</v>
      </c>
      <c r="F67" s="16">
        <f>SUM(F21:F66)</f>
        <v>297191434.58999985</v>
      </c>
      <c r="G67" s="30"/>
      <c r="H67" s="1"/>
      <c r="I67" s="39">
        <v>294013778.58999997</v>
      </c>
      <c r="K67" s="92">
        <f>E68-I67</f>
        <v>0</v>
      </c>
      <c r="L67" s="41"/>
      <c r="M67" s="42"/>
    </row>
    <row r="68" spans="1:14" s="2" customFormat="1" ht="12.75" customHeight="1" x14ac:dyDescent="0.2">
      <c r="A68" s="36"/>
      <c r="B68" s="28" t="s">
        <v>11</v>
      </c>
      <c r="C68" s="19" t="s">
        <v>65</v>
      </c>
      <c r="D68" s="37"/>
      <c r="E68" s="38">
        <f>F67-E67</f>
        <v>294013778.58999985</v>
      </c>
      <c r="F68" s="22"/>
      <c r="G68" s="1"/>
      <c r="H68" s="1"/>
      <c r="J68" s="1"/>
      <c r="K68" s="1"/>
      <c r="L68" s="1"/>
      <c r="M68" s="1"/>
    </row>
    <row r="69" spans="1:14" s="2" customFormat="1" ht="12.75" customHeight="1" x14ac:dyDescent="0.2">
      <c r="A69" s="36"/>
      <c r="B69" s="28" t="s">
        <v>66</v>
      </c>
      <c r="C69" s="43" t="s">
        <v>67</v>
      </c>
      <c r="D69" s="43"/>
      <c r="E69" s="12">
        <v>59416310</v>
      </c>
      <c r="F69" s="22"/>
      <c r="G69" s="1"/>
      <c r="H69" s="40"/>
      <c r="I69" s="45">
        <v>1837.89</v>
      </c>
      <c r="J69" s="46"/>
      <c r="K69" s="46"/>
      <c r="L69" s="13"/>
    </row>
    <row r="70" spans="1:14" s="2" customFormat="1" ht="12.75" customHeight="1" x14ac:dyDescent="0.25">
      <c r="A70" s="36"/>
      <c r="B70" s="28"/>
      <c r="C70" s="44" t="s">
        <v>68</v>
      </c>
      <c r="D70" s="43"/>
      <c r="E70" s="7">
        <f>E68+E69</f>
        <v>353430088.58999985</v>
      </c>
      <c r="F70" s="22"/>
      <c r="G70" s="1"/>
      <c r="H70" s="103" t="s">
        <v>69</v>
      </c>
      <c r="I70" s="45">
        <v>-11.57</v>
      </c>
      <c r="J70" s="46"/>
      <c r="K70" s="46"/>
      <c r="N70" s="1"/>
    </row>
    <row r="71" spans="1:14" s="2" customFormat="1" x14ac:dyDescent="0.2">
      <c r="A71" s="24"/>
      <c r="B71" s="1"/>
      <c r="C71" s="14"/>
      <c r="D71" s="25"/>
      <c r="E71" s="1"/>
      <c r="H71" s="35" t="s">
        <v>70</v>
      </c>
      <c r="I71" s="45">
        <v>1.28</v>
      </c>
      <c r="J71" s="46">
        <f>+I72-D74</f>
        <v>0</v>
      </c>
      <c r="M71" s="2">
        <v>19.57</v>
      </c>
      <c r="N71" s="1"/>
    </row>
    <row r="72" spans="1:14" x14ac:dyDescent="0.2">
      <c r="C72" s="56"/>
      <c r="D72" s="56"/>
      <c r="E72" s="104"/>
      <c r="I72" s="49">
        <f>SUM(I69:I71)</f>
        <v>1827.6000000000001</v>
      </c>
      <c r="J72" s="46"/>
      <c r="K72" s="46"/>
      <c r="L72" s="2"/>
      <c r="M72" s="2"/>
      <c r="N72" s="2"/>
    </row>
    <row r="73" spans="1:14" x14ac:dyDescent="0.2">
      <c r="C73" s="78" t="s">
        <v>575</v>
      </c>
      <c r="D73" s="48" t="s">
        <v>576</v>
      </c>
      <c r="E73" s="104"/>
      <c r="I73" s="2"/>
      <c r="J73" s="2"/>
      <c r="K73" s="2"/>
      <c r="L73" s="2"/>
      <c r="M73" s="2"/>
      <c r="N73" s="2"/>
    </row>
    <row r="74" spans="1:14" s="2" customFormat="1" x14ac:dyDescent="0.2">
      <c r="A74" s="24"/>
      <c r="B74" s="1"/>
      <c r="C74" s="47" t="s">
        <v>570</v>
      </c>
      <c r="D74" s="111">
        <v>1827.6</v>
      </c>
      <c r="E74" s="104"/>
      <c r="G74" s="1"/>
      <c r="H74" s="110" t="s">
        <v>581</v>
      </c>
      <c r="N74" s="2" t="s">
        <v>535</v>
      </c>
    </row>
    <row r="75" spans="1:14" s="2" customFormat="1" x14ac:dyDescent="0.2">
      <c r="A75" s="24"/>
      <c r="B75" s="1"/>
      <c r="C75" s="47" t="s">
        <v>931</v>
      </c>
      <c r="D75" s="111">
        <v>55.5</v>
      </c>
      <c r="E75" s="104"/>
      <c r="G75" s="1"/>
      <c r="H75" s="110" t="s">
        <v>580</v>
      </c>
    </row>
    <row r="76" spans="1:14" s="2" customFormat="1" x14ac:dyDescent="0.2">
      <c r="A76" s="24"/>
      <c r="B76" s="1"/>
      <c r="C76" s="47" t="s">
        <v>572</v>
      </c>
      <c r="D76" s="111">
        <f>+D102/100000</f>
        <v>130.4667274</v>
      </c>
      <c r="E76" s="104"/>
      <c r="G76" s="1"/>
      <c r="H76" s="90" t="s">
        <v>587</v>
      </c>
    </row>
    <row r="77" spans="1:14" s="2" customFormat="1" x14ac:dyDescent="0.2">
      <c r="A77" s="24"/>
      <c r="B77" s="1"/>
      <c r="C77" s="108" t="s">
        <v>578</v>
      </c>
      <c r="D77" s="48">
        <f>SUM(D74:D76)</f>
        <v>2013.5667274</v>
      </c>
      <c r="E77" s="104"/>
      <c r="G77" s="1"/>
    </row>
    <row r="78" spans="1:14" s="2" customFormat="1" x14ac:dyDescent="0.2">
      <c r="A78" s="24"/>
      <c r="B78" s="1"/>
      <c r="C78" s="47"/>
      <c r="D78" s="107"/>
      <c r="E78" s="104"/>
      <c r="G78" s="1"/>
    </row>
    <row r="79" spans="1:14" s="2" customFormat="1" x14ac:dyDescent="0.2">
      <c r="A79" s="24"/>
      <c r="B79" s="1"/>
      <c r="C79" s="47" t="s">
        <v>932</v>
      </c>
      <c r="D79" s="111">
        <v>290.79000000000002</v>
      </c>
      <c r="E79" s="104"/>
      <c r="G79" s="1"/>
      <c r="H79" s="110" t="s">
        <v>581</v>
      </c>
    </row>
    <row r="80" spans="1:14" s="2" customFormat="1" x14ac:dyDescent="0.2">
      <c r="A80" s="24"/>
      <c r="B80" s="1"/>
      <c r="C80" s="47" t="s">
        <v>933</v>
      </c>
      <c r="D80" s="111">
        <f>84.68-79.04</f>
        <v>5.6400000000000006</v>
      </c>
      <c r="E80" s="104"/>
      <c r="G80" s="1"/>
      <c r="H80" s="110" t="s">
        <v>581</v>
      </c>
      <c r="J80" s="114" t="s">
        <v>713</v>
      </c>
    </row>
    <row r="81" spans="1:13" s="2" customFormat="1" x14ac:dyDescent="0.2">
      <c r="A81" s="24"/>
      <c r="B81" s="1"/>
      <c r="C81" s="78" t="s">
        <v>579</v>
      </c>
      <c r="D81" s="109">
        <f>D79+D80</f>
        <v>296.43</v>
      </c>
      <c r="E81" s="104"/>
      <c r="G81" s="1"/>
      <c r="I81" s="113"/>
      <c r="J81" s="113" t="s">
        <v>709</v>
      </c>
      <c r="K81" s="113" t="s">
        <v>710</v>
      </c>
      <c r="L81" s="113" t="s">
        <v>711</v>
      </c>
      <c r="M81" s="113" t="s">
        <v>712</v>
      </c>
    </row>
    <row r="82" spans="1:13" s="2" customFormat="1" x14ac:dyDescent="0.2">
      <c r="A82" s="24"/>
      <c r="B82" s="1"/>
      <c r="C82" s="105"/>
      <c r="D82" s="106"/>
      <c r="E82" s="104"/>
      <c r="G82" s="1"/>
      <c r="I82" s="113" t="s">
        <v>706</v>
      </c>
      <c r="J82" s="115"/>
      <c r="K82" s="115">
        <v>968.99</v>
      </c>
      <c r="L82" s="115">
        <v>968.99</v>
      </c>
      <c r="M82" s="113">
        <f>+J82+L82-K82</f>
        <v>0</v>
      </c>
    </row>
    <row r="83" spans="1:13" s="2" customFormat="1" x14ac:dyDescent="0.2">
      <c r="A83" s="24"/>
      <c r="B83" s="1"/>
      <c r="C83" s="78" t="s">
        <v>577</v>
      </c>
      <c r="D83" s="109">
        <f>D74+D81</f>
        <v>2124.0299999999997</v>
      </c>
      <c r="E83" s="104"/>
      <c r="G83" s="1"/>
      <c r="I83" s="113" t="s">
        <v>707</v>
      </c>
      <c r="J83" s="115">
        <v>183.1</v>
      </c>
      <c r="K83" s="115">
        <v>2016.46</v>
      </c>
      <c r="L83" s="115">
        <v>3083.6</v>
      </c>
      <c r="M83" s="113">
        <f>+J83+L83-K83</f>
        <v>1250.2399999999998</v>
      </c>
    </row>
    <row r="84" spans="1:13" s="2" customFormat="1" x14ac:dyDescent="0.2">
      <c r="A84" s="24"/>
      <c r="B84" s="1"/>
      <c r="C84" s="56"/>
      <c r="D84" s="56"/>
      <c r="E84" s="104"/>
      <c r="G84" s="1"/>
      <c r="I84" s="113" t="s">
        <v>708</v>
      </c>
      <c r="J84" s="115">
        <v>1371.02</v>
      </c>
      <c r="K84" s="115">
        <v>11808.75</v>
      </c>
      <c r="L84" s="115">
        <v>11833.15</v>
      </c>
      <c r="M84" s="113">
        <f>+J84+L84-K84</f>
        <v>1395.42</v>
      </c>
    </row>
    <row r="85" spans="1:13" s="2" customFormat="1" ht="38.25" x14ac:dyDescent="0.2">
      <c r="A85" s="24"/>
      <c r="B85" s="1"/>
      <c r="C85" s="79" t="str">
        <f>"Particulars ( 01-04-2021 to "&amp;TEXT(A5,"dd-mm-yyyy")&amp;" )"</f>
        <v>Particulars ( 01-04-2021 to 13-06-2023 )</v>
      </c>
      <c r="D85" s="80" t="s">
        <v>73</v>
      </c>
      <c r="E85" s="80" t="s">
        <v>74</v>
      </c>
      <c r="F85" s="81" t="s">
        <v>75</v>
      </c>
      <c r="G85" s="80" t="s">
        <v>76</v>
      </c>
      <c r="J85" s="118">
        <f>SUM(J82:J84)</f>
        <v>1554.12</v>
      </c>
      <c r="K85" s="118">
        <f>SUM(K82:K84)</f>
        <v>14794.2</v>
      </c>
      <c r="L85" s="118">
        <f>SUM(L82:L84)</f>
        <v>15885.74</v>
      </c>
      <c r="M85" s="118">
        <f>SUM(M82:M84)</f>
        <v>2645.66</v>
      </c>
    </row>
    <row r="86" spans="1:13" s="2" customFormat="1" x14ac:dyDescent="0.2">
      <c r="A86" s="24"/>
      <c r="B86" s="1"/>
      <c r="C86" s="50" t="s">
        <v>444</v>
      </c>
      <c r="D86" s="55">
        <f>+L82+L83+J83</f>
        <v>4235.6900000000005</v>
      </c>
      <c r="E86" s="55">
        <f>+K82+K83</f>
        <v>2985.45</v>
      </c>
      <c r="F86" s="55">
        <f>+D86-E86</f>
        <v>1250.2400000000007</v>
      </c>
      <c r="G86" s="55">
        <f>1500-F86</f>
        <v>249.75999999999931</v>
      </c>
      <c r="H86" s="2" t="s">
        <v>396</v>
      </c>
    </row>
    <row r="87" spans="1:13" s="2" customFormat="1" x14ac:dyDescent="0.2">
      <c r="A87" s="24"/>
      <c r="B87" s="1"/>
      <c r="C87" s="50" t="s">
        <v>71</v>
      </c>
      <c r="D87" s="55">
        <f>+J84+L84</f>
        <v>13204.17</v>
      </c>
      <c r="E87" s="55">
        <f>+K84</f>
        <v>11808.75</v>
      </c>
      <c r="F87" s="55">
        <f>+D87-E87</f>
        <v>1395.42</v>
      </c>
      <c r="G87" s="55">
        <f>1500+700-F87</f>
        <v>804.57999999999993</v>
      </c>
      <c r="H87" s="2" t="s">
        <v>396</v>
      </c>
    </row>
    <row r="88" spans="1:13" s="2" customFormat="1" x14ac:dyDescent="0.2">
      <c r="A88" s="24"/>
      <c r="B88" s="1"/>
      <c r="C88" s="14"/>
      <c r="D88" s="56"/>
      <c r="E88" s="13"/>
      <c r="G88" s="1"/>
    </row>
    <row r="89" spans="1:13" s="2" customFormat="1" x14ac:dyDescent="0.2">
      <c r="A89" s="215" t="s">
        <v>80</v>
      </c>
      <c r="B89" s="216"/>
      <c r="C89" s="216"/>
      <c r="D89" s="217"/>
      <c r="E89" s="69"/>
      <c r="F89" s="70"/>
      <c r="G89" s="1"/>
      <c r="H89" s="53"/>
    </row>
    <row r="90" spans="1:13" s="2" customFormat="1" x14ac:dyDescent="0.2">
      <c r="A90" s="71" t="s">
        <v>81</v>
      </c>
      <c r="B90" s="71"/>
      <c r="C90" s="72" t="s">
        <v>82</v>
      </c>
      <c r="D90" s="73" t="s">
        <v>83</v>
      </c>
      <c r="E90" s="69"/>
      <c r="F90" s="70"/>
      <c r="H90" s="53"/>
    </row>
    <row r="91" spans="1:13" s="2" customFormat="1" x14ac:dyDescent="0.2">
      <c r="A91" s="87">
        <v>45080</v>
      </c>
      <c r="B91" s="120" t="s">
        <v>1052</v>
      </c>
      <c r="C91" s="75" t="s">
        <v>86</v>
      </c>
      <c r="D91" s="88">
        <v>163799</v>
      </c>
      <c r="G91" s="1"/>
      <c r="L91" s="1"/>
      <c r="M91" s="1"/>
    </row>
    <row r="92" spans="1:13" s="2" customFormat="1" x14ac:dyDescent="0.2">
      <c r="A92" s="87">
        <v>45080</v>
      </c>
      <c r="B92" s="120" t="s">
        <v>1052</v>
      </c>
      <c r="C92" s="75" t="s">
        <v>86</v>
      </c>
      <c r="D92" s="88">
        <v>1695107</v>
      </c>
      <c r="G92" s="1"/>
      <c r="L92" s="1"/>
      <c r="M92" s="1"/>
    </row>
    <row r="93" spans="1:13" s="2" customFormat="1" x14ac:dyDescent="0.2">
      <c r="A93" s="87">
        <v>45082</v>
      </c>
      <c r="B93" s="120" t="s">
        <v>1052</v>
      </c>
      <c r="C93" s="75" t="s">
        <v>87</v>
      </c>
      <c r="D93" s="88">
        <v>6627</v>
      </c>
      <c r="G93" s="1"/>
      <c r="L93" s="1"/>
      <c r="M93" s="1"/>
    </row>
    <row r="94" spans="1:13" s="2" customFormat="1" x14ac:dyDescent="0.2">
      <c r="A94" s="87">
        <v>45084</v>
      </c>
      <c r="B94" s="120" t="s">
        <v>1052</v>
      </c>
      <c r="C94" s="75" t="s">
        <v>87</v>
      </c>
      <c r="D94" s="88">
        <v>618395.80000000005</v>
      </c>
      <c r="G94" s="1"/>
      <c r="L94" s="1"/>
      <c r="M94" s="1"/>
    </row>
    <row r="95" spans="1:13" s="2" customFormat="1" x14ac:dyDescent="0.2">
      <c r="A95" s="87">
        <v>45084</v>
      </c>
      <c r="B95" s="120" t="s">
        <v>1052</v>
      </c>
      <c r="C95" s="75" t="s">
        <v>271</v>
      </c>
      <c r="D95" s="88">
        <v>485258</v>
      </c>
      <c r="G95" s="1"/>
      <c r="L95" s="1"/>
      <c r="M95" s="1"/>
    </row>
    <row r="96" spans="1:13" s="2" customFormat="1" x14ac:dyDescent="0.2">
      <c r="A96" s="87">
        <v>45086</v>
      </c>
      <c r="B96" s="120" t="s">
        <v>1052</v>
      </c>
      <c r="C96" s="75" t="s">
        <v>784</v>
      </c>
      <c r="D96" s="88">
        <v>1104724</v>
      </c>
      <c r="G96" s="1"/>
      <c r="L96" s="1"/>
      <c r="M96" s="1"/>
    </row>
    <row r="97" spans="1:13" s="2" customFormat="1" x14ac:dyDescent="0.2">
      <c r="A97" s="87">
        <v>45086</v>
      </c>
      <c r="B97" s="120" t="s">
        <v>1052</v>
      </c>
      <c r="C97" s="75" t="s">
        <v>86</v>
      </c>
      <c r="D97" s="88">
        <v>1756907</v>
      </c>
      <c r="G97" s="1"/>
      <c r="L97" s="1"/>
      <c r="M97" s="1"/>
    </row>
    <row r="98" spans="1:13" s="2" customFormat="1" x14ac:dyDescent="0.2">
      <c r="A98" s="87">
        <v>45086</v>
      </c>
      <c r="B98" s="120" t="s">
        <v>1052</v>
      </c>
      <c r="C98" s="75" t="s">
        <v>784</v>
      </c>
      <c r="D98" s="88">
        <v>1489874</v>
      </c>
      <c r="G98" s="1"/>
      <c r="L98" s="1"/>
      <c r="M98" s="1"/>
    </row>
    <row r="99" spans="1:13" s="2" customFormat="1" x14ac:dyDescent="0.2">
      <c r="A99" s="87">
        <v>45086</v>
      </c>
      <c r="B99" s="120" t="s">
        <v>1052</v>
      </c>
      <c r="C99" s="75" t="s">
        <v>201</v>
      </c>
      <c r="D99" s="88">
        <v>5000192.4400000004</v>
      </c>
      <c r="G99" s="1"/>
      <c r="L99" s="1"/>
      <c r="M99" s="1"/>
    </row>
    <row r="100" spans="1:13" s="2" customFormat="1" x14ac:dyDescent="0.2">
      <c r="A100" s="87">
        <v>45089</v>
      </c>
      <c r="B100" s="120" t="s">
        <v>1052</v>
      </c>
      <c r="C100" s="75" t="s">
        <v>566</v>
      </c>
      <c r="D100" s="88">
        <v>654429</v>
      </c>
      <c r="G100" s="1"/>
      <c r="L100" s="1"/>
      <c r="M100" s="1"/>
    </row>
    <row r="101" spans="1:13" s="2" customFormat="1" x14ac:dyDescent="0.2">
      <c r="A101" s="87">
        <v>45090</v>
      </c>
      <c r="B101" s="120" t="s">
        <v>1052</v>
      </c>
      <c r="C101" s="75" t="s">
        <v>566</v>
      </c>
      <c r="D101" s="88">
        <v>71359.5</v>
      </c>
      <c r="G101" s="1"/>
      <c r="L101" s="1"/>
      <c r="M101" s="1"/>
    </row>
    <row r="102" spans="1:13" s="2" customFormat="1" x14ac:dyDescent="0.2">
      <c r="A102" s="87"/>
      <c r="B102" s="74"/>
      <c r="C102" s="75"/>
      <c r="D102" s="51">
        <f>SUM(D91:D101)</f>
        <v>13046672.74</v>
      </c>
      <c r="F102" s="2" t="s">
        <v>396</v>
      </c>
      <c r="G102" s="1"/>
      <c r="L102" s="1"/>
      <c r="M102" s="1"/>
    </row>
    <row r="103" spans="1:13" s="2" customFormat="1" x14ac:dyDescent="0.2">
      <c r="A103" s="24"/>
      <c r="B103" s="1"/>
      <c r="C103" s="14"/>
      <c r="D103" s="56"/>
      <c r="E103" s="13"/>
      <c r="G103" s="1"/>
      <c r="L103" s="1"/>
      <c r="M103" s="1"/>
    </row>
    <row r="104" spans="1:13" s="2" customFormat="1" x14ac:dyDescent="0.2">
      <c r="A104" s="24"/>
      <c r="B104" s="1"/>
      <c r="C104" s="218" t="s">
        <v>77</v>
      </c>
      <c r="D104" s="219"/>
      <c r="E104" s="219"/>
      <c r="F104" s="220"/>
      <c r="G104" s="1"/>
      <c r="L104" s="1"/>
      <c r="M104" s="1"/>
    </row>
    <row r="105" spans="1:13" s="2" customFormat="1" x14ac:dyDescent="0.2">
      <c r="A105" s="24"/>
      <c r="B105" s="1"/>
      <c r="C105" s="50"/>
      <c r="D105" s="57" t="s">
        <v>78</v>
      </c>
      <c r="E105" s="58" t="s">
        <v>79</v>
      </c>
      <c r="F105" s="57" t="s">
        <v>72</v>
      </c>
      <c r="G105" s="1"/>
      <c r="I105" s="1"/>
      <c r="J105" s="1"/>
      <c r="K105" s="1"/>
      <c r="L105" s="1"/>
      <c r="M105" s="1"/>
    </row>
    <row r="106" spans="1:13" s="2" customFormat="1" x14ac:dyDescent="0.2">
      <c r="A106" s="24"/>
      <c r="B106" s="1"/>
      <c r="C106" s="59" t="str">
        <f>"01-06-2023 to "&amp;TEXT(A5-2,"dd-mm-yyyy")</f>
        <v>01-06-2023 to 11-06-2023</v>
      </c>
      <c r="D106" s="60">
        <v>2378.96</v>
      </c>
      <c r="E106" s="60">
        <v>96.74</v>
      </c>
      <c r="F106" s="61">
        <f>SUM(D106:E106)</f>
        <v>2475.6999999999998</v>
      </c>
      <c r="G106" s="1"/>
    </row>
    <row r="107" spans="1:13" s="2" customFormat="1" x14ac:dyDescent="0.2">
      <c r="A107" s="24"/>
      <c r="B107" s="1"/>
      <c r="C107" s="62" t="str">
        <f>TEXT(A5-1,"dd-mm-yyyy")</f>
        <v>12-06-2023</v>
      </c>
      <c r="D107" s="60">
        <v>177.11</v>
      </c>
      <c r="E107" s="60">
        <v>3.11</v>
      </c>
      <c r="F107" s="61">
        <f>SUM(D107:E107)</f>
        <v>180.22000000000003</v>
      </c>
      <c r="G107" s="54"/>
      <c r="I107" s="1"/>
      <c r="J107" s="1"/>
      <c r="K107" s="1"/>
      <c r="L107" s="1"/>
      <c r="M107" s="1"/>
    </row>
    <row r="108" spans="1:13" s="2" customFormat="1" ht="13.5" thickBot="1" x14ac:dyDescent="0.25">
      <c r="A108" s="24"/>
      <c r="B108" s="1"/>
      <c r="C108" s="63" t="str">
        <f>"01-06-2023 to "&amp;TEXT(A5-1,"dd-mm-yyyy")</f>
        <v>01-06-2023 to 12-06-2023</v>
      </c>
      <c r="D108" s="64">
        <f>SUM(D106:D107)</f>
        <v>2556.0700000000002</v>
      </c>
      <c r="E108" s="64">
        <f>SUM(E106:E107)</f>
        <v>99.85</v>
      </c>
      <c r="F108" s="64">
        <f>SUM(F106:F107)</f>
        <v>2655.92</v>
      </c>
      <c r="G108" s="54"/>
      <c r="I108" s="1"/>
      <c r="J108" s="1"/>
      <c r="K108" s="1"/>
      <c r="L108" s="1"/>
      <c r="M108" s="1"/>
    </row>
    <row r="109" spans="1:13" s="2" customFormat="1" ht="13.5" thickTop="1" x14ac:dyDescent="0.2">
      <c r="A109" s="24"/>
      <c r="B109" s="1"/>
      <c r="C109" s="62"/>
      <c r="D109" s="65"/>
      <c r="E109" s="66"/>
      <c r="F109" s="67"/>
      <c r="G109" s="54"/>
      <c r="I109" s="1"/>
      <c r="J109" s="1"/>
      <c r="K109" s="1"/>
      <c r="L109" s="1"/>
      <c r="M109" s="1"/>
    </row>
    <row r="110" spans="1:13" s="2" customFormat="1" x14ac:dyDescent="0.2">
      <c r="A110" s="24"/>
      <c r="B110" s="1"/>
      <c r="C110" s="62" t="str">
        <f>"01-04-2023 to " &amp;C107</f>
        <v>01-04-2023 to 12-06-2023</v>
      </c>
      <c r="D110" s="68">
        <f>+D108+9224.33</f>
        <v>11780.4</v>
      </c>
      <c r="E110" s="68">
        <f>+E108+906.58</f>
        <v>1006.4300000000001</v>
      </c>
      <c r="F110" s="68">
        <f>+F108+10130.9</f>
        <v>12786.82</v>
      </c>
      <c r="G110" s="54"/>
      <c r="I110" s="1"/>
      <c r="J110" s="1"/>
      <c r="K110" s="1"/>
      <c r="L110" s="1"/>
      <c r="M110" s="1"/>
    </row>
    <row r="111" spans="1:13" x14ac:dyDescent="0.2">
      <c r="C111" s="52"/>
      <c r="D111" s="85"/>
      <c r="E111" s="53"/>
      <c r="F111" s="53"/>
      <c r="G111" s="54"/>
      <c r="H111" s="2" t="s">
        <v>396</v>
      </c>
    </row>
    <row r="112" spans="1:13" s="2" customFormat="1" x14ac:dyDescent="0.2">
      <c r="A112" s="24"/>
      <c r="B112" s="1"/>
      <c r="C112" s="52"/>
      <c r="D112" s="85"/>
      <c r="E112" s="53"/>
      <c r="F112" s="53"/>
      <c r="G112" s="54"/>
      <c r="H112" s="53"/>
    </row>
    <row r="113" spans="3:10" x14ac:dyDescent="0.2">
      <c r="C113" s="52"/>
      <c r="D113" s="85"/>
      <c r="E113" s="53"/>
      <c r="F113" s="53"/>
      <c r="G113" s="54"/>
      <c r="H113" s="53" t="s">
        <v>396</v>
      </c>
    </row>
    <row r="114" spans="3:10" x14ac:dyDescent="0.2">
      <c r="C114" s="52"/>
      <c r="D114" s="85"/>
      <c r="E114" s="53"/>
      <c r="F114" s="53"/>
      <c r="G114" s="54"/>
      <c r="H114" s="53" t="s">
        <v>396</v>
      </c>
      <c r="J114" s="42"/>
    </row>
    <row r="115" spans="3:10" x14ac:dyDescent="0.2">
      <c r="G115" s="54"/>
      <c r="H115" s="53"/>
      <c r="I115" s="101"/>
    </row>
    <row r="116" spans="3:10" x14ac:dyDescent="0.2">
      <c r="G116" s="54"/>
      <c r="H116" s="53"/>
    </row>
    <row r="117" spans="3:10" x14ac:dyDescent="0.2">
      <c r="G117" s="54"/>
      <c r="H117" s="53"/>
    </row>
    <row r="118" spans="3:10" x14ac:dyDescent="0.2">
      <c r="H118" s="53"/>
    </row>
  </sheetData>
  <mergeCells count="6">
    <mergeCell ref="C104:F104"/>
    <mergeCell ref="A1:G1"/>
    <mergeCell ref="A3:F3"/>
    <mergeCell ref="A9:F9"/>
    <mergeCell ref="A19:F19"/>
    <mergeCell ref="A89:D89"/>
  </mergeCells>
  <conditionalFormatting sqref="G86:G87">
    <cfRule type="cellIs" dxfId="492" priority="1" operator="lessThan">
      <formula>0</formula>
    </cfRule>
  </conditionalFormatting>
  <conditionalFormatting sqref="C21">
    <cfRule type="duplicateValues" dxfId="491" priority="2"/>
  </conditionalFormatting>
  <conditionalFormatting sqref="C22:C66">
    <cfRule type="duplicateValues" dxfId="490" priority="540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351">
    <pageSetUpPr fitToPage="1"/>
  </sheetPr>
  <dimension ref="A1:N116"/>
  <sheetViews>
    <sheetView topLeftCell="A33" zoomScaleNormal="100" workbookViewId="0">
      <selection activeCell="C46" sqref="C46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47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1081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45091</v>
      </c>
      <c r="B5" s="9" t="s">
        <v>6</v>
      </c>
      <c r="C5" s="10" t="s">
        <v>7</v>
      </c>
      <c r="D5" s="11"/>
      <c r="E5" s="12">
        <v>5242816.7</v>
      </c>
      <c r="F5" s="12"/>
      <c r="G5" s="1"/>
      <c r="H5" s="112"/>
      <c r="I5" s="112"/>
    </row>
    <row r="6" spans="1:10" s="2" customFormat="1" ht="14.25" customHeight="1" x14ac:dyDescent="0.4">
      <c r="A6" s="89">
        <v>45091</v>
      </c>
      <c r="B6" s="9" t="s">
        <v>11</v>
      </c>
      <c r="C6" s="10" t="s">
        <v>495</v>
      </c>
      <c r="D6" s="11" t="s">
        <v>29</v>
      </c>
      <c r="E6" s="12"/>
      <c r="F6" s="12">
        <v>5000000</v>
      </c>
      <c r="G6" s="1"/>
      <c r="H6" s="112"/>
      <c r="I6" s="112"/>
    </row>
    <row r="7" spans="1:10" s="2" customFormat="1" ht="12.75" customHeight="1" x14ac:dyDescent="0.4">
      <c r="D7" s="15" t="s">
        <v>8</v>
      </c>
      <c r="E7" s="16">
        <f>SUM(E5:E5)</f>
        <v>5242816.7</v>
      </c>
      <c r="F7" s="16">
        <f>SUM(F6)</f>
        <v>5000000</v>
      </c>
      <c r="G7" s="1"/>
      <c r="H7" s="112"/>
      <c r="I7" s="112"/>
    </row>
    <row r="8" spans="1:10" s="2" customFormat="1" ht="12.75" customHeight="1" x14ac:dyDescent="0.4">
      <c r="A8" s="17"/>
      <c r="B8" s="18"/>
      <c r="C8" s="19" t="s">
        <v>9</v>
      </c>
      <c r="D8" s="20"/>
      <c r="E8" s="21">
        <f>+E7-F7</f>
        <v>242816.70000000019</v>
      </c>
      <c r="F8" s="22"/>
      <c r="G8" s="23"/>
      <c r="H8" s="112"/>
      <c r="I8" s="112"/>
      <c r="J8" s="13"/>
    </row>
    <row r="9" spans="1:10" ht="12.75" customHeight="1" x14ac:dyDescent="0.4">
      <c r="H9" s="112"/>
      <c r="I9" s="112"/>
    </row>
    <row r="10" spans="1:10" ht="18" customHeight="1" x14ac:dyDescent="0.4">
      <c r="A10" s="213" t="s">
        <v>1037</v>
      </c>
      <c r="B10" s="213"/>
      <c r="C10" s="213"/>
      <c r="D10" s="213"/>
      <c r="E10" s="213"/>
      <c r="F10" s="213"/>
      <c r="H10" s="112"/>
      <c r="I10" s="112"/>
    </row>
    <row r="11" spans="1:10" ht="12.75" customHeight="1" x14ac:dyDescent="0.4">
      <c r="A11" s="3" t="s">
        <v>1</v>
      </c>
      <c r="B11" s="4" t="s">
        <v>2</v>
      </c>
      <c r="C11" s="5"/>
      <c r="D11" s="6" t="s">
        <v>3</v>
      </c>
      <c r="E11" s="7" t="s">
        <v>4</v>
      </c>
      <c r="F11" s="7" t="s">
        <v>5</v>
      </c>
      <c r="H11" s="112"/>
      <c r="I11" s="112"/>
    </row>
    <row r="12" spans="1:10" s="2" customFormat="1" ht="14.25" customHeight="1" x14ac:dyDescent="0.2">
      <c r="A12" s="127">
        <v>45091</v>
      </c>
      <c r="B12" s="9" t="s">
        <v>6</v>
      </c>
      <c r="C12" s="10" t="s">
        <v>7</v>
      </c>
      <c r="D12" s="11"/>
      <c r="F12" s="12">
        <v>28244707.689999994</v>
      </c>
      <c r="G12" s="1"/>
      <c r="H12" s="130"/>
      <c r="I12" s="130"/>
    </row>
    <row r="13" spans="1:10" s="2" customFormat="1" ht="14.25" customHeight="1" x14ac:dyDescent="0.2">
      <c r="A13" s="127">
        <v>45091</v>
      </c>
      <c r="B13" s="9" t="s">
        <v>6</v>
      </c>
      <c r="C13" s="76" t="s">
        <v>16</v>
      </c>
      <c r="D13" s="125" t="s">
        <v>13</v>
      </c>
      <c r="E13" s="124">
        <v>1008105.73</v>
      </c>
      <c r="F13" s="31"/>
      <c r="G13" s="1"/>
      <c r="H13" s="130"/>
      <c r="I13" s="130"/>
    </row>
    <row r="14" spans="1:10" s="2" customFormat="1" ht="14.25" customHeight="1" x14ac:dyDescent="0.2">
      <c r="A14" s="127">
        <v>45091</v>
      </c>
      <c r="B14" s="9" t="s">
        <v>11</v>
      </c>
      <c r="C14" s="76" t="s">
        <v>225</v>
      </c>
      <c r="D14" s="11" t="s">
        <v>29</v>
      </c>
      <c r="E14" s="124"/>
      <c r="F14" s="31">
        <v>34220</v>
      </c>
      <c r="G14" s="1"/>
      <c r="H14" s="130"/>
      <c r="I14" s="130"/>
    </row>
    <row r="15" spans="1:10" s="2" customFormat="1" ht="14.25" customHeight="1" x14ac:dyDescent="0.2">
      <c r="A15" s="127">
        <v>45091</v>
      </c>
      <c r="B15" s="9" t="s">
        <v>11</v>
      </c>
      <c r="C15" s="76" t="s">
        <v>131</v>
      </c>
      <c r="D15" s="11" t="s">
        <v>29</v>
      </c>
      <c r="E15" s="124"/>
      <c r="F15" s="31">
        <v>25112</v>
      </c>
      <c r="G15" s="1"/>
      <c r="H15" s="130"/>
      <c r="I15" s="130"/>
    </row>
    <row r="16" spans="1:10" s="2" customFormat="1" ht="12.75" customHeight="1" x14ac:dyDescent="0.4">
      <c r="D16" s="15" t="s">
        <v>8</v>
      </c>
      <c r="E16" s="16">
        <f>SUM(E13:E15)</f>
        <v>1008105.73</v>
      </c>
      <c r="F16" s="16">
        <f>SUM(F12:F15)</f>
        <v>28304039.689999994</v>
      </c>
      <c r="G16" s="1"/>
      <c r="H16" s="112"/>
      <c r="I16" s="112"/>
    </row>
    <row r="17" spans="1:10" s="2" customFormat="1" ht="12.75" customHeight="1" x14ac:dyDescent="0.4">
      <c r="A17" s="17"/>
      <c r="B17" s="18"/>
      <c r="C17" s="96" t="s">
        <v>9</v>
      </c>
      <c r="D17" s="20"/>
      <c r="E17" s="21">
        <f>+F16-E16</f>
        <v>27295933.959999993</v>
      </c>
      <c r="G17" s="23"/>
      <c r="H17" s="112"/>
      <c r="I17" s="112"/>
      <c r="J17" s="13"/>
    </row>
    <row r="18" spans="1:10" s="2" customFormat="1" ht="12.75" customHeight="1" x14ac:dyDescent="0.4">
      <c r="A18" s="24"/>
      <c r="B18" s="1"/>
      <c r="C18" s="14"/>
      <c r="D18" s="25"/>
      <c r="G18" s="23"/>
      <c r="H18" s="112"/>
      <c r="I18" s="112"/>
      <c r="J18" s="13"/>
    </row>
    <row r="19" spans="1:10" s="2" customFormat="1" ht="21.75" customHeight="1" x14ac:dyDescent="0.4">
      <c r="A19" s="214" t="s">
        <v>10</v>
      </c>
      <c r="B19" s="214"/>
      <c r="C19" s="214"/>
      <c r="D19" s="214"/>
      <c r="E19" s="214"/>
      <c r="F19" s="214"/>
      <c r="G19" s="13"/>
      <c r="H19" s="112"/>
      <c r="I19" s="112"/>
      <c r="J19" s="13"/>
    </row>
    <row r="20" spans="1:10" s="2" customFormat="1" ht="12.75" customHeight="1" x14ac:dyDescent="0.4">
      <c r="A20" s="26" t="s">
        <v>1</v>
      </c>
      <c r="B20" s="27" t="s">
        <v>2</v>
      </c>
      <c r="C20" s="5"/>
      <c r="D20" s="6" t="s">
        <v>3</v>
      </c>
      <c r="E20" s="7" t="s">
        <v>4</v>
      </c>
      <c r="F20" s="7" t="s">
        <v>5</v>
      </c>
      <c r="G20" s="23"/>
      <c r="H20" s="112"/>
      <c r="I20" s="112"/>
      <c r="J20" s="13"/>
    </row>
    <row r="21" spans="1:10" s="2" customFormat="1" ht="12.75" customHeight="1" x14ac:dyDescent="0.2">
      <c r="A21" s="127">
        <v>45091</v>
      </c>
      <c r="B21" s="128" t="s">
        <v>11</v>
      </c>
      <c r="C21" s="29" t="s">
        <v>7</v>
      </c>
      <c r="D21" s="25"/>
      <c r="E21" s="31"/>
      <c r="F21" s="2">
        <v>294013778.58999985</v>
      </c>
      <c r="G21" s="30"/>
      <c r="I21" s="13"/>
      <c r="J21" s="13"/>
    </row>
    <row r="22" spans="1:10" s="70" customFormat="1" ht="12.75" customHeight="1" x14ac:dyDescent="0.2">
      <c r="A22" s="127">
        <v>45091</v>
      </c>
      <c r="B22" s="128" t="s">
        <v>6</v>
      </c>
      <c r="C22" s="76" t="s">
        <v>20</v>
      </c>
      <c r="D22" s="125" t="s">
        <v>13</v>
      </c>
      <c r="E22" s="129">
        <v>416104</v>
      </c>
      <c r="G22" s="30"/>
      <c r="I22" s="69"/>
      <c r="J22" s="69"/>
    </row>
    <row r="23" spans="1:10" s="70" customFormat="1" ht="12.75" customHeight="1" x14ac:dyDescent="0.2">
      <c r="A23" s="127">
        <v>45091</v>
      </c>
      <c r="B23" s="128" t="s">
        <v>6</v>
      </c>
      <c r="C23" s="76" t="s">
        <v>480</v>
      </c>
      <c r="D23" s="125" t="s">
        <v>13</v>
      </c>
      <c r="E23" s="129">
        <v>1070190</v>
      </c>
      <c r="G23" s="30"/>
      <c r="I23" s="69"/>
      <c r="J23" s="69"/>
    </row>
    <row r="24" spans="1:10" s="70" customFormat="1" ht="12.75" customHeight="1" x14ac:dyDescent="0.2">
      <c r="A24" s="127">
        <v>45091</v>
      </c>
      <c r="B24" s="128" t="s">
        <v>6</v>
      </c>
      <c r="C24" s="76" t="s">
        <v>758</v>
      </c>
      <c r="D24" s="126" t="s">
        <v>13</v>
      </c>
      <c r="E24" s="129">
        <v>952200.27</v>
      </c>
      <c r="G24" s="30"/>
      <c r="I24" s="69"/>
      <c r="J24" s="69"/>
    </row>
    <row r="25" spans="1:10" s="70" customFormat="1" ht="12.75" customHeight="1" x14ac:dyDescent="0.2">
      <c r="A25" s="127">
        <v>45091</v>
      </c>
      <c r="B25" s="128" t="s">
        <v>6</v>
      </c>
      <c r="C25" s="76" t="s">
        <v>765</v>
      </c>
      <c r="D25" s="126" t="s">
        <v>13</v>
      </c>
      <c r="E25" s="129">
        <v>1058450.0899999999</v>
      </c>
      <c r="G25" s="30"/>
      <c r="I25" s="69"/>
      <c r="J25" s="69"/>
    </row>
    <row r="26" spans="1:10" s="70" customFormat="1" ht="12.75" customHeight="1" x14ac:dyDescent="0.2">
      <c r="A26" s="127">
        <v>45091</v>
      </c>
      <c r="B26" s="128" t="s">
        <v>6</v>
      </c>
      <c r="C26" s="76" t="s">
        <v>750</v>
      </c>
      <c r="D26" s="126" t="s">
        <v>13</v>
      </c>
      <c r="E26" s="129">
        <v>4713331.38</v>
      </c>
      <c r="G26" s="30"/>
      <c r="I26" s="69"/>
      <c r="J26" s="69"/>
    </row>
    <row r="27" spans="1:10" s="70" customFormat="1" ht="12.75" customHeight="1" x14ac:dyDescent="0.2">
      <c r="A27" s="127">
        <v>45091</v>
      </c>
      <c r="B27" s="128" t="s">
        <v>6</v>
      </c>
      <c r="C27" s="76" t="s">
        <v>760</v>
      </c>
      <c r="D27" s="126" t="s">
        <v>13</v>
      </c>
      <c r="E27" s="129">
        <v>407851.74</v>
      </c>
      <c r="G27" s="30"/>
      <c r="I27" s="69"/>
      <c r="J27" s="69"/>
    </row>
    <row r="28" spans="1:10" s="70" customFormat="1" ht="12.75" customHeight="1" x14ac:dyDescent="0.2">
      <c r="A28" s="127">
        <v>45091</v>
      </c>
      <c r="B28" s="128" t="s">
        <v>6</v>
      </c>
      <c r="C28" s="76" t="s">
        <v>764</v>
      </c>
      <c r="D28" s="126" t="s">
        <v>13</v>
      </c>
      <c r="E28" s="129">
        <v>621218.31000000006</v>
      </c>
      <c r="G28" s="30"/>
      <c r="I28" s="69"/>
      <c r="J28" s="69"/>
    </row>
    <row r="29" spans="1:10" s="70" customFormat="1" ht="12.75" customHeight="1" x14ac:dyDescent="0.2">
      <c r="A29" s="127">
        <v>45091</v>
      </c>
      <c r="B29" s="128" t="s">
        <v>6</v>
      </c>
      <c r="C29" s="76" t="s">
        <v>748</v>
      </c>
      <c r="D29" s="126" t="s">
        <v>13</v>
      </c>
      <c r="E29" s="129">
        <v>384182.48</v>
      </c>
      <c r="G29" s="30"/>
      <c r="I29" s="69"/>
      <c r="J29" s="69"/>
    </row>
    <row r="30" spans="1:10" s="70" customFormat="1" ht="12.75" customHeight="1" x14ac:dyDescent="0.2">
      <c r="A30" s="127">
        <v>45091</v>
      </c>
      <c r="B30" s="128" t="s">
        <v>6</v>
      </c>
      <c r="C30" s="76" t="s">
        <v>101</v>
      </c>
      <c r="D30" s="126" t="s">
        <v>13</v>
      </c>
      <c r="E30" s="129">
        <v>39651</v>
      </c>
      <c r="G30" s="30"/>
      <c r="I30" s="69"/>
      <c r="J30" s="69"/>
    </row>
    <row r="31" spans="1:10" s="70" customFormat="1" ht="12.75" customHeight="1" x14ac:dyDescent="0.2">
      <c r="A31" s="127">
        <v>45091</v>
      </c>
      <c r="B31" s="128" t="s">
        <v>6</v>
      </c>
      <c r="C31" s="76" t="s">
        <v>761</v>
      </c>
      <c r="D31" s="126" t="s">
        <v>13</v>
      </c>
      <c r="E31" s="129">
        <v>776933</v>
      </c>
      <c r="G31" s="30"/>
      <c r="I31" s="69"/>
      <c r="J31" s="69"/>
    </row>
    <row r="32" spans="1:10" s="70" customFormat="1" ht="12.75" customHeight="1" x14ac:dyDescent="0.2">
      <c r="A32" s="127">
        <v>45091</v>
      </c>
      <c r="B32" s="128" t="s">
        <v>6</v>
      </c>
      <c r="C32" s="76" t="s">
        <v>16</v>
      </c>
      <c r="D32" s="126" t="s">
        <v>13</v>
      </c>
      <c r="E32" s="129">
        <v>13952.84</v>
      </c>
      <c r="G32" s="30"/>
      <c r="I32" s="69"/>
      <c r="J32" s="69"/>
    </row>
    <row r="33" spans="1:10" s="70" customFormat="1" ht="12.75" customHeight="1" x14ac:dyDescent="0.2">
      <c r="A33" s="127">
        <v>45091</v>
      </c>
      <c r="B33" s="128" t="s">
        <v>6</v>
      </c>
      <c r="C33" s="76" t="s">
        <v>612</v>
      </c>
      <c r="D33" s="126" t="s">
        <v>13</v>
      </c>
      <c r="E33" s="129">
        <v>160861</v>
      </c>
      <c r="G33" s="30"/>
      <c r="I33" s="69"/>
      <c r="J33" s="69"/>
    </row>
    <row r="34" spans="1:10" s="70" customFormat="1" ht="12.75" customHeight="1" x14ac:dyDescent="0.2">
      <c r="A34" s="127">
        <v>45091</v>
      </c>
      <c r="B34" s="128" t="s">
        <v>6</v>
      </c>
      <c r="C34" s="76" t="s">
        <v>122</v>
      </c>
      <c r="D34" s="126" t="s">
        <v>13</v>
      </c>
      <c r="E34" s="129">
        <v>24021</v>
      </c>
      <c r="G34" s="30"/>
      <c r="I34" s="69"/>
      <c r="J34" s="69"/>
    </row>
    <row r="35" spans="1:10" s="70" customFormat="1" ht="12.75" customHeight="1" x14ac:dyDescent="0.2">
      <c r="A35" s="127">
        <v>45091</v>
      </c>
      <c r="B35" s="128" t="s">
        <v>6</v>
      </c>
      <c r="C35" s="76" t="s">
        <v>726</v>
      </c>
      <c r="D35" s="126" t="s">
        <v>13</v>
      </c>
      <c r="E35" s="129">
        <v>226688</v>
      </c>
      <c r="G35" s="30"/>
      <c r="I35" s="69"/>
      <c r="J35" s="69"/>
    </row>
    <row r="36" spans="1:10" s="70" customFormat="1" ht="12.75" customHeight="1" x14ac:dyDescent="0.2">
      <c r="A36" s="127">
        <v>45091</v>
      </c>
      <c r="B36" s="128" t="s">
        <v>6</v>
      </c>
      <c r="C36" s="76" t="s">
        <v>487</v>
      </c>
      <c r="D36" s="126" t="s">
        <v>13</v>
      </c>
      <c r="E36" s="129">
        <v>219591.57</v>
      </c>
      <c r="G36" s="30"/>
      <c r="I36" s="69"/>
      <c r="J36" s="69"/>
    </row>
    <row r="37" spans="1:10" s="70" customFormat="1" ht="12.75" customHeight="1" x14ac:dyDescent="0.2">
      <c r="A37" s="127">
        <v>45091</v>
      </c>
      <c r="B37" s="128" t="s">
        <v>6</v>
      </c>
      <c r="C37" s="76" t="s">
        <v>14</v>
      </c>
      <c r="D37" s="126" t="s">
        <v>13</v>
      </c>
      <c r="E37" s="129">
        <v>2200711</v>
      </c>
      <c r="G37" s="30"/>
      <c r="I37" s="69"/>
      <c r="J37" s="69"/>
    </row>
    <row r="38" spans="1:10" s="70" customFormat="1" ht="12.75" customHeight="1" x14ac:dyDescent="0.2">
      <c r="A38" s="127">
        <v>45091</v>
      </c>
      <c r="B38" s="128" t="s">
        <v>6</v>
      </c>
      <c r="C38" s="76" t="s">
        <v>757</v>
      </c>
      <c r="D38" s="126" t="s">
        <v>13</v>
      </c>
      <c r="E38" s="129">
        <v>172158.2</v>
      </c>
      <c r="G38" s="30"/>
      <c r="I38" s="69"/>
      <c r="J38" s="69"/>
    </row>
    <row r="39" spans="1:10" s="70" customFormat="1" ht="12.75" customHeight="1" x14ac:dyDescent="0.2">
      <c r="A39" s="127">
        <v>45091</v>
      </c>
      <c r="B39" s="128" t="s">
        <v>6</v>
      </c>
      <c r="C39" s="76" t="s">
        <v>1082</v>
      </c>
      <c r="D39" s="126" t="s">
        <v>13</v>
      </c>
      <c r="E39" s="129">
        <v>606773.59</v>
      </c>
      <c r="G39" s="30"/>
      <c r="I39" s="69"/>
      <c r="J39" s="69"/>
    </row>
    <row r="40" spans="1:10" s="70" customFormat="1" ht="12.75" customHeight="1" x14ac:dyDescent="0.2">
      <c r="A40" s="127">
        <v>45091</v>
      </c>
      <c r="B40" s="128" t="s">
        <v>6</v>
      </c>
      <c r="C40" s="76" t="s">
        <v>755</v>
      </c>
      <c r="D40" s="126" t="s">
        <v>13</v>
      </c>
      <c r="E40" s="129">
        <v>928513.22</v>
      </c>
      <c r="G40" s="30"/>
      <c r="I40" s="69"/>
      <c r="J40" s="69"/>
    </row>
    <row r="41" spans="1:10" s="70" customFormat="1" ht="12.75" customHeight="1" x14ac:dyDescent="0.2">
      <c r="A41" s="127">
        <v>45091</v>
      </c>
      <c r="B41" s="128" t="s">
        <v>6</v>
      </c>
      <c r="C41" s="76" t="s">
        <v>201</v>
      </c>
      <c r="D41" s="126" t="s">
        <v>13</v>
      </c>
      <c r="E41" s="129">
        <v>95171.199999999997</v>
      </c>
      <c r="G41" s="30"/>
      <c r="I41" s="69"/>
      <c r="J41" s="69"/>
    </row>
    <row r="42" spans="1:10" s="70" customFormat="1" ht="12.75" customHeight="1" x14ac:dyDescent="0.2">
      <c r="A42" s="127">
        <v>45091</v>
      </c>
      <c r="B42" s="128" t="s">
        <v>6</v>
      </c>
      <c r="C42" s="76" t="s">
        <v>826</v>
      </c>
      <c r="D42" s="126" t="s">
        <v>13</v>
      </c>
      <c r="E42" s="129">
        <v>275525</v>
      </c>
      <c r="G42" s="30"/>
      <c r="I42" s="69"/>
      <c r="J42" s="69"/>
    </row>
    <row r="43" spans="1:10" s="70" customFormat="1" ht="12.75" customHeight="1" x14ac:dyDescent="0.2">
      <c r="A43" s="127">
        <v>45091</v>
      </c>
      <c r="B43" s="128" t="s">
        <v>6</v>
      </c>
      <c r="C43" s="76" t="s">
        <v>1083</v>
      </c>
      <c r="D43" s="126" t="s">
        <v>13</v>
      </c>
      <c r="E43" s="129">
        <v>50000</v>
      </c>
      <c r="G43" s="30"/>
      <c r="I43" s="69"/>
      <c r="J43" s="69"/>
    </row>
    <row r="44" spans="1:10" s="70" customFormat="1" ht="12.75" customHeight="1" x14ac:dyDescent="0.2">
      <c r="A44" s="127">
        <v>45091</v>
      </c>
      <c r="B44" s="128" t="s">
        <v>6</v>
      </c>
      <c r="C44" s="76" t="s">
        <v>286</v>
      </c>
      <c r="D44" s="126" t="s">
        <v>13</v>
      </c>
      <c r="E44" s="129">
        <v>958449</v>
      </c>
      <c r="G44" s="30"/>
      <c r="I44" s="69"/>
      <c r="J44" s="69"/>
    </row>
    <row r="45" spans="1:10" s="70" customFormat="1" ht="12.75" customHeight="1" x14ac:dyDescent="0.2">
      <c r="A45" s="127">
        <v>45091</v>
      </c>
      <c r="B45" s="128" t="s">
        <v>6</v>
      </c>
      <c r="C45" s="76" t="s">
        <v>15</v>
      </c>
      <c r="D45" s="126" t="s">
        <v>13</v>
      </c>
      <c r="E45" s="129">
        <v>82540.31</v>
      </c>
      <c r="G45" s="30"/>
      <c r="I45" s="69"/>
      <c r="J45" s="69"/>
    </row>
    <row r="46" spans="1:10" s="70" customFormat="1" ht="12.75" customHeight="1" x14ac:dyDescent="0.2">
      <c r="A46" s="127">
        <v>45091</v>
      </c>
      <c r="B46" s="128" t="s">
        <v>6</v>
      </c>
      <c r="C46" s="76" t="s">
        <v>149</v>
      </c>
      <c r="D46" s="126" t="s">
        <v>13</v>
      </c>
      <c r="E46" s="129">
        <v>33504</v>
      </c>
      <c r="G46" s="30"/>
      <c r="I46" s="69"/>
      <c r="J46" s="69"/>
    </row>
    <row r="47" spans="1:10" s="70" customFormat="1" ht="12.75" customHeight="1" x14ac:dyDescent="0.2">
      <c r="A47" s="127">
        <v>45091</v>
      </c>
      <c r="B47" s="128" t="s">
        <v>6</v>
      </c>
      <c r="C47" s="76" t="s">
        <v>272</v>
      </c>
      <c r="D47" s="126" t="s">
        <v>13</v>
      </c>
      <c r="E47" s="129">
        <v>389564</v>
      </c>
      <c r="G47" s="30"/>
      <c r="I47" s="69"/>
      <c r="J47" s="69"/>
    </row>
    <row r="48" spans="1:10" s="70" customFormat="1" ht="12.75" customHeight="1" x14ac:dyDescent="0.2">
      <c r="A48" s="127">
        <v>45091</v>
      </c>
      <c r="B48" s="128" t="s">
        <v>6</v>
      </c>
      <c r="C48" s="76" t="s">
        <v>947</v>
      </c>
      <c r="D48" s="126" t="s">
        <v>13</v>
      </c>
      <c r="E48" s="129">
        <v>744764</v>
      </c>
      <c r="G48" s="30"/>
      <c r="I48" s="69"/>
      <c r="J48" s="69"/>
    </row>
    <row r="49" spans="1:13" s="70" customFormat="1" ht="12.75" customHeight="1" x14ac:dyDescent="0.2">
      <c r="A49" s="127">
        <v>45091</v>
      </c>
      <c r="B49" s="128" t="s">
        <v>6</v>
      </c>
      <c r="C49" s="76" t="s">
        <v>120</v>
      </c>
      <c r="D49" s="126" t="s">
        <v>13</v>
      </c>
      <c r="E49" s="129">
        <v>5483269</v>
      </c>
      <c r="G49" s="30"/>
      <c r="I49" s="69"/>
      <c r="J49" s="69"/>
    </row>
    <row r="50" spans="1:13" s="70" customFormat="1" ht="12.75" customHeight="1" x14ac:dyDescent="0.2">
      <c r="A50" s="127">
        <v>45091</v>
      </c>
      <c r="B50" s="128" t="s">
        <v>6</v>
      </c>
      <c r="C50" s="76" t="s">
        <v>19</v>
      </c>
      <c r="D50" s="126" t="s">
        <v>13</v>
      </c>
      <c r="E50" s="129">
        <v>4129891</v>
      </c>
      <c r="G50" s="30"/>
      <c r="I50" s="69"/>
      <c r="J50" s="69"/>
    </row>
    <row r="51" spans="1:13" s="70" customFormat="1" ht="12.75" customHeight="1" x14ac:dyDescent="0.2">
      <c r="A51" s="127">
        <v>45091</v>
      </c>
      <c r="B51" s="128" t="s">
        <v>6</v>
      </c>
      <c r="C51" s="76" t="s">
        <v>24</v>
      </c>
      <c r="D51" s="126" t="s">
        <v>13</v>
      </c>
      <c r="E51" s="129">
        <v>6236</v>
      </c>
      <c r="G51" s="30"/>
      <c r="I51" s="69"/>
      <c r="J51" s="69"/>
    </row>
    <row r="52" spans="1:13" s="70" customFormat="1" ht="12.75" customHeight="1" x14ac:dyDescent="0.2">
      <c r="A52" s="127">
        <v>45091</v>
      </c>
      <c r="B52" s="128" t="s">
        <v>11</v>
      </c>
      <c r="C52" s="76" t="s">
        <v>593</v>
      </c>
      <c r="D52" s="126" t="s">
        <v>29</v>
      </c>
      <c r="E52" s="129"/>
      <c r="F52" s="70">
        <v>1250000</v>
      </c>
      <c r="G52" s="30"/>
      <c r="I52" s="69"/>
      <c r="J52" s="69"/>
    </row>
    <row r="53" spans="1:13" s="70" customFormat="1" ht="12.75" customHeight="1" x14ac:dyDescent="0.2">
      <c r="A53" s="127">
        <v>45091</v>
      </c>
      <c r="B53" s="128" t="s">
        <v>11</v>
      </c>
      <c r="C53" s="76" t="s">
        <v>64</v>
      </c>
      <c r="D53" s="126" t="s">
        <v>29</v>
      </c>
      <c r="E53" s="129"/>
      <c r="F53" s="70">
        <f>17821.12+2360</f>
        <v>20181.12</v>
      </c>
      <c r="G53" s="30"/>
      <c r="I53" s="69"/>
      <c r="J53" s="69"/>
    </row>
    <row r="54" spans="1:13" s="70" customFormat="1" ht="12.75" customHeight="1" x14ac:dyDescent="0.2">
      <c r="A54" s="127">
        <v>45091</v>
      </c>
      <c r="B54" s="128" t="s">
        <v>11</v>
      </c>
      <c r="C54" s="76" t="s">
        <v>826</v>
      </c>
      <c r="D54" s="126" t="s">
        <v>258</v>
      </c>
      <c r="E54" s="129">
        <v>0</v>
      </c>
      <c r="F54" s="70">
        <v>399294</v>
      </c>
      <c r="G54" s="30"/>
      <c r="I54" s="69"/>
      <c r="J54" s="69"/>
    </row>
    <row r="55" spans="1:13" s="70" customFormat="1" ht="12.75" customHeight="1" x14ac:dyDescent="0.2">
      <c r="A55" s="127">
        <v>45091</v>
      </c>
      <c r="B55" s="128" t="s">
        <v>11</v>
      </c>
      <c r="C55" s="76" t="s">
        <v>109</v>
      </c>
      <c r="D55" s="126" t="s">
        <v>29</v>
      </c>
      <c r="E55" s="129"/>
      <c r="F55" s="70">
        <v>328108</v>
      </c>
      <c r="G55" s="30"/>
      <c r="I55" s="69"/>
      <c r="J55" s="69"/>
    </row>
    <row r="56" spans="1:13" s="70" customFormat="1" ht="12.75" customHeight="1" x14ac:dyDescent="0.2">
      <c r="A56" s="127">
        <v>45091</v>
      </c>
      <c r="B56" s="128" t="s">
        <v>11</v>
      </c>
      <c r="C56" s="76" t="s">
        <v>31</v>
      </c>
      <c r="D56" s="126" t="s">
        <v>29</v>
      </c>
      <c r="E56" s="129"/>
      <c r="F56" s="70">
        <v>140494</v>
      </c>
      <c r="G56" s="30"/>
      <c r="I56" s="69"/>
      <c r="J56" s="69"/>
    </row>
    <row r="57" spans="1:13" s="70" customFormat="1" ht="12.75" customHeight="1" x14ac:dyDescent="0.2">
      <c r="A57" s="127">
        <v>45091</v>
      </c>
      <c r="B57" s="128" t="s">
        <v>11</v>
      </c>
      <c r="C57" s="76" t="s">
        <v>130</v>
      </c>
      <c r="D57" s="126" t="s">
        <v>29</v>
      </c>
      <c r="E57" s="129"/>
      <c r="F57" s="70">
        <v>79155</v>
      </c>
      <c r="G57" s="30"/>
      <c r="I57" s="69"/>
      <c r="J57" s="69"/>
    </row>
    <row r="58" spans="1:13" s="70" customFormat="1" ht="12.75" customHeight="1" x14ac:dyDescent="0.2">
      <c r="A58" s="127">
        <v>45091</v>
      </c>
      <c r="B58" s="128" t="s">
        <v>11</v>
      </c>
      <c r="C58" s="76" t="s">
        <v>54</v>
      </c>
      <c r="D58" s="126" t="s">
        <v>29</v>
      </c>
      <c r="E58" s="129"/>
      <c r="F58" s="70">
        <v>34090</v>
      </c>
      <c r="G58" s="30"/>
      <c r="I58" s="69"/>
      <c r="J58" s="69"/>
    </row>
    <row r="59" spans="1:13" s="70" customFormat="1" ht="12.75" customHeight="1" x14ac:dyDescent="0.2">
      <c r="A59" s="127">
        <v>45091</v>
      </c>
      <c r="B59" s="128" t="s">
        <v>11</v>
      </c>
      <c r="C59" s="76" t="s">
        <v>392</v>
      </c>
      <c r="D59" s="126" t="s">
        <v>29</v>
      </c>
      <c r="E59" s="129"/>
      <c r="F59" s="70">
        <v>45485</v>
      </c>
      <c r="G59" s="30"/>
      <c r="I59" s="69"/>
      <c r="J59" s="69"/>
    </row>
    <row r="60" spans="1:13" s="70" customFormat="1" ht="12.75" customHeight="1" x14ac:dyDescent="0.2">
      <c r="A60" s="127">
        <v>45091</v>
      </c>
      <c r="B60" s="128" t="s">
        <v>11</v>
      </c>
      <c r="C60" s="76" t="s">
        <v>15</v>
      </c>
      <c r="D60" s="126" t="s">
        <v>29</v>
      </c>
      <c r="E60" s="129"/>
      <c r="F60" s="70">
        <v>13278.55</v>
      </c>
      <c r="G60" s="30"/>
      <c r="I60" s="69"/>
      <c r="J60" s="69"/>
    </row>
    <row r="61" spans="1:13" s="70" customFormat="1" ht="12.75" customHeight="1" x14ac:dyDescent="0.2">
      <c r="A61" s="127">
        <v>45091</v>
      </c>
      <c r="B61" s="128" t="s">
        <v>11</v>
      </c>
      <c r="C61" s="76" t="s">
        <v>95</v>
      </c>
      <c r="D61" s="126" t="s">
        <v>29</v>
      </c>
      <c r="E61" s="129"/>
      <c r="F61" s="70">
        <v>24750</v>
      </c>
      <c r="G61" s="30"/>
      <c r="I61" s="69"/>
      <c r="J61" s="69"/>
    </row>
    <row r="62" spans="1:13" s="70" customFormat="1" ht="12.75" customHeight="1" x14ac:dyDescent="0.2">
      <c r="A62" s="127">
        <v>45091</v>
      </c>
      <c r="B62" s="128" t="s">
        <v>11</v>
      </c>
      <c r="C62" s="76" t="s">
        <v>273</v>
      </c>
      <c r="D62" s="126" t="s">
        <v>29</v>
      </c>
      <c r="E62" s="129"/>
      <c r="F62" s="70">
        <v>37000.379999999997</v>
      </c>
      <c r="G62" s="30"/>
      <c r="I62" s="69"/>
      <c r="J62" s="69"/>
    </row>
    <row r="63" spans="1:13" s="2" customFormat="1" ht="12.75" customHeight="1" x14ac:dyDescent="0.25">
      <c r="A63" s="32"/>
      <c r="B63" s="33"/>
      <c r="C63" s="14"/>
      <c r="D63" s="34"/>
      <c r="E63" s="16">
        <f>SUM(E21:E62)</f>
        <v>27242296.200000003</v>
      </c>
      <c r="F63" s="16">
        <f>SUM(F21:F62)</f>
        <v>296385614.63999987</v>
      </c>
      <c r="G63" s="30"/>
      <c r="H63" s="1"/>
      <c r="I63" s="39">
        <v>269143318.44</v>
      </c>
      <c r="K63" s="92">
        <f>E64-I63</f>
        <v>0</v>
      </c>
      <c r="L63" s="41"/>
      <c r="M63" s="42"/>
    </row>
    <row r="64" spans="1:13" s="2" customFormat="1" ht="12.75" customHeight="1" x14ac:dyDescent="0.2">
      <c r="A64" s="36"/>
      <c r="B64" s="28" t="s">
        <v>11</v>
      </c>
      <c r="C64" s="19" t="s">
        <v>65</v>
      </c>
      <c r="D64" s="37"/>
      <c r="E64" s="38">
        <f>F63-E63</f>
        <v>269143318.43999988</v>
      </c>
      <c r="F64" s="22"/>
      <c r="G64" s="1"/>
      <c r="H64" s="1"/>
      <c r="J64" s="1"/>
      <c r="K64" s="1"/>
      <c r="L64" s="1"/>
      <c r="M64" s="1"/>
    </row>
    <row r="65" spans="1:14" s="2" customFormat="1" ht="12.75" customHeight="1" x14ac:dyDescent="0.2">
      <c r="A65" s="36"/>
      <c r="B65" s="28" t="s">
        <v>66</v>
      </c>
      <c r="C65" s="43" t="s">
        <v>67</v>
      </c>
      <c r="D65" s="43"/>
      <c r="E65" s="12">
        <v>59416310</v>
      </c>
      <c r="F65" s="22"/>
      <c r="G65" s="1"/>
      <c r="H65" s="40"/>
      <c r="I65" s="45">
        <v>2026.85</v>
      </c>
      <c r="J65" s="46"/>
      <c r="K65" s="46"/>
      <c r="L65" s="13"/>
    </row>
    <row r="66" spans="1:14" s="2" customFormat="1" ht="12.75" customHeight="1" x14ac:dyDescent="0.25">
      <c r="A66" s="36"/>
      <c r="B66" s="28"/>
      <c r="C66" s="44" t="s">
        <v>68</v>
      </c>
      <c r="D66" s="43"/>
      <c r="E66" s="7">
        <f>E64+E65</f>
        <v>328559628.43999988</v>
      </c>
      <c r="F66" s="22"/>
      <c r="G66" s="1"/>
      <c r="H66" s="103" t="s">
        <v>69</v>
      </c>
      <c r="I66" s="45">
        <v>-14.28</v>
      </c>
      <c r="J66" s="46"/>
      <c r="K66" s="46"/>
      <c r="N66" s="1"/>
    </row>
    <row r="67" spans="1:14" s="2" customFormat="1" x14ac:dyDescent="0.2">
      <c r="A67" s="24"/>
      <c r="B67" s="1"/>
      <c r="C67" s="14"/>
      <c r="D67" s="25"/>
      <c r="E67" s="1"/>
      <c r="H67" s="35" t="s">
        <v>70</v>
      </c>
      <c r="I67" s="45">
        <v>1.28</v>
      </c>
      <c r="J67" s="46">
        <f>+I68-D70</f>
        <v>0</v>
      </c>
      <c r="M67" s="2">
        <v>19.57</v>
      </c>
      <c r="N67" s="1"/>
    </row>
    <row r="68" spans="1:14" x14ac:dyDescent="0.2">
      <c r="C68" s="56"/>
      <c r="D68" s="56"/>
      <c r="E68" s="104"/>
      <c r="I68" s="49">
        <f>SUM(I65:I67)</f>
        <v>2013.85</v>
      </c>
      <c r="J68" s="46"/>
      <c r="K68" s="46"/>
      <c r="L68" s="2"/>
      <c r="M68" s="2"/>
      <c r="N68" s="2"/>
    </row>
    <row r="69" spans="1:14" x14ac:dyDescent="0.2">
      <c r="C69" s="78" t="s">
        <v>575</v>
      </c>
      <c r="D69" s="48" t="s">
        <v>576</v>
      </c>
      <c r="E69" s="104"/>
      <c r="I69" s="2"/>
      <c r="J69" s="2"/>
      <c r="K69" s="2"/>
      <c r="L69" s="2"/>
      <c r="M69" s="2"/>
      <c r="N69" s="2"/>
    </row>
    <row r="70" spans="1:14" s="2" customFormat="1" x14ac:dyDescent="0.2">
      <c r="A70" s="24"/>
      <c r="B70" s="1"/>
      <c r="C70" s="47" t="s">
        <v>570</v>
      </c>
      <c r="D70" s="111">
        <v>2013.85</v>
      </c>
      <c r="E70" s="104"/>
      <c r="G70" s="1"/>
      <c r="H70" s="110" t="s">
        <v>581</v>
      </c>
      <c r="N70" s="2" t="s">
        <v>535</v>
      </c>
    </row>
    <row r="71" spans="1:14" s="2" customFormat="1" x14ac:dyDescent="0.2">
      <c r="A71" s="24"/>
      <c r="B71" s="1"/>
      <c r="C71" s="47" t="s">
        <v>931</v>
      </c>
      <c r="D71" s="111">
        <v>55.5</v>
      </c>
      <c r="E71" s="104"/>
      <c r="G71" s="1"/>
      <c r="H71" s="110" t="s">
        <v>580</v>
      </c>
    </row>
    <row r="72" spans="1:14" s="2" customFormat="1" x14ac:dyDescent="0.2">
      <c r="A72" s="24"/>
      <c r="B72" s="1"/>
      <c r="C72" s="47" t="s">
        <v>572</v>
      </c>
      <c r="D72" s="111">
        <f>+D100/100000</f>
        <v>196.52370740000003</v>
      </c>
      <c r="E72" s="104"/>
      <c r="G72" s="1"/>
      <c r="H72" s="90" t="s">
        <v>587</v>
      </c>
    </row>
    <row r="73" spans="1:14" s="2" customFormat="1" x14ac:dyDescent="0.2">
      <c r="A73" s="24"/>
      <c r="B73" s="1"/>
      <c r="C73" s="108" t="s">
        <v>578</v>
      </c>
      <c r="D73" s="48">
        <f>SUM(D70:D72)</f>
        <v>2265.8737074000001</v>
      </c>
      <c r="E73" s="104"/>
      <c r="G73" s="1"/>
    </row>
    <row r="74" spans="1:14" s="2" customFormat="1" x14ac:dyDescent="0.2">
      <c r="A74" s="24"/>
      <c r="B74" s="1"/>
      <c r="C74" s="47"/>
      <c r="D74" s="107"/>
      <c r="E74" s="104"/>
      <c r="G74" s="1"/>
    </row>
    <row r="75" spans="1:14" s="2" customFormat="1" x14ac:dyDescent="0.2">
      <c r="A75" s="24"/>
      <c r="B75" s="1"/>
      <c r="C75" s="47" t="s">
        <v>932</v>
      </c>
      <c r="D75" s="111">
        <v>290.79000000000002</v>
      </c>
      <c r="E75" s="104"/>
      <c r="G75" s="1"/>
      <c r="H75" s="110" t="s">
        <v>581</v>
      </c>
    </row>
    <row r="76" spans="1:14" s="2" customFormat="1" x14ac:dyDescent="0.2">
      <c r="A76" s="24"/>
      <c r="B76" s="1"/>
      <c r="C76" s="47" t="s">
        <v>933</v>
      </c>
      <c r="D76" s="111">
        <f>178.94-79.04</f>
        <v>99.899999999999991</v>
      </c>
      <c r="E76" s="104"/>
      <c r="G76" s="1"/>
      <c r="H76" s="110" t="s">
        <v>581</v>
      </c>
      <c r="J76" s="114" t="s">
        <v>713</v>
      </c>
    </row>
    <row r="77" spans="1:14" s="2" customFormat="1" x14ac:dyDescent="0.2">
      <c r="A77" s="24"/>
      <c r="B77" s="1"/>
      <c r="C77" s="78" t="s">
        <v>579</v>
      </c>
      <c r="D77" s="109">
        <f>D75+D76</f>
        <v>390.69</v>
      </c>
      <c r="E77" s="104"/>
      <c r="G77" s="1"/>
      <c r="I77" s="113"/>
      <c r="J77" s="113" t="s">
        <v>709</v>
      </c>
      <c r="K77" s="113" t="s">
        <v>710</v>
      </c>
      <c r="L77" s="113" t="s">
        <v>711</v>
      </c>
      <c r="M77" s="113" t="s">
        <v>712</v>
      </c>
    </row>
    <row r="78" spans="1:14" s="2" customFormat="1" x14ac:dyDescent="0.2">
      <c r="A78" s="24"/>
      <c r="B78" s="1"/>
      <c r="C78" s="105"/>
      <c r="D78" s="106"/>
      <c r="E78" s="104"/>
      <c r="G78" s="1"/>
      <c r="I78" s="113" t="s">
        <v>706</v>
      </c>
      <c r="J78" s="115"/>
      <c r="K78" s="115">
        <v>968.99</v>
      </c>
      <c r="L78" s="115">
        <v>968.99</v>
      </c>
      <c r="M78" s="113">
        <f>+J78+L78-K78</f>
        <v>0</v>
      </c>
    </row>
    <row r="79" spans="1:14" s="2" customFormat="1" x14ac:dyDescent="0.2">
      <c r="A79" s="24"/>
      <c r="B79" s="1"/>
      <c r="C79" s="78" t="s">
        <v>577</v>
      </c>
      <c r="D79" s="109">
        <f>D70+D77</f>
        <v>2404.54</v>
      </c>
      <c r="E79" s="104"/>
      <c r="G79" s="1"/>
      <c r="I79" s="113" t="s">
        <v>707</v>
      </c>
      <c r="J79" s="115">
        <v>183.1</v>
      </c>
      <c r="K79" s="115">
        <v>2016.46</v>
      </c>
      <c r="L79" s="115">
        <v>3083.6</v>
      </c>
      <c r="M79" s="113">
        <f>+J79+L79-K79</f>
        <v>1250.2399999999998</v>
      </c>
    </row>
    <row r="80" spans="1:14" s="2" customFormat="1" x14ac:dyDescent="0.2">
      <c r="A80" s="24"/>
      <c r="B80" s="1"/>
      <c r="C80" s="56"/>
      <c r="D80" s="56"/>
      <c r="E80" s="104"/>
      <c r="G80" s="1"/>
      <c r="I80" s="113" t="s">
        <v>708</v>
      </c>
      <c r="J80" s="115">
        <v>1371.02</v>
      </c>
      <c r="K80" s="115">
        <v>11874.81</v>
      </c>
      <c r="L80" s="115">
        <v>11927.41</v>
      </c>
      <c r="M80" s="113">
        <f>+J80+L80-K80</f>
        <v>1423.6200000000008</v>
      </c>
    </row>
    <row r="81" spans="1:13" s="2" customFormat="1" ht="38.25" x14ac:dyDescent="0.2">
      <c r="A81" s="24"/>
      <c r="B81" s="1"/>
      <c r="C81" s="79" t="str">
        <f>"Particulars ( 01-04-2021 to "&amp;TEXT(A5,"dd-mm-yyyy")&amp;" )"</f>
        <v>Particulars ( 01-04-2021 to 14-06-2023 )</v>
      </c>
      <c r="D81" s="80" t="s">
        <v>73</v>
      </c>
      <c r="E81" s="80" t="s">
        <v>74</v>
      </c>
      <c r="F81" s="81" t="s">
        <v>75</v>
      </c>
      <c r="G81" s="80" t="s">
        <v>76</v>
      </c>
      <c r="J81" s="118">
        <f>SUM(J78:J80)</f>
        <v>1554.12</v>
      </c>
      <c r="K81" s="118">
        <f>SUM(K78:K80)</f>
        <v>14860.259999999998</v>
      </c>
      <c r="L81" s="118">
        <f>SUM(L78:L80)</f>
        <v>15980</v>
      </c>
      <c r="M81" s="118">
        <f>SUM(M78:M80)</f>
        <v>2673.8600000000006</v>
      </c>
    </row>
    <row r="82" spans="1:13" s="2" customFormat="1" x14ac:dyDescent="0.2">
      <c r="A82" s="24"/>
      <c r="B82" s="1"/>
      <c r="C82" s="50" t="s">
        <v>444</v>
      </c>
      <c r="D82" s="55">
        <f>+L78+L79+J79</f>
        <v>4235.6900000000005</v>
      </c>
      <c r="E82" s="55">
        <f>+K78+K79</f>
        <v>2985.45</v>
      </c>
      <c r="F82" s="55">
        <f>+D82-E82</f>
        <v>1250.2400000000007</v>
      </c>
      <c r="G82" s="55">
        <f>1500-F82</f>
        <v>249.75999999999931</v>
      </c>
      <c r="H82" s="2" t="s">
        <v>396</v>
      </c>
    </row>
    <row r="83" spans="1:13" s="2" customFormat="1" x14ac:dyDescent="0.2">
      <c r="A83" s="24"/>
      <c r="B83" s="1"/>
      <c r="C83" s="50" t="s">
        <v>71</v>
      </c>
      <c r="D83" s="55">
        <f>+J80+L80</f>
        <v>13298.43</v>
      </c>
      <c r="E83" s="55">
        <f>+K80</f>
        <v>11874.81</v>
      </c>
      <c r="F83" s="55">
        <f>+D83-E83</f>
        <v>1423.6200000000008</v>
      </c>
      <c r="G83" s="55">
        <f>1500+700-F83</f>
        <v>776.3799999999992</v>
      </c>
      <c r="H83" s="2" t="s">
        <v>396</v>
      </c>
    </row>
    <row r="84" spans="1:13" s="2" customFormat="1" x14ac:dyDescent="0.2">
      <c r="A84" s="24"/>
      <c r="B84" s="1"/>
      <c r="C84" s="14"/>
      <c r="D84" s="56"/>
      <c r="E84" s="13"/>
      <c r="G84" s="1"/>
    </row>
    <row r="85" spans="1:13" s="2" customFormat="1" x14ac:dyDescent="0.2">
      <c r="A85" s="215" t="s">
        <v>80</v>
      </c>
      <c r="B85" s="216"/>
      <c r="C85" s="216"/>
      <c r="D85" s="217"/>
      <c r="E85" s="69"/>
      <c r="F85" s="70"/>
      <c r="G85" s="1"/>
      <c r="H85" s="53"/>
    </row>
    <row r="86" spans="1:13" s="2" customFormat="1" x14ac:dyDescent="0.2">
      <c r="A86" s="71" t="s">
        <v>81</v>
      </c>
      <c r="B86" s="71"/>
      <c r="C86" s="72" t="s">
        <v>82</v>
      </c>
      <c r="D86" s="73" t="s">
        <v>83</v>
      </c>
      <c r="E86" s="69"/>
      <c r="F86" s="70"/>
      <c r="H86" s="53"/>
    </row>
    <row r="87" spans="1:13" s="2" customFormat="1" x14ac:dyDescent="0.2">
      <c r="A87" s="87">
        <v>45080</v>
      </c>
      <c r="B87" s="120" t="s">
        <v>1052</v>
      </c>
      <c r="C87" s="75" t="s">
        <v>86</v>
      </c>
      <c r="D87" s="88">
        <v>163799</v>
      </c>
      <c r="G87" s="1"/>
      <c r="L87" s="1"/>
      <c r="M87" s="1"/>
    </row>
    <row r="88" spans="1:13" s="2" customFormat="1" x14ac:dyDescent="0.2">
      <c r="A88" s="87">
        <v>45080</v>
      </c>
      <c r="B88" s="120" t="s">
        <v>1052</v>
      </c>
      <c r="C88" s="75" t="s">
        <v>86</v>
      </c>
      <c r="D88" s="88">
        <v>1695107</v>
      </c>
      <c r="G88" s="1"/>
      <c r="L88" s="1"/>
      <c r="M88" s="1"/>
    </row>
    <row r="89" spans="1:13" s="2" customFormat="1" x14ac:dyDescent="0.2">
      <c r="A89" s="87">
        <v>45082</v>
      </c>
      <c r="B89" s="120" t="s">
        <v>1052</v>
      </c>
      <c r="C89" s="75" t="s">
        <v>87</v>
      </c>
      <c r="D89" s="88">
        <v>6627</v>
      </c>
      <c r="G89" s="1"/>
      <c r="L89" s="1"/>
      <c r="M89" s="1"/>
    </row>
    <row r="90" spans="1:13" s="2" customFormat="1" x14ac:dyDescent="0.2">
      <c r="A90" s="87">
        <v>45084</v>
      </c>
      <c r="B90" s="120" t="s">
        <v>1052</v>
      </c>
      <c r="C90" s="75" t="s">
        <v>87</v>
      </c>
      <c r="D90" s="88">
        <v>618395.80000000005</v>
      </c>
      <c r="G90" s="1"/>
      <c r="L90" s="1"/>
      <c r="M90" s="1"/>
    </row>
    <row r="91" spans="1:13" s="2" customFormat="1" x14ac:dyDescent="0.2">
      <c r="A91" s="87">
        <v>45084</v>
      </c>
      <c r="B91" s="120" t="s">
        <v>1052</v>
      </c>
      <c r="C91" s="75" t="s">
        <v>271</v>
      </c>
      <c r="D91" s="88">
        <v>485258</v>
      </c>
      <c r="G91" s="1"/>
      <c r="L91" s="1"/>
      <c r="M91" s="1"/>
    </row>
    <row r="92" spans="1:13" s="2" customFormat="1" x14ac:dyDescent="0.2">
      <c r="A92" s="87">
        <v>45086</v>
      </c>
      <c r="B92" s="120" t="s">
        <v>1052</v>
      </c>
      <c r="C92" s="75" t="s">
        <v>784</v>
      </c>
      <c r="D92" s="88">
        <v>1104724</v>
      </c>
      <c r="G92" s="1"/>
      <c r="L92" s="1"/>
      <c r="M92" s="1"/>
    </row>
    <row r="93" spans="1:13" s="2" customFormat="1" x14ac:dyDescent="0.2">
      <c r="A93" s="87">
        <v>45086</v>
      </c>
      <c r="B93" s="120" t="s">
        <v>1052</v>
      </c>
      <c r="C93" s="75" t="s">
        <v>86</v>
      </c>
      <c r="D93" s="88">
        <v>1756907</v>
      </c>
      <c r="G93" s="1"/>
      <c r="L93" s="1"/>
      <c r="M93" s="1"/>
    </row>
    <row r="94" spans="1:13" s="2" customFormat="1" x14ac:dyDescent="0.2">
      <c r="A94" s="87">
        <v>45086</v>
      </c>
      <c r="B94" s="120" t="s">
        <v>1052</v>
      </c>
      <c r="C94" s="75" t="s">
        <v>784</v>
      </c>
      <c r="D94" s="88">
        <v>1489874</v>
      </c>
      <c r="G94" s="1"/>
      <c r="L94" s="1"/>
      <c r="M94" s="1"/>
    </row>
    <row r="95" spans="1:13" s="2" customFormat="1" x14ac:dyDescent="0.2">
      <c r="A95" s="87">
        <v>45086</v>
      </c>
      <c r="B95" s="120" t="s">
        <v>1052</v>
      </c>
      <c r="C95" s="75" t="s">
        <v>201</v>
      </c>
      <c r="D95" s="88">
        <v>5000192.4400000004</v>
      </c>
      <c r="G95" s="1"/>
      <c r="L95" s="1"/>
      <c r="M95" s="1"/>
    </row>
    <row r="96" spans="1:13" s="2" customFormat="1" x14ac:dyDescent="0.2">
      <c r="A96" s="87">
        <v>45089</v>
      </c>
      <c r="B96" s="120" t="s">
        <v>1052</v>
      </c>
      <c r="C96" s="75" t="s">
        <v>566</v>
      </c>
      <c r="D96" s="88">
        <v>654429</v>
      </c>
      <c r="G96" s="1"/>
      <c r="L96" s="1"/>
      <c r="M96" s="1"/>
    </row>
    <row r="97" spans="1:13" s="2" customFormat="1" x14ac:dyDescent="0.2">
      <c r="A97" s="87">
        <v>45090</v>
      </c>
      <c r="B97" s="120" t="s">
        <v>1052</v>
      </c>
      <c r="C97" s="75" t="s">
        <v>566</v>
      </c>
      <c r="D97" s="88">
        <v>62180.5</v>
      </c>
      <c r="G97" s="1"/>
      <c r="L97" s="1"/>
      <c r="M97" s="1"/>
    </row>
    <row r="98" spans="1:13" s="2" customFormat="1" x14ac:dyDescent="0.2">
      <c r="A98" s="87">
        <v>45090</v>
      </c>
      <c r="B98" s="120" t="s">
        <v>1052</v>
      </c>
      <c r="C98" s="75" t="s">
        <v>1084</v>
      </c>
      <c r="D98" s="88">
        <v>5353676</v>
      </c>
      <c r="G98" s="1"/>
      <c r="L98" s="1"/>
      <c r="M98" s="1"/>
    </row>
    <row r="99" spans="1:13" s="2" customFormat="1" x14ac:dyDescent="0.2">
      <c r="A99" s="87">
        <v>45090</v>
      </c>
      <c r="B99" s="120" t="s">
        <v>1052</v>
      </c>
      <c r="C99" s="75" t="s">
        <v>87</v>
      </c>
      <c r="D99" s="88">
        <v>1261201</v>
      </c>
      <c r="G99" s="1"/>
      <c r="L99" s="1"/>
      <c r="M99" s="1"/>
    </row>
    <row r="100" spans="1:13" s="2" customFormat="1" x14ac:dyDescent="0.2">
      <c r="A100" s="87"/>
      <c r="B100" s="74"/>
      <c r="C100" s="75"/>
      <c r="D100" s="51">
        <f>SUM(D87:D99)</f>
        <v>19652370.740000002</v>
      </c>
      <c r="F100" s="2" t="s">
        <v>396</v>
      </c>
      <c r="G100" s="1"/>
      <c r="L100" s="1"/>
      <c r="M100" s="1"/>
    </row>
    <row r="101" spans="1:13" s="2" customFormat="1" x14ac:dyDescent="0.2">
      <c r="A101" s="24"/>
      <c r="B101" s="1"/>
      <c r="C101" s="14"/>
      <c r="D101" s="56"/>
      <c r="E101" s="13"/>
      <c r="G101" s="1"/>
      <c r="L101" s="1"/>
      <c r="M101" s="1"/>
    </row>
    <row r="102" spans="1:13" s="2" customFormat="1" x14ac:dyDescent="0.2">
      <c r="A102" s="24"/>
      <c r="B102" s="1"/>
      <c r="C102" s="218" t="s">
        <v>77</v>
      </c>
      <c r="D102" s="219"/>
      <c r="E102" s="219"/>
      <c r="F102" s="220"/>
      <c r="G102" s="1"/>
      <c r="L102" s="1"/>
      <c r="M102" s="1"/>
    </row>
    <row r="103" spans="1:13" s="2" customFormat="1" x14ac:dyDescent="0.2">
      <c r="A103" s="24"/>
      <c r="B103" s="1"/>
      <c r="C103" s="50"/>
      <c r="D103" s="57" t="s">
        <v>78</v>
      </c>
      <c r="E103" s="58" t="s">
        <v>79</v>
      </c>
      <c r="F103" s="57" t="s">
        <v>72</v>
      </c>
      <c r="G103" s="1"/>
      <c r="I103" s="1"/>
      <c r="J103" s="1"/>
      <c r="K103" s="1"/>
      <c r="L103" s="1"/>
      <c r="M103" s="1"/>
    </row>
    <row r="104" spans="1:13" s="2" customFormat="1" x14ac:dyDescent="0.2">
      <c r="A104" s="24"/>
      <c r="B104" s="1"/>
      <c r="C104" s="59" t="str">
        <f>"01-06-2023 to "&amp;TEXT(A5-2,"dd-mm-yyyy")</f>
        <v>01-06-2023 to 12-06-2023</v>
      </c>
      <c r="D104" s="60">
        <v>2556.0700000000002</v>
      </c>
      <c r="E104" s="60">
        <v>99.85</v>
      </c>
      <c r="F104" s="61">
        <f>SUM(D104:E104)</f>
        <v>2655.92</v>
      </c>
      <c r="G104" s="1"/>
    </row>
    <row r="105" spans="1:13" s="2" customFormat="1" x14ac:dyDescent="0.2">
      <c r="A105" s="24"/>
      <c r="B105" s="1"/>
      <c r="C105" s="62" t="str">
        <f>TEXT(A5-1,"dd-mm-yyyy")</f>
        <v>13-06-2023</v>
      </c>
      <c r="D105" s="60">
        <v>101.21</v>
      </c>
      <c r="E105" s="60">
        <v>6.33</v>
      </c>
      <c r="F105" s="61">
        <f>SUM(D105:E105)</f>
        <v>107.53999999999999</v>
      </c>
      <c r="G105" s="54"/>
      <c r="I105" s="1"/>
      <c r="J105" s="1"/>
      <c r="K105" s="1"/>
      <c r="L105" s="1"/>
      <c r="M105" s="1"/>
    </row>
    <row r="106" spans="1:13" s="2" customFormat="1" ht="13.5" thickBot="1" x14ac:dyDescent="0.25">
      <c r="A106" s="24"/>
      <c r="B106" s="1"/>
      <c r="C106" s="63" t="str">
        <f>"01-06-2023 to "&amp;TEXT(A5-1,"dd-mm-yyyy")</f>
        <v>01-06-2023 to 13-06-2023</v>
      </c>
      <c r="D106" s="64">
        <f>SUM(D104:D105)</f>
        <v>2657.28</v>
      </c>
      <c r="E106" s="64">
        <f>SUM(E104:E105)</f>
        <v>106.17999999999999</v>
      </c>
      <c r="F106" s="64">
        <f>SUM(F104:F105)</f>
        <v>2763.46</v>
      </c>
      <c r="G106" s="54"/>
      <c r="I106" s="1"/>
      <c r="J106" s="1"/>
      <c r="K106" s="1"/>
      <c r="L106" s="1"/>
      <c r="M106" s="1"/>
    </row>
    <row r="107" spans="1:13" s="2" customFormat="1" ht="13.5" thickTop="1" x14ac:dyDescent="0.2">
      <c r="A107" s="24"/>
      <c r="B107" s="1"/>
      <c r="C107" s="62"/>
      <c r="D107" s="65"/>
      <c r="E107" s="66"/>
      <c r="F107" s="67"/>
      <c r="G107" s="54"/>
      <c r="I107" s="1"/>
      <c r="J107" s="1"/>
      <c r="K107" s="1"/>
      <c r="L107" s="1"/>
      <c r="M107" s="1"/>
    </row>
    <row r="108" spans="1:13" s="2" customFormat="1" x14ac:dyDescent="0.2">
      <c r="A108" s="24"/>
      <c r="B108" s="1"/>
      <c r="C108" s="62" t="str">
        <f>"01-04-2023 to " &amp;C105</f>
        <v>01-04-2023 to 13-06-2023</v>
      </c>
      <c r="D108" s="68">
        <f>+D106+9224.33</f>
        <v>11881.61</v>
      </c>
      <c r="E108" s="68">
        <f>+E106+906.58</f>
        <v>1012.76</v>
      </c>
      <c r="F108" s="68">
        <f>+F106+10130.9</f>
        <v>12894.36</v>
      </c>
      <c r="G108" s="54"/>
      <c r="I108" s="1"/>
      <c r="J108" s="1"/>
      <c r="K108" s="1"/>
      <c r="L108" s="1"/>
      <c r="M108" s="1"/>
    </row>
    <row r="109" spans="1:13" x14ac:dyDescent="0.2">
      <c r="C109" s="52"/>
      <c r="D109" s="85"/>
      <c r="E109" s="53"/>
      <c r="F109" s="53"/>
      <c r="G109" s="54"/>
      <c r="H109" s="2" t="s">
        <v>396</v>
      </c>
    </row>
    <row r="110" spans="1:13" s="2" customFormat="1" x14ac:dyDescent="0.2">
      <c r="A110" s="24"/>
      <c r="B110" s="1"/>
      <c r="C110" s="52"/>
      <c r="D110" s="85"/>
      <c r="E110" s="53"/>
      <c r="F110" s="53"/>
      <c r="G110" s="54"/>
      <c r="H110" s="53"/>
    </row>
    <row r="111" spans="1:13" x14ac:dyDescent="0.2">
      <c r="C111" s="52"/>
      <c r="D111" s="85"/>
      <c r="E111" s="53"/>
      <c r="F111" s="53"/>
      <c r="G111" s="54"/>
      <c r="H111" s="53" t="s">
        <v>396</v>
      </c>
    </row>
    <row r="112" spans="1:13" x14ac:dyDescent="0.2">
      <c r="C112" s="52"/>
      <c r="D112" s="85"/>
      <c r="E112" s="53"/>
      <c r="F112" s="53"/>
      <c r="G112" s="54"/>
      <c r="H112" s="53" t="s">
        <v>396</v>
      </c>
      <c r="J112" s="42"/>
    </row>
    <row r="113" spans="7:9" x14ac:dyDescent="0.2">
      <c r="G113" s="54"/>
      <c r="H113" s="53"/>
      <c r="I113" s="101"/>
    </row>
    <row r="114" spans="7:9" x14ac:dyDescent="0.2">
      <c r="G114" s="54"/>
      <c r="H114" s="53"/>
    </row>
    <row r="115" spans="7:9" x14ac:dyDescent="0.2">
      <c r="G115" s="54"/>
      <c r="H115" s="53"/>
    </row>
    <row r="116" spans="7:9" x14ac:dyDescent="0.2">
      <c r="H116" s="53"/>
    </row>
  </sheetData>
  <mergeCells count="6">
    <mergeCell ref="C102:F102"/>
    <mergeCell ref="A1:G1"/>
    <mergeCell ref="A3:F3"/>
    <mergeCell ref="A10:F10"/>
    <mergeCell ref="A19:F19"/>
    <mergeCell ref="A85:D85"/>
  </mergeCells>
  <conditionalFormatting sqref="G82:G83">
    <cfRule type="cellIs" dxfId="489" priority="1" operator="lessThan">
      <formula>0</formula>
    </cfRule>
  </conditionalFormatting>
  <conditionalFormatting sqref="C21">
    <cfRule type="duplicateValues" dxfId="488" priority="2"/>
  </conditionalFormatting>
  <conditionalFormatting sqref="C22:C62">
    <cfRule type="duplicateValues" dxfId="487" priority="542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352">
    <pageSetUpPr fitToPage="1"/>
  </sheetPr>
  <dimension ref="A1:N128"/>
  <sheetViews>
    <sheetView zoomScaleNormal="100" workbookViewId="0">
      <selection activeCell="C46" sqref="C46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47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1085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45092</v>
      </c>
      <c r="B5" s="9" t="s">
        <v>6</v>
      </c>
      <c r="C5" s="10" t="s">
        <v>7</v>
      </c>
      <c r="D5" s="11"/>
      <c r="E5" s="12">
        <v>242816.70000000019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242816.70000000019</v>
      </c>
      <c r="F6" s="16">
        <f>F5</f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+E6-F6</f>
        <v>242816.70000000019</v>
      </c>
      <c r="F7" s="22"/>
      <c r="G7" s="23"/>
      <c r="H7" s="112"/>
      <c r="I7" s="112"/>
      <c r="J7" s="13"/>
    </row>
    <row r="8" spans="1:10" ht="12.75" customHeight="1" x14ac:dyDescent="0.4">
      <c r="H8" s="112"/>
      <c r="I8" s="112"/>
    </row>
    <row r="9" spans="1:10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12"/>
    </row>
    <row r="10" spans="1:10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12"/>
    </row>
    <row r="11" spans="1:10" s="2" customFormat="1" ht="14.25" customHeight="1" x14ac:dyDescent="0.2">
      <c r="A11" s="127">
        <v>45092</v>
      </c>
      <c r="B11" s="9" t="s">
        <v>6</v>
      </c>
      <c r="C11" s="10" t="s">
        <v>7</v>
      </c>
      <c r="D11" s="11"/>
      <c r="F11" s="12">
        <v>27295933.959999993</v>
      </c>
      <c r="G11" s="1"/>
      <c r="H11" s="130"/>
      <c r="I11" s="130"/>
    </row>
    <row r="12" spans="1:10" s="2" customFormat="1" ht="14.25" customHeight="1" x14ac:dyDescent="0.2">
      <c r="A12" s="127">
        <v>45092</v>
      </c>
      <c r="B12" s="9" t="s">
        <v>6</v>
      </c>
      <c r="C12" s="76" t="s">
        <v>188</v>
      </c>
      <c r="D12" s="11" t="s">
        <v>29</v>
      </c>
      <c r="E12" s="124"/>
      <c r="F12" s="31">
        <v>140000</v>
      </c>
      <c r="G12" s="1"/>
      <c r="H12" s="130"/>
      <c r="I12" s="130"/>
    </row>
    <row r="13" spans="1:10" s="2" customFormat="1" ht="14.25" customHeight="1" x14ac:dyDescent="0.2">
      <c r="A13" s="127">
        <v>45092</v>
      </c>
      <c r="B13" s="9" t="s">
        <v>11</v>
      </c>
      <c r="C13" s="76" t="s">
        <v>1086</v>
      </c>
      <c r="D13" s="11" t="s">
        <v>29</v>
      </c>
      <c r="E13" s="124"/>
      <c r="F13" s="31">
        <v>200000</v>
      </c>
      <c r="G13" s="1"/>
      <c r="H13" s="130"/>
      <c r="I13" s="130"/>
    </row>
    <row r="14" spans="1:10" s="2" customFormat="1" ht="14.25" customHeight="1" x14ac:dyDescent="0.2">
      <c r="A14" s="127">
        <v>45092</v>
      </c>
      <c r="B14" s="9" t="s">
        <v>11</v>
      </c>
      <c r="C14" s="76" t="s">
        <v>650</v>
      </c>
      <c r="D14" s="11" t="s">
        <v>29</v>
      </c>
      <c r="E14" s="124"/>
      <c r="F14" s="31">
        <v>1225661</v>
      </c>
      <c r="G14" s="1"/>
      <c r="H14" s="130"/>
      <c r="I14" s="130"/>
    </row>
    <row r="15" spans="1:10" s="2" customFormat="1" ht="14.25" customHeight="1" x14ac:dyDescent="0.2">
      <c r="A15" s="127">
        <v>45092</v>
      </c>
      <c r="B15" s="9" t="s">
        <v>11</v>
      </c>
      <c r="C15" s="76" t="s">
        <v>1060</v>
      </c>
      <c r="D15" s="11" t="s">
        <v>29</v>
      </c>
      <c r="E15" s="124"/>
      <c r="F15" s="31">
        <v>9336</v>
      </c>
      <c r="G15" s="1"/>
      <c r="H15" s="130"/>
      <c r="I15" s="130"/>
    </row>
    <row r="16" spans="1:10" s="2" customFormat="1" ht="14.25" customHeight="1" x14ac:dyDescent="0.2">
      <c r="A16" s="127">
        <v>45092</v>
      </c>
      <c r="B16" s="9" t="s">
        <v>11</v>
      </c>
      <c r="C16" s="76" t="s">
        <v>52</v>
      </c>
      <c r="D16" s="11" t="s">
        <v>29</v>
      </c>
      <c r="E16" s="124"/>
      <c r="F16" s="31">
        <v>214766</v>
      </c>
      <c r="G16" s="1"/>
      <c r="H16" s="130"/>
      <c r="I16" s="130"/>
    </row>
    <row r="17" spans="1:10" s="2" customFormat="1" ht="12.75" customHeight="1" x14ac:dyDescent="0.4">
      <c r="D17" s="15" t="s">
        <v>8</v>
      </c>
      <c r="E17" s="16">
        <f>SUM(E12:E16)</f>
        <v>0</v>
      </c>
      <c r="F17" s="16">
        <f>SUM(F11:F16)</f>
        <v>29085696.959999993</v>
      </c>
      <c r="G17" s="1"/>
      <c r="H17" s="112"/>
      <c r="I17" s="112"/>
    </row>
    <row r="18" spans="1:10" s="2" customFormat="1" ht="12.75" customHeight="1" x14ac:dyDescent="0.4">
      <c r="A18" s="17"/>
      <c r="B18" s="18"/>
      <c r="C18" s="96" t="s">
        <v>9</v>
      </c>
      <c r="D18" s="20"/>
      <c r="E18" s="21">
        <f>+F17-E17</f>
        <v>29085696.959999993</v>
      </c>
      <c r="G18" s="23"/>
      <c r="H18" s="112"/>
      <c r="I18" s="112"/>
      <c r="J18" s="13"/>
    </row>
    <row r="19" spans="1:10" s="2" customFormat="1" ht="12.75" customHeight="1" x14ac:dyDescent="0.4">
      <c r="A19" s="24"/>
      <c r="B19" s="1"/>
      <c r="C19" s="14"/>
      <c r="D19" s="25"/>
      <c r="G19" s="23"/>
      <c r="H19" s="112"/>
      <c r="I19" s="112"/>
      <c r="J19" s="13"/>
    </row>
    <row r="20" spans="1:10" s="2" customFormat="1" ht="21.75" customHeight="1" x14ac:dyDescent="0.4">
      <c r="A20" s="214" t="s">
        <v>10</v>
      </c>
      <c r="B20" s="214"/>
      <c r="C20" s="214"/>
      <c r="D20" s="214"/>
      <c r="E20" s="214"/>
      <c r="F20" s="214"/>
      <c r="G20" s="13"/>
      <c r="H20" s="112"/>
      <c r="I20" s="112"/>
      <c r="J20" s="13"/>
    </row>
    <row r="21" spans="1:10" s="2" customFormat="1" ht="12.75" customHeight="1" x14ac:dyDescent="0.4">
      <c r="A21" s="26" t="s">
        <v>1</v>
      </c>
      <c r="B21" s="27" t="s">
        <v>2</v>
      </c>
      <c r="C21" s="5"/>
      <c r="D21" s="6" t="s">
        <v>3</v>
      </c>
      <c r="E21" s="7" t="s">
        <v>4</v>
      </c>
      <c r="F21" s="7" t="s">
        <v>5</v>
      </c>
      <c r="G21" s="23"/>
      <c r="H21" s="112"/>
      <c r="I21" s="112"/>
      <c r="J21" s="13"/>
    </row>
    <row r="22" spans="1:10" s="2" customFormat="1" ht="12.75" customHeight="1" x14ac:dyDescent="0.2">
      <c r="A22" s="127">
        <v>45092</v>
      </c>
      <c r="B22" s="128" t="s">
        <v>11</v>
      </c>
      <c r="C22" s="29" t="s">
        <v>7</v>
      </c>
      <c r="D22" s="25"/>
      <c r="E22" s="31"/>
      <c r="F22" s="2">
        <v>269143318.43999988</v>
      </c>
      <c r="G22" s="30"/>
      <c r="I22" s="13"/>
      <c r="J22" s="13"/>
    </row>
    <row r="23" spans="1:10" s="70" customFormat="1" ht="12.75" customHeight="1" x14ac:dyDescent="0.2">
      <c r="A23" s="127">
        <v>45092</v>
      </c>
      <c r="B23" s="128" t="s">
        <v>6</v>
      </c>
      <c r="C23" s="76" t="s">
        <v>379</v>
      </c>
      <c r="D23" s="125" t="s">
        <v>13</v>
      </c>
      <c r="E23" s="129">
        <v>1907133.42</v>
      </c>
      <c r="G23" s="30"/>
      <c r="I23" s="69"/>
      <c r="J23" s="69"/>
    </row>
    <row r="24" spans="1:10" s="70" customFormat="1" ht="12.75" customHeight="1" x14ac:dyDescent="0.2">
      <c r="A24" s="127">
        <v>45092</v>
      </c>
      <c r="B24" s="128" t="s">
        <v>6</v>
      </c>
      <c r="C24" s="76" t="s">
        <v>474</v>
      </c>
      <c r="D24" s="125" t="s">
        <v>13</v>
      </c>
      <c r="E24" s="129">
        <v>289530</v>
      </c>
      <c r="G24" s="30"/>
      <c r="I24" s="69"/>
      <c r="J24" s="69"/>
    </row>
    <row r="25" spans="1:10" s="70" customFormat="1" ht="12.75" customHeight="1" x14ac:dyDescent="0.2">
      <c r="A25" s="127">
        <v>45092</v>
      </c>
      <c r="B25" s="128" t="s">
        <v>6</v>
      </c>
      <c r="C25" s="76" t="s">
        <v>1087</v>
      </c>
      <c r="D25" s="126" t="s">
        <v>13</v>
      </c>
      <c r="E25" s="129">
        <v>2007892.52</v>
      </c>
      <c r="G25" s="30"/>
      <c r="I25" s="69"/>
      <c r="J25" s="69"/>
    </row>
    <row r="26" spans="1:10" s="70" customFormat="1" ht="12.75" customHeight="1" x14ac:dyDescent="0.2">
      <c r="A26" s="127">
        <v>45092</v>
      </c>
      <c r="B26" s="128" t="s">
        <v>6</v>
      </c>
      <c r="C26" s="76" t="s">
        <v>681</v>
      </c>
      <c r="D26" s="126" t="s">
        <v>13</v>
      </c>
      <c r="E26" s="129">
        <v>5030925.82</v>
      </c>
      <c r="G26" s="30"/>
      <c r="I26" s="69"/>
      <c r="J26" s="69"/>
    </row>
    <row r="27" spans="1:10" s="70" customFormat="1" ht="12.75" customHeight="1" x14ac:dyDescent="0.2">
      <c r="A27" s="127">
        <v>45092</v>
      </c>
      <c r="B27" s="128" t="s">
        <v>6</v>
      </c>
      <c r="C27" s="76" t="s">
        <v>760</v>
      </c>
      <c r="D27" s="126" t="s">
        <v>13</v>
      </c>
      <c r="E27" s="129">
        <v>55289.3</v>
      </c>
      <c r="G27" s="30"/>
      <c r="I27" s="69"/>
      <c r="J27" s="69"/>
    </row>
    <row r="28" spans="1:10" s="70" customFormat="1" ht="12.75" customHeight="1" x14ac:dyDescent="0.2">
      <c r="A28" s="127">
        <v>45092</v>
      </c>
      <c r="B28" s="128" t="s">
        <v>6</v>
      </c>
      <c r="C28" s="76" t="s">
        <v>233</v>
      </c>
      <c r="D28" s="126" t="s">
        <v>13</v>
      </c>
      <c r="E28" s="129">
        <v>3150</v>
      </c>
      <c r="G28" s="30"/>
      <c r="I28" s="69"/>
      <c r="J28" s="69"/>
    </row>
    <row r="29" spans="1:10" s="70" customFormat="1" ht="12.75" customHeight="1" x14ac:dyDescent="0.2">
      <c r="A29" s="127">
        <v>45092</v>
      </c>
      <c r="B29" s="128" t="s">
        <v>6</v>
      </c>
      <c r="C29" s="76" t="s">
        <v>497</v>
      </c>
      <c r="D29" s="126" t="s">
        <v>13</v>
      </c>
      <c r="E29" s="129">
        <v>2827608.91</v>
      </c>
      <c r="G29" s="30"/>
      <c r="I29" s="69"/>
      <c r="J29" s="69"/>
    </row>
    <row r="30" spans="1:10" s="70" customFormat="1" ht="12.75" customHeight="1" x14ac:dyDescent="0.2">
      <c r="A30" s="127">
        <v>45092</v>
      </c>
      <c r="B30" s="128" t="s">
        <v>6</v>
      </c>
      <c r="C30" s="76" t="s">
        <v>1083</v>
      </c>
      <c r="D30" s="126" t="s">
        <v>13</v>
      </c>
      <c r="E30" s="129">
        <v>8085</v>
      </c>
      <c r="G30" s="30"/>
      <c r="I30" s="69"/>
      <c r="J30" s="69"/>
    </row>
    <row r="31" spans="1:10" s="70" customFormat="1" ht="12.75" customHeight="1" x14ac:dyDescent="0.2">
      <c r="A31" s="127">
        <v>45092</v>
      </c>
      <c r="B31" s="128" t="s">
        <v>6</v>
      </c>
      <c r="C31" s="76" t="s">
        <v>19</v>
      </c>
      <c r="D31" s="126" t="s">
        <v>13</v>
      </c>
      <c r="E31" s="129">
        <v>9986</v>
      </c>
      <c r="G31" s="30"/>
      <c r="I31" s="69"/>
      <c r="J31" s="69"/>
    </row>
    <row r="32" spans="1:10" s="70" customFormat="1" ht="12.75" customHeight="1" x14ac:dyDescent="0.2">
      <c r="A32" s="127">
        <v>45092</v>
      </c>
      <c r="B32" s="128" t="s">
        <v>6</v>
      </c>
      <c r="C32" s="76" t="s">
        <v>275</v>
      </c>
      <c r="D32" s="126" t="s">
        <v>13</v>
      </c>
      <c r="E32" s="129">
        <v>3100000</v>
      </c>
      <c r="G32" s="30"/>
      <c r="I32" s="69"/>
      <c r="J32" s="69"/>
    </row>
    <row r="33" spans="1:10" s="70" customFormat="1" ht="12.75" customHeight="1" x14ac:dyDescent="0.2">
      <c r="A33" s="127">
        <v>45092</v>
      </c>
      <c r="B33" s="128" t="s">
        <v>6</v>
      </c>
      <c r="C33" s="76" t="s">
        <v>179</v>
      </c>
      <c r="D33" s="126" t="s">
        <v>13</v>
      </c>
      <c r="E33" s="129">
        <v>150000</v>
      </c>
      <c r="G33" s="30"/>
      <c r="I33" s="69"/>
      <c r="J33" s="69"/>
    </row>
    <row r="34" spans="1:10" s="70" customFormat="1" ht="12.75" customHeight="1" x14ac:dyDescent="0.2">
      <c r="A34" s="127">
        <v>45092</v>
      </c>
      <c r="B34" s="128" t="s">
        <v>6</v>
      </c>
      <c r="C34" s="76" t="s">
        <v>180</v>
      </c>
      <c r="D34" s="126" t="s">
        <v>13</v>
      </c>
      <c r="E34" s="129">
        <v>297404.5</v>
      </c>
      <c r="G34" s="30"/>
      <c r="I34" s="69"/>
      <c r="J34" s="69"/>
    </row>
    <row r="35" spans="1:10" s="70" customFormat="1" ht="12.75" customHeight="1" x14ac:dyDescent="0.2">
      <c r="A35" s="127">
        <v>45092</v>
      </c>
      <c r="B35" s="128" t="s">
        <v>6</v>
      </c>
      <c r="C35" s="76" t="s">
        <v>249</v>
      </c>
      <c r="D35" s="126" t="s">
        <v>13</v>
      </c>
      <c r="E35" s="129">
        <v>1979951</v>
      </c>
      <c r="G35" s="30"/>
      <c r="I35" s="69"/>
      <c r="J35" s="69"/>
    </row>
    <row r="36" spans="1:10" s="70" customFormat="1" ht="12.75" customHeight="1" x14ac:dyDescent="0.2">
      <c r="A36" s="127">
        <v>45092</v>
      </c>
      <c r="B36" s="128" t="s">
        <v>6</v>
      </c>
      <c r="C36" s="76" t="s">
        <v>163</v>
      </c>
      <c r="D36" s="126" t="s">
        <v>13</v>
      </c>
      <c r="E36" s="129">
        <v>2197754</v>
      </c>
      <c r="G36" s="30"/>
      <c r="I36" s="69"/>
      <c r="J36" s="69"/>
    </row>
    <row r="37" spans="1:10" s="70" customFormat="1" ht="12.75" customHeight="1" x14ac:dyDescent="0.2">
      <c r="A37" s="127">
        <v>45092</v>
      </c>
      <c r="B37" s="128" t="s">
        <v>6</v>
      </c>
      <c r="C37" s="76" t="s">
        <v>743</v>
      </c>
      <c r="D37" s="126" t="s">
        <v>13</v>
      </c>
      <c r="E37" s="129">
        <v>800000</v>
      </c>
      <c r="G37" s="30"/>
      <c r="I37" s="69"/>
      <c r="J37" s="69"/>
    </row>
    <row r="38" spans="1:10" s="70" customFormat="1" ht="12.75" customHeight="1" x14ac:dyDescent="0.2">
      <c r="A38" s="127">
        <v>45092</v>
      </c>
      <c r="B38" s="128" t="s">
        <v>6</v>
      </c>
      <c r="C38" s="76" t="s">
        <v>742</v>
      </c>
      <c r="D38" s="126" t="s">
        <v>13</v>
      </c>
      <c r="E38" s="129">
        <v>3655</v>
      </c>
      <c r="G38" s="30"/>
      <c r="I38" s="69"/>
      <c r="J38" s="69"/>
    </row>
    <row r="39" spans="1:10" s="70" customFormat="1" ht="12.75" customHeight="1" x14ac:dyDescent="0.2">
      <c r="A39" s="127">
        <v>45092</v>
      </c>
      <c r="B39" s="128" t="s">
        <v>6</v>
      </c>
      <c r="C39" s="76" t="s">
        <v>149</v>
      </c>
      <c r="D39" s="126" t="s">
        <v>13</v>
      </c>
      <c r="E39" s="129">
        <v>6482</v>
      </c>
      <c r="G39" s="30"/>
      <c r="I39" s="69"/>
      <c r="J39" s="69"/>
    </row>
    <row r="40" spans="1:10" s="70" customFormat="1" ht="12.75" customHeight="1" x14ac:dyDescent="0.2">
      <c r="A40" s="127">
        <v>45092</v>
      </c>
      <c r="B40" s="128" t="s">
        <v>6</v>
      </c>
      <c r="C40" s="76" t="s">
        <v>1089</v>
      </c>
      <c r="D40" s="126" t="s">
        <v>13</v>
      </c>
      <c r="E40" s="129">
        <v>415542</v>
      </c>
      <c r="G40" s="30"/>
      <c r="I40" s="69"/>
      <c r="J40" s="69"/>
    </row>
    <row r="41" spans="1:10" s="70" customFormat="1" ht="12.75" customHeight="1" x14ac:dyDescent="0.2">
      <c r="A41" s="127">
        <v>45092</v>
      </c>
      <c r="B41" s="128" t="s">
        <v>6</v>
      </c>
      <c r="C41" s="76" t="s">
        <v>257</v>
      </c>
      <c r="D41" s="126" t="s">
        <v>13</v>
      </c>
      <c r="E41" s="129">
        <v>313915.2</v>
      </c>
      <c r="G41" s="30"/>
      <c r="I41" s="69"/>
      <c r="J41" s="69"/>
    </row>
    <row r="42" spans="1:10" s="70" customFormat="1" ht="12.75" customHeight="1" x14ac:dyDescent="0.2">
      <c r="A42" s="127">
        <v>45092</v>
      </c>
      <c r="B42" s="128" t="s">
        <v>6</v>
      </c>
      <c r="C42" s="76" t="s">
        <v>15</v>
      </c>
      <c r="D42" s="126" t="s">
        <v>13</v>
      </c>
      <c r="E42" s="129">
        <v>603.26</v>
      </c>
      <c r="G42" s="30"/>
      <c r="I42" s="69"/>
      <c r="J42" s="69"/>
    </row>
    <row r="43" spans="1:10" s="70" customFormat="1" ht="12.75" customHeight="1" x14ac:dyDescent="0.2">
      <c r="A43" s="127">
        <v>45092</v>
      </c>
      <c r="B43" s="128" t="s">
        <v>6</v>
      </c>
      <c r="C43" s="76" t="s">
        <v>737</v>
      </c>
      <c r="D43" s="126" t="s">
        <v>13</v>
      </c>
      <c r="E43" s="129">
        <v>352316</v>
      </c>
      <c r="G43" s="30"/>
      <c r="I43" s="69"/>
      <c r="J43" s="69"/>
    </row>
    <row r="44" spans="1:10" s="70" customFormat="1" ht="12.75" customHeight="1" x14ac:dyDescent="0.2">
      <c r="A44" s="127">
        <v>45092</v>
      </c>
      <c r="B44" s="128" t="s">
        <v>11</v>
      </c>
      <c r="C44" s="76" t="s">
        <v>64</v>
      </c>
      <c r="D44" s="126" t="s">
        <v>29</v>
      </c>
      <c r="E44" s="129"/>
      <c r="F44" s="70">
        <v>32560.67</v>
      </c>
      <c r="G44" s="30"/>
      <c r="I44" s="69"/>
      <c r="J44" s="69"/>
    </row>
    <row r="45" spans="1:10" s="70" customFormat="1" ht="12.75" customHeight="1" x14ac:dyDescent="0.2">
      <c r="A45" s="127">
        <v>45092</v>
      </c>
      <c r="B45" s="128" t="s">
        <v>11</v>
      </c>
      <c r="C45" s="76" t="s">
        <v>15</v>
      </c>
      <c r="D45" s="126" t="s">
        <v>29</v>
      </c>
      <c r="E45" s="129"/>
      <c r="F45" s="70">
        <v>6178.48</v>
      </c>
      <c r="G45" s="30"/>
      <c r="I45" s="69"/>
      <c r="J45" s="69"/>
    </row>
    <row r="46" spans="1:10" s="69" customFormat="1" ht="12.75" customHeight="1" x14ac:dyDescent="0.2">
      <c r="A46" s="131">
        <v>45092</v>
      </c>
      <c r="B46" s="132" t="s">
        <v>11</v>
      </c>
      <c r="C46" s="94" t="s">
        <v>737</v>
      </c>
      <c r="D46" s="133" t="s">
        <v>258</v>
      </c>
      <c r="E46" s="134"/>
      <c r="F46" s="69">
        <v>352316</v>
      </c>
      <c r="G46" s="100"/>
    </row>
    <row r="47" spans="1:10" s="70" customFormat="1" ht="12.75" customHeight="1" x14ac:dyDescent="0.2">
      <c r="A47" s="127">
        <v>45092</v>
      </c>
      <c r="B47" s="128" t="s">
        <v>11</v>
      </c>
      <c r="C47" s="76" t="s">
        <v>925</v>
      </c>
      <c r="D47" s="126" t="s">
        <v>29</v>
      </c>
      <c r="E47" s="129"/>
      <c r="F47" s="70">
        <v>506161</v>
      </c>
      <c r="G47" s="30"/>
      <c r="I47" s="69"/>
      <c r="J47" s="69"/>
    </row>
    <row r="48" spans="1:10" s="70" customFormat="1" ht="12.75" customHeight="1" x14ac:dyDescent="0.2">
      <c r="A48" s="127">
        <v>45092</v>
      </c>
      <c r="B48" s="128" t="s">
        <v>11</v>
      </c>
      <c r="C48" s="76" t="s">
        <v>354</v>
      </c>
      <c r="D48" s="126" t="s">
        <v>29</v>
      </c>
      <c r="E48" s="129"/>
      <c r="F48" s="70">
        <v>176059.44</v>
      </c>
      <c r="G48" s="30"/>
      <c r="I48" s="69"/>
      <c r="J48" s="69"/>
    </row>
    <row r="49" spans="1:10" s="70" customFormat="1" ht="12.75" customHeight="1" x14ac:dyDescent="0.2">
      <c r="A49" s="127">
        <v>45092</v>
      </c>
      <c r="B49" s="128" t="s">
        <v>11</v>
      </c>
      <c r="C49" s="76" t="s">
        <v>28</v>
      </c>
      <c r="D49" s="126" t="s">
        <v>29</v>
      </c>
      <c r="E49" s="129"/>
      <c r="F49" s="70">
        <v>253552.5</v>
      </c>
      <c r="G49" s="30"/>
      <c r="I49" s="69"/>
      <c r="J49" s="69"/>
    </row>
    <row r="50" spans="1:10" s="70" customFormat="1" ht="12.75" customHeight="1" x14ac:dyDescent="0.2">
      <c r="A50" s="127">
        <v>45092</v>
      </c>
      <c r="B50" s="128" t="s">
        <v>11</v>
      </c>
      <c r="C50" s="76" t="s">
        <v>48</v>
      </c>
      <c r="D50" s="126" t="s">
        <v>29</v>
      </c>
      <c r="E50" s="129"/>
      <c r="F50" s="70">
        <v>250491</v>
      </c>
      <c r="G50" s="30"/>
      <c r="I50" s="69"/>
      <c r="J50" s="69"/>
    </row>
    <row r="51" spans="1:10" s="70" customFormat="1" ht="12.75" customHeight="1" x14ac:dyDescent="0.2">
      <c r="A51" s="127">
        <v>45092</v>
      </c>
      <c r="B51" s="128" t="s">
        <v>11</v>
      </c>
      <c r="C51" s="76" t="s">
        <v>798</v>
      </c>
      <c r="D51" s="126" t="s">
        <v>29</v>
      </c>
      <c r="E51" s="129"/>
      <c r="F51" s="70">
        <v>351340</v>
      </c>
      <c r="G51" s="30"/>
      <c r="I51" s="69"/>
      <c r="J51" s="69"/>
    </row>
    <row r="52" spans="1:10" s="70" customFormat="1" ht="12.75" customHeight="1" x14ac:dyDescent="0.2">
      <c r="A52" s="127">
        <v>45092</v>
      </c>
      <c r="B52" s="128" t="s">
        <v>11</v>
      </c>
      <c r="C52" s="76" t="s">
        <v>813</v>
      </c>
      <c r="D52" s="126" t="s">
        <v>29</v>
      </c>
      <c r="E52" s="129"/>
      <c r="F52" s="70">
        <v>29042</v>
      </c>
      <c r="G52" s="30"/>
      <c r="I52" s="69"/>
      <c r="J52" s="69"/>
    </row>
    <row r="53" spans="1:10" s="70" customFormat="1" ht="12.75" customHeight="1" x14ac:dyDescent="0.2">
      <c r="A53" s="127">
        <v>45092</v>
      </c>
      <c r="B53" s="128" t="s">
        <v>11</v>
      </c>
      <c r="C53" s="76" t="s">
        <v>408</v>
      </c>
      <c r="D53" s="126" t="s">
        <v>29</v>
      </c>
      <c r="E53" s="129"/>
      <c r="F53" s="70">
        <v>12980</v>
      </c>
      <c r="G53" s="30"/>
      <c r="I53" s="69"/>
      <c r="J53" s="69"/>
    </row>
    <row r="54" spans="1:10" s="70" customFormat="1" ht="12.75" customHeight="1" x14ac:dyDescent="0.2">
      <c r="A54" s="127">
        <v>45092</v>
      </c>
      <c r="B54" s="128" t="s">
        <v>11</v>
      </c>
      <c r="C54" s="76" t="s">
        <v>256</v>
      </c>
      <c r="D54" s="126" t="s">
        <v>29</v>
      </c>
      <c r="E54" s="129"/>
      <c r="F54" s="70">
        <v>543746</v>
      </c>
      <c r="G54" s="30"/>
      <c r="I54" s="69"/>
      <c r="J54" s="69"/>
    </row>
    <row r="55" spans="1:10" s="70" customFormat="1" ht="12.75" customHeight="1" x14ac:dyDescent="0.2">
      <c r="A55" s="127">
        <v>45092</v>
      </c>
      <c r="B55" s="128" t="s">
        <v>11</v>
      </c>
      <c r="C55" s="76" t="s">
        <v>156</v>
      </c>
      <c r="D55" s="126" t="s">
        <v>29</v>
      </c>
      <c r="E55" s="129"/>
      <c r="F55" s="70">
        <v>789.12999999999988</v>
      </c>
      <c r="G55" s="30"/>
      <c r="I55" s="69"/>
      <c r="J55" s="69"/>
    </row>
    <row r="56" spans="1:10" s="70" customFormat="1" ht="12.75" customHeight="1" x14ac:dyDescent="0.2">
      <c r="A56" s="127">
        <v>45092</v>
      </c>
      <c r="B56" s="128" t="s">
        <v>11</v>
      </c>
      <c r="C56" s="76" t="s">
        <v>107</v>
      </c>
      <c r="D56" s="126" t="s">
        <v>29</v>
      </c>
      <c r="E56" s="129"/>
      <c r="F56" s="70">
        <v>1123462.1599999999</v>
      </c>
      <c r="G56" s="30"/>
      <c r="I56" s="69"/>
      <c r="J56" s="69"/>
    </row>
    <row r="57" spans="1:10" s="70" customFormat="1" ht="12.75" customHeight="1" x14ac:dyDescent="0.2">
      <c r="A57" s="127">
        <v>45092</v>
      </c>
      <c r="B57" s="128" t="s">
        <v>11</v>
      </c>
      <c r="C57" s="76" t="s">
        <v>260</v>
      </c>
      <c r="D57" s="126" t="s">
        <v>29</v>
      </c>
      <c r="E57" s="129"/>
      <c r="F57" s="70">
        <v>4094040.7</v>
      </c>
      <c r="G57" s="30"/>
      <c r="I57" s="69"/>
      <c r="J57" s="69"/>
    </row>
    <row r="58" spans="1:10" s="70" customFormat="1" ht="12.75" customHeight="1" x14ac:dyDescent="0.2">
      <c r="A58" s="127">
        <v>45092</v>
      </c>
      <c r="B58" s="128" t="s">
        <v>11</v>
      </c>
      <c r="C58" s="76" t="s">
        <v>754</v>
      </c>
      <c r="D58" s="126" t="s">
        <v>29</v>
      </c>
      <c r="E58" s="129"/>
      <c r="F58" s="70">
        <v>1228650.28</v>
      </c>
      <c r="G58" s="30"/>
      <c r="I58" s="69"/>
      <c r="J58" s="69"/>
    </row>
    <row r="59" spans="1:10" s="70" customFormat="1" ht="12.75" customHeight="1" x14ac:dyDescent="0.2">
      <c r="A59" s="127">
        <v>45092</v>
      </c>
      <c r="B59" s="128" t="s">
        <v>11</v>
      </c>
      <c r="C59" s="76" t="s">
        <v>368</v>
      </c>
      <c r="D59" s="126" t="s">
        <v>29</v>
      </c>
      <c r="E59" s="129"/>
      <c r="F59" s="70">
        <v>3746278</v>
      </c>
      <c r="G59" s="30"/>
      <c r="I59" s="69"/>
      <c r="J59" s="69"/>
    </row>
    <row r="60" spans="1:10" s="70" customFormat="1" ht="12.75" customHeight="1" x14ac:dyDescent="0.2">
      <c r="A60" s="127">
        <v>45092</v>
      </c>
      <c r="B60" s="128" t="s">
        <v>11</v>
      </c>
      <c r="C60" s="76" t="s">
        <v>356</v>
      </c>
      <c r="D60" s="126" t="s">
        <v>29</v>
      </c>
      <c r="E60" s="129"/>
      <c r="F60" s="70">
        <v>1307251</v>
      </c>
      <c r="G60" s="30"/>
      <c r="I60" s="69"/>
      <c r="J60" s="69"/>
    </row>
    <row r="61" spans="1:10" s="70" customFormat="1" ht="12.75" customHeight="1" x14ac:dyDescent="0.2">
      <c r="A61" s="127">
        <v>45092</v>
      </c>
      <c r="B61" s="128" t="s">
        <v>11</v>
      </c>
      <c r="C61" s="76" t="s">
        <v>690</v>
      </c>
      <c r="D61" s="126" t="s">
        <v>29</v>
      </c>
      <c r="E61" s="129"/>
      <c r="F61" s="70">
        <v>22407</v>
      </c>
      <c r="G61" s="30"/>
      <c r="I61" s="69"/>
      <c r="J61" s="69"/>
    </row>
    <row r="62" spans="1:10" s="70" customFormat="1" ht="12.75" customHeight="1" x14ac:dyDescent="0.2">
      <c r="A62" s="127">
        <v>45092</v>
      </c>
      <c r="B62" s="128" t="s">
        <v>11</v>
      </c>
      <c r="C62" s="76" t="s">
        <v>350</v>
      </c>
      <c r="D62" s="126" t="s">
        <v>29</v>
      </c>
      <c r="E62" s="129"/>
      <c r="F62" s="70">
        <v>5150</v>
      </c>
      <c r="G62" s="30"/>
      <c r="I62" s="69"/>
      <c r="J62" s="69"/>
    </row>
    <row r="63" spans="1:10" s="70" customFormat="1" ht="12.75" customHeight="1" x14ac:dyDescent="0.2">
      <c r="A63" s="127">
        <v>45092</v>
      </c>
      <c r="B63" s="128" t="s">
        <v>11</v>
      </c>
      <c r="C63" s="76" t="s">
        <v>689</v>
      </c>
      <c r="D63" s="126" t="s">
        <v>29</v>
      </c>
      <c r="E63" s="129"/>
      <c r="F63" s="70">
        <v>19637</v>
      </c>
      <c r="G63" s="30"/>
      <c r="I63" s="69"/>
      <c r="J63" s="69"/>
    </row>
    <row r="64" spans="1:10" s="70" customFormat="1" ht="12.75" customHeight="1" x14ac:dyDescent="0.2">
      <c r="A64" s="127">
        <v>45092</v>
      </c>
      <c r="B64" s="128" t="s">
        <v>11</v>
      </c>
      <c r="C64" s="76" t="s">
        <v>692</v>
      </c>
      <c r="D64" s="126" t="s">
        <v>29</v>
      </c>
      <c r="E64" s="129"/>
      <c r="F64" s="70">
        <v>6752</v>
      </c>
      <c r="G64" s="30"/>
      <c r="I64" s="69"/>
      <c r="J64" s="69"/>
    </row>
    <row r="65" spans="1:14" s="70" customFormat="1" ht="12.75" customHeight="1" x14ac:dyDescent="0.2">
      <c r="A65" s="127">
        <v>45092</v>
      </c>
      <c r="B65" s="128" t="s">
        <v>11</v>
      </c>
      <c r="C65" s="76" t="s">
        <v>346</v>
      </c>
      <c r="D65" s="126" t="s">
        <v>29</v>
      </c>
      <c r="E65" s="129"/>
      <c r="F65" s="70">
        <v>620288</v>
      </c>
      <c r="G65" s="30"/>
      <c r="I65" s="69"/>
      <c r="J65" s="69"/>
    </row>
    <row r="66" spans="1:14" s="70" customFormat="1" ht="12.75" customHeight="1" x14ac:dyDescent="0.2">
      <c r="A66" s="127">
        <v>45092</v>
      </c>
      <c r="B66" s="128" t="s">
        <v>11</v>
      </c>
      <c r="C66" s="76" t="s">
        <v>691</v>
      </c>
      <c r="D66" s="126" t="s">
        <v>29</v>
      </c>
      <c r="E66" s="129"/>
      <c r="F66" s="70">
        <v>63506</v>
      </c>
      <c r="G66" s="30"/>
      <c r="I66" s="69"/>
      <c r="J66" s="69"/>
    </row>
    <row r="67" spans="1:14" s="70" customFormat="1" ht="12.75" customHeight="1" x14ac:dyDescent="0.2">
      <c r="A67" s="127">
        <v>45092</v>
      </c>
      <c r="B67" s="128" t="s">
        <v>11</v>
      </c>
      <c r="C67" s="76" t="s">
        <v>998</v>
      </c>
      <c r="D67" s="126" t="s">
        <v>29</v>
      </c>
      <c r="E67" s="129"/>
      <c r="F67" s="70">
        <v>1580010.5</v>
      </c>
      <c r="G67" s="30"/>
      <c r="I67" s="69"/>
      <c r="J67" s="69"/>
    </row>
    <row r="68" spans="1:14" s="70" customFormat="1" ht="12.75" customHeight="1" x14ac:dyDescent="0.2">
      <c r="A68" s="127">
        <v>45092</v>
      </c>
      <c r="B68" s="128" t="s">
        <v>11</v>
      </c>
      <c r="C68" s="76" t="s">
        <v>279</v>
      </c>
      <c r="D68" s="126" t="s">
        <v>29</v>
      </c>
      <c r="E68" s="129"/>
      <c r="F68" s="70">
        <v>2567862</v>
      </c>
      <c r="G68" s="30"/>
      <c r="I68" s="69"/>
      <c r="J68" s="69"/>
    </row>
    <row r="69" spans="1:14" s="70" customFormat="1" ht="12.75" customHeight="1" x14ac:dyDescent="0.2">
      <c r="A69" s="127">
        <v>45092</v>
      </c>
      <c r="B69" s="128" t="s">
        <v>11</v>
      </c>
      <c r="C69" s="76" t="s">
        <v>57</v>
      </c>
      <c r="D69" s="126" t="s">
        <v>29</v>
      </c>
      <c r="E69" s="129"/>
      <c r="F69" s="70">
        <v>10500000</v>
      </c>
      <c r="G69" s="30"/>
      <c r="I69" s="69"/>
      <c r="J69" s="69"/>
    </row>
    <row r="70" spans="1:14" s="70" customFormat="1" ht="12.75" customHeight="1" x14ac:dyDescent="0.2">
      <c r="A70" s="127">
        <v>45092</v>
      </c>
      <c r="B70" s="128" t="s">
        <v>11</v>
      </c>
      <c r="C70" s="76" t="s">
        <v>140</v>
      </c>
      <c r="D70" s="126" t="s">
        <v>29</v>
      </c>
      <c r="E70" s="129"/>
      <c r="F70" s="70">
        <v>5309876</v>
      </c>
      <c r="G70" s="30"/>
      <c r="I70" s="69"/>
      <c r="J70" s="69"/>
    </row>
    <row r="71" spans="1:14" s="70" customFormat="1" ht="12.75" customHeight="1" x14ac:dyDescent="0.2">
      <c r="A71" s="127">
        <v>45092</v>
      </c>
      <c r="B71" s="128" t="s">
        <v>11</v>
      </c>
      <c r="C71" s="76" t="s">
        <v>1088</v>
      </c>
      <c r="D71" s="126" t="s">
        <v>29</v>
      </c>
      <c r="E71" s="129"/>
      <c r="F71" s="70">
        <v>76775</v>
      </c>
      <c r="G71" s="30"/>
      <c r="I71" s="69"/>
      <c r="J71" s="69"/>
    </row>
    <row r="72" spans="1:14" s="70" customFormat="1" ht="12.75" customHeight="1" x14ac:dyDescent="0.2">
      <c r="A72" s="127">
        <v>45092</v>
      </c>
      <c r="B72" s="128" t="s">
        <v>11</v>
      </c>
      <c r="C72" s="76" t="s">
        <v>449</v>
      </c>
      <c r="D72" s="126" t="s">
        <v>29</v>
      </c>
      <c r="E72" s="129"/>
      <c r="F72" s="70">
        <v>515901.02</v>
      </c>
      <c r="G72" s="30"/>
      <c r="I72" s="69"/>
      <c r="J72" s="69"/>
    </row>
    <row r="73" spans="1:14" s="2" customFormat="1" ht="12.75" customHeight="1" x14ac:dyDescent="0.25">
      <c r="A73" s="32"/>
      <c r="B73" s="33"/>
      <c r="C73" s="14"/>
      <c r="D73" s="34"/>
      <c r="E73" s="16">
        <f>SUM(E22:E72)</f>
        <v>21757223.93</v>
      </c>
      <c r="F73" s="16">
        <f>SUM(F22:F72)</f>
        <v>304446381.31999987</v>
      </c>
      <c r="G73" s="30"/>
      <c r="H73" s="1"/>
      <c r="I73" s="39">
        <v>282689157.38999999</v>
      </c>
      <c r="K73" s="92">
        <f>E74-I73</f>
        <v>0</v>
      </c>
      <c r="L73" s="41"/>
      <c r="M73" s="42"/>
    </row>
    <row r="74" spans="1:14" s="2" customFormat="1" ht="12.75" customHeight="1" x14ac:dyDescent="0.2">
      <c r="A74" s="36"/>
      <c r="B74" s="28" t="s">
        <v>11</v>
      </c>
      <c r="C74" s="19" t="s">
        <v>65</v>
      </c>
      <c r="D74" s="37"/>
      <c r="E74" s="38">
        <f>F73-E73</f>
        <v>282689157.38999987</v>
      </c>
      <c r="F74" s="22"/>
      <c r="G74" s="1"/>
      <c r="H74" s="1"/>
      <c r="J74" s="1"/>
      <c r="K74" s="1"/>
      <c r="L74" s="1"/>
      <c r="M74" s="1"/>
    </row>
    <row r="75" spans="1:14" s="2" customFormat="1" ht="12.75" customHeight="1" x14ac:dyDescent="0.2">
      <c r="A75" s="36"/>
      <c r="B75" s="28" t="s">
        <v>66</v>
      </c>
      <c r="C75" s="43" t="s">
        <v>67</v>
      </c>
      <c r="D75" s="43"/>
      <c r="E75" s="12">
        <v>59416310</v>
      </c>
      <c r="F75" s="22"/>
      <c r="G75" s="1"/>
      <c r="H75" s="40"/>
      <c r="I75" s="45">
        <v>2242.42</v>
      </c>
      <c r="J75" s="46"/>
      <c r="K75" s="46"/>
      <c r="L75" s="13"/>
    </row>
    <row r="76" spans="1:14" s="2" customFormat="1" ht="12.75" customHeight="1" x14ac:dyDescent="0.25">
      <c r="A76" s="36"/>
      <c r="B76" s="28"/>
      <c r="C76" s="44" t="s">
        <v>68</v>
      </c>
      <c r="D76" s="43"/>
      <c r="E76" s="7">
        <f>E74+E75</f>
        <v>342105467.38999987</v>
      </c>
      <c r="F76" s="22"/>
      <c r="G76" s="1"/>
      <c r="H76" s="103" t="s">
        <v>69</v>
      </c>
      <c r="I76" s="45">
        <v>-23.28</v>
      </c>
      <c r="J76" s="46"/>
      <c r="K76" s="46"/>
      <c r="N76" s="1"/>
    </row>
    <row r="77" spans="1:14" s="2" customFormat="1" x14ac:dyDescent="0.2">
      <c r="A77" s="24"/>
      <c r="B77" s="1"/>
      <c r="C77" s="14"/>
      <c r="D77" s="25"/>
      <c r="E77" s="1"/>
      <c r="H77" s="35" t="s">
        <v>70</v>
      </c>
      <c r="I77" s="45">
        <v>1.28</v>
      </c>
      <c r="J77" s="46">
        <f>+I78-D80</f>
        <v>0</v>
      </c>
      <c r="M77" s="2">
        <v>19.57</v>
      </c>
      <c r="N77" s="1"/>
    </row>
    <row r="78" spans="1:14" x14ac:dyDescent="0.2">
      <c r="C78" s="56"/>
      <c r="D78" s="56"/>
      <c r="E78" s="104"/>
      <c r="I78" s="49">
        <f>SUM(I75:I77)</f>
        <v>2220.42</v>
      </c>
      <c r="J78" s="46"/>
      <c r="K78" s="46"/>
      <c r="L78" s="2"/>
      <c r="M78" s="2"/>
      <c r="N78" s="2"/>
    </row>
    <row r="79" spans="1:14" x14ac:dyDescent="0.2">
      <c r="C79" s="78" t="s">
        <v>575</v>
      </c>
      <c r="D79" s="48" t="s">
        <v>576</v>
      </c>
      <c r="E79" s="104"/>
      <c r="I79" s="2"/>
      <c r="J79" s="2"/>
      <c r="K79" s="2"/>
      <c r="L79" s="2"/>
      <c r="M79" s="2"/>
      <c r="N79" s="2"/>
    </row>
    <row r="80" spans="1:14" s="2" customFormat="1" x14ac:dyDescent="0.2">
      <c r="A80" s="24"/>
      <c r="B80" s="1"/>
      <c r="C80" s="47" t="s">
        <v>570</v>
      </c>
      <c r="D80" s="111">
        <v>2220.42</v>
      </c>
      <c r="E80" s="104"/>
      <c r="G80" s="1"/>
      <c r="H80" s="110" t="s">
        <v>581</v>
      </c>
      <c r="N80" s="2" t="s">
        <v>535</v>
      </c>
    </row>
    <row r="81" spans="1:13" s="2" customFormat="1" x14ac:dyDescent="0.2">
      <c r="A81" s="24"/>
      <c r="B81" s="1"/>
      <c r="C81" s="47" t="s">
        <v>931</v>
      </c>
      <c r="D81" s="111">
        <v>55.5</v>
      </c>
      <c r="E81" s="104"/>
      <c r="G81" s="1"/>
      <c r="H81" s="110" t="s">
        <v>580</v>
      </c>
    </row>
    <row r="82" spans="1:13" s="2" customFormat="1" x14ac:dyDescent="0.2">
      <c r="A82" s="24"/>
      <c r="B82" s="1"/>
      <c r="C82" s="47" t="s">
        <v>572</v>
      </c>
      <c r="D82" s="111">
        <f>+D112/100000</f>
        <v>206.61549740000001</v>
      </c>
      <c r="E82" s="104"/>
      <c r="G82" s="1"/>
      <c r="H82" s="90" t="s">
        <v>587</v>
      </c>
    </row>
    <row r="83" spans="1:13" s="2" customFormat="1" x14ac:dyDescent="0.2">
      <c r="A83" s="24"/>
      <c r="B83" s="1"/>
      <c r="C83" s="108" t="s">
        <v>578</v>
      </c>
      <c r="D83" s="48">
        <f>SUM(D80:D82)</f>
        <v>2482.5354974000002</v>
      </c>
      <c r="E83" s="104"/>
      <c r="G83" s="1"/>
    </row>
    <row r="84" spans="1:13" s="2" customFormat="1" x14ac:dyDescent="0.2">
      <c r="A84" s="24"/>
      <c r="B84" s="1"/>
      <c r="C84" s="47"/>
      <c r="D84" s="107"/>
      <c r="E84" s="104"/>
      <c r="G84" s="1"/>
    </row>
    <row r="85" spans="1:13" s="2" customFormat="1" x14ac:dyDescent="0.2">
      <c r="A85" s="24"/>
      <c r="B85" s="1"/>
      <c r="C85" s="47" t="s">
        <v>932</v>
      </c>
      <c r="D85" s="111">
        <v>294.94</v>
      </c>
      <c r="E85" s="104"/>
      <c r="G85" s="1"/>
      <c r="H85" s="110" t="s">
        <v>581</v>
      </c>
    </row>
    <row r="86" spans="1:13" s="2" customFormat="1" x14ac:dyDescent="0.2">
      <c r="A86" s="24"/>
      <c r="B86" s="1"/>
      <c r="C86" s="47" t="s">
        <v>933</v>
      </c>
      <c r="D86" s="111">
        <f>180.45-79.04</f>
        <v>101.40999999999998</v>
      </c>
      <c r="E86" s="104"/>
      <c r="G86" s="1"/>
      <c r="H86" s="110" t="s">
        <v>581</v>
      </c>
      <c r="J86" s="114" t="s">
        <v>713</v>
      </c>
    </row>
    <row r="87" spans="1:13" s="2" customFormat="1" x14ac:dyDescent="0.2">
      <c r="A87" s="24"/>
      <c r="B87" s="1"/>
      <c r="C87" s="78" t="s">
        <v>579</v>
      </c>
      <c r="D87" s="109">
        <f>D85+D86</f>
        <v>396.34999999999997</v>
      </c>
      <c r="E87" s="104"/>
      <c r="G87" s="1"/>
      <c r="I87" s="113"/>
      <c r="J87" s="113" t="s">
        <v>709</v>
      </c>
      <c r="K87" s="113" t="s">
        <v>710</v>
      </c>
      <c r="L87" s="113" t="s">
        <v>711</v>
      </c>
      <c r="M87" s="113" t="s">
        <v>712</v>
      </c>
    </row>
    <row r="88" spans="1:13" s="2" customFormat="1" x14ac:dyDescent="0.2">
      <c r="A88" s="24"/>
      <c r="B88" s="1"/>
      <c r="C88" s="105"/>
      <c r="D88" s="106"/>
      <c r="E88" s="104"/>
      <c r="G88" s="1"/>
      <c r="I88" s="113" t="s">
        <v>706</v>
      </c>
      <c r="J88" s="115"/>
      <c r="K88" s="115">
        <v>968.99</v>
      </c>
      <c r="L88" s="115">
        <v>968.99</v>
      </c>
      <c r="M88" s="113">
        <f>+J88+L88-K88</f>
        <v>0</v>
      </c>
    </row>
    <row r="89" spans="1:13" s="2" customFormat="1" x14ac:dyDescent="0.2">
      <c r="A89" s="24"/>
      <c r="B89" s="1"/>
      <c r="C89" s="78" t="s">
        <v>577</v>
      </c>
      <c r="D89" s="109">
        <f>D80+D87</f>
        <v>2616.77</v>
      </c>
      <c r="E89" s="104"/>
      <c r="G89" s="1"/>
      <c r="I89" s="113" t="s">
        <v>707</v>
      </c>
      <c r="J89" s="115">
        <v>183.1</v>
      </c>
      <c r="K89" s="115">
        <v>2016.46</v>
      </c>
      <c r="L89" s="115">
        <v>3087.75</v>
      </c>
      <c r="M89" s="113">
        <f>+J89+L89-K89</f>
        <v>1254.3899999999999</v>
      </c>
    </row>
    <row r="90" spans="1:13" s="2" customFormat="1" x14ac:dyDescent="0.2">
      <c r="A90" s="24"/>
      <c r="B90" s="1"/>
      <c r="C90" s="56"/>
      <c r="D90" s="56"/>
      <c r="E90" s="104"/>
      <c r="G90" s="1"/>
      <c r="I90" s="113" t="s">
        <v>708</v>
      </c>
      <c r="J90" s="115">
        <v>1371.02</v>
      </c>
      <c r="K90" s="115">
        <v>11884.9</v>
      </c>
      <c r="L90" s="115">
        <v>11928.38</v>
      </c>
      <c r="M90" s="113">
        <f>+J90+L90-K90</f>
        <v>1414.5</v>
      </c>
    </row>
    <row r="91" spans="1:13" s="2" customFormat="1" ht="38.25" x14ac:dyDescent="0.2">
      <c r="A91" s="24"/>
      <c r="B91" s="1"/>
      <c r="C91" s="79" t="str">
        <f>"Particulars ( 01-04-2021 to "&amp;TEXT(A5,"dd-mm-yyyy")&amp;" )"</f>
        <v>Particulars ( 01-04-2021 to 15-06-2023 )</v>
      </c>
      <c r="D91" s="80" t="s">
        <v>73</v>
      </c>
      <c r="E91" s="80" t="s">
        <v>74</v>
      </c>
      <c r="F91" s="81" t="s">
        <v>75</v>
      </c>
      <c r="G91" s="80" t="s">
        <v>76</v>
      </c>
      <c r="J91" s="118">
        <f>SUM(J88:J90)</f>
        <v>1554.12</v>
      </c>
      <c r="K91" s="118">
        <f>SUM(K88:K90)</f>
        <v>14870.349999999999</v>
      </c>
      <c r="L91" s="118">
        <f>SUM(L88:L90)</f>
        <v>15985.119999999999</v>
      </c>
      <c r="M91" s="118">
        <f>SUM(M88:M90)</f>
        <v>2668.89</v>
      </c>
    </row>
    <row r="92" spans="1:13" s="2" customFormat="1" x14ac:dyDescent="0.2">
      <c r="A92" s="24"/>
      <c r="B92" s="1"/>
      <c r="C92" s="50" t="s">
        <v>444</v>
      </c>
      <c r="D92" s="55">
        <f>+L88+L89+J89</f>
        <v>4239.84</v>
      </c>
      <c r="E92" s="55">
        <f>+K88+K89</f>
        <v>2985.45</v>
      </c>
      <c r="F92" s="55">
        <f>+D92-E92</f>
        <v>1254.3900000000003</v>
      </c>
      <c r="G92" s="55">
        <f>1500-F92</f>
        <v>245.60999999999967</v>
      </c>
      <c r="H92" s="2" t="s">
        <v>396</v>
      </c>
    </row>
    <row r="93" spans="1:13" s="2" customFormat="1" x14ac:dyDescent="0.2">
      <c r="A93" s="24"/>
      <c r="B93" s="1"/>
      <c r="C93" s="50" t="s">
        <v>71</v>
      </c>
      <c r="D93" s="55">
        <f>+J90+L90</f>
        <v>13299.4</v>
      </c>
      <c r="E93" s="55">
        <f>+K90</f>
        <v>11884.9</v>
      </c>
      <c r="F93" s="55">
        <f>+D93-E93</f>
        <v>1414.5</v>
      </c>
      <c r="G93" s="55">
        <f>1500+700-F93</f>
        <v>785.5</v>
      </c>
      <c r="H93" s="2" t="s">
        <v>396</v>
      </c>
    </row>
    <row r="94" spans="1:13" s="2" customFormat="1" x14ac:dyDescent="0.2">
      <c r="A94" s="24"/>
      <c r="B94" s="1"/>
      <c r="C94" s="14"/>
      <c r="D94" s="56"/>
      <c r="E94" s="13"/>
      <c r="G94" s="1"/>
    </row>
    <row r="95" spans="1:13" s="2" customFormat="1" x14ac:dyDescent="0.2">
      <c r="A95" s="215" t="s">
        <v>80</v>
      </c>
      <c r="B95" s="216"/>
      <c r="C95" s="216"/>
      <c r="D95" s="217"/>
      <c r="E95" s="69"/>
      <c r="F95" s="70"/>
      <c r="G95" s="1"/>
      <c r="H95" s="53"/>
    </row>
    <row r="96" spans="1:13" s="2" customFormat="1" x14ac:dyDescent="0.2">
      <c r="A96" s="71" t="s">
        <v>81</v>
      </c>
      <c r="B96" s="71"/>
      <c r="C96" s="72" t="s">
        <v>82</v>
      </c>
      <c r="D96" s="73" t="s">
        <v>83</v>
      </c>
      <c r="E96" s="69"/>
      <c r="F96" s="70"/>
      <c r="H96" s="53"/>
    </row>
    <row r="97" spans="1:13" s="2" customFormat="1" x14ac:dyDescent="0.2">
      <c r="A97" s="87">
        <v>45080</v>
      </c>
      <c r="B97" s="120" t="s">
        <v>1052</v>
      </c>
      <c r="C97" s="75" t="s">
        <v>86</v>
      </c>
      <c r="D97" s="88">
        <v>163799</v>
      </c>
      <c r="G97" s="1"/>
      <c r="L97" s="1"/>
      <c r="M97" s="1"/>
    </row>
    <row r="98" spans="1:13" s="2" customFormat="1" x14ac:dyDescent="0.2">
      <c r="A98" s="87">
        <v>45080</v>
      </c>
      <c r="B98" s="120" t="s">
        <v>1052</v>
      </c>
      <c r="C98" s="75" t="s">
        <v>86</v>
      </c>
      <c r="D98" s="88">
        <v>1695107</v>
      </c>
      <c r="G98" s="1"/>
      <c r="L98" s="1"/>
      <c r="M98" s="1"/>
    </row>
    <row r="99" spans="1:13" s="2" customFormat="1" x14ac:dyDescent="0.2">
      <c r="A99" s="87">
        <v>45082</v>
      </c>
      <c r="B99" s="120" t="s">
        <v>1052</v>
      </c>
      <c r="C99" s="75" t="s">
        <v>87</v>
      </c>
      <c r="D99" s="88">
        <v>6627</v>
      </c>
      <c r="G99" s="1"/>
      <c r="L99" s="1"/>
      <c r="M99" s="1"/>
    </row>
    <row r="100" spans="1:13" s="2" customFormat="1" x14ac:dyDescent="0.2">
      <c r="A100" s="87">
        <v>45084</v>
      </c>
      <c r="B100" s="120" t="s">
        <v>1052</v>
      </c>
      <c r="C100" s="75" t="s">
        <v>87</v>
      </c>
      <c r="D100" s="88">
        <v>618395.80000000005</v>
      </c>
      <c r="G100" s="1"/>
      <c r="L100" s="1"/>
      <c r="M100" s="1"/>
    </row>
    <row r="101" spans="1:13" s="2" customFormat="1" x14ac:dyDescent="0.2">
      <c r="A101" s="87">
        <v>45086</v>
      </c>
      <c r="B101" s="120" t="s">
        <v>1052</v>
      </c>
      <c r="C101" s="75" t="s">
        <v>784</v>
      </c>
      <c r="D101" s="88">
        <v>1104724</v>
      </c>
      <c r="G101" s="1"/>
      <c r="L101" s="1"/>
      <c r="M101" s="1"/>
    </row>
    <row r="102" spans="1:13" s="2" customFormat="1" x14ac:dyDescent="0.2">
      <c r="A102" s="87">
        <v>45086</v>
      </c>
      <c r="B102" s="120" t="s">
        <v>1052</v>
      </c>
      <c r="C102" s="75" t="s">
        <v>86</v>
      </c>
      <c r="D102" s="88">
        <v>1756907</v>
      </c>
      <c r="G102" s="1"/>
      <c r="L102" s="1"/>
      <c r="M102" s="1"/>
    </row>
    <row r="103" spans="1:13" s="2" customFormat="1" x14ac:dyDescent="0.2">
      <c r="A103" s="87">
        <v>45086</v>
      </c>
      <c r="B103" s="120" t="s">
        <v>1052</v>
      </c>
      <c r="C103" s="75" t="s">
        <v>784</v>
      </c>
      <c r="D103" s="88">
        <v>1489874</v>
      </c>
      <c r="G103" s="1"/>
      <c r="L103" s="1"/>
      <c r="M103" s="1"/>
    </row>
    <row r="104" spans="1:13" s="2" customFormat="1" x14ac:dyDescent="0.2">
      <c r="A104" s="87">
        <v>45086</v>
      </c>
      <c r="B104" s="120" t="s">
        <v>1052</v>
      </c>
      <c r="C104" s="75" t="s">
        <v>201</v>
      </c>
      <c r="D104" s="88">
        <v>5000192.4400000004</v>
      </c>
      <c r="G104" s="1"/>
      <c r="L104" s="1"/>
      <c r="M104" s="1"/>
    </row>
    <row r="105" spans="1:13" s="2" customFormat="1" x14ac:dyDescent="0.2">
      <c r="A105" s="87">
        <v>45089</v>
      </c>
      <c r="B105" s="120" t="s">
        <v>1052</v>
      </c>
      <c r="C105" s="75" t="s">
        <v>566</v>
      </c>
      <c r="D105" s="88">
        <v>654429</v>
      </c>
      <c r="G105" s="1"/>
      <c r="L105" s="1"/>
      <c r="M105" s="1"/>
    </row>
    <row r="106" spans="1:13" s="2" customFormat="1" x14ac:dyDescent="0.2">
      <c r="A106" s="87">
        <v>45090</v>
      </c>
      <c r="B106" s="120" t="s">
        <v>1052</v>
      </c>
      <c r="C106" s="75" t="s">
        <v>566</v>
      </c>
      <c r="D106" s="88">
        <f>62180.5+9179</f>
        <v>71359.5</v>
      </c>
      <c r="G106" s="1"/>
      <c r="L106" s="1"/>
      <c r="M106" s="1"/>
    </row>
    <row r="107" spans="1:13" s="2" customFormat="1" x14ac:dyDescent="0.2">
      <c r="A107" s="87">
        <v>45090</v>
      </c>
      <c r="B107" s="120" t="s">
        <v>1052</v>
      </c>
      <c r="C107" s="75" t="s">
        <v>1084</v>
      </c>
      <c r="D107" s="88">
        <v>5353676</v>
      </c>
      <c r="G107" s="1"/>
      <c r="L107" s="1"/>
      <c r="M107" s="1"/>
    </row>
    <row r="108" spans="1:13" s="2" customFormat="1" x14ac:dyDescent="0.2">
      <c r="A108" s="87">
        <v>45091</v>
      </c>
      <c r="B108" s="120" t="s">
        <v>1052</v>
      </c>
      <c r="C108" s="75" t="s">
        <v>87</v>
      </c>
      <c r="D108" s="88">
        <v>1261201</v>
      </c>
      <c r="G108" s="1"/>
      <c r="L108" s="1"/>
      <c r="M108" s="1"/>
    </row>
    <row r="109" spans="1:13" s="2" customFormat="1" x14ac:dyDescent="0.2">
      <c r="A109" s="87">
        <v>45091</v>
      </c>
      <c r="B109" s="120" t="s">
        <v>1052</v>
      </c>
      <c r="C109" s="75" t="s">
        <v>1090</v>
      </c>
      <c r="D109" s="88">
        <v>1000000</v>
      </c>
      <c r="G109" s="1"/>
      <c r="L109" s="1"/>
      <c r="M109" s="1"/>
    </row>
    <row r="110" spans="1:13" s="2" customFormat="1" x14ac:dyDescent="0.2">
      <c r="A110" s="87">
        <v>45092</v>
      </c>
      <c r="B110" s="120" t="s">
        <v>1052</v>
      </c>
      <c r="C110" s="75" t="s">
        <v>271</v>
      </c>
      <c r="D110" s="88">
        <v>485258</v>
      </c>
      <c r="G110" s="1"/>
      <c r="L110" s="1"/>
      <c r="M110" s="1"/>
    </row>
    <row r="111" spans="1:13" s="2" customFormat="1" x14ac:dyDescent="0.2">
      <c r="A111" s="87"/>
      <c r="B111" s="120"/>
      <c r="C111" s="75"/>
      <c r="D111" s="88"/>
      <c r="G111" s="1"/>
      <c r="L111" s="1"/>
      <c r="M111" s="1"/>
    </row>
    <row r="112" spans="1:13" s="2" customFormat="1" x14ac:dyDescent="0.2">
      <c r="A112" s="87"/>
      <c r="B112" s="74"/>
      <c r="C112" s="75"/>
      <c r="D112" s="51">
        <f>SUM(D97:D110)</f>
        <v>20661549.740000002</v>
      </c>
      <c r="F112" s="2" t="s">
        <v>396</v>
      </c>
      <c r="G112" s="1"/>
      <c r="L112" s="1"/>
      <c r="M112" s="1"/>
    </row>
    <row r="113" spans="1:13" s="2" customFormat="1" x14ac:dyDescent="0.2">
      <c r="A113" s="24"/>
      <c r="B113" s="1"/>
      <c r="C113" s="14"/>
      <c r="D113" s="56"/>
      <c r="E113" s="13"/>
      <c r="G113" s="1"/>
      <c r="L113" s="1"/>
      <c r="M113" s="1"/>
    </row>
    <row r="114" spans="1:13" s="2" customFormat="1" x14ac:dyDescent="0.2">
      <c r="A114" s="24"/>
      <c r="B114" s="1"/>
      <c r="C114" s="218" t="s">
        <v>77</v>
      </c>
      <c r="D114" s="219"/>
      <c r="E114" s="219"/>
      <c r="F114" s="220"/>
      <c r="G114" s="1"/>
      <c r="L114" s="1"/>
      <c r="M114" s="1"/>
    </row>
    <row r="115" spans="1:13" s="2" customFormat="1" x14ac:dyDescent="0.2">
      <c r="A115" s="24"/>
      <c r="B115" s="1"/>
      <c r="C115" s="50"/>
      <c r="D115" s="57" t="s">
        <v>78</v>
      </c>
      <c r="E115" s="58" t="s">
        <v>79</v>
      </c>
      <c r="F115" s="57" t="s">
        <v>72</v>
      </c>
      <c r="G115" s="1"/>
      <c r="I115" s="1"/>
      <c r="J115" s="1"/>
      <c r="K115" s="1"/>
      <c r="L115" s="1"/>
      <c r="M115" s="1"/>
    </row>
    <row r="116" spans="1:13" s="2" customFormat="1" x14ac:dyDescent="0.2">
      <c r="A116" s="24"/>
      <c r="B116" s="1"/>
      <c r="C116" s="59" t="str">
        <f>"01-06-2023 to "&amp;TEXT(A5-2,"dd-mm-yyyy")</f>
        <v>01-06-2023 to 13-06-2023</v>
      </c>
      <c r="D116" s="60">
        <v>2702.28</v>
      </c>
      <c r="E116" s="60">
        <v>106.19</v>
      </c>
      <c r="F116" s="61">
        <f>SUM(D116:E116)</f>
        <v>2808.4700000000003</v>
      </c>
      <c r="G116" s="1"/>
    </row>
    <row r="117" spans="1:13" s="2" customFormat="1" x14ac:dyDescent="0.2">
      <c r="A117" s="24"/>
      <c r="B117" s="1"/>
      <c r="C117" s="62" t="str">
        <f>TEXT(A5-1,"dd-mm-yyyy")</f>
        <v>14-06-2023</v>
      </c>
      <c r="D117" s="60">
        <v>93.69</v>
      </c>
      <c r="E117" s="60">
        <v>5.65</v>
      </c>
      <c r="F117" s="61">
        <f>SUM(D117:E117)</f>
        <v>99.34</v>
      </c>
      <c r="G117" s="54"/>
      <c r="I117" s="1"/>
      <c r="J117" s="1"/>
      <c r="K117" s="1"/>
      <c r="L117" s="1"/>
      <c r="M117" s="1"/>
    </row>
    <row r="118" spans="1:13" s="2" customFormat="1" ht="13.5" thickBot="1" x14ac:dyDescent="0.25">
      <c r="A118" s="24"/>
      <c r="B118" s="1"/>
      <c r="C118" s="63" t="str">
        <f>"01-06-2023 to "&amp;TEXT(A5-1,"dd-mm-yyyy")</f>
        <v>01-06-2023 to 14-06-2023</v>
      </c>
      <c r="D118" s="64">
        <f>SUM(D116:D117)</f>
        <v>2795.9700000000003</v>
      </c>
      <c r="E118" s="64">
        <f>SUM(E116:E117)</f>
        <v>111.84</v>
      </c>
      <c r="F118" s="64">
        <f>SUM(F116:F117)</f>
        <v>2907.8100000000004</v>
      </c>
      <c r="G118" s="54"/>
      <c r="I118" s="1"/>
      <c r="J118" s="1"/>
      <c r="K118" s="1"/>
      <c r="L118" s="1"/>
      <c r="M118" s="1"/>
    </row>
    <row r="119" spans="1:13" s="2" customFormat="1" ht="13.5" thickTop="1" x14ac:dyDescent="0.2">
      <c r="A119" s="24"/>
      <c r="B119" s="1"/>
      <c r="C119" s="62"/>
      <c r="D119" s="65"/>
      <c r="E119" s="66"/>
      <c r="F119" s="67"/>
      <c r="G119" s="54"/>
      <c r="I119" s="1"/>
      <c r="J119" s="1"/>
      <c r="K119" s="1"/>
      <c r="L119" s="1"/>
      <c r="M119" s="1"/>
    </row>
    <row r="120" spans="1:13" s="2" customFormat="1" x14ac:dyDescent="0.2">
      <c r="A120" s="24"/>
      <c r="B120" s="1"/>
      <c r="C120" s="62" t="str">
        <f>"01-04-2023 to " &amp;C117</f>
        <v>01-04-2023 to 14-06-2023</v>
      </c>
      <c r="D120" s="68">
        <f>+D118+9224.33</f>
        <v>12020.3</v>
      </c>
      <c r="E120" s="68">
        <f>+E118+906.58</f>
        <v>1018.4200000000001</v>
      </c>
      <c r="F120" s="68">
        <f>+F118+10130.9</f>
        <v>13038.71</v>
      </c>
      <c r="G120" s="54"/>
      <c r="I120" s="1"/>
      <c r="J120" s="1"/>
      <c r="K120" s="1"/>
      <c r="L120" s="1"/>
      <c r="M120" s="1"/>
    </row>
    <row r="121" spans="1:13" x14ac:dyDescent="0.2">
      <c r="C121" s="52"/>
      <c r="D121" s="85"/>
      <c r="E121" s="53"/>
      <c r="F121" s="53"/>
      <c r="G121" s="54"/>
      <c r="H121" s="2" t="s">
        <v>396</v>
      </c>
    </row>
    <row r="122" spans="1:13" s="2" customFormat="1" x14ac:dyDescent="0.2">
      <c r="A122" s="24"/>
      <c r="B122" s="1"/>
      <c r="C122" s="52"/>
      <c r="D122" s="85"/>
      <c r="E122" s="53"/>
      <c r="F122" s="53"/>
      <c r="G122" s="54"/>
      <c r="H122" s="53"/>
    </row>
    <row r="123" spans="1:13" x14ac:dyDescent="0.2">
      <c r="C123" s="52"/>
      <c r="D123" s="85"/>
      <c r="E123" s="53"/>
      <c r="F123" s="53"/>
      <c r="G123" s="54"/>
      <c r="H123" s="53" t="s">
        <v>396</v>
      </c>
    </row>
    <row r="124" spans="1:13" x14ac:dyDescent="0.2">
      <c r="C124" s="52"/>
      <c r="D124" s="85"/>
      <c r="E124" s="53"/>
      <c r="F124" s="53"/>
      <c r="G124" s="54"/>
      <c r="H124" s="53" t="s">
        <v>396</v>
      </c>
      <c r="J124" s="42"/>
    </row>
    <row r="125" spans="1:13" x14ac:dyDescent="0.2">
      <c r="G125" s="54"/>
      <c r="H125" s="53"/>
      <c r="I125" s="101"/>
    </row>
    <row r="126" spans="1:13" x14ac:dyDescent="0.2">
      <c r="G126" s="54"/>
      <c r="H126" s="53"/>
    </row>
    <row r="127" spans="1:13" x14ac:dyDescent="0.2">
      <c r="G127" s="54"/>
      <c r="H127" s="53"/>
    </row>
    <row r="128" spans="1:13" x14ac:dyDescent="0.2">
      <c r="H128" s="53"/>
    </row>
  </sheetData>
  <mergeCells count="6">
    <mergeCell ref="C114:F114"/>
    <mergeCell ref="A1:G1"/>
    <mergeCell ref="A3:F3"/>
    <mergeCell ref="A9:F9"/>
    <mergeCell ref="A20:F20"/>
    <mergeCell ref="A95:D95"/>
  </mergeCells>
  <conditionalFormatting sqref="G92:G93">
    <cfRule type="cellIs" dxfId="486" priority="1" operator="lessThan">
      <formula>0</formula>
    </cfRule>
  </conditionalFormatting>
  <conditionalFormatting sqref="C22">
    <cfRule type="duplicateValues" dxfId="485" priority="2"/>
  </conditionalFormatting>
  <conditionalFormatting sqref="C23:C41 C50:C72">
    <cfRule type="duplicateValues" dxfId="484" priority="544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353">
    <pageSetUpPr fitToPage="1"/>
  </sheetPr>
  <dimension ref="A1:N102"/>
  <sheetViews>
    <sheetView topLeftCell="A40" zoomScaleNormal="100" workbookViewId="0">
      <selection activeCell="C46" sqref="C46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47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1095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45093</v>
      </c>
      <c r="B5" s="9" t="s">
        <v>6</v>
      </c>
      <c r="C5" s="10" t="s">
        <v>7</v>
      </c>
      <c r="D5" s="11"/>
      <c r="E5" s="12">
        <v>242816.70000000019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242816.70000000019</v>
      </c>
      <c r="F6" s="16">
        <f>F5</f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+E6-F6</f>
        <v>242816.70000000019</v>
      </c>
      <c r="F7" s="22"/>
      <c r="G7" s="23"/>
      <c r="H7" s="112"/>
      <c r="I7" s="112"/>
      <c r="J7" s="13"/>
    </row>
    <row r="8" spans="1:10" ht="12.75" customHeight="1" x14ac:dyDescent="0.4">
      <c r="H8" s="112"/>
      <c r="I8" s="112"/>
    </row>
    <row r="9" spans="1:10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12"/>
    </row>
    <row r="10" spans="1:10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12"/>
    </row>
    <row r="11" spans="1:10" s="2" customFormat="1" ht="14.25" customHeight="1" x14ac:dyDescent="0.2">
      <c r="A11" s="127">
        <v>45092</v>
      </c>
      <c r="B11" s="9" t="s">
        <v>6</v>
      </c>
      <c r="C11" s="10" t="s">
        <v>7</v>
      </c>
      <c r="D11" s="11"/>
      <c r="F11" s="12">
        <v>29085696.959999993</v>
      </c>
      <c r="G11" s="1"/>
      <c r="H11" s="130"/>
      <c r="I11" s="130"/>
    </row>
    <row r="12" spans="1:10" s="2" customFormat="1" ht="14.25" customHeight="1" x14ac:dyDescent="0.2">
      <c r="A12" s="127">
        <v>45092</v>
      </c>
      <c r="B12" s="9" t="s">
        <v>6</v>
      </c>
      <c r="C12" s="76" t="s">
        <v>1091</v>
      </c>
      <c r="D12" s="11" t="s">
        <v>29</v>
      </c>
      <c r="E12" s="124"/>
      <c r="F12" s="31">
        <v>1180</v>
      </c>
      <c r="G12" s="1"/>
      <c r="H12" s="130"/>
      <c r="I12" s="130"/>
    </row>
    <row r="13" spans="1:10" s="2" customFormat="1" ht="12.75" customHeight="1" x14ac:dyDescent="0.4">
      <c r="D13" s="15" t="s">
        <v>8</v>
      </c>
      <c r="E13" s="16">
        <f>SUM(E12:E12)</f>
        <v>0</v>
      </c>
      <c r="F13" s="16">
        <f>SUM(F11:F12)</f>
        <v>29086876.959999993</v>
      </c>
      <c r="G13" s="1"/>
      <c r="H13" s="112"/>
      <c r="I13" s="112"/>
    </row>
    <row r="14" spans="1:10" s="2" customFormat="1" ht="12.75" customHeight="1" x14ac:dyDescent="0.4">
      <c r="A14" s="17"/>
      <c r="B14" s="18"/>
      <c r="C14" s="96" t="s">
        <v>9</v>
      </c>
      <c r="D14" s="20"/>
      <c r="E14" s="21">
        <f>+F13-E13</f>
        <v>29086876.959999993</v>
      </c>
      <c r="G14" s="23"/>
      <c r="H14" s="112"/>
      <c r="I14" s="112"/>
      <c r="J14" s="13"/>
    </row>
    <row r="15" spans="1:10" s="2" customFormat="1" ht="12.75" customHeight="1" x14ac:dyDescent="0.4">
      <c r="A15" s="24"/>
      <c r="B15" s="1"/>
      <c r="C15" s="14"/>
      <c r="D15" s="25"/>
      <c r="G15" s="23"/>
      <c r="H15" s="112"/>
      <c r="I15" s="112"/>
      <c r="J15" s="13"/>
    </row>
    <row r="16" spans="1:10" s="2" customFormat="1" ht="21.75" customHeight="1" x14ac:dyDescent="0.4">
      <c r="A16" s="214" t="s">
        <v>10</v>
      </c>
      <c r="B16" s="214"/>
      <c r="C16" s="214"/>
      <c r="D16" s="214"/>
      <c r="E16" s="214"/>
      <c r="F16" s="214"/>
      <c r="G16" s="13"/>
      <c r="H16" s="112"/>
      <c r="I16" s="112"/>
      <c r="J16" s="13"/>
    </row>
    <row r="17" spans="1:10" s="2" customFormat="1" ht="12.75" customHeight="1" x14ac:dyDescent="0.4">
      <c r="A17" s="26" t="s">
        <v>1</v>
      </c>
      <c r="B17" s="27" t="s">
        <v>2</v>
      </c>
      <c r="C17" s="5"/>
      <c r="D17" s="6" t="s">
        <v>3</v>
      </c>
      <c r="E17" s="7" t="s">
        <v>4</v>
      </c>
      <c r="F17" s="7" t="s">
        <v>5</v>
      </c>
      <c r="G17" s="23"/>
      <c r="H17" s="112"/>
      <c r="I17" s="112"/>
      <c r="J17" s="13"/>
    </row>
    <row r="18" spans="1:10" s="2" customFormat="1" ht="12.75" customHeight="1" x14ac:dyDescent="0.2">
      <c r="A18" s="127">
        <v>45093</v>
      </c>
      <c r="B18" s="128" t="s">
        <v>11</v>
      </c>
      <c r="C18" s="29" t="s">
        <v>7</v>
      </c>
      <c r="D18" s="25"/>
      <c r="E18" s="31"/>
      <c r="F18" s="2">
        <v>282689157.38999987</v>
      </c>
      <c r="G18" s="30"/>
      <c r="I18" s="13"/>
      <c r="J18" s="13"/>
    </row>
    <row r="19" spans="1:10" s="70" customFormat="1" ht="12.75" customHeight="1" x14ac:dyDescent="0.2">
      <c r="A19" s="127">
        <v>45093</v>
      </c>
      <c r="B19" s="128" t="s">
        <v>6</v>
      </c>
      <c r="C19" s="76" t="s">
        <v>1092</v>
      </c>
      <c r="D19" s="125" t="s">
        <v>13</v>
      </c>
      <c r="E19" s="129">
        <v>725</v>
      </c>
      <c r="G19" s="30"/>
      <c r="I19" s="69"/>
      <c r="J19" s="69"/>
    </row>
    <row r="20" spans="1:10" s="70" customFormat="1" ht="12.75" customHeight="1" x14ac:dyDescent="0.2">
      <c r="A20" s="127">
        <v>45093</v>
      </c>
      <c r="B20" s="128" t="s">
        <v>6</v>
      </c>
      <c r="C20" s="76" t="s">
        <v>266</v>
      </c>
      <c r="D20" s="125" t="s">
        <v>13</v>
      </c>
      <c r="E20" s="129">
        <v>500000</v>
      </c>
      <c r="G20" s="30"/>
      <c r="I20" s="69"/>
      <c r="J20" s="69"/>
    </row>
    <row r="21" spans="1:10" s="70" customFormat="1" ht="12.75" customHeight="1" x14ac:dyDescent="0.2">
      <c r="A21" s="127">
        <v>45093</v>
      </c>
      <c r="B21" s="128" t="s">
        <v>6</v>
      </c>
      <c r="C21" s="76" t="s">
        <v>819</v>
      </c>
      <c r="D21" s="126" t="s">
        <v>13</v>
      </c>
      <c r="E21" s="129">
        <v>67410</v>
      </c>
      <c r="G21" s="30"/>
      <c r="I21" s="69"/>
      <c r="J21" s="69"/>
    </row>
    <row r="22" spans="1:10" s="70" customFormat="1" ht="12.75" customHeight="1" x14ac:dyDescent="0.2">
      <c r="A22" s="127">
        <v>45093</v>
      </c>
      <c r="B22" s="128" t="s">
        <v>6</v>
      </c>
      <c r="C22" s="76" t="s">
        <v>261</v>
      </c>
      <c r="D22" s="126" t="s">
        <v>13</v>
      </c>
      <c r="E22" s="129">
        <v>282159</v>
      </c>
      <c r="G22" s="30"/>
      <c r="I22" s="69"/>
      <c r="J22" s="69"/>
    </row>
    <row r="23" spans="1:10" s="70" customFormat="1" ht="12.75" customHeight="1" x14ac:dyDescent="0.2">
      <c r="A23" s="127">
        <v>45093</v>
      </c>
      <c r="B23" s="128" t="s">
        <v>6</v>
      </c>
      <c r="C23" s="76" t="s">
        <v>1089</v>
      </c>
      <c r="D23" s="126" t="s">
        <v>13</v>
      </c>
      <c r="E23" s="129">
        <v>414765</v>
      </c>
      <c r="G23" s="30"/>
      <c r="I23" s="69"/>
      <c r="J23" s="69"/>
    </row>
    <row r="24" spans="1:10" s="70" customFormat="1" ht="12.75" customHeight="1" x14ac:dyDescent="0.2">
      <c r="A24" s="127">
        <v>45093</v>
      </c>
      <c r="B24" s="128" t="s">
        <v>6</v>
      </c>
      <c r="C24" s="76" t="s">
        <v>668</v>
      </c>
      <c r="D24" s="126" t="s">
        <v>13</v>
      </c>
      <c r="E24" s="129">
        <v>5145</v>
      </c>
      <c r="G24" s="30"/>
      <c r="I24" s="69"/>
      <c r="J24" s="69"/>
    </row>
    <row r="25" spans="1:10" s="70" customFormat="1" ht="12.75" customHeight="1" x14ac:dyDescent="0.2">
      <c r="A25" s="127">
        <v>45093</v>
      </c>
      <c r="B25" s="128" t="s">
        <v>6</v>
      </c>
      <c r="C25" s="76" t="s">
        <v>1093</v>
      </c>
      <c r="D25" s="126" t="s">
        <v>13</v>
      </c>
      <c r="E25" s="129">
        <v>3975</v>
      </c>
      <c r="G25" s="30"/>
      <c r="I25" s="69"/>
      <c r="J25" s="69"/>
    </row>
    <row r="26" spans="1:10" s="70" customFormat="1" ht="12.75" customHeight="1" x14ac:dyDescent="0.2">
      <c r="A26" s="127">
        <v>45093</v>
      </c>
      <c r="B26" s="128" t="s">
        <v>6</v>
      </c>
      <c r="C26" s="76" t="s">
        <v>545</v>
      </c>
      <c r="D26" s="126" t="s">
        <v>13</v>
      </c>
      <c r="E26" s="129">
        <v>60000</v>
      </c>
      <c r="G26" s="30"/>
      <c r="I26" s="69"/>
      <c r="J26" s="69"/>
    </row>
    <row r="27" spans="1:10" s="70" customFormat="1" ht="12.75" customHeight="1" x14ac:dyDescent="0.2">
      <c r="A27" s="127">
        <v>45093</v>
      </c>
      <c r="B27" s="128" t="s">
        <v>6</v>
      </c>
      <c r="C27" s="76" t="s">
        <v>1094</v>
      </c>
      <c r="D27" s="126" t="s">
        <v>13</v>
      </c>
      <c r="E27" s="129">
        <v>5495990</v>
      </c>
      <c r="G27" s="30"/>
      <c r="I27" s="69"/>
      <c r="J27" s="69"/>
    </row>
    <row r="28" spans="1:10" s="70" customFormat="1" ht="12.75" customHeight="1" x14ac:dyDescent="0.2">
      <c r="A28" s="127">
        <v>45093</v>
      </c>
      <c r="B28" s="128" t="s">
        <v>6</v>
      </c>
      <c r="C28" s="76" t="s">
        <v>149</v>
      </c>
      <c r="D28" s="126" t="s">
        <v>13</v>
      </c>
      <c r="E28" s="129">
        <v>5369</v>
      </c>
      <c r="G28" s="30"/>
      <c r="I28" s="69"/>
      <c r="J28" s="69"/>
    </row>
    <row r="29" spans="1:10" s="70" customFormat="1" ht="12.75" customHeight="1" x14ac:dyDescent="0.2">
      <c r="A29" s="127">
        <v>45093</v>
      </c>
      <c r="B29" s="128" t="s">
        <v>6</v>
      </c>
      <c r="C29" s="76" t="s">
        <v>612</v>
      </c>
      <c r="D29" s="126" t="s">
        <v>13</v>
      </c>
      <c r="E29" s="129">
        <v>55125</v>
      </c>
      <c r="G29" s="30"/>
      <c r="I29" s="69"/>
      <c r="J29" s="69"/>
    </row>
    <row r="30" spans="1:10" s="70" customFormat="1" ht="12.75" customHeight="1" x14ac:dyDescent="0.2">
      <c r="A30" s="127">
        <v>45093</v>
      </c>
      <c r="B30" s="128" t="s">
        <v>6</v>
      </c>
      <c r="C30" s="76" t="s">
        <v>122</v>
      </c>
      <c r="D30" s="126" t="s">
        <v>13</v>
      </c>
      <c r="E30" s="129">
        <v>13492</v>
      </c>
      <c r="G30" s="30"/>
      <c r="I30" s="69"/>
      <c r="J30" s="69"/>
    </row>
    <row r="31" spans="1:10" s="70" customFormat="1" ht="12.75" customHeight="1" x14ac:dyDescent="0.2">
      <c r="A31" s="127">
        <v>45093</v>
      </c>
      <c r="B31" s="128" t="s">
        <v>6</v>
      </c>
      <c r="C31" s="76" t="s">
        <v>947</v>
      </c>
      <c r="D31" s="126" t="s">
        <v>13</v>
      </c>
      <c r="E31" s="129">
        <v>3856768</v>
      </c>
      <c r="G31" s="30"/>
      <c r="I31" s="69"/>
      <c r="J31" s="69"/>
    </row>
    <row r="32" spans="1:10" s="70" customFormat="1" ht="12.75" customHeight="1" x14ac:dyDescent="0.2">
      <c r="A32" s="127">
        <v>45093</v>
      </c>
      <c r="B32" s="128" t="s">
        <v>6</v>
      </c>
      <c r="C32" s="76" t="s">
        <v>120</v>
      </c>
      <c r="D32" s="126" t="s">
        <v>13</v>
      </c>
      <c r="E32" s="129">
        <v>790333</v>
      </c>
      <c r="G32" s="30"/>
      <c r="I32" s="69"/>
      <c r="J32" s="69"/>
    </row>
    <row r="33" spans="1:13" s="70" customFormat="1" ht="12.75" customHeight="1" x14ac:dyDescent="0.2">
      <c r="A33" s="127">
        <v>45093</v>
      </c>
      <c r="B33" s="128" t="s">
        <v>6</v>
      </c>
      <c r="C33" s="76" t="s">
        <v>19</v>
      </c>
      <c r="D33" s="126" t="s">
        <v>13</v>
      </c>
      <c r="E33" s="129">
        <v>224888</v>
      </c>
      <c r="G33" s="30"/>
      <c r="I33" s="69"/>
      <c r="J33" s="69"/>
    </row>
    <row r="34" spans="1:13" s="70" customFormat="1" ht="12.75" customHeight="1" x14ac:dyDescent="0.2">
      <c r="A34" s="127">
        <v>45093</v>
      </c>
      <c r="B34" s="128" t="s">
        <v>6</v>
      </c>
      <c r="C34" s="76" t="s">
        <v>552</v>
      </c>
      <c r="D34" s="126" t="s">
        <v>13</v>
      </c>
      <c r="E34" s="129">
        <v>9667685.6799999997</v>
      </c>
      <c r="G34" s="30"/>
      <c r="I34" s="69"/>
      <c r="J34" s="69"/>
    </row>
    <row r="35" spans="1:13" s="70" customFormat="1" ht="12.75" customHeight="1" x14ac:dyDescent="0.2">
      <c r="A35" s="127">
        <v>45093</v>
      </c>
      <c r="B35" s="128" t="s">
        <v>6</v>
      </c>
      <c r="C35" s="76" t="s">
        <v>955</v>
      </c>
      <c r="D35" s="126" t="s">
        <v>13</v>
      </c>
      <c r="E35" s="129">
        <v>299490.78999999998</v>
      </c>
      <c r="G35" s="30"/>
      <c r="I35" s="69"/>
      <c r="J35" s="69"/>
    </row>
    <row r="36" spans="1:13" s="70" customFormat="1" ht="12.75" customHeight="1" x14ac:dyDescent="0.2">
      <c r="A36" s="127">
        <v>45093</v>
      </c>
      <c r="B36" s="128" t="s">
        <v>6</v>
      </c>
      <c r="C36" s="76" t="s">
        <v>15</v>
      </c>
      <c r="D36" s="126" t="s">
        <v>13</v>
      </c>
      <c r="E36" s="129">
        <v>61713.369999999995</v>
      </c>
      <c r="G36" s="30"/>
      <c r="I36" s="69"/>
      <c r="J36" s="69"/>
    </row>
    <row r="37" spans="1:13" s="70" customFormat="1" ht="12.75" customHeight="1" x14ac:dyDescent="0.2">
      <c r="A37" s="127">
        <v>45093</v>
      </c>
      <c r="B37" s="128" t="s">
        <v>11</v>
      </c>
      <c r="C37" s="76" t="s">
        <v>64</v>
      </c>
      <c r="D37" s="126" t="s">
        <v>29</v>
      </c>
      <c r="E37" s="129"/>
      <c r="F37" s="70">
        <v>23788.870000000003</v>
      </c>
      <c r="G37" s="30"/>
      <c r="I37" s="69"/>
      <c r="J37" s="69"/>
    </row>
    <row r="38" spans="1:13" s="70" customFormat="1" ht="12.75" customHeight="1" x14ac:dyDescent="0.2">
      <c r="A38" s="127">
        <v>45093</v>
      </c>
      <c r="B38" s="128" t="s">
        <v>11</v>
      </c>
      <c r="C38" s="76" t="s">
        <v>449</v>
      </c>
      <c r="D38" s="126" t="s">
        <v>29</v>
      </c>
      <c r="E38" s="129"/>
      <c r="F38" s="70">
        <v>392301.36</v>
      </c>
      <c r="G38" s="30"/>
      <c r="I38" s="69"/>
      <c r="J38" s="69"/>
    </row>
    <row r="39" spans="1:13" s="70" customFormat="1" ht="12.75" customHeight="1" x14ac:dyDescent="0.2">
      <c r="A39" s="127">
        <v>45093</v>
      </c>
      <c r="B39" s="128" t="s">
        <v>11</v>
      </c>
      <c r="C39" s="76" t="s">
        <v>156</v>
      </c>
      <c r="D39" s="126" t="s">
        <v>29</v>
      </c>
      <c r="E39" s="129"/>
      <c r="F39" s="70">
        <v>443.07</v>
      </c>
      <c r="G39" s="30"/>
      <c r="I39" s="69"/>
      <c r="J39" s="69"/>
    </row>
    <row r="40" spans="1:13" s="70" customFormat="1" ht="12.75" customHeight="1" x14ac:dyDescent="0.2">
      <c r="A40" s="127">
        <v>45093</v>
      </c>
      <c r="B40" s="128" t="s">
        <v>11</v>
      </c>
      <c r="C40" s="76" t="s">
        <v>15</v>
      </c>
      <c r="D40" s="126" t="s">
        <v>29</v>
      </c>
      <c r="E40" s="129"/>
      <c r="F40" s="70">
        <v>2577.2199999999998</v>
      </c>
      <c r="G40" s="30"/>
      <c r="I40" s="69"/>
      <c r="J40" s="69"/>
    </row>
    <row r="41" spans="1:13" s="70" customFormat="1" ht="12.75" customHeight="1" x14ac:dyDescent="0.2">
      <c r="A41" s="127">
        <v>45093</v>
      </c>
      <c r="B41" s="128" t="s">
        <v>11</v>
      </c>
      <c r="C41" s="76" t="s">
        <v>125</v>
      </c>
      <c r="D41" s="126" t="s">
        <v>29</v>
      </c>
      <c r="E41" s="129"/>
      <c r="F41" s="70">
        <v>695134</v>
      </c>
      <c r="G41" s="30"/>
      <c r="I41" s="69"/>
      <c r="J41" s="69"/>
    </row>
    <row r="42" spans="1:13" s="70" customFormat="1" ht="12.75" customHeight="1" x14ac:dyDescent="0.2">
      <c r="A42" s="127">
        <v>45093</v>
      </c>
      <c r="B42" s="128" t="s">
        <v>11</v>
      </c>
      <c r="C42" s="76" t="s">
        <v>525</v>
      </c>
      <c r="D42" s="126" t="s">
        <v>29</v>
      </c>
      <c r="E42" s="129"/>
      <c r="F42" s="70">
        <v>1000000</v>
      </c>
      <c r="G42" s="30"/>
      <c r="I42" s="69"/>
      <c r="J42" s="69"/>
    </row>
    <row r="43" spans="1:13" s="69" customFormat="1" ht="12.75" customHeight="1" x14ac:dyDescent="0.2">
      <c r="A43" s="127">
        <v>45093</v>
      </c>
      <c r="B43" s="128" t="s">
        <v>11</v>
      </c>
      <c r="C43" s="76" t="s">
        <v>546</v>
      </c>
      <c r="D43" s="126" t="s">
        <v>29</v>
      </c>
      <c r="E43" s="129"/>
      <c r="F43" s="70">
        <v>25213</v>
      </c>
      <c r="G43" s="100"/>
    </row>
    <row r="44" spans="1:13" s="70" customFormat="1" ht="12.75" customHeight="1" x14ac:dyDescent="0.2">
      <c r="A44" s="127">
        <v>45093</v>
      </c>
      <c r="B44" s="128" t="s">
        <v>11</v>
      </c>
      <c r="C44" s="76" t="s">
        <v>62</v>
      </c>
      <c r="D44" s="126" t="s">
        <v>29</v>
      </c>
      <c r="E44" s="129"/>
      <c r="F44" s="70">
        <v>50000</v>
      </c>
      <c r="G44" s="30"/>
      <c r="I44" s="69"/>
      <c r="J44" s="69"/>
    </row>
    <row r="45" spans="1:13" s="70" customFormat="1" ht="12.75" customHeight="1" x14ac:dyDescent="0.2">
      <c r="A45" s="127">
        <v>45093</v>
      </c>
      <c r="B45" s="128" t="s">
        <v>11</v>
      </c>
      <c r="C45" s="76" t="s">
        <v>603</v>
      </c>
      <c r="D45" s="126" t="s">
        <v>29</v>
      </c>
      <c r="E45" s="129"/>
      <c r="F45" s="70">
        <v>43153</v>
      </c>
      <c r="G45" s="30"/>
      <c r="I45" s="69"/>
      <c r="J45" s="69"/>
    </row>
    <row r="46" spans="1:13" s="70" customFormat="1" ht="12.75" customHeight="1" x14ac:dyDescent="0.2">
      <c r="A46" s="127">
        <v>45093</v>
      </c>
      <c r="B46" s="128" t="s">
        <v>11</v>
      </c>
      <c r="C46" s="76" t="s">
        <v>764</v>
      </c>
      <c r="D46" s="126" t="s">
        <v>29</v>
      </c>
      <c r="E46" s="129"/>
      <c r="F46" s="70">
        <v>3556328.8</v>
      </c>
      <c r="G46" s="30"/>
      <c r="I46" s="69"/>
      <c r="J46" s="69"/>
    </row>
    <row r="47" spans="1:13" s="2" customFormat="1" ht="12.75" customHeight="1" x14ac:dyDescent="0.25">
      <c r="A47" s="32"/>
      <c r="B47" s="33"/>
      <c r="C47" s="14"/>
      <c r="D47" s="34"/>
      <c r="E47" s="16">
        <f>SUM(E18:E46)</f>
        <v>21805033.84</v>
      </c>
      <c r="F47" s="16">
        <f>SUM(F18:F46)</f>
        <v>288478096.70999992</v>
      </c>
      <c r="G47" s="30"/>
      <c r="H47" s="1"/>
      <c r="I47" s="39">
        <v>266673062.87</v>
      </c>
      <c r="K47" s="92">
        <f>E48-I47</f>
        <v>0</v>
      </c>
      <c r="L47" s="41"/>
      <c r="M47" s="42"/>
    </row>
    <row r="48" spans="1:13" s="2" customFormat="1" ht="12.75" customHeight="1" x14ac:dyDescent="0.2">
      <c r="A48" s="36"/>
      <c r="B48" s="28" t="s">
        <v>11</v>
      </c>
      <c r="C48" s="19" t="s">
        <v>65</v>
      </c>
      <c r="D48" s="37"/>
      <c r="E48" s="38">
        <f>F47-E47</f>
        <v>266673062.86999992</v>
      </c>
      <c r="F48" s="22"/>
      <c r="G48" s="1"/>
      <c r="H48" s="1"/>
      <c r="J48" s="1"/>
      <c r="K48" s="1"/>
      <c r="L48" s="1"/>
      <c r="M48" s="1"/>
    </row>
    <row r="49" spans="1:14" s="2" customFormat="1" ht="12.75" customHeight="1" x14ac:dyDescent="0.2">
      <c r="A49" s="36"/>
      <c r="B49" s="28" t="s">
        <v>66</v>
      </c>
      <c r="C49" s="43" t="s">
        <v>67</v>
      </c>
      <c r="D49" s="43"/>
      <c r="E49" s="12">
        <v>59416310</v>
      </c>
      <c r="F49" s="22"/>
      <c r="G49" s="1"/>
      <c r="H49" s="40"/>
      <c r="I49" s="45">
        <v>2464.94</v>
      </c>
      <c r="J49" s="46"/>
      <c r="K49" s="46"/>
      <c r="L49" s="13"/>
    </row>
    <row r="50" spans="1:14" s="2" customFormat="1" ht="12.75" customHeight="1" x14ac:dyDescent="0.25">
      <c r="A50" s="36"/>
      <c r="B50" s="28"/>
      <c r="C50" s="44" t="s">
        <v>68</v>
      </c>
      <c r="D50" s="43"/>
      <c r="E50" s="7">
        <f>E48+E49</f>
        <v>326089372.86999989</v>
      </c>
      <c r="F50" s="22"/>
      <c r="G50" s="1"/>
      <c r="H50" s="103" t="s">
        <v>69</v>
      </c>
      <c r="I50" s="45">
        <v>-23.33</v>
      </c>
      <c r="J50" s="46"/>
      <c r="K50" s="46"/>
      <c r="N50" s="1"/>
    </row>
    <row r="51" spans="1:14" s="2" customFormat="1" x14ac:dyDescent="0.2">
      <c r="A51" s="24"/>
      <c r="B51" s="1"/>
      <c r="C51" s="14"/>
      <c r="D51" s="25"/>
      <c r="E51" s="1"/>
      <c r="H51" s="35" t="s">
        <v>70</v>
      </c>
      <c r="I51" s="45">
        <v>1.28</v>
      </c>
      <c r="J51" s="46">
        <f>+I52-D54</f>
        <v>0</v>
      </c>
      <c r="M51" s="2">
        <v>19.57</v>
      </c>
      <c r="N51" s="1"/>
    </row>
    <row r="52" spans="1:14" x14ac:dyDescent="0.2">
      <c r="C52" s="56"/>
      <c r="D52" s="56"/>
      <c r="E52" s="104"/>
      <c r="I52" s="49">
        <f>SUM(I49:I51)</f>
        <v>2442.8900000000003</v>
      </c>
      <c r="J52" s="46"/>
      <c r="K52" s="46"/>
      <c r="L52" s="2"/>
      <c r="M52" s="2"/>
      <c r="N52" s="2"/>
    </row>
    <row r="53" spans="1:14" x14ac:dyDescent="0.2">
      <c r="C53" s="78" t="s">
        <v>575</v>
      </c>
      <c r="D53" s="48" t="s">
        <v>576</v>
      </c>
      <c r="E53" s="104"/>
      <c r="I53" s="2"/>
      <c r="J53" s="2"/>
      <c r="K53" s="2"/>
      <c r="L53" s="2"/>
      <c r="M53" s="2"/>
      <c r="N53" s="2"/>
    </row>
    <row r="54" spans="1:14" s="2" customFormat="1" x14ac:dyDescent="0.2">
      <c r="A54" s="24"/>
      <c r="B54" s="1"/>
      <c r="C54" s="47" t="s">
        <v>570</v>
      </c>
      <c r="D54" s="111">
        <v>2442.89</v>
      </c>
      <c r="E54" s="104"/>
      <c r="G54" s="1"/>
      <c r="H54" s="110" t="s">
        <v>581</v>
      </c>
      <c r="N54" s="2" t="s">
        <v>535</v>
      </c>
    </row>
    <row r="55" spans="1:14" s="2" customFormat="1" x14ac:dyDescent="0.2">
      <c r="A55" s="24"/>
      <c r="B55" s="1"/>
      <c r="C55" s="47" t="s">
        <v>931</v>
      </c>
      <c r="D55" s="111">
        <v>272.92</v>
      </c>
      <c r="E55" s="104"/>
      <c r="G55" s="1"/>
      <c r="H55" s="110" t="s">
        <v>580</v>
      </c>
    </row>
    <row r="56" spans="1:14" s="2" customFormat="1" x14ac:dyDescent="0.2">
      <c r="A56" s="24"/>
      <c r="B56" s="1"/>
      <c r="C56" s="47" t="s">
        <v>572</v>
      </c>
      <c r="D56" s="111">
        <f>+D86/100000</f>
        <v>206.61549740000001</v>
      </c>
      <c r="E56" s="104"/>
      <c r="G56" s="1"/>
      <c r="H56" s="90" t="s">
        <v>587</v>
      </c>
    </row>
    <row r="57" spans="1:14" s="2" customFormat="1" x14ac:dyDescent="0.2">
      <c r="A57" s="24"/>
      <c r="B57" s="1"/>
      <c r="C57" s="108" t="s">
        <v>578</v>
      </c>
      <c r="D57" s="48">
        <f>SUM(D54:D56)</f>
        <v>2922.4254974</v>
      </c>
      <c r="E57" s="104"/>
      <c r="G57" s="1"/>
    </row>
    <row r="58" spans="1:14" s="2" customFormat="1" x14ac:dyDescent="0.2">
      <c r="A58" s="24"/>
      <c r="B58" s="1"/>
      <c r="C58" s="47"/>
      <c r="D58" s="107"/>
      <c r="E58" s="104"/>
      <c r="G58" s="1"/>
    </row>
    <row r="59" spans="1:14" s="2" customFormat="1" x14ac:dyDescent="0.2">
      <c r="A59" s="24"/>
      <c r="B59" s="1"/>
      <c r="C59" s="47" t="s">
        <v>932</v>
      </c>
      <c r="D59" s="111">
        <v>299.08999999999997</v>
      </c>
      <c r="E59" s="104"/>
      <c r="G59" s="1"/>
      <c r="H59" s="110" t="s">
        <v>581</v>
      </c>
    </row>
    <row r="60" spans="1:14" s="2" customFormat="1" x14ac:dyDescent="0.2">
      <c r="A60" s="24"/>
      <c r="B60" s="1"/>
      <c r="C60" s="47" t="s">
        <v>933</v>
      </c>
      <c r="D60" s="111">
        <f>180.45-114.61</f>
        <v>65.839999999999989</v>
      </c>
      <c r="E60" s="104"/>
      <c r="G60" s="1"/>
      <c r="H60" s="110" t="s">
        <v>581</v>
      </c>
      <c r="J60" s="114" t="s">
        <v>713</v>
      </c>
    </row>
    <row r="61" spans="1:14" s="2" customFormat="1" x14ac:dyDescent="0.2">
      <c r="A61" s="24"/>
      <c r="B61" s="1"/>
      <c r="C61" s="78" t="s">
        <v>579</v>
      </c>
      <c r="D61" s="109">
        <f>D59+D60</f>
        <v>364.92999999999995</v>
      </c>
      <c r="E61" s="104"/>
      <c r="G61" s="1"/>
      <c r="I61" s="113"/>
      <c r="J61" s="113" t="s">
        <v>709</v>
      </c>
      <c r="K61" s="113" t="s">
        <v>710</v>
      </c>
      <c r="L61" s="113" t="s">
        <v>711</v>
      </c>
      <c r="M61" s="113" t="s">
        <v>712</v>
      </c>
    </row>
    <row r="62" spans="1:14" s="2" customFormat="1" x14ac:dyDescent="0.2">
      <c r="A62" s="24"/>
      <c r="B62" s="1"/>
      <c r="C62" s="105"/>
      <c r="D62" s="106"/>
      <c r="E62" s="104"/>
      <c r="G62" s="1"/>
      <c r="I62" s="113" t="s">
        <v>706</v>
      </c>
      <c r="J62" s="115"/>
      <c r="K62" s="115">
        <v>968.99</v>
      </c>
      <c r="L62" s="115">
        <v>968.99</v>
      </c>
      <c r="M62" s="113">
        <f>+J62+L62-K62</f>
        <v>0</v>
      </c>
    </row>
    <row r="63" spans="1:14" s="2" customFormat="1" x14ac:dyDescent="0.2">
      <c r="A63" s="24"/>
      <c r="B63" s="1"/>
      <c r="C63" s="78" t="s">
        <v>577</v>
      </c>
      <c r="D63" s="109">
        <f>D54+D61</f>
        <v>2807.8199999999997</v>
      </c>
      <c r="E63" s="104"/>
      <c r="G63" s="1"/>
      <c r="I63" s="113" t="s">
        <v>707</v>
      </c>
      <c r="J63" s="115">
        <v>183.1</v>
      </c>
      <c r="K63" s="115">
        <v>2233.88</v>
      </c>
      <c r="L63" s="115">
        <v>3091.9</v>
      </c>
      <c r="M63" s="113">
        <f>+J63+L63-K63</f>
        <v>1041.1199999999999</v>
      </c>
    </row>
    <row r="64" spans="1:14" s="2" customFormat="1" x14ac:dyDescent="0.2">
      <c r="A64" s="24"/>
      <c r="B64" s="1"/>
      <c r="C64" s="56"/>
      <c r="D64" s="56"/>
      <c r="E64" s="104"/>
      <c r="G64" s="1"/>
      <c r="I64" s="113" t="s">
        <v>708</v>
      </c>
      <c r="J64" s="115">
        <v>1371.02</v>
      </c>
      <c r="K64" s="115">
        <v>11920.84</v>
      </c>
      <c r="L64" s="115">
        <v>11928.38</v>
      </c>
      <c r="M64" s="113">
        <f>+J64+L64-K64</f>
        <v>1378.5599999999995</v>
      </c>
    </row>
    <row r="65" spans="1:13" s="2" customFormat="1" ht="38.25" x14ac:dyDescent="0.2">
      <c r="A65" s="24"/>
      <c r="B65" s="1"/>
      <c r="C65" s="79" t="str">
        <f>"Particulars ( 01-04-2021 to "&amp;TEXT(A5,"dd-mm-yyyy")&amp;" )"</f>
        <v>Particulars ( 01-04-2021 to 16-06-2023 )</v>
      </c>
      <c r="D65" s="80" t="s">
        <v>73</v>
      </c>
      <c r="E65" s="80" t="s">
        <v>74</v>
      </c>
      <c r="F65" s="81" t="s">
        <v>75</v>
      </c>
      <c r="G65" s="80" t="s">
        <v>76</v>
      </c>
      <c r="J65" s="118">
        <f>SUM(J62:J64)</f>
        <v>1554.12</v>
      </c>
      <c r="K65" s="118">
        <f>SUM(K62:K64)</f>
        <v>15123.71</v>
      </c>
      <c r="L65" s="118">
        <f>SUM(L62:L64)</f>
        <v>15989.27</v>
      </c>
      <c r="M65" s="118">
        <f>SUM(M62:M64)</f>
        <v>2419.6799999999994</v>
      </c>
    </row>
    <row r="66" spans="1:13" s="2" customFormat="1" x14ac:dyDescent="0.2">
      <c r="A66" s="24"/>
      <c r="B66" s="1"/>
      <c r="C66" s="50" t="s">
        <v>444</v>
      </c>
      <c r="D66" s="55">
        <f>+L62+L63+J63</f>
        <v>4243.9900000000007</v>
      </c>
      <c r="E66" s="55">
        <f>+K62+K63</f>
        <v>3202.87</v>
      </c>
      <c r="F66" s="55">
        <f>+D66-E66</f>
        <v>1041.1200000000008</v>
      </c>
      <c r="G66" s="55">
        <f>1500-F66</f>
        <v>458.8799999999992</v>
      </c>
      <c r="H66" s="2" t="s">
        <v>396</v>
      </c>
    </row>
    <row r="67" spans="1:13" s="2" customFormat="1" x14ac:dyDescent="0.2">
      <c r="A67" s="24"/>
      <c r="B67" s="1"/>
      <c r="C67" s="50" t="s">
        <v>71</v>
      </c>
      <c r="D67" s="55">
        <f>+J64+L64</f>
        <v>13299.4</v>
      </c>
      <c r="E67" s="55">
        <f>+K64</f>
        <v>11920.84</v>
      </c>
      <c r="F67" s="55">
        <f>+D67-E67</f>
        <v>1378.5599999999995</v>
      </c>
      <c r="G67" s="55">
        <f>1500+700-F67</f>
        <v>821.44000000000051</v>
      </c>
      <c r="H67" s="2" t="s">
        <v>396</v>
      </c>
    </row>
    <row r="68" spans="1:13" s="2" customFormat="1" x14ac:dyDescent="0.2">
      <c r="A68" s="24"/>
      <c r="B68" s="1"/>
      <c r="C68" s="14"/>
      <c r="D68" s="56"/>
      <c r="E68" s="13"/>
      <c r="G68" s="1"/>
    </row>
    <row r="69" spans="1:13" s="2" customFormat="1" x14ac:dyDescent="0.2">
      <c r="A69" s="215" t="s">
        <v>80</v>
      </c>
      <c r="B69" s="216"/>
      <c r="C69" s="216"/>
      <c r="D69" s="217"/>
      <c r="E69" s="69"/>
      <c r="F69" s="70"/>
      <c r="G69" s="1"/>
      <c r="H69" s="53"/>
    </row>
    <row r="70" spans="1:13" s="2" customFormat="1" x14ac:dyDescent="0.2">
      <c r="A70" s="71" t="s">
        <v>81</v>
      </c>
      <c r="B70" s="71"/>
      <c r="C70" s="72" t="s">
        <v>82</v>
      </c>
      <c r="D70" s="73" t="s">
        <v>83</v>
      </c>
      <c r="E70" s="69"/>
      <c r="F70" s="70"/>
      <c r="H70" s="53"/>
    </row>
    <row r="71" spans="1:13" s="2" customFormat="1" x14ac:dyDescent="0.2">
      <c r="A71" s="87">
        <v>45080</v>
      </c>
      <c r="B71" s="120" t="s">
        <v>1052</v>
      </c>
      <c r="C71" s="75" t="s">
        <v>86</v>
      </c>
      <c r="D71" s="88">
        <v>163799</v>
      </c>
      <c r="G71" s="1"/>
      <c r="L71" s="1"/>
      <c r="M71" s="1"/>
    </row>
    <row r="72" spans="1:13" s="2" customFormat="1" x14ac:dyDescent="0.2">
      <c r="A72" s="87">
        <v>45080</v>
      </c>
      <c r="B72" s="120" t="s">
        <v>1052</v>
      </c>
      <c r="C72" s="75" t="s">
        <v>86</v>
      </c>
      <c r="D72" s="88">
        <v>1695107</v>
      </c>
      <c r="G72" s="1"/>
      <c r="L72" s="1"/>
      <c r="M72" s="1"/>
    </row>
    <row r="73" spans="1:13" s="2" customFormat="1" x14ac:dyDescent="0.2">
      <c r="A73" s="87">
        <v>45082</v>
      </c>
      <c r="B73" s="120" t="s">
        <v>1052</v>
      </c>
      <c r="C73" s="75" t="s">
        <v>87</v>
      </c>
      <c r="D73" s="88">
        <v>6627</v>
      </c>
      <c r="G73" s="1"/>
      <c r="L73" s="1"/>
      <c r="M73" s="1"/>
    </row>
    <row r="74" spans="1:13" s="2" customFormat="1" x14ac:dyDescent="0.2">
      <c r="A74" s="87">
        <v>45084</v>
      </c>
      <c r="B74" s="120" t="s">
        <v>1052</v>
      </c>
      <c r="C74" s="75" t="s">
        <v>87</v>
      </c>
      <c r="D74" s="88">
        <v>618395.80000000005</v>
      </c>
      <c r="G74" s="1"/>
      <c r="L74" s="1"/>
      <c r="M74" s="1"/>
    </row>
    <row r="75" spans="1:13" s="2" customFormat="1" x14ac:dyDescent="0.2">
      <c r="A75" s="87">
        <v>45086</v>
      </c>
      <c r="B75" s="120" t="s">
        <v>1052</v>
      </c>
      <c r="C75" s="75" t="s">
        <v>784</v>
      </c>
      <c r="D75" s="88">
        <v>1104724</v>
      </c>
      <c r="G75" s="1"/>
      <c r="L75" s="1"/>
      <c r="M75" s="1"/>
    </row>
    <row r="76" spans="1:13" s="2" customFormat="1" x14ac:dyDescent="0.2">
      <c r="A76" s="87">
        <v>45086</v>
      </c>
      <c r="B76" s="120" t="s">
        <v>1052</v>
      </c>
      <c r="C76" s="75" t="s">
        <v>86</v>
      </c>
      <c r="D76" s="88">
        <v>1756907</v>
      </c>
      <c r="G76" s="1"/>
      <c r="L76" s="1"/>
      <c r="M76" s="1"/>
    </row>
    <row r="77" spans="1:13" s="2" customFormat="1" x14ac:dyDescent="0.2">
      <c r="A77" s="87">
        <v>45086</v>
      </c>
      <c r="B77" s="120" t="s">
        <v>1052</v>
      </c>
      <c r="C77" s="75" t="s">
        <v>784</v>
      </c>
      <c r="D77" s="88">
        <v>1489874</v>
      </c>
      <c r="G77" s="1"/>
      <c r="L77" s="1"/>
      <c r="M77" s="1"/>
    </row>
    <row r="78" spans="1:13" s="2" customFormat="1" x14ac:dyDescent="0.2">
      <c r="A78" s="87">
        <v>45086</v>
      </c>
      <c r="B78" s="120" t="s">
        <v>1052</v>
      </c>
      <c r="C78" s="75" t="s">
        <v>201</v>
      </c>
      <c r="D78" s="88">
        <v>5000192.4400000004</v>
      </c>
      <c r="G78" s="1"/>
      <c r="L78" s="1"/>
      <c r="M78" s="1"/>
    </row>
    <row r="79" spans="1:13" s="2" customFormat="1" x14ac:dyDescent="0.2">
      <c r="A79" s="87">
        <v>45089</v>
      </c>
      <c r="B79" s="120" t="s">
        <v>1052</v>
      </c>
      <c r="C79" s="75" t="s">
        <v>566</v>
      </c>
      <c r="D79" s="88">
        <v>654429</v>
      </c>
      <c r="G79" s="1"/>
      <c r="L79" s="1"/>
      <c r="M79" s="1"/>
    </row>
    <row r="80" spans="1:13" s="2" customFormat="1" x14ac:dyDescent="0.2">
      <c r="A80" s="87">
        <v>45090</v>
      </c>
      <c r="B80" s="120" t="s">
        <v>1052</v>
      </c>
      <c r="C80" s="75" t="s">
        <v>566</v>
      </c>
      <c r="D80" s="88">
        <f>62180.5+9179</f>
        <v>71359.5</v>
      </c>
      <c r="G80" s="1"/>
      <c r="L80" s="1"/>
      <c r="M80" s="1"/>
    </row>
    <row r="81" spans="1:13" s="2" customFormat="1" x14ac:dyDescent="0.2">
      <c r="A81" s="87">
        <v>45090</v>
      </c>
      <c r="B81" s="120" t="s">
        <v>1052</v>
      </c>
      <c r="C81" s="75" t="s">
        <v>1084</v>
      </c>
      <c r="D81" s="88">
        <v>5353676</v>
      </c>
      <c r="G81" s="1"/>
      <c r="L81" s="1"/>
      <c r="M81" s="1"/>
    </row>
    <row r="82" spans="1:13" s="2" customFormat="1" x14ac:dyDescent="0.2">
      <c r="A82" s="87">
        <v>45091</v>
      </c>
      <c r="B82" s="120" t="s">
        <v>1052</v>
      </c>
      <c r="C82" s="75" t="s">
        <v>87</v>
      </c>
      <c r="D82" s="88">
        <v>1261201</v>
      </c>
      <c r="G82" s="1"/>
      <c r="L82" s="1"/>
      <c r="M82" s="1"/>
    </row>
    <row r="83" spans="1:13" s="2" customFormat="1" x14ac:dyDescent="0.2">
      <c r="A83" s="87">
        <v>45091</v>
      </c>
      <c r="B83" s="120" t="s">
        <v>1052</v>
      </c>
      <c r="C83" s="75" t="s">
        <v>1090</v>
      </c>
      <c r="D83" s="88">
        <v>1000000</v>
      </c>
      <c r="G83" s="1"/>
      <c r="L83" s="1"/>
      <c r="M83" s="1"/>
    </row>
    <row r="84" spans="1:13" s="2" customFormat="1" x14ac:dyDescent="0.2">
      <c r="A84" s="87">
        <v>45092</v>
      </c>
      <c r="B84" s="120" t="s">
        <v>1052</v>
      </c>
      <c r="C84" s="75" t="s">
        <v>271</v>
      </c>
      <c r="D84" s="88">
        <v>485258</v>
      </c>
      <c r="G84" s="1"/>
      <c r="L84" s="1"/>
      <c r="M84" s="1"/>
    </row>
    <row r="85" spans="1:13" s="2" customFormat="1" x14ac:dyDescent="0.2">
      <c r="A85" s="87"/>
      <c r="B85" s="120"/>
      <c r="C85" s="75"/>
      <c r="D85" s="88"/>
      <c r="G85" s="1"/>
      <c r="L85" s="1"/>
      <c r="M85" s="1"/>
    </row>
    <row r="86" spans="1:13" s="2" customFormat="1" x14ac:dyDescent="0.2">
      <c r="A86" s="87"/>
      <c r="B86" s="74"/>
      <c r="C86" s="75"/>
      <c r="D86" s="51">
        <f>SUM(D71:D84)</f>
        <v>20661549.740000002</v>
      </c>
      <c r="F86" s="2" t="s">
        <v>396</v>
      </c>
      <c r="G86" s="1"/>
      <c r="L86" s="1"/>
      <c r="M86" s="1"/>
    </row>
    <row r="87" spans="1:13" s="2" customFormat="1" x14ac:dyDescent="0.2">
      <c r="A87" s="24"/>
      <c r="B87" s="1"/>
      <c r="C87" s="14"/>
      <c r="D87" s="56"/>
      <c r="E87" s="13"/>
      <c r="G87" s="1"/>
      <c r="L87" s="1"/>
      <c r="M87" s="1"/>
    </row>
    <row r="88" spans="1:13" s="2" customFormat="1" x14ac:dyDescent="0.2">
      <c r="A88" s="24"/>
      <c r="B88" s="1"/>
      <c r="C88" s="218" t="s">
        <v>77</v>
      </c>
      <c r="D88" s="219"/>
      <c r="E88" s="219"/>
      <c r="F88" s="220"/>
      <c r="G88" s="1"/>
      <c r="L88" s="1"/>
      <c r="M88" s="1"/>
    </row>
    <row r="89" spans="1:13" s="2" customFormat="1" x14ac:dyDescent="0.2">
      <c r="A89" s="24"/>
      <c r="B89" s="1"/>
      <c r="C89" s="50"/>
      <c r="D89" s="57" t="s">
        <v>78</v>
      </c>
      <c r="E89" s="58" t="s">
        <v>79</v>
      </c>
      <c r="F89" s="57" t="s">
        <v>72</v>
      </c>
      <c r="G89" s="1"/>
      <c r="I89" s="1"/>
      <c r="J89" s="1"/>
      <c r="K89" s="1"/>
      <c r="L89" s="1"/>
      <c r="M89" s="1"/>
    </row>
    <row r="90" spans="1:13" s="2" customFormat="1" x14ac:dyDescent="0.2">
      <c r="A90" s="24"/>
      <c r="B90" s="1"/>
      <c r="C90" s="59" t="str">
        <f>"01-06-2023 to "&amp;TEXT(A5-2,"dd-mm-yyyy")</f>
        <v>01-06-2023 to 14-06-2023</v>
      </c>
      <c r="D90" s="60">
        <v>2795.96</v>
      </c>
      <c r="E90" s="60">
        <v>111.83</v>
      </c>
      <c r="F90" s="61">
        <f>SUM(D90:E90)</f>
        <v>2907.79</v>
      </c>
      <c r="G90" s="1"/>
    </row>
    <row r="91" spans="1:13" s="2" customFormat="1" x14ac:dyDescent="0.2">
      <c r="A91" s="24"/>
      <c r="B91" s="1"/>
      <c r="C91" s="62" t="str">
        <f>TEXT(A5-1,"dd-mm-yyyy")</f>
        <v>15-06-2023</v>
      </c>
      <c r="D91" s="60">
        <v>167.04</v>
      </c>
      <c r="E91" s="60">
        <v>3.85</v>
      </c>
      <c r="F91" s="61">
        <f>SUM(D91:E91)</f>
        <v>170.89</v>
      </c>
      <c r="G91" s="54"/>
      <c r="I91" s="1"/>
      <c r="J91" s="1"/>
      <c r="K91" s="1"/>
      <c r="L91" s="1"/>
      <c r="M91" s="1"/>
    </row>
    <row r="92" spans="1:13" s="2" customFormat="1" ht="13.5" thickBot="1" x14ac:dyDescent="0.25">
      <c r="A92" s="24"/>
      <c r="B92" s="1"/>
      <c r="C92" s="63" t="str">
        <f>"01-06-2023 to "&amp;TEXT(A5-1,"dd-mm-yyyy")</f>
        <v>01-06-2023 to 15-06-2023</v>
      </c>
      <c r="D92" s="64">
        <f>SUM(D90:D91)</f>
        <v>2963</v>
      </c>
      <c r="E92" s="64">
        <f>SUM(E90:E91)</f>
        <v>115.67999999999999</v>
      </c>
      <c r="F92" s="64">
        <f>SUM(F90:F91)</f>
        <v>3078.68</v>
      </c>
      <c r="G92" s="54"/>
      <c r="I92" s="1"/>
      <c r="J92" s="1"/>
      <c r="K92" s="1"/>
      <c r="L92" s="1"/>
      <c r="M92" s="1"/>
    </row>
    <row r="93" spans="1:13" s="2" customFormat="1" ht="13.5" thickTop="1" x14ac:dyDescent="0.2">
      <c r="A93" s="24"/>
      <c r="B93" s="1"/>
      <c r="C93" s="62"/>
      <c r="D93" s="65"/>
      <c r="E93" s="66"/>
      <c r="F93" s="67"/>
      <c r="G93" s="54"/>
      <c r="I93" s="1"/>
      <c r="J93" s="1"/>
      <c r="K93" s="1"/>
      <c r="L93" s="1"/>
      <c r="M93" s="1"/>
    </row>
    <row r="94" spans="1:13" s="2" customFormat="1" x14ac:dyDescent="0.2">
      <c r="A94" s="24"/>
      <c r="B94" s="1"/>
      <c r="C94" s="62" t="str">
        <f>"01-04-2023 to " &amp;C91</f>
        <v>01-04-2023 to 15-06-2023</v>
      </c>
      <c r="D94" s="68">
        <f>+D92+9224.33</f>
        <v>12187.33</v>
      </c>
      <c r="E94" s="68">
        <f>+E92+906.58</f>
        <v>1022.26</v>
      </c>
      <c r="F94" s="68">
        <f>+F92+10130.9</f>
        <v>13209.58</v>
      </c>
      <c r="G94" s="54"/>
      <c r="I94" s="1"/>
      <c r="J94" s="1"/>
      <c r="K94" s="1"/>
      <c r="L94" s="1"/>
      <c r="M94" s="1"/>
    </row>
    <row r="95" spans="1:13" x14ac:dyDescent="0.2">
      <c r="C95" s="52"/>
      <c r="D95" s="85"/>
      <c r="E95" s="53"/>
      <c r="F95" s="53"/>
      <c r="G95" s="54"/>
      <c r="H95" s="2" t="s">
        <v>396</v>
      </c>
    </row>
    <row r="96" spans="1:13" s="2" customFormat="1" x14ac:dyDescent="0.2">
      <c r="A96" s="24"/>
      <c r="B96" s="1"/>
      <c r="C96" s="52"/>
      <c r="D96" s="85"/>
      <c r="E96" s="53"/>
      <c r="F96" s="53"/>
      <c r="G96" s="54"/>
      <c r="H96" s="53"/>
    </row>
    <row r="97" spans="3:10" x14ac:dyDescent="0.2">
      <c r="C97" s="52"/>
      <c r="D97" s="85"/>
      <c r="E97" s="53"/>
      <c r="F97" s="53"/>
      <c r="G97" s="54"/>
      <c r="H97" s="53" t="s">
        <v>396</v>
      </c>
    </row>
    <row r="98" spans="3:10" x14ac:dyDescent="0.2">
      <c r="C98" s="52"/>
      <c r="D98" s="85"/>
      <c r="E98" s="53"/>
      <c r="F98" s="53"/>
      <c r="G98" s="54"/>
      <c r="H98" s="53" t="s">
        <v>396</v>
      </c>
      <c r="J98" s="42"/>
    </row>
    <row r="99" spans="3:10" x14ac:dyDescent="0.2">
      <c r="G99" s="54"/>
      <c r="H99" s="53"/>
      <c r="I99" s="101"/>
    </row>
    <row r="100" spans="3:10" x14ac:dyDescent="0.2">
      <c r="G100" s="54"/>
      <c r="H100" s="53"/>
    </row>
    <row r="101" spans="3:10" x14ac:dyDescent="0.2">
      <c r="G101" s="54"/>
      <c r="H101" s="53"/>
    </row>
    <row r="102" spans="3:10" x14ac:dyDescent="0.2">
      <c r="H102" s="53"/>
    </row>
  </sheetData>
  <mergeCells count="6">
    <mergeCell ref="C88:F88"/>
    <mergeCell ref="A1:G1"/>
    <mergeCell ref="A3:F3"/>
    <mergeCell ref="A9:F9"/>
    <mergeCell ref="A16:F16"/>
    <mergeCell ref="A69:D69"/>
  </mergeCells>
  <conditionalFormatting sqref="G66:G67">
    <cfRule type="cellIs" dxfId="483" priority="1" operator="lessThan">
      <formula>0</formula>
    </cfRule>
  </conditionalFormatting>
  <conditionalFormatting sqref="C18">
    <cfRule type="duplicateValues" dxfId="482" priority="2"/>
  </conditionalFormatting>
  <conditionalFormatting sqref="C19:C35 C37:C38">
    <cfRule type="duplicateValues" dxfId="481" priority="545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354">
    <pageSetUpPr fitToPage="1"/>
  </sheetPr>
  <dimension ref="A1:N131"/>
  <sheetViews>
    <sheetView topLeftCell="A34" zoomScaleNormal="100" workbookViewId="0">
      <selection activeCell="C46" sqref="C46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47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1096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45094</v>
      </c>
      <c r="B5" s="9" t="s">
        <v>6</v>
      </c>
      <c r="C5" s="10" t="s">
        <v>7</v>
      </c>
      <c r="D5" s="11"/>
      <c r="E5" s="12">
        <v>242816.70000000019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242816.70000000019</v>
      </c>
      <c r="F6" s="16">
        <f>F5</f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+E6-F6</f>
        <v>242816.70000000019</v>
      </c>
      <c r="F7" s="22"/>
      <c r="G7" s="23"/>
      <c r="H7" s="112"/>
      <c r="I7" s="112"/>
      <c r="J7" s="13"/>
    </row>
    <row r="8" spans="1:10" ht="12.75" customHeight="1" x14ac:dyDescent="0.4">
      <c r="H8" s="112"/>
      <c r="I8" s="112"/>
    </row>
    <row r="9" spans="1:10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12"/>
    </row>
    <row r="10" spans="1:10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12"/>
    </row>
    <row r="11" spans="1:10" s="2" customFormat="1" ht="14.25" customHeight="1" x14ac:dyDescent="0.2">
      <c r="A11" s="127">
        <v>45094</v>
      </c>
      <c r="B11" s="9" t="s">
        <v>6</v>
      </c>
      <c r="C11" s="10" t="s">
        <v>7</v>
      </c>
      <c r="D11" s="11"/>
      <c r="F11" s="12">
        <v>29086876.959999993</v>
      </c>
      <c r="G11" s="1"/>
      <c r="H11" s="130"/>
      <c r="I11" s="130"/>
    </row>
    <row r="12" spans="1:10" s="2" customFormat="1" ht="14.25" customHeight="1" x14ac:dyDescent="0.2">
      <c r="A12" s="127">
        <v>45094</v>
      </c>
      <c r="B12" s="9" t="s">
        <v>6</v>
      </c>
      <c r="C12" s="10" t="s">
        <v>419</v>
      </c>
      <c r="D12" s="11" t="s">
        <v>13</v>
      </c>
      <c r="E12" s="2">
        <v>668089</v>
      </c>
      <c r="F12" s="12"/>
      <c r="G12" s="1"/>
      <c r="H12" s="130"/>
      <c r="I12" s="130"/>
    </row>
    <row r="13" spans="1:10" s="2" customFormat="1" ht="14.25" customHeight="1" x14ac:dyDescent="0.2">
      <c r="A13" s="127">
        <v>45094</v>
      </c>
      <c r="B13" s="9" t="s">
        <v>6</v>
      </c>
      <c r="C13" s="10" t="s">
        <v>1097</v>
      </c>
      <c r="D13" s="11" t="s">
        <v>13</v>
      </c>
      <c r="E13" s="2">
        <v>4211102.16</v>
      </c>
      <c r="F13" s="12"/>
      <c r="G13" s="1"/>
      <c r="H13" s="130"/>
      <c r="I13" s="130"/>
    </row>
    <row r="14" spans="1:10" s="2" customFormat="1" ht="14.25" customHeight="1" x14ac:dyDescent="0.2">
      <c r="A14" s="127">
        <v>45094</v>
      </c>
      <c r="B14" s="9" t="s">
        <v>6</v>
      </c>
      <c r="C14" s="10" t="s">
        <v>1098</v>
      </c>
      <c r="D14" s="11" t="s">
        <v>13</v>
      </c>
      <c r="E14" s="2">
        <v>1250408.24</v>
      </c>
      <c r="F14" s="12"/>
      <c r="G14" s="1"/>
      <c r="H14" s="130"/>
      <c r="I14" s="130"/>
    </row>
    <row r="15" spans="1:10" s="2" customFormat="1" ht="14.25" customHeight="1" x14ac:dyDescent="0.2">
      <c r="A15" s="127">
        <v>45094</v>
      </c>
      <c r="B15" s="9" t="s">
        <v>6</v>
      </c>
      <c r="C15" s="10" t="s">
        <v>1099</v>
      </c>
      <c r="D15" s="11" t="s">
        <v>13</v>
      </c>
      <c r="E15" s="2">
        <v>4705605.9800000004</v>
      </c>
      <c r="F15" s="12"/>
      <c r="G15" s="1"/>
      <c r="H15" s="130"/>
      <c r="I15" s="130"/>
    </row>
    <row r="16" spans="1:10" s="2" customFormat="1" ht="14.25" customHeight="1" x14ac:dyDescent="0.2">
      <c r="A16" s="127">
        <v>45094</v>
      </c>
      <c r="B16" s="9" t="s">
        <v>11</v>
      </c>
      <c r="C16" s="10" t="s">
        <v>494</v>
      </c>
      <c r="D16" s="11" t="s">
        <v>29</v>
      </c>
      <c r="F16" s="12">
        <v>42273</v>
      </c>
      <c r="G16" s="1"/>
      <c r="H16" s="130"/>
      <c r="I16" s="130"/>
    </row>
    <row r="17" spans="1:10" s="2" customFormat="1" ht="14.25" customHeight="1" x14ac:dyDescent="0.2">
      <c r="A17" s="127">
        <v>45094</v>
      </c>
      <c r="B17" s="9" t="s">
        <v>11</v>
      </c>
      <c r="C17" s="10" t="s">
        <v>1060</v>
      </c>
      <c r="D17" s="11" t="s">
        <v>29</v>
      </c>
      <c r="F17" s="12">
        <v>7865</v>
      </c>
      <c r="G17" s="1"/>
      <c r="H17" s="130"/>
      <c r="I17" s="130"/>
    </row>
    <row r="18" spans="1:10" s="2" customFormat="1" ht="14.25" customHeight="1" x14ac:dyDescent="0.2">
      <c r="A18" s="127">
        <v>45094</v>
      </c>
      <c r="B18" s="9" t="s">
        <v>11</v>
      </c>
      <c r="C18" s="10" t="s">
        <v>91</v>
      </c>
      <c r="D18" s="11" t="s">
        <v>29</v>
      </c>
      <c r="F18" s="12">
        <v>189104</v>
      </c>
      <c r="G18" s="1"/>
      <c r="H18" s="130"/>
      <c r="I18" s="130"/>
    </row>
    <row r="19" spans="1:10" s="2" customFormat="1" ht="14.25" customHeight="1" x14ac:dyDescent="0.2">
      <c r="A19" s="127">
        <v>45094</v>
      </c>
      <c r="B19" s="9" t="s">
        <v>11</v>
      </c>
      <c r="C19" s="76" t="s">
        <v>57</v>
      </c>
      <c r="D19" s="11" t="s">
        <v>29</v>
      </c>
      <c r="E19" s="124"/>
      <c r="F19" s="31">
        <v>10700000</v>
      </c>
      <c r="G19" s="1"/>
      <c r="H19" s="130"/>
      <c r="I19" s="130"/>
    </row>
    <row r="20" spans="1:10" s="2" customFormat="1" ht="12.75" customHeight="1" x14ac:dyDescent="0.4">
      <c r="D20" s="15" t="s">
        <v>8</v>
      </c>
      <c r="E20" s="16">
        <f>SUM(E12:E19)</f>
        <v>10835205.380000001</v>
      </c>
      <c r="F20" s="16">
        <f>SUM(F11:F19)</f>
        <v>40026118.959999993</v>
      </c>
      <c r="G20" s="1"/>
      <c r="H20" s="112"/>
      <c r="I20" s="112"/>
    </row>
    <row r="21" spans="1:10" s="2" customFormat="1" ht="12.75" customHeight="1" x14ac:dyDescent="0.4">
      <c r="A21" s="17"/>
      <c r="B21" s="18"/>
      <c r="C21" s="96" t="s">
        <v>9</v>
      </c>
      <c r="D21" s="20"/>
      <c r="E21" s="21">
        <f>+F20-E20</f>
        <v>29190913.579999991</v>
      </c>
      <c r="G21" s="23"/>
      <c r="H21" s="112"/>
      <c r="I21" s="112"/>
      <c r="J21" s="13"/>
    </row>
    <row r="22" spans="1:10" s="2" customFormat="1" ht="12.75" customHeight="1" x14ac:dyDescent="0.4">
      <c r="A22" s="24"/>
      <c r="B22" s="1"/>
      <c r="C22" s="14"/>
      <c r="D22" s="25"/>
      <c r="G22" s="23"/>
      <c r="H22" s="112"/>
      <c r="I22" s="112"/>
      <c r="J22" s="13"/>
    </row>
    <row r="23" spans="1:10" s="2" customFormat="1" ht="21.75" customHeight="1" x14ac:dyDescent="0.4">
      <c r="A23" s="214" t="s">
        <v>10</v>
      </c>
      <c r="B23" s="214"/>
      <c r="C23" s="214"/>
      <c r="D23" s="214"/>
      <c r="E23" s="214"/>
      <c r="F23" s="214"/>
      <c r="G23" s="13"/>
      <c r="H23" s="112"/>
      <c r="I23" s="112"/>
      <c r="J23" s="13"/>
    </row>
    <row r="24" spans="1:10" s="2" customFormat="1" ht="12.75" customHeight="1" x14ac:dyDescent="0.4">
      <c r="A24" s="26" t="s">
        <v>1</v>
      </c>
      <c r="B24" s="27" t="s">
        <v>2</v>
      </c>
      <c r="C24" s="5"/>
      <c r="D24" s="6" t="s">
        <v>3</v>
      </c>
      <c r="E24" s="7" t="s">
        <v>4</v>
      </c>
      <c r="F24" s="7" t="s">
        <v>5</v>
      </c>
      <c r="G24" s="23"/>
      <c r="H24" s="112"/>
      <c r="I24" s="112"/>
      <c r="J24" s="13"/>
    </row>
    <row r="25" spans="1:10" s="2" customFormat="1" ht="12.75" customHeight="1" x14ac:dyDescent="0.2">
      <c r="A25" s="127">
        <v>45094</v>
      </c>
      <c r="B25" s="128" t="s">
        <v>11</v>
      </c>
      <c r="C25" s="29" t="s">
        <v>7</v>
      </c>
      <c r="D25" s="25"/>
      <c r="E25" s="31"/>
      <c r="F25" s="2">
        <v>266673062.86999992</v>
      </c>
      <c r="G25" s="30"/>
      <c r="I25" s="13"/>
      <c r="J25" s="13"/>
    </row>
    <row r="26" spans="1:10" s="70" customFormat="1" ht="12.75" customHeight="1" x14ac:dyDescent="0.2">
      <c r="A26" s="127">
        <v>45094</v>
      </c>
      <c r="B26" s="128" t="s">
        <v>6</v>
      </c>
      <c r="C26" s="76" t="s">
        <v>120</v>
      </c>
      <c r="D26" s="125" t="s">
        <v>13</v>
      </c>
      <c r="E26" s="129">
        <v>6248</v>
      </c>
      <c r="G26" s="30"/>
      <c r="I26" s="69"/>
      <c r="J26" s="69"/>
    </row>
    <row r="27" spans="1:10" s="70" customFormat="1" ht="12.75" customHeight="1" x14ac:dyDescent="0.2">
      <c r="A27" s="127">
        <v>45094</v>
      </c>
      <c r="B27" s="128" t="s">
        <v>6</v>
      </c>
      <c r="C27" s="76" t="s">
        <v>12</v>
      </c>
      <c r="D27" s="125" t="s">
        <v>13</v>
      </c>
      <c r="E27" s="129">
        <v>331426.51</v>
      </c>
      <c r="G27" s="30"/>
      <c r="I27" s="69"/>
      <c r="J27" s="69"/>
    </row>
    <row r="28" spans="1:10" s="70" customFormat="1" ht="12.75" customHeight="1" x14ac:dyDescent="0.2">
      <c r="A28" s="127">
        <v>45094</v>
      </c>
      <c r="B28" s="128" t="s">
        <v>6</v>
      </c>
      <c r="C28" s="76" t="s">
        <v>497</v>
      </c>
      <c r="D28" s="126" t="s">
        <v>13</v>
      </c>
      <c r="E28" s="129">
        <v>3882061.8</v>
      </c>
      <c r="G28" s="30"/>
      <c r="I28" s="69"/>
      <c r="J28" s="69"/>
    </row>
    <row r="29" spans="1:10" s="70" customFormat="1" ht="12.75" customHeight="1" x14ac:dyDescent="0.2">
      <c r="A29" s="127">
        <v>45094</v>
      </c>
      <c r="B29" s="128" t="s">
        <v>6</v>
      </c>
      <c r="C29" s="76" t="s">
        <v>244</v>
      </c>
      <c r="D29" s="126" t="s">
        <v>13</v>
      </c>
      <c r="E29" s="129">
        <v>751014</v>
      </c>
      <c r="G29" s="30"/>
      <c r="I29" s="69"/>
      <c r="J29" s="69"/>
    </row>
    <row r="30" spans="1:10" s="70" customFormat="1" ht="12.75" customHeight="1" x14ac:dyDescent="0.2">
      <c r="A30" s="127">
        <v>45094</v>
      </c>
      <c r="B30" s="128" t="s">
        <v>6</v>
      </c>
      <c r="C30" s="76" t="s">
        <v>848</v>
      </c>
      <c r="D30" s="126" t="s">
        <v>13</v>
      </c>
      <c r="E30" s="129">
        <v>505050</v>
      </c>
      <c r="G30" s="30"/>
      <c r="I30" s="69"/>
      <c r="J30" s="69"/>
    </row>
    <row r="31" spans="1:10" s="70" customFormat="1" ht="12.75" customHeight="1" x14ac:dyDescent="0.2">
      <c r="A31" s="127">
        <v>45094</v>
      </c>
      <c r="B31" s="128" t="s">
        <v>6</v>
      </c>
      <c r="C31" s="76" t="s">
        <v>105</v>
      </c>
      <c r="D31" s="126" t="s">
        <v>13</v>
      </c>
      <c r="E31" s="129">
        <v>5679368</v>
      </c>
      <c r="G31" s="30"/>
      <c r="I31" s="69"/>
      <c r="J31" s="69"/>
    </row>
    <row r="32" spans="1:10" s="70" customFormat="1" ht="12.75" customHeight="1" x14ac:dyDescent="0.2">
      <c r="A32" s="127">
        <v>45094</v>
      </c>
      <c r="B32" s="128" t="s">
        <v>6</v>
      </c>
      <c r="C32" s="76" t="s">
        <v>271</v>
      </c>
      <c r="D32" s="126" t="s">
        <v>13</v>
      </c>
      <c r="E32" s="129">
        <v>78456</v>
      </c>
      <c r="G32" s="30"/>
      <c r="I32" s="69"/>
      <c r="J32" s="69"/>
    </row>
    <row r="33" spans="1:10" s="70" customFormat="1" ht="12.75" customHeight="1" x14ac:dyDescent="0.2">
      <c r="A33" s="127">
        <v>45094</v>
      </c>
      <c r="B33" s="128" t="s">
        <v>6</v>
      </c>
      <c r="C33" s="76" t="s">
        <v>358</v>
      </c>
      <c r="D33" s="126" t="s">
        <v>13</v>
      </c>
      <c r="E33" s="129">
        <v>27878</v>
      </c>
      <c r="G33" s="30"/>
      <c r="I33" s="69"/>
      <c r="J33" s="69"/>
    </row>
    <row r="34" spans="1:10" s="70" customFormat="1" ht="12.75" customHeight="1" x14ac:dyDescent="0.2">
      <c r="A34" s="127">
        <v>45094</v>
      </c>
      <c r="B34" s="128" t="s">
        <v>6</v>
      </c>
      <c r="C34" s="76" t="s">
        <v>1100</v>
      </c>
      <c r="D34" s="126" t="s">
        <v>13</v>
      </c>
      <c r="E34" s="129">
        <v>42000</v>
      </c>
      <c r="G34" s="30"/>
      <c r="I34" s="69"/>
      <c r="J34" s="69"/>
    </row>
    <row r="35" spans="1:10" s="70" customFormat="1" ht="12.75" customHeight="1" x14ac:dyDescent="0.2">
      <c r="A35" s="127">
        <v>45094</v>
      </c>
      <c r="B35" s="128" t="s">
        <v>6</v>
      </c>
      <c r="C35" s="76" t="s">
        <v>750</v>
      </c>
      <c r="D35" s="126" t="s">
        <v>13</v>
      </c>
      <c r="E35" s="129">
        <v>2041829.23</v>
      </c>
      <c r="G35" s="30"/>
      <c r="I35" s="69"/>
      <c r="J35" s="69"/>
    </row>
    <row r="36" spans="1:10" s="70" customFormat="1" ht="12.75" customHeight="1" x14ac:dyDescent="0.2">
      <c r="A36" s="127">
        <v>45094</v>
      </c>
      <c r="B36" s="128" t="s">
        <v>6</v>
      </c>
      <c r="C36" s="76" t="s">
        <v>759</v>
      </c>
      <c r="D36" s="126" t="s">
        <v>13</v>
      </c>
      <c r="E36" s="129">
        <v>1621142.45</v>
      </c>
      <c r="G36" s="30"/>
      <c r="I36" s="69"/>
      <c r="J36" s="69"/>
    </row>
    <row r="37" spans="1:10" s="70" customFormat="1" ht="12.75" customHeight="1" x14ac:dyDescent="0.2">
      <c r="A37" s="127">
        <v>45094</v>
      </c>
      <c r="B37" s="128" t="s">
        <v>6</v>
      </c>
      <c r="C37" s="76" t="s">
        <v>757</v>
      </c>
      <c r="D37" s="126" t="s">
        <v>13</v>
      </c>
      <c r="E37" s="129">
        <v>943336.66</v>
      </c>
      <c r="G37" s="30"/>
      <c r="I37" s="69"/>
      <c r="J37" s="69"/>
    </row>
    <row r="38" spans="1:10" s="70" customFormat="1" ht="12.75" customHeight="1" x14ac:dyDescent="0.2">
      <c r="A38" s="127">
        <v>45094</v>
      </c>
      <c r="B38" s="128" t="s">
        <v>6</v>
      </c>
      <c r="C38" s="76" t="s">
        <v>773</v>
      </c>
      <c r="D38" s="126" t="s">
        <v>13</v>
      </c>
      <c r="E38" s="129">
        <v>939089.38</v>
      </c>
      <c r="G38" s="30"/>
      <c r="I38" s="69"/>
      <c r="J38" s="69"/>
    </row>
    <row r="39" spans="1:10" s="70" customFormat="1" ht="12.75" customHeight="1" x14ac:dyDescent="0.2">
      <c r="A39" s="127">
        <v>45094</v>
      </c>
      <c r="B39" s="128" t="s">
        <v>6</v>
      </c>
      <c r="C39" s="76" t="s">
        <v>765</v>
      </c>
      <c r="D39" s="126" t="s">
        <v>13</v>
      </c>
      <c r="E39" s="129">
        <v>560981.42000000004</v>
      </c>
      <c r="G39" s="30"/>
      <c r="I39" s="69"/>
      <c r="J39" s="69"/>
    </row>
    <row r="40" spans="1:10" s="70" customFormat="1" ht="12.75" customHeight="1" x14ac:dyDescent="0.2">
      <c r="A40" s="127">
        <v>45094</v>
      </c>
      <c r="B40" s="128" t="s">
        <v>6</v>
      </c>
      <c r="C40" s="76" t="s">
        <v>101</v>
      </c>
      <c r="D40" s="126" t="s">
        <v>13</v>
      </c>
      <c r="E40" s="129">
        <v>5156</v>
      </c>
      <c r="G40" s="30"/>
      <c r="I40" s="69"/>
      <c r="J40" s="69"/>
    </row>
    <row r="41" spans="1:10" s="70" customFormat="1" ht="12.75" customHeight="1" x14ac:dyDescent="0.2">
      <c r="A41" s="127">
        <v>45094</v>
      </c>
      <c r="B41" s="128" t="s">
        <v>6</v>
      </c>
      <c r="C41" s="76" t="s">
        <v>516</v>
      </c>
      <c r="D41" s="126" t="s">
        <v>13</v>
      </c>
      <c r="E41" s="129">
        <v>55000</v>
      </c>
      <c r="G41" s="30"/>
      <c r="I41" s="69"/>
      <c r="J41" s="69"/>
    </row>
    <row r="42" spans="1:10" s="70" customFormat="1" ht="12.75" customHeight="1" x14ac:dyDescent="0.2">
      <c r="A42" s="127">
        <v>45094</v>
      </c>
      <c r="B42" s="128" t="s">
        <v>6</v>
      </c>
      <c r="C42" s="76" t="s">
        <v>466</v>
      </c>
      <c r="D42" s="126" t="s">
        <v>13</v>
      </c>
      <c r="E42" s="129">
        <v>2128003</v>
      </c>
      <c r="G42" s="30"/>
      <c r="I42" s="69"/>
      <c r="J42" s="69"/>
    </row>
    <row r="43" spans="1:10" s="70" customFormat="1" ht="12.75" customHeight="1" x14ac:dyDescent="0.2">
      <c r="A43" s="127">
        <v>45094</v>
      </c>
      <c r="B43" s="128" t="s">
        <v>6</v>
      </c>
      <c r="C43" s="76" t="s">
        <v>651</v>
      </c>
      <c r="D43" s="126" t="s">
        <v>13</v>
      </c>
      <c r="E43" s="129">
        <v>94560</v>
      </c>
      <c r="G43" s="30"/>
      <c r="I43" s="69"/>
      <c r="J43" s="69"/>
    </row>
    <row r="44" spans="1:10" s="70" customFormat="1" ht="12.75" customHeight="1" x14ac:dyDescent="0.2">
      <c r="A44" s="127">
        <v>45094</v>
      </c>
      <c r="B44" s="128" t="s">
        <v>6</v>
      </c>
      <c r="C44" s="76" t="s">
        <v>175</v>
      </c>
      <c r="D44" s="126" t="s">
        <v>13</v>
      </c>
      <c r="E44" s="129">
        <v>2060</v>
      </c>
      <c r="G44" s="30"/>
      <c r="I44" s="69"/>
      <c r="J44" s="69"/>
    </row>
    <row r="45" spans="1:10" s="70" customFormat="1" ht="12.75" customHeight="1" x14ac:dyDescent="0.2">
      <c r="A45" s="127">
        <v>45094</v>
      </c>
      <c r="B45" s="128" t="s">
        <v>6</v>
      </c>
      <c r="C45" s="76" t="s">
        <v>450</v>
      </c>
      <c r="D45" s="126" t="s">
        <v>13</v>
      </c>
      <c r="E45" s="129">
        <v>800000</v>
      </c>
      <c r="G45" s="30"/>
      <c r="I45" s="69"/>
      <c r="J45" s="69"/>
    </row>
    <row r="46" spans="1:10" s="70" customFormat="1" ht="12.75" customHeight="1" x14ac:dyDescent="0.2">
      <c r="A46" s="127">
        <v>45094</v>
      </c>
      <c r="B46" s="128" t="s">
        <v>6</v>
      </c>
      <c r="C46" s="76" t="s">
        <v>15</v>
      </c>
      <c r="D46" s="126" t="s">
        <v>13</v>
      </c>
      <c r="E46" s="129">
        <v>23838.920000000002</v>
      </c>
      <c r="G46" s="30"/>
      <c r="I46" s="69"/>
      <c r="J46" s="69"/>
    </row>
    <row r="47" spans="1:10" s="70" customFormat="1" ht="12.75" customHeight="1" x14ac:dyDescent="0.2">
      <c r="A47" s="127">
        <v>45094</v>
      </c>
      <c r="B47" s="128" t="s">
        <v>6</v>
      </c>
      <c r="C47" s="76" t="s">
        <v>177</v>
      </c>
      <c r="D47" s="126" t="s">
        <v>13</v>
      </c>
      <c r="E47" s="129">
        <v>392077</v>
      </c>
      <c r="G47" s="30"/>
      <c r="I47" s="69"/>
      <c r="J47" s="69"/>
    </row>
    <row r="48" spans="1:10" s="70" customFormat="1" ht="12.75" customHeight="1" x14ac:dyDescent="0.2">
      <c r="A48" s="127">
        <v>45094</v>
      </c>
      <c r="B48" s="128" t="s">
        <v>6</v>
      </c>
      <c r="C48" s="76" t="s">
        <v>14</v>
      </c>
      <c r="D48" s="126" t="s">
        <v>13</v>
      </c>
      <c r="E48" s="129">
        <v>4515</v>
      </c>
      <c r="G48" s="30"/>
      <c r="I48" s="69"/>
      <c r="J48" s="69"/>
    </row>
    <row r="49" spans="1:10" s="70" customFormat="1" ht="12.75" customHeight="1" x14ac:dyDescent="0.2">
      <c r="A49" s="127">
        <v>45094</v>
      </c>
      <c r="B49" s="128" t="s">
        <v>6</v>
      </c>
      <c r="C49" s="76" t="s">
        <v>149</v>
      </c>
      <c r="D49" s="126" t="s">
        <v>13</v>
      </c>
      <c r="E49" s="129">
        <v>14439</v>
      </c>
      <c r="G49" s="30"/>
      <c r="I49" s="69"/>
      <c r="J49" s="69"/>
    </row>
    <row r="50" spans="1:10" s="70" customFormat="1" ht="12.75" customHeight="1" x14ac:dyDescent="0.2">
      <c r="A50" s="127">
        <v>45094</v>
      </c>
      <c r="B50" s="128" t="s">
        <v>6</v>
      </c>
      <c r="C50" s="76" t="s">
        <v>748</v>
      </c>
      <c r="D50" s="126" t="s">
        <v>13</v>
      </c>
      <c r="E50" s="129">
        <v>1334331.44</v>
      </c>
      <c r="G50" s="30"/>
      <c r="I50" s="69"/>
      <c r="J50" s="69"/>
    </row>
    <row r="51" spans="1:10" s="70" customFormat="1" ht="12.75" customHeight="1" x14ac:dyDescent="0.2">
      <c r="A51" s="127">
        <v>45094</v>
      </c>
      <c r="B51" s="128" t="s">
        <v>6</v>
      </c>
      <c r="C51" s="76" t="s">
        <v>760</v>
      </c>
      <c r="D51" s="126" t="s">
        <v>13</v>
      </c>
      <c r="E51" s="129">
        <v>1609463.54</v>
      </c>
      <c r="G51" s="30"/>
      <c r="I51" s="69"/>
      <c r="J51" s="69"/>
    </row>
    <row r="52" spans="1:10" s="70" customFormat="1" ht="12.75" customHeight="1" x14ac:dyDescent="0.2">
      <c r="A52" s="127">
        <v>45094</v>
      </c>
      <c r="B52" s="128" t="s">
        <v>11</v>
      </c>
      <c r="C52" s="76" t="s">
        <v>64</v>
      </c>
      <c r="D52" s="126" t="s">
        <v>29</v>
      </c>
      <c r="E52" s="129"/>
      <c r="F52" s="70">
        <v>31591.03</v>
      </c>
      <c r="G52" s="30"/>
      <c r="I52" s="69"/>
      <c r="J52" s="69"/>
    </row>
    <row r="53" spans="1:10" s="70" customFormat="1" ht="12.75" customHeight="1" x14ac:dyDescent="0.2">
      <c r="A53" s="127">
        <v>45094</v>
      </c>
      <c r="B53" s="128" t="s">
        <v>11</v>
      </c>
      <c r="C53" s="76" t="s">
        <v>748</v>
      </c>
      <c r="D53" s="126" t="s">
        <v>29</v>
      </c>
      <c r="E53" s="129"/>
      <c r="F53" s="70">
        <v>6527084.1999999993</v>
      </c>
      <c r="G53" s="30"/>
      <c r="I53" s="69"/>
      <c r="J53" s="69"/>
    </row>
    <row r="54" spans="1:10" s="70" customFormat="1" ht="12.75" customHeight="1" x14ac:dyDescent="0.2">
      <c r="A54" s="127">
        <v>45094</v>
      </c>
      <c r="B54" s="128" t="s">
        <v>11</v>
      </c>
      <c r="C54" s="76" t="s">
        <v>760</v>
      </c>
      <c r="D54" s="126" t="s">
        <v>29</v>
      </c>
      <c r="E54" s="129"/>
      <c r="F54" s="70">
        <v>323116.59999999998</v>
      </c>
      <c r="G54" s="30"/>
      <c r="I54" s="69"/>
      <c r="J54" s="69"/>
    </row>
    <row r="55" spans="1:10" s="70" customFormat="1" ht="12.75" customHeight="1" x14ac:dyDescent="0.2">
      <c r="A55" s="127">
        <v>45094</v>
      </c>
      <c r="B55" s="128" t="s">
        <v>11</v>
      </c>
      <c r="C55" s="76" t="s">
        <v>16</v>
      </c>
      <c r="D55" s="126" t="s">
        <v>29</v>
      </c>
      <c r="E55" s="129"/>
      <c r="F55" s="70">
        <v>331974.65000000002</v>
      </c>
      <c r="G55" s="30"/>
      <c r="I55" s="69"/>
      <c r="J55" s="69"/>
    </row>
    <row r="56" spans="1:10" s="70" customFormat="1" ht="12.75" customHeight="1" x14ac:dyDescent="0.2">
      <c r="A56" s="127">
        <v>45094</v>
      </c>
      <c r="B56" s="128" t="s">
        <v>11</v>
      </c>
      <c r="C56" s="76" t="s">
        <v>156</v>
      </c>
      <c r="D56" s="126" t="s">
        <v>29</v>
      </c>
      <c r="E56" s="129"/>
      <c r="F56" s="70">
        <v>45</v>
      </c>
      <c r="G56" s="30"/>
      <c r="I56" s="69"/>
      <c r="J56" s="69"/>
    </row>
    <row r="57" spans="1:10" s="70" customFormat="1" ht="12.75" customHeight="1" x14ac:dyDescent="0.2">
      <c r="A57" s="127">
        <v>45094</v>
      </c>
      <c r="B57" s="128" t="s">
        <v>11</v>
      </c>
      <c r="C57" s="76" t="s">
        <v>109</v>
      </c>
      <c r="D57" s="126" t="s">
        <v>29</v>
      </c>
      <c r="E57" s="129"/>
      <c r="F57" s="70">
        <v>1206701</v>
      </c>
      <c r="G57" s="30"/>
      <c r="I57" s="69"/>
      <c r="J57" s="69"/>
    </row>
    <row r="58" spans="1:10" s="70" customFormat="1" ht="12.75" customHeight="1" x14ac:dyDescent="0.2">
      <c r="A58" s="127">
        <v>45094</v>
      </c>
      <c r="B58" s="128" t="s">
        <v>11</v>
      </c>
      <c r="C58" s="76" t="s">
        <v>199</v>
      </c>
      <c r="D58" s="126" t="s">
        <v>29</v>
      </c>
      <c r="E58" s="129"/>
      <c r="F58" s="70">
        <v>1893462</v>
      </c>
      <c r="G58" s="30"/>
      <c r="I58" s="69"/>
      <c r="J58" s="69"/>
    </row>
    <row r="59" spans="1:10" s="70" customFormat="1" ht="12.75" customHeight="1" x14ac:dyDescent="0.2">
      <c r="A59" s="127">
        <v>45094</v>
      </c>
      <c r="B59" s="128" t="s">
        <v>11</v>
      </c>
      <c r="C59" s="76" t="s">
        <v>687</v>
      </c>
      <c r="D59" s="126" t="s">
        <v>29</v>
      </c>
      <c r="E59" s="129"/>
      <c r="F59" s="70">
        <v>218095</v>
      </c>
      <c r="G59" s="30"/>
      <c r="I59" s="69"/>
      <c r="J59" s="69"/>
    </row>
    <row r="60" spans="1:10" s="70" customFormat="1" ht="12.75" customHeight="1" x14ac:dyDescent="0.2">
      <c r="A60" s="127">
        <v>45094</v>
      </c>
      <c r="B60" s="128" t="s">
        <v>11</v>
      </c>
      <c r="C60" s="76" t="s">
        <v>926</v>
      </c>
      <c r="D60" s="126" t="s">
        <v>29</v>
      </c>
      <c r="E60" s="129"/>
      <c r="F60" s="70">
        <v>727973.22</v>
      </c>
      <c r="G60" s="30"/>
      <c r="I60" s="69"/>
      <c r="J60" s="69"/>
    </row>
    <row r="61" spans="1:10" s="70" customFormat="1" ht="12.75" customHeight="1" x14ac:dyDescent="0.2">
      <c r="A61" s="127">
        <v>45094</v>
      </c>
      <c r="B61" s="128" t="s">
        <v>11</v>
      </c>
      <c r="C61" s="76" t="s">
        <v>62</v>
      </c>
      <c r="D61" s="126" t="s">
        <v>29</v>
      </c>
      <c r="E61" s="129"/>
      <c r="F61" s="70">
        <v>130000</v>
      </c>
      <c r="G61" s="30"/>
      <c r="I61" s="69"/>
      <c r="J61" s="69"/>
    </row>
    <row r="62" spans="1:10" s="70" customFormat="1" ht="12.75" customHeight="1" x14ac:dyDescent="0.2">
      <c r="A62" s="127">
        <v>45094</v>
      </c>
      <c r="B62" s="128" t="s">
        <v>11</v>
      </c>
      <c r="C62" s="76" t="s">
        <v>734</v>
      </c>
      <c r="D62" s="126" t="s">
        <v>29</v>
      </c>
      <c r="E62" s="129"/>
      <c r="F62" s="70">
        <v>832939</v>
      </c>
      <c r="G62" s="30"/>
      <c r="I62" s="69"/>
      <c r="J62" s="69"/>
    </row>
    <row r="63" spans="1:10" s="70" customFormat="1" ht="12.75" customHeight="1" x14ac:dyDescent="0.2">
      <c r="A63" s="127">
        <v>45094</v>
      </c>
      <c r="B63" s="128" t="s">
        <v>11</v>
      </c>
      <c r="C63" s="76" t="s">
        <v>404</v>
      </c>
      <c r="D63" s="126" t="s">
        <v>29</v>
      </c>
      <c r="E63" s="129"/>
      <c r="F63" s="70">
        <v>252917</v>
      </c>
      <c r="G63" s="30"/>
      <c r="I63" s="69"/>
      <c r="J63" s="69"/>
    </row>
    <row r="64" spans="1:10" s="70" customFormat="1" ht="12.75" customHeight="1" x14ac:dyDescent="0.2">
      <c r="A64" s="127">
        <v>45094</v>
      </c>
      <c r="B64" s="128" t="s">
        <v>11</v>
      </c>
      <c r="C64" s="76" t="s">
        <v>339</v>
      </c>
      <c r="D64" s="126" t="s">
        <v>29</v>
      </c>
      <c r="E64" s="129"/>
      <c r="F64" s="70">
        <v>49009</v>
      </c>
      <c r="G64" s="30"/>
      <c r="I64" s="69"/>
      <c r="J64" s="69"/>
    </row>
    <row r="65" spans="1:14" s="70" customFormat="1" ht="12.75" customHeight="1" x14ac:dyDescent="0.2">
      <c r="A65" s="127">
        <v>45094</v>
      </c>
      <c r="B65" s="128" t="s">
        <v>11</v>
      </c>
      <c r="C65" s="76" t="s">
        <v>211</v>
      </c>
      <c r="D65" s="126" t="s">
        <v>29</v>
      </c>
      <c r="E65" s="129"/>
      <c r="F65" s="70">
        <v>11770</v>
      </c>
      <c r="G65" s="30"/>
      <c r="I65" s="69"/>
      <c r="J65" s="69"/>
    </row>
    <row r="66" spans="1:14" s="70" customFormat="1" ht="12.75" customHeight="1" x14ac:dyDescent="0.2">
      <c r="A66" s="127">
        <v>45094</v>
      </c>
      <c r="B66" s="128" t="s">
        <v>11</v>
      </c>
      <c r="C66" s="76" t="s">
        <v>590</v>
      </c>
      <c r="D66" s="126" t="s">
        <v>29</v>
      </c>
      <c r="E66" s="129"/>
      <c r="F66" s="70">
        <v>19669</v>
      </c>
      <c r="G66" s="30"/>
      <c r="I66" s="69"/>
      <c r="J66" s="69"/>
    </row>
    <row r="67" spans="1:14" s="70" customFormat="1" ht="12.75" customHeight="1" x14ac:dyDescent="0.2">
      <c r="A67" s="127">
        <v>45094</v>
      </c>
      <c r="B67" s="128" t="s">
        <v>11</v>
      </c>
      <c r="C67" s="76" t="s">
        <v>125</v>
      </c>
      <c r="D67" s="126" t="s">
        <v>29</v>
      </c>
      <c r="E67" s="129"/>
      <c r="F67" s="70">
        <v>1105593</v>
      </c>
      <c r="G67" s="30"/>
      <c r="I67" s="69"/>
      <c r="J67" s="69"/>
    </row>
    <row r="68" spans="1:14" s="70" customFormat="1" ht="12.75" customHeight="1" x14ac:dyDescent="0.2">
      <c r="A68" s="127">
        <v>45094</v>
      </c>
      <c r="B68" s="128" t="s">
        <v>11</v>
      </c>
      <c r="C68" s="76" t="s">
        <v>269</v>
      </c>
      <c r="D68" s="126" t="s">
        <v>29</v>
      </c>
      <c r="E68" s="129"/>
      <c r="F68" s="70">
        <v>4678493</v>
      </c>
      <c r="G68" s="30"/>
      <c r="I68" s="69"/>
      <c r="J68" s="69"/>
    </row>
    <row r="69" spans="1:14" s="70" customFormat="1" ht="12.75" customHeight="1" x14ac:dyDescent="0.2">
      <c r="A69" s="127">
        <v>45094</v>
      </c>
      <c r="B69" s="128" t="s">
        <v>11</v>
      </c>
      <c r="C69" s="76" t="s">
        <v>1094</v>
      </c>
      <c r="D69" s="126" t="s">
        <v>29</v>
      </c>
      <c r="E69" s="129"/>
      <c r="F69" s="70">
        <v>5495990</v>
      </c>
      <c r="G69" s="30"/>
      <c r="I69" s="69"/>
      <c r="J69" s="69"/>
    </row>
    <row r="70" spans="1:14" s="70" customFormat="1" ht="12.75" customHeight="1" x14ac:dyDescent="0.2">
      <c r="A70" s="127">
        <v>45094</v>
      </c>
      <c r="B70" s="128" t="s">
        <v>11</v>
      </c>
      <c r="C70" s="76" t="s">
        <v>649</v>
      </c>
      <c r="D70" s="126" t="s">
        <v>29</v>
      </c>
      <c r="E70" s="129"/>
      <c r="F70" s="70">
        <v>700000</v>
      </c>
      <c r="G70" s="30"/>
      <c r="I70" s="69"/>
      <c r="J70" s="69"/>
    </row>
    <row r="71" spans="1:14" s="70" customFormat="1" ht="12.75" customHeight="1" x14ac:dyDescent="0.2">
      <c r="A71" s="127">
        <v>45094</v>
      </c>
      <c r="B71" s="128" t="s">
        <v>11</v>
      </c>
      <c r="C71" s="76" t="s">
        <v>443</v>
      </c>
      <c r="D71" s="126" t="s">
        <v>29</v>
      </c>
      <c r="E71" s="129"/>
      <c r="F71" s="70">
        <v>11000000</v>
      </c>
      <c r="G71" s="30"/>
      <c r="I71" s="69"/>
      <c r="J71" s="69"/>
    </row>
    <row r="72" spans="1:14" s="70" customFormat="1" ht="12.75" customHeight="1" x14ac:dyDescent="0.2">
      <c r="A72" s="127">
        <v>45094</v>
      </c>
      <c r="B72" s="128" t="s">
        <v>11</v>
      </c>
      <c r="C72" s="76" t="s">
        <v>486</v>
      </c>
      <c r="D72" s="126" t="s">
        <v>29</v>
      </c>
      <c r="E72" s="129"/>
      <c r="F72" s="70">
        <v>11500000</v>
      </c>
      <c r="G72" s="30"/>
      <c r="I72" s="69"/>
      <c r="J72" s="69"/>
    </row>
    <row r="73" spans="1:14" s="70" customFormat="1" ht="12.75" customHeight="1" x14ac:dyDescent="0.2">
      <c r="A73" s="127">
        <v>45094</v>
      </c>
      <c r="B73" s="128" t="s">
        <v>11</v>
      </c>
      <c r="C73" s="76" t="s">
        <v>490</v>
      </c>
      <c r="D73" s="126" t="s">
        <v>29</v>
      </c>
      <c r="E73" s="129"/>
      <c r="F73" s="70">
        <v>2000</v>
      </c>
      <c r="G73" s="30"/>
      <c r="I73" s="69"/>
      <c r="J73" s="69"/>
    </row>
    <row r="74" spans="1:14" s="70" customFormat="1" ht="12.75" customHeight="1" x14ac:dyDescent="0.2">
      <c r="A74" s="127">
        <v>45094</v>
      </c>
      <c r="B74" s="128" t="s">
        <v>11</v>
      </c>
      <c r="C74" s="76" t="s">
        <v>263</v>
      </c>
      <c r="D74" s="126" t="s">
        <v>29</v>
      </c>
      <c r="E74" s="129"/>
      <c r="F74" s="70">
        <v>42069</v>
      </c>
      <c r="G74" s="30"/>
      <c r="I74" s="69"/>
      <c r="J74" s="69"/>
    </row>
    <row r="75" spans="1:14" s="70" customFormat="1" ht="12.75" customHeight="1" x14ac:dyDescent="0.2">
      <c r="A75" s="127">
        <v>45094</v>
      </c>
      <c r="B75" s="128" t="s">
        <v>11</v>
      </c>
      <c r="C75" s="76" t="s">
        <v>1101</v>
      </c>
      <c r="D75" s="126" t="s">
        <v>29</v>
      </c>
      <c r="E75" s="129"/>
      <c r="F75" s="70">
        <v>500000</v>
      </c>
      <c r="G75" s="30"/>
      <c r="I75" s="69"/>
      <c r="J75" s="69"/>
    </row>
    <row r="76" spans="1:14" s="2" customFormat="1" ht="12.75" customHeight="1" x14ac:dyDescent="0.25">
      <c r="A76" s="32"/>
      <c r="B76" s="33"/>
      <c r="C76" s="14"/>
      <c r="D76" s="34"/>
      <c r="E76" s="16">
        <f>SUM(E25:E75)</f>
        <v>23873325.350000001</v>
      </c>
      <c r="F76" s="16">
        <f>SUM(F25:F75)</f>
        <v>314253554.56999993</v>
      </c>
      <c r="G76" s="30"/>
      <c r="H76" s="1"/>
      <c r="I76" s="39">
        <v>290380229.22000003</v>
      </c>
      <c r="K76" s="92">
        <f>E77-I76</f>
        <v>0</v>
      </c>
      <c r="L76" s="41"/>
      <c r="M76" s="42"/>
    </row>
    <row r="77" spans="1:14" s="2" customFormat="1" ht="12.75" customHeight="1" x14ac:dyDescent="0.2">
      <c r="A77" s="36"/>
      <c r="B77" s="28" t="s">
        <v>11</v>
      </c>
      <c r="C77" s="19" t="s">
        <v>65</v>
      </c>
      <c r="D77" s="37"/>
      <c r="E77" s="38">
        <f>F76-E76</f>
        <v>290380229.21999991</v>
      </c>
      <c r="F77" s="22"/>
      <c r="G77" s="1"/>
      <c r="H77" s="1"/>
      <c r="J77" s="1"/>
      <c r="K77" s="1"/>
      <c r="L77" s="1"/>
      <c r="M77" s="1"/>
    </row>
    <row r="78" spans="1:14" s="2" customFormat="1" ht="12.75" customHeight="1" x14ac:dyDescent="0.2">
      <c r="A78" s="36"/>
      <c r="B78" s="28" t="s">
        <v>66</v>
      </c>
      <c r="C78" s="43" t="s">
        <v>67</v>
      </c>
      <c r="D78" s="43"/>
      <c r="E78" s="12">
        <v>59416310</v>
      </c>
      <c r="F78" s="22"/>
      <c r="G78" s="1"/>
      <c r="H78" s="40"/>
      <c r="I78" s="45">
        <v>2635.44</v>
      </c>
      <c r="J78" s="46"/>
      <c r="K78" s="46"/>
      <c r="L78" s="13"/>
    </row>
    <row r="79" spans="1:14" s="2" customFormat="1" ht="12.75" customHeight="1" x14ac:dyDescent="0.25">
      <c r="A79" s="36"/>
      <c r="B79" s="28"/>
      <c r="C79" s="44" t="s">
        <v>68</v>
      </c>
      <c r="D79" s="43"/>
      <c r="E79" s="7">
        <f>E77+E78</f>
        <v>349796539.21999991</v>
      </c>
      <c r="F79" s="22"/>
      <c r="G79" s="1"/>
      <c r="H79" s="103" t="s">
        <v>69</v>
      </c>
      <c r="I79" s="45">
        <v>-81.81</v>
      </c>
      <c r="J79" s="46"/>
      <c r="K79" s="46"/>
      <c r="N79" s="1"/>
    </row>
    <row r="80" spans="1:14" s="2" customFormat="1" x14ac:dyDescent="0.2">
      <c r="A80" s="24"/>
      <c r="B80" s="1"/>
      <c r="C80" s="14"/>
      <c r="D80" s="25"/>
      <c r="E80" s="1"/>
      <c r="H80" s="35" t="s">
        <v>70</v>
      </c>
      <c r="I80" s="45">
        <f>4.6+54.96</f>
        <v>59.56</v>
      </c>
      <c r="J80" s="46">
        <f>+I81-D83</f>
        <v>0</v>
      </c>
      <c r="M80" s="2" t="s">
        <v>396</v>
      </c>
      <c r="N80" s="1"/>
    </row>
    <row r="81" spans="1:14" x14ac:dyDescent="0.2">
      <c r="C81" s="56"/>
      <c r="D81" s="56"/>
      <c r="E81" s="104"/>
      <c r="I81" s="49">
        <f>SUM(I78:I80)</f>
        <v>2613.19</v>
      </c>
      <c r="J81" s="46"/>
      <c r="K81" s="46"/>
      <c r="L81" s="2"/>
      <c r="M81" s="2"/>
      <c r="N81" s="2"/>
    </row>
    <row r="82" spans="1:14" x14ac:dyDescent="0.2">
      <c r="C82" s="78" t="s">
        <v>575</v>
      </c>
      <c r="D82" s="48" t="s">
        <v>576</v>
      </c>
      <c r="E82" s="104"/>
      <c r="I82" s="2"/>
      <c r="J82" s="2"/>
      <c r="K82" s="2"/>
      <c r="L82" s="2"/>
      <c r="M82" s="2"/>
      <c r="N82" s="2"/>
    </row>
    <row r="83" spans="1:14" s="2" customFormat="1" x14ac:dyDescent="0.2">
      <c r="A83" s="24"/>
      <c r="B83" s="1"/>
      <c r="C83" s="47" t="s">
        <v>570</v>
      </c>
      <c r="D83" s="111">
        <v>2613.19</v>
      </c>
      <c r="E83" s="104"/>
      <c r="G83" s="1"/>
      <c r="H83" s="110" t="s">
        <v>581</v>
      </c>
      <c r="N83" s="2" t="s">
        <v>535</v>
      </c>
    </row>
    <row r="84" spans="1:14" s="2" customFormat="1" x14ac:dyDescent="0.2">
      <c r="A84" s="24"/>
      <c r="B84" s="1"/>
      <c r="C84" s="47" t="s">
        <v>931</v>
      </c>
      <c r="D84" s="111">
        <v>351.44</v>
      </c>
      <c r="E84" s="104"/>
      <c r="G84" s="1"/>
      <c r="H84" s="110" t="s">
        <v>580</v>
      </c>
    </row>
    <row r="85" spans="1:14" s="2" customFormat="1" x14ac:dyDescent="0.2">
      <c r="A85" s="24"/>
      <c r="B85" s="1"/>
      <c r="C85" s="47" t="s">
        <v>572</v>
      </c>
      <c r="D85" s="111">
        <f>+D115/100000</f>
        <v>232.44355740000003</v>
      </c>
      <c r="E85" s="104"/>
      <c r="G85" s="1"/>
      <c r="H85" s="90" t="s">
        <v>587</v>
      </c>
    </row>
    <row r="86" spans="1:14" s="2" customFormat="1" x14ac:dyDescent="0.2">
      <c r="A86" s="24"/>
      <c r="B86" s="1"/>
      <c r="C86" s="108" t="s">
        <v>578</v>
      </c>
      <c r="D86" s="48">
        <f>SUM(D83:D85)</f>
        <v>3197.0735574</v>
      </c>
      <c r="E86" s="104"/>
      <c r="G86" s="1"/>
    </row>
    <row r="87" spans="1:14" s="2" customFormat="1" x14ac:dyDescent="0.2">
      <c r="A87" s="24"/>
      <c r="B87" s="1"/>
      <c r="C87" s="47"/>
      <c r="D87" s="107"/>
      <c r="E87" s="104"/>
      <c r="G87" s="1"/>
    </row>
    <row r="88" spans="1:14" s="2" customFormat="1" x14ac:dyDescent="0.2">
      <c r="A88" s="24"/>
      <c r="B88" s="1"/>
      <c r="C88" s="47" t="s">
        <v>932</v>
      </c>
      <c r="D88" s="111">
        <v>299.08999999999997</v>
      </c>
      <c r="E88" s="104"/>
      <c r="G88" s="1"/>
      <c r="H88" s="110" t="s">
        <v>581</v>
      </c>
    </row>
    <row r="89" spans="1:14" s="2" customFormat="1" x14ac:dyDescent="0.2">
      <c r="A89" s="24"/>
      <c r="B89" s="1"/>
      <c r="C89" s="47" t="s">
        <v>933</v>
      </c>
      <c r="D89" s="111">
        <f>103.95+270-183.11</f>
        <v>190.83999999999997</v>
      </c>
      <c r="E89" s="104"/>
      <c r="G89" s="1"/>
      <c r="H89" s="110" t="s">
        <v>581</v>
      </c>
      <c r="J89" s="114" t="s">
        <v>713</v>
      </c>
    </row>
    <row r="90" spans="1:14" s="2" customFormat="1" x14ac:dyDescent="0.2">
      <c r="A90" s="24"/>
      <c r="B90" s="1"/>
      <c r="C90" s="78" t="s">
        <v>579</v>
      </c>
      <c r="D90" s="109">
        <f>D88+D89</f>
        <v>489.92999999999995</v>
      </c>
      <c r="E90" s="104"/>
      <c r="G90" s="1"/>
      <c r="I90" s="113"/>
      <c r="J90" s="113" t="s">
        <v>709</v>
      </c>
      <c r="K90" s="113" t="s">
        <v>710</v>
      </c>
      <c r="L90" s="113" t="s">
        <v>711</v>
      </c>
      <c r="M90" s="113" t="s">
        <v>712</v>
      </c>
    </row>
    <row r="91" spans="1:14" s="2" customFormat="1" x14ac:dyDescent="0.2">
      <c r="A91" s="24"/>
      <c r="B91" s="1"/>
      <c r="C91" s="105"/>
      <c r="D91" s="106"/>
      <c r="E91" s="104"/>
      <c r="G91" s="1"/>
      <c r="I91" s="113" t="s">
        <v>706</v>
      </c>
      <c r="J91" s="115"/>
      <c r="K91" s="115">
        <v>968.99</v>
      </c>
      <c r="L91" s="115">
        <v>968.99</v>
      </c>
      <c r="M91" s="113">
        <f>+J91+L91-K91</f>
        <v>0</v>
      </c>
    </row>
    <row r="92" spans="1:14" s="2" customFormat="1" x14ac:dyDescent="0.2">
      <c r="A92" s="24"/>
      <c r="B92" s="1"/>
      <c r="C92" s="78" t="s">
        <v>577</v>
      </c>
      <c r="D92" s="109">
        <f>D83+D90</f>
        <v>3103.12</v>
      </c>
      <c r="E92" s="104"/>
      <c r="G92" s="1"/>
      <c r="I92" s="113" t="s">
        <v>707</v>
      </c>
      <c r="J92" s="115">
        <v>183.1</v>
      </c>
      <c r="K92" s="115">
        <v>2312.4</v>
      </c>
      <c r="L92" s="115">
        <v>3091.9</v>
      </c>
      <c r="M92" s="113">
        <f>+J92+L92-K92</f>
        <v>962.59999999999991</v>
      </c>
    </row>
    <row r="93" spans="1:14" s="2" customFormat="1" x14ac:dyDescent="0.2">
      <c r="A93" s="24"/>
      <c r="B93" s="1"/>
      <c r="C93" s="56"/>
      <c r="D93" s="56"/>
      <c r="E93" s="104"/>
      <c r="G93" s="1"/>
      <c r="I93" s="113" t="s">
        <v>708</v>
      </c>
      <c r="J93" s="115">
        <v>1371.02</v>
      </c>
      <c r="K93" s="115">
        <v>12015.17</v>
      </c>
      <c r="L93" s="115">
        <v>12123.54</v>
      </c>
      <c r="M93" s="113">
        <f>+J93+L93-K93</f>
        <v>1479.3900000000012</v>
      </c>
    </row>
    <row r="94" spans="1:14" s="2" customFormat="1" ht="38.25" x14ac:dyDescent="0.2">
      <c r="A94" s="24"/>
      <c r="B94" s="1"/>
      <c r="C94" s="79" t="str">
        <f>"Particulars ( 01-04-2021 to "&amp;TEXT(A5,"dd-mm-yyyy")&amp;" )"</f>
        <v>Particulars ( 01-04-2021 to 17-06-2023 )</v>
      </c>
      <c r="D94" s="80" t="s">
        <v>73</v>
      </c>
      <c r="E94" s="80" t="s">
        <v>74</v>
      </c>
      <c r="F94" s="81" t="s">
        <v>75</v>
      </c>
      <c r="G94" s="80" t="s">
        <v>76</v>
      </c>
      <c r="J94" s="118">
        <f>SUM(J91:J93)</f>
        <v>1554.12</v>
      </c>
      <c r="K94" s="118">
        <f>SUM(K91:K93)</f>
        <v>15296.560000000001</v>
      </c>
      <c r="L94" s="118">
        <f>SUM(L91:L93)</f>
        <v>16184.43</v>
      </c>
      <c r="M94" s="118">
        <f>SUM(M91:M93)</f>
        <v>2441.9900000000011</v>
      </c>
    </row>
    <row r="95" spans="1:14" s="2" customFormat="1" x14ac:dyDescent="0.2">
      <c r="A95" s="24"/>
      <c r="B95" s="1"/>
      <c r="C95" s="50" t="s">
        <v>444</v>
      </c>
      <c r="D95" s="55">
        <f>+L91+L92+J92</f>
        <v>4243.9900000000007</v>
      </c>
      <c r="E95" s="55">
        <f>+K91+K92</f>
        <v>3281.3900000000003</v>
      </c>
      <c r="F95" s="55">
        <f>+D95-E95</f>
        <v>962.60000000000036</v>
      </c>
      <c r="G95" s="55">
        <f>1500-F95</f>
        <v>537.39999999999964</v>
      </c>
      <c r="H95" s="2" t="s">
        <v>396</v>
      </c>
    </row>
    <row r="96" spans="1:14" s="2" customFormat="1" x14ac:dyDescent="0.2">
      <c r="A96" s="24"/>
      <c r="B96" s="1"/>
      <c r="C96" s="50" t="s">
        <v>71</v>
      </c>
      <c r="D96" s="55">
        <f>+J93+L93</f>
        <v>13494.560000000001</v>
      </c>
      <c r="E96" s="55">
        <f>+K93</f>
        <v>12015.17</v>
      </c>
      <c r="F96" s="55">
        <f>+D96-E96</f>
        <v>1479.3900000000012</v>
      </c>
      <c r="G96" s="55">
        <f>1500+700-F96</f>
        <v>720.60999999999876</v>
      </c>
      <c r="H96" s="2" t="s">
        <v>396</v>
      </c>
    </row>
    <row r="97" spans="1:13" s="2" customFormat="1" x14ac:dyDescent="0.2">
      <c r="A97" s="24"/>
      <c r="B97" s="1"/>
      <c r="C97" s="14"/>
      <c r="D97" s="56"/>
      <c r="E97" s="13"/>
      <c r="G97" s="1"/>
    </row>
    <row r="98" spans="1:13" s="2" customFormat="1" x14ac:dyDescent="0.2">
      <c r="A98" s="215" t="s">
        <v>80</v>
      </c>
      <c r="B98" s="216"/>
      <c r="C98" s="216"/>
      <c r="D98" s="217"/>
      <c r="E98" s="69"/>
      <c r="F98" s="70"/>
      <c r="G98" s="1"/>
      <c r="H98" s="53"/>
    </row>
    <row r="99" spans="1:13" s="2" customFormat="1" x14ac:dyDescent="0.2">
      <c r="A99" s="71" t="s">
        <v>81</v>
      </c>
      <c r="B99" s="71"/>
      <c r="C99" s="72" t="s">
        <v>82</v>
      </c>
      <c r="D99" s="73" t="s">
        <v>83</v>
      </c>
      <c r="E99" s="69"/>
      <c r="F99" s="70"/>
      <c r="H99" s="53"/>
    </row>
    <row r="100" spans="1:13" s="2" customFormat="1" x14ac:dyDescent="0.2">
      <c r="A100" s="87">
        <v>45080</v>
      </c>
      <c r="B100" s="120" t="s">
        <v>1052</v>
      </c>
      <c r="C100" s="75" t="s">
        <v>86</v>
      </c>
      <c r="D100" s="88">
        <v>163799</v>
      </c>
      <c r="G100" s="1"/>
      <c r="L100" s="1"/>
      <c r="M100" s="1"/>
    </row>
    <row r="101" spans="1:13" s="2" customFormat="1" x14ac:dyDescent="0.2">
      <c r="A101" s="87">
        <v>45080</v>
      </c>
      <c r="B101" s="120" t="s">
        <v>1052</v>
      </c>
      <c r="C101" s="75" t="s">
        <v>86</v>
      </c>
      <c r="D101" s="88">
        <v>1695107</v>
      </c>
      <c r="G101" s="1"/>
      <c r="L101" s="1"/>
      <c r="M101" s="1"/>
    </row>
    <row r="102" spans="1:13" s="2" customFormat="1" x14ac:dyDescent="0.2">
      <c r="A102" s="87">
        <v>45082</v>
      </c>
      <c r="B102" s="120" t="s">
        <v>1052</v>
      </c>
      <c r="C102" s="75" t="s">
        <v>87</v>
      </c>
      <c r="D102" s="88">
        <v>6627</v>
      </c>
      <c r="G102" s="1"/>
      <c r="L102" s="1"/>
      <c r="M102" s="1"/>
    </row>
    <row r="103" spans="1:13" s="2" customFormat="1" x14ac:dyDescent="0.2">
      <c r="A103" s="87">
        <v>45084</v>
      </c>
      <c r="B103" s="120" t="s">
        <v>1052</v>
      </c>
      <c r="C103" s="75" t="s">
        <v>87</v>
      </c>
      <c r="D103" s="88">
        <v>618395.80000000005</v>
      </c>
      <c r="G103" s="1"/>
      <c r="L103" s="1"/>
      <c r="M103" s="1"/>
    </row>
    <row r="104" spans="1:13" s="2" customFormat="1" x14ac:dyDescent="0.2">
      <c r="A104" s="87">
        <v>45086</v>
      </c>
      <c r="B104" s="120" t="s">
        <v>1052</v>
      </c>
      <c r="C104" s="75" t="s">
        <v>784</v>
      </c>
      <c r="D104" s="88">
        <v>1104724</v>
      </c>
      <c r="G104" s="1"/>
      <c r="L104" s="1"/>
      <c r="M104" s="1"/>
    </row>
    <row r="105" spans="1:13" s="2" customFormat="1" x14ac:dyDescent="0.2">
      <c r="A105" s="87">
        <v>45086</v>
      </c>
      <c r="B105" s="120" t="s">
        <v>1052</v>
      </c>
      <c r="C105" s="75" t="s">
        <v>86</v>
      </c>
      <c r="D105" s="88">
        <v>1756907</v>
      </c>
      <c r="G105" s="1"/>
      <c r="L105" s="1"/>
      <c r="M105" s="1"/>
    </row>
    <row r="106" spans="1:13" s="2" customFormat="1" x14ac:dyDescent="0.2">
      <c r="A106" s="87">
        <v>45086</v>
      </c>
      <c r="B106" s="120" t="s">
        <v>1052</v>
      </c>
      <c r="C106" s="75" t="s">
        <v>784</v>
      </c>
      <c r="D106" s="88">
        <v>1489874</v>
      </c>
      <c r="G106" s="1"/>
      <c r="L106" s="1"/>
      <c r="M106" s="1"/>
    </row>
    <row r="107" spans="1:13" s="2" customFormat="1" x14ac:dyDescent="0.2">
      <c r="A107" s="87">
        <v>45086</v>
      </c>
      <c r="B107" s="120" t="s">
        <v>1052</v>
      </c>
      <c r="C107" s="75" t="s">
        <v>201</v>
      </c>
      <c r="D107" s="88">
        <v>5000192.4400000004</v>
      </c>
      <c r="G107" s="1"/>
      <c r="L107" s="1"/>
      <c r="M107" s="1"/>
    </row>
    <row r="108" spans="1:13" s="2" customFormat="1" x14ac:dyDescent="0.2">
      <c r="A108" s="87">
        <v>45089</v>
      </c>
      <c r="B108" s="120" t="s">
        <v>1052</v>
      </c>
      <c r="C108" s="75" t="s">
        <v>566</v>
      </c>
      <c r="D108" s="88">
        <v>654429</v>
      </c>
      <c r="G108" s="1"/>
      <c r="L108" s="1"/>
      <c r="M108" s="1"/>
    </row>
    <row r="109" spans="1:13" s="2" customFormat="1" x14ac:dyDescent="0.2">
      <c r="A109" s="87">
        <v>45090</v>
      </c>
      <c r="B109" s="120" t="s">
        <v>1052</v>
      </c>
      <c r="C109" s="75" t="s">
        <v>566</v>
      </c>
      <c r="D109" s="88">
        <f>62180.5+9179</f>
        <v>71359.5</v>
      </c>
      <c r="G109" s="1"/>
      <c r="L109" s="1"/>
      <c r="M109" s="1"/>
    </row>
    <row r="110" spans="1:13" s="2" customFormat="1" x14ac:dyDescent="0.2">
      <c r="A110" s="87">
        <v>45090</v>
      </c>
      <c r="B110" s="120" t="s">
        <v>1052</v>
      </c>
      <c r="C110" s="75" t="s">
        <v>1084</v>
      </c>
      <c r="D110" s="88">
        <v>5353676</v>
      </c>
      <c r="G110" s="1"/>
      <c r="L110" s="1"/>
      <c r="M110" s="1"/>
    </row>
    <row r="111" spans="1:13" s="2" customFormat="1" x14ac:dyDescent="0.2">
      <c r="A111" s="87">
        <v>45091</v>
      </c>
      <c r="B111" s="120" t="s">
        <v>1052</v>
      </c>
      <c r="C111" s="75" t="s">
        <v>87</v>
      </c>
      <c r="D111" s="88">
        <v>1261201</v>
      </c>
      <c r="G111" s="1"/>
      <c r="L111" s="1"/>
      <c r="M111" s="1"/>
    </row>
    <row r="112" spans="1:13" s="2" customFormat="1" x14ac:dyDescent="0.2">
      <c r="A112" s="87">
        <v>45091</v>
      </c>
      <c r="B112" s="120" t="s">
        <v>1052</v>
      </c>
      <c r="C112" s="75" t="s">
        <v>1090</v>
      </c>
      <c r="D112" s="88">
        <v>1000000</v>
      </c>
      <c r="G112" s="1"/>
      <c r="L112" s="1"/>
      <c r="M112" s="1"/>
    </row>
    <row r="113" spans="1:13" s="2" customFormat="1" x14ac:dyDescent="0.2">
      <c r="A113" s="87">
        <v>45092</v>
      </c>
      <c r="B113" s="120" t="s">
        <v>1052</v>
      </c>
      <c r="C113" s="75" t="s">
        <v>271</v>
      </c>
      <c r="D113" s="88">
        <v>485258</v>
      </c>
      <c r="G113" s="1"/>
      <c r="L113" s="1"/>
      <c r="M113" s="1"/>
    </row>
    <row r="114" spans="1:13" s="2" customFormat="1" x14ac:dyDescent="0.2">
      <c r="A114" s="87">
        <v>45094</v>
      </c>
      <c r="B114" s="120" t="s">
        <v>1052</v>
      </c>
      <c r="C114" s="75" t="s">
        <v>467</v>
      </c>
      <c r="D114" s="88">
        <v>2582806</v>
      </c>
      <c r="G114" s="1"/>
      <c r="L114" s="1"/>
      <c r="M114" s="1"/>
    </row>
    <row r="115" spans="1:13" s="2" customFormat="1" x14ac:dyDescent="0.2">
      <c r="A115" s="87"/>
      <c r="B115" s="74"/>
      <c r="C115" s="75"/>
      <c r="D115" s="51">
        <f>SUM(D100:D114)</f>
        <v>23244355.740000002</v>
      </c>
      <c r="F115" s="2" t="s">
        <v>396</v>
      </c>
      <c r="G115" s="1"/>
      <c r="L115" s="1"/>
      <c r="M115" s="1"/>
    </row>
    <row r="116" spans="1:13" s="2" customFormat="1" x14ac:dyDescent="0.2">
      <c r="A116" s="24"/>
      <c r="B116" s="1"/>
      <c r="C116" s="14"/>
      <c r="D116" s="56"/>
      <c r="E116" s="13"/>
      <c r="G116" s="1"/>
      <c r="L116" s="1"/>
      <c r="M116" s="1"/>
    </row>
    <row r="117" spans="1:13" s="2" customFormat="1" x14ac:dyDescent="0.2">
      <c r="A117" s="24"/>
      <c r="B117" s="1"/>
      <c r="C117" s="218" t="s">
        <v>77</v>
      </c>
      <c r="D117" s="219"/>
      <c r="E117" s="219"/>
      <c r="F117" s="220"/>
      <c r="G117" s="1"/>
      <c r="L117" s="1"/>
      <c r="M117" s="1"/>
    </row>
    <row r="118" spans="1:13" s="2" customFormat="1" x14ac:dyDescent="0.2">
      <c r="A118" s="24"/>
      <c r="B118" s="1"/>
      <c r="C118" s="50"/>
      <c r="D118" s="57" t="s">
        <v>78</v>
      </c>
      <c r="E118" s="58" t="s">
        <v>79</v>
      </c>
      <c r="F118" s="57" t="s">
        <v>72</v>
      </c>
      <c r="G118" s="1"/>
      <c r="I118" s="1"/>
      <c r="J118" s="1"/>
      <c r="K118" s="1"/>
      <c r="L118" s="1"/>
      <c r="M118" s="1"/>
    </row>
    <row r="119" spans="1:13" s="2" customFormat="1" x14ac:dyDescent="0.2">
      <c r="A119" s="24"/>
      <c r="B119" s="1"/>
      <c r="C119" s="59" t="str">
        <f>"01-06-2023 to "&amp;TEXT(A5-2,"dd-mm-yyyy")</f>
        <v>01-06-2023 to 15-06-2023</v>
      </c>
      <c r="D119" s="60">
        <v>2965.47</v>
      </c>
      <c r="E119" s="60">
        <v>115.68</v>
      </c>
      <c r="F119" s="61">
        <f>SUM(D119:E119)</f>
        <v>3081.1499999999996</v>
      </c>
      <c r="G119" s="1"/>
    </row>
    <row r="120" spans="1:13" s="2" customFormat="1" x14ac:dyDescent="0.2">
      <c r="A120" s="24"/>
      <c r="B120" s="1"/>
      <c r="C120" s="62" t="str">
        <f>TEXT(A5-1,"dd-mm-yyyy")</f>
        <v>16-06-2023</v>
      </c>
      <c r="D120" s="60">
        <v>365.94</v>
      </c>
      <c r="E120" s="60">
        <v>4.53</v>
      </c>
      <c r="F120" s="61">
        <f>SUM(D120:E120)</f>
        <v>370.46999999999997</v>
      </c>
      <c r="G120" s="54"/>
      <c r="I120" s="1"/>
      <c r="J120" s="1"/>
      <c r="K120" s="1"/>
      <c r="L120" s="1"/>
      <c r="M120" s="1"/>
    </row>
    <row r="121" spans="1:13" s="2" customFormat="1" ht="13.5" thickBot="1" x14ac:dyDescent="0.25">
      <c r="A121" s="24"/>
      <c r="B121" s="1"/>
      <c r="C121" s="63" t="str">
        <f>"01-06-2023 to "&amp;TEXT(A5-1,"dd-mm-yyyy")</f>
        <v>01-06-2023 to 16-06-2023</v>
      </c>
      <c r="D121" s="64">
        <f>SUM(D119:D120)</f>
        <v>3331.41</v>
      </c>
      <c r="E121" s="64">
        <f>SUM(E119:E120)</f>
        <v>120.21000000000001</v>
      </c>
      <c r="F121" s="64">
        <f>SUM(F119:F120)</f>
        <v>3451.6199999999994</v>
      </c>
      <c r="G121" s="54"/>
      <c r="I121" s="1"/>
      <c r="J121" s="1"/>
      <c r="K121" s="1"/>
      <c r="L121" s="1"/>
      <c r="M121" s="1"/>
    </row>
    <row r="122" spans="1:13" s="2" customFormat="1" ht="13.5" thickTop="1" x14ac:dyDescent="0.2">
      <c r="A122" s="24"/>
      <c r="B122" s="1"/>
      <c r="C122" s="62"/>
      <c r="D122" s="65"/>
      <c r="E122" s="66"/>
      <c r="F122" s="67"/>
      <c r="G122" s="54"/>
      <c r="I122" s="1"/>
      <c r="J122" s="1"/>
      <c r="K122" s="1"/>
      <c r="L122" s="1"/>
      <c r="M122" s="1"/>
    </row>
    <row r="123" spans="1:13" s="2" customFormat="1" x14ac:dyDescent="0.2">
      <c r="A123" s="24"/>
      <c r="B123" s="1"/>
      <c r="C123" s="62" t="str">
        <f>"01-04-2023 to " &amp;C120</f>
        <v>01-04-2023 to 16-06-2023</v>
      </c>
      <c r="D123" s="68">
        <f>+D121+9224.33</f>
        <v>12555.74</v>
      </c>
      <c r="E123" s="68">
        <f>+E121+906.58</f>
        <v>1026.79</v>
      </c>
      <c r="F123" s="68">
        <f>+F121+10130.9</f>
        <v>13582.519999999999</v>
      </c>
      <c r="G123" s="54"/>
      <c r="I123" s="1"/>
      <c r="J123" s="1"/>
      <c r="K123" s="1"/>
      <c r="L123" s="1"/>
      <c r="M123" s="1"/>
    </row>
    <row r="124" spans="1:13" x14ac:dyDescent="0.2">
      <c r="C124" s="52"/>
      <c r="D124" s="85"/>
      <c r="E124" s="53"/>
      <c r="F124" s="53"/>
      <c r="G124" s="54"/>
      <c r="H124" s="2" t="s">
        <v>396</v>
      </c>
    </row>
    <row r="125" spans="1:13" s="2" customFormat="1" x14ac:dyDescent="0.2">
      <c r="A125" s="24"/>
      <c r="B125" s="1"/>
      <c r="C125" s="52"/>
      <c r="D125" s="85"/>
      <c r="E125" s="53"/>
      <c r="F125" s="53"/>
      <c r="G125" s="54"/>
      <c r="H125" s="53"/>
    </row>
    <row r="126" spans="1:13" x14ac:dyDescent="0.2">
      <c r="C126" s="52"/>
      <c r="D126" s="85"/>
      <c r="E126" s="53"/>
      <c r="F126" s="53"/>
      <c r="G126" s="54"/>
      <c r="H126" s="53" t="s">
        <v>396</v>
      </c>
    </row>
    <row r="127" spans="1:13" x14ac:dyDescent="0.2">
      <c r="C127" s="52"/>
      <c r="D127" s="85"/>
      <c r="E127" s="53"/>
      <c r="F127" s="53"/>
      <c r="G127" s="54"/>
      <c r="H127" s="53" t="s">
        <v>396</v>
      </c>
      <c r="J127" s="42"/>
    </row>
    <row r="128" spans="1:13" x14ac:dyDescent="0.2">
      <c r="G128" s="54"/>
      <c r="H128" s="53"/>
      <c r="I128" s="101"/>
    </row>
    <row r="129" spans="7:8" x14ac:dyDescent="0.2">
      <c r="G129" s="54"/>
      <c r="H129" s="53"/>
    </row>
    <row r="130" spans="7:8" x14ac:dyDescent="0.2">
      <c r="G130" s="54"/>
      <c r="H130" s="53"/>
    </row>
    <row r="131" spans="7:8" x14ac:dyDescent="0.2">
      <c r="H131" s="53"/>
    </row>
  </sheetData>
  <mergeCells count="6">
    <mergeCell ref="C117:F117"/>
    <mergeCell ref="A1:G1"/>
    <mergeCell ref="A3:F3"/>
    <mergeCell ref="A9:F9"/>
    <mergeCell ref="A23:F23"/>
    <mergeCell ref="A98:D98"/>
  </mergeCells>
  <conditionalFormatting sqref="G95:G96">
    <cfRule type="cellIs" dxfId="480" priority="1" operator="lessThan">
      <formula>0</formula>
    </cfRule>
  </conditionalFormatting>
  <conditionalFormatting sqref="C25">
    <cfRule type="duplicateValues" dxfId="479" priority="2"/>
  </conditionalFormatting>
  <conditionalFormatting sqref="C26:C49 C56:C75">
    <cfRule type="duplicateValues" dxfId="478" priority="546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355">
    <pageSetUpPr fitToPage="1"/>
  </sheetPr>
  <dimension ref="A1:N115"/>
  <sheetViews>
    <sheetView topLeftCell="C34" zoomScaleNormal="100" workbookViewId="0">
      <selection activeCell="C46" sqref="C46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47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1102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45096</v>
      </c>
      <c r="B5" s="9" t="s">
        <v>6</v>
      </c>
      <c r="C5" s="10" t="s">
        <v>7</v>
      </c>
      <c r="D5" s="11"/>
      <c r="E5" s="12">
        <v>242816.70000000019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242816.70000000019</v>
      </c>
      <c r="F6" s="16">
        <f>F5</f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+E6-F6</f>
        <v>242816.70000000019</v>
      </c>
      <c r="F7" s="22"/>
      <c r="G7" s="23"/>
      <c r="H7" s="112"/>
      <c r="I7" s="112"/>
      <c r="J7" s="13"/>
    </row>
    <row r="8" spans="1:10" ht="12.75" customHeight="1" x14ac:dyDescent="0.4">
      <c r="H8" s="112"/>
      <c r="I8" s="112"/>
    </row>
    <row r="9" spans="1:10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12"/>
    </row>
    <row r="10" spans="1:10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12"/>
    </row>
    <row r="11" spans="1:10" s="2" customFormat="1" ht="14.25" customHeight="1" x14ac:dyDescent="0.2">
      <c r="A11" s="127">
        <v>45096</v>
      </c>
      <c r="B11" s="9" t="s">
        <v>6</v>
      </c>
      <c r="C11" s="10" t="s">
        <v>7</v>
      </c>
      <c r="D11" s="11"/>
      <c r="F11" s="12">
        <v>29190913.579999991</v>
      </c>
      <c r="G11" s="1"/>
      <c r="H11" s="130"/>
      <c r="I11" s="130"/>
    </row>
    <row r="12" spans="1:10" s="2" customFormat="1" ht="14.25" customHeight="1" x14ac:dyDescent="0.2">
      <c r="A12" s="127">
        <v>45096</v>
      </c>
      <c r="B12" s="9" t="s">
        <v>6</v>
      </c>
      <c r="C12" s="10" t="s">
        <v>1103</v>
      </c>
      <c r="D12" s="11" t="s">
        <v>13</v>
      </c>
      <c r="E12" s="2">
        <v>7389208.8600000003</v>
      </c>
      <c r="F12" s="12"/>
      <c r="G12" s="1"/>
      <c r="H12" s="130"/>
      <c r="I12" s="130"/>
    </row>
    <row r="13" spans="1:10" s="2" customFormat="1" ht="14.25" customHeight="1" x14ac:dyDescent="0.2">
      <c r="A13" s="127">
        <v>45096</v>
      </c>
      <c r="B13" s="9" t="s">
        <v>11</v>
      </c>
      <c r="C13" s="76" t="s">
        <v>544</v>
      </c>
      <c r="D13" s="11" t="s">
        <v>29</v>
      </c>
      <c r="F13" s="12">
        <v>18049</v>
      </c>
      <c r="G13" s="1"/>
      <c r="H13" s="130"/>
      <c r="I13" s="130"/>
    </row>
    <row r="14" spans="1:10" s="2" customFormat="1" ht="14.25" customHeight="1" x14ac:dyDescent="0.2">
      <c r="A14" s="127">
        <v>45096</v>
      </c>
      <c r="B14" s="9" t="s">
        <v>11</v>
      </c>
      <c r="C14" s="76" t="s">
        <v>1104</v>
      </c>
      <c r="D14" s="11" t="s">
        <v>29</v>
      </c>
      <c r="F14" s="12">
        <v>9472</v>
      </c>
      <c r="G14" s="1"/>
      <c r="H14" s="130"/>
      <c r="I14" s="130"/>
    </row>
    <row r="15" spans="1:10" s="2" customFormat="1" ht="14.25" customHeight="1" x14ac:dyDescent="0.2">
      <c r="A15" s="127">
        <v>45096</v>
      </c>
      <c r="B15" s="9" t="s">
        <v>11</v>
      </c>
      <c r="C15" s="76" t="s">
        <v>242</v>
      </c>
      <c r="D15" s="11" t="s">
        <v>29</v>
      </c>
      <c r="F15" s="12">
        <v>50000</v>
      </c>
      <c r="G15" s="1"/>
      <c r="H15" s="130"/>
      <c r="I15" s="130"/>
    </row>
    <row r="16" spans="1:10" s="2" customFormat="1" ht="14.25" customHeight="1" x14ac:dyDescent="0.2">
      <c r="A16" s="127">
        <v>45096</v>
      </c>
      <c r="B16" s="9" t="s">
        <v>11</v>
      </c>
      <c r="C16" s="76" t="s">
        <v>998</v>
      </c>
      <c r="D16" s="11" t="s">
        <v>29</v>
      </c>
      <c r="F16" s="12">
        <v>2065458.45</v>
      </c>
      <c r="G16" s="1"/>
      <c r="H16" s="130"/>
      <c r="I16" s="130"/>
    </row>
    <row r="17" spans="1:10" s="2" customFormat="1" ht="14.25" customHeight="1" x14ac:dyDescent="0.2">
      <c r="A17" s="127">
        <v>45096</v>
      </c>
      <c r="B17" s="9" t="s">
        <v>11</v>
      </c>
      <c r="C17" s="76" t="s">
        <v>790</v>
      </c>
      <c r="D17" s="11" t="s">
        <v>29</v>
      </c>
      <c r="F17" s="12">
        <v>1028372</v>
      </c>
      <c r="G17" s="1"/>
      <c r="H17" s="130"/>
      <c r="I17" s="130"/>
    </row>
    <row r="18" spans="1:10" s="2" customFormat="1" ht="14.25" customHeight="1" x14ac:dyDescent="0.2">
      <c r="A18" s="127">
        <v>45096</v>
      </c>
      <c r="B18" s="9" t="s">
        <v>11</v>
      </c>
      <c r="C18" s="76" t="s">
        <v>477</v>
      </c>
      <c r="D18" s="11" t="s">
        <v>29</v>
      </c>
      <c r="F18" s="12">
        <v>56560</v>
      </c>
      <c r="G18" s="1"/>
      <c r="H18" s="130"/>
      <c r="I18" s="130"/>
    </row>
    <row r="19" spans="1:10" s="2" customFormat="1" ht="12.75" customHeight="1" x14ac:dyDescent="0.4">
      <c r="D19" s="15" t="s">
        <v>8</v>
      </c>
      <c r="E19" s="16">
        <f>SUM(E12:E18)</f>
        <v>7389208.8600000003</v>
      </c>
      <c r="F19" s="16">
        <f>SUM(F11:F18)</f>
        <v>32418825.02999999</v>
      </c>
      <c r="G19" s="1"/>
      <c r="H19" s="112"/>
      <c r="I19" s="112"/>
    </row>
    <row r="20" spans="1:10" s="2" customFormat="1" ht="12.75" customHeight="1" x14ac:dyDescent="0.4">
      <c r="A20" s="17"/>
      <c r="B20" s="18"/>
      <c r="C20" s="96" t="s">
        <v>9</v>
      </c>
      <c r="D20" s="20"/>
      <c r="E20" s="21">
        <f>+F19-E19</f>
        <v>25029616.169999991</v>
      </c>
      <c r="G20" s="23"/>
      <c r="H20" s="112"/>
      <c r="I20" s="112"/>
      <c r="J20" s="13"/>
    </row>
    <row r="21" spans="1:10" s="2" customFormat="1" ht="12.75" customHeight="1" x14ac:dyDescent="0.4">
      <c r="A21" s="24"/>
      <c r="B21" s="1"/>
      <c r="C21" s="14"/>
      <c r="D21" s="25"/>
      <c r="G21" s="23"/>
      <c r="H21" s="112"/>
      <c r="I21" s="112"/>
      <c r="J21" s="13"/>
    </row>
    <row r="22" spans="1:10" s="2" customFormat="1" ht="21.75" customHeight="1" x14ac:dyDescent="0.4">
      <c r="A22" s="214" t="s">
        <v>10</v>
      </c>
      <c r="B22" s="214"/>
      <c r="C22" s="214"/>
      <c r="D22" s="214"/>
      <c r="E22" s="214"/>
      <c r="F22" s="214"/>
      <c r="G22" s="13"/>
      <c r="H22" s="112"/>
      <c r="I22" s="112"/>
      <c r="J22" s="13"/>
    </row>
    <row r="23" spans="1:10" s="2" customFormat="1" ht="12.75" customHeight="1" x14ac:dyDescent="0.4">
      <c r="A23" s="26" t="s">
        <v>1</v>
      </c>
      <c r="B23" s="27" t="s">
        <v>2</v>
      </c>
      <c r="C23" s="5"/>
      <c r="D23" s="6" t="s">
        <v>3</v>
      </c>
      <c r="E23" s="7" t="s">
        <v>4</v>
      </c>
      <c r="F23" s="7" t="s">
        <v>5</v>
      </c>
      <c r="G23" s="23"/>
      <c r="H23" s="112"/>
      <c r="I23" s="112"/>
      <c r="J23" s="13"/>
    </row>
    <row r="24" spans="1:10" s="2" customFormat="1" ht="12.75" customHeight="1" x14ac:dyDescent="0.2">
      <c r="A24" s="127">
        <v>45096</v>
      </c>
      <c r="B24" s="128" t="s">
        <v>11</v>
      </c>
      <c r="C24" s="29" t="s">
        <v>7</v>
      </c>
      <c r="D24" s="25"/>
      <c r="E24" s="31"/>
      <c r="F24" s="2">
        <v>290380229.21999991</v>
      </c>
      <c r="G24" s="30"/>
      <c r="I24" s="13"/>
      <c r="J24" s="13"/>
    </row>
    <row r="25" spans="1:10" s="70" customFormat="1" ht="12.75" customHeight="1" x14ac:dyDescent="0.2">
      <c r="A25" s="127">
        <v>45096</v>
      </c>
      <c r="B25" s="128" t="s">
        <v>6</v>
      </c>
      <c r="C25" s="76" t="s">
        <v>666</v>
      </c>
      <c r="D25" s="125" t="s">
        <v>13</v>
      </c>
      <c r="E25" s="129">
        <v>2048</v>
      </c>
      <c r="G25" s="30"/>
      <c r="I25" s="69"/>
      <c r="J25" s="69"/>
    </row>
    <row r="26" spans="1:10" s="70" customFormat="1" ht="12.75" customHeight="1" x14ac:dyDescent="0.2">
      <c r="A26" s="127">
        <v>45096</v>
      </c>
      <c r="B26" s="128" t="s">
        <v>6</v>
      </c>
      <c r="C26" s="76" t="s">
        <v>450</v>
      </c>
      <c r="D26" s="125" t="s">
        <v>13</v>
      </c>
      <c r="E26" s="129">
        <v>1362652</v>
      </c>
      <c r="G26" s="30"/>
      <c r="I26" s="69"/>
      <c r="J26" s="69"/>
    </row>
    <row r="27" spans="1:10" s="70" customFormat="1" ht="12.75" customHeight="1" x14ac:dyDescent="0.2">
      <c r="A27" s="127">
        <v>45096</v>
      </c>
      <c r="B27" s="128" t="s">
        <v>6</v>
      </c>
      <c r="C27" s="76" t="s">
        <v>737</v>
      </c>
      <c r="D27" s="126" t="s">
        <v>13</v>
      </c>
      <c r="E27" s="129">
        <v>352316</v>
      </c>
      <c r="G27" s="30"/>
      <c r="I27" s="69"/>
      <c r="J27" s="69"/>
    </row>
    <row r="28" spans="1:10" s="70" customFormat="1" ht="12.75" customHeight="1" x14ac:dyDescent="0.2">
      <c r="A28" s="127">
        <v>45096</v>
      </c>
      <c r="B28" s="128" t="s">
        <v>6</v>
      </c>
      <c r="C28" s="76" t="s">
        <v>143</v>
      </c>
      <c r="D28" s="126" t="s">
        <v>13</v>
      </c>
      <c r="E28" s="129">
        <v>15796</v>
      </c>
      <c r="G28" s="30"/>
      <c r="I28" s="69"/>
      <c r="J28" s="69"/>
    </row>
    <row r="29" spans="1:10" s="70" customFormat="1" ht="12.75" customHeight="1" x14ac:dyDescent="0.2">
      <c r="A29" s="127">
        <v>45096</v>
      </c>
      <c r="B29" s="128" t="s">
        <v>6</v>
      </c>
      <c r="C29" s="76" t="s">
        <v>1033</v>
      </c>
      <c r="D29" s="126" t="s">
        <v>13</v>
      </c>
      <c r="E29" s="129">
        <v>6075475.1900000004</v>
      </c>
      <c r="G29" s="30"/>
      <c r="I29" s="69"/>
      <c r="J29" s="69"/>
    </row>
    <row r="30" spans="1:10" s="70" customFormat="1" ht="12.75" customHeight="1" x14ac:dyDescent="0.2">
      <c r="A30" s="127">
        <v>45096</v>
      </c>
      <c r="B30" s="128" t="s">
        <v>6</v>
      </c>
      <c r="C30" s="76" t="s">
        <v>465</v>
      </c>
      <c r="D30" s="126" t="s">
        <v>13</v>
      </c>
      <c r="E30" s="129">
        <v>600000</v>
      </c>
      <c r="G30" s="30"/>
      <c r="I30" s="69"/>
      <c r="J30" s="69"/>
    </row>
    <row r="31" spans="1:10" s="70" customFormat="1" ht="12.75" customHeight="1" x14ac:dyDescent="0.2">
      <c r="A31" s="127">
        <v>45096</v>
      </c>
      <c r="B31" s="128" t="s">
        <v>6</v>
      </c>
      <c r="C31" s="76" t="s">
        <v>144</v>
      </c>
      <c r="D31" s="126" t="s">
        <v>13</v>
      </c>
      <c r="E31" s="129">
        <v>3544240</v>
      </c>
      <c r="G31" s="30"/>
      <c r="I31" s="69"/>
      <c r="J31" s="69"/>
    </row>
    <row r="32" spans="1:10" s="70" customFormat="1" ht="12.75" customHeight="1" x14ac:dyDescent="0.2">
      <c r="A32" s="127">
        <v>45096</v>
      </c>
      <c r="B32" s="128" t="s">
        <v>6</v>
      </c>
      <c r="C32" s="76" t="s">
        <v>557</v>
      </c>
      <c r="D32" s="126" t="s">
        <v>13</v>
      </c>
      <c r="E32" s="129">
        <v>41436</v>
      </c>
      <c r="G32" s="30"/>
      <c r="I32" s="69"/>
      <c r="J32" s="69"/>
    </row>
    <row r="33" spans="1:10" s="70" customFormat="1" ht="12.75" customHeight="1" x14ac:dyDescent="0.2">
      <c r="A33" s="127">
        <v>45096</v>
      </c>
      <c r="B33" s="128" t="s">
        <v>6</v>
      </c>
      <c r="C33" s="76" t="s">
        <v>240</v>
      </c>
      <c r="D33" s="126" t="s">
        <v>13</v>
      </c>
      <c r="E33" s="129">
        <v>323094</v>
      </c>
      <c r="G33" s="30"/>
      <c r="I33" s="69"/>
      <c r="J33" s="69"/>
    </row>
    <row r="34" spans="1:10" s="70" customFormat="1" ht="12.75" customHeight="1" x14ac:dyDescent="0.2">
      <c r="A34" s="127">
        <v>45096</v>
      </c>
      <c r="B34" s="128" t="s">
        <v>6</v>
      </c>
      <c r="C34" s="76" t="s">
        <v>599</v>
      </c>
      <c r="D34" s="126" t="s">
        <v>13</v>
      </c>
      <c r="E34" s="129">
        <v>15225</v>
      </c>
      <c r="G34" s="30"/>
      <c r="I34" s="69"/>
      <c r="J34" s="69"/>
    </row>
    <row r="35" spans="1:10" s="70" customFormat="1" ht="12.75" customHeight="1" x14ac:dyDescent="0.2">
      <c r="A35" s="127">
        <v>45096</v>
      </c>
      <c r="B35" s="128" t="s">
        <v>6</v>
      </c>
      <c r="C35" s="76" t="s">
        <v>276</v>
      </c>
      <c r="D35" s="126" t="s">
        <v>13</v>
      </c>
      <c r="E35" s="129">
        <v>5010</v>
      </c>
      <c r="G35" s="30"/>
      <c r="I35" s="69"/>
      <c r="J35" s="69"/>
    </row>
    <row r="36" spans="1:10" s="70" customFormat="1" ht="12.75" customHeight="1" x14ac:dyDescent="0.2">
      <c r="A36" s="127">
        <v>45096</v>
      </c>
      <c r="B36" s="128" t="s">
        <v>6</v>
      </c>
      <c r="C36" s="76" t="s">
        <v>1105</v>
      </c>
      <c r="D36" s="126" t="s">
        <v>13</v>
      </c>
      <c r="E36" s="129">
        <v>9923</v>
      </c>
      <c r="G36" s="30"/>
      <c r="I36" s="69"/>
      <c r="J36" s="69"/>
    </row>
    <row r="37" spans="1:10" s="70" customFormat="1" ht="12.75" customHeight="1" x14ac:dyDescent="0.2">
      <c r="A37" s="127">
        <v>45096</v>
      </c>
      <c r="B37" s="128" t="s">
        <v>6</v>
      </c>
      <c r="C37" s="76" t="s">
        <v>266</v>
      </c>
      <c r="D37" s="126" t="s">
        <v>13</v>
      </c>
      <c r="E37" s="129">
        <v>203322</v>
      </c>
      <c r="G37" s="30"/>
      <c r="I37" s="69"/>
      <c r="J37" s="69"/>
    </row>
    <row r="38" spans="1:10" s="70" customFormat="1" ht="12.75" customHeight="1" x14ac:dyDescent="0.2">
      <c r="A38" s="127">
        <v>45096</v>
      </c>
      <c r="B38" s="128" t="s">
        <v>6</v>
      </c>
      <c r="C38" s="76" t="s">
        <v>271</v>
      </c>
      <c r="D38" s="126" t="s">
        <v>13</v>
      </c>
      <c r="E38" s="129">
        <v>1060551</v>
      </c>
      <c r="G38" s="30"/>
      <c r="I38" s="69"/>
      <c r="J38" s="69"/>
    </row>
    <row r="39" spans="1:10" s="70" customFormat="1" ht="12.75" customHeight="1" x14ac:dyDescent="0.2">
      <c r="A39" s="127">
        <v>45096</v>
      </c>
      <c r="B39" s="128" t="s">
        <v>6</v>
      </c>
      <c r="C39" s="76" t="s">
        <v>1106</v>
      </c>
      <c r="D39" s="126" t="s">
        <v>13</v>
      </c>
      <c r="E39" s="129">
        <v>15100</v>
      </c>
      <c r="G39" s="30"/>
      <c r="I39" s="69"/>
      <c r="J39" s="69"/>
    </row>
    <row r="40" spans="1:10" s="70" customFormat="1" ht="12.75" customHeight="1" x14ac:dyDescent="0.2">
      <c r="A40" s="127">
        <v>45096</v>
      </c>
      <c r="B40" s="128" t="s">
        <v>6</v>
      </c>
      <c r="C40" s="76" t="s">
        <v>121</v>
      </c>
      <c r="D40" s="126" t="s">
        <v>13</v>
      </c>
      <c r="E40" s="129">
        <v>500000</v>
      </c>
      <c r="G40" s="30"/>
      <c r="I40" s="69"/>
      <c r="J40" s="69"/>
    </row>
    <row r="41" spans="1:10" s="70" customFormat="1" ht="12.75" customHeight="1" x14ac:dyDescent="0.2">
      <c r="A41" s="127">
        <v>45096</v>
      </c>
      <c r="B41" s="128" t="s">
        <v>6</v>
      </c>
      <c r="C41" s="76" t="s">
        <v>272</v>
      </c>
      <c r="D41" s="126" t="s">
        <v>13</v>
      </c>
      <c r="E41" s="129">
        <v>196749</v>
      </c>
      <c r="G41" s="30"/>
      <c r="I41" s="69"/>
      <c r="J41" s="69"/>
    </row>
    <row r="42" spans="1:10" s="70" customFormat="1" ht="12.75" customHeight="1" x14ac:dyDescent="0.2">
      <c r="A42" s="127">
        <v>45096</v>
      </c>
      <c r="B42" s="128" t="s">
        <v>6</v>
      </c>
      <c r="C42" s="76" t="s">
        <v>15</v>
      </c>
      <c r="D42" s="126" t="s">
        <v>13</v>
      </c>
      <c r="E42" s="129">
        <v>2291.6799999999998</v>
      </c>
      <c r="G42" s="30"/>
      <c r="I42" s="69"/>
      <c r="J42" s="69"/>
    </row>
    <row r="43" spans="1:10" s="70" customFormat="1" ht="12.75" customHeight="1" x14ac:dyDescent="0.2">
      <c r="A43" s="127">
        <v>45096</v>
      </c>
      <c r="B43" s="128" t="s">
        <v>6</v>
      </c>
      <c r="C43" s="76" t="s">
        <v>1107</v>
      </c>
      <c r="D43" s="126" t="s">
        <v>13</v>
      </c>
      <c r="E43" s="129">
        <v>516380</v>
      </c>
      <c r="G43" s="30"/>
      <c r="I43" s="69"/>
      <c r="J43" s="69"/>
    </row>
    <row r="44" spans="1:10" s="70" customFormat="1" ht="12.75" customHeight="1" x14ac:dyDescent="0.2">
      <c r="A44" s="127">
        <v>45096</v>
      </c>
      <c r="B44" s="128" t="s">
        <v>6</v>
      </c>
      <c r="C44" s="76" t="s">
        <v>391</v>
      </c>
      <c r="D44" s="126" t="s">
        <v>13</v>
      </c>
      <c r="E44" s="129">
        <v>107226</v>
      </c>
      <c r="G44" s="30"/>
      <c r="I44" s="69"/>
      <c r="J44" s="69"/>
    </row>
    <row r="45" spans="1:10" s="70" customFormat="1" ht="12.75" customHeight="1" x14ac:dyDescent="0.2">
      <c r="A45" s="127">
        <v>45096</v>
      </c>
      <c r="B45" s="128" t="s">
        <v>11</v>
      </c>
      <c r="C45" s="76" t="s">
        <v>15</v>
      </c>
      <c r="D45" s="126" t="s">
        <v>29</v>
      </c>
      <c r="E45" s="129"/>
      <c r="F45" s="70">
        <v>3186</v>
      </c>
      <c r="G45" s="30"/>
      <c r="I45" s="69"/>
      <c r="J45" s="69"/>
    </row>
    <row r="46" spans="1:10" s="70" customFormat="1" ht="12.75" customHeight="1" x14ac:dyDescent="0.2">
      <c r="A46" s="127">
        <v>45096</v>
      </c>
      <c r="B46" s="128" t="s">
        <v>11</v>
      </c>
      <c r="C46" s="76" t="s">
        <v>64</v>
      </c>
      <c r="D46" s="126" t="s">
        <v>29</v>
      </c>
      <c r="E46" s="129"/>
      <c r="F46" s="70">
        <f>16.52+1180+590</f>
        <v>1786.52</v>
      </c>
      <c r="G46" s="30"/>
      <c r="I46" s="69"/>
      <c r="J46" s="69"/>
    </row>
    <row r="47" spans="1:10" s="70" customFormat="1" ht="12.75" customHeight="1" x14ac:dyDescent="0.2">
      <c r="A47" s="127">
        <v>45096</v>
      </c>
      <c r="B47" s="128" t="s">
        <v>11</v>
      </c>
      <c r="C47" s="76" t="s">
        <v>111</v>
      </c>
      <c r="D47" s="126" t="s">
        <v>29</v>
      </c>
      <c r="E47" s="129"/>
      <c r="F47" s="70">
        <v>2699691.28</v>
      </c>
      <c r="G47" s="30"/>
      <c r="I47" s="69"/>
      <c r="J47" s="69"/>
    </row>
    <row r="48" spans="1:10" s="70" customFormat="1" ht="12.75" customHeight="1" x14ac:dyDescent="0.2">
      <c r="A48" s="127">
        <v>45096</v>
      </c>
      <c r="B48" s="128" t="s">
        <v>11</v>
      </c>
      <c r="C48" s="76" t="s">
        <v>199</v>
      </c>
      <c r="D48" s="126" t="s">
        <v>29</v>
      </c>
      <c r="E48" s="129"/>
      <c r="F48" s="70">
        <v>1061979</v>
      </c>
      <c r="G48" s="30"/>
      <c r="I48" s="69"/>
      <c r="J48" s="69"/>
    </row>
    <row r="49" spans="1:14" s="70" customFormat="1" ht="12.75" customHeight="1" x14ac:dyDescent="0.2">
      <c r="A49" s="127">
        <v>45096</v>
      </c>
      <c r="B49" s="128" t="s">
        <v>11</v>
      </c>
      <c r="C49" s="76" t="s">
        <v>284</v>
      </c>
      <c r="D49" s="126" t="s">
        <v>29</v>
      </c>
      <c r="E49" s="129"/>
      <c r="F49" s="70">
        <v>645718</v>
      </c>
      <c r="G49" s="30"/>
      <c r="I49" s="69"/>
      <c r="J49" s="69"/>
    </row>
    <row r="50" spans="1:14" s="70" customFormat="1" ht="12.75" customHeight="1" x14ac:dyDescent="0.2">
      <c r="A50" s="127">
        <v>45096</v>
      </c>
      <c r="B50" s="128" t="s">
        <v>11</v>
      </c>
      <c r="C50" s="76" t="s">
        <v>223</v>
      </c>
      <c r="D50" s="126" t="s">
        <v>29</v>
      </c>
      <c r="E50" s="129"/>
      <c r="F50" s="70">
        <v>6030</v>
      </c>
      <c r="G50" s="30"/>
      <c r="I50" s="69"/>
      <c r="J50" s="69"/>
    </row>
    <row r="51" spans="1:14" s="70" customFormat="1" ht="12.75" customHeight="1" x14ac:dyDescent="0.2">
      <c r="A51" s="127">
        <v>45096</v>
      </c>
      <c r="B51" s="128" t="s">
        <v>11</v>
      </c>
      <c r="C51" s="76" t="s">
        <v>34</v>
      </c>
      <c r="D51" s="126" t="s">
        <v>29</v>
      </c>
      <c r="E51" s="129"/>
      <c r="F51" s="70">
        <v>75000</v>
      </c>
      <c r="G51" s="30"/>
      <c r="I51" s="69"/>
      <c r="J51" s="69"/>
    </row>
    <row r="52" spans="1:14" s="2" customFormat="1" ht="12.75" customHeight="1" x14ac:dyDescent="0.25">
      <c r="A52" s="32"/>
      <c r="B52" s="33"/>
      <c r="C52" s="14"/>
      <c r="D52" s="34"/>
      <c r="E52" s="16">
        <f>SUM(E24:E51)</f>
        <v>14948834.870000001</v>
      </c>
      <c r="F52" s="16">
        <f>SUM(F24:F51)</f>
        <v>294873620.01999986</v>
      </c>
      <c r="G52" s="30"/>
      <c r="H52" s="1"/>
      <c r="I52" s="39">
        <v>279924785.14999998</v>
      </c>
      <c r="K52" s="92">
        <f>E53-I52</f>
        <v>0</v>
      </c>
      <c r="L52" s="41"/>
      <c r="M52" s="42"/>
    </row>
    <row r="53" spans="1:14" s="2" customFormat="1" ht="12.75" customHeight="1" x14ac:dyDescent="0.2">
      <c r="A53" s="36"/>
      <c r="B53" s="28" t="s">
        <v>11</v>
      </c>
      <c r="C53" s="19" t="s">
        <v>65</v>
      </c>
      <c r="D53" s="37"/>
      <c r="E53" s="38">
        <f>F52-E52</f>
        <v>279924785.14999986</v>
      </c>
      <c r="F53" s="22"/>
      <c r="G53" s="1"/>
      <c r="H53" s="1"/>
      <c r="J53" s="1"/>
      <c r="K53" s="1"/>
      <c r="L53" s="1"/>
      <c r="M53" s="1"/>
    </row>
    <row r="54" spans="1:14" s="2" customFormat="1" ht="12.75" customHeight="1" x14ac:dyDescent="0.2">
      <c r="A54" s="36"/>
      <c r="B54" s="28" t="s">
        <v>66</v>
      </c>
      <c r="C54" s="43" t="s">
        <v>67</v>
      </c>
      <c r="D54" s="43"/>
      <c r="E54" s="12">
        <v>59416310</v>
      </c>
      <c r="F54" s="22"/>
      <c r="G54" s="1"/>
      <c r="H54" s="40"/>
      <c r="I54" s="45">
        <v>2799.31</v>
      </c>
      <c r="J54" s="46"/>
      <c r="K54" s="46"/>
      <c r="L54" s="13"/>
    </row>
    <row r="55" spans="1:14" s="2" customFormat="1" ht="12.75" customHeight="1" x14ac:dyDescent="0.25">
      <c r="A55" s="36"/>
      <c r="B55" s="28"/>
      <c r="C55" s="44" t="s">
        <v>68</v>
      </c>
      <c r="D55" s="43"/>
      <c r="E55" s="7">
        <f>E53+E54</f>
        <v>339341095.14999986</v>
      </c>
      <c r="F55" s="22"/>
      <c r="G55" s="1"/>
      <c r="H55" s="103" t="s">
        <v>69</v>
      </c>
      <c r="I55" s="45">
        <v>-81.81</v>
      </c>
      <c r="J55" s="46"/>
      <c r="K55" s="46"/>
      <c r="N55" s="1"/>
    </row>
    <row r="56" spans="1:14" s="2" customFormat="1" x14ac:dyDescent="0.2">
      <c r="A56" s="24"/>
      <c r="B56" s="1"/>
      <c r="C56" s="14"/>
      <c r="D56" s="25"/>
      <c r="E56" s="1"/>
      <c r="H56" s="35" t="s">
        <v>70</v>
      </c>
      <c r="I56" s="45">
        <f>4.6+54.96</f>
        <v>59.56</v>
      </c>
      <c r="J56" s="46">
        <f>+I57-D59</f>
        <v>0</v>
      </c>
      <c r="M56" s="2" t="s">
        <v>396</v>
      </c>
      <c r="N56" s="1"/>
    </row>
    <row r="57" spans="1:14" x14ac:dyDescent="0.2">
      <c r="C57" s="56"/>
      <c r="D57" s="56"/>
      <c r="E57" s="104"/>
      <c r="I57" s="49">
        <f>SUM(I54:I56)</f>
        <v>2777.06</v>
      </c>
      <c r="J57" s="46"/>
      <c r="K57" s="46"/>
      <c r="L57" s="2"/>
      <c r="M57" s="2"/>
      <c r="N57" s="2"/>
    </row>
    <row r="58" spans="1:14" x14ac:dyDescent="0.2">
      <c r="C58" s="78" t="s">
        <v>575</v>
      </c>
      <c r="D58" s="48" t="s">
        <v>576</v>
      </c>
      <c r="E58" s="104"/>
      <c r="I58" s="2"/>
      <c r="J58" s="2"/>
      <c r="K58" s="2"/>
      <c r="L58" s="2"/>
      <c r="M58" s="2"/>
      <c r="N58" s="2"/>
    </row>
    <row r="59" spans="1:14" s="2" customFormat="1" x14ac:dyDescent="0.2">
      <c r="A59" s="24"/>
      <c r="B59" s="1"/>
      <c r="C59" s="47" t="s">
        <v>570</v>
      </c>
      <c r="D59" s="111">
        <v>2777.06</v>
      </c>
      <c r="E59" s="104"/>
      <c r="G59" s="1"/>
      <c r="H59" s="110" t="s">
        <v>581</v>
      </c>
      <c r="N59" s="2" t="s">
        <v>535</v>
      </c>
    </row>
    <row r="60" spans="1:14" s="2" customFormat="1" x14ac:dyDescent="0.2">
      <c r="A60" s="24"/>
      <c r="B60" s="1"/>
      <c r="C60" s="47" t="s">
        <v>931</v>
      </c>
      <c r="D60" s="111">
        <v>351.44</v>
      </c>
      <c r="E60" s="104"/>
      <c r="G60" s="1"/>
      <c r="H60" s="110" t="s">
        <v>580</v>
      </c>
    </row>
    <row r="61" spans="1:14" s="2" customFormat="1" x14ac:dyDescent="0.2">
      <c r="A61" s="24"/>
      <c r="B61" s="1"/>
      <c r="C61" s="47" t="s">
        <v>572</v>
      </c>
      <c r="D61" s="111">
        <f>+D99/100000</f>
        <v>332.79593740000001</v>
      </c>
      <c r="E61" s="104"/>
      <c r="G61" s="1"/>
      <c r="H61" s="90" t="s">
        <v>587</v>
      </c>
    </row>
    <row r="62" spans="1:14" s="2" customFormat="1" x14ac:dyDescent="0.2">
      <c r="A62" s="24"/>
      <c r="B62" s="1"/>
      <c r="C62" s="108" t="s">
        <v>578</v>
      </c>
      <c r="D62" s="48">
        <f>SUM(D59:D61)</f>
        <v>3461.2959374000002</v>
      </c>
      <c r="E62" s="104"/>
      <c r="G62" s="1"/>
    </row>
    <row r="63" spans="1:14" s="2" customFormat="1" x14ac:dyDescent="0.2">
      <c r="A63" s="24"/>
      <c r="B63" s="1"/>
      <c r="C63" s="47"/>
      <c r="D63" s="107"/>
      <c r="E63" s="104"/>
      <c r="G63" s="1"/>
    </row>
    <row r="64" spans="1:14" s="2" customFormat="1" x14ac:dyDescent="0.2">
      <c r="A64" s="24"/>
      <c r="B64" s="1"/>
      <c r="C64" s="47" t="s">
        <v>932</v>
      </c>
      <c r="D64" s="111">
        <v>299.08999999999997</v>
      </c>
      <c r="E64" s="104"/>
      <c r="G64" s="1"/>
      <c r="H64" s="110" t="s">
        <v>581</v>
      </c>
    </row>
    <row r="65" spans="1:13" s="2" customFormat="1" x14ac:dyDescent="0.2">
      <c r="A65" s="24"/>
      <c r="B65" s="1"/>
      <c r="C65" s="47" t="s">
        <v>933</v>
      </c>
      <c r="D65" s="111">
        <f>179.5+273-183.11</f>
        <v>269.39</v>
      </c>
      <c r="E65" s="104"/>
      <c r="G65" s="1"/>
      <c r="H65" s="110" t="s">
        <v>581</v>
      </c>
      <c r="J65" s="114" t="s">
        <v>713</v>
      </c>
    </row>
    <row r="66" spans="1:13" s="2" customFormat="1" x14ac:dyDescent="0.2">
      <c r="A66" s="24"/>
      <c r="B66" s="1"/>
      <c r="C66" s="78" t="s">
        <v>579</v>
      </c>
      <c r="D66" s="109">
        <f>D64+D65</f>
        <v>568.48</v>
      </c>
      <c r="E66" s="104"/>
      <c r="G66" s="1"/>
      <c r="I66" s="113"/>
      <c r="J66" s="113" t="s">
        <v>709</v>
      </c>
      <c r="K66" s="113" t="s">
        <v>710</v>
      </c>
      <c r="L66" s="113" t="s">
        <v>711</v>
      </c>
      <c r="M66" s="113" t="s">
        <v>712</v>
      </c>
    </row>
    <row r="67" spans="1:13" s="2" customFormat="1" x14ac:dyDescent="0.2">
      <c r="A67" s="24"/>
      <c r="B67" s="1"/>
      <c r="C67" s="105"/>
      <c r="D67" s="106"/>
      <c r="E67" s="104"/>
      <c r="G67" s="1"/>
      <c r="I67" s="113" t="s">
        <v>706</v>
      </c>
      <c r="J67" s="115"/>
      <c r="K67" s="115">
        <v>968.99</v>
      </c>
      <c r="L67" s="115">
        <v>968.99</v>
      </c>
      <c r="M67" s="113">
        <f>+J67+L67-K67</f>
        <v>0</v>
      </c>
    </row>
    <row r="68" spans="1:13" s="2" customFormat="1" x14ac:dyDescent="0.2">
      <c r="A68" s="24"/>
      <c r="B68" s="1"/>
      <c r="C68" s="78" t="s">
        <v>577</v>
      </c>
      <c r="D68" s="109">
        <f>D59+D66</f>
        <v>3345.54</v>
      </c>
      <c r="E68" s="104"/>
      <c r="G68" s="1"/>
      <c r="I68" s="113" t="s">
        <v>707</v>
      </c>
      <c r="J68" s="115">
        <v>183.1</v>
      </c>
      <c r="K68" s="115">
        <v>2312.4</v>
      </c>
      <c r="L68" s="115">
        <v>3091.9</v>
      </c>
      <c r="M68" s="113">
        <f>+J68+L68-K68</f>
        <v>962.59999999999991</v>
      </c>
    </row>
    <row r="69" spans="1:13" s="2" customFormat="1" x14ac:dyDescent="0.2">
      <c r="A69" s="24"/>
      <c r="B69" s="1"/>
      <c r="C69" s="56"/>
      <c r="D69" s="56"/>
      <c r="E69" s="104"/>
      <c r="G69" s="1"/>
      <c r="I69" s="113" t="s">
        <v>708</v>
      </c>
      <c r="J69" s="115">
        <v>1371.02</v>
      </c>
      <c r="K69" s="115">
        <v>12115.52</v>
      </c>
      <c r="L69" s="115">
        <v>12199.09</v>
      </c>
      <c r="M69" s="113">
        <f>+J69+L69-K69</f>
        <v>1454.5900000000001</v>
      </c>
    </row>
    <row r="70" spans="1:13" s="2" customFormat="1" ht="38.25" x14ac:dyDescent="0.2">
      <c r="A70" s="24"/>
      <c r="B70" s="1"/>
      <c r="C70" s="79" t="str">
        <f>"Particulars ( 01-04-2021 to "&amp;TEXT(A5,"dd-mm-yyyy")&amp;" )"</f>
        <v>Particulars ( 01-04-2021 to 19-06-2023 )</v>
      </c>
      <c r="D70" s="80" t="s">
        <v>73</v>
      </c>
      <c r="E70" s="80" t="s">
        <v>74</v>
      </c>
      <c r="F70" s="81" t="s">
        <v>75</v>
      </c>
      <c r="G70" s="80" t="s">
        <v>76</v>
      </c>
      <c r="J70" s="118">
        <f>SUM(J67:J69)</f>
        <v>1554.12</v>
      </c>
      <c r="K70" s="118">
        <f>SUM(K67:K69)</f>
        <v>15396.91</v>
      </c>
      <c r="L70" s="118">
        <f>SUM(L67:L69)</f>
        <v>16259.98</v>
      </c>
      <c r="M70" s="118">
        <f>SUM(M67:M69)</f>
        <v>2417.19</v>
      </c>
    </row>
    <row r="71" spans="1:13" s="2" customFormat="1" x14ac:dyDescent="0.2">
      <c r="A71" s="24"/>
      <c r="B71" s="1"/>
      <c r="C71" s="50" t="s">
        <v>444</v>
      </c>
      <c r="D71" s="55">
        <f>+L67+L68+J68</f>
        <v>4243.9900000000007</v>
      </c>
      <c r="E71" s="55">
        <f>+K67+K68</f>
        <v>3281.3900000000003</v>
      </c>
      <c r="F71" s="55">
        <f>+D71-E71</f>
        <v>962.60000000000036</v>
      </c>
      <c r="G71" s="55">
        <f>1500-F71</f>
        <v>537.39999999999964</v>
      </c>
      <c r="H71" s="2" t="s">
        <v>396</v>
      </c>
    </row>
    <row r="72" spans="1:13" s="2" customFormat="1" x14ac:dyDescent="0.2">
      <c r="A72" s="24"/>
      <c r="B72" s="1"/>
      <c r="C72" s="50" t="s">
        <v>71</v>
      </c>
      <c r="D72" s="55">
        <f>+J69+L69</f>
        <v>13570.11</v>
      </c>
      <c r="E72" s="55">
        <f>+K69</f>
        <v>12115.52</v>
      </c>
      <c r="F72" s="55">
        <f>+D72-E72</f>
        <v>1454.5900000000001</v>
      </c>
      <c r="G72" s="55">
        <f>1500+700-F72</f>
        <v>745.40999999999985</v>
      </c>
      <c r="H72" s="2" t="s">
        <v>396</v>
      </c>
    </row>
    <row r="73" spans="1:13" s="2" customFormat="1" x14ac:dyDescent="0.2">
      <c r="A73" s="24"/>
      <c r="B73" s="1"/>
      <c r="C73" s="14"/>
      <c r="D73" s="56"/>
      <c r="E73" s="13"/>
      <c r="G73" s="1"/>
    </row>
    <row r="74" spans="1:13" s="2" customFormat="1" x14ac:dyDescent="0.2">
      <c r="A74" s="215" t="s">
        <v>80</v>
      </c>
      <c r="B74" s="216"/>
      <c r="C74" s="216"/>
      <c r="D74" s="217"/>
      <c r="E74" s="69"/>
      <c r="F74" s="70"/>
      <c r="G74" s="1"/>
      <c r="H74" s="53"/>
    </row>
    <row r="75" spans="1:13" s="2" customFormat="1" x14ac:dyDescent="0.2">
      <c r="A75" s="71" t="s">
        <v>81</v>
      </c>
      <c r="B75" s="71"/>
      <c r="C75" s="72" t="s">
        <v>82</v>
      </c>
      <c r="D75" s="73" t="s">
        <v>83</v>
      </c>
      <c r="E75" s="69"/>
      <c r="F75" s="70"/>
      <c r="H75" s="53"/>
    </row>
    <row r="76" spans="1:13" s="2" customFormat="1" x14ac:dyDescent="0.2">
      <c r="A76" s="87">
        <v>45080</v>
      </c>
      <c r="B76" s="120" t="s">
        <v>1052</v>
      </c>
      <c r="C76" s="75" t="s">
        <v>86</v>
      </c>
      <c r="D76" s="88">
        <v>163799</v>
      </c>
      <c r="G76" s="1"/>
      <c r="L76" s="1"/>
      <c r="M76" s="1"/>
    </row>
    <row r="77" spans="1:13" s="2" customFormat="1" x14ac:dyDescent="0.2">
      <c r="A77" s="87">
        <v>45080</v>
      </c>
      <c r="B77" s="120" t="s">
        <v>1052</v>
      </c>
      <c r="C77" s="75" t="s">
        <v>86</v>
      </c>
      <c r="D77" s="88">
        <v>1695107</v>
      </c>
      <c r="G77" s="1"/>
      <c r="L77" s="1"/>
      <c r="M77" s="1"/>
    </row>
    <row r="78" spans="1:13" s="2" customFormat="1" x14ac:dyDescent="0.2">
      <c r="A78" s="87">
        <v>45082</v>
      </c>
      <c r="B78" s="120" t="s">
        <v>1052</v>
      </c>
      <c r="C78" s="75" t="s">
        <v>87</v>
      </c>
      <c r="D78" s="88">
        <v>6627</v>
      </c>
      <c r="G78" s="1"/>
      <c r="L78" s="1"/>
      <c r="M78" s="1"/>
    </row>
    <row r="79" spans="1:13" s="2" customFormat="1" x14ac:dyDescent="0.2">
      <c r="A79" s="87">
        <v>45084</v>
      </c>
      <c r="B79" s="120" t="s">
        <v>1052</v>
      </c>
      <c r="C79" s="75" t="s">
        <v>87</v>
      </c>
      <c r="D79" s="88">
        <v>618395.80000000005</v>
      </c>
      <c r="G79" s="1"/>
      <c r="L79" s="1"/>
      <c r="M79" s="1"/>
    </row>
    <row r="80" spans="1:13" s="2" customFormat="1" x14ac:dyDescent="0.2">
      <c r="A80" s="87">
        <v>45086</v>
      </c>
      <c r="B80" s="120" t="s">
        <v>1052</v>
      </c>
      <c r="C80" s="75" t="s">
        <v>784</v>
      </c>
      <c r="D80" s="88">
        <v>1104724</v>
      </c>
      <c r="G80" s="1"/>
      <c r="L80" s="1"/>
      <c r="M80" s="1"/>
    </row>
    <row r="81" spans="1:13" s="2" customFormat="1" x14ac:dyDescent="0.2">
      <c r="A81" s="87">
        <v>45086</v>
      </c>
      <c r="B81" s="120" t="s">
        <v>1052</v>
      </c>
      <c r="C81" s="75" t="s">
        <v>86</v>
      </c>
      <c r="D81" s="88">
        <v>1756907</v>
      </c>
      <c r="G81" s="1"/>
      <c r="L81" s="1"/>
      <c r="M81" s="1"/>
    </row>
    <row r="82" spans="1:13" s="2" customFormat="1" x14ac:dyDescent="0.2">
      <c r="A82" s="87">
        <v>45086</v>
      </c>
      <c r="B82" s="120" t="s">
        <v>1052</v>
      </c>
      <c r="C82" s="75" t="s">
        <v>784</v>
      </c>
      <c r="D82" s="88">
        <v>1489874</v>
      </c>
      <c r="G82" s="1"/>
      <c r="L82" s="1"/>
      <c r="M82" s="1"/>
    </row>
    <row r="83" spans="1:13" s="2" customFormat="1" x14ac:dyDescent="0.2">
      <c r="A83" s="87">
        <v>45086</v>
      </c>
      <c r="B83" s="120" t="s">
        <v>1052</v>
      </c>
      <c r="C83" s="75" t="s">
        <v>201</v>
      </c>
      <c r="D83" s="88">
        <v>5000192.4400000004</v>
      </c>
      <c r="G83" s="1"/>
      <c r="L83" s="1"/>
      <c r="M83" s="1"/>
    </row>
    <row r="84" spans="1:13" s="2" customFormat="1" x14ac:dyDescent="0.2">
      <c r="A84" s="87">
        <v>45089</v>
      </c>
      <c r="B84" s="120" t="s">
        <v>1052</v>
      </c>
      <c r="C84" s="75" t="s">
        <v>566</v>
      </c>
      <c r="D84" s="88">
        <v>654429</v>
      </c>
      <c r="G84" s="1"/>
      <c r="L84" s="1"/>
      <c r="M84" s="1"/>
    </row>
    <row r="85" spans="1:13" s="2" customFormat="1" x14ac:dyDescent="0.2">
      <c r="A85" s="87">
        <v>45090</v>
      </c>
      <c r="B85" s="120" t="s">
        <v>1052</v>
      </c>
      <c r="C85" s="75" t="s">
        <v>566</v>
      </c>
      <c r="D85" s="88">
        <f>62180.5+9179</f>
        <v>71359.5</v>
      </c>
      <c r="G85" s="1"/>
      <c r="L85" s="1"/>
      <c r="M85" s="1"/>
    </row>
    <row r="86" spans="1:13" s="2" customFormat="1" x14ac:dyDescent="0.2">
      <c r="A86" s="87">
        <v>45090</v>
      </c>
      <c r="B86" s="120" t="s">
        <v>1052</v>
      </c>
      <c r="C86" s="75" t="s">
        <v>1084</v>
      </c>
      <c r="D86" s="88">
        <v>5353676</v>
      </c>
      <c r="G86" s="1"/>
      <c r="L86" s="1"/>
      <c r="M86" s="1"/>
    </row>
    <row r="87" spans="1:13" s="2" customFormat="1" x14ac:dyDescent="0.2">
      <c r="A87" s="87">
        <v>45091</v>
      </c>
      <c r="B87" s="120" t="s">
        <v>1052</v>
      </c>
      <c r="C87" s="75" t="s">
        <v>87</v>
      </c>
      <c r="D87" s="88">
        <v>1261201</v>
      </c>
      <c r="G87" s="1"/>
      <c r="L87" s="1"/>
      <c r="M87" s="1"/>
    </row>
    <row r="88" spans="1:13" s="2" customFormat="1" x14ac:dyDescent="0.2">
      <c r="A88" s="87">
        <v>45091</v>
      </c>
      <c r="B88" s="120" t="s">
        <v>1052</v>
      </c>
      <c r="C88" s="75" t="s">
        <v>1090</v>
      </c>
      <c r="D88" s="88">
        <v>1000000</v>
      </c>
      <c r="G88" s="1"/>
      <c r="L88" s="1"/>
      <c r="M88" s="1"/>
    </row>
    <row r="89" spans="1:13" s="2" customFormat="1" x14ac:dyDescent="0.2">
      <c r="A89" s="87">
        <v>45092</v>
      </c>
      <c r="B89" s="120" t="s">
        <v>1052</v>
      </c>
      <c r="C89" s="75" t="s">
        <v>271</v>
      </c>
      <c r="D89" s="88">
        <v>485258</v>
      </c>
      <c r="G89" s="1"/>
      <c r="L89" s="1"/>
      <c r="M89" s="1"/>
    </row>
    <row r="90" spans="1:13" s="2" customFormat="1" x14ac:dyDescent="0.2">
      <c r="A90" s="87">
        <v>45094</v>
      </c>
      <c r="B90" s="120" t="s">
        <v>1052</v>
      </c>
      <c r="C90" s="75" t="s">
        <v>467</v>
      </c>
      <c r="D90" s="88">
        <v>2582806</v>
      </c>
      <c r="G90" s="1"/>
      <c r="L90" s="1"/>
      <c r="M90" s="1"/>
    </row>
    <row r="91" spans="1:13" s="2" customFormat="1" x14ac:dyDescent="0.2">
      <c r="A91" s="87">
        <v>45096</v>
      </c>
      <c r="B91" s="120" t="s">
        <v>1052</v>
      </c>
      <c r="C91" s="75" t="s">
        <v>85</v>
      </c>
      <c r="D91" s="88">
        <v>77650</v>
      </c>
      <c r="G91" s="1"/>
      <c r="L91" s="1"/>
      <c r="M91" s="1"/>
    </row>
    <row r="92" spans="1:13" s="2" customFormat="1" x14ac:dyDescent="0.2">
      <c r="A92" s="87">
        <v>45096</v>
      </c>
      <c r="B92" s="120" t="s">
        <v>1052</v>
      </c>
      <c r="C92" s="75" t="s">
        <v>270</v>
      </c>
      <c r="D92" s="88">
        <v>1475157</v>
      </c>
      <c r="G92" s="1"/>
      <c r="L92" s="1"/>
      <c r="M92" s="1"/>
    </row>
    <row r="93" spans="1:13" s="2" customFormat="1" x14ac:dyDescent="0.2">
      <c r="A93" s="87">
        <v>45096</v>
      </c>
      <c r="B93" s="120" t="s">
        <v>1052</v>
      </c>
      <c r="C93" s="75" t="s">
        <v>270</v>
      </c>
      <c r="D93" s="88">
        <v>741951</v>
      </c>
      <c r="G93" s="1"/>
      <c r="L93" s="1"/>
      <c r="M93" s="1"/>
    </row>
    <row r="94" spans="1:13" s="2" customFormat="1" x14ac:dyDescent="0.2">
      <c r="A94" s="87">
        <v>45096</v>
      </c>
      <c r="B94" s="120" t="s">
        <v>1052</v>
      </c>
      <c r="C94" s="75" t="s">
        <v>270</v>
      </c>
      <c r="D94" s="88">
        <v>1034388</v>
      </c>
      <c r="G94" s="1"/>
      <c r="L94" s="1"/>
      <c r="M94" s="1"/>
    </row>
    <row r="95" spans="1:13" s="2" customFormat="1" x14ac:dyDescent="0.2">
      <c r="A95" s="87">
        <v>45096</v>
      </c>
      <c r="B95" s="120" t="s">
        <v>1052</v>
      </c>
      <c r="C95" s="75" t="s">
        <v>270</v>
      </c>
      <c r="D95" s="88">
        <v>93897</v>
      </c>
      <c r="G95" s="1"/>
      <c r="L95" s="1"/>
      <c r="M95" s="1"/>
    </row>
    <row r="96" spans="1:13" s="2" customFormat="1" x14ac:dyDescent="0.2">
      <c r="A96" s="87">
        <v>45096</v>
      </c>
      <c r="B96" s="120" t="s">
        <v>1052</v>
      </c>
      <c r="C96" s="75" t="s">
        <v>270</v>
      </c>
      <c r="D96" s="88">
        <v>353700</v>
      </c>
      <c r="G96" s="1"/>
      <c r="L96" s="1"/>
      <c r="M96" s="1"/>
    </row>
    <row r="97" spans="1:13" s="2" customFormat="1" x14ac:dyDescent="0.2">
      <c r="A97" s="87">
        <v>45096</v>
      </c>
      <c r="B97" s="120" t="s">
        <v>1052</v>
      </c>
      <c r="C97" s="75" t="s">
        <v>270</v>
      </c>
      <c r="D97" s="88">
        <v>1205410</v>
      </c>
      <c r="G97" s="1"/>
      <c r="L97" s="1"/>
      <c r="M97" s="1"/>
    </row>
    <row r="98" spans="1:13" s="2" customFormat="1" x14ac:dyDescent="0.2">
      <c r="A98" s="87">
        <v>45096</v>
      </c>
      <c r="B98" s="120" t="s">
        <v>1052</v>
      </c>
      <c r="C98" s="75" t="s">
        <v>86</v>
      </c>
      <c r="D98" s="88">
        <v>5053085</v>
      </c>
      <c r="G98" s="1"/>
      <c r="L98" s="1"/>
      <c r="M98" s="1"/>
    </row>
    <row r="99" spans="1:13" s="2" customFormat="1" x14ac:dyDescent="0.2">
      <c r="A99" s="87"/>
      <c r="B99" s="74"/>
      <c r="C99" s="75"/>
      <c r="D99" s="51">
        <f>SUM(D76:D98)</f>
        <v>33279593.740000002</v>
      </c>
      <c r="F99" s="2" t="s">
        <v>396</v>
      </c>
      <c r="G99" s="1"/>
      <c r="L99" s="1"/>
      <c r="M99" s="1"/>
    </row>
    <row r="100" spans="1:13" s="2" customFormat="1" x14ac:dyDescent="0.2">
      <c r="A100" s="24"/>
      <c r="B100" s="1"/>
      <c r="C100" s="14"/>
      <c r="D100" s="56"/>
      <c r="E100" s="13"/>
      <c r="G100" s="1"/>
      <c r="L100" s="1"/>
      <c r="M100" s="1"/>
    </row>
    <row r="101" spans="1:13" s="2" customFormat="1" x14ac:dyDescent="0.2">
      <c r="A101" s="24"/>
      <c r="B101" s="1"/>
      <c r="C101" s="218" t="s">
        <v>77</v>
      </c>
      <c r="D101" s="219"/>
      <c r="E101" s="219"/>
      <c r="F101" s="220"/>
      <c r="G101" s="1"/>
      <c r="L101" s="1"/>
      <c r="M101" s="1"/>
    </row>
    <row r="102" spans="1:13" s="2" customFormat="1" x14ac:dyDescent="0.2">
      <c r="A102" s="24"/>
      <c r="B102" s="1"/>
      <c r="C102" s="50"/>
      <c r="D102" s="57" t="s">
        <v>78</v>
      </c>
      <c r="E102" s="58" t="s">
        <v>79</v>
      </c>
      <c r="F102" s="57" t="s">
        <v>72</v>
      </c>
      <c r="G102" s="1"/>
      <c r="I102" s="1"/>
      <c r="J102" s="1"/>
      <c r="K102" s="1"/>
      <c r="L102" s="1"/>
      <c r="M102" s="1"/>
    </row>
    <row r="103" spans="1:13" s="2" customFormat="1" x14ac:dyDescent="0.2">
      <c r="A103" s="24"/>
      <c r="B103" s="1"/>
      <c r="C103" s="59" t="str">
        <f>"01-06-2023 to "&amp;TEXT(A5-2,"dd-mm-yyyy")</f>
        <v>01-06-2023 to 17-06-2023</v>
      </c>
      <c r="D103" s="60">
        <v>3617.62</v>
      </c>
      <c r="E103" s="60">
        <v>125.67</v>
      </c>
      <c r="F103" s="61">
        <f>SUM(D103:E103)</f>
        <v>3743.29</v>
      </c>
      <c r="G103" s="1"/>
    </row>
    <row r="104" spans="1:13" s="2" customFormat="1" x14ac:dyDescent="0.2">
      <c r="A104" s="24"/>
      <c r="B104" s="1"/>
      <c r="C104" s="62" t="str">
        <f>TEXT(A5-1,"dd-mm-yyyy")</f>
        <v>18-06-2023</v>
      </c>
      <c r="D104" s="60">
        <v>72.19</v>
      </c>
      <c r="E104" s="60">
        <v>0.82</v>
      </c>
      <c r="F104" s="61">
        <f>SUM(D104:E104)</f>
        <v>73.009999999999991</v>
      </c>
      <c r="G104" s="54"/>
      <c r="I104" s="1"/>
      <c r="J104" s="1"/>
      <c r="K104" s="1"/>
      <c r="L104" s="1"/>
      <c r="M104" s="1"/>
    </row>
    <row r="105" spans="1:13" s="2" customFormat="1" ht="13.5" thickBot="1" x14ac:dyDescent="0.25">
      <c r="A105" s="24"/>
      <c r="B105" s="1"/>
      <c r="C105" s="63" t="str">
        <f>"01-06-2023 to "&amp;TEXT(A5-1,"dd-mm-yyyy")</f>
        <v>01-06-2023 to 18-06-2023</v>
      </c>
      <c r="D105" s="64">
        <f>SUM(D103:D104)</f>
        <v>3689.81</v>
      </c>
      <c r="E105" s="64">
        <f>SUM(E103:E104)</f>
        <v>126.49</v>
      </c>
      <c r="F105" s="64">
        <f>SUM(F103:F104)</f>
        <v>3816.3</v>
      </c>
      <c r="G105" s="54"/>
      <c r="I105" s="1"/>
      <c r="J105" s="1"/>
      <c r="K105" s="1"/>
      <c r="L105" s="1"/>
      <c r="M105" s="1"/>
    </row>
    <row r="106" spans="1:13" s="2" customFormat="1" ht="13.5" thickTop="1" x14ac:dyDescent="0.2">
      <c r="A106" s="24"/>
      <c r="B106" s="1"/>
      <c r="C106" s="62"/>
      <c r="D106" s="65"/>
      <c r="E106" s="66"/>
      <c r="F106" s="67"/>
      <c r="G106" s="54"/>
      <c r="I106" s="1"/>
      <c r="J106" s="1"/>
      <c r="K106" s="1"/>
      <c r="L106" s="1"/>
      <c r="M106" s="1"/>
    </row>
    <row r="107" spans="1:13" s="2" customFormat="1" x14ac:dyDescent="0.2">
      <c r="A107" s="24"/>
      <c r="B107" s="1"/>
      <c r="C107" s="62" t="str">
        <f>"01-04-2023 to " &amp;C104</f>
        <v>01-04-2023 to 18-06-2023</v>
      </c>
      <c r="D107" s="68">
        <f>+D105+9224.33</f>
        <v>12914.14</v>
      </c>
      <c r="E107" s="68">
        <f>+E105+906.58</f>
        <v>1033.07</v>
      </c>
      <c r="F107" s="68">
        <f>+F105+10130.9</f>
        <v>13947.2</v>
      </c>
      <c r="G107" s="54"/>
      <c r="I107" s="1"/>
      <c r="J107" s="1"/>
      <c r="K107" s="1"/>
      <c r="L107" s="1"/>
      <c r="M107" s="1"/>
    </row>
    <row r="108" spans="1:13" x14ac:dyDescent="0.2">
      <c r="C108" s="52"/>
      <c r="D108" s="85"/>
      <c r="E108" s="53"/>
      <c r="F108" s="53"/>
      <c r="G108" s="54"/>
      <c r="H108" s="2" t="s">
        <v>396</v>
      </c>
    </row>
    <row r="109" spans="1:13" s="2" customFormat="1" x14ac:dyDescent="0.2">
      <c r="A109" s="24"/>
      <c r="B109" s="1"/>
      <c r="C109" s="52"/>
      <c r="D109" s="85"/>
      <c r="E109" s="53"/>
      <c r="F109" s="53"/>
      <c r="G109" s="54"/>
      <c r="H109" s="53"/>
    </row>
    <row r="110" spans="1:13" x14ac:dyDescent="0.2">
      <c r="C110" s="52"/>
      <c r="D110" s="85"/>
      <c r="E110" s="53"/>
      <c r="F110" s="53"/>
      <c r="G110" s="54"/>
      <c r="H110" s="53" t="s">
        <v>396</v>
      </c>
    </row>
    <row r="111" spans="1:13" x14ac:dyDescent="0.2">
      <c r="C111" s="52"/>
      <c r="D111" s="85"/>
      <c r="E111" s="53"/>
      <c r="F111" s="53"/>
      <c r="G111" s="54"/>
      <c r="H111" s="53" t="s">
        <v>396</v>
      </c>
      <c r="J111" s="42"/>
    </row>
    <row r="112" spans="1:13" x14ac:dyDescent="0.2">
      <c r="G112" s="54"/>
      <c r="H112" s="53"/>
      <c r="I112" s="101"/>
    </row>
    <row r="113" spans="7:8" x14ac:dyDescent="0.2">
      <c r="G113" s="54"/>
      <c r="H113" s="53"/>
    </row>
    <row r="114" spans="7:8" x14ac:dyDescent="0.2">
      <c r="G114" s="54"/>
      <c r="H114" s="53"/>
    </row>
    <row r="115" spans="7:8" x14ac:dyDescent="0.2">
      <c r="H115" s="53"/>
    </row>
  </sheetData>
  <mergeCells count="6">
    <mergeCell ref="C101:F101"/>
    <mergeCell ref="A1:G1"/>
    <mergeCell ref="A3:F3"/>
    <mergeCell ref="A9:F9"/>
    <mergeCell ref="A22:F22"/>
    <mergeCell ref="A74:D74"/>
  </mergeCells>
  <conditionalFormatting sqref="G71:G72">
    <cfRule type="cellIs" dxfId="477" priority="1" operator="lessThan">
      <formula>0</formula>
    </cfRule>
  </conditionalFormatting>
  <conditionalFormatting sqref="C24">
    <cfRule type="duplicateValues" dxfId="476" priority="2"/>
  </conditionalFormatting>
  <conditionalFormatting sqref="C25:C51">
    <cfRule type="duplicateValues" dxfId="475" priority="547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Sheet356">
    <pageSetUpPr fitToPage="1"/>
  </sheetPr>
  <dimension ref="A1:N142"/>
  <sheetViews>
    <sheetView topLeftCell="A73" zoomScaleNormal="100" workbookViewId="0">
      <selection activeCell="C46" sqref="C46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47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1108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45098</v>
      </c>
      <c r="B5" s="9" t="s">
        <v>6</v>
      </c>
      <c r="C5" s="10" t="s">
        <v>7</v>
      </c>
      <c r="D5" s="11"/>
      <c r="E5" s="12">
        <v>242816.70000000019</v>
      </c>
      <c r="F5" s="12"/>
      <c r="G5" s="1"/>
      <c r="H5" s="112"/>
      <c r="I5" s="112"/>
    </row>
    <row r="6" spans="1:10" s="2" customFormat="1" ht="14.25" customHeight="1" x14ac:dyDescent="0.4">
      <c r="A6" s="89">
        <v>45098</v>
      </c>
      <c r="B6" s="9" t="s">
        <v>11</v>
      </c>
      <c r="C6" s="10" t="s">
        <v>652</v>
      </c>
      <c r="D6" s="11" t="s">
        <v>29</v>
      </c>
      <c r="E6" s="12"/>
      <c r="F6" s="12">
        <v>21268</v>
      </c>
      <c r="G6" s="1"/>
      <c r="H6" s="112"/>
      <c r="I6" s="112"/>
    </row>
    <row r="7" spans="1:10" s="2" customFormat="1" ht="12.75" customHeight="1" x14ac:dyDescent="0.4">
      <c r="D7" s="15" t="s">
        <v>8</v>
      </c>
      <c r="E7" s="16">
        <f>SUM(E5:E5)</f>
        <v>242816.70000000019</v>
      </c>
      <c r="F7" s="16">
        <f>SUM(F6)</f>
        <v>21268</v>
      </c>
      <c r="G7" s="1"/>
      <c r="H7" s="112"/>
      <c r="I7" s="112"/>
    </row>
    <row r="8" spans="1:10" s="2" customFormat="1" ht="12.75" customHeight="1" x14ac:dyDescent="0.4">
      <c r="A8" s="17"/>
      <c r="B8" s="18"/>
      <c r="C8" s="19" t="s">
        <v>9</v>
      </c>
      <c r="D8" s="20"/>
      <c r="E8" s="21">
        <f>+E7-F7</f>
        <v>221548.70000000019</v>
      </c>
      <c r="F8" s="22"/>
      <c r="G8" s="23"/>
      <c r="H8" s="112"/>
      <c r="I8" s="112"/>
      <c r="J8" s="13"/>
    </row>
    <row r="9" spans="1:10" ht="12.75" customHeight="1" x14ac:dyDescent="0.4">
      <c r="H9" s="112"/>
      <c r="I9" s="112"/>
    </row>
    <row r="10" spans="1:10" ht="18" customHeight="1" x14ac:dyDescent="0.4">
      <c r="A10" s="213" t="s">
        <v>1037</v>
      </c>
      <c r="B10" s="213"/>
      <c r="C10" s="213"/>
      <c r="D10" s="213"/>
      <c r="E10" s="213"/>
      <c r="F10" s="213"/>
      <c r="H10" s="112"/>
      <c r="I10" s="112"/>
    </row>
    <row r="11" spans="1:10" ht="12.75" customHeight="1" x14ac:dyDescent="0.4">
      <c r="A11" s="3" t="s">
        <v>1</v>
      </c>
      <c r="B11" s="4" t="s">
        <v>2</v>
      </c>
      <c r="C11" s="5"/>
      <c r="D11" s="6" t="s">
        <v>3</v>
      </c>
      <c r="E11" s="7" t="s">
        <v>4</v>
      </c>
      <c r="F11" s="7" t="s">
        <v>5</v>
      </c>
      <c r="H11" s="112"/>
      <c r="I11" s="112"/>
    </row>
    <row r="12" spans="1:10" s="2" customFormat="1" ht="14.25" customHeight="1" x14ac:dyDescent="0.2">
      <c r="A12" s="127">
        <v>45097</v>
      </c>
      <c r="B12" s="9" t="s">
        <v>6</v>
      </c>
      <c r="C12" s="10" t="s">
        <v>7</v>
      </c>
      <c r="D12" s="11"/>
      <c r="F12" s="12">
        <v>25029616.169999991</v>
      </c>
      <c r="G12" s="1"/>
      <c r="H12" s="130"/>
      <c r="I12" s="130"/>
    </row>
    <row r="13" spans="1:10" s="2" customFormat="1" ht="14.25" customHeight="1" x14ac:dyDescent="0.2">
      <c r="A13" s="127">
        <v>45097</v>
      </c>
      <c r="B13" s="9" t="s">
        <v>6</v>
      </c>
      <c r="C13" s="10" t="s">
        <v>544</v>
      </c>
      <c r="D13" s="11" t="s">
        <v>13</v>
      </c>
      <c r="E13" s="2">
        <v>18049</v>
      </c>
      <c r="F13" s="12"/>
      <c r="G13" s="1"/>
      <c r="H13" s="130"/>
      <c r="I13" s="130"/>
    </row>
    <row r="14" spans="1:10" s="2" customFormat="1" ht="14.25" customHeight="1" x14ac:dyDescent="0.2">
      <c r="A14" s="127">
        <v>45097</v>
      </c>
      <c r="B14" s="9" t="s">
        <v>6</v>
      </c>
      <c r="C14" s="76" t="s">
        <v>21</v>
      </c>
      <c r="D14" s="11" t="s">
        <v>13</v>
      </c>
      <c r="E14" s="2">
        <v>400000</v>
      </c>
      <c r="F14" s="12"/>
      <c r="G14" s="1"/>
      <c r="H14" s="130"/>
      <c r="I14" s="130"/>
    </row>
    <row r="15" spans="1:10" s="2" customFormat="1" ht="14.25" customHeight="1" x14ac:dyDescent="0.2">
      <c r="A15" s="127">
        <v>45097</v>
      </c>
      <c r="B15" s="9" t="s">
        <v>6</v>
      </c>
      <c r="C15" s="76" t="s">
        <v>420</v>
      </c>
      <c r="D15" s="11" t="s">
        <v>13</v>
      </c>
      <c r="E15" s="2">
        <v>118798</v>
      </c>
      <c r="F15" s="12"/>
      <c r="G15" s="1"/>
      <c r="H15" s="130"/>
      <c r="I15" s="130"/>
    </row>
    <row r="16" spans="1:10" s="2" customFormat="1" ht="14.25" customHeight="1" x14ac:dyDescent="0.2">
      <c r="A16" s="127">
        <v>45097</v>
      </c>
      <c r="B16" s="9" t="s">
        <v>11</v>
      </c>
      <c r="C16" s="76" t="s">
        <v>91</v>
      </c>
      <c r="D16" s="11" t="s">
        <v>29</v>
      </c>
      <c r="F16" s="12">
        <v>119700</v>
      </c>
      <c r="G16" s="1"/>
      <c r="H16" s="130"/>
      <c r="I16" s="130"/>
    </row>
    <row r="17" spans="1:9" s="2" customFormat="1" ht="14.25" customHeight="1" x14ac:dyDescent="0.2">
      <c r="A17" s="127">
        <v>45097</v>
      </c>
      <c r="B17" s="9" t="s">
        <v>11</v>
      </c>
      <c r="C17" s="76" t="s">
        <v>1109</v>
      </c>
      <c r="D17" s="11" t="s">
        <v>29</v>
      </c>
      <c r="F17" s="12">
        <v>1800</v>
      </c>
      <c r="G17" s="1"/>
      <c r="H17" s="130"/>
      <c r="I17" s="130"/>
    </row>
    <row r="18" spans="1:9" s="2" customFormat="1" ht="14.25" customHeight="1" x14ac:dyDescent="0.2">
      <c r="A18" s="127">
        <v>45097</v>
      </c>
      <c r="B18" s="9" t="s">
        <v>11</v>
      </c>
      <c r="C18" s="76" t="s">
        <v>485</v>
      </c>
      <c r="D18" s="11" t="s">
        <v>29</v>
      </c>
      <c r="F18" s="12">
        <v>8273</v>
      </c>
      <c r="G18" s="1"/>
      <c r="H18" s="130"/>
      <c r="I18" s="130"/>
    </row>
    <row r="19" spans="1:9" s="2" customFormat="1" ht="14.25" customHeight="1" x14ac:dyDescent="0.2">
      <c r="A19" s="127">
        <v>45097</v>
      </c>
      <c r="B19" s="9" t="s">
        <v>11</v>
      </c>
      <c r="C19" s="76" t="s">
        <v>355</v>
      </c>
      <c r="D19" s="11" t="s">
        <v>29</v>
      </c>
      <c r="F19" s="12">
        <v>126465</v>
      </c>
      <c r="G19" s="1"/>
      <c r="H19" s="130"/>
      <c r="I19" s="130"/>
    </row>
    <row r="20" spans="1:9" s="2" customFormat="1" ht="14.25" customHeight="1" x14ac:dyDescent="0.2">
      <c r="A20" s="127">
        <v>45097</v>
      </c>
      <c r="B20" s="9" t="s">
        <v>11</v>
      </c>
      <c r="C20" s="76" t="s">
        <v>1110</v>
      </c>
      <c r="D20" s="11" t="s">
        <v>29</v>
      </c>
      <c r="F20" s="12">
        <v>91889</v>
      </c>
      <c r="G20" s="1"/>
      <c r="H20" s="130"/>
      <c r="I20" s="130"/>
    </row>
    <row r="21" spans="1:9" s="2" customFormat="1" ht="14.25" customHeight="1" x14ac:dyDescent="0.2">
      <c r="A21" s="127">
        <v>45097</v>
      </c>
      <c r="B21" s="9" t="s">
        <v>11</v>
      </c>
      <c r="C21" s="76" t="s">
        <v>1111</v>
      </c>
      <c r="D21" s="11" t="s">
        <v>29</v>
      </c>
      <c r="F21" s="12">
        <v>22000</v>
      </c>
      <c r="G21" s="1"/>
      <c r="H21" s="130"/>
      <c r="I21" s="130"/>
    </row>
    <row r="22" spans="1:9" s="2" customFormat="1" ht="14.25" customHeight="1" x14ac:dyDescent="0.2">
      <c r="A22" s="127">
        <v>45097</v>
      </c>
      <c r="B22" s="9" t="s">
        <v>11</v>
      </c>
      <c r="C22" s="76" t="s">
        <v>1112</v>
      </c>
      <c r="D22" s="11" t="s">
        <v>29</v>
      </c>
      <c r="F22" s="12">
        <v>200000</v>
      </c>
      <c r="G22" s="1"/>
      <c r="H22" s="130"/>
      <c r="I22" s="130"/>
    </row>
    <row r="23" spans="1:9" s="2" customFormat="1" ht="14.25" customHeight="1" x14ac:dyDescent="0.2">
      <c r="A23" s="127">
        <v>45097</v>
      </c>
      <c r="B23" s="9" t="s">
        <v>11</v>
      </c>
      <c r="C23" s="76" t="s">
        <v>745</v>
      </c>
      <c r="D23" s="11" t="s">
        <v>29</v>
      </c>
      <c r="F23" s="12">
        <v>699436</v>
      </c>
      <c r="G23" s="1"/>
      <c r="H23" s="130"/>
      <c r="I23" s="130"/>
    </row>
    <row r="24" spans="1:9" s="2" customFormat="1" ht="14.25" customHeight="1" x14ac:dyDescent="0.2">
      <c r="A24" s="127">
        <v>45097</v>
      </c>
      <c r="B24" s="9" t="s">
        <v>11</v>
      </c>
      <c r="C24" s="76" t="s">
        <v>193</v>
      </c>
      <c r="D24" s="11" t="s">
        <v>29</v>
      </c>
      <c r="F24" s="12">
        <v>443117</v>
      </c>
      <c r="G24" s="1"/>
      <c r="H24" s="130"/>
      <c r="I24" s="130"/>
    </row>
    <row r="25" spans="1:9" s="2" customFormat="1" ht="14.25" customHeight="1" x14ac:dyDescent="0.2">
      <c r="A25" s="127">
        <v>45097</v>
      </c>
      <c r="B25" s="9" t="s">
        <v>11</v>
      </c>
      <c r="C25" s="76" t="s">
        <v>194</v>
      </c>
      <c r="D25" s="11" t="s">
        <v>29</v>
      </c>
      <c r="F25" s="12">
        <v>678382</v>
      </c>
      <c r="G25" s="1"/>
      <c r="H25" s="130"/>
      <c r="I25" s="130"/>
    </row>
    <row r="26" spans="1:9" s="2" customFormat="1" ht="14.25" customHeight="1" x14ac:dyDescent="0.2">
      <c r="A26" s="127">
        <v>45097</v>
      </c>
      <c r="B26" s="9" t="s">
        <v>11</v>
      </c>
      <c r="C26" s="76" t="s">
        <v>50</v>
      </c>
      <c r="D26" s="11" t="s">
        <v>29</v>
      </c>
      <c r="F26" s="12">
        <v>1217645</v>
      </c>
      <c r="G26" s="1"/>
      <c r="H26" s="130"/>
      <c r="I26" s="130"/>
    </row>
    <row r="27" spans="1:9" s="2" customFormat="1" ht="14.25" customHeight="1" x14ac:dyDescent="0.2">
      <c r="A27" s="127">
        <v>45097</v>
      </c>
      <c r="B27" s="9" t="s">
        <v>11</v>
      </c>
      <c r="C27" s="76" t="s">
        <v>1058</v>
      </c>
      <c r="D27" s="11" t="s">
        <v>29</v>
      </c>
      <c r="F27" s="12">
        <v>1170482</v>
      </c>
      <c r="G27" s="1"/>
      <c r="H27" s="130"/>
      <c r="I27" s="130"/>
    </row>
    <row r="28" spans="1:9" s="2" customFormat="1" ht="14.25" customHeight="1" x14ac:dyDescent="0.2">
      <c r="A28" s="127">
        <v>45097</v>
      </c>
      <c r="B28" s="9" t="s">
        <v>11</v>
      </c>
      <c r="C28" s="76" t="s">
        <v>139</v>
      </c>
      <c r="D28" s="11" t="s">
        <v>29</v>
      </c>
      <c r="F28" s="12">
        <v>560633</v>
      </c>
      <c r="G28" s="1"/>
      <c r="H28" s="130"/>
      <c r="I28" s="130"/>
    </row>
    <row r="29" spans="1:9" s="2" customFormat="1" ht="14.25" customHeight="1" x14ac:dyDescent="0.2">
      <c r="A29" s="127">
        <v>45097</v>
      </c>
      <c r="B29" s="9" t="s">
        <v>11</v>
      </c>
      <c r="C29" s="76" t="s">
        <v>1113</v>
      </c>
      <c r="D29" s="11" t="s">
        <v>29</v>
      </c>
      <c r="F29" s="12">
        <v>1475</v>
      </c>
      <c r="G29" s="1"/>
      <c r="H29" s="130"/>
      <c r="I29" s="130"/>
    </row>
    <row r="30" spans="1:9" s="2" customFormat="1" ht="14.25" customHeight="1" x14ac:dyDescent="0.2">
      <c r="A30" s="127">
        <v>45097</v>
      </c>
      <c r="B30" s="9" t="s">
        <v>11</v>
      </c>
      <c r="C30" s="76" t="s">
        <v>235</v>
      </c>
      <c r="D30" s="11" t="s">
        <v>29</v>
      </c>
      <c r="F30" s="12">
        <v>6162</v>
      </c>
      <c r="G30" s="1"/>
      <c r="H30" s="130"/>
      <c r="I30" s="130"/>
    </row>
    <row r="31" spans="1:9" s="2" customFormat="1" ht="14.25" customHeight="1" x14ac:dyDescent="0.2">
      <c r="A31" s="127">
        <v>45097</v>
      </c>
      <c r="B31" s="9" t="s">
        <v>11</v>
      </c>
      <c r="C31" s="76" t="s">
        <v>238</v>
      </c>
      <c r="D31" s="11" t="s">
        <v>29</v>
      </c>
      <c r="F31" s="12">
        <v>100000</v>
      </c>
      <c r="G31" s="1"/>
      <c r="H31" s="130"/>
      <c r="I31" s="130"/>
    </row>
    <row r="32" spans="1:9" s="2" customFormat="1" ht="12.75" customHeight="1" x14ac:dyDescent="0.4">
      <c r="D32" s="15" t="s">
        <v>8</v>
      </c>
      <c r="E32" s="16">
        <f>SUM(E13:E31)</f>
        <v>536847</v>
      </c>
      <c r="F32" s="16">
        <f>SUM(F12:F31)</f>
        <v>30477075.169999991</v>
      </c>
      <c r="G32" s="1"/>
      <c r="H32" s="112"/>
      <c r="I32" s="112"/>
    </row>
    <row r="33" spans="1:10" s="2" customFormat="1" ht="12.75" customHeight="1" x14ac:dyDescent="0.4">
      <c r="A33" s="17"/>
      <c r="B33" s="18"/>
      <c r="C33" s="96" t="s">
        <v>9</v>
      </c>
      <c r="D33" s="20"/>
      <c r="E33" s="21">
        <f>+F32-E32</f>
        <v>29940228.169999991</v>
      </c>
      <c r="G33" s="23"/>
      <c r="H33" s="112"/>
      <c r="I33" s="112"/>
      <c r="J33" s="13"/>
    </row>
    <row r="34" spans="1:10" s="2" customFormat="1" ht="12.75" customHeight="1" x14ac:dyDescent="0.4">
      <c r="A34" s="24"/>
      <c r="B34" s="1"/>
      <c r="C34" s="14"/>
      <c r="D34" s="25"/>
      <c r="G34" s="23"/>
      <c r="H34" s="112"/>
      <c r="I34" s="112"/>
      <c r="J34" s="13"/>
    </row>
    <row r="35" spans="1:10" s="2" customFormat="1" ht="21.75" customHeight="1" x14ac:dyDescent="0.4">
      <c r="A35" s="214" t="s">
        <v>10</v>
      </c>
      <c r="B35" s="214"/>
      <c r="C35" s="214"/>
      <c r="D35" s="214"/>
      <c r="E35" s="214"/>
      <c r="F35" s="214"/>
      <c r="G35" s="13"/>
      <c r="H35" s="112"/>
      <c r="I35" s="112"/>
      <c r="J35" s="13"/>
    </row>
    <row r="36" spans="1:10" s="2" customFormat="1" ht="12.75" customHeight="1" x14ac:dyDescent="0.4">
      <c r="A36" s="26" t="s">
        <v>1</v>
      </c>
      <c r="B36" s="27" t="s">
        <v>2</v>
      </c>
      <c r="C36" s="5"/>
      <c r="D36" s="6" t="s">
        <v>3</v>
      </c>
      <c r="E36" s="7" t="s">
        <v>4</v>
      </c>
      <c r="F36" s="7" t="s">
        <v>5</v>
      </c>
      <c r="G36" s="23"/>
      <c r="H36" s="112"/>
      <c r="I36" s="112"/>
      <c r="J36" s="13"/>
    </row>
    <row r="37" spans="1:10" s="2" customFormat="1" ht="12.75" customHeight="1" x14ac:dyDescent="0.2">
      <c r="A37" s="127">
        <v>45097</v>
      </c>
      <c r="B37" s="128" t="s">
        <v>11</v>
      </c>
      <c r="C37" s="29" t="s">
        <v>7</v>
      </c>
      <c r="D37" s="25"/>
      <c r="E37" s="31"/>
      <c r="F37" s="2">
        <v>279924785.14999986</v>
      </c>
      <c r="G37" s="30"/>
      <c r="I37" s="13"/>
      <c r="J37" s="13"/>
    </row>
    <row r="38" spans="1:10" s="70" customFormat="1" ht="12.75" customHeight="1" x14ac:dyDescent="0.2">
      <c r="A38" s="127">
        <v>45097</v>
      </c>
      <c r="B38" s="128" t="s">
        <v>6</v>
      </c>
      <c r="C38" s="76" t="s">
        <v>19</v>
      </c>
      <c r="D38" s="125" t="s">
        <v>13</v>
      </c>
      <c r="E38" s="129">
        <v>3969764</v>
      </c>
      <c r="G38" s="30"/>
      <c r="I38" s="69"/>
      <c r="J38" s="69"/>
    </row>
    <row r="39" spans="1:10" s="70" customFormat="1" ht="12.75" customHeight="1" x14ac:dyDescent="0.2">
      <c r="A39" s="127">
        <v>45097</v>
      </c>
      <c r="B39" s="128" t="s">
        <v>6</v>
      </c>
      <c r="C39" s="76" t="s">
        <v>120</v>
      </c>
      <c r="D39" s="125" t="s">
        <v>13</v>
      </c>
      <c r="E39" s="129">
        <v>2652543.8600000003</v>
      </c>
      <c r="G39" s="30"/>
      <c r="I39" s="69"/>
      <c r="J39" s="69"/>
    </row>
    <row r="40" spans="1:10" s="70" customFormat="1" ht="12.75" customHeight="1" x14ac:dyDescent="0.2">
      <c r="A40" s="127">
        <v>45097</v>
      </c>
      <c r="B40" s="128" t="s">
        <v>6</v>
      </c>
      <c r="C40" s="76" t="s">
        <v>239</v>
      </c>
      <c r="D40" s="126" t="s">
        <v>13</v>
      </c>
      <c r="E40" s="129">
        <v>10448</v>
      </c>
      <c r="G40" s="30"/>
      <c r="I40" s="69"/>
      <c r="J40" s="69"/>
    </row>
    <row r="41" spans="1:10" s="70" customFormat="1" ht="12.75" customHeight="1" x14ac:dyDescent="0.2">
      <c r="A41" s="127">
        <v>45097</v>
      </c>
      <c r="B41" s="128" t="s">
        <v>6</v>
      </c>
      <c r="C41" s="76" t="s">
        <v>101</v>
      </c>
      <c r="D41" s="126" t="s">
        <v>13</v>
      </c>
      <c r="E41" s="129">
        <v>8400</v>
      </c>
      <c r="G41" s="30"/>
      <c r="I41" s="69"/>
      <c r="J41" s="69"/>
    </row>
    <row r="42" spans="1:10" s="70" customFormat="1" ht="12.75" customHeight="1" x14ac:dyDescent="0.2">
      <c r="A42" s="127">
        <v>45097</v>
      </c>
      <c r="B42" s="128" t="s">
        <v>6</v>
      </c>
      <c r="C42" s="76" t="s">
        <v>1114</v>
      </c>
      <c r="D42" s="126" t="s">
        <v>13</v>
      </c>
      <c r="E42" s="129">
        <v>7613</v>
      </c>
      <c r="G42" s="30"/>
      <c r="I42" s="69"/>
      <c r="J42" s="69"/>
    </row>
    <row r="43" spans="1:10" s="70" customFormat="1" ht="12.75" customHeight="1" x14ac:dyDescent="0.2">
      <c r="A43" s="127">
        <v>45097</v>
      </c>
      <c r="B43" s="128" t="s">
        <v>6</v>
      </c>
      <c r="C43" s="76" t="s">
        <v>310</v>
      </c>
      <c r="D43" s="126" t="s">
        <v>13</v>
      </c>
      <c r="E43" s="129">
        <v>7206</v>
      </c>
      <c r="G43" s="30"/>
      <c r="I43" s="69"/>
      <c r="J43" s="69"/>
    </row>
    <row r="44" spans="1:10" s="70" customFormat="1" ht="12.75" customHeight="1" x14ac:dyDescent="0.2">
      <c r="A44" s="127">
        <v>45097</v>
      </c>
      <c r="B44" s="128" t="s">
        <v>6</v>
      </c>
      <c r="C44" s="76" t="s">
        <v>669</v>
      </c>
      <c r="D44" s="126" t="s">
        <v>13</v>
      </c>
      <c r="E44" s="129">
        <v>412897</v>
      </c>
      <c r="G44" s="30"/>
      <c r="I44" s="69"/>
      <c r="J44" s="69"/>
    </row>
    <row r="45" spans="1:10" s="70" customFormat="1" ht="12.75" customHeight="1" x14ac:dyDescent="0.2">
      <c r="A45" s="127">
        <v>45097</v>
      </c>
      <c r="B45" s="128" t="s">
        <v>6</v>
      </c>
      <c r="C45" s="76" t="s">
        <v>219</v>
      </c>
      <c r="D45" s="126" t="s">
        <v>13</v>
      </c>
      <c r="E45" s="129">
        <v>2230394</v>
      </c>
      <c r="G45" s="30"/>
      <c r="I45" s="69"/>
      <c r="J45" s="69"/>
    </row>
    <row r="46" spans="1:10" s="70" customFormat="1" ht="12.75" customHeight="1" x14ac:dyDescent="0.2">
      <c r="A46" s="127">
        <v>45097</v>
      </c>
      <c r="B46" s="128" t="s">
        <v>6</v>
      </c>
      <c r="C46" s="76" t="s">
        <v>281</v>
      </c>
      <c r="D46" s="126" t="s">
        <v>13</v>
      </c>
      <c r="E46" s="129">
        <v>2000000</v>
      </c>
      <c r="G46" s="30"/>
      <c r="I46" s="69"/>
      <c r="J46" s="69"/>
    </row>
    <row r="47" spans="1:10" s="70" customFormat="1" ht="12.75" customHeight="1" x14ac:dyDescent="0.2">
      <c r="A47" s="127">
        <v>45097</v>
      </c>
      <c r="B47" s="128" t="s">
        <v>6</v>
      </c>
      <c r="C47" s="76" t="s">
        <v>177</v>
      </c>
      <c r="D47" s="126" t="s">
        <v>13</v>
      </c>
      <c r="E47" s="129">
        <v>533160</v>
      </c>
      <c r="G47" s="30"/>
      <c r="I47" s="69"/>
      <c r="J47" s="69"/>
    </row>
    <row r="48" spans="1:10" s="70" customFormat="1" ht="12.75" customHeight="1" x14ac:dyDescent="0.2">
      <c r="A48" s="127">
        <v>45097</v>
      </c>
      <c r="B48" s="128" t="s">
        <v>6</v>
      </c>
      <c r="C48" s="76" t="s">
        <v>1115</v>
      </c>
      <c r="D48" s="126" t="s">
        <v>13</v>
      </c>
      <c r="E48" s="129">
        <v>305305</v>
      </c>
      <c r="G48" s="30"/>
      <c r="I48" s="69"/>
      <c r="J48" s="69"/>
    </row>
    <row r="49" spans="1:10" s="70" customFormat="1" ht="12.75" customHeight="1" x14ac:dyDescent="0.2">
      <c r="A49" s="127">
        <v>45097</v>
      </c>
      <c r="B49" s="128" t="s">
        <v>6</v>
      </c>
      <c r="C49" s="76" t="s">
        <v>905</v>
      </c>
      <c r="D49" s="126" t="s">
        <v>13</v>
      </c>
      <c r="E49" s="129">
        <v>120616.5</v>
      </c>
      <c r="G49" s="30"/>
      <c r="I49" s="69"/>
      <c r="J49" s="69"/>
    </row>
    <row r="50" spans="1:10" s="70" customFormat="1" ht="12.75" customHeight="1" x14ac:dyDescent="0.2">
      <c r="A50" s="127">
        <v>45097</v>
      </c>
      <c r="B50" s="128" t="s">
        <v>6</v>
      </c>
      <c r="C50" s="76" t="s">
        <v>271</v>
      </c>
      <c r="D50" s="126" t="s">
        <v>13</v>
      </c>
      <c r="E50" s="129">
        <v>103974</v>
      </c>
      <c r="G50" s="30"/>
      <c r="I50" s="69"/>
      <c r="J50" s="69"/>
    </row>
    <row r="51" spans="1:10" s="70" customFormat="1" ht="12.75" customHeight="1" x14ac:dyDescent="0.2">
      <c r="A51" s="127">
        <v>45097</v>
      </c>
      <c r="B51" s="128" t="s">
        <v>6</v>
      </c>
      <c r="C51" s="76" t="s">
        <v>149</v>
      </c>
      <c r="D51" s="126" t="s">
        <v>13</v>
      </c>
      <c r="E51" s="129">
        <v>92810</v>
      </c>
      <c r="G51" s="30"/>
      <c r="I51" s="69"/>
      <c r="J51" s="69"/>
    </row>
    <row r="52" spans="1:10" s="70" customFormat="1" ht="12.75" customHeight="1" x14ac:dyDescent="0.2">
      <c r="A52" s="127">
        <v>45097</v>
      </c>
      <c r="B52" s="128" t="s">
        <v>6</v>
      </c>
      <c r="C52" s="76" t="s">
        <v>378</v>
      </c>
      <c r="D52" s="126" t="s">
        <v>13</v>
      </c>
      <c r="E52" s="129">
        <v>1445191</v>
      </c>
      <c r="G52" s="30"/>
      <c r="I52" s="69"/>
      <c r="J52" s="69"/>
    </row>
    <row r="53" spans="1:10" s="70" customFormat="1" ht="12.75" customHeight="1" x14ac:dyDescent="0.2">
      <c r="A53" s="127">
        <v>45097</v>
      </c>
      <c r="B53" s="128" t="s">
        <v>6</v>
      </c>
      <c r="C53" s="76" t="s">
        <v>612</v>
      </c>
      <c r="D53" s="126" t="s">
        <v>13</v>
      </c>
      <c r="E53" s="129">
        <v>36173</v>
      </c>
      <c r="G53" s="30"/>
      <c r="I53" s="69"/>
      <c r="J53" s="69"/>
    </row>
    <row r="54" spans="1:10" s="70" customFormat="1" ht="12.75" customHeight="1" x14ac:dyDescent="0.2">
      <c r="A54" s="127">
        <v>45097</v>
      </c>
      <c r="B54" s="128" t="s">
        <v>6</v>
      </c>
      <c r="C54" s="76" t="s">
        <v>607</v>
      </c>
      <c r="D54" s="126" t="s">
        <v>13</v>
      </c>
      <c r="E54" s="129">
        <v>687589</v>
      </c>
      <c r="G54" s="30"/>
      <c r="I54" s="69"/>
      <c r="J54" s="69"/>
    </row>
    <row r="55" spans="1:10" s="70" customFormat="1" ht="12.75" customHeight="1" x14ac:dyDescent="0.2">
      <c r="A55" s="127">
        <v>45097</v>
      </c>
      <c r="B55" s="128" t="s">
        <v>11</v>
      </c>
      <c r="C55" s="76" t="s">
        <v>64</v>
      </c>
      <c r="D55" s="126" t="s">
        <v>29</v>
      </c>
      <c r="E55" s="129"/>
      <c r="F55" s="70">
        <v>4130</v>
      </c>
      <c r="G55" s="30"/>
      <c r="I55" s="69"/>
      <c r="J55" s="69"/>
    </row>
    <row r="56" spans="1:10" s="70" customFormat="1" ht="12.75" customHeight="1" x14ac:dyDescent="0.2">
      <c r="A56" s="127">
        <v>45097</v>
      </c>
      <c r="B56" s="128" t="s">
        <v>11</v>
      </c>
      <c r="C56" s="76" t="s">
        <v>111</v>
      </c>
      <c r="D56" s="126" t="s">
        <v>29</v>
      </c>
      <c r="E56" s="129"/>
      <c r="F56" s="70">
        <v>1088912.3799999999</v>
      </c>
      <c r="G56" s="30"/>
      <c r="I56" s="69"/>
      <c r="J56" s="69"/>
    </row>
    <row r="57" spans="1:10" s="70" customFormat="1" ht="12.75" customHeight="1" x14ac:dyDescent="0.2">
      <c r="A57" s="127">
        <v>45097</v>
      </c>
      <c r="B57" s="128" t="s">
        <v>11</v>
      </c>
      <c r="C57" s="76" t="s">
        <v>126</v>
      </c>
      <c r="D57" s="126" t="s">
        <v>29</v>
      </c>
      <c r="E57" s="129"/>
      <c r="F57" s="70">
        <v>375512</v>
      </c>
      <c r="G57" s="30"/>
      <c r="I57" s="69"/>
      <c r="J57" s="69"/>
    </row>
    <row r="58" spans="1:10" s="70" customFormat="1" ht="12.75" customHeight="1" x14ac:dyDescent="0.2">
      <c r="A58" s="127">
        <v>45097</v>
      </c>
      <c r="B58" s="128" t="s">
        <v>11</v>
      </c>
      <c r="C58" s="76" t="s">
        <v>460</v>
      </c>
      <c r="D58" s="126" t="s">
        <v>29</v>
      </c>
      <c r="E58" s="129"/>
      <c r="F58" s="70">
        <v>361611</v>
      </c>
      <c r="G58" s="30"/>
      <c r="I58" s="69"/>
      <c r="J58" s="69"/>
    </row>
    <row r="59" spans="1:10" s="70" customFormat="1" ht="12.75" customHeight="1" x14ac:dyDescent="0.2">
      <c r="A59" s="127">
        <v>45097</v>
      </c>
      <c r="B59" s="128" t="s">
        <v>11</v>
      </c>
      <c r="C59" s="76" t="s">
        <v>127</v>
      </c>
      <c r="D59" s="126" t="s">
        <v>29</v>
      </c>
      <c r="E59" s="129"/>
      <c r="F59" s="70">
        <v>455489</v>
      </c>
      <c r="G59" s="30"/>
      <c r="I59" s="69"/>
      <c r="J59" s="69"/>
    </row>
    <row r="60" spans="1:10" s="70" customFormat="1" ht="12.75" customHeight="1" x14ac:dyDescent="0.2">
      <c r="A60" s="127">
        <v>45097</v>
      </c>
      <c r="B60" s="128" t="s">
        <v>11</v>
      </c>
      <c r="C60" s="76" t="s">
        <v>123</v>
      </c>
      <c r="D60" s="126" t="s">
        <v>29</v>
      </c>
      <c r="E60" s="129"/>
      <c r="F60" s="70">
        <v>214089</v>
      </c>
      <c r="G60" s="30"/>
      <c r="I60" s="69"/>
      <c r="J60" s="69"/>
    </row>
    <row r="61" spans="1:10" s="70" customFormat="1" ht="12.75" customHeight="1" x14ac:dyDescent="0.2">
      <c r="A61" s="127">
        <v>45097</v>
      </c>
      <c r="B61" s="128" t="s">
        <v>11</v>
      </c>
      <c r="C61" s="76" t="s">
        <v>107</v>
      </c>
      <c r="D61" s="126" t="s">
        <v>29</v>
      </c>
      <c r="E61" s="129"/>
      <c r="F61" s="70">
        <v>297824.31</v>
      </c>
      <c r="G61" s="30"/>
      <c r="I61" s="69"/>
      <c r="J61" s="69"/>
    </row>
    <row r="62" spans="1:10" s="70" customFormat="1" ht="12.75" customHeight="1" x14ac:dyDescent="0.2">
      <c r="A62" s="127">
        <v>45097</v>
      </c>
      <c r="B62" s="128" t="s">
        <v>11</v>
      </c>
      <c r="C62" s="76" t="s">
        <v>498</v>
      </c>
      <c r="D62" s="126" t="s">
        <v>29</v>
      </c>
      <c r="E62" s="129"/>
      <c r="F62" s="70">
        <v>321430.78000000003</v>
      </c>
      <c r="G62" s="30"/>
      <c r="I62" s="69"/>
      <c r="J62" s="69"/>
    </row>
    <row r="63" spans="1:10" s="70" customFormat="1" ht="12.75" customHeight="1" x14ac:dyDescent="0.2">
      <c r="A63" s="127">
        <v>45097</v>
      </c>
      <c r="B63" s="128" t="s">
        <v>11</v>
      </c>
      <c r="C63" s="76" t="s">
        <v>285</v>
      </c>
      <c r="D63" s="126" t="s">
        <v>29</v>
      </c>
      <c r="E63" s="129"/>
      <c r="F63" s="70">
        <v>471027.89</v>
      </c>
      <c r="G63" s="30"/>
      <c r="I63" s="69"/>
      <c r="J63" s="69"/>
    </row>
    <row r="64" spans="1:10" s="70" customFormat="1" ht="12.75" customHeight="1" x14ac:dyDescent="0.2">
      <c r="A64" s="127">
        <v>45097</v>
      </c>
      <c r="B64" s="128" t="s">
        <v>11</v>
      </c>
      <c r="C64" s="76" t="s">
        <v>34</v>
      </c>
      <c r="D64" s="126" t="s">
        <v>29</v>
      </c>
      <c r="E64" s="129"/>
      <c r="F64" s="70">
        <v>15000</v>
      </c>
      <c r="G64" s="30"/>
      <c r="I64" s="69"/>
      <c r="J64" s="69"/>
    </row>
    <row r="65" spans="1:13" s="70" customFormat="1" ht="12.75" customHeight="1" x14ac:dyDescent="0.2">
      <c r="A65" s="127">
        <v>45097</v>
      </c>
      <c r="B65" s="128" t="s">
        <v>11</v>
      </c>
      <c r="C65" s="76" t="s">
        <v>544</v>
      </c>
      <c r="D65" s="126" t="s">
        <v>29</v>
      </c>
      <c r="E65" s="129"/>
      <c r="F65" s="70">
        <v>18049</v>
      </c>
      <c r="G65" s="30"/>
      <c r="I65" s="69"/>
      <c r="J65" s="69"/>
    </row>
    <row r="66" spans="1:13" s="70" customFormat="1" ht="12.75" customHeight="1" x14ac:dyDescent="0.2">
      <c r="A66" s="127">
        <v>45097</v>
      </c>
      <c r="B66" s="128" t="s">
        <v>11</v>
      </c>
      <c r="C66" s="76" t="s">
        <v>879</v>
      </c>
      <c r="D66" s="126" t="s">
        <v>29</v>
      </c>
      <c r="E66" s="129"/>
      <c r="F66" s="70">
        <v>2000</v>
      </c>
      <c r="G66" s="30"/>
      <c r="I66" s="69"/>
      <c r="J66" s="69"/>
    </row>
    <row r="67" spans="1:13" s="70" customFormat="1" ht="12.75" customHeight="1" x14ac:dyDescent="0.2">
      <c r="A67" s="127">
        <v>45097</v>
      </c>
      <c r="B67" s="128" t="s">
        <v>11</v>
      </c>
      <c r="C67" s="76" t="s">
        <v>406</v>
      </c>
      <c r="D67" s="126" t="s">
        <v>29</v>
      </c>
      <c r="E67" s="129"/>
      <c r="F67" s="70">
        <v>5900</v>
      </c>
      <c r="G67" s="30"/>
      <c r="I67" s="69"/>
      <c r="J67" s="69"/>
    </row>
    <row r="68" spans="1:13" s="70" customFormat="1" ht="12.75" customHeight="1" x14ac:dyDescent="0.2">
      <c r="A68" s="127">
        <v>45097</v>
      </c>
      <c r="B68" s="128" t="s">
        <v>11</v>
      </c>
      <c r="C68" s="76" t="s">
        <v>343</v>
      </c>
      <c r="D68" s="126" t="s">
        <v>29</v>
      </c>
      <c r="E68" s="129"/>
      <c r="F68" s="70">
        <v>13500</v>
      </c>
      <c r="G68" s="30"/>
      <c r="I68" s="69"/>
      <c r="J68" s="69"/>
    </row>
    <row r="69" spans="1:13" s="70" customFormat="1" ht="12.75" customHeight="1" x14ac:dyDescent="0.2">
      <c r="A69" s="127">
        <v>45097</v>
      </c>
      <c r="B69" s="128" t="s">
        <v>11</v>
      </c>
      <c r="C69" s="76" t="s">
        <v>911</v>
      </c>
      <c r="D69" s="126" t="s">
        <v>29</v>
      </c>
      <c r="E69" s="129"/>
      <c r="F69" s="70">
        <v>11800</v>
      </c>
      <c r="G69" s="30"/>
      <c r="I69" s="69"/>
      <c r="J69" s="69"/>
    </row>
    <row r="70" spans="1:13" s="70" customFormat="1" ht="12.75" customHeight="1" x14ac:dyDescent="0.2">
      <c r="A70" s="127">
        <v>45097</v>
      </c>
      <c r="B70" s="128" t="s">
        <v>11</v>
      </c>
      <c r="C70" s="76" t="s">
        <v>243</v>
      </c>
      <c r="D70" s="126" t="s">
        <v>29</v>
      </c>
      <c r="E70" s="129"/>
      <c r="F70" s="70">
        <v>4361.38</v>
      </c>
      <c r="G70" s="30"/>
      <c r="I70" s="69"/>
      <c r="J70" s="69"/>
    </row>
    <row r="71" spans="1:13" s="70" customFormat="1" ht="12.75" customHeight="1" x14ac:dyDescent="0.2">
      <c r="A71" s="127">
        <v>45097</v>
      </c>
      <c r="B71" s="128" t="s">
        <v>11</v>
      </c>
      <c r="C71" s="76" t="s">
        <v>209</v>
      </c>
      <c r="D71" s="126" t="s">
        <v>29</v>
      </c>
      <c r="E71" s="129"/>
      <c r="F71" s="70">
        <v>50000</v>
      </c>
      <c r="G71" s="30"/>
      <c r="I71" s="69"/>
      <c r="J71" s="69"/>
    </row>
    <row r="72" spans="1:13" s="70" customFormat="1" ht="12.75" customHeight="1" x14ac:dyDescent="0.2">
      <c r="A72" s="127">
        <v>45097</v>
      </c>
      <c r="B72" s="128" t="s">
        <v>11</v>
      </c>
      <c r="C72" s="76" t="s">
        <v>452</v>
      </c>
      <c r="D72" s="126" t="s">
        <v>29</v>
      </c>
      <c r="E72" s="129"/>
      <c r="F72" s="70">
        <v>309622</v>
      </c>
      <c r="G72" s="30"/>
      <c r="I72" s="69"/>
      <c r="J72" s="69"/>
    </row>
    <row r="73" spans="1:13" s="70" customFormat="1" ht="12.75" customHeight="1" x14ac:dyDescent="0.2">
      <c r="A73" s="127">
        <v>45097</v>
      </c>
      <c r="B73" s="128" t="s">
        <v>11</v>
      </c>
      <c r="C73" s="76" t="s">
        <v>422</v>
      </c>
      <c r="D73" s="126" t="s">
        <v>29</v>
      </c>
      <c r="E73" s="129"/>
      <c r="F73" s="70">
        <v>87792</v>
      </c>
      <c r="G73" s="30"/>
      <c r="I73" s="69"/>
      <c r="J73" s="69"/>
    </row>
    <row r="74" spans="1:13" s="70" customFormat="1" ht="12.75" customHeight="1" x14ac:dyDescent="0.2">
      <c r="A74" s="127">
        <v>45097</v>
      </c>
      <c r="B74" s="128" t="s">
        <v>11</v>
      </c>
      <c r="C74" s="76" t="s">
        <v>62</v>
      </c>
      <c r="D74" s="126" t="s">
        <v>29</v>
      </c>
      <c r="E74" s="129"/>
      <c r="F74" s="70">
        <v>90000</v>
      </c>
      <c r="G74" s="30"/>
      <c r="I74" s="69"/>
      <c r="J74" s="69"/>
    </row>
    <row r="75" spans="1:13" s="70" customFormat="1" ht="12.75" customHeight="1" x14ac:dyDescent="0.2">
      <c r="A75" s="127">
        <v>45097</v>
      </c>
      <c r="B75" s="128" t="s">
        <v>11</v>
      </c>
      <c r="C75" s="76" t="s">
        <v>57</v>
      </c>
      <c r="D75" s="126" t="s">
        <v>29</v>
      </c>
      <c r="E75" s="129"/>
      <c r="F75" s="70">
        <v>2000000</v>
      </c>
      <c r="G75" s="30"/>
      <c r="I75" s="69"/>
      <c r="J75" s="69"/>
    </row>
    <row r="76" spans="1:13" s="70" customFormat="1" ht="12.75" customHeight="1" x14ac:dyDescent="0.2">
      <c r="A76" s="127">
        <v>45097</v>
      </c>
      <c r="B76" s="128" t="s">
        <v>11</v>
      </c>
      <c r="C76" s="76" t="s">
        <v>500</v>
      </c>
      <c r="D76" s="126" t="s">
        <v>29</v>
      </c>
      <c r="E76" s="129"/>
      <c r="F76" s="70">
        <v>6236078</v>
      </c>
      <c r="G76" s="30"/>
      <c r="I76" s="69"/>
      <c r="J76" s="69"/>
    </row>
    <row r="77" spans="1:13" s="70" customFormat="1" ht="12.75" customHeight="1" x14ac:dyDescent="0.2">
      <c r="A77" s="127">
        <v>45097</v>
      </c>
      <c r="B77" s="128" t="s">
        <v>11</v>
      </c>
      <c r="C77" s="76" t="s">
        <v>15</v>
      </c>
      <c r="D77" s="126" t="s">
        <v>29</v>
      </c>
      <c r="E77" s="129"/>
      <c r="F77" s="70">
        <v>5772.3700000000008</v>
      </c>
      <c r="G77" s="30"/>
      <c r="I77" s="69"/>
      <c r="J77" s="69"/>
    </row>
    <row r="78" spans="1:13" s="2" customFormat="1" ht="12.75" customHeight="1" x14ac:dyDescent="0.25">
      <c r="A78" s="32"/>
      <c r="B78" s="33"/>
      <c r="C78" s="14"/>
      <c r="D78" s="34"/>
      <c r="E78" s="16">
        <f>SUM(E37:E77)</f>
        <v>14624084.359999999</v>
      </c>
      <c r="F78" s="16">
        <f>SUM(F37:F77)</f>
        <v>292364686.25999981</v>
      </c>
      <c r="G78" s="30"/>
      <c r="H78" s="1"/>
      <c r="I78" s="39">
        <v>277740601.89999998</v>
      </c>
      <c r="K78" s="92">
        <f>E79-I78</f>
        <v>0</v>
      </c>
      <c r="L78" s="41"/>
      <c r="M78" s="42"/>
    </row>
    <row r="79" spans="1:13" s="2" customFormat="1" ht="12.75" customHeight="1" x14ac:dyDescent="0.2">
      <c r="A79" s="36"/>
      <c r="B79" s="28" t="s">
        <v>11</v>
      </c>
      <c r="C79" s="19" t="s">
        <v>65</v>
      </c>
      <c r="D79" s="37"/>
      <c r="E79" s="38">
        <f>F78-E78</f>
        <v>277740601.8999998</v>
      </c>
      <c r="F79" s="22"/>
      <c r="G79" s="1"/>
      <c r="H79" s="1"/>
      <c r="J79" s="1"/>
      <c r="K79" s="1"/>
      <c r="L79" s="1"/>
      <c r="M79" s="1"/>
    </row>
    <row r="80" spans="1:13" s="2" customFormat="1" ht="12.75" customHeight="1" x14ac:dyDescent="0.2">
      <c r="A80" s="36"/>
      <c r="B80" s="28" t="s">
        <v>66</v>
      </c>
      <c r="C80" s="43" t="s">
        <v>67</v>
      </c>
      <c r="D80" s="43"/>
      <c r="E80" s="12">
        <v>59416310</v>
      </c>
      <c r="F80" s="22"/>
      <c r="G80" s="1"/>
      <c r="H80" s="40"/>
      <c r="I80" s="45">
        <v>2945.55</v>
      </c>
      <c r="J80" s="46"/>
      <c r="K80" s="46"/>
      <c r="L80" s="13"/>
    </row>
    <row r="81" spans="1:14" s="2" customFormat="1" ht="12.75" customHeight="1" x14ac:dyDescent="0.25">
      <c r="A81" s="36"/>
      <c r="B81" s="28"/>
      <c r="C81" s="44" t="s">
        <v>68</v>
      </c>
      <c r="D81" s="43"/>
      <c r="E81" s="7">
        <f>E79+E80</f>
        <v>337156911.8999998</v>
      </c>
      <c r="F81" s="22"/>
      <c r="G81" s="1"/>
      <c r="H81" s="103" t="s">
        <v>69</v>
      </c>
      <c r="I81" s="45">
        <v>-81.81</v>
      </c>
      <c r="J81" s="46"/>
      <c r="K81" s="46"/>
      <c r="N81" s="1"/>
    </row>
    <row r="82" spans="1:14" s="2" customFormat="1" x14ac:dyDescent="0.2">
      <c r="A82" s="24"/>
      <c r="B82" s="1"/>
      <c r="C82" s="14"/>
      <c r="D82" s="25"/>
      <c r="E82" s="1"/>
      <c r="H82" s="35" t="s">
        <v>70</v>
      </c>
      <c r="I82" s="45">
        <f>4.6+54.96</f>
        <v>59.56</v>
      </c>
      <c r="J82" s="46">
        <f>+I83-D85</f>
        <v>0</v>
      </c>
      <c r="M82" s="2" t="s">
        <v>396</v>
      </c>
      <c r="N82" s="1"/>
    </row>
    <row r="83" spans="1:14" x14ac:dyDescent="0.2">
      <c r="C83" s="56"/>
      <c r="D83" s="56"/>
      <c r="E83" s="104"/>
      <c r="I83" s="49">
        <f>SUM(I80:I82)</f>
        <v>2923.3</v>
      </c>
      <c r="J83" s="46"/>
      <c r="K83" s="46"/>
      <c r="L83" s="2"/>
      <c r="M83" s="2"/>
      <c r="N83" s="2"/>
    </row>
    <row r="84" spans="1:14" x14ac:dyDescent="0.2">
      <c r="C84" s="78" t="s">
        <v>575</v>
      </c>
      <c r="D84" s="48" t="s">
        <v>576</v>
      </c>
      <c r="E84" s="104"/>
      <c r="I84" s="2"/>
      <c r="J84" s="2"/>
      <c r="K84" s="2"/>
      <c r="L84" s="2"/>
      <c r="M84" s="2"/>
      <c r="N84" s="2"/>
    </row>
    <row r="85" spans="1:14" s="2" customFormat="1" x14ac:dyDescent="0.2">
      <c r="A85" s="24"/>
      <c r="B85" s="1"/>
      <c r="C85" s="47" t="s">
        <v>570</v>
      </c>
      <c r="D85" s="111">
        <v>2923.3</v>
      </c>
      <c r="E85" s="104"/>
      <c r="G85" s="1"/>
      <c r="H85" s="110" t="s">
        <v>581</v>
      </c>
      <c r="N85" s="2" t="s">
        <v>535</v>
      </c>
    </row>
    <row r="86" spans="1:14" s="2" customFormat="1" x14ac:dyDescent="0.2">
      <c r="A86" s="24"/>
      <c r="B86" s="1"/>
      <c r="C86" s="47" t="s">
        <v>931</v>
      </c>
      <c r="D86" s="111">
        <v>386.3</v>
      </c>
      <c r="E86" s="104"/>
      <c r="G86" s="1"/>
      <c r="H86" s="110" t="s">
        <v>580</v>
      </c>
    </row>
    <row r="87" spans="1:14" s="2" customFormat="1" x14ac:dyDescent="0.2">
      <c r="A87" s="24"/>
      <c r="B87" s="1"/>
      <c r="C87" s="47" t="s">
        <v>572</v>
      </c>
      <c r="D87" s="111">
        <f>+D126/100000</f>
        <v>352.42553459999999</v>
      </c>
      <c r="E87" s="104"/>
      <c r="G87" s="1"/>
      <c r="H87" s="90" t="s">
        <v>587</v>
      </c>
    </row>
    <row r="88" spans="1:14" s="2" customFormat="1" x14ac:dyDescent="0.2">
      <c r="A88" s="24"/>
      <c r="B88" s="1"/>
      <c r="C88" s="108" t="s">
        <v>578</v>
      </c>
      <c r="D88" s="48">
        <f>SUM(D85:D87)</f>
        <v>3662.0255346000004</v>
      </c>
      <c r="E88" s="104"/>
      <c r="G88" s="1"/>
    </row>
    <row r="89" spans="1:14" s="2" customFormat="1" x14ac:dyDescent="0.2">
      <c r="A89" s="24"/>
      <c r="B89" s="1"/>
      <c r="C89" s="47"/>
      <c r="D89" s="107"/>
      <c r="E89" s="104"/>
      <c r="G89" s="1"/>
    </row>
    <row r="90" spans="1:14" s="2" customFormat="1" x14ac:dyDescent="0.2">
      <c r="A90" s="24"/>
      <c r="B90" s="1"/>
      <c r="C90" s="47" t="s">
        <v>932</v>
      </c>
      <c r="D90" s="111">
        <v>303.36</v>
      </c>
      <c r="E90" s="104"/>
      <c r="G90" s="1"/>
      <c r="H90" s="110" t="s">
        <v>581</v>
      </c>
    </row>
    <row r="91" spans="1:14" s="2" customFormat="1" x14ac:dyDescent="0.2">
      <c r="A91" s="24"/>
      <c r="B91" s="1"/>
      <c r="C91" s="47" t="s">
        <v>933</v>
      </c>
      <c r="D91" s="111">
        <f>179.5+273-183.11</f>
        <v>269.39</v>
      </c>
      <c r="E91" s="104"/>
      <c r="G91" s="1"/>
      <c r="H91" s="110" t="s">
        <v>581</v>
      </c>
      <c r="J91" s="114" t="s">
        <v>713</v>
      </c>
    </row>
    <row r="92" spans="1:14" s="2" customFormat="1" x14ac:dyDescent="0.2">
      <c r="A92" s="24"/>
      <c r="B92" s="1"/>
      <c r="C92" s="78" t="s">
        <v>579</v>
      </c>
      <c r="D92" s="109">
        <f>D90+D91</f>
        <v>572.75</v>
      </c>
      <c r="E92" s="104"/>
      <c r="G92" s="1"/>
      <c r="I92" s="113"/>
      <c r="J92" s="113" t="s">
        <v>709</v>
      </c>
      <c r="K92" s="113" t="s">
        <v>710</v>
      </c>
      <c r="L92" s="113" t="s">
        <v>711</v>
      </c>
      <c r="M92" s="113" t="s">
        <v>712</v>
      </c>
    </row>
    <row r="93" spans="1:14" s="2" customFormat="1" x14ac:dyDescent="0.2">
      <c r="A93" s="24"/>
      <c r="B93" s="1"/>
      <c r="C93" s="105"/>
      <c r="D93" s="106"/>
      <c r="E93" s="104"/>
      <c r="G93" s="1"/>
      <c r="I93" s="113" t="s">
        <v>706</v>
      </c>
      <c r="J93" s="115"/>
      <c r="K93" s="115">
        <v>968.99</v>
      </c>
      <c r="L93" s="115">
        <v>968.99</v>
      </c>
      <c r="M93" s="113">
        <f>+J93+L93-K93</f>
        <v>0</v>
      </c>
    </row>
    <row r="94" spans="1:14" s="2" customFormat="1" x14ac:dyDescent="0.2">
      <c r="A94" s="24"/>
      <c r="B94" s="1"/>
      <c r="C94" s="78" t="s">
        <v>577</v>
      </c>
      <c r="D94" s="109">
        <f>D85+D92</f>
        <v>3496.05</v>
      </c>
      <c r="E94" s="104"/>
      <c r="G94" s="1"/>
      <c r="I94" s="113" t="s">
        <v>707</v>
      </c>
      <c r="J94" s="115">
        <v>183.1</v>
      </c>
      <c r="K94" s="115">
        <v>2347.27</v>
      </c>
      <c r="L94" s="115">
        <v>3096.17</v>
      </c>
      <c r="M94" s="113">
        <f>+J94+L94-K94</f>
        <v>932</v>
      </c>
    </row>
    <row r="95" spans="1:14" s="2" customFormat="1" x14ac:dyDescent="0.2">
      <c r="A95" s="24"/>
      <c r="B95" s="1"/>
      <c r="C95" s="56"/>
      <c r="D95" s="56"/>
      <c r="E95" s="104"/>
      <c r="G95" s="1"/>
      <c r="I95" s="113" t="s">
        <v>708</v>
      </c>
      <c r="J95" s="115">
        <v>1371.02</v>
      </c>
      <c r="K95" s="115">
        <v>12135.15</v>
      </c>
      <c r="L95" s="115">
        <v>12199.09</v>
      </c>
      <c r="M95" s="113">
        <f>+J95+L95-K95</f>
        <v>1434.9600000000009</v>
      </c>
    </row>
    <row r="96" spans="1:14" s="2" customFormat="1" ht="38.25" x14ac:dyDescent="0.2">
      <c r="A96" s="24"/>
      <c r="B96" s="1"/>
      <c r="C96" s="79" t="str">
        <f>"Particulars ( 01-04-2021 to "&amp;TEXT(A5,"dd-mm-yyyy")&amp;" )"</f>
        <v>Particulars ( 01-04-2021 to 21-06-2023 )</v>
      </c>
      <c r="D96" s="80" t="s">
        <v>73</v>
      </c>
      <c r="E96" s="80" t="s">
        <v>74</v>
      </c>
      <c r="F96" s="81" t="s">
        <v>75</v>
      </c>
      <c r="G96" s="80" t="s">
        <v>76</v>
      </c>
      <c r="J96" s="118">
        <f>SUM(J93:J95)</f>
        <v>1554.12</v>
      </c>
      <c r="K96" s="118">
        <f>SUM(K93:K95)</f>
        <v>15451.41</v>
      </c>
      <c r="L96" s="118">
        <f>SUM(L93:L95)</f>
        <v>16264.25</v>
      </c>
      <c r="M96" s="118">
        <f>SUM(M93:M95)</f>
        <v>2366.9600000000009</v>
      </c>
    </row>
    <row r="97" spans="1:13" s="2" customFormat="1" x14ac:dyDescent="0.2">
      <c r="A97" s="24"/>
      <c r="B97" s="1"/>
      <c r="C97" s="50" t="s">
        <v>444</v>
      </c>
      <c r="D97" s="55">
        <f>+L93+L94+J94</f>
        <v>4248.26</v>
      </c>
      <c r="E97" s="55">
        <f>+K93+K94</f>
        <v>3316.26</v>
      </c>
      <c r="F97" s="55">
        <f>+D97-E97</f>
        <v>932</v>
      </c>
      <c r="G97" s="55">
        <f>1500-F97</f>
        <v>568</v>
      </c>
      <c r="H97" s="2" t="s">
        <v>396</v>
      </c>
    </row>
    <row r="98" spans="1:13" s="2" customFormat="1" x14ac:dyDescent="0.2">
      <c r="A98" s="24"/>
      <c r="B98" s="1"/>
      <c r="C98" s="50" t="s">
        <v>71</v>
      </c>
      <c r="D98" s="55">
        <f>+J95+L95</f>
        <v>13570.11</v>
      </c>
      <c r="E98" s="55">
        <f>+K95</f>
        <v>12135.15</v>
      </c>
      <c r="F98" s="55">
        <f>+D98-E98</f>
        <v>1434.9600000000009</v>
      </c>
      <c r="G98" s="55">
        <f>1500+700-F98</f>
        <v>765.03999999999905</v>
      </c>
      <c r="H98" s="2" t="s">
        <v>396</v>
      </c>
    </row>
    <row r="99" spans="1:13" s="2" customFormat="1" x14ac:dyDescent="0.2">
      <c r="A99" s="24"/>
      <c r="B99" s="1"/>
      <c r="C99" s="14"/>
      <c r="D99" s="56"/>
      <c r="E99" s="13"/>
      <c r="G99" s="1"/>
    </row>
    <row r="100" spans="1:13" s="2" customFormat="1" x14ac:dyDescent="0.2">
      <c r="A100" s="215" t="s">
        <v>80</v>
      </c>
      <c r="B100" s="216"/>
      <c r="C100" s="216"/>
      <c r="D100" s="217"/>
      <c r="E100" s="69"/>
      <c r="F100" s="70"/>
      <c r="G100" s="1"/>
      <c r="H100" s="53"/>
    </row>
    <row r="101" spans="1:13" s="2" customFormat="1" x14ac:dyDescent="0.2">
      <c r="A101" s="71" t="s">
        <v>81</v>
      </c>
      <c r="B101" s="71"/>
      <c r="C101" s="72" t="s">
        <v>82</v>
      </c>
      <c r="D101" s="73" t="s">
        <v>83</v>
      </c>
      <c r="E101" s="69"/>
      <c r="F101" s="70"/>
      <c r="H101" s="53"/>
    </row>
    <row r="102" spans="1:13" s="2" customFormat="1" x14ac:dyDescent="0.2">
      <c r="A102" s="87">
        <v>45080</v>
      </c>
      <c r="B102" s="120" t="s">
        <v>1052</v>
      </c>
      <c r="C102" s="75" t="s">
        <v>86</v>
      </c>
      <c r="D102" s="88">
        <v>163799</v>
      </c>
      <c r="G102" s="1"/>
      <c r="L102" s="1"/>
      <c r="M102" s="1"/>
    </row>
    <row r="103" spans="1:13" s="2" customFormat="1" x14ac:dyDescent="0.2">
      <c r="A103" s="87">
        <v>45080</v>
      </c>
      <c r="B103" s="120" t="s">
        <v>1052</v>
      </c>
      <c r="C103" s="75" t="s">
        <v>86</v>
      </c>
      <c r="D103" s="88">
        <v>1695107</v>
      </c>
      <c r="G103" s="1"/>
      <c r="L103" s="1"/>
      <c r="M103" s="1"/>
    </row>
    <row r="104" spans="1:13" s="2" customFormat="1" x14ac:dyDescent="0.2">
      <c r="A104" s="87">
        <v>45082</v>
      </c>
      <c r="B104" s="120" t="s">
        <v>1052</v>
      </c>
      <c r="C104" s="75" t="s">
        <v>87</v>
      </c>
      <c r="D104" s="88">
        <v>6627</v>
      </c>
      <c r="G104" s="1"/>
      <c r="L104" s="1"/>
      <c r="M104" s="1"/>
    </row>
    <row r="105" spans="1:13" s="2" customFormat="1" x14ac:dyDescent="0.2">
      <c r="A105" s="87">
        <v>45084</v>
      </c>
      <c r="B105" s="120" t="s">
        <v>1052</v>
      </c>
      <c r="C105" s="75" t="s">
        <v>87</v>
      </c>
      <c r="D105" s="88">
        <v>618395.80000000005</v>
      </c>
      <c r="G105" s="1"/>
      <c r="L105" s="1"/>
      <c r="M105" s="1"/>
    </row>
    <row r="106" spans="1:13" s="2" customFormat="1" x14ac:dyDescent="0.2">
      <c r="A106" s="87">
        <v>45086</v>
      </c>
      <c r="B106" s="120" t="s">
        <v>1052</v>
      </c>
      <c r="C106" s="75" t="s">
        <v>784</v>
      </c>
      <c r="D106" s="88">
        <v>1104724</v>
      </c>
      <c r="G106" s="1"/>
      <c r="L106" s="1"/>
      <c r="M106" s="1"/>
    </row>
    <row r="107" spans="1:13" s="2" customFormat="1" x14ac:dyDescent="0.2">
      <c r="A107" s="87">
        <v>45086</v>
      </c>
      <c r="B107" s="120" t="s">
        <v>1052</v>
      </c>
      <c r="C107" s="75" t="s">
        <v>86</v>
      </c>
      <c r="D107" s="88">
        <v>1756907</v>
      </c>
      <c r="G107" s="1"/>
      <c r="L107" s="1"/>
      <c r="M107" s="1"/>
    </row>
    <row r="108" spans="1:13" s="2" customFormat="1" x14ac:dyDescent="0.2">
      <c r="A108" s="87">
        <v>45086</v>
      </c>
      <c r="B108" s="120" t="s">
        <v>1052</v>
      </c>
      <c r="C108" s="75" t="s">
        <v>784</v>
      </c>
      <c r="D108" s="88">
        <v>1489874</v>
      </c>
      <c r="G108" s="1"/>
      <c r="L108" s="1"/>
      <c r="M108" s="1"/>
    </row>
    <row r="109" spans="1:13" s="2" customFormat="1" x14ac:dyDescent="0.2">
      <c r="A109" s="87">
        <v>45086</v>
      </c>
      <c r="B109" s="120" t="s">
        <v>1052</v>
      </c>
      <c r="C109" s="75" t="s">
        <v>201</v>
      </c>
      <c r="D109" s="88">
        <v>5000192.4400000004</v>
      </c>
      <c r="G109" s="1"/>
      <c r="L109" s="1"/>
      <c r="M109" s="1"/>
    </row>
    <row r="110" spans="1:13" s="2" customFormat="1" x14ac:dyDescent="0.2">
      <c r="A110" s="87">
        <v>45089</v>
      </c>
      <c r="B110" s="120" t="s">
        <v>1052</v>
      </c>
      <c r="C110" s="75" t="s">
        <v>566</v>
      </c>
      <c r="D110" s="88">
        <v>654429</v>
      </c>
      <c r="G110" s="1"/>
      <c r="L110" s="1"/>
      <c r="M110" s="1"/>
    </row>
    <row r="111" spans="1:13" s="2" customFormat="1" x14ac:dyDescent="0.2">
      <c r="A111" s="87">
        <v>45090</v>
      </c>
      <c r="B111" s="120" t="s">
        <v>1052</v>
      </c>
      <c r="C111" s="75" t="s">
        <v>566</v>
      </c>
      <c r="D111" s="88">
        <f>62180.5+9179</f>
        <v>71359.5</v>
      </c>
      <c r="G111" s="1"/>
      <c r="L111" s="1"/>
      <c r="M111" s="1"/>
    </row>
    <row r="112" spans="1:13" s="2" customFormat="1" x14ac:dyDescent="0.2">
      <c r="A112" s="87">
        <v>45090</v>
      </c>
      <c r="B112" s="120" t="s">
        <v>1052</v>
      </c>
      <c r="C112" s="75" t="s">
        <v>1084</v>
      </c>
      <c r="D112" s="88">
        <v>5353676</v>
      </c>
      <c r="G112" s="1"/>
      <c r="L112" s="1"/>
      <c r="M112" s="1"/>
    </row>
    <row r="113" spans="1:13" s="2" customFormat="1" x14ac:dyDescent="0.2">
      <c r="A113" s="87">
        <v>45091</v>
      </c>
      <c r="B113" s="120" t="s">
        <v>1052</v>
      </c>
      <c r="C113" s="75" t="s">
        <v>87</v>
      </c>
      <c r="D113" s="88">
        <v>1261201</v>
      </c>
      <c r="G113" s="1"/>
      <c r="L113" s="1"/>
      <c r="M113" s="1"/>
    </row>
    <row r="114" spans="1:13" s="2" customFormat="1" x14ac:dyDescent="0.2">
      <c r="A114" s="87">
        <v>45091</v>
      </c>
      <c r="B114" s="120" t="s">
        <v>1052</v>
      </c>
      <c r="C114" s="75" t="s">
        <v>1090</v>
      </c>
      <c r="D114" s="88">
        <v>1000000</v>
      </c>
      <c r="G114" s="1"/>
      <c r="L114" s="1"/>
      <c r="M114" s="1"/>
    </row>
    <row r="115" spans="1:13" s="2" customFormat="1" x14ac:dyDescent="0.2">
      <c r="A115" s="87">
        <v>45092</v>
      </c>
      <c r="B115" s="120" t="s">
        <v>1052</v>
      </c>
      <c r="C115" s="75" t="s">
        <v>271</v>
      </c>
      <c r="D115" s="88">
        <v>485258</v>
      </c>
      <c r="G115" s="1"/>
      <c r="L115" s="1"/>
      <c r="M115" s="1"/>
    </row>
    <row r="116" spans="1:13" s="2" customFormat="1" x14ac:dyDescent="0.2">
      <c r="A116" s="87">
        <v>45094</v>
      </c>
      <c r="B116" s="120" t="s">
        <v>1052</v>
      </c>
      <c r="C116" s="75" t="s">
        <v>467</v>
      </c>
      <c r="D116" s="88">
        <v>2582806</v>
      </c>
      <c r="G116" s="1"/>
      <c r="L116" s="1"/>
      <c r="M116" s="1"/>
    </row>
    <row r="117" spans="1:13" s="2" customFormat="1" x14ac:dyDescent="0.2">
      <c r="A117" s="87">
        <v>45096</v>
      </c>
      <c r="B117" s="120" t="s">
        <v>1052</v>
      </c>
      <c r="C117" s="75" t="s">
        <v>85</v>
      </c>
      <c r="D117" s="88">
        <v>77650</v>
      </c>
      <c r="G117" s="1"/>
      <c r="L117" s="1"/>
      <c r="M117" s="1"/>
    </row>
    <row r="118" spans="1:13" s="2" customFormat="1" x14ac:dyDescent="0.2">
      <c r="A118" s="87">
        <v>45096</v>
      </c>
      <c r="B118" s="120" t="s">
        <v>1052</v>
      </c>
      <c r="C118" s="75" t="s">
        <v>270</v>
      </c>
      <c r="D118" s="88">
        <v>1475157</v>
      </c>
      <c r="G118" s="1"/>
      <c r="L118" s="1"/>
      <c r="M118" s="1"/>
    </row>
    <row r="119" spans="1:13" s="2" customFormat="1" x14ac:dyDescent="0.2">
      <c r="A119" s="87">
        <v>45096</v>
      </c>
      <c r="B119" s="120" t="s">
        <v>1052</v>
      </c>
      <c r="C119" s="75" t="s">
        <v>270</v>
      </c>
      <c r="D119" s="88">
        <v>741951</v>
      </c>
      <c r="G119" s="1"/>
      <c r="L119" s="1"/>
      <c r="M119" s="1"/>
    </row>
    <row r="120" spans="1:13" s="2" customFormat="1" x14ac:dyDescent="0.2">
      <c r="A120" s="87">
        <v>45096</v>
      </c>
      <c r="B120" s="120" t="s">
        <v>1052</v>
      </c>
      <c r="C120" s="75" t="s">
        <v>270</v>
      </c>
      <c r="D120" s="88">
        <v>1034388</v>
      </c>
      <c r="G120" s="1"/>
      <c r="L120" s="1"/>
      <c r="M120" s="1"/>
    </row>
    <row r="121" spans="1:13" s="2" customFormat="1" x14ac:dyDescent="0.2">
      <c r="A121" s="87">
        <v>45096</v>
      </c>
      <c r="B121" s="120" t="s">
        <v>1052</v>
      </c>
      <c r="C121" s="75" t="s">
        <v>270</v>
      </c>
      <c r="D121" s="88">
        <v>93897</v>
      </c>
      <c r="G121" s="1"/>
      <c r="L121" s="1"/>
      <c r="M121" s="1"/>
    </row>
    <row r="122" spans="1:13" s="2" customFormat="1" x14ac:dyDescent="0.2">
      <c r="A122" s="87">
        <v>45096</v>
      </c>
      <c r="B122" s="120" t="s">
        <v>1052</v>
      </c>
      <c r="C122" s="75" t="s">
        <v>270</v>
      </c>
      <c r="D122" s="88">
        <v>353700</v>
      </c>
      <c r="G122" s="1"/>
      <c r="L122" s="1"/>
      <c r="M122" s="1"/>
    </row>
    <row r="123" spans="1:13" s="2" customFormat="1" x14ac:dyDescent="0.2">
      <c r="A123" s="87">
        <v>45096</v>
      </c>
      <c r="B123" s="120" t="s">
        <v>1052</v>
      </c>
      <c r="C123" s="75" t="s">
        <v>270</v>
      </c>
      <c r="D123" s="88">
        <v>1205410</v>
      </c>
      <c r="G123" s="1"/>
      <c r="L123" s="1"/>
      <c r="M123" s="1"/>
    </row>
    <row r="124" spans="1:13" s="2" customFormat="1" x14ac:dyDescent="0.2">
      <c r="A124" s="87">
        <v>45096</v>
      </c>
      <c r="B124" s="120" t="s">
        <v>1052</v>
      </c>
      <c r="C124" s="75" t="s">
        <v>86</v>
      </c>
      <c r="D124" s="88">
        <v>5053085</v>
      </c>
      <c r="G124" s="1"/>
      <c r="L124" s="1"/>
      <c r="M124" s="1"/>
    </row>
    <row r="125" spans="1:13" s="2" customFormat="1" x14ac:dyDescent="0.2">
      <c r="A125" s="87">
        <v>45096</v>
      </c>
      <c r="B125" s="120" t="s">
        <v>1052</v>
      </c>
      <c r="C125" s="75" t="s">
        <v>1116</v>
      </c>
      <c r="D125" s="88">
        <v>1962959.72</v>
      </c>
      <c r="G125" s="1"/>
      <c r="L125" s="1"/>
      <c r="M125" s="1"/>
    </row>
    <row r="126" spans="1:13" s="2" customFormat="1" x14ac:dyDescent="0.2">
      <c r="A126" s="87"/>
      <c r="B126" s="74"/>
      <c r="C126" s="75"/>
      <c r="D126" s="51">
        <f>SUM(D102:D125)</f>
        <v>35242553.460000001</v>
      </c>
      <c r="F126" s="2" t="s">
        <v>396</v>
      </c>
      <c r="G126" s="1"/>
      <c r="L126" s="1"/>
      <c r="M126" s="1"/>
    </row>
    <row r="127" spans="1:13" s="2" customFormat="1" x14ac:dyDescent="0.2">
      <c r="A127" s="24"/>
      <c r="B127" s="1"/>
      <c r="C127" s="14"/>
      <c r="D127" s="56"/>
      <c r="E127" s="13"/>
      <c r="G127" s="1"/>
      <c r="L127" s="1"/>
      <c r="M127" s="1"/>
    </row>
    <row r="128" spans="1:13" s="2" customFormat="1" x14ac:dyDescent="0.2">
      <c r="A128" s="24"/>
      <c r="B128" s="1"/>
      <c r="C128" s="218" t="s">
        <v>77</v>
      </c>
      <c r="D128" s="219"/>
      <c r="E128" s="219"/>
      <c r="F128" s="220"/>
      <c r="G128" s="1"/>
      <c r="L128" s="1"/>
      <c r="M128" s="1"/>
    </row>
    <row r="129" spans="1:13" s="2" customFormat="1" x14ac:dyDescent="0.2">
      <c r="A129" s="24"/>
      <c r="B129" s="1"/>
      <c r="C129" s="50"/>
      <c r="D129" s="57" t="s">
        <v>78</v>
      </c>
      <c r="E129" s="58" t="s">
        <v>79</v>
      </c>
      <c r="F129" s="57" t="s">
        <v>72</v>
      </c>
      <c r="G129" s="1"/>
      <c r="I129" s="1"/>
      <c r="J129" s="1"/>
      <c r="K129" s="1"/>
      <c r="L129" s="1"/>
      <c r="M129" s="1"/>
    </row>
    <row r="130" spans="1:13" s="2" customFormat="1" x14ac:dyDescent="0.2">
      <c r="A130" s="24"/>
      <c r="B130" s="1"/>
      <c r="C130" s="59" t="str">
        <f>"01-06-2023 to "&amp;TEXT(A5-2,"dd-mm-yyyy")</f>
        <v>01-06-2023 to 19-06-2023</v>
      </c>
      <c r="D130" s="60">
        <v>3830.7</v>
      </c>
      <c r="E130" s="60">
        <v>132.47</v>
      </c>
      <c r="F130" s="61">
        <f>SUM(D130:E130)</f>
        <v>3963.1699999999996</v>
      </c>
      <c r="G130" s="1"/>
    </row>
    <row r="131" spans="1:13" s="2" customFormat="1" x14ac:dyDescent="0.2">
      <c r="A131" s="24"/>
      <c r="B131" s="1"/>
      <c r="C131" s="62" t="str">
        <f>TEXT(A5-1,"dd-mm-yyyy")</f>
        <v>20-06-2023</v>
      </c>
      <c r="D131" s="60">
        <v>43.08</v>
      </c>
      <c r="E131" s="60">
        <v>3.08</v>
      </c>
      <c r="F131" s="61">
        <f>SUM(D131:E131)</f>
        <v>46.16</v>
      </c>
      <c r="G131" s="54"/>
      <c r="I131" s="1"/>
      <c r="J131" s="1"/>
      <c r="K131" s="1"/>
      <c r="L131" s="1"/>
      <c r="M131" s="1"/>
    </row>
    <row r="132" spans="1:13" s="2" customFormat="1" ht="13.5" thickBot="1" x14ac:dyDescent="0.25">
      <c r="A132" s="24"/>
      <c r="B132" s="1"/>
      <c r="C132" s="63" t="str">
        <f>"01-06-2023 to "&amp;TEXT(A5-1,"dd-mm-yyyy")</f>
        <v>01-06-2023 to 20-06-2023</v>
      </c>
      <c r="D132" s="64">
        <f>SUM(D130:D131)</f>
        <v>3873.7799999999997</v>
      </c>
      <c r="E132" s="64">
        <f>SUM(E130:E131)</f>
        <v>135.55000000000001</v>
      </c>
      <c r="F132" s="64">
        <f>SUM(F130:F131)</f>
        <v>4009.3299999999995</v>
      </c>
      <c r="G132" s="54"/>
      <c r="I132" s="1"/>
      <c r="J132" s="1"/>
      <c r="K132" s="1"/>
      <c r="L132" s="1"/>
      <c r="M132" s="1"/>
    </row>
    <row r="133" spans="1:13" s="2" customFormat="1" ht="13.5" thickTop="1" x14ac:dyDescent="0.2">
      <c r="A133" s="24"/>
      <c r="B133" s="1"/>
      <c r="C133" s="62"/>
      <c r="D133" s="65"/>
      <c r="E133" s="66"/>
      <c r="F133" s="67"/>
      <c r="G133" s="54"/>
      <c r="I133" s="1"/>
      <c r="J133" s="1"/>
      <c r="K133" s="1"/>
      <c r="L133" s="1"/>
      <c r="M133" s="1"/>
    </row>
    <row r="134" spans="1:13" s="2" customFormat="1" x14ac:dyDescent="0.2">
      <c r="A134" s="24"/>
      <c r="B134" s="1"/>
      <c r="C134" s="62" t="str">
        <f>"01-04-2023 to " &amp;C131</f>
        <v>01-04-2023 to 20-06-2023</v>
      </c>
      <c r="D134" s="68">
        <f>+D132+9224.33</f>
        <v>13098.11</v>
      </c>
      <c r="E134" s="68">
        <f>+E132+906.58</f>
        <v>1042.1300000000001</v>
      </c>
      <c r="F134" s="68">
        <f>+F132+10130.9</f>
        <v>14140.23</v>
      </c>
      <c r="G134" s="54"/>
      <c r="I134" s="1"/>
      <c r="J134" s="1"/>
      <c r="K134" s="1"/>
      <c r="L134" s="1"/>
      <c r="M134" s="1"/>
    </row>
    <row r="135" spans="1:13" x14ac:dyDescent="0.2">
      <c r="C135" s="52"/>
      <c r="D135" s="85"/>
      <c r="E135" s="53"/>
      <c r="F135" s="53"/>
      <c r="G135" s="54"/>
      <c r="H135" s="2" t="s">
        <v>396</v>
      </c>
    </row>
    <row r="136" spans="1:13" s="2" customFormat="1" x14ac:dyDescent="0.2">
      <c r="A136" s="24"/>
      <c r="B136" s="1"/>
      <c r="C136" s="52"/>
      <c r="D136" s="85"/>
      <c r="E136" s="53"/>
      <c r="F136" s="53"/>
      <c r="G136" s="54"/>
      <c r="H136" s="53"/>
    </row>
    <row r="137" spans="1:13" x14ac:dyDescent="0.2">
      <c r="C137" s="52"/>
      <c r="D137" s="85"/>
      <c r="E137" s="53"/>
      <c r="F137" s="53"/>
      <c r="G137" s="54"/>
      <c r="H137" s="53" t="s">
        <v>396</v>
      </c>
    </row>
    <row r="138" spans="1:13" x14ac:dyDescent="0.2">
      <c r="C138" s="52"/>
      <c r="D138" s="85"/>
      <c r="E138" s="53"/>
      <c r="F138" s="53"/>
      <c r="G138" s="54"/>
      <c r="H138" s="53" t="s">
        <v>396</v>
      </c>
      <c r="J138" s="42"/>
    </row>
    <row r="139" spans="1:13" x14ac:dyDescent="0.2">
      <c r="G139" s="54"/>
      <c r="H139" s="53"/>
      <c r="I139" s="101"/>
    </row>
    <row r="140" spans="1:13" x14ac:dyDescent="0.2">
      <c r="G140" s="54"/>
      <c r="H140" s="53"/>
    </row>
    <row r="141" spans="1:13" x14ac:dyDescent="0.2">
      <c r="G141" s="54"/>
      <c r="H141" s="53"/>
    </row>
    <row r="142" spans="1:13" x14ac:dyDescent="0.2">
      <c r="H142" s="53"/>
    </row>
  </sheetData>
  <mergeCells count="6">
    <mergeCell ref="C128:F128"/>
    <mergeCell ref="A1:G1"/>
    <mergeCell ref="A3:F3"/>
    <mergeCell ref="A10:F10"/>
    <mergeCell ref="A35:F35"/>
    <mergeCell ref="A100:D100"/>
  </mergeCells>
  <conditionalFormatting sqref="G97:G98">
    <cfRule type="cellIs" dxfId="474" priority="1" operator="lessThan">
      <formula>0</formula>
    </cfRule>
  </conditionalFormatting>
  <conditionalFormatting sqref="C37">
    <cfRule type="duplicateValues" dxfId="473" priority="2"/>
  </conditionalFormatting>
  <conditionalFormatting sqref="C38:C77">
    <cfRule type="duplicateValues" dxfId="472" priority="548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Sheet357">
    <pageSetUpPr fitToPage="1"/>
  </sheetPr>
  <dimension ref="A1:N124"/>
  <sheetViews>
    <sheetView topLeftCell="B46" zoomScaleNormal="100" workbookViewId="0">
      <selection activeCell="C46" sqref="C46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47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1117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45098</v>
      </c>
      <c r="B5" s="9" t="s">
        <v>6</v>
      </c>
      <c r="C5" s="10" t="s">
        <v>7</v>
      </c>
      <c r="D5" s="11"/>
      <c r="E5" s="12">
        <v>221548.70000000019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221548.70000000019</v>
      </c>
      <c r="F6" s="16">
        <f>F5</f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+E6-F6</f>
        <v>221548.70000000019</v>
      </c>
      <c r="F7" s="22"/>
      <c r="G7" s="23"/>
      <c r="H7" s="112"/>
      <c r="I7" s="112"/>
      <c r="J7" s="13"/>
    </row>
    <row r="8" spans="1:10" ht="12.75" customHeight="1" x14ac:dyDescent="0.4">
      <c r="H8" s="112"/>
      <c r="I8" s="112"/>
    </row>
    <row r="9" spans="1:10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12"/>
    </row>
    <row r="10" spans="1:10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12"/>
    </row>
    <row r="11" spans="1:10" s="2" customFormat="1" ht="14.25" customHeight="1" x14ac:dyDescent="0.2">
      <c r="A11" s="127">
        <v>45098</v>
      </c>
      <c r="B11" s="9" t="s">
        <v>6</v>
      </c>
      <c r="C11" s="10" t="s">
        <v>7</v>
      </c>
      <c r="D11" s="11"/>
      <c r="F11" s="12">
        <v>29940228.169999991</v>
      </c>
      <c r="G11" s="1"/>
      <c r="H11" s="130"/>
      <c r="I11" s="130"/>
    </row>
    <row r="12" spans="1:10" s="2" customFormat="1" ht="14.25" customHeight="1" x14ac:dyDescent="0.2">
      <c r="A12" s="127">
        <v>45098</v>
      </c>
      <c r="B12" s="9" t="s">
        <v>6</v>
      </c>
      <c r="C12" s="10" t="s">
        <v>468</v>
      </c>
      <c r="D12" s="125" t="s">
        <v>13</v>
      </c>
      <c r="E12" s="2">
        <v>126459</v>
      </c>
      <c r="F12" s="12"/>
      <c r="G12" s="1"/>
      <c r="H12" s="130"/>
      <c r="I12" s="130"/>
    </row>
    <row r="13" spans="1:10" s="2" customFormat="1" ht="12.75" customHeight="1" x14ac:dyDescent="0.4">
      <c r="D13" s="15" t="s">
        <v>8</v>
      </c>
      <c r="E13" s="16">
        <f>E12</f>
        <v>126459</v>
      </c>
      <c r="F13" s="16">
        <f>SUM(F11:F11)</f>
        <v>29940228.169999991</v>
      </c>
      <c r="G13" s="1"/>
      <c r="H13" s="112"/>
      <c r="I13" s="112"/>
    </row>
    <row r="14" spans="1:10" s="2" customFormat="1" ht="12.75" customHeight="1" x14ac:dyDescent="0.4">
      <c r="A14" s="17"/>
      <c r="B14" s="18"/>
      <c r="C14" s="96" t="s">
        <v>9</v>
      </c>
      <c r="D14" s="20"/>
      <c r="E14" s="21">
        <f>+F13-E13</f>
        <v>29813769.169999991</v>
      </c>
      <c r="G14" s="23"/>
      <c r="H14" s="112"/>
      <c r="I14" s="112"/>
      <c r="J14" s="13"/>
    </row>
    <row r="15" spans="1:10" s="2" customFormat="1" ht="12.75" customHeight="1" x14ac:dyDescent="0.4">
      <c r="A15" s="24"/>
      <c r="B15" s="1"/>
      <c r="C15" s="14"/>
      <c r="D15" s="25"/>
      <c r="G15" s="23"/>
      <c r="H15" s="112"/>
      <c r="I15" s="112"/>
      <c r="J15" s="13"/>
    </row>
    <row r="16" spans="1:10" s="2" customFormat="1" ht="21.75" customHeight="1" x14ac:dyDescent="0.4">
      <c r="A16" s="214" t="s">
        <v>10</v>
      </c>
      <c r="B16" s="214"/>
      <c r="C16" s="214"/>
      <c r="D16" s="214"/>
      <c r="E16" s="214"/>
      <c r="F16" s="214"/>
      <c r="G16" s="13"/>
      <c r="H16" s="112"/>
      <c r="I16" s="112"/>
      <c r="J16" s="13"/>
    </row>
    <row r="17" spans="1:10" s="2" customFormat="1" ht="12.75" customHeight="1" x14ac:dyDescent="0.4">
      <c r="A17" s="26" t="s">
        <v>1</v>
      </c>
      <c r="B17" s="27" t="s">
        <v>2</v>
      </c>
      <c r="C17" s="5"/>
      <c r="D17" s="6" t="s">
        <v>3</v>
      </c>
      <c r="E17" s="7" t="s">
        <v>4</v>
      </c>
      <c r="F17" s="7" t="s">
        <v>5</v>
      </c>
      <c r="G17" s="23"/>
      <c r="H17" s="112"/>
      <c r="I17" s="112"/>
      <c r="J17" s="13"/>
    </row>
    <row r="18" spans="1:10" s="2" customFormat="1" ht="12.75" customHeight="1" x14ac:dyDescent="0.2">
      <c r="A18" s="127">
        <v>45098</v>
      </c>
      <c r="B18" s="128" t="s">
        <v>11</v>
      </c>
      <c r="C18" s="29" t="s">
        <v>7</v>
      </c>
      <c r="D18" s="25"/>
      <c r="E18" s="31"/>
      <c r="F18" s="2">
        <v>277740601.8999998</v>
      </c>
      <c r="G18" s="30"/>
      <c r="I18" s="13"/>
      <c r="J18" s="13"/>
    </row>
    <row r="19" spans="1:10" s="70" customFormat="1" ht="12.75" customHeight="1" x14ac:dyDescent="0.2">
      <c r="A19" s="127">
        <v>45098</v>
      </c>
      <c r="B19" s="128" t="s">
        <v>6</v>
      </c>
      <c r="C19" s="76" t="s">
        <v>403</v>
      </c>
      <c r="D19" s="125" t="s">
        <v>13</v>
      </c>
      <c r="E19" s="129">
        <v>1580118</v>
      </c>
      <c r="G19" s="30"/>
      <c r="I19" s="69"/>
      <c r="J19" s="69"/>
    </row>
    <row r="20" spans="1:10" s="70" customFormat="1" ht="12.75" customHeight="1" x14ac:dyDescent="0.2">
      <c r="A20" s="127">
        <v>45098</v>
      </c>
      <c r="B20" s="128" t="s">
        <v>6</v>
      </c>
      <c r="C20" s="76" t="s">
        <v>26</v>
      </c>
      <c r="D20" s="125" t="s">
        <v>13</v>
      </c>
      <c r="E20" s="129">
        <v>3813756.26</v>
      </c>
      <c r="G20" s="30"/>
      <c r="I20" s="69"/>
      <c r="J20" s="69"/>
    </row>
    <row r="21" spans="1:10" s="70" customFormat="1" ht="12.75" customHeight="1" x14ac:dyDescent="0.2">
      <c r="A21" s="127">
        <v>45098</v>
      </c>
      <c r="B21" s="128" t="s">
        <v>6</v>
      </c>
      <c r="C21" s="76" t="s">
        <v>12</v>
      </c>
      <c r="D21" s="126" t="s">
        <v>13</v>
      </c>
      <c r="E21" s="129">
        <v>811628.19</v>
      </c>
      <c r="G21" s="30"/>
      <c r="I21" s="69"/>
      <c r="J21" s="69"/>
    </row>
    <row r="22" spans="1:10" s="70" customFormat="1" ht="12.75" customHeight="1" x14ac:dyDescent="0.2">
      <c r="A22" s="127">
        <v>45098</v>
      </c>
      <c r="B22" s="128" t="s">
        <v>6</v>
      </c>
      <c r="C22" s="76" t="s">
        <v>386</v>
      </c>
      <c r="D22" s="126" t="s">
        <v>13</v>
      </c>
      <c r="E22" s="129">
        <v>200000</v>
      </c>
      <c r="G22" s="30"/>
      <c r="I22" s="69"/>
      <c r="J22" s="69"/>
    </row>
    <row r="23" spans="1:10" s="70" customFormat="1" ht="12.75" customHeight="1" x14ac:dyDescent="0.2">
      <c r="A23" s="127">
        <v>45098</v>
      </c>
      <c r="B23" s="128" t="s">
        <v>6</v>
      </c>
      <c r="C23" s="76" t="s">
        <v>598</v>
      </c>
      <c r="D23" s="126" t="s">
        <v>13</v>
      </c>
      <c r="E23" s="129">
        <v>479587</v>
      </c>
      <c r="G23" s="30"/>
      <c r="I23" s="69"/>
      <c r="J23" s="69"/>
    </row>
    <row r="24" spans="1:10" s="70" customFormat="1" ht="12.75" customHeight="1" x14ac:dyDescent="0.2">
      <c r="A24" s="127">
        <v>45098</v>
      </c>
      <c r="B24" s="128" t="s">
        <v>6</v>
      </c>
      <c r="C24" s="76" t="s">
        <v>773</v>
      </c>
      <c r="D24" s="126" t="s">
        <v>13</v>
      </c>
      <c r="E24" s="129">
        <v>1554631</v>
      </c>
      <c r="G24" s="30"/>
      <c r="I24" s="69"/>
      <c r="J24" s="69"/>
    </row>
    <row r="25" spans="1:10" s="70" customFormat="1" ht="12.75" customHeight="1" x14ac:dyDescent="0.2">
      <c r="A25" s="127">
        <v>45098</v>
      </c>
      <c r="B25" s="128" t="s">
        <v>6</v>
      </c>
      <c r="C25" s="76" t="s">
        <v>748</v>
      </c>
      <c r="D25" s="126" t="s">
        <v>13</v>
      </c>
      <c r="E25" s="129">
        <v>730296.11</v>
      </c>
      <c r="G25" s="30"/>
      <c r="I25" s="69"/>
      <c r="J25" s="69"/>
    </row>
    <row r="26" spans="1:10" s="70" customFormat="1" ht="12.75" customHeight="1" x14ac:dyDescent="0.2">
      <c r="A26" s="127">
        <v>45098</v>
      </c>
      <c r="B26" s="128" t="s">
        <v>6</v>
      </c>
      <c r="C26" s="76" t="s">
        <v>759</v>
      </c>
      <c r="D26" s="126" t="s">
        <v>13</v>
      </c>
      <c r="E26" s="129">
        <v>464235.5</v>
      </c>
      <c r="G26" s="30"/>
      <c r="I26" s="69"/>
      <c r="J26" s="69"/>
    </row>
    <row r="27" spans="1:10" s="70" customFormat="1" ht="12.75" customHeight="1" x14ac:dyDescent="0.2">
      <c r="A27" s="127">
        <v>45098</v>
      </c>
      <c r="B27" s="128" t="s">
        <v>6</v>
      </c>
      <c r="C27" s="76" t="s">
        <v>760</v>
      </c>
      <c r="D27" s="126" t="s">
        <v>13</v>
      </c>
      <c r="E27" s="129">
        <v>530378.03</v>
      </c>
      <c r="G27" s="30"/>
      <c r="I27" s="69"/>
      <c r="J27" s="69"/>
    </row>
    <row r="28" spans="1:10" s="70" customFormat="1" ht="12.75" customHeight="1" x14ac:dyDescent="0.2">
      <c r="A28" s="127">
        <v>45098</v>
      </c>
      <c r="B28" s="128" t="s">
        <v>6</v>
      </c>
      <c r="C28" s="76" t="s">
        <v>764</v>
      </c>
      <c r="D28" s="126" t="s">
        <v>13</v>
      </c>
      <c r="E28" s="129">
        <v>2202263.7000000002</v>
      </c>
      <c r="G28" s="30"/>
      <c r="I28" s="69"/>
      <c r="J28" s="69"/>
    </row>
    <row r="29" spans="1:10" s="70" customFormat="1" ht="12.75" customHeight="1" x14ac:dyDescent="0.2">
      <c r="A29" s="127">
        <v>45098</v>
      </c>
      <c r="B29" s="128" t="s">
        <v>6</v>
      </c>
      <c r="C29" s="76" t="s">
        <v>149</v>
      </c>
      <c r="D29" s="126" t="s">
        <v>13</v>
      </c>
      <c r="E29" s="129">
        <v>26437</v>
      </c>
      <c r="G29" s="30"/>
      <c r="I29" s="69"/>
      <c r="J29" s="69"/>
    </row>
    <row r="30" spans="1:10" s="70" customFormat="1" ht="12.75" customHeight="1" x14ac:dyDescent="0.2">
      <c r="A30" s="127">
        <v>45098</v>
      </c>
      <c r="B30" s="128" t="s">
        <v>6</v>
      </c>
      <c r="C30" s="76" t="s">
        <v>200</v>
      </c>
      <c r="D30" s="126" t="s">
        <v>13</v>
      </c>
      <c r="E30" s="129">
        <v>544510</v>
      </c>
      <c r="G30" s="30"/>
      <c r="I30" s="69"/>
      <c r="J30" s="69"/>
    </row>
    <row r="31" spans="1:10" s="70" customFormat="1" ht="12.75" customHeight="1" x14ac:dyDescent="0.2">
      <c r="A31" s="127">
        <v>45098</v>
      </c>
      <c r="B31" s="128" t="s">
        <v>6</v>
      </c>
      <c r="C31" s="76" t="s">
        <v>389</v>
      </c>
      <c r="D31" s="126" t="s">
        <v>13</v>
      </c>
      <c r="E31" s="129">
        <v>383238.23</v>
      </c>
      <c r="G31" s="30"/>
      <c r="I31" s="69"/>
      <c r="J31" s="69"/>
    </row>
    <row r="32" spans="1:10" s="70" customFormat="1" ht="12.75" customHeight="1" x14ac:dyDescent="0.2">
      <c r="A32" s="127">
        <v>45098</v>
      </c>
      <c r="B32" s="128" t="s">
        <v>6</v>
      </c>
      <c r="C32" s="76" t="s">
        <v>19</v>
      </c>
      <c r="D32" s="126" t="s">
        <v>13</v>
      </c>
      <c r="E32" s="129">
        <v>1462117</v>
      </c>
      <c r="G32" s="30"/>
      <c r="I32" s="69"/>
      <c r="J32" s="69"/>
    </row>
    <row r="33" spans="1:10" s="70" customFormat="1" ht="12.75" customHeight="1" x14ac:dyDescent="0.2">
      <c r="A33" s="127">
        <v>45098</v>
      </c>
      <c r="B33" s="128" t="s">
        <v>6</v>
      </c>
      <c r="C33" s="76" t="s">
        <v>120</v>
      </c>
      <c r="D33" s="126" t="s">
        <v>13</v>
      </c>
      <c r="E33" s="129">
        <v>1953150</v>
      </c>
      <c r="G33" s="30"/>
      <c r="I33" s="69"/>
      <c r="J33" s="69"/>
    </row>
    <row r="34" spans="1:10" s="70" customFormat="1" ht="12.75" customHeight="1" x14ac:dyDescent="0.2">
      <c r="A34" s="127">
        <v>45098</v>
      </c>
      <c r="B34" s="128" t="s">
        <v>6</v>
      </c>
      <c r="C34" s="76" t="s">
        <v>947</v>
      </c>
      <c r="D34" s="126" t="s">
        <v>13</v>
      </c>
      <c r="E34" s="129">
        <v>1527873</v>
      </c>
      <c r="G34" s="30"/>
      <c r="I34" s="69"/>
      <c r="J34" s="69"/>
    </row>
    <row r="35" spans="1:10" s="70" customFormat="1" ht="12.75" customHeight="1" x14ac:dyDescent="0.2">
      <c r="A35" s="127">
        <v>45098</v>
      </c>
      <c r="B35" s="128" t="s">
        <v>11</v>
      </c>
      <c r="C35" s="76" t="s">
        <v>64</v>
      </c>
      <c r="D35" s="126" t="s">
        <v>29</v>
      </c>
      <c r="E35" s="129"/>
      <c r="F35" s="70">
        <v>30094.78</v>
      </c>
      <c r="G35" s="30"/>
      <c r="I35" s="69"/>
      <c r="J35" s="69"/>
    </row>
    <row r="36" spans="1:10" s="70" customFormat="1" ht="12.75" customHeight="1" x14ac:dyDescent="0.2">
      <c r="A36" s="127">
        <v>45098</v>
      </c>
      <c r="B36" s="128" t="s">
        <v>11</v>
      </c>
      <c r="C36" s="76" t="s">
        <v>125</v>
      </c>
      <c r="D36" s="126" t="s">
        <v>29</v>
      </c>
      <c r="E36" s="129"/>
      <c r="F36" s="70">
        <v>410152</v>
      </c>
      <c r="G36" s="30"/>
      <c r="I36" s="69"/>
      <c r="J36" s="69"/>
    </row>
    <row r="37" spans="1:10" s="70" customFormat="1" ht="12.75" customHeight="1" x14ac:dyDescent="0.2">
      <c r="A37" s="127">
        <v>45098</v>
      </c>
      <c r="B37" s="128" t="s">
        <v>11</v>
      </c>
      <c r="C37" s="76" t="s">
        <v>58</v>
      </c>
      <c r="D37" s="126" t="s">
        <v>29</v>
      </c>
      <c r="E37" s="129"/>
      <c r="F37" s="70">
        <v>513342</v>
      </c>
      <c r="G37" s="30"/>
      <c r="I37" s="69"/>
      <c r="J37" s="69"/>
    </row>
    <row r="38" spans="1:10" s="70" customFormat="1" ht="12.75" customHeight="1" x14ac:dyDescent="0.2">
      <c r="A38" s="127">
        <v>45098</v>
      </c>
      <c r="B38" s="128" t="s">
        <v>11</v>
      </c>
      <c r="C38" s="76" t="s">
        <v>823</v>
      </c>
      <c r="D38" s="126" t="s">
        <v>29</v>
      </c>
      <c r="E38" s="129"/>
      <c r="F38" s="70">
        <v>20010</v>
      </c>
      <c r="G38" s="30"/>
      <c r="I38" s="69"/>
      <c r="J38" s="69"/>
    </row>
    <row r="39" spans="1:10" s="70" customFormat="1" ht="12.75" customHeight="1" x14ac:dyDescent="0.2">
      <c r="A39" s="127">
        <v>45098</v>
      </c>
      <c r="B39" s="128" t="s">
        <v>11</v>
      </c>
      <c r="C39" s="76" t="s">
        <v>302</v>
      </c>
      <c r="D39" s="126" t="s">
        <v>29</v>
      </c>
      <c r="E39" s="129"/>
      <c r="F39" s="70">
        <v>11261</v>
      </c>
      <c r="G39" s="30"/>
      <c r="I39" s="69"/>
      <c r="J39" s="69"/>
    </row>
    <row r="40" spans="1:10" s="70" customFormat="1" ht="12.75" customHeight="1" x14ac:dyDescent="0.2">
      <c r="A40" s="127">
        <v>45098</v>
      </c>
      <c r="B40" s="128" t="s">
        <v>11</v>
      </c>
      <c r="C40" s="76" t="s">
        <v>525</v>
      </c>
      <c r="D40" s="126" t="s">
        <v>29</v>
      </c>
      <c r="E40" s="129"/>
      <c r="F40" s="70">
        <v>1000000</v>
      </c>
      <c r="G40" s="30"/>
      <c r="I40" s="69"/>
      <c r="J40" s="69"/>
    </row>
    <row r="41" spans="1:10" s="70" customFormat="1" ht="12.75" customHeight="1" x14ac:dyDescent="0.2">
      <c r="A41" s="127">
        <v>45098</v>
      </c>
      <c r="B41" s="128" t="s">
        <v>11</v>
      </c>
      <c r="C41" s="76" t="s">
        <v>628</v>
      </c>
      <c r="D41" s="126" t="s">
        <v>29</v>
      </c>
      <c r="E41" s="129"/>
      <c r="F41" s="70">
        <v>44352</v>
      </c>
      <c r="G41" s="30"/>
      <c r="I41" s="69"/>
      <c r="J41" s="69"/>
    </row>
    <row r="42" spans="1:10" s="70" customFormat="1" ht="12.75" customHeight="1" x14ac:dyDescent="0.2">
      <c r="A42" s="127">
        <v>45098</v>
      </c>
      <c r="B42" s="128" t="s">
        <v>11</v>
      </c>
      <c r="C42" s="76" t="s">
        <v>210</v>
      </c>
      <c r="D42" s="126" t="s">
        <v>29</v>
      </c>
      <c r="E42" s="129"/>
      <c r="F42" s="70">
        <v>23128</v>
      </c>
      <c r="G42" s="30"/>
      <c r="I42" s="69"/>
      <c r="J42" s="69"/>
    </row>
    <row r="43" spans="1:10" s="70" customFormat="1" ht="12.75" customHeight="1" x14ac:dyDescent="0.2">
      <c r="A43" s="127">
        <v>45098</v>
      </c>
      <c r="B43" s="128" t="s">
        <v>11</v>
      </c>
      <c r="C43" s="76" t="s">
        <v>95</v>
      </c>
      <c r="D43" s="126" t="s">
        <v>29</v>
      </c>
      <c r="E43" s="129"/>
      <c r="F43" s="70">
        <v>40590</v>
      </c>
      <c r="G43" s="30"/>
      <c r="I43" s="69"/>
      <c r="J43" s="69"/>
    </row>
    <row r="44" spans="1:10" s="70" customFormat="1" ht="12.75" customHeight="1" x14ac:dyDescent="0.2">
      <c r="A44" s="127">
        <v>45098</v>
      </c>
      <c r="B44" s="128" t="s">
        <v>11</v>
      </c>
      <c r="C44" s="76" t="s">
        <v>476</v>
      </c>
      <c r="D44" s="126" t="s">
        <v>29</v>
      </c>
      <c r="E44" s="129"/>
      <c r="F44" s="70">
        <v>19777</v>
      </c>
      <c r="G44" s="30"/>
      <c r="I44" s="69"/>
      <c r="J44" s="69"/>
    </row>
    <row r="45" spans="1:10" s="70" customFormat="1" ht="12.75" customHeight="1" x14ac:dyDescent="0.2">
      <c r="A45" s="127">
        <v>45098</v>
      </c>
      <c r="B45" s="128" t="s">
        <v>11</v>
      </c>
      <c r="C45" s="76" t="s">
        <v>35</v>
      </c>
      <c r="D45" s="126" t="s">
        <v>29</v>
      </c>
      <c r="E45" s="129"/>
      <c r="F45" s="70">
        <v>2810.2</v>
      </c>
      <c r="G45" s="30"/>
      <c r="I45" s="69"/>
      <c r="J45" s="69"/>
    </row>
    <row r="46" spans="1:10" s="70" customFormat="1" ht="12.75" customHeight="1" x14ac:dyDescent="0.2">
      <c r="A46" s="127">
        <v>45098</v>
      </c>
      <c r="B46" s="128" t="s">
        <v>11</v>
      </c>
      <c r="C46" s="76" t="s">
        <v>47</v>
      </c>
      <c r="D46" s="126" t="s">
        <v>29</v>
      </c>
      <c r="E46" s="129"/>
      <c r="F46" s="70">
        <v>18024</v>
      </c>
      <c r="G46" s="30"/>
      <c r="I46" s="69"/>
      <c r="J46" s="69"/>
    </row>
    <row r="47" spans="1:10" s="70" customFormat="1" ht="12.75" customHeight="1" x14ac:dyDescent="0.2">
      <c r="A47" s="127">
        <v>45098</v>
      </c>
      <c r="B47" s="128" t="s">
        <v>11</v>
      </c>
      <c r="C47" s="76" t="s">
        <v>585</v>
      </c>
      <c r="D47" s="126" t="s">
        <v>29</v>
      </c>
      <c r="E47" s="129"/>
      <c r="F47" s="70">
        <v>11898</v>
      </c>
      <c r="G47" s="30"/>
      <c r="I47" s="69"/>
      <c r="J47" s="69"/>
    </row>
    <row r="48" spans="1:10" s="70" customFormat="1" ht="12.75" customHeight="1" x14ac:dyDescent="0.2">
      <c r="A48" s="127">
        <v>45098</v>
      </c>
      <c r="B48" s="128" t="s">
        <v>11</v>
      </c>
      <c r="C48" s="76" t="s">
        <v>242</v>
      </c>
      <c r="D48" s="126" t="s">
        <v>29</v>
      </c>
      <c r="E48" s="129"/>
      <c r="F48" s="70">
        <v>121844.2</v>
      </c>
      <c r="G48" s="30"/>
      <c r="I48" s="69"/>
      <c r="J48" s="69"/>
    </row>
    <row r="49" spans="1:14" s="70" customFormat="1" ht="12.75" customHeight="1" x14ac:dyDescent="0.2">
      <c r="A49" s="127">
        <v>45098</v>
      </c>
      <c r="B49" s="128" t="s">
        <v>11</v>
      </c>
      <c r="C49" s="76" t="s">
        <v>62</v>
      </c>
      <c r="D49" s="126" t="s">
        <v>29</v>
      </c>
      <c r="E49" s="129"/>
      <c r="F49" s="70">
        <v>20000</v>
      </c>
      <c r="G49" s="30"/>
      <c r="I49" s="69"/>
      <c r="J49" s="69"/>
    </row>
    <row r="50" spans="1:14" s="70" customFormat="1" ht="12.75" customHeight="1" x14ac:dyDescent="0.2">
      <c r="A50" s="127">
        <v>45098</v>
      </c>
      <c r="B50" s="128" t="s">
        <v>11</v>
      </c>
      <c r="C50" s="76" t="s">
        <v>196</v>
      </c>
      <c r="D50" s="126" t="s">
        <v>29</v>
      </c>
      <c r="E50" s="129"/>
      <c r="F50" s="70">
        <v>65159</v>
      </c>
      <c r="G50" s="30"/>
      <c r="I50" s="69"/>
      <c r="J50" s="69"/>
    </row>
    <row r="51" spans="1:14" s="70" customFormat="1" ht="12.75" customHeight="1" x14ac:dyDescent="0.2">
      <c r="A51" s="127">
        <v>45098</v>
      </c>
      <c r="B51" s="128" t="s">
        <v>11</v>
      </c>
      <c r="C51" s="76" t="s">
        <v>55</v>
      </c>
      <c r="D51" s="126" t="s">
        <v>29</v>
      </c>
      <c r="E51" s="129"/>
      <c r="F51" s="70">
        <v>72358.399999999994</v>
      </c>
      <c r="G51" s="30"/>
      <c r="I51" s="69"/>
      <c r="J51" s="69"/>
    </row>
    <row r="52" spans="1:14" s="70" customFormat="1" ht="12.75" customHeight="1" x14ac:dyDescent="0.2">
      <c r="A52" s="127">
        <v>45098</v>
      </c>
      <c r="B52" s="128" t="s">
        <v>11</v>
      </c>
      <c r="C52" s="76" t="s">
        <v>246</v>
      </c>
      <c r="D52" s="126" t="s">
        <v>29</v>
      </c>
      <c r="E52" s="129"/>
      <c r="F52" s="70">
        <v>2594264</v>
      </c>
      <c r="G52" s="30"/>
      <c r="I52" s="69"/>
      <c r="J52" s="69"/>
    </row>
    <row r="53" spans="1:14" s="70" customFormat="1" ht="12.75" customHeight="1" x14ac:dyDescent="0.2">
      <c r="A53" s="127">
        <v>45098</v>
      </c>
      <c r="B53" s="128" t="s">
        <v>11</v>
      </c>
      <c r="C53" s="76" t="s">
        <v>368</v>
      </c>
      <c r="D53" s="126" t="s">
        <v>29</v>
      </c>
      <c r="E53" s="129"/>
      <c r="F53" s="70">
        <v>942910</v>
      </c>
      <c r="G53" s="30"/>
      <c r="I53" s="69"/>
      <c r="J53" s="69"/>
    </row>
    <row r="54" spans="1:14" s="70" customFormat="1" ht="12.75" customHeight="1" x14ac:dyDescent="0.2">
      <c r="A54" s="127">
        <v>45098</v>
      </c>
      <c r="B54" s="128" t="s">
        <v>11</v>
      </c>
      <c r="C54" s="76" t="s">
        <v>954</v>
      </c>
      <c r="D54" s="126" t="s">
        <v>29</v>
      </c>
      <c r="E54" s="129"/>
      <c r="F54" s="70">
        <v>949837</v>
      </c>
      <c r="G54" s="30"/>
      <c r="I54" s="69"/>
      <c r="J54" s="69"/>
    </row>
    <row r="55" spans="1:14" s="70" customFormat="1" ht="12.75" customHeight="1" x14ac:dyDescent="0.2">
      <c r="A55" s="127">
        <v>45098</v>
      </c>
      <c r="B55" s="128" t="s">
        <v>11</v>
      </c>
      <c r="C55" s="76" t="s">
        <v>279</v>
      </c>
      <c r="D55" s="126" t="s">
        <v>29</v>
      </c>
      <c r="E55" s="129"/>
      <c r="F55" s="70">
        <v>1785117</v>
      </c>
      <c r="G55" s="30"/>
      <c r="I55" s="69"/>
      <c r="J55" s="69"/>
    </row>
    <row r="56" spans="1:14" s="70" customFormat="1" ht="12.75" customHeight="1" x14ac:dyDescent="0.2">
      <c r="A56" s="127">
        <v>45098</v>
      </c>
      <c r="B56" s="128" t="s">
        <v>11</v>
      </c>
      <c r="C56" s="76" t="s">
        <v>57</v>
      </c>
      <c r="D56" s="126" t="s">
        <v>29</v>
      </c>
      <c r="E56" s="129"/>
      <c r="F56" s="70">
        <v>3500000</v>
      </c>
      <c r="G56" s="30"/>
      <c r="I56" s="69"/>
      <c r="J56" s="69"/>
    </row>
    <row r="57" spans="1:14" s="70" customFormat="1" ht="12.75" customHeight="1" x14ac:dyDescent="0.2">
      <c r="A57" s="127">
        <v>45098</v>
      </c>
      <c r="B57" s="128" t="s">
        <v>11</v>
      </c>
      <c r="C57" s="76" t="s">
        <v>140</v>
      </c>
      <c r="D57" s="126" t="s">
        <v>29</v>
      </c>
      <c r="E57" s="129"/>
      <c r="F57" s="70">
        <v>1496575</v>
      </c>
      <c r="G57" s="30"/>
      <c r="I57" s="69"/>
      <c r="J57" s="69"/>
    </row>
    <row r="58" spans="1:14" s="2" customFormat="1" ht="12.75" customHeight="1" x14ac:dyDescent="0.25">
      <c r="A58" s="32"/>
      <c r="B58" s="33"/>
      <c r="C58" s="14"/>
      <c r="D58" s="34"/>
      <c r="E58" s="16">
        <f>SUM(E18:E57)</f>
        <v>18264219.02</v>
      </c>
      <c r="F58" s="16">
        <f>SUM(F18:F57)</f>
        <v>291434105.47999972</v>
      </c>
      <c r="G58" s="30"/>
      <c r="H58" s="1"/>
      <c r="I58" s="39">
        <v>273169886.45999998</v>
      </c>
      <c r="K58" s="92">
        <f>E59-I58</f>
        <v>0</v>
      </c>
      <c r="L58" s="41"/>
      <c r="M58" s="42"/>
    </row>
    <row r="59" spans="1:14" s="2" customFormat="1" ht="12.75" customHeight="1" x14ac:dyDescent="0.2">
      <c r="A59" s="36"/>
      <c r="B59" s="28" t="s">
        <v>11</v>
      </c>
      <c r="C59" s="19" t="s">
        <v>65</v>
      </c>
      <c r="D59" s="37"/>
      <c r="E59" s="38">
        <f>F58-E58</f>
        <v>273169886.45999974</v>
      </c>
      <c r="F59" s="22"/>
      <c r="G59" s="1"/>
      <c r="H59" s="1"/>
      <c r="J59" s="1"/>
      <c r="K59" s="1"/>
      <c r="L59" s="1"/>
      <c r="M59" s="1"/>
    </row>
    <row r="60" spans="1:14" s="2" customFormat="1" ht="12.75" customHeight="1" x14ac:dyDescent="0.2">
      <c r="A60" s="36"/>
      <c r="B60" s="28" t="s">
        <v>66</v>
      </c>
      <c r="C60" s="43" t="s">
        <v>67</v>
      </c>
      <c r="D60" s="43"/>
      <c r="E60" s="12">
        <v>59416310</v>
      </c>
      <c r="F60" s="22"/>
      <c r="G60" s="1"/>
      <c r="H60" s="40"/>
      <c r="I60" s="45">
        <v>3077.62</v>
      </c>
      <c r="J60" s="46"/>
      <c r="K60" s="46"/>
      <c r="L60" s="13"/>
    </row>
    <row r="61" spans="1:14" s="2" customFormat="1" ht="12.75" customHeight="1" x14ac:dyDescent="0.25">
      <c r="A61" s="36"/>
      <c r="B61" s="28"/>
      <c r="C61" s="44" t="s">
        <v>68</v>
      </c>
      <c r="D61" s="43"/>
      <c r="E61" s="7">
        <f>E59+E60</f>
        <v>332586196.45999974</v>
      </c>
      <c r="F61" s="22"/>
      <c r="G61" s="1"/>
      <c r="H61" s="103" t="s">
        <v>69</v>
      </c>
      <c r="I61" s="45">
        <v>-81.81</v>
      </c>
      <c r="J61" s="46"/>
      <c r="K61" s="46"/>
      <c r="N61" s="1"/>
    </row>
    <row r="62" spans="1:14" s="2" customFormat="1" x14ac:dyDescent="0.2">
      <c r="A62" s="24"/>
      <c r="B62" s="1"/>
      <c r="C62" s="14"/>
      <c r="D62" s="25"/>
      <c r="E62" s="1"/>
      <c r="H62" s="35" t="s">
        <v>70</v>
      </c>
      <c r="I62" s="45">
        <f>4.6+54.96</f>
        <v>59.56</v>
      </c>
      <c r="J62" s="46">
        <f>+I63-D65</f>
        <v>0</v>
      </c>
      <c r="M62" s="2" t="s">
        <v>396</v>
      </c>
      <c r="N62" s="1"/>
    </row>
    <row r="63" spans="1:14" x14ac:dyDescent="0.2">
      <c r="C63" s="56"/>
      <c r="D63" s="56"/>
      <c r="E63" s="104"/>
      <c r="I63" s="49">
        <f>SUM(I60:I62)</f>
        <v>3055.37</v>
      </c>
      <c r="J63" s="46"/>
      <c r="K63" s="46"/>
      <c r="L63" s="2"/>
      <c r="M63" s="2"/>
      <c r="N63" s="2"/>
    </row>
    <row r="64" spans="1:14" x14ac:dyDescent="0.2">
      <c r="C64" s="78" t="s">
        <v>575</v>
      </c>
      <c r="D64" s="48" t="s">
        <v>576</v>
      </c>
      <c r="E64" s="104"/>
      <c r="I64" s="2"/>
      <c r="J64" s="2"/>
      <c r="K64" s="2"/>
      <c r="L64" s="2"/>
      <c r="M64" s="2"/>
      <c r="N64" s="2"/>
    </row>
    <row r="65" spans="1:14" s="2" customFormat="1" x14ac:dyDescent="0.2">
      <c r="A65" s="24"/>
      <c r="B65" s="1"/>
      <c r="C65" s="47" t="s">
        <v>570</v>
      </c>
      <c r="D65" s="111">
        <v>3055.37</v>
      </c>
      <c r="E65" s="104"/>
      <c r="G65" s="1"/>
      <c r="H65" s="110" t="s">
        <v>581</v>
      </c>
      <c r="N65" s="2" t="s">
        <v>535</v>
      </c>
    </row>
    <row r="66" spans="1:14" s="2" customFormat="1" x14ac:dyDescent="0.2">
      <c r="A66" s="24"/>
      <c r="B66" s="1"/>
      <c r="C66" s="47" t="s">
        <v>931</v>
      </c>
      <c r="D66" s="111">
        <v>386.3</v>
      </c>
      <c r="E66" s="104"/>
      <c r="G66" s="1"/>
      <c r="H66" s="110" t="s">
        <v>580</v>
      </c>
    </row>
    <row r="67" spans="1:14" s="2" customFormat="1" x14ac:dyDescent="0.2">
      <c r="A67" s="24"/>
      <c r="B67" s="1"/>
      <c r="C67" s="47" t="s">
        <v>572</v>
      </c>
      <c r="D67" s="111">
        <f>+D108/100000</f>
        <v>367.24608460000002</v>
      </c>
      <c r="E67" s="104"/>
      <c r="G67" s="1"/>
      <c r="H67" s="90" t="s">
        <v>587</v>
      </c>
    </row>
    <row r="68" spans="1:14" s="2" customFormat="1" x14ac:dyDescent="0.2">
      <c r="A68" s="24"/>
      <c r="B68" s="1"/>
      <c r="C68" s="108" t="s">
        <v>578</v>
      </c>
      <c r="D68" s="48">
        <f>SUM(D65:D67)</f>
        <v>3808.9160846</v>
      </c>
      <c r="E68" s="104"/>
      <c r="G68" s="1"/>
    </row>
    <row r="69" spans="1:14" s="2" customFormat="1" x14ac:dyDescent="0.2">
      <c r="A69" s="24"/>
      <c r="B69" s="1"/>
      <c r="C69" s="47"/>
      <c r="D69" s="107"/>
      <c r="E69" s="104"/>
      <c r="G69" s="1"/>
    </row>
    <row r="70" spans="1:14" s="2" customFormat="1" x14ac:dyDescent="0.2">
      <c r="A70" s="24"/>
      <c r="B70" s="1"/>
      <c r="C70" s="47" t="s">
        <v>932</v>
      </c>
      <c r="D70" s="111">
        <v>303.36</v>
      </c>
      <c r="E70" s="104"/>
      <c r="G70" s="1"/>
      <c r="H70" s="110" t="s">
        <v>581</v>
      </c>
    </row>
    <row r="71" spans="1:14" s="2" customFormat="1" x14ac:dyDescent="0.2">
      <c r="A71" s="24"/>
      <c r="B71" s="1"/>
      <c r="C71" s="47" t="s">
        <v>933</v>
      </c>
      <c r="D71" s="111">
        <f>179.5+329.07-183.11</f>
        <v>325.45999999999998</v>
      </c>
      <c r="E71" s="104"/>
      <c r="G71" s="1"/>
      <c r="H71" s="110" t="s">
        <v>581</v>
      </c>
      <c r="J71" s="114" t="s">
        <v>713</v>
      </c>
    </row>
    <row r="72" spans="1:14" s="2" customFormat="1" x14ac:dyDescent="0.2">
      <c r="A72" s="24"/>
      <c r="B72" s="1"/>
      <c r="C72" s="78" t="s">
        <v>579</v>
      </c>
      <c r="D72" s="109">
        <f>D70+D71</f>
        <v>628.81999999999994</v>
      </c>
      <c r="E72" s="104"/>
      <c r="G72" s="1"/>
      <c r="I72" s="113"/>
      <c r="J72" s="113" t="s">
        <v>709</v>
      </c>
      <c r="K72" s="113" t="s">
        <v>710</v>
      </c>
      <c r="L72" s="113" t="s">
        <v>711</v>
      </c>
      <c r="M72" s="113" t="s">
        <v>712</v>
      </c>
    </row>
    <row r="73" spans="1:14" s="2" customFormat="1" x14ac:dyDescent="0.2">
      <c r="A73" s="24"/>
      <c r="B73" s="1"/>
      <c r="C73" s="105"/>
      <c r="D73" s="106"/>
      <c r="E73" s="104"/>
      <c r="G73" s="1"/>
      <c r="I73" s="113" t="s">
        <v>706</v>
      </c>
      <c r="J73" s="115"/>
      <c r="K73" s="115">
        <v>968.99</v>
      </c>
      <c r="L73" s="115">
        <v>968.99</v>
      </c>
      <c r="M73" s="113">
        <f>+J73+L73-K73</f>
        <v>0</v>
      </c>
    </row>
    <row r="74" spans="1:14" s="2" customFormat="1" x14ac:dyDescent="0.2">
      <c r="A74" s="24"/>
      <c r="B74" s="1"/>
      <c r="C74" s="78" t="s">
        <v>577</v>
      </c>
      <c r="D74" s="109">
        <f>D65+D72</f>
        <v>3684.1899999999996</v>
      </c>
      <c r="E74" s="104"/>
      <c r="G74" s="1"/>
      <c r="I74" s="113" t="s">
        <v>707</v>
      </c>
      <c r="J74" s="115">
        <v>183.1</v>
      </c>
      <c r="K74" s="115">
        <v>2347.27</v>
      </c>
      <c r="L74" s="115">
        <v>3096.17</v>
      </c>
      <c r="M74" s="113">
        <f>+J74+L74-K74</f>
        <v>932</v>
      </c>
    </row>
    <row r="75" spans="1:14" s="2" customFormat="1" x14ac:dyDescent="0.2">
      <c r="A75" s="24"/>
      <c r="B75" s="1"/>
      <c r="C75" s="56"/>
      <c r="D75" s="56"/>
      <c r="E75" s="104"/>
      <c r="G75" s="1"/>
      <c r="I75" s="113" t="s">
        <v>708</v>
      </c>
      <c r="J75" s="115">
        <v>1371.02</v>
      </c>
      <c r="K75" s="115">
        <v>12149.97</v>
      </c>
      <c r="L75" s="115">
        <v>12255.15</v>
      </c>
      <c r="M75" s="113">
        <f>+J75+L75-K75</f>
        <v>1476.2000000000007</v>
      </c>
    </row>
    <row r="76" spans="1:14" s="2" customFormat="1" ht="38.25" x14ac:dyDescent="0.2">
      <c r="A76" s="24"/>
      <c r="B76" s="1"/>
      <c r="C76" s="79" t="str">
        <f>"Particulars ( 01-04-2021 to "&amp;TEXT(A5,"dd-mm-yyyy")&amp;" )"</f>
        <v>Particulars ( 01-04-2021 to 21-06-2023 )</v>
      </c>
      <c r="D76" s="80" t="s">
        <v>73</v>
      </c>
      <c r="E76" s="80" t="s">
        <v>74</v>
      </c>
      <c r="F76" s="81" t="s">
        <v>75</v>
      </c>
      <c r="G76" s="80" t="s">
        <v>76</v>
      </c>
      <c r="J76" s="118">
        <f>SUM(J73:J75)</f>
        <v>1554.12</v>
      </c>
      <c r="K76" s="118">
        <f>SUM(K73:K75)</f>
        <v>15466.23</v>
      </c>
      <c r="L76" s="118">
        <f>SUM(L73:L75)</f>
        <v>16320.31</v>
      </c>
      <c r="M76" s="118">
        <f>SUM(M73:M75)</f>
        <v>2408.2000000000007</v>
      </c>
    </row>
    <row r="77" spans="1:14" s="2" customFormat="1" x14ac:dyDescent="0.2">
      <c r="A77" s="24"/>
      <c r="B77" s="1"/>
      <c r="C77" s="50" t="s">
        <v>444</v>
      </c>
      <c r="D77" s="55">
        <f>+L73+L74+J74</f>
        <v>4248.26</v>
      </c>
      <c r="E77" s="55">
        <f>+K73+K74</f>
        <v>3316.26</v>
      </c>
      <c r="F77" s="55">
        <f>+D77-E77</f>
        <v>932</v>
      </c>
      <c r="G77" s="55">
        <f>1500-F77</f>
        <v>568</v>
      </c>
      <c r="H77" s="2" t="s">
        <v>396</v>
      </c>
    </row>
    <row r="78" spans="1:14" s="2" customFormat="1" x14ac:dyDescent="0.2">
      <c r="A78" s="24"/>
      <c r="B78" s="1"/>
      <c r="C78" s="50" t="s">
        <v>71</v>
      </c>
      <c r="D78" s="55">
        <f>+J75+L75</f>
        <v>13626.17</v>
      </c>
      <c r="E78" s="55">
        <f>+K75</f>
        <v>12149.97</v>
      </c>
      <c r="F78" s="55">
        <f>+D78-E78</f>
        <v>1476.2000000000007</v>
      </c>
      <c r="G78" s="55">
        <f>1500+700-F78</f>
        <v>723.79999999999927</v>
      </c>
      <c r="H78" s="2" t="s">
        <v>396</v>
      </c>
    </row>
    <row r="79" spans="1:14" s="2" customFormat="1" x14ac:dyDescent="0.2">
      <c r="A79" s="24"/>
      <c r="B79" s="1"/>
      <c r="C79" s="14"/>
      <c r="D79" s="56"/>
      <c r="E79" s="13"/>
      <c r="G79" s="1"/>
    </row>
    <row r="80" spans="1:14" s="2" customFormat="1" x14ac:dyDescent="0.2">
      <c r="A80" s="215" t="s">
        <v>80</v>
      </c>
      <c r="B80" s="216"/>
      <c r="C80" s="216"/>
      <c r="D80" s="217"/>
      <c r="E80" s="69"/>
      <c r="F80" s="70"/>
      <c r="G80" s="1"/>
      <c r="H80" s="53"/>
    </row>
    <row r="81" spans="1:13" s="2" customFormat="1" x14ac:dyDescent="0.2">
      <c r="A81" s="71" t="s">
        <v>81</v>
      </c>
      <c r="B81" s="71"/>
      <c r="C81" s="72" t="s">
        <v>82</v>
      </c>
      <c r="D81" s="73" t="s">
        <v>83</v>
      </c>
      <c r="E81" s="69"/>
      <c r="F81" s="70"/>
      <c r="H81" s="53"/>
    </row>
    <row r="82" spans="1:13" s="2" customFormat="1" x14ac:dyDescent="0.2">
      <c r="A82" s="87">
        <v>45080</v>
      </c>
      <c r="B82" s="120" t="s">
        <v>1052</v>
      </c>
      <c r="C82" s="75" t="s">
        <v>86</v>
      </c>
      <c r="D82" s="88">
        <v>163799</v>
      </c>
      <c r="G82" s="1"/>
      <c r="L82" s="1"/>
      <c r="M82" s="1"/>
    </row>
    <row r="83" spans="1:13" s="2" customFormat="1" x14ac:dyDescent="0.2">
      <c r="A83" s="87">
        <v>45080</v>
      </c>
      <c r="B83" s="120" t="s">
        <v>1052</v>
      </c>
      <c r="C83" s="75" t="s">
        <v>86</v>
      </c>
      <c r="D83" s="88">
        <v>1695107</v>
      </c>
      <c r="G83" s="1"/>
      <c r="L83" s="1"/>
      <c r="M83" s="1"/>
    </row>
    <row r="84" spans="1:13" s="2" customFormat="1" x14ac:dyDescent="0.2">
      <c r="A84" s="87">
        <v>45082</v>
      </c>
      <c r="B84" s="120" t="s">
        <v>1052</v>
      </c>
      <c r="C84" s="75" t="s">
        <v>87</v>
      </c>
      <c r="D84" s="88">
        <v>6627</v>
      </c>
      <c r="G84" s="1"/>
      <c r="L84" s="1"/>
      <c r="M84" s="1"/>
    </row>
    <row r="85" spans="1:13" s="2" customFormat="1" x14ac:dyDescent="0.2">
      <c r="A85" s="87">
        <v>45084</v>
      </c>
      <c r="B85" s="120" t="s">
        <v>1052</v>
      </c>
      <c r="C85" s="75" t="s">
        <v>87</v>
      </c>
      <c r="D85" s="88">
        <v>618395.80000000005</v>
      </c>
      <c r="G85" s="1"/>
      <c r="L85" s="1"/>
      <c r="M85" s="1"/>
    </row>
    <row r="86" spans="1:13" s="2" customFormat="1" x14ac:dyDescent="0.2">
      <c r="A86" s="87">
        <v>45085</v>
      </c>
      <c r="B86" s="120" t="s">
        <v>1052</v>
      </c>
      <c r="C86" s="75" t="s">
        <v>767</v>
      </c>
      <c r="D86" s="88">
        <v>407682</v>
      </c>
      <c r="G86" s="1"/>
      <c r="L86" s="1"/>
      <c r="M86" s="1"/>
    </row>
    <row r="87" spans="1:13" s="2" customFormat="1" x14ac:dyDescent="0.2">
      <c r="A87" s="87">
        <v>45086</v>
      </c>
      <c r="B87" s="120" t="s">
        <v>1052</v>
      </c>
      <c r="C87" s="75" t="s">
        <v>784</v>
      </c>
      <c r="D87" s="88">
        <v>1104724</v>
      </c>
      <c r="G87" s="1"/>
      <c r="L87" s="1"/>
      <c r="M87" s="1"/>
    </row>
    <row r="88" spans="1:13" s="2" customFormat="1" x14ac:dyDescent="0.2">
      <c r="A88" s="87">
        <v>45086</v>
      </c>
      <c r="B88" s="120" t="s">
        <v>1052</v>
      </c>
      <c r="C88" s="75" t="s">
        <v>86</v>
      </c>
      <c r="D88" s="88">
        <v>1756907</v>
      </c>
      <c r="G88" s="1"/>
      <c r="L88" s="1"/>
      <c r="M88" s="1"/>
    </row>
    <row r="89" spans="1:13" s="2" customFormat="1" x14ac:dyDescent="0.2">
      <c r="A89" s="87">
        <v>45086</v>
      </c>
      <c r="B89" s="120" t="s">
        <v>1052</v>
      </c>
      <c r="C89" s="75" t="s">
        <v>784</v>
      </c>
      <c r="D89" s="88">
        <v>1489874</v>
      </c>
      <c r="G89" s="1"/>
      <c r="L89" s="1"/>
      <c r="M89" s="1"/>
    </row>
    <row r="90" spans="1:13" s="2" customFormat="1" x14ac:dyDescent="0.2">
      <c r="A90" s="87">
        <v>45086</v>
      </c>
      <c r="B90" s="120" t="s">
        <v>1052</v>
      </c>
      <c r="C90" s="75" t="s">
        <v>201</v>
      </c>
      <c r="D90" s="88">
        <v>5000192.4400000004</v>
      </c>
      <c r="G90" s="1"/>
      <c r="L90" s="1"/>
      <c r="M90" s="1"/>
    </row>
    <row r="91" spans="1:13" s="2" customFormat="1" x14ac:dyDescent="0.2">
      <c r="A91" s="87">
        <v>45089</v>
      </c>
      <c r="B91" s="120" t="s">
        <v>1052</v>
      </c>
      <c r="C91" s="75" t="s">
        <v>566</v>
      </c>
      <c r="D91" s="88">
        <v>654429</v>
      </c>
      <c r="G91" s="1"/>
      <c r="L91" s="1"/>
      <c r="M91" s="1"/>
    </row>
    <row r="92" spans="1:13" s="2" customFormat="1" x14ac:dyDescent="0.2">
      <c r="A92" s="87">
        <v>45090</v>
      </c>
      <c r="B92" s="120" t="s">
        <v>1052</v>
      </c>
      <c r="C92" s="75" t="s">
        <v>566</v>
      </c>
      <c r="D92" s="88">
        <f>62180.5+9179</f>
        <v>71359.5</v>
      </c>
      <c r="G92" s="1"/>
      <c r="L92" s="1"/>
      <c r="M92" s="1"/>
    </row>
    <row r="93" spans="1:13" s="2" customFormat="1" x14ac:dyDescent="0.2">
      <c r="A93" s="87">
        <v>45090</v>
      </c>
      <c r="B93" s="120" t="s">
        <v>1052</v>
      </c>
      <c r="C93" s="75" t="s">
        <v>1084</v>
      </c>
      <c r="D93" s="88">
        <v>5353676</v>
      </c>
      <c r="G93" s="1"/>
      <c r="L93" s="1"/>
      <c r="M93" s="1"/>
    </row>
    <row r="94" spans="1:13" s="2" customFormat="1" x14ac:dyDescent="0.2">
      <c r="A94" s="87">
        <v>45091</v>
      </c>
      <c r="B94" s="120" t="s">
        <v>1052</v>
      </c>
      <c r="C94" s="75" t="s">
        <v>87</v>
      </c>
      <c r="D94" s="88">
        <v>1261201</v>
      </c>
      <c r="G94" s="1"/>
      <c r="L94" s="1"/>
      <c r="M94" s="1"/>
    </row>
    <row r="95" spans="1:13" s="2" customFormat="1" x14ac:dyDescent="0.2">
      <c r="A95" s="87">
        <v>45091</v>
      </c>
      <c r="B95" s="120" t="s">
        <v>1052</v>
      </c>
      <c r="C95" s="75" t="s">
        <v>1090</v>
      </c>
      <c r="D95" s="88">
        <v>1000000</v>
      </c>
      <c r="G95" s="1"/>
      <c r="L95" s="1"/>
      <c r="M95" s="1"/>
    </row>
    <row r="96" spans="1:13" s="2" customFormat="1" x14ac:dyDescent="0.2">
      <c r="A96" s="87">
        <v>45092</v>
      </c>
      <c r="B96" s="120" t="s">
        <v>1052</v>
      </c>
      <c r="C96" s="75" t="s">
        <v>271</v>
      </c>
      <c r="D96" s="88">
        <v>485258</v>
      </c>
      <c r="G96" s="1"/>
      <c r="L96" s="1"/>
      <c r="M96" s="1"/>
    </row>
    <row r="97" spans="1:13" s="2" customFormat="1" x14ac:dyDescent="0.2">
      <c r="A97" s="87">
        <v>45092</v>
      </c>
      <c r="B97" s="120" t="s">
        <v>1052</v>
      </c>
      <c r="C97" s="75" t="s">
        <v>767</v>
      </c>
      <c r="D97" s="88">
        <v>1074373</v>
      </c>
      <c r="G97" s="1"/>
      <c r="L97" s="1"/>
      <c r="M97" s="1"/>
    </row>
    <row r="98" spans="1:13" s="2" customFormat="1" x14ac:dyDescent="0.2">
      <c r="A98" s="87">
        <v>45094</v>
      </c>
      <c r="B98" s="120" t="s">
        <v>1052</v>
      </c>
      <c r="C98" s="75" t="s">
        <v>467</v>
      </c>
      <c r="D98" s="88">
        <v>2582806</v>
      </c>
      <c r="G98" s="1"/>
      <c r="L98" s="1"/>
      <c r="M98" s="1"/>
    </row>
    <row r="99" spans="1:13" s="2" customFormat="1" x14ac:dyDescent="0.2">
      <c r="A99" s="87">
        <v>45096</v>
      </c>
      <c r="B99" s="120" t="s">
        <v>1052</v>
      </c>
      <c r="C99" s="75" t="s">
        <v>85</v>
      </c>
      <c r="D99" s="88">
        <v>77650</v>
      </c>
      <c r="G99" s="1"/>
      <c r="L99" s="1"/>
      <c r="M99" s="1"/>
    </row>
    <row r="100" spans="1:13" s="2" customFormat="1" x14ac:dyDescent="0.2">
      <c r="A100" s="87">
        <v>45096</v>
      </c>
      <c r="B100" s="120" t="s">
        <v>1052</v>
      </c>
      <c r="C100" s="75" t="s">
        <v>270</v>
      </c>
      <c r="D100" s="88">
        <v>1475157</v>
      </c>
      <c r="G100" s="1"/>
      <c r="L100" s="1"/>
      <c r="M100" s="1"/>
    </row>
    <row r="101" spans="1:13" s="2" customFormat="1" x14ac:dyDescent="0.2">
      <c r="A101" s="87">
        <v>45096</v>
      </c>
      <c r="B101" s="120" t="s">
        <v>1052</v>
      </c>
      <c r="C101" s="75" t="s">
        <v>270</v>
      </c>
      <c r="D101" s="88">
        <v>741951</v>
      </c>
      <c r="G101" s="1"/>
      <c r="L101" s="1"/>
      <c r="M101" s="1"/>
    </row>
    <row r="102" spans="1:13" s="2" customFormat="1" x14ac:dyDescent="0.2">
      <c r="A102" s="87">
        <v>45096</v>
      </c>
      <c r="B102" s="120" t="s">
        <v>1052</v>
      </c>
      <c r="C102" s="75" t="s">
        <v>270</v>
      </c>
      <c r="D102" s="88">
        <v>1034388</v>
      </c>
      <c r="G102" s="1"/>
      <c r="L102" s="1"/>
      <c r="M102" s="1"/>
    </row>
    <row r="103" spans="1:13" s="2" customFormat="1" x14ac:dyDescent="0.2">
      <c r="A103" s="87">
        <v>45096</v>
      </c>
      <c r="B103" s="120" t="s">
        <v>1052</v>
      </c>
      <c r="C103" s="75" t="s">
        <v>270</v>
      </c>
      <c r="D103" s="88">
        <v>93897</v>
      </c>
      <c r="G103" s="1"/>
      <c r="L103" s="1"/>
      <c r="M103" s="1"/>
    </row>
    <row r="104" spans="1:13" s="2" customFormat="1" x14ac:dyDescent="0.2">
      <c r="A104" s="87">
        <v>45096</v>
      </c>
      <c r="B104" s="120" t="s">
        <v>1052</v>
      </c>
      <c r="C104" s="75" t="s">
        <v>270</v>
      </c>
      <c r="D104" s="88">
        <v>353700</v>
      </c>
      <c r="G104" s="1"/>
      <c r="L104" s="1"/>
      <c r="M104" s="1"/>
    </row>
    <row r="105" spans="1:13" s="2" customFormat="1" x14ac:dyDescent="0.2">
      <c r="A105" s="87">
        <v>45096</v>
      </c>
      <c r="B105" s="120" t="s">
        <v>1052</v>
      </c>
      <c r="C105" s="75" t="s">
        <v>270</v>
      </c>
      <c r="D105" s="88">
        <v>1205410</v>
      </c>
      <c r="G105" s="1"/>
      <c r="L105" s="1"/>
      <c r="M105" s="1"/>
    </row>
    <row r="106" spans="1:13" s="2" customFormat="1" x14ac:dyDescent="0.2">
      <c r="A106" s="87">
        <v>45096</v>
      </c>
      <c r="B106" s="120" t="s">
        <v>1052</v>
      </c>
      <c r="C106" s="75" t="s">
        <v>86</v>
      </c>
      <c r="D106" s="88">
        <v>5053085</v>
      </c>
      <c r="G106" s="1"/>
      <c r="L106" s="1"/>
      <c r="M106" s="1"/>
    </row>
    <row r="107" spans="1:13" s="2" customFormat="1" x14ac:dyDescent="0.2">
      <c r="A107" s="87">
        <v>45096</v>
      </c>
      <c r="B107" s="120" t="s">
        <v>1052</v>
      </c>
      <c r="C107" s="75" t="s">
        <v>1116</v>
      </c>
      <c r="D107" s="88">
        <v>1962959.72</v>
      </c>
      <c r="G107" s="1"/>
      <c r="L107" s="1"/>
      <c r="M107" s="1"/>
    </row>
    <row r="108" spans="1:13" s="2" customFormat="1" x14ac:dyDescent="0.2">
      <c r="A108" s="87"/>
      <c r="B108" s="74"/>
      <c r="C108" s="75"/>
      <c r="D108" s="51">
        <f>SUM(D82:D107)</f>
        <v>36724608.460000001</v>
      </c>
      <c r="F108" s="2" t="s">
        <v>396</v>
      </c>
      <c r="G108" s="1"/>
      <c r="L108" s="1"/>
      <c r="M108" s="1"/>
    </row>
    <row r="109" spans="1:13" s="2" customFormat="1" x14ac:dyDescent="0.2">
      <c r="A109" s="24"/>
      <c r="B109" s="1"/>
      <c r="C109" s="14"/>
      <c r="D109" s="56"/>
      <c r="E109" s="13"/>
      <c r="G109" s="1"/>
      <c r="L109" s="1"/>
      <c r="M109" s="1"/>
    </row>
    <row r="110" spans="1:13" s="2" customFormat="1" x14ac:dyDescent="0.2">
      <c r="A110" s="24"/>
      <c r="B110" s="1"/>
      <c r="C110" s="218" t="s">
        <v>77</v>
      </c>
      <c r="D110" s="219"/>
      <c r="E110" s="219"/>
      <c r="F110" s="220"/>
      <c r="G110" s="1"/>
      <c r="L110" s="1"/>
      <c r="M110" s="1"/>
    </row>
    <row r="111" spans="1:13" s="2" customFormat="1" x14ac:dyDescent="0.2">
      <c r="A111" s="24"/>
      <c r="B111" s="1"/>
      <c r="C111" s="50"/>
      <c r="D111" s="57" t="s">
        <v>78</v>
      </c>
      <c r="E111" s="58" t="s">
        <v>79</v>
      </c>
      <c r="F111" s="57" t="s">
        <v>72</v>
      </c>
      <c r="G111" s="1"/>
      <c r="I111" s="1"/>
      <c r="J111" s="1"/>
      <c r="K111" s="1"/>
      <c r="L111" s="1"/>
      <c r="M111" s="1"/>
    </row>
    <row r="112" spans="1:13" s="2" customFormat="1" x14ac:dyDescent="0.2">
      <c r="A112" s="24"/>
      <c r="B112" s="1"/>
      <c r="C112" s="59" t="str">
        <f>"01-06-2023 to "&amp;TEXT(A5-2,"dd-mm-yyyy")</f>
        <v>01-06-2023 to 19-06-2023</v>
      </c>
      <c r="D112" s="60">
        <v>3832.62</v>
      </c>
      <c r="E112" s="60">
        <v>132.47</v>
      </c>
      <c r="F112" s="61">
        <f>SUM(D112:E112)</f>
        <v>3965.0899999999997</v>
      </c>
      <c r="G112" s="1"/>
    </row>
    <row r="113" spans="1:13" s="2" customFormat="1" x14ac:dyDescent="0.2">
      <c r="A113" s="24"/>
      <c r="B113" s="1"/>
      <c r="C113" s="62" t="str">
        <f>TEXT(A5-1,"dd-mm-yyyy")</f>
        <v>20-06-2023</v>
      </c>
      <c r="D113" s="60">
        <v>94.22</v>
      </c>
      <c r="E113" s="60">
        <v>5.49</v>
      </c>
      <c r="F113" s="61">
        <f>SUM(D113:E113)</f>
        <v>99.71</v>
      </c>
      <c r="G113" s="54"/>
      <c r="I113" s="1"/>
      <c r="J113" s="1"/>
      <c r="K113" s="1"/>
      <c r="L113" s="1"/>
      <c r="M113" s="1"/>
    </row>
    <row r="114" spans="1:13" s="2" customFormat="1" ht="13.5" thickBot="1" x14ac:dyDescent="0.25">
      <c r="A114" s="24"/>
      <c r="B114" s="1"/>
      <c r="C114" s="63" t="str">
        <f>"01-06-2023 to "&amp;TEXT(A5-1,"dd-mm-yyyy")</f>
        <v>01-06-2023 to 20-06-2023</v>
      </c>
      <c r="D114" s="64">
        <f>SUM(D112:D113)</f>
        <v>3926.8399999999997</v>
      </c>
      <c r="E114" s="64">
        <f>SUM(E112:E113)</f>
        <v>137.96</v>
      </c>
      <c r="F114" s="64">
        <f>SUM(F112:F113)</f>
        <v>4064.7999999999997</v>
      </c>
      <c r="G114" s="54"/>
      <c r="I114" s="1"/>
      <c r="J114" s="1"/>
      <c r="K114" s="1"/>
      <c r="L114" s="1"/>
      <c r="M114" s="1"/>
    </row>
    <row r="115" spans="1:13" s="2" customFormat="1" ht="13.5" thickTop="1" x14ac:dyDescent="0.2">
      <c r="A115" s="24"/>
      <c r="B115" s="1"/>
      <c r="C115" s="62"/>
      <c r="D115" s="65"/>
      <c r="E115" s="66"/>
      <c r="F115" s="67"/>
      <c r="G115" s="54"/>
      <c r="I115" s="1"/>
      <c r="J115" s="1"/>
      <c r="K115" s="1"/>
      <c r="L115" s="1"/>
      <c r="M115" s="1"/>
    </row>
    <row r="116" spans="1:13" s="2" customFormat="1" x14ac:dyDescent="0.2">
      <c r="A116" s="24"/>
      <c r="B116" s="1"/>
      <c r="C116" s="62" t="str">
        <f>"01-04-2023 to " &amp;C113</f>
        <v>01-04-2023 to 20-06-2023</v>
      </c>
      <c r="D116" s="68">
        <f>+D114+9224.33</f>
        <v>13151.17</v>
      </c>
      <c r="E116" s="68">
        <f>+E114+906.58</f>
        <v>1044.54</v>
      </c>
      <c r="F116" s="68">
        <f>+F114+10130.9</f>
        <v>14195.699999999999</v>
      </c>
      <c r="G116" s="54"/>
      <c r="I116" s="1"/>
      <c r="J116" s="1"/>
      <c r="K116" s="1"/>
      <c r="L116" s="1"/>
      <c r="M116" s="1"/>
    </row>
    <row r="117" spans="1:13" x14ac:dyDescent="0.2">
      <c r="C117" s="52"/>
      <c r="D117" s="85"/>
      <c r="E117" s="53"/>
      <c r="F117" s="53"/>
      <c r="G117" s="54"/>
      <c r="H117" s="2" t="s">
        <v>396</v>
      </c>
    </row>
    <row r="118" spans="1:13" s="2" customFormat="1" x14ac:dyDescent="0.2">
      <c r="A118" s="24"/>
      <c r="B118" s="1"/>
      <c r="C118" s="52"/>
      <c r="D118" s="85"/>
      <c r="E118" s="53"/>
      <c r="F118" s="53"/>
      <c r="G118" s="54"/>
      <c r="H118" s="53"/>
    </row>
    <row r="119" spans="1:13" x14ac:dyDescent="0.2">
      <c r="C119" s="52"/>
      <c r="D119" s="85"/>
      <c r="E119" s="53"/>
      <c r="F119" s="53"/>
      <c r="G119" s="54"/>
      <c r="H119" s="53" t="s">
        <v>396</v>
      </c>
    </row>
    <row r="120" spans="1:13" x14ac:dyDescent="0.2">
      <c r="C120" s="52"/>
      <c r="D120" s="85"/>
      <c r="E120" s="53"/>
      <c r="F120" s="53"/>
      <c r="G120" s="54"/>
      <c r="H120" s="53" t="s">
        <v>396</v>
      </c>
      <c r="J120" s="42"/>
    </row>
    <row r="121" spans="1:13" x14ac:dyDescent="0.2">
      <c r="G121" s="54"/>
      <c r="H121" s="53"/>
      <c r="I121" s="101"/>
    </row>
    <row r="122" spans="1:13" x14ac:dyDescent="0.2">
      <c r="G122" s="54"/>
      <c r="H122" s="53"/>
    </row>
    <row r="123" spans="1:13" x14ac:dyDescent="0.2">
      <c r="G123" s="54"/>
      <c r="H123" s="53"/>
    </row>
    <row r="124" spans="1:13" x14ac:dyDescent="0.2">
      <c r="H124" s="53"/>
    </row>
  </sheetData>
  <mergeCells count="6">
    <mergeCell ref="C110:F110"/>
    <mergeCell ref="A1:G1"/>
    <mergeCell ref="A3:F3"/>
    <mergeCell ref="A9:F9"/>
    <mergeCell ref="A16:F16"/>
    <mergeCell ref="A80:D80"/>
  </mergeCells>
  <conditionalFormatting sqref="G77:G78">
    <cfRule type="cellIs" dxfId="471" priority="1" operator="lessThan">
      <formula>0</formula>
    </cfRule>
  </conditionalFormatting>
  <conditionalFormatting sqref="C18">
    <cfRule type="duplicateValues" dxfId="470" priority="2"/>
  </conditionalFormatting>
  <conditionalFormatting sqref="C19:C57">
    <cfRule type="duplicateValues" dxfId="469" priority="549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Sheet358">
    <pageSetUpPr fitToPage="1"/>
  </sheetPr>
  <dimension ref="A1:N134"/>
  <sheetViews>
    <sheetView topLeftCell="A52" zoomScaleNormal="100" workbookViewId="0">
      <selection activeCell="C46" sqref="C46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47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1118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45099</v>
      </c>
      <c r="B5" s="9" t="s">
        <v>6</v>
      </c>
      <c r="C5" s="10" t="s">
        <v>7</v>
      </c>
      <c r="D5" s="11"/>
      <c r="E5" s="12">
        <v>221548.70000000019</v>
      </c>
      <c r="F5" s="12"/>
      <c r="G5" s="1"/>
      <c r="H5" s="112"/>
      <c r="I5" s="112"/>
    </row>
    <row r="6" spans="1:10" s="2" customFormat="1" ht="14.25" customHeight="1" x14ac:dyDescent="0.4">
      <c r="A6" s="89">
        <v>45099</v>
      </c>
      <c r="B6" s="9" t="s">
        <v>6</v>
      </c>
      <c r="C6" s="10" t="s">
        <v>400</v>
      </c>
      <c r="D6" s="135" t="s">
        <v>13</v>
      </c>
      <c r="E6" s="12">
        <v>300000</v>
      </c>
      <c r="F6" s="12"/>
      <c r="G6" s="1"/>
      <c r="H6" s="112"/>
      <c r="I6" s="112"/>
    </row>
    <row r="7" spans="1:10" s="2" customFormat="1" ht="14.25" customHeight="1" x14ac:dyDescent="0.4">
      <c r="A7" s="89">
        <v>45099</v>
      </c>
      <c r="B7" s="9" t="s">
        <v>11</v>
      </c>
      <c r="C7" s="10" t="s">
        <v>489</v>
      </c>
      <c r="D7" s="11" t="s">
        <v>29</v>
      </c>
      <c r="E7" s="12"/>
      <c r="F7" s="12">
        <v>300000</v>
      </c>
      <c r="G7" s="1"/>
      <c r="H7" s="112"/>
      <c r="I7" s="112"/>
    </row>
    <row r="8" spans="1:10" s="2" customFormat="1" ht="12.75" customHeight="1" x14ac:dyDescent="0.4">
      <c r="D8" s="15" t="s">
        <v>8</v>
      </c>
      <c r="E8" s="16">
        <f>SUM(E5:E7)</f>
        <v>521548.70000000019</v>
      </c>
      <c r="F8" s="16">
        <f>SUM(F7)</f>
        <v>300000</v>
      </c>
      <c r="G8" s="1"/>
      <c r="H8" s="112"/>
      <c r="I8" s="112"/>
    </row>
    <row r="9" spans="1:10" s="2" customFormat="1" ht="12.75" customHeight="1" x14ac:dyDescent="0.4">
      <c r="A9" s="17"/>
      <c r="B9" s="18"/>
      <c r="C9" s="19" t="s">
        <v>9</v>
      </c>
      <c r="D9" s="20"/>
      <c r="E9" s="21">
        <f>+E8-F8</f>
        <v>221548.70000000019</v>
      </c>
      <c r="F9" s="22"/>
      <c r="G9" s="23"/>
      <c r="H9" s="112"/>
      <c r="I9" s="112"/>
      <c r="J9" s="13"/>
    </row>
    <row r="10" spans="1:10" ht="12.75" customHeight="1" x14ac:dyDescent="0.4">
      <c r="H10" s="112"/>
      <c r="I10" s="112"/>
    </row>
    <row r="11" spans="1:10" ht="18" customHeight="1" x14ac:dyDescent="0.4">
      <c r="A11" s="213" t="s">
        <v>1037</v>
      </c>
      <c r="B11" s="213"/>
      <c r="C11" s="213"/>
      <c r="D11" s="213"/>
      <c r="E11" s="213"/>
      <c r="F11" s="213"/>
      <c r="H11" s="112"/>
      <c r="I11" s="112"/>
    </row>
    <row r="12" spans="1:10" ht="12.75" customHeight="1" x14ac:dyDescent="0.4">
      <c r="A12" s="3" t="s">
        <v>1</v>
      </c>
      <c r="B12" s="4" t="s">
        <v>2</v>
      </c>
      <c r="C12" s="5"/>
      <c r="D12" s="6" t="s">
        <v>3</v>
      </c>
      <c r="E12" s="7" t="s">
        <v>4</v>
      </c>
      <c r="F12" s="7" t="s">
        <v>5</v>
      </c>
      <c r="H12" s="112"/>
      <c r="I12" s="112"/>
    </row>
    <row r="13" spans="1:10" s="2" customFormat="1" ht="14.25" customHeight="1" x14ac:dyDescent="0.2">
      <c r="A13" s="127">
        <v>45099</v>
      </c>
      <c r="B13" s="9" t="s">
        <v>6</v>
      </c>
      <c r="C13" s="10" t="s">
        <v>7</v>
      </c>
      <c r="D13" s="11"/>
      <c r="F13" s="12">
        <v>29813769.169999991</v>
      </c>
      <c r="G13" s="1"/>
      <c r="H13" s="130"/>
      <c r="I13" s="130"/>
    </row>
    <row r="14" spans="1:10" s="2" customFormat="1" ht="12.75" customHeight="1" x14ac:dyDescent="0.4">
      <c r="D14" s="15" t="s">
        <v>8</v>
      </c>
      <c r="E14" s="16">
        <f>E13</f>
        <v>0</v>
      </c>
      <c r="F14" s="16">
        <f>SUM(F13:F13)</f>
        <v>29813769.169999991</v>
      </c>
      <c r="G14" s="1"/>
      <c r="H14" s="112"/>
      <c r="I14" s="112"/>
    </row>
    <row r="15" spans="1:10" s="2" customFormat="1" ht="12.75" customHeight="1" x14ac:dyDescent="0.4">
      <c r="A15" s="17"/>
      <c r="B15" s="18"/>
      <c r="C15" s="96" t="s">
        <v>9</v>
      </c>
      <c r="D15" s="20"/>
      <c r="E15" s="21">
        <f>+F14-E14</f>
        <v>29813769.169999991</v>
      </c>
      <c r="G15" s="23"/>
      <c r="H15" s="112"/>
      <c r="I15" s="112"/>
      <c r="J15" s="13"/>
    </row>
    <row r="16" spans="1:10" s="2" customFormat="1" ht="12.75" customHeight="1" x14ac:dyDescent="0.4">
      <c r="A16" s="24"/>
      <c r="B16" s="1"/>
      <c r="C16" s="14"/>
      <c r="D16" s="25"/>
      <c r="G16" s="23"/>
      <c r="H16" s="112"/>
      <c r="I16" s="112"/>
      <c r="J16" s="13"/>
    </row>
    <row r="17" spans="1:10" s="2" customFormat="1" ht="21.75" customHeight="1" x14ac:dyDescent="0.4">
      <c r="A17" s="214" t="s">
        <v>10</v>
      </c>
      <c r="B17" s="214"/>
      <c r="C17" s="214"/>
      <c r="D17" s="214"/>
      <c r="E17" s="214"/>
      <c r="F17" s="214"/>
      <c r="G17" s="13"/>
      <c r="H17" s="112"/>
      <c r="I17" s="112"/>
      <c r="J17" s="13"/>
    </row>
    <row r="18" spans="1:10" s="2" customFormat="1" ht="12.75" customHeight="1" x14ac:dyDescent="0.4">
      <c r="A18" s="26" t="s">
        <v>1</v>
      </c>
      <c r="B18" s="27" t="s">
        <v>2</v>
      </c>
      <c r="C18" s="5"/>
      <c r="D18" s="6" t="s">
        <v>3</v>
      </c>
      <c r="E18" s="7" t="s">
        <v>4</v>
      </c>
      <c r="F18" s="7" t="s">
        <v>5</v>
      </c>
      <c r="G18" s="23"/>
      <c r="H18" s="112"/>
      <c r="I18" s="112"/>
      <c r="J18" s="13"/>
    </row>
    <row r="19" spans="1:10" s="2" customFormat="1" ht="12.75" customHeight="1" x14ac:dyDescent="0.2">
      <c r="A19" s="127">
        <v>45099</v>
      </c>
      <c r="B19" s="128" t="s">
        <v>11</v>
      </c>
      <c r="C19" s="29" t="s">
        <v>7</v>
      </c>
      <c r="D19" s="25"/>
      <c r="E19" s="31"/>
      <c r="F19" s="2">
        <v>273169886.45999974</v>
      </c>
      <c r="G19" s="30"/>
      <c r="I19" s="13"/>
      <c r="J19" s="13"/>
    </row>
    <row r="20" spans="1:10" s="70" customFormat="1" ht="12.75" customHeight="1" x14ac:dyDescent="0.2">
      <c r="A20" s="127">
        <v>45099</v>
      </c>
      <c r="B20" s="128" t="s">
        <v>6</v>
      </c>
      <c r="C20" s="76" t="s">
        <v>433</v>
      </c>
      <c r="D20" s="125" t="s">
        <v>13</v>
      </c>
      <c r="E20" s="129">
        <v>350027.5</v>
      </c>
      <c r="G20" s="30"/>
      <c r="I20" s="69"/>
      <c r="J20" s="69"/>
    </row>
    <row r="21" spans="1:10" s="70" customFormat="1" ht="12.75" customHeight="1" x14ac:dyDescent="0.2">
      <c r="A21" s="127">
        <v>45099</v>
      </c>
      <c r="B21" s="128" t="s">
        <v>6</v>
      </c>
      <c r="C21" s="76" t="s">
        <v>120</v>
      </c>
      <c r="D21" s="125" t="s">
        <v>13</v>
      </c>
      <c r="E21" s="129">
        <v>1703812</v>
      </c>
      <c r="G21" s="30"/>
      <c r="I21" s="69"/>
      <c r="J21" s="69"/>
    </row>
    <row r="22" spans="1:10" s="70" customFormat="1" ht="12.75" customHeight="1" x14ac:dyDescent="0.2">
      <c r="A22" s="127">
        <v>45099</v>
      </c>
      <c r="B22" s="128" t="s">
        <v>6</v>
      </c>
      <c r="C22" s="76" t="s">
        <v>1119</v>
      </c>
      <c r="D22" s="126" t="s">
        <v>13</v>
      </c>
      <c r="E22" s="129">
        <v>2100</v>
      </c>
      <c r="G22" s="30"/>
      <c r="I22" s="69"/>
      <c r="J22" s="69"/>
    </row>
    <row r="23" spans="1:10" s="70" customFormat="1" ht="12.75" customHeight="1" x14ac:dyDescent="0.2">
      <c r="A23" s="127">
        <v>45099</v>
      </c>
      <c r="B23" s="128" t="s">
        <v>6</v>
      </c>
      <c r="C23" s="76" t="s">
        <v>1120</v>
      </c>
      <c r="D23" s="126" t="s">
        <v>13</v>
      </c>
      <c r="E23" s="129">
        <v>12600</v>
      </c>
      <c r="G23" s="30"/>
      <c r="I23" s="69"/>
      <c r="J23" s="69"/>
    </row>
    <row r="24" spans="1:10" s="70" customFormat="1" ht="12.75" customHeight="1" x14ac:dyDescent="0.2">
      <c r="A24" s="127">
        <v>45099</v>
      </c>
      <c r="B24" s="128" t="s">
        <v>6</v>
      </c>
      <c r="C24" s="76" t="s">
        <v>27</v>
      </c>
      <c r="D24" s="126" t="s">
        <v>13</v>
      </c>
      <c r="E24" s="129">
        <v>440147.9</v>
      </c>
      <c r="G24" s="30"/>
      <c r="I24" s="69"/>
      <c r="J24" s="69"/>
    </row>
    <row r="25" spans="1:10" s="70" customFormat="1" ht="12.75" customHeight="1" x14ac:dyDescent="0.2">
      <c r="A25" s="127">
        <v>45099</v>
      </c>
      <c r="B25" s="128" t="s">
        <v>6</v>
      </c>
      <c r="C25" s="76" t="s">
        <v>15</v>
      </c>
      <c r="D25" s="126" t="s">
        <v>13</v>
      </c>
      <c r="E25" s="129">
        <v>204723.72</v>
      </c>
      <c r="G25" s="30"/>
      <c r="I25" s="69"/>
      <c r="J25" s="69"/>
    </row>
    <row r="26" spans="1:10" s="70" customFormat="1" ht="12.75" customHeight="1" x14ac:dyDescent="0.2">
      <c r="A26" s="127">
        <v>45099</v>
      </c>
      <c r="B26" s="128" t="s">
        <v>6</v>
      </c>
      <c r="C26" s="76" t="s">
        <v>145</v>
      </c>
      <c r="D26" s="126" t="s">
        <v>13</v>
      </c>
      <c r="E26" s="129">
        <v>1463072</v>
      </c>
      <c r="G26" s="30"/>
      <c r="I26" s="69"/>
      <c r="J26" s="69"/>
    </row>
    <row r="27" spans="1:10" s="70" customFormat="1" ht="12.75" customHeight="1" x14ac:dyDescent="0.2">
      <c r="A27" s="127">
        <v>45099</v>
      </c>
      <c r="B27" s="128" t="s">
        <v>6</v>
      </c>
      <c r="C27" s="76" t="s">
        <v>14</v>
      </c>
      <c r="D27" s="126" t="s">
        <v>13</v>
      </c>
      <c r="E27" s="129">
        <v>16044</v>
      </c>
      <c r="G27" s="30"/>
      <c r="I27" s="69"/>
      <c r="J27" s="69"/>
    </row>
    <row r="28" spans="1:10" s="70" customFormat="1" ht="12.75" customHeight="1" x14ac:dyDescent="0.2">
      <c r="A28" s="127">
        <v>45099</v>
      </c>
      <c r="B28" s="128" t="s">
        <v>6</v>
      </c>
      <c r="C28" s="76" t="s">
        <v>1020</v>
      </c>
      <c r="D28" s="126" t="s">
        <v>13</v>
      </c>
      <c r="E28" s="129">
        <v>11812</v>
      </c>
      <c r="G28" s="30"/>
      <c r="I28" s="69"/>
      <c r="J28" s="69"/>
    </row>
    <row r="29" spans="1:10" s="70" customFormat="1" ht="12.75" customHeight="1" x14ac:dyDescent="0.2">
      <c r="A29" s="127">
        <v>45099</v>
      </c>
      <c r="B29" s="128" t="s">
        <v>6</v>
      </c>
      <c r="C29" s="76" t="s">
        <v>726</v>
      </c>
      <c r="D29" s="126" t="s">
        <v>13</v>
      </c>
      <c r="E29" s="129">
        <v>12600</v>
      </c>
      <c r="G29" s="30"/>
      <c r="I29" s="69"/>
      <c r="J29" s="69"/>
    </row>
    <row r="30" spans="1:10" s="70" customFormat="1" ht="12.75" customHeight="1" x14ac:dyDescent="0.2">
      <c r="A30" s="127">
        <v>45099</v>
      </c>
      <c r="B30" s="128" t="s">
        <v>6</v>
      </c>
      <c r="C30" s="76" t="s">
        <v>399</v>
      </c>
      <c r="D30" s="126" t="s">
        <v>13</v>
      </c>
      <c r="E30" s="129">
        <v>178448</v>
      </c>
      <c r="G30" s="30"/>
      <c r="I30" s="69"/>
      <c r="J30" s="69"/>
    </row>
    <row r="31" spans="1:10" s="70" customFormat="1" ht="12.75" customHeight="1" x14ac:dyDescent="0.2">
      <c r="A31" s="127">
        <v>45099</v>
      </c>
      <c r="B31" s="128" t="s">
        <v>6</v>
      </c>
      <c r="C31" s="76" t="s">
        <v>741</v>
      </c>
      <c r="D31" s="126" t="s">
        <v>13</v>
      </c>
      <c r="E31" s="129">
        <v>7262</v>
      </c>
      <c r="G31" s="30"/>
      <c r="I31" s="69"/>
      <c r="J31" s="69"/>
    </row>
    <row r="32" spans="1:10" s="70" customFormat="1" ht="12.75" customHeight="1" x14ac:dyDescent="0.2">
      <c r="A32" s="127">
        <v>45099</v>
      </c>
      <c r="B32" s="128" t="s">
        <v>6</v>
      </c>
      <c r="C32" s="76" t="s">
        <v>470</v>
      </c>
      <c r="D32" s="126" t="s">
        <v>13</v>
      </c>
      <c r="E32" s="129">
        <v>758272</v>
      </c>
      <c r="G32" s="30"/>
      <c r="I32" s="69"/>
      <c r="J32" s="69"/>
    </row>
    <row r="33" spans="1:10" s="70" customFormat="1" ht="12.75" customHeight="1" x14ac:dyDescent="0.2">
      <c r="A33" s="127">
        <v>45099</v>
      </c>
      <c r="B33" s="128" t="s">
        <v>6</v>
      </c>
      <c r="C33" s="76" t="s">
        <v>16</v>
      </c>
      <c r="D33" s="126" t="s">
        <v>13</v>
      </c>
      <c r="E33" s="129">
        <v>64253</v>
      </c>
      <c r="G33" s="30"/>
      <c r="I33" s="69"/>
      <c r="J33" s="69"/>
    </row>
    <row r="34" spans="1:10" s="70" customFormat="1" ht="12.75" customHeight="1" x14ac:dyDescent="0.2">
      <c r="A34" s="127">
        <v>45099</v>
      </c>
      <c r="B34" s="128" t="s">
        <v>6</v>
      </c>
      <c r="C34" s="76" t="s">
        <v>106</v>
      </c>
      <c r="D34" s="126" t="s">
        <v>13</v>
      </c>
      <c r="E34" s="129">
        <v>131311</v>
      </c>
      <c r="G34" s="30"/>
      <c r="I34" s="69"/>
      <c r="J34" s="69"/>
    </row>
    <row r="35" spans="1:10" s="70" customFormat="1" ht="12.75" customHeight="1" x14ac:dyDescent="0.2">
      <c r="A35" s="127">
        <v>45099</v>
      </c>
      <c r="B35" s="128" t="s">
        <v>6</v>
      </c>
      <c r="C35" s="76" t="s">
        <v>830</v>
      </c>
      <c r="D35" s="126" t="s">
        <v>13</v>
      </c>
      <c r="E35" s="129">
        <v>148706.94</v>
      </c>
      <c r="G35" s="30"/>
      <c r="I35" s="69"/>
      <c r="J35" s="69"/>
    </row>
    <row r="36" spans="1:10" s="70" customFormat="1" ht="12.75" customHeight="1" x14ac:dyDescent="0.2">
      <c r="A36" s="127">
        <v>45099</v>
      </c>
      <c r="B36" s="128" t="s">
        <v>6</v>
      </c>
      <c r="C36" s="76" t="s">
        <v>806</v>
      </c>
      <c r="D36" s="126" t="s">
        <v>13</v>
      </c>
      <c r="E36" s="129">
        <v>417517</v>
      </c>
      <c r="G36" s="30"/>
      <c r="I36" s="69"/>
      <c r="J36" s="69"/>
    </row>
    <row r="37" spans="1:10" s="70" customFormat="1" ht="12.75" customHeight="1" x14ac:dyDescent="0.2">
      <c r="A37" s="127">
        <v>45099</v>
      </c>
      <c r="B37" s="128" t="s">
        <v>6</v>
      </c>
      <c r="C37" s="76" t="s">
        <v>271</v>
      </c>
      <c r="D37" s="126" t="s">
        <v>13</v>
      </c>
      <c r="E37" s="129">
        <v>36396</v>
      </c>
      <c r="G37" s="30"/>
      <c r="I37" s="69"/>
      <c r="J37" s="69"/>
    </row>
    <row r="38" spans="1:10" s="70" customFormat="1" ht="12.75" customHeight="1" x14ac:dyDescent="0.2">
      <c r="A38" s="127">
        <v>45099</v>
      </c>
      <c r="B38" s="128" t="s">
        <v>6</v>
      </c>
      <c r="C38" s="76" t="s">
        <v>12</v>
      </c>
      <c r="D38" s="126" t="s">
        <v>13</v>
      </c>
      <c r="E38" s="129">
        <v>2166201.0700000003</v>
      </c>
      <c r="G38" s="30"/>
      <c r="I38" s="69"/>
      <c r="J38" s="69"/>
    </row>
    <row r="39" spans="1:10" s="70" customFormat="1" ht="12.75" customHeight="1" x14ac:dyDescent="0.2">
      <c r="A39" s="127">
        <v>45099</v>
      </c>
      <c r="B39" s="128" t="s">
        <v>6</v>
      </c>
      <c r="C39" s="76" t="s">
        <v>966</v>
      </c>
      <c r="D39" s="126" t="s">
        <v>13</v>
      </c>
      <c r="E39" s="129">
        <v>590</v>
      </c>
      <c r="G39" s="30"/>
      <c r="I39" s="69"/>
      <c r="J39" s="69"/>
    </row>
    <row r="40" spans="1:10" s="70" customFormat="1" ht="12.75" customHeight="1" x14ac:dyDescent="0.2">
      <c r="A40" s="127">
        <v>45099</v>
      </c>
      <c r="B40" s="128" t="s">
        <v>11</v>
      </c>
      <c r="C40" s="76" t="s">
        <v>64</v>
      </c>
      <c r="D40" s="126" t="s">
        <v>29</v>
      </c>
      <c r="E40" s="129"/>
      <c r="F40" s="70">
        <v>14354.689999999999</v>
      </c>
      <c r="G40" s="30"/>
      <c r="I40" s="69"/>
      <c r="J40" s="69"/>
    </row>
    <row r="41" spans="1:10" s="70" customFormat="1" ht="12.75" customHeight="1" x14ac:dyDescent="0.2">
      <c r="A41" s="127">
        <v>45099</v>
      </c>
      <c r="B41" s="128" t="s">
        <v>11</v>
      </c>
      <c r="C41" s="76" t="s">
        <v>402</v>
      </c>
      <c r="D41" s="126" t="s">
        <v>29</v>
      </c>
      <c r="E41" s="129"/>
      <c r="F41" s="70">
        <v>300000</v>
      </c>
      <c r="G41" s="30"/>
      <c r="I41" s="69"/>
      <c r="J41" s="69"/>
    </row>
    <row r="42" spans="1:10" s="70" customFormat="1" ht="12.75" customHeight="1" x14ac:dyDescent="0.2">
      <c r="A42" s="127">
        <v>45099</v>
      </c>
      <c r="B42" s="128" t="s">
        <v>11</v>
      </c>
      <c r="C42" s="76" t="s">
        <v>440</v>
      </c>
      <c r="D42" s="126" t="s">
        <v>29</v>
      </c>
      <c r="E42" s="129"/>
      <c r="F42" s="70">
        <v>106568</v>
      </c>
      <c r="G42" s="30"/>
      <c r="I42" s="69"/>
      <c r="J42" s="69"/>
    </row>
    <row r="43" spans="1:10" s="70" customFormat="1" ht="12.75" customHeight="1" x14ac:dyDescent="0.2">
      <c r="A43" s="127">
        <v>45099</v>
      </c>
      <c r="B43" s="128" t="s">
        <v>11</v>
      </c>
      <c r="C43" s="76" t="s">
        <v>256</v>
      </c>
      <c r="D43" s="126" t="s">
        <v>29</v>
      </c>
      <c r="E43" s="129"/>
      <c r="F43" s="70">
        <v>558078</v>
      </c>
      <c r="G43" s="30"/>
      <c r="I43" s="69"/>
      <c r="J43" s="69"/>
    </row>
    <row r="44" spans="1:10" s="70" customFormat="1" ht="12.75" customHeight="1" x14ac:dyDescent="0.2">
      <c r="A44" s="127">
        <v>45099</v>
      </c>
      <c r="B44" s="128" t="s">
        <v>11</v>
      </c>
      <c r="C44" s="76" t="s">
        <v>437</v>
      </c>
      <c r="D44" s="126" t="s">
        <v>29</v>
      </c>
      <c r="E44" s="129"/>
      <c r="F44" s="70">
        <v>59141</v>
      </c>
      <c r="G44" s="30"/>
      <c r="I44" s="69"/>
      <c r="J44" s="69"/>
    </row>
    <row r="45" spans="1:10" s="70" customFormat="1" ht="12.75" customHeight="1" x14ac:dyDescent="0.2">
      <c r="A45" s="127">
        <v>45099</v>
      </c>
      <c r="B45" s="128" t="s">
        <v>11</v>
      </c>
      <c r="C45" s="76" t="s">
        <v>339</v>
      </c>
      <c r="D45" s="126" t="s">
        <v>29</v>
      </c>
      <c r="E45" s="129"/>
      <c r="F45" s="70">
        <v>6431</v>
      </c>
      <c r="G45" s="30"/>
      <c r="I45" s="69"/>
      <c r="J45" s="69"/>
    </row>
    <row r="46" spans="1:10" s="70" customFormat="1" ht="12.75" customHeight="1" x14ac:dyDescent="0.2">
      <c r="A46" s="127">
        <v>45099</v>
      </c>
      <c r="B46" s="128" t="s">
        <v>11</v>
      </c>
      <c r="C46" s="76" t="s">
        <v>609</v>
      </c>
      <c r="D46" s="126" t="s">
        <v>29</v>
      </c>
      <c r="E46" s="129"/>
      <c r="F46" s="70">
        <v>36741</v>
      </c>
      <c r="G46" s="30"/>
      <c r="I46" s="69"/>
      <c r="J46" s="69"/>
    </row>
    <row r="47" spans="1:10" s="70" customFormat="1" ht="12.75" customHeight="1" x14ac:dyDescent="0.2">
      <c r="A47" s="127">
        <v>45099</v>
      </c>
      <c r="B47" s="128" t="s">
        <v>11</v>
      </c>
      <c r="C47" s="76" t="s">
        <v>685</v>
      </c>
      <c r="D47" s="126" t="s">
        <v>29</v>
      </c>
      <c r="E47" s="129"/>
      <c r="F47" s="70">
        <v>155701</v>
      </c>
      <c r="G47" s="30"/>
      <c r="I47" s="69"/>
      <c r="J47" s="69"/>
    </row>
    <row r="48" spans="1:10" s="70" customFormat="1" ht="12.75" customHeight="1" x14ac:dyDescent="0.2">
      <c r="A48" s="127">
        <v>45099</v>
      </c>
      <c r="B48" s="128" t="s">
        <v>11</v>
      </c>
      <c r="C48" s="76" t="s">
        <v>62</v>
      </c>
      <c r="D48" s="126" t="s">
        <v>29</v>
      </c>
      <c r="E48" s="129"/>
      <c r="F48" s="70">
        <v>40000</v>
      </c>
      <c r="G48" s="30"/>
      <c r="I48" s="69"/>
      <c r="J48" s="69"/>
    </row>
    <row r="49" spans="1:13" s="70" customFormat="1" ht="12.75" customHeight="1" x14ac:dyDescent="0.2">
      <c r="A49" s="127">
        <v>45099</v>
      </c>
      <c r="B49" s="128" t="s">
        <v>11</v>
      </c>
      <c r="C49" s="76" t="s">
        <v>496</v>
      </c>
      <c r="D49" s="126" t="s">
        <v>29</v>
      </c>
      <c r="E49" s="129"/>
      <c r="F49" s="70">
        <v>368160</v>
      </c>
      <c r="G49" s="30"/>
      <c r="I49" s="69"/>
      <c r="J49" s="69"/>
    </row>
    <row r="50" spans="1:13" s="70" customFormat="1" ht="12.75" customHeight="1" x14ac:dyDescent="0.2">
      <c r="A50" s="127">
        <v>45099</v>
      </c>
      <c r="B50" s="128" t="s">
        <v>11</v>
      </c>
      <c r="C50" s="76" t="s">
        <v>696</v>
      </c>
      <c r="D50" s="126" t="s">
        <v>29</v>
      </c>
      <c r="E50" s="129"/>
      <c r="F50" s="70">
        <v>2184192</v>
      </c>
      <c r="G50" s="30"/>
      <c r="I50" s="69"/>
      <c r="J50" s="69"/>
    </row>
    <row r="51" spans="1:13" s="70" customFormat="1" ht="12.75" customHeight="1" x14ac:dyDescent="0.2">
      <c r="A51" s="127">
        <v>45099</v>
      </c>
      <c r="B51" s="128" t="s">
        <v>11</v>
      </c>
      <c r="C51" s="76" t="s">
        <v>998</v>
      </c>
      <c r="D51" s="126" t="s">
        <v>29</v>
      </c>
      <c r="E51" s="129"/>
      <c r="F51" s="70">
        <v>3049705.17</v>
      </c>
      <c r="G51" s="30"/>
      <c r="I51" s="69"/>
      <c r="J51" s="69"/>
    </row>
    <row r="52" spans="1:13" s="70" customFormat="1" ht="12.75" customHeight="1" x14ac:dyDescent="0.2">
      <c r="A52" s="127">
        <v>45099</v>
      </c>
      <c r="B52" s="128" t="s">
        <v>11</v>
      </c>
      <c r="C52" s="76" t="s">
        <v>368</v>
      </c>
      <c r="D52" s="126" t="s">
        <v>29</v>
      </c>
      <c r="E52" s="129"/>
      <c r="F52" s="70">
        <v>983447</v>
      </c>
      <c r="G52" s="30"/>
      <c r="I52" s="69"/>
      <c r="J52" s="69"/>
    </row>
    <row r="53" spans="1:13" s="70" customFormat="1" ht="12.75" customHeight="1" x14ac:dyDescent="0.2">
      <c r="A53" s="127">
        <v>45099</v>
      </c>
      <c r="B53" s="128" t="s">
        <v>11</v>
      </c>
      <c r="C53" s="76" t="s">
        <v>63</v>
      </c>
      <c r="D53" s="126" t="s">
        <v>29</v>
      </c>
      <c r="E53" s="129"/>
      <c r="F53" s="70">
        <v>11000000</v>
      </c>
      <c r="G53" s="30"/>
      <c r="I53" s="69"/>
      <c r="J53" s="69"/>
    </row>
    <row r="54" spans="1:13" s="70" customFormat="1" ht="12.75" customHeight="1" x14ac:dyDescent="0.2">
      <c r="A54" s="127">
        <v>45099</v>
      </c>
      <c r="B54" s="128" t="s">
        <v>11</v>
      </c>
      <c r="C54" s="76" t="s">
        <v>1121</v>
      </c>
      <c r="D54" s="126" t="s">
        <v>29</v>
      </c>
      <c r="E54" s="129"/>
      <c r="F54" s="70">
        <v>59309</v>
      </c>
      <c r="G54" s="30"/>
      <c r="I54" s="69"/>
      <c r="J54" s="69"/>
    </row>
    <row r="55" spans="1:13" s="70" customFormat="1" ht="12.75" customHeight="1" x14ac:dyDescent="0.2">
      <c r="A55" s="127">
        <v>45099</v>
      </c>
      <c r="B55" s="128" t="s">
        <v>11</v>
      </c>
      <c r="C55" s="76" t="s">
        <v>57</v>
      </c>
      <c r="D55" s="126" t="s">
        <v>29</v>
      </c>
      <c r="E55" s="129"/>
      <c r="F55" s="70">
        <v>1500000</v>
      </c>
      <c r="G55" s="30"/>
      <c r="I55" s="69"/>
      <c r="J55" s="69"/>
    </row>
    <row r="56" spans="1:13" s="70" customFormat="1" ht="12.75" customHeight="1" x14ac:dyDescent="0.2">
      <c r="A56" s="127">
        <v>45099</v>
      </c>
      <c r="B56" s="128" t="s">
        <v>11</v>
      </c>
      <c r="C56" s="76" t="s">
        <v>194</v>
      </c>
      <c r="D56" s="126" t="s">
        <v>29</v>
      </c>
      <c r="E56" s="129"/>
      <c r="F56" s="70">
        <v>821922</v>
      </c>
      <c r="G56" s="30"/>
      <c r="I56" s="69"/>
      <c r="J56" s="69"/>
    </row>
    <row r="57" spans="1:13" s="70" customFormat="1" ht="12.75" customHeight="1" x14ac:dyDescent="0.2">
      <c r="A57" s="127">
        <v>45099</v>
      </c>
      <c r="B57" s="128" t="s">
        <v>11</v>
      </c>
      <c r="C57" s="76" t="s">
        <v>790</v>
      </c>
      <c r="D57" s="126" t="s">
        <v>29</v>
      </c>
      <c r="E57" s="129"/>
      <c r="F57" s="70">
        <v>502934</v>
      </c>
      <c r="G57" s="30"/>
      <c r="I57" s="69"/>
      <c r="J57" s="69"/>
    </row>
    <row r="58" spans="1:13" s="70" customFormat="1" ht="12.75" customHeight="1" x14ac:dyDescent="0.2">
      <c r="A58" s="127">
        <v>45099</v>
      </c>
      <c r="B58" s="128" t="s">
        <v>11</v>
      </c>
      <c r="C58" s="76" t="s">
        <v>849</v>
      </c>
      <c r="D58" s="126" t="s">
        <v>29</v>
      </c>
      <c r="E58" s="129"/>
      <c r="F58" s="70">
        <v>311751.5</v>
      </c>
      <c r="G58" s="30"/>
      <c r="I58" s="69"/>
      <c r="J58" s="69"/>
    </row>
    <row r="59" spans="1:13" s="70" customFormat="1" ht="12.75" customHeight="1" x14ac:dyDescent="0.2">
      <c r="A59" s="127">
        <v>45099</v>
      </c>
      <c r="B59" s="128" t="s">
        <v>11</v>
      </c>
      <c r="C59" s="76" t="s">
        <v>745</v>
      </c>
      <c r="D59" s="126" t="s">
        <v>29</v>
      </c>
      <c r="E59" s="129"/>
      <c r="F59" s="70">
        <v>513131</v>
      </c>
      <c r="G59" s="30"/>
      <c r="I59" s="69"/>
      <c r="J59" s="69"/>
    </row>
    <row r="60" spans="1:13" s="70" customFormat="1" ht="12.75" customHeight="1" x14ac:dyDescent="0.2">
      <c r="A60" s="127">
        <v>45099</v>
      </c>
      <c r="B60" s="128" t="s">
        <v>11</v>
      </c>
      <c r="C60" s="76" t="s">
        <v>193</v>
      </c>
      <c r="D60" s="126" t="s">
        <v>29</v>
      </c>
      <c r="E60" s="129"/>
      <c r="F60" s="70">
        <v>223392</v>
      </c>
      <c r="G60" s="30"/>
      <c r="I60" s="69"/>
      <c r="J60" s="69"/>
    </row>
    <row r="61" spans="1:13" s="70" customFormat="1" ht="12.75" customHeight="1" x14ac:dyDescent="0.2">
      <c r="A61" s="127">
        <v>45099</v>
      </c>
      <c r="B61" s="128" t="s">
        <v>11</v>
      </c>
      <c r="C61" s="76" t="s">
        <v>1058</v>
      </c>
      <c r="D61" s="126" t="s">
        <v>29</v>
      </c>
      <c r="E61" s="129"/>
      <c r="F61" s="70">
        <v>1153672</v>
      </c>
      <c r="G61" s="30"/>
      <c r="I61" s="69"/>
      <c r="J61" s="69"/>
    </row>
    <row r="62" spans="1:13" s="70" customFormat="1" ht="12.75" customHeight="1" x14ac:dyDescent="0.2">
      <c r="A62" s="127">
        <v>45099</v>
      </c>
      <c r="B62" s="128" t="s">
        <v>11</v>
      </c>
      <c r="C62" s="76" t="s">
        <v>96</v>
      </c>
      <c r="D62" s="126" t="s">
        <v>29</v>
      </c>
      <c r="E62" s="129"/>
      <c r="F62" s="70">
        <v>5736</v>
      </c>
      <c r="G62" s="30"/>
      <c r="I62" s="69"/>
      <c r="J62" s="69"/>
    </row>
    <row r="63" spans="1:13" s="2" customFormat="1" ht="12.75" customHeight="1" x14ac:dyDescent="0.25">
      <c r="A63" s="32"/>
      <c r="B63" s="33"/>
      <c r="C63" s="14"/>
      <c r="D63" s="34"/>
      <c r="E63" s="16">
        <f>SUM(E19:E62)</f>
        <v>8125896.1300000008</v>
      </c>
      <c r="F63" s="16">
        <f>SUM(F19:F62)</f>
        <v>297124252.81999975</v>
      </c>
      <c r="G63" s="30"/>
      <c r="H63" s="1"/>
      <c r="I63" s="39">
        <v>288998356.69</v>
      </c>
      <c r="K63" s="92">
        <f>E64-I63</f>
        <v>0</v>
      </c>
      <c r="L63" s="41"/>
      <c r="M63" s="42"/>
    </row>
    <row r="64" spans="1:13" s="2" customFormat="1" ht="12.75" customHeight="1" x14ac:dyDescent="0.2">
      <c r="A64" s="36"/>
      <c r="B64" s="28" t="s">
        <v>11</v>
      </c>
      <c r="C64" s="19" t="s">
        <v>65</v>
      </c>
      <c r="D64" s="37"/>
      <c r="E64" s="38">
        <f>F63-E63</f>
        <v>288998356.68999976</v>
      </c>
      <c r="F64" s="22"/>
      <c r="G64" s="1"/>
      <c r="H64" s="1"/>
      <c r="J64" s="1"/>
      <c r="K64" s="1"/>
      <c r="L64" s="1"/>
      <c r="M64" s="1"/>
    </row>
    <row r="65" spans="1:14" s="2" customFormat="1" ht="12.75" customHeight="1" x14ac:dyDescent="0.2">
      <c r="A65" s="36"/>
      <c r="B65" s="28" t="s">
        <v>66</v>
      </c>
      <c r="C65" s="43" t="s">
        <v>67</v>
      </c>
      <c r="D65" s="43"/>
      <c r="E65" s="12">
        <v>59416310</v>
      </c>
      <c r="F65" s="22"/>
      <c r="G65" s="1"/>
      <c r="H65" s="40"/>
      <c r="I65" s="45">
        <v>3148.89</v>
      </c>
      <c r="J65" s="46"/>
      <c r="K65" s="46"/>
      <c r="L65" s="13"/>
    </row>
    <row r="66" spans="1:14" s="2" customFormat="1" ht="12.75" customHeight="1" x14ac:dyDescent="0.25">
      <c r="A66" s="36"/>
      <c r="B66" s="28"/>
      <c r="C66" s="44" t="s">
        <v>68</v>
      </c>
      <c r="D66" s="43"/>
      <c r="E66" s="7">
        <f>E64+E65</f>
        <v>348414666.68999976</v>
      </c>
      <c r="F66" s="22"/>
      <c r="G66" s="1"/>
      <c r="H66" s="103" t="s">
        <v>69</v>
      </c>
      <c r="I66" s="45">
        <v>-81.81</v>
      </c>
      <c r="J66" s="46"/>
      <c r="K66" s="46"/>
      <c r="N66" s="1"/>
    </row>
    <row r="67" spans="1:14" s="2" customFormat="1" x14ac:dyDescent="0.2">
      <c r="A67" s="24"/>
      <c r="B67" s="1"/>
      <c r="C67" s="14"/>
      <c r="D67" s="25"/>
      <c r="E67" s="1"/>
      <c r="H67" s="35" t="s">
        <v>70</v>
      </c>
      <c r="I67" s="45">
        <f>4.6+54.96</f>
        <v>59.56</v>
      </c>
      <c r="J67" s="46">
        <f>+I68-D70</f>
        <v>0</v>
      </c>
      <c r="M67" s="2" t="s">
        <v>396</v>
      </c>
      <c r="N67" s="1"/>
    </row>
    <row r="68" spans="1:14" x14ac:dyDescent="0.2">
      <c r="C68" s="56"/>
      <c r="D68" s="56"/>
      <c r="E68" s="104"/>
      <c r="I68" s="49">
        <f>SUM(I65:I67)</f>
        <v>3126.64</v>
      </c>
      <c r="J68" s="46"/>
      <c r="K68" s="46"/>
      <c r="L68" s="2"/>
      <c r="M68" s="2"/>
      <c r="N68" s="2"/>
    </row>
    <row r="69" spans="1:14" x14ac:dyDescent="0.2">
      <c r="C69" s="78" t="s">
        <v>575</v>
      </c>
      <c r="D69" s="48" t="s">
        <v>576</v>
      </c>
      <c r="E69" s="104"/>
      <c r="I69" s="2"/>
      <c r="J69" s="2"/>
      <c r="K69" s="2"/>
      <c r="L69" s="2"/>
      <c r="M69" s="2"/>
      <c r="N69" s="2"/>
    </row>
    <row r="70" spans="1:14" s="2" customFormat="1" x14ac:dyDescent="0.2">
      <c r="A70" s="24"/>
      <c r="B70" s="1"/>
      <c r="C70" s="47" t="s">
        <v>570</v>
      </c>
      <c r="D70" s="111">
        <v>3126.64</v>
      </c>
      <c r="E70" s="104"/>
      <c r="G70" s="1"/>
      <c r="H70" s="110" t="s">
        <v>581</v>
      </c>
      <c r="N70" s="2" t="s">
        <v>535</v>
      </c>
    </row>
    <row r="71" spans="1:14" s="2" customFormat="1" x14ac:dyDescent="0.2">
      <c r="A71" s="24"/>
      <c r="B71" s="1"/>
      <c r="C71" s="47" t="s">
        <v>931</v>
      </c>
      <c r="D71" s="111">
        <v>386.3</v>
      </c>
      <c r="E71" s="104"/>
      <c r="G71" s="1"/>
      <c r="H71" s="110" t="s">
        <v>580</v>
      </c>
    </row>
    <row r="72" spans="1:14" s="2" customFormat="1" x14ac:dyDescent="0.2">
      <c r="A72" s="24"/>
      <c r="B72" s="1"/>
      <c r="C72" s="47" t="s">
        <v>572</v>
      </c>
      <c r="D72" s="111">
        <f>+D118/100000</f>
        <v>496.22917460000002</v>
      </c>
      <c r="E72" s="104"/>
      <c r="G72" s="1"/>
      <c r="H72" s="90" t="s">
        <v>587</v>
      </c>
    </row>
    <row r="73" spans="1:14" s="2" customFormat="1" x14ac:dyDescent="0.2">
      <c r="A73" s="24"/>
      <c r="B73" s="1"/>
      <c r="C73" s="108" t="s">
        <v>578</v>
      </c>
      <c r="D73" s="48">
        <f>SUM(D70:D72)</f>
        <v>4009.1691746000001</v>
      </c>
      <c r="E73" s="104"/>
      <c r="G73" s="1"/>
    </row>
    <row r="74" spans="1:14" s="2" customFormat="1" x14ac:dyDescent="0.2">
      <c r="A74" s="24"/>
      <c r="B74" s="1"/>
      <c r="C74" s="47"/>
      <c r="D74" s="107"/>
      <c r="E74" s="104"/>
      <c r="G74" s="1"/>
    </row>
    <row r="75" spans="1:14" s="2" customFormat="1" x14ac:dyDescent="0.2">
      <c r="A75" s="24"/>
      <c r="B75" s="1"/>
      <c r="C75" s="47" t="s">
        <v>932</v>
      </c>
      <c r="D75" s="111">
        <v>303.36</v>
      </c>
      <c r="E75" s="104"/>
      <c r="G75" s="1"/>
      <c r="H75" s="110" t="s">
        <v>581</v>
      </c>
    </row>
    <row r="76" spans="1:14" s="2" customFormat="1" x14ac:dyDescent="0.2">
      <c r="A76" s="24"/>
      <c r="B76" s="1"/>
      <c r="C76" s="47" t="s">
        <v>933</v>
      </c>
      <c r="D76" s="111">
        <f>179.5+333.47-183.11</f>
        <v>329.86</v>
      </c>
      <c r="E76" s="104"/>
      <c r="G76" s="1"/>
      <c r="H76" s="110" t="s">
        <v>581</v>
      </c>
      <c r="J76" s="114" t="s">
        <v>713</v>
      </c>
    </row>
    <row r="77" spans="1:14" s="2" customFormat="1" x14ac:dyDescent="0.2">
      <c r="A77" s="24"/>
      <c r="B77" s="1"/>
      <c r="C77" s="78" t="s">
        <v>579</v>
      </c>
      <c r="D77" s="109">
        <f>D75+D76</f>
        <v>633.22</v>
      </c>
      <c r="E77" s="104"/>
      <c r="G77" s="1"/>
      <c r="I77" s="113"/>
      <c r="J77" s="113" t="s">
        <v>709</v>
      </c>
      <c r="K77" s="113" t="s">
        <v>710</v>
      </c>
      <c r="L77" s="113" t="s">
        <v>711</v>
      </c>
      <c r="M77" s="113" t="s">
        <v>712</v>
      </c>
    </row>
    <row r="78" spans="1:14" s="2" customFormat="1" x14ac:dyDescent="0.2">
      <c r="A78" s="24"/>
      <c r="B78" s="1"/>
      <c r="C78" s="105"/>
      <c r="D78" s="106"/>
      <c r="E78" s="104"/>
      <c r="G78" s="1"/>
      <c r="I78" s="113" t="s">
        <v>706</v>
      </c>
      <c r="J78" s="115"/>
      <c r="K78" s="115">
        <v>968.99</v>
      </c>
      <c r="L78" s="115">
        <v>968.99</v>
      </c>
      <c r="M78" s="113">
        <f>+J78+L78-K78</f>
        <v>0</v>
      </c>
    </row>
    <row r="79" spans="1:14" s="2" customFormat="1" x14ac:dyDescent="0.2">
      <c r="A79" s="24"/>
      <c r="B79" s="1"/>
      <c r="C79" s="78" t="s">
        <v>577</v>
      </c>
      <c r="D79" s="109">
        <f>D70+D77</f>
        <v>3759.8599999999997</v>
      </c>
      <c r="E79" s="104"/>
      <c r="G79" s="1"/>
      <c r="I79" s="113" t="s">
        <v>707</v>
      </c>
      <c r="J79" s="115">
        <v>183.1</v>
      </c>
      <c r="K79" s="115">
        <v>2347.27</v>
      </c>
      <c r="L79" s="115">
        <v>3096.17</v>
      </c>
      <c r="M79" s="113">
        <f>+J79+L79-K79</f>
        <v>932</v>
      </c>
    </row>
    <row r="80" spans="1:14" s="2" customFormat="1" x14ac:dyDescent="0.2">
      <c r="A80" s="24"/>
      <c r="B80" s="1"/>
      <c r="C80" s="56"/>
      <c r="D80" s="56"/>
      <c r="E80" s="104"/>
      <c r="G80" s="1"/>
      <c r="I80" s="113" t="s">
        <v>708</v>
      </c>
      <c r="J80" s="115">
        <v>1371.02</v>
      </c>
      <c r="K80" s="115">
        <v>12278.95</v>
      </c>
      <c r="L80" s="115">
        <v>12259.56</v>
      </c>
      <c r="M80" s="113">
        <f>+J80+L80-K80</f>
        <v>1351.6299999999992</v>
      </c>
    </row>
    <row r="81" spans="1:13" s="2" customFormat="1" ht="38.25" x14ac:dyDescent="0.2">
      <c r="A81" s="24"/>
      <c r="B81" s="1"/>
      <c r="C81" s="79" t="str">
        <f>"Particulars ( 01-04-2021 to "&amp;TEXT(A5,"dd-mm-yyyy")&amp;" )"</f>
        <v>Particulars ( 01-04-2021 to 22-06-2023 )</v>
      </c>
      <c r="D81" s="80" t="s">
        <v>73</v>
      </c>
      <c r="E81" s="80" t="s">
        <v>74</v>
      </c>
      <c r="F81" s="81" t="s">
        <v>75</v>
      </c>
      <c r="G81" s="80" t="s">
        <v>76</v>
      </c>
      <c r="J81" s="118">
        <f>SUM(J78:J80)</f>
        <v>1554.12</v>
      </c>
      <c r="K81" s="118">
        <f>SUM(K78:K80)</f>
        <v>15595.210000000001</v>
      </c>
      <c r="L81" s="118">
        <f>SUM(L78:L80)</f>
        <v>16324.72</v>
      </c>
      <c r="M81" s="118">
        <f>SUM(M78:M80)</f>
        <v>2283.6299999999992</v>
      </c>
    </row>
    <row r="82" spans="1:13" s="2" customFormat="1" x14ac:dyDescent="0.2">
      <c r="A82" s="24"/>
      <c r="B82" s="1"/>
      <c r="C82" s="50" t="s">
        <v>444</v>
      </c>
      <c r="D82" s="55">
        <f>+L78+L79+J79</f>
        <v>4248.26</v>
      </c>
      <c r="E82" s="55">
        <f>+K78+K79</f>
        <v>3316.26</v>
      </c>
      <c r="F82" s="55">
        <f>+D82-E82</f>
        <v>932</v>
      </c>
      <c r="G82" s="55">
        <f>1500-F82</f>
        <v>568</v>
      </c>
      <c r="H82" s="2" t="s">
        <v>396</v>
      </c>
    </row>
    <row r="83" spans="1:13" s="2" customFormat="1" x14ac:dyDescent="0.2">
      <c r="A83" s="24"/>
      <c r="B83" s="1"/>
      <c r="C83" s="50" t="s">
        <v>71</v>
      </c>
      <c r="D83" s="55">
        <f>+J80+L80</f>
        <v>13630.58</v>
      </c>
      <c r="E83" s="55">
        <f>+K80</f>
        <v>12278.95</v>
      </c>
      <c r="F83" s="55">
        <f>+D83-E83</f>
        <v>1351.6299999999992</v>
      </c>
      <c r="G83" s="55">
        <f>1500+700-F83</f>
        <v>848.3700000000008</v>
      </c>
      <c r="H83" s="2" t="s">
        <v>396</v>
      </c>
    </row>
    <row r="84" spans="1:13" s="2" customFormat="1" x14ac:dyDescent="0.2">
      <c r="A84" s="24"/>
      <c r="B84" s="1"/>
      <c r="C84" s="14"/>
      <c r="D84" s="56"/>
      <c r="E84" s="13"/>
      <c r="G84" s="1"/>
    </row>
    <row r="85" spans="1:13" s="2" customFormat="1" x14ac:dyDescent="0.2">
      <c r="A85" s="215" t="s">
        <v>80</v>
      </c>
      <c r="B85" s="216"/>
      <c r="C85" s="216"/>
      <c r="D85" s="217"/>
      <c r="E85" s="69"/>
      <c r="F85" s="70"/>
      <c r="G85" s="1"/>
      <c r="H85" s="53"/>
    </row>
    <row r="86" spans="1:13" s="2" customFormat="1" x14ac:dyDescent="0.2">
      <c r="A86" s="71" t="s">
        <v>81</v>
      </c>
      <c r="B86" s="71"/>
      <c r="C86" s="72" t="s">
        <v>82</v>
      </c>
      <c r="D86" s="73" t="s">
        <v>83</v>
      </c>
      <c r="E86" s="69"/>
      <c r="F86" s="70"/>
      <c r="H86" s="53"/>
    </row>
    <row r="87" spans="1:13" s="2" customFormat="1" x14ac:dyDescent="0.2">
      <c r="A87" s="87">
        <v>45080</v>
      </c>
      <c r="B87" s="120" t="s">
        <v>1052</v>
      </c>
      <c r="C87" s="75" t="s">
        <v>86</v>
      </c>
      <c r="D87" s="88">
        <v>163799</v>
      </c>
      <c r="G87" s="1"/>
      <c r="L87" s="1"/>
      <c r="M87" s="1"/>
    </row>
    <row r="88" spans="1:13" s="2" customFormat="1" x14ac:dyDescent="0.2">
      <c r="A88" s="87">
        <v>45080</v>
      </c>
      <c r="B88" s="120" t="s">
        <v>1052</v>
      </c>
      <c r="C88" s="75" t="s">
        <v>86</v>
      </c>
      <c r="D88" s="88">
        <v>1695107</v>
      </c>
      <c r="G88" s="1"/>
      <c r="L88" s="1"/>
      <c r="M88" s="1"/>
    </row>
    <row r="89" spans="1:13" s="2" customFormat="1" x14ac:dyDescent="0.2">
      <c r="A89" s="87">
        <v>45082</v>
      </c>
      <c r="B89" s="120" t="s">
        <v>1052</v>
      </c>
      <c r="C89" s="75" t="s">
        <v>87</v>
      </c>
      <c r="D89" s="88">
        <v>6627</v>
      </c>
      <c r="G89" s="1"/>
      <c r="L89" s="1"/>
      <c r="M89" s="1"/>
    </row>
    <row r="90" spans="1:13" s="2" customFormat="1" x14ac:dyDescent="0.2">
      <c r="A90" s="87">
        <v>45084</v>
      </c>
      <c r="B90" s="120" t="s">
        <v>1052</v>
      </c>
      <c r="C90" s="75" t="s">
        <v>87</v>
      </c>
      <c r="D90" s="88">
        <v>618395.80000000005</v>
      </c>
      <c r="G90" s="1"/>
      <c r="L90" s="1"/>
      <c r="M90" s="1"/>
    </row>
    <row r="91" spans="1:13" s="2" customFormat="1" x14ac:dyDescent="0.2">
      <c r="A91" s="87">
        <v>45085</v>
      </c>
      <c r="B91" s="120" t="s">
        <v>1052</v>
      </c>
      <c r="C91" s="75" t="s">
        <v>767</v>
      </c>
      <c r="D91" s="88">
        <v>407682</v>
      </c>
      <c r="G91" s="1"/>
      <c r="L91" s="1"/>
      <c r="M91" s="1"/>
    </row>
    <row r="92" spans="1:13" s="2" customFormat="1" x14ac:dyDescent="0.2">
      <c r="A92" s="87">
        <v>45086</v>
      </c>
      <c r="B92" s="120" t="s">
        <v>1052</v>
      </c>
      <c r="C92" s="75" t="s">
        <v>784</v>
      </c>
      <c r="D92" s="88">
        <v>1104724</v>
      </c>
      <c r="G92" s="1"/>
      <c r="L92" s="1"/>
      <c r="M92" s="1"/>
    </row>
    <row r="93" spans="1:13" s="2" customFormat="1" x14ac:dyDescent="0.2">
      <c r="A93" s="87">
        <v>45086</v>
      </c>
      <c r="B93" s="120" t="s">
        <v>1052</v>
      </c>
      <c r="C93" s="75" t="s">
        <v>86</v>
      </c>
      <c r="D93" s="88">
        <v>1756907</v>
      </c>
      <c r="G93" s="1"/>
      <c r="L93" s="1"/>
      <c r="M93" s="1"/>
    </row>
    <row r="94" spans="1:13" s="2" customFormat="1" x14ac:dyDescent="0.2">
      <c r="A94" s="87">
        <v>45086</v>
      </c>
      <c r="B94" s="120" t="s">
        <v>1052</v>
      </c>
      <c r="C94" s="75" t="s">
        <v>784</v>
      </c>
      <c r="D94" s="88">
        <v>1489874</v>
      </c>
      <c r="G94" s="1"/>
      <c r="L94" s="1"/>
      <c r="M94" s="1"/>
    </row>
    <row r="95" spans="1:13" s="2" customFormat="1" x14ac:dyDescent="0.2">
      <c r="A95" s="87">
        <v>45086</v>
      </c>
      <c r="B95" s="120" t="s">
        <v>1052</v>
      </c>
      <c r="C95" s="75" t="s">
        <v>201</v>
      </c>
      <c r="D95" s="88">
        <v>5000192.4400000004</v>
      </c>
      <c r="G95" s="1"/>
      <c r="L95" s="1"/>
      <c r="M95" s="1"/>
    </row>
    <row r="96" spans="1:13" s="2" customFormat="1" x14ac:dyDescent="0.2">
      <c r="A96" s="87">
        <v>45089</v>
      </c>
      <c r="B96" s="120" t="s">
        <v>1052</v>
      </c>
      <c r="C96" s="75" t="s">
        <v>566</v>
      </c>
      <c r="D96" s="88">
        <v>654429</v>
      </c>
      <c r="G96" s="1"/>
      <c r="L96" s="1"/>
      <c r="M96" s="1"/>
    </row>
    <row r="97" spans="1:13" s="2" customFormat="1" x14ac:dyDescent="0.2">
      <c r="A97" s="87">
        <v>45090</v>
      </c>
      <c r="B97" s="120" t="s">
        <v>1052</v>
      </c>
      <c r="C97" s="75" t="s">
        <v>566</v>
      </c>
      <c r="D97" s="88">
        <f>62180.5+9179</f>
        <v>71359.5</v>
      </c>
      <c r="G97" s="1"/>
      <c r="L97" s="1"/>
      <c r="M97" s="1"/>
    </row>
    <row r="98" spans="1:13" s="2" customFormat="1" x14ac:dyDescent="0.2">
      <c r="A98" s="87">
        <v>45090</v>
      </c>
      <c r="B98" s="120" t="s">
        <v>1052</v>
      </c>
      <c r="C98" s="75" t="s">
        <v>1084</v>
      </c>
      <c r="D98" s="88">
        <v>5353676</v>
      </c>
      <c r="G98" s="1"/>
      <c r="L98" s="1"/>
      <c r="M98" s="1"/>
    </row>
    <row r="99" spans="1:13" s="2" customFormat="1" x14ac:dyDescent="0.2">
      <c r="A99" s="87">
        <v>45091</v>
      </c>
      <c r="B99" s="120" t="s">
        <v>1052</v>
      </c>
      <c r="C99" s="75" t="s">
        <v>87</v>
      </c>
      <c r="D99" s="88">
        <v>1261201</v>
      </c>
      <c r="G99" s="1"/>
      <c r="L99" s="1"/>
      <c r="M99" s="1"/>
    </row>
    <row r="100" spans="1:13" s="2" customFormat="1" x14ac:dyDescent="0.2">
      <c r="A100" s="87">
        <v>45091</v>
      </c>
      <c r="B100" s="120" t="s">
        <v>1052</v>
      </c>
      <c r="C100" s="75" t="s">
        <v>1090</v>
      </c>
      <c r="D100" s="88">
        <v>1000000</v>
      </c>
      <c r="G100" s="1"/>
      <c r="L100" s="1"/>
      <c r="M100" s="1"/>
    </row>
    <row r="101" spans="1:13" s="2" customFormat="1" x14ac:dyDescent="0.2">
      <c r="A101" s="87">
        <v>45092</v>
      </c>
      <c r="B101" s="120" t="s">
        <v>1052</v>
      </c>
      <c r="C101" s="75" t="s">
        <v>271</v>
      </c>
      <c r="D101" s="88">
        <v>485258</v>
      </c>
      <c r="G101" s="1"/>
      <c r="L101" s="1"/>
      <c r="M101" s="1"/>
    </row>
    <row r="102" spans="1:13" s="2" customFormat="1" x14ac:dyDescent="0.2">
      <c r="A102" s="87">
        <v>45092</v>
      </c>
      <c r="B102" s="120" t="s">
        <v>1052</v>
      </c>
      <c r="C102" s="75" t="s">
        <v>767</v>
      </c>
      <c r="D102" s="88">
        <v>1074373</v>
      </c>
      <c r="G102" s="1"/>
      <c r="L102" s="1"/>
      <c r="M102" s="1"/>
    </row>
    <row r="103" spans="1:13" s="2" customFormat="1" x14ac:dyDescent="0.2">
      <c r="A103" s="87">
        <v>45094</v>
      </c>
      <c r="B103" s="120" t="s">
        <v>1052</v>
      </c>
      <c r="C103" s="75" t="s">
        <v>467</v>
      </c>
      <c r="D103" s="88">
        <v>2582806</v>
      </c>
      <c r="G103" s="1"/>
      <c r="L103" s="1"/>
      <c r="M103" s="1"/>
    </row>
    <row r="104" spans="1:13" s="2" customFormat="1" x14ac:dyDescent="0.2">
      <c r="A104" s="87">
        <v>45096</v>
      </c>
      <c r="B104" s="120" t="s">
        <v>1052</v>
      </c>
      <c r="C104" s="75" t="s">
        <v>85</v>
      </c>
      <c r="D104" s="88">
        <v>77650</v>
      </c>
      <c r="G104" s="1"/>
      <c r="L104" s="1"/>
      <c r="M104" s="1"/>
    </row>
    <row r="105" spans="1:13" s="2" customFormat="1" x14ac:dyDescent="0.2">
      <c r="A105" s="87">
        <v>45096</v>
      </c>
      <c r="B105" s="120" t="s">
        <v>1052</v>
      </c>
      <c r="C105" s="75" t="s">
        <v>270</v>
      </c>
      <c r="D105" s="88">
        <v>1475157</v>
      </c>
      <c r="G105" s="1"/>
      <c r="L105" s="1"/>
      <c r="M105" s="1"/>
    </row>
    <row r="106" spans="1:13" s="2" customFormat="1" x14ac:dyDescent="0.2">
      <c r="A106" s="87">
        <v>45096</v>
      </c>
      <c r="B106" s="120" t="s">
        <v>1052</v>
      </c>
      <c r="C106" s="75" t="s">
        <v>270</v>
      </c>
      <c r="D106" s="88">
        <v>741951</v>
      </c>
      <c r="G106" s="1"/>
      <c r="L106" s="1"/>
      <c r="M106" s="1"/>
    </row>
    <row r="107" spans="1:13" s="2" customFormat="1" x14ac:dyDescent="0.2">
      <c r="A107" s="87">
        <v>45096</v>
      </c>
      <c r="B107" s="120" t="s">
        <v>1052</v>
      </c>
      <c r="C107" s="75" t="s">
        <v>270</v>
      </c>
      <c r="D107" s="88">
        <v>1034388</v>
      </c>
      <c r="G107" s="1"/>
      <c r="L107" s="1"/>
      <c r="M107" s="1"/>
    </row>
    <row r="108" spans="1:13" s="2" customFormat="1" x14ac:dyDescent="0.2">
      <c r="A108" s="87">
        <v>45096</v>
      </c>
      <c r="B108" s="120" t="s">
        <v>1052</v>
      </c>
      <c r="C108" s="75" t="s">
        <v>270</v>
      </c>
      <c r="D108" s="88">
        <v>93897</v>
      </c>
      <c r="G108" s="1"/>
      <c r="L108" s="1"/>
      <c r="M108" s="1"/>
    </row>
    <row r="109" spans="1:13" s="2" customFormat="1" x14ac:dyDescent="0.2">
      <c r="A109" s="87">
        <v>45096</v>
      </c>
      <c r="B109" s="120" t="s">
        <v>1052</v>
      </c>
      <c r="C109" s="75" t="s">
        <v>270</v>
      </c>
      <c r="D109" s="88">
        <v>353700</v>
      </c>
      <c r="G109" s="1"/>
      <c r="L109" s="1"/>
      <c r="M109" s="1"/>
    </row>
    <row r="110" spans="1:13" s="2" customFormat="1" x14ac:dyDescent="0.2">
      <c r="A110" s="87">
        <v>45096</v>
      </c>
      <c r="B110" s="120" t="s">
        <v>1052</v>
      </c>
      <c r="C110" s="75" t="s">
        <v>270</v>
      </c>
      <c r="D110" s="88">
        <v>1205410</v>
      </c>
      <c r="G110" s="1"/>
      <c r="L110" s="1"/>
      <c r="M110" s="1"/>
    </row>
    <row r="111" spans="1:13" s="2" customFormat="1" x14ac:dyDescent="0.2">
      <c r="A111" s="87">
        <v>45096</v>
      </c>
      <c r="B111" s="120" t="s">
        <v>1052</v>
      </c>
      <c r="C111" s="75" t="s">
        <v>86</v>
      </c>
      <c r="D111" s="88">
        <v>5053085</v>
      </c>
      <c r="G111" s="1"/>
      <c r="L111" s="1"/>
      <c r="M111" s="1"/>
    </row>
    <row r="112" spans="1:13" s="2" customFormat="1" x14ac:dyDescent="0.2">
      <c r="A112" s="87">
        <v>45096</v>
      </c>
      <c r="B112" s="120" t="s">
        <v>1052</v>
      </c>
      <c r="C112" s="75" t="s">
        <v>1116</v>
      </c>
      <c r="D112" s="88">
        <v>1962959.72</v>
      </c>
      <c r="G112" s="1"/>
      <c r="L112" s="1"/>
      <c r="M112" s="1"/>
    </row>
    <row r="113" spans="1:13" s="2" customFormat="1" x14ac:dyDescent="0.2">
      <c r="A113" s="87">
        <v>45098</v>
      </c>
      <c r="B113" s="120" t="s">
        <v>1052</v>
      </c>
      <c r="C113" s="75" t="s">
        <v>86</v>
      </c>
      <c r="D113" s="88">
        <v>2350710</v>
      </c>
      <c r="G113" s="1"/>
      <c r="L113" s="1"/>
      <c r="M113" s="1"/>
    </row>
    <row r="114" spans="1:13" s="2" customFormat="1" x14ac:dyDescent="0.2">
      <c r="A114" s="87">
        <v>45098</v>
      </c>
      <c r="B114" s="120" t="s">
        <v>1052</v>
      </c>
      <c r="C114" s="75" t="s">
        <v>86</v>
      </c>
      <c r="D114" s="88">
        <v>980606</v>
      </c>
      <c r="G114" s="1"/>
      <c r="L114" s="1"/>
      <c r="M114" s="1"/>
    </row>
    <row r="115" spans="1:13" s="2" customFormat="1" x14ac:dyDescent="0.2">
      <c r="A115" s="87">
        <v>45099</v>
      </c>
      <c r="B115" s="120" t="s">
        <v>1052</v>
      </c>
      <c r="C115" s="75" t="s">
        <v>18</v>
      </c>
      <c r="D115" s="88">
        <v>466628</v>
      </c>
      <c r="G115" s="1"/>
      <c r="L115" s="1"/>
      <c r="M115" s="1"/>
    </row>
    <row r="116" spans="1:13" s="2" customFormat="1" x14ac:dyDescent="0.2">
      <c r="A116" s="87">
        <v>45099</v>
      </c>
      <c r="B116" s="120" t="s">
        <v>1052</v>
      </c>
      <c r="C116" s="75" t="s">
        <v>594</v>
      </c>
      <c r="D116" s="88">
        <v>7600365</v>
      </c>
      <c r="G116" s="1"/>
      <c r="L116" s="1"/>
      <c r="M116" s="1"/>
    </row>
    <row r="117" spans="1:13" s="2" customFormat="1" x14ac:dyDescent="0.2">
      <c r="A117" s="87">
        <v>45099</v>
      </c>
      <c r="B117" s="120" t="s">
        <v>1052</v>
      </c>
      <c r="C117" s="75" t="s">
        <v>84</v>
      </c>
      <c r="D117" s="88">
        <v>1500000</v>
      </c>
      <c r="G117" s="1"/>
      <c r="L117" s="1"/>
      <c r="M117" s="1"/>
    </row>
    <row r="118" spans="1:13" s="2" customFormat="1" x14ac:dyDescent="0.2">
      <c r="A118" s="87"/>
      <c r="B118" s="74"/>
      <c r="C118" s="75"/>
      <c r="D118" s="51">
        <f>SUM(D87:D117)</f>
        <v>49622917.460000001</v>
      </c>
      <c r="F118" s="2" t="s">
        <v>396</v>
      </c>
      <c r="G118" s="1"/>
      <c r="L118" s="1"/>
      <c r="M118" s="1"/>
    </row>
    <row r="119" spans="1:13" s="2" customFormat="1" x14ac:dyDescent="0.2">
      <c r="A119" s="24"/>
      <c r="B119" s="1"/>
      <c r="C119" s="14"/>
      <c r="D119" s="56"/>
      <c r="E119" s="13"/>
      <c r="G119" s="1"/>
      <c r="L119" s="1"/>
      <c r="M119" s="1"/>
    </row>
    <row r="120" spans="1:13" s="2" customFormat="1" x14ac:dyDescent="0.2">
      <c r="A120" s="24"/>
      <c r="B120" s="1"/>
      <c r="C120" s="218" t="s">
        <v>77</v>
      </c>
      <c r="D120" s="219"/>
      <c r="E120" s="219"/>
      <c r="F120" s="220"/>
      <c r="G120" s="1"/>
      <c r="L120" s="1"/>
      <c r="M120" s="1"/>
    </row>
    <row r="121" spans="1:13" s="2" customFormat="1" x14ac:dyDescent="0.2">
      <c r="A121" s="24"/>
      <c r="B121" s="1"/>
      <c r="C121" s="50"/>
      <c r="D121" s="57" t="s">
        <v>78</v>
      </c>
      <c r="E121" s="58" t="s">
        <v>79</v>
      </c>
      <c r="F121" s="57" t="s">
        <v>72</v>
      </c>
      <c r="G121" s="1"/>
      <c r="I121" s="1"/>
      <c r="J121" s="1"/>
      <c r="K121" s="1"/>
      <c r="L121" s="1"/>
      <c r="M121" s="1"/>
    </row>
    <row r="122" spans="1:13" s="2" customFormat="1" x14ac:dyDescent="0.2">
      <c r="A122" s="24"/>
      <c r="B122" s="1"/>
      <c r="C122" s="59" t="str">
        <f>"01-06-2023 to "&amp;TEXT(A5-2,"dd-mm-yyyy")</f>
        <v>01-06-2023 to 20-06-2023</v>
      </c>
      <c r="D122" s="60">
        <v>3926.84</v>
      </c>
      <c r="E122" s="60">
        <v>137.94999999999999</v>
      </c>
      <c r="F122" s="61">
        <f>SUM(D122:E122)</f>
        <v>4064.79</v>
      </c>
      <c r="G122" s="1"/>
    </row>
    <row r="123" spans="1:13" s="2" customFormat="1" x14ac:dyDescent="0.2">
      <c r="A123" s="24"/>
      <c r="B123" s="1"/>
      <c r="C123" s="62" t="str">
        <f>TEXT(A5-1,"dd-mm-yyyy")</f>
        <v>21-06-2023</v>
      </c>
      <c r="D123" s="60">
        <v>178.75</v>
      </c>
      <c r="E123" s="60">
        <v>8.4700000000000006</v>
      </c>
      <c r="F123" s="61">
        <f>SUM(D123:E123)</f>
        <v>187.22</v>
      </c>
      <c r="G123" s="54"/>
      <c r="I123" s="1"/>
      <c r="J123" s="1"/>
      <c r="K123" s="1"/>
      <c r="L123" s="1"/>
      <c r="M123" s="1"/>
    </row>
    <row r="124" spans="1:13" s="2" customFormat="1" ht="13.5" thickBot="1" x14ac:dyDescent="0.25">
      <c r="A124" s="24"/>
      <c r="B124" s="1"/>
      <c r="C124" s="63" t="str">
        <f>"01-06-2023 to "&amp;TEXT(A5-1,"dd-mm-yyyy")</f>
        <v>01-06-2023 to 21-06-2023</v>
      </c>
      <c r="D124" s="64">
        <f>SUM(D122:D123)</f>
        <v>4105.59</v>
      </c>
      <c r="E124" s="64">
        <f>SUM(E122:E123)</f>
        <v>146.41999999999999</v>
      </c>
      <c r="F124" s="64">
        <f>SUM(F122:F123)</f>
        <v>4252.01</v>
      </c>
      <c r="G124" s="54"/>
      <c r="I124" s="1"/>
      <c r="J124" s="1"/>
      <c r="K124" s="1"/>
      <c r="L124" s="1"/>
      <c r="M124" s="1"/>
    </row>
    <row r="125" spans="1:13" s="2" customFormat="1" ht="13.5" thickTop="1" x14ac:dyDescent="0.2">
      <c r="A125" s="24"/>
      <c r="B125" s="1"/>
      <c r="C125" s="62"/>
      <c r="D125" s="65"/>
      <c r="E125" s="66"/>
      <c r="F125" s="67"/>
      <c r="G125" s="54"/>
      <c r="I125" s="1"/>
      <c r="J125" s="1"/>
      <c r="K125" s="1"/>
      <c r="L125" s="1"/>
      <c r="M125" s="1"/>
    </row>
    <row r="126" spans="1:13" s="2" customFormat="1" x14ac:dyDescent="0.2">
      <c r="A126" s="24"/>
      <c r="B126" s="1"/>
      <c r="C126" s="62" t="str">
        <f>"01-04-2023 to " &amp;C123</f>
        <v>01-04-2023 to 21-06-2023</v>
      </c>
      <c r="D126" s="68">
        <f>+D124+9224.33</f>
        <v>13329.92</v>
      </c>
      <c r="E126" s="68">
        <f>+E124+906.58</f>
        <v>1053</v>
      </c>
      <c r="F126" s="68">
        <f>+F124+10130.9</f>
        <v>14382.91</v>
      </c>
      <c r="G126" s="54"/>
      <c r="I126" s="1"/>
      <c r="J126" s="1"/>
      <c r="K126" s="1"/>
      <c r="L126" s="1"/>
      <c r="M126" s="1"/>
    </row>
    <row r="127" spans="1:13" x14ac:dyDescent="0.2">
      <c r="C127" s="52"/>
      <c r="D127" s="85"/>
      <c r="E127" s="53"/>
      <c r="F127" s="53"/>
      <c r="G127" s="54"/>
      <c r="H127" s="2" t="s">
        <v>396</v>
      </c>
    </row>
    <row r="128" spans="1:13" s="2" customFormat="1" x14ac:dyDescent="0.2">
      <c r="A128" s="24"/>
      <c r="B128" s="1"/>
      <c r="C128" s="52"/>
      <c r="D128" s="85"/>
      <c r="E128" s="53"/>
      <c r="F128" s="53"/>
      <c r="G128" s="54"/>
      <c r="H128" s="53"/>
    </row>
    <row r="129" spans="3:10" x14ac:dyDescent="0.2">
      <c r="C129" s="52"/>
      <c r="D129" s="85"/>
      <c r="E129" s="53"/>
      <c r="F129" s="53"/>
      <c r="G129" s="54"/>
      <c r="H129" s="53" t="s">
        <v>396</v>
      </c>
    </row>
    <row r="130" spans="3:10" x14ac:dyDescent="0.2">
      <c r="C130" s="52"/>
      <c r="D130" s="85"/>
      <c r="E130" s="53"/>
      <c r="F130" s="53"/>
      <c r="G130" s="54"/>
      <c r="H130" s="53" t="s">
        <v>396</v>
      </c>
      <c r="J130" s="42"/>
    </row>
    <row r="131" spans="3:10" x14ac:dyDescent="0.2">
      <c r="G131" s="54"/>
      <c r="H131" s="53"/>
      <c r="I131" s="101"/>
    </row>
    <row r="132" spans="3:10" x14ac:dyDescent="0.2">
      <c r="G132" s="54"/>
      <c r="H132" s="53"/>
    </row>
    <row r="133" spans="3:10" x14ac:dyDescent="0.2">
      <c r="G133" s="54"/>
      <c r="H133" s="53"/>
    </row>
    <row r="134" spans="3:10" x14ac:dyDescent="0.2">
      <c r="H134" s="53"/>
    </row>
  </sheetData>
  <mergeCells count="6">
    <mergeCell ref="C120:F120"/>
    <mergeCell ref="A1:G1"/>
    <mergeCell ref="A3:F3"/>
    <mergeCell ref="A11:F11"/>
    <mergeCell ref="A17:F17"/>
    <mergeCell ref="A85:D85"/>
  </mergeCells>
  <conditionalFormatting sqref="G82:G83">
    <cfRule type="cellIs" dxfId="468" priority="1" operator="lessThan">
      <formula>0</formula>
    </cfRule>
  </conditionalFormatting>
  <conditionalFormatting sqref="C19">
    <cfRule type="duplicateValues" dxfId="467" priority="2"/>
  </conditionalFormatting>
  <conditionalFormatting sqref="C20:C62">
    <cfRule type="duplicateValues" dxfId="466" priority="550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Sheet359">
    <pageSetUpPr fitToPage="1"/>
  </sheetPr>
  <dimension ref="A1:N131"/>
  <sheetViews>
    <sheetView topLeftCell="B49" zoomScaleNormal="100" workbookViewId="0">
      <selection activeCell="C46" sqref="C46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47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1122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45100</v>
      </c>
      <c r="B5" s="9" t="s">
        <v>6</v>
      </c>
      <c r="C5" s="10" t="s">
        <v>7</v>
      </c>
      <c r="D5" s="11"/>
      <c r="E5" s="12">
        <v>221548.70000000019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221548.70000000019</v>
      </c>
      <c r="F6" s="16">
        <f>F5</f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+E6-F6</f>
        <v>221548.70000000019</v>
      </c>
      <c r="F7" s="22"/>
      <c r="G7" s="23"/>
      <c r="H7" s="112"/>
      <c r="I7" s="112"/>
      <c r="J7" s="13"/>
    </row>
    <row r="8" spans="1:10" ht="12.75" customHeight="1" x14ac:dyDescent="0.4">
      <c r="H8" s="112"/>
      <c r="I8" s="112"/>
    </row>
    <row r="9" spans="1:10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12"/>
    </row>
    <row r="10" spans="1:10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12"/>
    </row>
    <row r="11" spans="1:10" s="2" customFormat="1" ht="14.25" customHeight="1" x14ac:dyDescent="0.2">
      <c r="A11" s="127">
        <v>45100</v>
      </c>
      <c r="B11" s="9" t="s">
        <v>6</v>
      </c>
      <c r="C11" s="10" t="s">
        <v>7</v>
      </c>
      <c r="D11" s="11"/>
      <c r="F11" s="12">
        <v>29813769.169999991</v>
      </c>
      <c r="G11" s="1"/>
      <c r="H11" s="130"/>
      <c r="I11" s="130"/>
    </row>
    <row r="12" spans="1:10" s="2" customFormat="1" ht="14.25" customHeight="1" x14ac:dyDescent="0.2">
      <c r="A12" s="127">
        <v>45100</v>
      </c>
      <c r="B12" s="9" t="s">
        <v>11</v>
      </c>
      <c r="C12" s="10" t="s">
        <v>951</v>
      </c>
      <c r="D12" s="126" t="s">
        <v>29</v>
      </c>
      <c r="F12" s="12">
        <v>4255</v>
      </c>
      <c r="G12" s="1"/>
      <c r="H12" s="130"/>
      <c r="I12" s="130"/>
    </row>
    <row r="13" spans="1:10" s="2" customFormat="1" ht="14.25" customHeight="1" x14ac:dyDescent="0.2">
      <c r="A13" s="127">
        <v>45100</v>
      </c>
      <c r="B13" s="9" t="s">
        <v>11</v>
      </c>
      <c r="C13" s="10" t="s">
        <v>287</v>
      </c>
      <c r="D13" s="126" t="s">
        <v>29</v>
      </c>
      <c r="F13" s="12">
        <v>13817</v>
      </c>
      <c r="G13" s="1"/>
      <c r="H13" s="130"/>
      <c r="I13" s="130"/>
    </row>
    <row r="14" spans="1:10" s="2" customFormat="1" ht="12.75" customHeight="1" x14ac:dyDescent="0.4">
      <c r="D14" s="15" t="s">
        <v>8</v>
      </c>
      <c r="E14" s="16">
        <f>E11</f>
        <v>0</v>
      </c>
      <c r="F14" s="16">
        <f>SUM(F11:F13)</f>
        <v>29831841.169999991</v>
      </c>
      <c r="G14" s="1"/>
      <c r="H14" s="112"/>
      <c r="I14" s="112"/>
    </row>
    <row r="15" spans="1:10" s="2" customFormat="1" ht="12.75" customHeight="1" x14ac:dyDescent="0.4">
      <c r="A15" s="17"/>
      <c r="B15" s="18"/>
      <c r="C15" s="96" t="s">
        <v>9</v>
      </c>
      <c r="D15" s="20"/>
      <c r="E15" s="21">
        <f>+F14-E14</f>
        <v>29831841.169999991</v>
      </c>
      <c r="G15" s="23"/>
      <c r="H15" s="112"/>
      <c r="I15" s="112"/>
      <c r="J15" s="13"/>
    </row>
    <row r="16" spans="1:10" s="2" customFormat="1" ht="12.75" customHeight="1" x14ac:dyDescent="0.4">
      <c r="A16" s="24"/>
      <c r="B16" s="1"/>
      <c r="C16" s="14"/>
      <c r="D16" s="25"/>
      <c r="G16" s="23"/>
      <c r="H16" s="112"/>
      <c r="I16" s="112"/>
      <c r="J16" s="13"/>
    </row>
    <row r="17" spans="1:10" s="2" customFormat="1" ht="21.75" customHeight="1" x14ac:dyDescent="0.4">
      <c r="A17" s="214" t="s">
        <v>10</v>
      </c>
      <c r="B17" s="214"/>
      <c r="C17" s="214"/>
      <c r="D17" s="214"/>
      <c r="E17" s="214"/>
      <c r="F17" s="214"/>
      <c r="G17" s="13"/>
      <c r="H17" s="112"/>
      <c r="I17" s="112"/>
      <c r="J17" s="13"/>
    </row>
    <row r="18" spans="1:10" s="2" customFormat="1" ht="12.75" customHeight="1" x14ac:dyDescent="0.4">
      <c r="A18" s="26" t="s">
        <v>1</v>
      </c>
      <c r="B18" s="27" t="s">
        <v>2</v>
      </c>
      <c r="C18" s="5"/>
      <c r="D18" s="6" t="s">
        <v>3</v>
      </c>
      <c r="E18" s="7" t="s">
        <v>4</v>
      </c>
      <c r="F18" s="7" t="s">
        <v>5</v>
      </c>
      <c r="G18" s="23"/>
      <c r="H18" s="112"/>
      <c r="I18" s="112"/>
      <c r="J18" s="13"/>
    </row>
    <row r="19" spans="1:10" s="2" customFormat="1" ht="12.75" customHeight="1" x14ac:dyDescent="0.2">
      <c r="A19" s="127">
        <v>45100</v>
      </c>
      <c r="B19" s="128" t="s">
        <v>11</v>
      </c>
      <c r="C19" s="29" t="s">
        <v>7</v>
      </c>
      <c r="D19" s="25"/>
      <c r="E19" s="31"/>
      <c r="F19" s="2">
        <v>288998356.68999976</v>
      </c>
      <c r="G19" s="30"/>
      <c r="I19" s="13"/>
      <c r="J19" s="13"/>
    </row>
    <row r="20" spans="1:10" s="70" customFormat="1" ht="12.75" customHeight="1" x14ac:dyDescent="0.2">
      <c r="A20" s="127">
        <v>45100</v>
      </c>
      <c r="B20" s="128" t="s">
        <v>6</v>
      </c>
      <c r="C20" s="76" t="s">
        <v>403</v>
      </c>
      <c r="D20" s="125" t="s">
        <v>13</v>
      </c>
      <c r="E20" s="129">
        <v>60222</v>
      </c>
      <c r="G20" s="30"/>
      <c r="I20" s="69"/>
      <c r="J20" s="69"/>
    </row>
    <row r="21" spans="1:10" s="70" customFormat="1" ht="12.75" customHeight="1" x14ac:dyDescent="0.2">
      <c r="A21" s="127">
        <v>45100</v>
      </c>
      <c r="B21" s="128" t="s">
        <v>6</v>
      </c>
      <c r="C21" s="76" t="s">
        <v>27</v>
      </c>
      <c r="D21" s="125" t="s">
        <v>13</v>
      </c>
      <c r="E21" s="129">
        <v>2503856.0099999993</v>
      </c>
      <c r="G21" s="30"/>
      <c r="I21" s="69"/>
      <c r="J21" s="69"/>
    </row>
    <row r="22" spans="1:10" s="70" customFormat="1" ht="12.75" customHeight="1" x14ac:dyDescent="0.2">
      <c r="A22" s="127">
        <v>45100</v>
      </c>
      <c r="B22" s="128" t="s">
        <v>6</v>
      </c>
      <c r="C22" s="76" t="s">
        <v>271</v>
      </c>
      <c r="D22" s="126" t="s">
        <v>13</v>
      </c>
      <c r="E22" s="129">
        <v>10961.5</v>
      </c>
      <c r="G22" s="30"/>
      <c r="I22" s="69"/>
      <c r="J22" s="69"/>
    </row>
    <row r="23" spans="1:10" s="70" customFormat="1" ht="12.75" customHeight="1" x14ac:dyDescent="0.2">
      <c r="A23" s="127">
        <v>45100</v>
      </c>
      <c r="B23" s="128" t="s">
        <v>6</v>
      </c>
      <c r="C23" s="76" t="s">
        <v>15</v>
      </c>
      <c r="D23" s="126" t="s">
        <v>13</v>
      </c>
      <c r="E23" s="129">
        <v>960094.84999999986</v>
      </c>
      <c r="G23" s="30"/>
      <c r="I23" s="69"/>
      <c r="J23" s="69"/>
    </row>
    <row r="24" spans="1:10" s="70" customFormat="1" ht="12.75" customHeight="1" x14ac:dyDescent="0.2">
      <c r="A24" s="127">
        <v>45100</v>
      </c>
      <c r="B24" s="128" t="s">
        <v>6</v>
      </c>
      <c r="C24" s="76" t="s">
        <v>413</v>
      </c>
      <c r="D24" s="126" t="s">
        <v>13</v>
      </c>
      <c r="E24" s="129">
        <v>40000</v>
      </c>
      <c r="G24" s="30"/>
      <c r="I24" s="69"/>
      <c r="J24" s="69"/>
    </row>
    <row r="25" spans="1:10" s="70" customFormat="1" ht="12.75" customHeight="1" x14ac:dyDescent="0.2">
      <c r="A25" s="127">
        <v>45100</v>
      </c>
      <c r="B25" s="128" t="s">
        <v>6</v>
      </c>
      <c r="C25" s="76" t="s">
        <v>103</v>
      </c>
      <c r="D25" s="126" t="s">
        <v>13</v>
      </c>
      <c r="E25" s="129">
        <v>45938</v>
      </c>
      <c r="G25" s="30"/>
      <c r="I25" s="69"/>
      <c r="J25" s="69"/>
    </row>
    <row r="26" spans="1:10" s="70" customFormat="1" ht="12.75" customHeight="1" x14ac:dyDescent="0.2">
      <c r="A26" s="127">
        <v>45100</v>
      </c>
      <c r="B26" s="128" t="s">
        <v>6</v>
      </c>
      <c r="C26" s="76" t="s">
        <v>1123</v>
      </c>
      <c r="D26" s="126" t="s">
        <v>13</v>
      </c>
      <c r="E26" s="129">
        <v>2909</v>
      </c>
      <c r="G26" s="30"/>
      <c r="I26" s="69"/>
      <c r="J26" s="69"/>
    </row>
    <row r="27" spans="1:10" s="70" customFormat="1" ht="12.75" customHeight="1" x14ac:dyDescent="0.2">
      <c r="A27" s="127">
        <v>45100</v>
      </c>
      <c r="B27" s="128" t="s">
        <v>6</v>
      </c>
      <c r="C27" s="76" t="s">
        <v>646</v>
      </c>
      <c r="D27" s="126" t="s">
        <v>13</v>
      </c>
      <c r="E27" s="129">
        <v>1136648</v>
      </c>
      <c r="G27" s="30"/>
      <c r="I27" s="69"/>
      <c r="J27" s="69"/>
    </row>
    <row r="28" spans="1:10" s="70" customFormat="1" ht="12.75" customHeight="1" x14ac:dyDescent="0.2">
      <c r="A28" s="127">
        <v>45100</v>
      </c>
      <c r="B28" s="128" t="s">
        <v>6</v>
      </c>
      <c r="C28" s="76" t="s">
        <v>551</v>
      </c>
      <c r="D28" s="126" t="s">
        <v>13</v>
      </c>
      <c r="E28" s="129">
        <v>6451</v>
      </c>
      <c r="G28" s="30"/>
      <c r="I28" s="69"/>
      <c r="J28" s="69"/>
    </row>
    <row r="29" spans="1:10" s="70" customFormat="1" ht="12.75" customHeight="1" x14ac:dyDescent="0.2">
      <c r="A29" s="127">
        <v>45100</v>
      </c>
      <c r="B29" s="128" t="s">
        <v>6</v>
      </c>
      <c r="C29" s="76" t="s">
        <v>677</v>
      </c>
      <c r="D29" s="126" t="s">
        <v>13</v>
      </c>
      <c r="E29" s="129">
        <v>1194637</v>
      </c>
      <c r="G29" s="30"/>
      <c r="I29" s="69"/>
      <c r="J29" s="69"/>
    </row>
    <row r="30" spans="1:10" s="70" customFormat="1" ht="12.75" customHeight="1" x14ac:dyDescent="0.2">
      <c r="A30" s="127">
        <v>45100</v>
      </c>
      <c r="B30" s="128" t="s">
        <v>6</v>
      </c>
      <c r="C30" s="76" t="s">
        <v>589</v>
      </c>
      <c r="D30" s="126" t="s">
        <v>13</v>
      </c>
      <c r="E30" s="129">
        <v>278027</v>
      </c>
      <c r="G30" s="30"/>
      <c r="I30" s="69"/>
      <c r="J30" s="69"/>
    </row>
    <row r="31" spans="1:10" s="70" customFormat="1" ht="12.75" customHeight="1" x14ac:dyDescent="0.2">
      <c r="A31" s="127">
        <v>45100</v>
      </c>
      <c r="B31" s="128" t="s">
        <v>6</v>
      </c>
      <c r="C31" s="76" t="s">
        <v>12</v>
      </c>
      <c r="D31" s="126" t="s">
        <v>13</v>
      </c>
      <c r="E31" s="129">
        <v>657875.11</v>
      </c>
      <c r="G31" s="30"/>
      <c r="I31" s="69"/>
      <c r="J31" s="69"/>
    </row>
    <row r="32" spans="1:10" s="70" customFormat="1" ht="12.75" customHeight="1" x14ac:dyDescent="0.2">
      <c r="A32" s="127">
        <v>45100</v>
      </c>
      <c r="B32" s="128" t="s">
        <v>6</v>
      </c>
      <c r="C32" s="76" t="s">
        <v>366</v>
      </c>
      <c r="D32" s="126" t="s">
        <v>13</v>
      </c>
      <c r="E32" s="129">
        <v>505127</v>
      </c>
      <c r="G32" s="30"/>
      <c r="I32" s="69"/>
      <c r="J32" s="69"/>
    </row>
    <row r="33" spans="1:10" s="70" customFormat="1" ht="12.75" customHeight="1" x14ac:dyDescent="0.2">
      <c r="A33" s="127">
        <v>45100</v>
      </c>
      <c r="B33" s="128" t="s">
        <v>6</v>
      </c>
      <c r="C33" s="76" t="s">
        <v>1127</v>
      </c>
      <c r="D33" s="126" t="s">
        <v>13</v>
      </c>
      <c r="E33" s="129">
        <v>767</v>
      </c>
      <c r="G33" s="30"/>
      <c r="I33" s="69"/>
      <c r="J33" s="69"/>
    </row>
    <row r="34" spans="1:10" s="70" customFormat="1" ht="12.75" customHeight="1" x14ac:dyDescent="0.2">
      <c r="A34" s="127">
        <v>45100</v>
      </c>
      <c r="B34" s="128" t="s">
        <v>6</v>
      </c>
      <c r="C34" s="76" t="s">
        <v>149</v>
      </c>
      <c r="D34" s="126" t="s">
        <v>13</v>
      </c>
      <c r="E34" s="129">
        <v>112249</v>
      </c>
      <c r="G34" s="30"/>
      <c r="I34" s="69"/>
      <c r="J34" s="69"/>
    </row>
    <row r="35" spans="1:10" s="70" customFormat="1" ht="12.75" customHeight="1" x14ac:dyDescent="0.2">
      <c r="A35" s="127">
        <v>45100</v>
      </c>
      <c r="B35" s="128" t="s">
        <v>6</v>
      </c>
      <c r="C35" s="76" t="s">
        <v>1128</v>
      </c>
      <c r="D35" s="126" t="s">
        <v>13</v>
      </c>
      <c r="E35" s="129">
        <v>11800</v>
      </c>
      <c r="G35" s="30"/>
      <c r="I35" s="69"/>
      <c r="J35" s="69"/>
    </row>
    <row r="36" spans="1:10" s="70" customFormat="1" ht="12.75" customHeight="1" x14ac:dyDescent="0.2">
      <c r="A36" s="127">
        <v>45100</v>
      </c>
      <c r="B36" s="128" t="s">
        <v>6</v>
      </c>
      <c r="C36" s="76" t="s">
        <v>364</v>
      </c>
      <c r="D36" s="126" t="s">
        <v>13</v>
      </c>
      <c r="E36" s="129">
        <v>120446</v>
      </c>
      <c r="G36" s="30"/>
      <c r="I36" s="69"/>
      <c r="J36" s="69"/>
    </row>
    <row r="37" spans="1:10" s="70" customFormat="1" ht="12.75" customHeight="1" x14ac:dyDescent="0.2">
      <c r="A37" s="127">
        <v>45100</v>
      </c>
      <c r="B37" s="128" t="s">
        <v>11</v>
      </c>
      <c r="C37" s="76" t="s">
        <v>64</v>
      </c>
      <c r="D37" s="126" t="s">
        <v>29</v>
      </c>
      <c r="E37" s="129"/>
      <c r="F37" s="70">
        <v>10312.61</v>
      </c>
      <c r="G37" s="30"/>
      <c r="I37" s="69"/>
      <c r="J37" s="69"/>
    </row>
    <row r="38" spans="1:10" s="70" customFormat="1" ht="12.75" customHeight="1" x14ac:dyDescent="0.2">
      <c r="A38" s="127">
        <v>45100</v>
      </c>
      <c r="B38" s="128" t="s">
        <v>11</v>
      </c>
      <c r="C38" s="76" t="s">
        <v>109</v>
      </c>
      <c r="D38" s="126" t="s">
        <v>29</v>
      </c>
      <c r="E38" s="129"/>
      <c r="F38" s="70">
        <v>288621</v>
      </c>
      <c r="G38" s="30"/>
      <c r="I38" s="69"/>
      <c r="J38" s="69"/>
    </row>
    <row r="39" spans="1:10" s="70" customFormat="1" ht="12.75" customHeight="1" x14ac:dyDescent="0.2">
      <c r="A39" s="127">
        <v>45100</v>
      </c>
      <c r="B39" s="128" t="s">
        <v>11</v>
      </c>
      <c r="C39" s="76" t="s">
        <v>34</v>
      </c>
      <c r="D39" s="126" t="s">
        <v>29</v>
      </c>
      <c r="E39" s="129"/>
      <c r="F39" s="70">
        <v>55000</v>
      </c>
      <c r="G39" s="30"/>
      <c r="I39" s="69"/>
      <c r="J39" s="69"/>
    </row>
    <row r="40" spans="1:10" s="70" customFormat="1" ht="12.75" customHeight="1" x14ac:dyDescent="0.2">
      <c r="A40" s="127">
        <v>45100</v>
      </c>
      <c r="B40" s="128" t="s">
        <v>11</v>
      </c>
      <c r="C40" s="76" t="s">
        <v>1124</v>
      </c>
      <c r="D40" s="126" t="s">
        <v>29</v>
      </c>
      <c r="E40" s="129"/>
      <c r="F40" s="70">
        <v>3498</v>
      </c>
      <c r="G40" s="30"/>
      <c r="I40" s="69"/>
      <c r="J40" s="69"/>
    </row>
    <row r="41" spans="1:10" s="70" customFormat="1" ht="12.75" customHeight="1" x14ac:dyDescent="0.2">
      <c r="A41" s="127">
        <v>45100</v>
      </c>
      <c r="B41" s="128" t="s">
        <v>11</v>
      </c>
      <c r="C41" s="76" t="s">
        <v>171</v>
      </c>
      <c r="D41" s="126" t="s">
        <v>29</v>
      </c>
      <c r="E41" s="129"/>
      <c r="F41" s="70">
        <v>6119</v>
      </c>
      <c r="G41" s="30"/>
      <c r="I41" s="69"/>
      <c r="J41" s="69"/>
    </row>
    <row r="42" spans="1:10" s="70" customFormat="1" ht="12.75" customHeight="1" x14ac:dyDescent="0.2">
      <c r="A42" s="127">
        <v>45100</v>
      </c>
      <c r="B42" s="128" t="s">
        <v>11</v>
      </c>
      <c r="C42" s="76" t="s">
        <v>1125</v>
      </c>
      <c r="D42" s="126" t="s">
        <v>29</v>
      </c>
      <c r="E42" s="129"/>
      <c r="F42" s="70">
        <v>211941.83</v>
      </c>
      <c r="G42" s="30"/>
      <c r="I42" s="69"/>
      <c r="J42" s="69"/>
    </row>
    <row r="43" spans="1:10" s="70" customFormat="1" ht="12.75" customHeight="1" x14ac:dyDescent="0.2">
      <c r="A43" s="127">
        <v>45100</v>
      </c>
      <c r="B43" s="128" t="s">
        <v>11</v>
      </c>
      <c r="C43" s="76" t="s">
        <v>1126</v>
      </c>
      <c r="D43" s="126" t="s">
        <v>29</v>
      </c>
      <c r="E43" s="129"/>
      <c r="F43" s="70">
        <v>61657.41</v>
      </c>
      <c r="G43" s="30"/>
      <c r="I43" s="69"/>
      <c r="J43" s="69"/>
    </row>
    <row r="44" spans="1:10" s="70" customFormat="1" ht="12.75" customHeight="1" x14ac:dyDescent="0.2">
      <c r="A44" s="127">
        <v>45100</v>
      </c>
      <c r="B44" s="128" t="s">
        <v>11</v>
      </c>
      <c r="C44" s="76" t="s">
        <v>770</v>
      </c>
      <c r="D44" s="126" t="s">
        <v>29</v>
      </c>
      <c r="E44" s="129"/>
      <c r="F44" s="70">
        <v>268542</v>
      </c>
      <c r="G44" s="30"/>
      <c r="I44" s="69"/>
      <c r="J44" s="69"/>
    </row>
    <row r="45" spans="1:10" s="70" customFormat="1" ht="12.75" customHeight="1" x14ac:dyDescent="0.2">
      <c r="A45" s="127">
        <v>45100</v>
      </c>
      <c r="B45" s="128" t="s">
        <v>11</v>
      </c>
      <c r="C45" s="76" t="s">
        <v>452</v>
      </c>
      <c r="D45" s="126" t="s">
        <v>29</v>
      </c>
      <c r="E45" s="129"/>
      <c r="F45" s="70">
        <v>440084</v>
      </c>
      <c r="G45" s="30"/>
      <c r="I45" s="69"/>
      <c r="J45" s="69"/>
    </row>
    <row r="46" spans="1:10" s="70" customFormat="1" ht="12.75" customHeight="1" x14ac:dyDescent="0.2">
      <c r="A46" s="127">
        <v>45100</v>
      </c>
      <c r="B46" s="128" t="s">
        <v>11</v>
      </c>
      <c r="C46" s="76" t="s">
        <v>1078</v>
      </c>
      <c r="D46" s="126" t="s">
        <v>29</v>
      </c>
      <c r="E46" s="129"/>
      <c r="F46" s="70">
        <v>4750</v>
      </c>
      <c r="G46" s="30"/>
      <c r="I46" s="69"/>
      <c r="J46" s="69"/>
    </row>
    <row r="47" spans="1:10" s="70" customFormat="1" ht="12.75" customHeight="1" x14ac:dyDescent="0.2">
      <c r="A47" s="127">
        <v>45100</v>
      </c>
      <c r="B47" s="128" t="s">
        <v>11</v>
      </c>
      <c r="C47" s="76" t="s">
        <v>800</v>
      </c>
      <c r="D47" s="126" t="s">
        <v>29</v>
      </c>
      <c r="E47" s="129"/>
      <c r="F47" s="70">
        <v>8570</v>
      </c>
      <c r="G47" s="30"/>
      <c r="I47" s="69"/>
      <c r="J47" s="69"/>
    </row>
    <row r="48" spans="1:10" s="70" customFormat="1" ht="12.75" customHeight="1" x14ac:dyDescent="0.2">
      <c r="A48" s="127">
        <v>45100</v>
      </c>
      <c r="B48" s="128" t="s">
        <v>11</v>
      </c>
      <c r="C48" s="76" t="s">
        <v>42</v>
      </c>
      <c r="D48" s="126" t="s">
        <v>29</v>
      </c>
      <c r="E48" s="129"/>
      <c r="F48" s="70">
        <v>18934</v>
      </c>
      <c r="G48" s="30"/>
      <c r="I48" s="69"/>
      <c r="J48" s="69"/>
    </row>
    <row r="49" spans="1:14" s="70" customFormat="1" ht="12.75" customHeight="1" x14ac:dyDescent="0.2">
      <c r="A49" s="127">
        <v>45100</v>
      </c>
      <c r="B49" s="128" t="s">
        <v>11</v>
      </c>
      <c r="C49" s="76" t="s">
        <v>409</v>
      </c>
      <c r="D49" s="126" t="s">
        <v>29</v>
      </c>
      <c r="E49" s="129"/>
      <c r="F49" s="70">
        <v>48217.71</v>
      </c>
      <c r="G49" s="30"/>
      <c r="I49" s="69"/>
      <c r="J49" s="69"/>
    </row>
    <row r="50" spans="1:14" s="70" customFormat="1" ht="12.75" customHeight="1" x14ac:dyDescent="0.2">
      <c r="A50" s="127">
        <v>45100</v>
      </c>
      <c r="B50" s="128" t="s">
        <v>11</v>
      </c>
      <c r="C50" s="76" t="s">
        <v>224</v>
      </c>
      <c r="D50" s="126" t="s">
        <v>29</v>
      </c>
      <c r="E50" s="129"/>
      <c r="F50" s="70">
        <v>18233</v>
      </c>
      <c r="G50" s="30"/>
      <c r="I50" s="69"/>
      <c r="J50" s="69"/>
    </row>
    <row r="51" spans="1:14" s="70" customFormat="1" ht="12.75" customHeight="1" x14ac:dyDescent="0.2">
      <c r="A51" s="127">
        <v>45100</v>
      </c>
      <c r="B51" s="128" t="s">
        <v>11</v>
      </c>
      <c r="C51" s="76" t="s">
        <v>290</v>
      </c>
      <c r="D51" s="126" t="s">
        <v>29</v>
      </c>
      <c r="E51" s="129"/>
      <c r="F51" s="70">
        <v>3450</v>
      </c>
      <c r="G51" s="30"/>
      <c r="I51" s="69"/>
      <c r="J51" s="69"/>
    </row>
    <row r="52" spans="1:14" s="70" customFormat="1" ht="12.75" customHeight="1" x14ac:dyDescent="0.2">
      <c r="A52" s="127">
        <v>45100</v>
      </c>
      <c r="B52" s="128" t="s">
        <v>11</v>
      </c>
      <c r="C52" s="76" t="s">
        <v>451</v>
      </c>
      <c r="D52" s="126" t="s">
        <v>29</v>
      </c>
      <c r="E52" s="129"/>
      <c r="F52" s="70">
        <v>14427</v>
      </c>
      <c r="G52" s="30"/>
      <c r="I52" s="69"/>
      <c r="J52" s="69"/>
    </row>
    <row r="53" spans="1:14" s="70" customFormat="1" ht="12.75" customHeight="1" x14ac:dyDescent="0.2">
      <c r="A53" s="127">
        <v>45100</v>
      </c>
      <c r="B53" s="128" t="s">
        <v>11</v>
      </c>
      <c r="C53" s="76" t="s">
        <v>48</v>
      </c>
      <c r="D53" s="126" t="s">
        <v>29</v>
      </c>
      <c r="E53" s="129"/>
      <c r="F53" s="70">
        <v>360936</v>
      </c>
      <c r="G53" s="30"/>
      <c r="I53" s="69"/>
      <c r="J53" s="69"/>
    </row>
    <row r="54" spans="1:14" s="70" customFormat="1" ht="12.75" customHeight="1" x14ac:dyDescent="0.2">
      <c r="A54" s="127">
        <v>45100</v>
      </c>
      <c r="B54" s="128" t="s">
        <v>11</v>
      </c>
      <c r="C54" s="76" t="s">
        <v>115</v>
      </c>
      <c r="D54" s="126" t="s">
        <v>29</v>
      </c>
      <c r="E54" s="129"/>
      <c r="F54" s="70">
        <v>736264.1</v>
      </c>
      <c r="G54" s="30"/>
      <c r="I54" s="69"/>
      <c r="J54" s="69"/>
    </row>
    <row r="55" spans="1:14" s="70" customFormat="1" ht="12.75" customHeight="1" x14ac:dyDescent="0.2">
      <c r="A55" s="127">
        <v>45100</v>
      </c>
      <c r="B55" s="128" t="s">
        <v>11</v>
      </c>
      <c r="C55" s="76" t="s">
        <v>719</v>
      </c>
      <c r="D55" s="126" t="s">
        <v>29</v>
      </c>
      <c r="E55" s="129"/>
      <c r="F55" s="70">
        <v>319080</v>
      </c>
      <c r="G55" s="30"/>
      <c r="I55" s="69"/>
      <c r="J55" s="69"/>
    </row>
    <row r="56" spans="1:14" s="70" customFormat="1" ht="12.75" customHeight="1" x14ac:dyDescent="0.2">
      <c r="A56" s="127">
        <v>45100</v>
      </c>
      <c r="B56" s="128" t="s">
        <v>11</v>
      </c>
      <c r="C56" s="76" t="s">
        <v>319</v>
      </c>
      <c r="D56" s="126" t="s">
        <v>29</v>
      </c>
      <c r="E56" s="129"/>
      <c r="F56" s="70">
        <v>179800</v>
      </c>
      <c r="G56" s="30"/>
      <c r="I56" s="69"/>
      <c r="J56" s="69"/>
    </row>
    <row r="57" spans="1:14" s="70" customFormat="1" ht="12.75" customHeight="1" x14ac:dyDescent="0.2">
      <c r="A57" s="127">
        <v>45100</v>
      </c>
      <c r="B57" s="128" t="s">
        <v>11</v>
      </c>
      <c r="C57" s="76" t="s">
        <v>57</v>
      </c>
      <c r="D57" s="126" t="s">
        <v>29</v>
      </c>
      <c r="E57" s="129"/>
      <c r="F57" s="70">
        <v>1000000</v>
      </c>
      <c r="G57" s="30"/>
      <c r="I57" s="69"/>
      <c r="J57" s="69"/>
    </row>
    <row r="58" spans="1:14" s="70" customFormat="1" ht="12.75" customHeight="1" x14ac:dyDescent="0.2">
      <c r="A58" s="127">
        <v>45100</v>
      </c>
      <c r="B58" s="128" t="s">
        <v>11</v>
      </c>
      <c r="C58" s="76" t="s">
        <v>345</v>
      </c>
      <c r="D58" s="126" t="s">
        <v>29</v>
      </c>
      <c r="E58" s="129"/>
      <c r="F58" s="70">
        <v>52912.93</v>
      </c>
      <c r="G58" s="30"/>
      <c r="I58" s="69"/>
      <c r="J58" s="69"/>
    </row>
    <row r="59" spans="1:14" s="70" customFormat="1" ht="12.75" customHeight="1" x14ac:dyDescent="0.2">
      <c r="A59" s="127">
        <v>45100</v>
      </c>
      <c r="B59" s="128" t="s">
        <v>11</v>
      </c>
      <c r="C59" s="76" t="s">
        <v>52</v>
      </c>
      <c r="D59" s="126" t="s">
        <v>29</v>
      </c>
      <c r="E59" s="129"/>
      <c r="F59" s="70">
        <v>95060</v>
      </c>
      <c r="G59" s="30"/>
      <c r="I59" s="69"/>
      <c r="J59" s="69"/>
    </row>
    <row r="60" spans="1:14" s="2" customFormat="1" ht="12.75" customHeight="1" x14ac:dyDescent="0.25">
      <c r="A60" s="32"/>
      <c r="B60" s="33"/>
      <c r="C60" s="14"/>
      <c r="D60" s="34"/>
      <c r="E60" s="16">
        <f>SUM(E19:E59)</f>
        <v>7648008.4699999997</v>
      </c>
      <c r="F60" s="16">
        <f>SUM(F19:F59)</f>
        <v>293204767.27999979</v>
      </c>
      <c r="G60" s="30"/>
      <c r="H60" s="1"/>
      <c r="I60" s="39">
        <v>285556758.81</v>
      </c>
      <c r="K60" s="92">
        <f>E61-I60</f>
        <v>0</v>
      </c>
      <c r="L60" s="41"/>
      <c r="M60" s="42"/>
    </row>
    <row r="61" spans="1:14" s="2" customFormat="1" ht="12.75" customHeight="1" x14ac:dyDescent="0.2">
      <c r="A61" s="36"/>
      <c r="B61" s="28" t="s">
        <v>11</v>
      </c>
      <c r="C61" s="19" t="s">
        <v>65</v>
      </c>
      <c r="D61" s="37"/>
      <c r="E61" s="38">
        <f>F60-E60</f>
        <v>285556758.80999976</v>
      </c>
      <c r="F61" s="22"/>
      <c r="G61" s="1"/>
      <c r="H61" s="1"/>
      <c r="J61" s="1"/>
      <c r="K61" s="1"/>
      <c r="L61" s="1"/>
      <c r="M61" s="1"/>
    </row>
    <row r="62" spans="1:14" s="2" customFormat="1" ht="12.75" customHeight="1" x14ac:dyDescent="0.2">
      <c r="A62" s="36"/>
      <c r="B62" s="28" t="s">
        <v>66</v>
      </c>
      <c r="C62" s="43" t="s">
        <v>67</v>
      </c>
      <c r="D62" s="43"/>
      <c r="E62" s="12">
        <v>59416310</v>
      </c>
      <c r="F62" s="22"/>
      <c r="G62" s="1"/>
      <c r="H62" s="40"/>
      <c r="I62" s="45">
        <v>3189.36</v>
      </c>
      <c r="J62" s="46"/>
      <c r="K62" s="46"/>
      <c r="L62" s="13"/>
    </row>
    <row r="63" spans="1:14" s="2" customFormat="1" ht="12.75" customHeight="1" x14ac:dyDescent="0.25">
      <c r="A63" s="36"/>
      <c r="B63" s="28"/>
      <c r="C63" s="44" t="s">
        <v>68</v>
      </c>
      <c r="D63" s="43"/>
      <c r="E63" s="7">
        <f>E61+E62</f>
        <v>344973068.80999976</v>
      </c>
      <c r="F63" s="22"/>
      <c r="G63" s="1"/>
      <c r="H63" s="103" t="s">
        <v>69</v>
      </c>
      <c r="I63" s="45">
        <v>-83.92</v>
      </c>
      <c r="J63" s="46"/>
      <c r="K63" s="46"/>
      <c r="N63" s="1"/>
    </row>
    <row r="64" spans="1:14" s="2" customFormat="1" x14ac:dyDescent="0.2">
      <c r="A64" s="24"/>
      <c r="B64" s="1"/>
      <c r="C64" s="14"/>
      <c r="D64" s="25"/>
      <c r="E64" s="1"/>
      <c r="H64" s="35" t="s">
        <v>70</v>
      </c>
      <c r="I64" s="45">
        <f>4.6+54.96</f>
        <v>59.56</v>
      </c>
      <c r="J64" s="46">
        <f>+I65-D67</f>
        <v>0</v>
      </c>
      <c r="M64" s="2" t="s">
        <v>396</v>
      </c>
      <c r="N64" s="1"/>
    </row>
    <row r="65" spans="1:14" x14ac:dyDescent="0.2">
      <c r="C65" s="56"/>
      <c r="D65" s="56"/>
      <c r="E65" s="104"/>
      <c r="I65" s="49">
        <f>SUM(I62:I64)</f>
        <v>3165</v>
      </c>
      <c r="J65" s="46"/>
      <c r="K65" s="46"/>
      <c r="L65" s="2"/>
      <c r="M65" s="2"/>
      <c r="N65" s="2"/>
    </row>
    <row r="66" spans="1:14" x14ac:dyDescent="0.2">
      <c r="C66" s="78" t="s">
        <v>575</v>
      </c>
      <c r="D66" s="48" t="s">
        <v>576</v>
      </c>
      <c r="E66" s="104"/>
      <c r="I66" s="2"/>
      <c r="J66" s="2"/>
      <c r="K66" s="2"/>
      <c r="L66" s="2"/>
      <c r="M66" s="2"/>
      <c r="N66" s="2"/>
    </row>
    <row r="67" spans="1:14" s="2" customFormat="1" x14ac:dyDescent="0.2">
      <c r="A67" s="24"/>
      <c r="B67" s="1"/>
      <c r="C67" s="47" t="s">
        <v>570</v>
      </c>
      <c r="D67" s="111">
        <v>3165</v>
      </c>
      <c r="E67" s="104"/>
      <c r="G67" s="1"/>
      <c r="H67" s="110" t="s">
        <v>581</v>
      </c>
      <c r="N67" s="2" t="s">
        <v>535</v>
      </c>
    </row>
    <row r="68" spans="1:14" s="2" customFormat="1" x14ac:dyDescent="0.2">
      <c r="A68" s="24"/>
      <c r="B68" s="1"/>
      <c r="C68" s="47" t="s">
        <v>931</v>
      </c>
      <c r="D68" s="111">
        <v>425.88</v>
      </c>
      <c r="E68" s="104"/>
      <c r="G68" s="1"/>
      <c r="H68" s="110" t="s">
        <v>580</v>
      </c>
    </row>
    <row r="69" spans="1:14" s="2" customFormat="1" x14ac:dyDescent="0.2">
      <c r="A69" s="24"/>
      <c r="B69" s="1"/>
      <c r="C69" s="47" t="s">
        <v>572</v>
      </c>
      <c r="D69" s="111">
        <f>+D115/100000</f>
        <v>496.22917460000002</v>
      </c>
      <c r="E69" s="104"/>
      <c r="G69" s="1"/>
      <c r="H69" s="90" t="s">
        <v>587</v>
      </c>
    </row>
    <row r="70" spans="1:14" s="2" customFormat="1" x14ac:dyDescent="0.2">
      <c r="A70" s="24"/>
      <c r="B70" s="1"/>
      <c r="C70" s="108" t="s">
        <v>578</v>
      </c>
      <c r="D70" s="48">
        <f>SUM(D67:D69)</f>
        <v>4087.1091746000002</v>
      </c>
      <c r="E70" s="104"/>
      <c r="G70" s="1"/>
    </row>
    <row r="71" spans="1:14" s="2" customFormat="1" x14ac:dyDescent="0.2">
      <c r="A71" s="24"/>
      <c r="B71" s="1"/>
      <c r="C71" s="47"/>
      <c r="D71" s="107"/>
      <c r="E71" s="104"/>
      <c r="G71" s="1"/>
    </row>
    <row r="72" spans="1:14" s="2" customFormat="1" x14ac:dyDescent="0.2">
      <c r="A72" s="24"/>
      <c r="B72" s="1"/>
      <c r="C72" s="47" t="s">
        <v>932</v>
      </c>
      <c r="D72" s="111">
        <v>303.36</v>
      </c>
      <c r="E72" s="104"/>
      <c r="G72" s="1"/>
      <c r="H72" s="110" t="s">
        <v>581</v>
      </c>
    </row>
    <row r="73" spans="1:14" s="2" customFormat="1" x14ac:dyDescent="0.2">
      <c r="A73" s="24"/>
      <c r="B73" s="1"/>
      <c r="C73" s="47" t="s">
        <v>933</v>
      </c>
      <c r="D73" s="111">
        <f>179.5+358.51-183.11</f>
        <v>354.9</v>
      </c>
      <c r="E73" s="104"/>
      <c r="G73" s="1"/>
      <c r="H73" s="110" t="s">
        <v>581</v>
      </c>
      <c r="J73" s="114" t="s">
        <v>713</v>
      </c>
    </row>
    <row r="74" spans="1:14" s="2" customFormat="1" x14ac:dyDescent="0.2">
      <c r="A74" s="24"/>
      <c r="B74" s="1"/>
      <c r="C74" s="78" t="s">
        <v>579</v>
      </c>
      <c r="D74" s="109">
        <f>D72+D73</f>
        <v>658.26</v>
      </c>
      <c r="E74" s="104"/>
      <c r="G74" s="1"/>
      <c r="I74" s="113"/>
      <c r="J74" s="113" t="s">
        <v>709</v>
      </c>
      <c r="K74" s="113" t="s">
        <v>710</v>
      </c>
      <c r="L74" s="113" t="s">
        <v>711</v>
      </c>
      <c r="M74" s="113" t="s">
        <v>712</v>
      </c>
    </row>
    <row r="75" spans="1:14" s="2" customFormat="1" x14ac:dyDescent="0.2">
      <c r="A75" s="24"/>
      <c r="B75" s="1"/>
      <c r="C75" s="105"/>
      <c r="D75" s="106"/>
      <c r="E75" s="104"/>
      <c r="G75" s="1"/>
      <c r="I75" s="113" t="s">
        <v>706</v>
      </c>
      <c r="J75" s="115"/>
      <c r="K75" s="115">
        <v>968.99</v>
      </c>
      <c r="L75" s="115">
        <v>968.99</v>
      </c>
      <c r="M75" s="113">
        <f>+J75+L75-K75</f>
        <v>0</v>
      </c>
    </row>
    <row r="76" spans="1:14" s="2" customFormat="1" x14ac:dyDescent="0.2">
      <c r="A76" s="24"/>
      <c r="B76" s="1"/>
      <c r="C76" s="78" t="s">
        <v>577</v>
      </c>
      <c r="D76" s="109">
        <f>D67+D74</f>
        <v>3823.26</v>
      </c>
      <c r="E76" s="104"/>
      <c r="G76" s="1"/>
      <c r="I76" s="113" t="s">
        <v>707</v>
      </c>
      <c r="J76" s="115">
        <v>183.1</v>
      </c>
      <c r="K76" s="115">
        <v>2386.84</v>
      </c>
      <c r="L76" s="115">
        <v>3096.17</v>
      </c>
      <c r="M76" s="113">
        <f>+J76+L76-K76</f>
        <v>892.42999999999984</v>
      </c>
    </row>
    <row r="77" spans="1:14" s="2" customFormat="1" x14ac:dyDescent="0.2">
      <c r="A77" s="24"/>
      <c r="B77" s="1"/>
      <c r="C77" s="56"/>
      <c r="D77" s="56"/>
      <c r="E77" s="104"/>
      <c r="G77" s="1"/>
      <c r="I77" s="113" t="s">
        <v>708</v>
      </c>
      <c r="J77" s="115">
        <v>1371.02</v>
      </c>
      <c r="K77" s="115">
        <v>12278.95</v>
      </c>
      <c r="L77" s="115">
        <v>12284.59</v>
      </c>
      <c r="M77" s="113">
        <f>+J77+L77-K77</f>
        <v>1376.6599999999999</v>
      </c>
    </row>
    <row r="78" spans="1:14" s="2" customFormat="1" ht="38.25" x14ac:dyDescent="0.2">
      <c r="A78" s="24"/>
      <c r="B78" s="1"/>
      <c r="C78" s="79" t="str">
        <f>"Particulars ( 01-04-2021 to "&amp;TEXT(A5,"dd-mm-yyyy")&amp;" )"</f>
        <v>Particulars ( 01-04-2021 to 23-06-2023 )</v>
      </c>
      <c r="D78" s="80" t="s">
        <v>73</v>
      </c>
      <c r="E78" s="80" t="s">
        <v>74</v>
      </c>
      <c r="F78" s="81" t="s">
        <v>75</v>
      </c>
      <c r="G78" s="80" t="s">
        <v>76</v>
      </c>
      <c r="J78" s="118">
        <f>SUM(J75:J77)</f>
        <v>1554.12</v>
      </c>
      <c r="K78" s="118">
        <f>SUM(K75:K77)</f>
        <v>15634.78</v>
      </c>
      <c r="L78" s="118">
        <f>SUM(L75:L77)</f>
        <v>16349.75</v>
      </c>
      <c r="M78" s="118">
        <f>SUM(M75:M77)</f>
        <v>2269.0899999999997</v>
      </c>
    </row>
    <row r="79" spans="1:14" s="2" customFormat="1" x14ac:dyDescent="0.2">
      <c r="A79" s="24"/>
      <c r="B79" s="1"/>
      <c r="C79" s="50" t="s">
        <v>444</v>
      </c>
      <c r="D79" s="55">
        <f>+L75+L76+J76</f>
        <v>4248.26</v>
      </c>
      <c r="E79" s="55">
        <f>+K75+K76</f>
        <v>3355.83</v>
      </c>
      <c r="F79" s="55">
        <f>+D79-E79</f>
        <v>892.43000000000029</v>
      </c>
      <c r="G79" s="55">
        <f>1500-F79</f>
        <v>607.56999999999971</v>
      </c>
      <c r="H79" s="2" t="s">
        <v>396</v>
      </c>
    </row>
    <row r="80" spans="1:14" s="2" customFormat="1" x14ac:dyDescent="0.2">
      <c r="A80" s="24"/>
      <c r="B80" s="1"/>
      <c r="C80" s="50" t="s">
        <v>71</v>
      </c>
      <c r="D80" s="55">
        <f>+J77+L77</f>
        <v>13655.61</v>
      </c>
      <c r="E80" s="55">
        <f>+K77</f>
        <v>12278.95</v>
      </c>
      <c r="F80" s="55">
        <f>+D80-E80</f>
        <v>1376.6599999999999</v>
      </c>
      <c r="G80" s="55">
        <f>1500+700-F80</f>
        <v>823.34000000000015</v>
      </c>
      <c r="H80" s="2" t="s">
        <v>396</v>
      </c>
    </row>
    <row r="81" spans="1:13" s="2" customFormat="1" x14ac:dyDescent="0.2">
      <c r="A81" s="24"/>
      <c r="B81" s="1"/>
      <c r="C81" s="14"/>
      <c r="D81" s="56"/>
      <c r="E81" s="13"/>
      <c r="G81" s="1"/>
    </row>
    <row r="82" spans="1:13" s="2" customFormat="1" x14ac:dyDescent="0.2">
      <c r="A82" s="215" t="s">
        <v>80</v>
      </c>
      <c r="B82" s="216"/>
      <c r="C82" s="216"/>
      <c r="D82" s="217"/>
      <c r="E82" s="69"/>
      <c r="F82" s="70"/>
      <c r="G82" s="1"/>
      <c r="H82" s="53"/>
    </row>
    <row r="83" spans="1:13" s="2" customFormat="1" x14ac:dyDescent="0.2">
      <c r="A83" s="71" t="s">
        <v>81</v>
      </c>
      <c r="B83" s="71"/>
      <c r="C83" s="72" t="s">
        <v>82</v>
      </c>
      <c r="D83" s="73" t="s">
        <v>83</v>
      </c>
      <c r="E83" s="69"/>
      <c r="F83" s="70"/>
      <c r="H83" s="53"/>
    </row>
    <row r="84" spans="1:13" s="2" customFormat="1" x14ac:dyDescent="0.2">
      <c r="A84" s="87">
        <v>45080</v>
      </c>
      <c r="B84" s="120" t="s">
        <v>1052</v>
      </c>
      <c r="C84" s="75" t="s">
        <v>86</v>
      </c>
      <c r="D84" s="88">
        <v>163799</v>
      </c>
      <c r="G84" s="1"/>
      <c r="L84" s="1"/>
      <c r="M84" s="1"/>
    </row>
    <row r="85" spans="1:13" s="2" customFormat="1" x14ac:dyDescent="0.2">
      <c r="A85" s="87">
        <v>45080</v>
      </c>
      <c r="B85" s="120" t="s">
        <v>1052</v>
      </c>
      <c r="C85" s="75" t="s">
        <v>86</v>
      </c>
      <c r="D85" s="88">
        <v>1695107</v>
      </c>
      <c r="G85" s="1"/>
      <c r="L85" s="1"/>
      <c r="M85" s="1"/>
    </row>
    <row r="86" spans="1:13" s="2" customFormat="1" x14ac:dyDescent="0.2">
      <c r="A86" s="87">
        <v>45082</v>
      </c>
      <c r="B86" s="120" t="s">
        <v>1052</v>
      </c>
      <c r="C86" s="75" t="s">
        <v>87</v>
      </c>
      <c r="D86" s="88">
        <v>6627</v>
      </c>
      <c r="G86" s="1"/>
      <c r="L86" s="1"/>
      <c r="M86" s="1"/>
    </row>
    <row r="87" spans="1:13" s="2" customFormat="1" x14ac:dyDescent="0.2">
      <c r="A87" s="87">
        <v>45084</v>
      </c>
      <c r="B87" s="120" t="s">
        <v>1052</v>
      </c>
      <c r="C87" s="75" t="s">
        <v>87</v>
      </c>
      <c r="D87" s="88">
        <v>618395.80000000005</v>
      </c>
      <c r="G87" s="1"/>
      <c r="L87" s="1"/>
      <c r="M87" s="1"/>
    </row>
    <row r="88" spans="1:13" s="2" customFormat="1" x14ac:dyDescent="0.2">
      <c r="A88" s="87">
        <v>45085</v>
      </c>
      <c r="B88" s="120" t="s">
        <v>1052</v>
      </c>
      <c r="C88" s="75" t="s">
        <v>767</v>
      </c>
      <c r="D88" s="88">
        <v>407682</v>
      </c>
      <c r="G88" s="1"/>
      <c r="L88" s="1"/>
      <c r="M88" s="1"/>
    </row>
    <row r="89" spans="1:13" s="2" customFormat="1" x14ac:dyDescent="0.2">
      <c r="A89" s="87">
        <v>45086</v>
      </c>
      <c r="B89" s="120" t="s">
        <v>1052</v>
      </c>
      <c r="C89" s="75" t="s">
        <v>784</v>
      </c>
      <c r="D89" s="88">
        <v>1104724</v>
      </c>
      <c r="G89" s="1"/>
      <c r="L89" s="1"/>
      <c r="M89" s="1"/>
    </row>
    <row r="90" spans="1:13" s="2" customFormat="1" x14ac:dyDescent="0.2">
      <c r="A90" s="87">
        <v>45086</v>
      </c>
      <c r="B90" s="120" t="s">
        <v>1052</v>
      </c>
      <c r="C90" s="75" t="s">
        <v>86</v>
      </c>
      <c r="D90" s="88">
        <v>1756907</v>
      </c>
      <c r="G90" s="1"/>
      <c r="L90" s="1"/>
      <c r="M90" s="1"/>
    </row>
    <row r="91" spans="1:13" s="2" customFormat="1" x14ac:dyDescent="0.2">
      <c r="A91" s="87">
        <v>45086</v>
      </c>
      <c r="B91" s="120" t="s">
        <v>1052</v>
      </c>
      <c r="C91" s="75" t="s">
        <v>784</v>
      </c>
      <c r="D91" s="88">
        <v>1489874</v>
      </c>
      <c r="G91" s="1"/>
      <c r="L91" s="1"/>
      <c r="M91" s="1"/>
    </row>
    <row r="92" spans="1:13" s="2" customFormat="1" x14ac:dyDescent="0.2">
      <c r="A92" s="87">
        <v>45086</v>
      </c>
      <c r="B92" s="120" t="s">
        <v>1052</v>
      </c>
      <c r="C92" s="75" t="s">
        <v>201</v>
      </c>
      <c r="D92" s="88">
        <v>5000192.4400000004</v>
      </c>
      <c r="G92" s="1"/>
      <c r="L92" s="1"/>
      <c r="M92" s="1"/>
    </row>
    <row r="93" spans="1:13" s="2" customFormat="1" x14ac:dyDescent="0.2">
      <c r="A93" s="87">
        <v>45089</v>
      </c>
      <c r="B93" s="120" t="s">
        <v>1052</v>
      </c>
      <c r="C93" s="75" t="s">
        <v>566</v>
      </c>
      <c r="D93" s="88">
        <v>654429</v>
      </c>
      <c r="G93" s="1"/>
      <c r="L93" s="1"/>
      <c r="M93" s="1"/>
    </row>
    <row r="94" spans="1:13" s="2" customFormat="1" x14ac:dyDescent="0.2">
      <c r="A94" s="87">
        <v>45090</v>
      </c>
      <c r="B94" s="120" t="s">
        <v>1052</v>
      </c>
      <c r="C94" s="75" t="s">
        <v>566</v>
      </c>
      <c r="D94" s="88">
        <f>62180.5+9179</f>
        <v>71359.5</v>
      </c>
      <c r="G94" s="1"/>
      <c r="L94" s="1"/>
      <c r="M94" s="1"/>
    </row>
    <row r="95" spans="1:13" s="2" customFormat="1" x14ac:dyDescent="0.2">
      <c r="A95" s="87">
        <v>45090</v>
      </c>
      <c r="B95" s="120" t="s">
        <v>1052</v>
      </c>
      <c r="C95" s="75" t="s">
        <v>1084</v>
      </c>
      <c r="D95" s="88">
        <v>5353676</v>
      </c>
      <c r="G95" s="1"/>
      <c r="L95" s="1"/>
      <c r="M95" s="1"/>
    </row>
    <row r="96" spans="1:13" s="2" customFormat="1" x14ac:dyDescent="0.2">
      <c r="A96" s="87">
        <v>45091</v>
      </c>
      <c r="B96" s="120" t="s">
        <v>1052</v>
      </c>
      <c r="C96" s="75" t="s">
        <v>87</v>
      </c>
      <c r="D96" s="88">
        <v>1261201</v>
      </c>
      <c r="G96" s="1"/>
      <c r="L96" s="1"/>
      <c r="M96" s="1"/>
    </row>
    <row r="97" spans="1:13" s="2" customFormat="1" x14ac:dyDescent="0.2">
      <c r="A97" s="87">
        <v>45091</v>
      </c>
      <c r="B97" s="120" t="s">
        <v>1052</v>
      </c>
      <c r="C97" s="75" t="s">
        <v>1090</v>
      </c>
      <c r="D97" s="88">
        <v>1000000</v>
      </c>
      <c r="G97" s="1"/>
      <c r="L97" s="1"/>
      <c r="M97" s="1"/>
    </row>
    <row r="98" spans="1:13" s="2" customFormat="1" x14ac:dyDescent="0.2">
      <c r="A98" s="87">
        <v>45092</v>
      </c>
      <c r="B98" s="120" t="s">
        <v>1052</v>
      </c>
      <c r="C98" s="75" t="s">
        <v>271</v>
      </c>
      <c r="D98" s="88">
        <v>485258</v>
      </c>
      <c r="G98" s="1"/>
      <c r="L98" s="1"/>
      <c r="M98" s="1"/>
    </row>
    <row r="99" spans="1:13" s="2" customFormat="1" x14ac:dyDescent="0.2">
      <c r="A99" s="87">
        <v>45092</v>
      </c>
      <c r="B99" s="120" t="s">
        <v>1052</v>
      </c>
      <c r="C99" s="75" t="s">
        <v>767</v>
      </c>
      <c r="D99" s="88">
        <v>1074373</v>
      </c>
      <c r="G99" s="1"/>
      <c r="L99" s="1"/>
      <c r="M99" s="1"/>
    </row>
    <row r="100" spans="1:13" s="2" customFormat="1" x14ac:dyDescent="0.2">
      <c r="A100" s="87">
        <v>45094</v>
      </c>
      <c r="B100" s="120" t="s">
        <v>1052</v>
      </c>
      <c r="C100" s="75" t="s">
        <v>467</v>
      </c>
      <c r="D100" s="88">
        <v>2582806</v>
      </c>
      <c r="G100" s="1"/>
      <c r="L100" s="1"/>
      <c r="M100" s="1"/>
    </row>
    <row r="101" spans="1:13" s="2" customFormat="1" x14ac:dyDescent="0.2">
      <c r="A101" s="87">
        <v>45096</v>
      </c>
      <c r="B101" s="120" t="s">
        <v>1052</v>
      </c>
      <c r="C101" s="75" t="s">
        <v>85</v>
      </c>
      <c r="D101" s="88">
        <v>77650</v>
      </c>
      <c r="G101" s="1"/>
      <c r="L101" s="1"/>
      <c r="M101" s="1"/>
    </row>
    <row r="102" spans="1:13" s="2" customFormat="1" x14ac:dyDescent="0.2">
      <c r="A102" s="87">
        <v>45096</v>
      </c>
      <c r="B102" s="120" t="s">
        <v>1052</v>
      </c>
      <c r="C102" s="75" t="s">
        <v>270</v>
      </c>
      <c r="D102" s="88">
        <v>1475157</v>
      </c>
      <c r="G102" s="1"/>
      <c r="L102" s="1"/>
      <c r="M102" s="1"/>
    </row>
    <row r="103" spans="1:13" s="2" customFormat="1" x14ac:dyDescent="0.2">
      <c r="A103" s="87">
        <v>45096</v>
      </c>
      <c r="B103" s="120" t="s">
        <v>1052</v>
      </c>
      <c r="C103" s="75" t="s">
        <v>270</v>
      </c>
      <c r="D103" s="88">
        <v>741951</v>
      </c>
      <c r="G103" s="1"/>
      <c r="L103" s="1"/>
      <c r="M103" s="1"/>
    </row>
    <row r="104" spans="1:13" s="2" customFormat="1" x14ac:dyDescent="0.2">
      <c r="A104" s="87">
        <v>45096</v>
      </c>
      <c r="B104" s="120" t="s">
        <v>1052</v>
      </c>
      <c r="C104" s="75" t="s">
        <v>270</v>
      </c>
      <c r="D104" s="88">
        <v>1034388</v>
      </c>
      <c r="G104" s="1"/>
      <c r="L104" s="1"/>
      <c r="M104" s="1"/>
    </row>
    <row r="105" spans="1:13" s="2" customFormat="1" x14ac:dyDescent="0.2">
      <c r="A105" s="87">
        <v>45096</v>
      </c>
      <c r="B105" s="120" t="s">
        <v>1052</v>
      </c>
      <c r="C105" s="75" t="s">
        <v>270</v>
      </c>
      <c r="D105" s="88">
        <v>93897</v>
      </c>
      <c r="G105" s="1"/>
      <c r="L105" s="1"/>
      <c r="M105" s="1"/>
    </row>
    <row r="106" spans="1:13" s="2" customFormat="1" x14ac:dyDescent="0.2">
      <c r="A106" s="87">
        <v>45096</v>
      </c>
      <c r="B106" s="120" t="s">
        <v>1052</v>
      </c>
      <c r="C106" s="75" t="s">
        <v>270</v>
      </c>
      <c r="D106" s="88">
        <v>353700</v>
      </c>
      <c r="G106" s="1"/>
      <c r="L106" s="1"/>
      <c r="M106" s="1"/>
    </row>
    <row r="107" spans="1:13" s="2" customFormat="1" x14ac:dyDescent="0.2">
      <c r="A107" s="87">
        <v>45096</v>
      </c>
      <c r="B107" s="120" t="s">
        <v>1052</v>
      </c>
      <c r="C107" s="75" t="s">
        <v>270</v>
      </c>
      <c r="D107" s="88">
        <v>1205410</v>
      </c>
      <c r="G107" s="1"/>
      <c r="L107" s="1"/>
      <c r="M107" s="1"/>
    </row>
    <row r="108" spans="1:13" s="2" customFormat="1" x14ac:dyDescent="0.2">
      <c r="A108" s="87">
        <v>45096</v>
      </c>
      <c r="B108" s="120" t="s">
        <v>1052</v>
      </c>
      <c r="C108" s="75" t="s">
        <v>86</v>
      </c>
      <c r="D108" s="88">
        <v>5053085</v>
      </c>
      <c r="G108" s="1"/>
      <c r="L108" s="1"/>
      <c r="M108" s="1"/>
    </row>
    <row r="109" spans="1:13" s="2" customFormat="1" x14ac:dyDescent="0.2">
      <c r="A109" s="87">
        <v>45096</v>
      </c>
      <c r="B109" s="120" t="s">
        <v>1052</v>
      </c>
      <c r="C109" s="75" t="s">
        <v>1116</v>
      </c>
      <c r="D109" s="88">
        <v>1962959.72</v>
      </c>
      <c r="G109" s="1"/>
      <c r="L109" s="1"/>
      <c r="M109" s="1"/>
    </row>
    <row r="110" spans="1:13" s="2" customFormat="1" x14ac:dyDescent="0.2">
      <c r="A110" s="87">
        <v>45098</v>
      </c>
      <c r="B110" s="120" t="s">
        <v>1052</v>
      </c>
      <c r="C110" s="75" t="s">
        <v>86</v>
      </c>
      <c r="D110" s="88">
        <v>2350710</v>
      </c>
      <c r="G110" s="1"/>
      <c r="L110" s="1"/>
      <c r="M110" s="1"/>
    </row>
    <row r="111" spans="1:13" s="2" customFormat="1" x14ac:dyDescent="0.2">
      <c r="A111" s="87">
        <v>45098</v>
      </c>
      <c r="B111" s="120" t="s">
        <v>1052</v>
      </c>
      <c r="C111" s="75" t="s">
        <v>86</v>
      </c>
      <c r="D111" s="88">
        <v>980606</v>
      </c>
      <c r="G111" s="1"/>
      <c r="L111" s="1"/>
      <c r="M111" s="1"/>
    </row>
    <row r="112" spans="1:13" s="2" customFormat="1" x14ac:dyDescent="0.2">
      <c r="A112" s="87">
        <v>45099</v>
      </c>
      <c r="B112" s="120" t="s">
        <v>1052</v>
      </c>
      <c r="C112" s="75" t="s">
        <v>18</v>
      </c>
      <c r="D112" s="88">
        <v>466628</v>
      </c>
      <c r="G112" s="1"/>
      <c r="L112" s="1"/>
      <c r="M112" s="1"/>
    </row>
    <row r="113" spans="1:13" s="2" customFormat="1" x14ac:dyDescent="0.2">
      <c r="A113" s="87">
        <v>45099</v>
      </c>
      <c r="B113" s="120" t="s">
        <v>1052</v>
      </c>
      <c r="C113" s="75" t="s">
        <v>594</v>
      </c>
      <c r="D113" s="88">
        <v>7600365</v>
      </c>
      <c r="G113" s="1"/>
      <c r="L113" s="1"/>
      <c r="M113" s="1"/>
    </row>
    <row r="114" spans="1:13" s="2" customFormat="1" x14ac:dyDescent="0.2">
      <c r="A114" s="87">
        <v>45099</v>
      </c>
      <c r="B114" s="120" t="s">
        <v>1052</v>
      </c>
      <c r="C114" s="75" t="s">
        <v>84</v>
      </c>
      <c r="D114" s="88">
        <v>1500000</v>
      </c>
      <c r="G114" s="1"/>
      <c r="L114" s="1"/>
      <c r="M114" s="1"/>
    </row>
    <row r="115" spans="1:13" s="2" customFormat="1" x14ac:dyDescent="0.2">
      <c r="A115" s="87"/>
      <c r="B115" s="74"/>
      <c r="C115" s="75"/>
      <c r="D115" s="51">
        <f>SUM(D84:D114)</f>
        <v>49622917.460000001</v>
      </c>
      <c r="F115" s="2" t="s">
        <v>396</v>
      </c>
      <c r="G115" s="1"/>
      <c r="L115" s="1"/>
      <c r="M115" s="1"/>
    </row>
    <row r="116" spans="1:13" s="2" customFormat="1" x14ac:dyDescent="0.2">
      <c r="A116" s="24"/>
      <c r="B116" s="1"/>
      <c r="C116" s="14"/>
      <c r="D116" s="56"/>
      <c r="E116" s="13"/>
      <c r="G116" s="1"/>
      <c r="L116" s="1"/>
      <c r="M116" s="1"/>
    </row>
    <row r="117" spans="1:13" s="2" customFormat="1" x14ac:dyDescent="0.2">
      <c r="A117" s="24"/>
      <c r="B117" s="1"/>
      <c r="C117" s="218" t="s">
        <v>77</v>
      </c>
      <c r="D117" s="219"/>
      <c r="E117" s="219"/>
      <c r="F117" s="220"/>
      <c r="G117" s="1"/>
      <c r="L117" s="1"/>
      <c r="M117" s="1"/>
    </row>
    <row r="118" spans="1:13" s="2" customFormat="1" x14ac:dyDescent="0.2">
      <c r="A118" s="24"/>
      <c r="B118" s="1"/>
      <c r="C118" s="50"/>
      <c r="D118" s="57" t="s">
        <v>78</v>
      </c>
      <c r="E118" s="58" t="s">
        <v>79</v>
      </c>
      <c r="F118" s="57" t="s">
        <v>72</v>
      </c>
      <c r="G118" s="1"/>
      <c r="I118" s="1"/>
      <c r="J118" s="1"/>
      <c r="K118" s="1"/>
      <c r="L118" s="1"/>
      <c r="M118" s="1"/>
    </row>
    <row r="119" spans="1:13" s="2" customFormat="1" x14ac:dyDescent="0.2">
      <c r="A119" s="24"/>
      <c r="B119" s="1"/>
      <c r="C119" s="59" t="str">
        <f>"01-06-2023 to "&amp;TEXT(A5-2,"dd-mm-yyyy")</f>
        <v>01-06-2023 to 21-06-2023</v>
      </c>
      <c r="D119" s="60">
        <v>4105.59</v>
      </c>
      <c r="E119" s="60">
        <v>146.43</v>
      </c>
      <c r="F119" s="61">
        <f>SUM(D119:E119)</f>
        <v>4252.0200000000004</v>
      </c>
      <c r="G119" s="1"/>
    </row>
    <row r="120" spans="1:13" s="2" customFormat="1" x14ac:dyDescent="0.2">
      <c r="A120" s="24"/>
      <c r="B120" s="1"/>
      <c r="C120" s="62" t="str">
        <f>TEXT(A5-1,"dd-mm-yyyy")</f>
        <v>22-06-2023</v>
      </c>
      <c r="D120" s="60">
        <v>290.12</v>
      </c>
      <c r="E120" s="60">
        <v>9.3800000000000008</v>
      </c>
      <c r="F120" s="61">
        <f>SUM(D120:E120)</f>
        <v>299.5</v>
      </c>
      <c r="G120" s="54"/>
      <c r="I120" s="1"/>
      <c r="J120" s="1"/>
      <c r="K120" s="1"/>
      <c r="L120" s="1"/>
      <c r="M120" s="1"/>
    </row>
    <row r="121" spans="1:13" s="2" customFormat="1" ht="13.5" thickBot="1" x14ac:dyDescent="0.25">
      <c r="A121" s="24"/>
      <c r="B121" s="1"/>
      <c r="C121" s="63" t="str">
        <f>"01-06-2023 to "&amp;TEXT(A5-1,"dd-mm-yyyy")</f>
        <v>01-06-2023 to 22-06-2023</v>
      </c>
      <c r="D121" s="64">
        <f>SUM(D119:D120)</f>
        <v>4395.71</v>
      </c>
      <c r="E121" s="64">
        <f>SUM(E119:E120)</f>
        <v>155.81</v>
      </c>
      <c r="F121" s="64">
        <f>SUM(F119:F120)</f>
        <v>4551.5200000000004</v>
      </c>
      <c r="G121" s="54"/>
      <c r="I121" s="1"/>
      <c r="J121" s="1"/>
      <c r="K121" s="1"/>
      <c r="L121" s="1"/>
      <c r="M121" s="1"/>
    </row>
    <row r="122" spans="1:13" s="2" customFormat="1" ht="13.5" thickTop="1" x14ac:dyDescent="0.2">
      <c r="A122" s="24"/>
      <c r="B122" s="1"/>
      <c r="C122" s="62"/>
      <c r="D122" s="65"/>
      <c r="E122" s="66"/>
      <c r="F122" s="67"/>
      <c r="G122" s="54"/>
      <c r="I122" s="1"/>
      <c r="J122" s="1"/>
      <c r="K122" s="1"/>
      <c r="L122" s="1"/>
      <c r="M122" s="1"/>
    </row>
    <row r="123" spans="1:13" s="2" customFormat="1" x14ac:dyDescent="0.2">
      <c r="A123" s="24"/>
      <c r="B123" s="1"/>
      <c r="C123" s="62" t="str">
        <f>"01-04-2023 to " &amp;C120</f>
        <v>01-04-2023 to 22-06-2023</v>
      </c>
      <c r="D123" s="68">
        <f>+D121+9224.33</f>
        <v>13620.04</v>
      </c>
      <c r="E123" s="68">
        <f>+E121+906.58</f>
        <v>1062.3900000000001</v>
      </c>
      <c r="F123" s="68">
        <f>+F121+10130.9</f>
        <v>14682.42</v>
      </c>
      <c r="G123" s="54"/>
      <c r="I123" s="1"/>
      <c r="J123" s="1"/>
      <c r="K123" s="1"/>
      <c r="L123" s="1"/>
      <c r="M123" s="1"/>
    </row>
    <row r="124" spans="1:13" x14ac:dyDescent="0.2">
      <c r="C124" s="52"/>
      <c r="D124" s="85"/>
      <c r="E124" s="53"/>
      <c r="F124" s="53"/>
      <c r="G124" s="54"/>
      <c r="H124" s="2" t="s">
        <v>396</v>
      </c>
    </row>
    <row r="125" spans="1:13" s="2" customFormat="1" x14ac:dyDescent="0.2">
      <c r="A125" s="24"/>
      <c r="B125" s="1"/>
      <c r="C125" s="52"/>
      <c r="D125" s="85"/>
      <c r="E125" s="53"/>
      <c r="F125" s="53"/>
      <c r="G125" s="54"/>
      <c r="H125" s="53"/>
    </row>
    <row r="126" spans="1:13" x14ac:dyDescent="0.2">
      <c r="C126" s="52"/>
      <c r="D126" s="85"/>
      <c r="E126" s="53"/>
      <c r="F126" s="53"/>
      <c r="G126" s="54"/>
      <c r="H126" s="53" t="s">
        <v>396</v>
      </c>
    </row>
    <row r="127" spans="1:13" x14ac:dyDescent="0.2">
      <c r="C127" s="52"/>
      <c r="D127" s="85"/>
      <c r="E127" s="53"/>
      <c r="F127" s="53"/>
      <c r="G127" s="54"/>
      <c r="H127" s="53" t="s">
        <v>396</v>
      </c>
      <c r="J127" s="42"/>
    </row>
    <row r="128" spans="1:13" x14ac:dyDescent="0.2">
      <c r="G128" s="54"/>
      <c r="H128" s="53"/>
      <c r="I128" s="101"/>
    </row>
    <row r="129" spans="7:8" x14ac:dyDescent="0.2">
      <c r="G129" s="54"/>
      <c r="H129" s="53"/>
    </row>
    <row r="130" spans="7:8" x14ac:dyDescent="0.2">
      <c r="G130" s="54"/>
      <c r="H130" s="53"/>
    </row>
    <row r="131" spans="7:8" x14ac:dyDescent="0.2">
      <c r="H131" s="53"/>
    </row>
  </sheetData>
  <mergeCells count="6">
    <mergeCell ref="C117:F117"/>
    <mergeCell ref="A1:G1"/>
    <mergeCell ref="A3:F3"/>
    <mergeCell ref="A9:F9"/>
    <mergeCell ref="A17:F17"/>
    <mergeCell ref="A82:D82"/>
  </mergeCells>
  <conditionalFormatting sqref="G79:G80">
    <cfRule type="cellIs" dxfId="465" priority="1" operator="lessThan">
      <formula>0</formula>
    </cfRule>
  </conditionalFormatting>
  <conditionalFormatting sqref="C19">
    <cfRule type="duplicateValues" dxfId="464" priority="2"/>
  </conditionalFormatting>
  <conditionalFormatting sqref="C20:C59">
    <cfRule type="duplicateValues" dxfId="463" priority="551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Sheet360">
    <pageSetUpPr fitToPage="1"/>
  </sheetPr>
  <dimension ref="A1:N119"/>
  <sheetViews>
    <sheetView topLeftCell="A34" zoomScaleNormal="100" workbookViewId="0">
      <selection activeCell="C46" sqref="C46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47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1129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45101</v>
      </c>
      <c r="B5" s="9" t="s">
        <v>6</v>
      </c>
      <c r="C5" s="10" t="s">
        <v>7</v>
      </c>
      <c r="D5" s="11"/>
      <c r="E5" s="12">
        <v>221548.70000000019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221548.70000000019</v>
      </c>
      <c r="F6" s="16">
        <f>F5</f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+E6-F6</f>
        <v>221548.70000000019</v>
      </c>
      <c r="F7" s="22"/>
      <c r="G7" s="23"/>
      <c r="H7" s="112"/>
      <c r="I7" s="112"/>
      <c r="J7" s="13"/>
    </row>
    <row r="8" spans="1:10" ht="12.75" customHeight="1" x14ac:dyDescent="0.4">
      <c r="H8" s="112"/>
      <c r="I8" s="112"/>
    </row>
    <row r="9" spans="1:10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12"/>
    </row>
    <row r="10" spans="1:10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12"/>
    </row>
    <row r="11" spans="1:10" s="2" customFormat="1" ht="14.25" customHeight="1" x14ac:dyDescent="0.2">
      <c r="A11" s="127">
        <v>45101</v>
      </c>
      <c r="B11" s="9" t="s">
        <v>6</v>
      </c>
      <c r="C11" s="10" t="s">
        <v>7</v>
      </c>
      <c r="D11" s="11"/>
      <c r="F11" s="12">
        <v>29831841.169999991</v>
      </c>
      <c r="G11" s="1"/>
      <c r="H11" s="130"/>
      <c r="I11" s="130"/>
    </row>
    <row r="12" spans="1:10" s="2" customFormat="1" ht="12.75" customHeight="1" x14ac:dyDescent="0.4">
      <c r="D12" s="15" t="s">
        <v>8</v>
      </c>
      <c r="E12" s="16">
        <f>E11</f>
        <v>0</v>
      </c>
      <c r="F12" s="16">
        <f>SUM(F11:F11)</f>
        <v>29831841.169999991</v>
      </c>
      <c r="G12" s="1"/>
      <c r="H12" s="112"/>
      <c r="I12" s="112"/>
    </row>
    <row r="13" spans="1:10" s="2" customFormat="1" ht="12.75" customHeight="1" x14ac:dyDescent="0.4">
      <c r="A13" s="17"/>
      <c r="B13" s="18"/>
      <c r="C13" s="96" t="s">
        <v>9</v>
      </c>
      <c r="D13" s="20"/>
      <c r="E13" s="21">
        <f>+F12-E12</f>
        <v>29831841.169999991</v>
      </c>
      <c r="G13" s="23"/>
      <c r="H13" s="112"/>
      <c r="I13" s="112"/>
      <c r="J13" s="13"/>
    </row>
    <row r="14" spans="1:10" s="2" customFormat="1" ht="12.75" customHeight="1" x14ac:dyDescent="0.4">
      <c r="A14" s="24"/>
      <c r="B14" s="1"/>
      <c r="C14" s="14"/>
      <c r="D14" s="25"/>
      <c r="G14" s="23"/>
      <c r="H14" s="112"/>
      <c r="I14" s="112"/>
      <c r="J14" s="13"/>
    </row>
    <row r="15" spans="1:10" s="2" customFormat="1" ht="21.75" customHeight="1" x14ac:dyDescent="0.4">
      <c r="A15" s="214" t="s">
        <v>10</v>
      </c>
      <c r="B15" s="214"/>
      <c r="C15" s="214"/>
      <c r="D15" s="214"/>
      <c r="E15" s="214"/>
      <c r="F15" s="214"/>
      <c r="G15" s="13"/>
      <c r="H15" s="112"/>
      <c r="I15" s="112"/>
      <c r="J15" s="13"/>
    </row>
    <row r="16" spans="1:10" s="2" customFormat="1" ht="12.75" customHeight="1" x14ac:dyDescent="0.4">
      <c r="A16" s="26" t="s">
        <v>1</v>
      </c>
      <c r="B16" s="27" t="s">
        <v>2</v>
      </c>
      <c r="C16" s="5"/>
      <c r="D16" s="6" t="s">
        <v>3</v>
      </c>
      <c r="E16" s="7" t="s">
        <v>4</v>
      </c>
      <c r="F16" s="7" t="s">
        <v>5</v>
      </c>
      <c r="G16" s="23"/>
      <c r="H16" s="112"/>
      <c r="I16" s="112"/>
      <c r="J16" s="13"/>
    </row>
    <row r="17" spans="1:10" s="2" customFormat="1" ht="12.75" customHeight="1" x14ac:dyDescent="0.2">
      <c r="A17" s="127">
        <v>45101</v>
      </c>
      <c r="B17" s="128" t="s">
        <v>11</v>
      </c>
      <c r="C17" s="29" t="s">
        <v>7</v>
      </c>
      <c r="D17" s="25"/>
      <c r="E17" s="31"/>
      <c r="F17" s="2">
        <v>285556758.80999976</v>
      </c>
      <c r="G17" s="30"/>
      <c r="I17" s="13"/>
      <c r="J17" s="13"/>
    </row>
    <row r="18" spans="1:10" s="70" customFormat="1" ht="12.75" customHeight="1" x14ac:dyDescent="0.2">
      <c r="A18" s="127">
        <v>45101</v>
      </c>
      <c r="B18" s="128" t="s">
        <v>6</v>
      </c>
      <c r="C18" s="76" t="s">
        <v>1130</v>
      </c>
      <c r="D18" s="125" t="s">
        <v>13</v>
      </c>
      <c r="E18" s="129">
        <v>1796</v>
      </c>
      <c r="G18" s="30"/>
      <c r="I18" s="69"/>
      <c r="J18" s="69"/>
    </row>
    <row r="19" spans="1:10" s="70" customFormat="1" ht="12.75" customHeight="1" x14ac:dyDescent="0.2">
      <c r="A19" s="127">
        <v>45101</v>
      </c>
      <c r="B19" s="128" t="s">
        <v>6</v>
      </c>
      <c r="C19" s="76" t="s">
        <v>607</v>
      </c>
      <c r="D19" s="125" t="s">
        <v>13</v>
      </c>
      <c r="E19" s="129">
        <v>10868</v>
      </c>
      <c r="G19" s="30"/>
      <c r="I19" s="69"/>
      <c r="J19" s="69"/>
    </row>
    <row r="20" spans="1:10" s="70" customFormat="1" ht="12.75" customHeight="1" x14ac:dyDescent="0.2">
      <c r="A20" s="127">
        <v>45101</v>
      </c>
      <c r="B20" s="128" t="s">
        <v>6</v>
      </c>
      <c r="C20" s="76" t="s">
        <v>12</v>
      </c>
      <c r="D20" s="126" t="s">
        <v>13</v>
      </c>
      <c r="E20" s="129">
        <v>2975533.93</v>
      </c>
      <c r="G20" s="30"/>
      <c r="I20" s="69"/>
      <c r="J20" s="69"/>
    </row>
    <row r="21" spans="1:10" s="70" customFormat="1" ht="12.75" customHeight="1" x14ac:dyDescent="0.2">
      <c r="A21" s="127">
        <v>45101</v>
      </c>
      <c r="B21" s="128" t="s">
        <v>6</v>
      </c>
      <c r="C21" s="76" t="s">
        <v>19</v>
      </c>
      <c r="D21" s="126" t="s">
        <v>13</v>
      </c>
      <c r="E21" s="129">
        <v>1264509</v>
      </c>
      <c r="G21" s="30"/>
      <c r="I21" s="69"/>
      <c r="J21" s="69"/>
    </row>
    <row r="22" spans="1:10" s="70" customFormat="1" ht="12.75" customHeight="1" x14ac:dyDescent="0.2">
      <c r="A22" s="127">
        <v>45101</v>
      </c>
      <c r="B22" s="128" t="s">
        <v>6</v>
      </c>
      <c r="C22" s="76" t="s">
        <v>120</v>
      </c>
      <c r="D22" s="126" t="s">
        <v>13</v>
      </c>
      <c r="E22" s="129">
        <v>3267608.07</v>
      </c>
      <c r="G22" s="30"/>
      <c r="I22" s="69"/>
      <c r="J22" s="69"/>
    </row>
    <row r="23" spans="1:10" s="70" customFormat="1" ht="12.75" customHeight="1" x14ac:dyDescent="0.2">
      <c r="A23" s="127">
        <v>45101</v>
      </c>
      <c r="B23" s="128" t="s">
        <v>6</v>
      </c>
      <c r="C23" s="76" t="s">
        <v>947</v>
      </c>
      <c r="D23" s="126" t="s">
        <v>13</v>
      </c>
      <c r="E23" s="129">
        <v>4818096</v>
      </c>
      <c r="G23" s="30"/>
      <c r="I23" s="69"/>
      <c r="J23" s="69"/>
    </row>
    <row r="24" spans="1:10" s="70" customFormat="1" ht="12.75" customHeight="1" x14ac:dyDescent="0.2">
      <c r="A24" s="127">
        <v>45101</v>
      </c>
      <c r="B24" s="128" t="s">
        <v>6</v>
      </c>
      <c r="C24" s="76" t="s">
        <v>677</v>
      </c>
      <c r="D24" s="126" t="s">
        <v>13</v>
      </c>
      <c r="E24" s="129">
        <v>29795</v>
      </c>
      <c r="G24" s="30"/>
      <c r="I24" s="69"/>
      <c r="J24" s="69"/>
    </row>
    <row r="25" spans="1:10" s="70" customFormat="1" ht="12.75" customHeight="1" x14ac:dyDescent="0.2">
      <c r="A25" s="127">
        <v>45101</v>
      </c>
      <c r="B25" s="128" t="s">
        <v>6</v>
      </c>
      <c r="C25" s="76" t="s">
        <v>705</v>
      </c>
      <c r="D25" s="126" t="s">
        <v>13</v>
      </c>
      <c r="E25" s="129">
        <v>120001</v>
      </c>
      <c r="G25" s="30"/>
      <c r="I25" s="69"/>
      <c r="J25" s="69"/>
    </row>
    <row r="26" spans="1:10" s="70" customFormat="1" ht="12.75" customHeight="1" x14ac:dyDescent="0.2">
      <c r="A26" s="127">
        <v>45101</v>
      </c>
      <c r="B26" s="128" t="s">
        <v>6</v>
      </c>
      <c r="C26" s="76" t="s">
        <v>247</v>
      </c>
      <c r="D26" s="126" t="s">
        <v>13</v>
      </c>
      <c r="E26" s="129">
        <v>1470000</v>
      </c>
      <c r="G26" s="30"/>
      <c r="I26" s="69"/>
      <c r="J26" s="69"/>
    </row>
    <row r="27" spans="1:10" s="70" customFormat="1" ht="12.75" customHeight="1" x14ac:dyDescent="0.2">
      <c r="A27" s="127">
        <v>45101</v>
      </c>
      <c r="B27" s="128" t="s">
        <v>6</v>
      </c>
      <c r="C27" s="76" t="s">
        <v>479</v>
      </c>
      <c r="D27" s="126" t="s">
        <v>13</v>
      </c>
      <c r="E27" s="129">
        <v>724298</v>
      </c>
      <c r="G27" s="30"/>
      <c r="I27" s="69"/>
      <c r="J27" s="69"/>
    </row>
    <row r="28" spans="1:10" s="70" customFormat="1" ht="12.75" customHeight="1" x14ac:dyDescent="0.2">
      <c r="A28" s="127">
        <v>45101</v>
      </c>
      <c r="B28" s="128" t="s">
        <v>6</v>
      </c>
      <c r="C28" s="76" t="s">
        <v>213</v>
      </c>
      <c r="D28" s="126" t="s">
        <v>13</v>
      </c>
      <c r="E28" s="129">
        <v>2109143</v>
      </c>
      <c r="G28" s="30"/>
      <c r="I28" s="69"/>
      <c r="J28" s="69"/>
    </row>
    <row r="29" spans="1:10" s="70" customFormat="1" ht="12.75" customHeight="1" x14ac:dyDescent="0.2">
      <c r="A29" s="127">
        <v>45101</v>
      </c>
      <c r="B29" s="128" t="s">
        <v>6</v>
      </c>
      <c r="C29" s="76" t="s">
        <v>15</v>
      </c>
      <c r="D29" s="126" t="s">
        <v>13</v>
      </c>
      <c r="E29" s="129">
        <v>12780.939999999999</v>
      </c>
      <c r="G29" s="30"/>
      <c r="I29" s="69"/>
      <c r="J29" s="69"/>
    </row>
    <row r="30" spans="1:10" s="70" customFormat="1" ht="12.75" customHeight="1" x14ac:dyDescent="0.2">
      <c r="A30" s="127">
        <v>45101</v>
      </c>
      <c r="B30" s="128" t="s">
        <v>11</v>
      </c>
      <c r="C30" s="76" t="s">
        <v>64</v>
      </c>
      <c r="D30" s="126" t="s">
        <v>29</v>
      </c>
      <c r="E30" s="129"/>
      <c r="F30" s="70">
        <v>8825.2899999999991</v>
      </c>
      <c r="G30" s="30"/>
      <c r="I30" s="69"/>
      <c r="J30" s="69"/>
    </row>
    <row r="31" spans="1:10" s="70" customFormat="1" ht="12.75" customHeight="1" x14ac:dyDescent="0.2">
      <c r="A31" s="127">
        <v>45101</v>
      </c>
      <c r="B31" s="128" t="s">
        <v>11</v>
      </c>
      <c r="C31" s="76" t="s">
        <v>15</v>
      </c>
      <c r="D31" s="126" t="s">
        <v>29</v>
      </c>
      <c r="E31" s="129"/>
      <c r="F31" s="70">
        <v>3186</v>
      </c>
      <c r="G31" s="30"/>
      <c r="I31" s="69"/>
      <c r="J31" s="69"/>
    </row>
    <row r="32" spans="1:10" s="70" customFormat="1" ht="12.75" customHeight="1" x14ac:dyDescent="0.2">
      <c r="A32" s="127">
        <v>45101</v>
      </c>
      <c r="B32" s="128" t="s">
        <v>11</v>
      </c>
      <c r="C32" s="76" t="s">
        <v>748</v>
      </c>
      <c r="D32" s="126" t="s">
        <v>29</v>
      </c>
      <c r="E32" s="129"/>
      <c r="F32" s="70">
        <v>825628.5</v>
      </c>
      <c r="G32" s="30"/>
      <c r="I32" s="69"/>
      <c r="J32" s="69"/>
    </row>
    <row r="33" spans="1:13" s="70" customFormat="1" ht="12.75" customHeight="1" x14ac:dyDescent="0.2">
      <c r="A33" s="127">
        <v>45101</v>
      </c>
      <c r="B33" s="128" t="s">
        <v>11</v>
      </c>
      <c r="C33" s="76" t="s">
        <v>749</v>
      </c>
      <c r="D33" s="126" t="s">
        <v>29</v>
      </c>
      <c r="E33" s="129"/>
      <c r="F33" s="70">
        <v>40084.67</v>
      </c>
      <c r="G33" s="30"/>
      <c r="I33" s="69"/>
      <c r="J33" s="69"/>
    </row>
    <row r="34" spans="1:13" s="70" customFormat="1" ht="12.75" customHeight="1" x14ac:dyDescent="0.2">
      <c r="A34" s="127">
        <v>45101</v>
      </c>
      <c r="B34" s="128" t="s">
        <v>11</v>
      </c>
      <c r="C34" s="76" t="s">
        <v>760</v>
      </c>
      <c r="D34" s="126" t="s">
        <v>29</v>
      </c>
      <c r="E34" s="129"/>
      <c r="F34" s="70">
        <v>191697.7</v>
      </c>
      <c r="G34" s="30"/>
      <c r="I34" s="69"/>
      <c r="J34" s="69"/>
    </row>
    <row r="35" spans="1:13" s="70" customFormat="1" ht="12.75" customHeight="1" x14ac:dyDescent="0.2">
      <c r="A35" s="127">
        <v>45101</v>
      </c>
      <c r="B35" s="128" t="s">
        <v>11</v>
      </c>
      <c r="C35" s="76" t="s">
        <v>687</v>
      </c>
      <c r="D35" s="126" t="s">
        <v>29</v>
      </c>
      <c r="E35" s="129"/>
      <c r="F35" s="70">
        <v>126587</v>
      </c>
      <c r="G35" s="30"/>
      <c r="I35" s="69"/>
      <c r="J35" s="69"/>
    </row>
    <row r="36" spans="1:13" s="70" customFormat="1" ht="12.75" customHeight="1" x14ac:dyDescent="0.2">
      <c r="A36" s="127">
        <v>45101</v>
      </c>
      <c r="B36" s="128" t="s">
        <v>11</v>
      </c>
      <c r="C36" s="76" t="s">
        <v>34</v>
      </c>
      <c r="D36" s="126" t="s">
        <v>29</v>
      </c>
      <c r="E36" s="129"/>
      <c r="F36" s="70">
        <v>30000</v>
      </c>
      <c r="G36" s="30"/>
      <c r="I36" s="69"/>
      <c r="J36" s="69"/>
    </row>
    <row r="37" spans="1:13" s="70" customFormat="1" ht="12.75" customHeight="1" x14ac:dyDescent="0.2">
      <c r="A37" s="127">
        <v>45101</v>
      </c>
      <c r="B37" s="128" t="s">
        <v>11</v>
      </c>
      <c r="C37" s="76" t="s">
        <v>734</v>
      </c>
      <c r="D37" s="126" t="s">
        <v>29</v>
      </c>
      <c r="E37" s="129"/>
      <c r="F37" s="70">
        <v>183255</v>
      </c>
      <c r="G37" s="30"/>
      <c r="I37" s="69"/>
      <c r="J37" s="69"/>
    </row>
    <row r="38" spans="1:13" s="70" customFormat="1" ht="12.75" customHeight="1" x14ac:dyDescent="0.2">
      <c r="A38" s="127">
        <v>45101</v>
      </c>
      <c r="B38" s="128" t="s">
        <v>11</v>
      </c>
      <c r="C38" s="76" t="s">
        <v>363</v>
      </c>
      <c r="D38" s="126" t="s">
        <v>29</v>
      </c>
      <c r="E38" s="129"/>
      <c r="F38" s="70">
        <v>79175</v>
      </c>
      <c r="G38" s="30"/>
      <c r="I38" s="69"/>
      <c r="J38" s="69"/>
    </row>
    <row r="39" spans="1:13" s="70" customFormat="1" ht="12.75" customHeight="1" x14ac:dyDescent="0.2">
      <c r="A39" s="127">
        <v>45101</v>
      </c>
      <c r="B39" s="128" t="s">
        <v>11</v>
      </c>
      <c r="C39" s="76" t="s">
        <v>528</v>
      </c>
      <c r="D39" s="126" t="s">
        <v>29</v>
      </c>
      <c r="E39" s="129"/>
      <c r="F39" s="70">
        <v>338148.49</v>
      </c>
      <c r="G39" s="30"/>
      <c r="I39" s="69"/>
      <c r="J39" s="69"/>
    </row>
    <row r="40" spans="1:13" s="70" customFormat="1" ht="12.75" customHeight="1" x14ac:dyDescent="0.2">
      <c r="A40" s="127">
        <v>45101</v>
      </c>
      <c r="B40" s="128" t="s">
        <v>11</v>
      </c>
      <c r="C40" s="76" t="s">
        <v>140</v>
      </c>
      <c r="D40" s="126" t="s">
        <v>29</v>
      </c>
      <c r="E40" s="129"/>
      <c r="F40" s="70">
        <v>3416560</v>
      </c>
      <c r="G40" s="30"/>
      <c r="I40" s="69"/>
      <c r="J40" s="69"/>
    </row>
    <row r="41" spans="1:13" s="70" customFormat="1" ht="12.75" customHeight="1" x14ac:dyDescent="0.2">
      <c r="A41" s="127">
        <v>45101</v>
      </c>
      <c r="B41" s="128" t="s">
        <v>11</v>
      </c>
      <c r="C41" s="76" t="s">
        <v>33</v>
      </c>
      <c r="D41" s="126" t="s">
        <v>29</v>
      </c>
      <c r="E41" s="129"/>
      <c r="F41" s="70">
        <v>721725</v>
      </c>
      <c r="G41" s="30"/>
      <c r="I41" s="69"/>
      <c r="J41" s="69"/>
    </row>
    <row r="42" spans="1:13" s="70" customFormat="1" ht="12.75" customHeight="1" x14ac:dyDescent="0.2">
      <c r="A42" s="127">
        <v>45101</v>
      </c>
      <c r="B42" s="128" t="s">
        <v>11</v>
      </c>
      <c r="C42" s="76" t="s">
        <v>32</v>
      </c>
      <c r="D42" s="126" t="s">
        <v>29</v>
      </c>
      <c r="E42" s="129"/>
      <c r="F42" s="70">
        <v>1998439</v>
      </c>
      <c r="G42" s="30"/>
      <c r="I42" s="69"/>
      <c r="J42" s="69"/>
    </row>
    <row r="43" spans="1:13" s="70" customFormat="1" ht="12.75" customHeight="1" x14ac:dyDescent="0.2">
      <c r="A43" s="127">
        <v>45101</v>
      </c>
      <c r="B43" s="128" t="s">
        <v>11</v>
      </c>
      <c r="C43" s="76" t="s">
        <v>301</v>
      </c>
      <c r="D43" s="126" t="s">
        <v>29</v>
      </c>
      <c r="E43" s="129"/>
      <c r="F43" s="70">
        <v>2001258</v>
      </c>
      <c r="G43" s="30"/>
      <c r="I43" s="69"/>
      <c r="J43" s="69"/>
    </row>
    <row r="44" spans="1:13" s="70" customFormat="1" ht="12.75" customHeight="1" x14ac:dyDescent="0.2">
      <c r="A44" s="127">
        <v>45101</v>
      </c>
      <c r="B44" s="128" t="s">
        <v>11</v>
      </c>
      <c r="C44" s="76" t="s">
        <v>306</v>
      </c>
      <c r="D44" s="126" t="s">
        <v>29</v>
      </c>
      <c r="E44" s="129"/>
      <c r="F44" s="70">
        <v>2681217</v>
      </c>
      <c r="G44" s="30"/>
      <c r="I44" s="69"/>
      <c r="J44" s="69"/>
    </row>
    <row r="45" spans="1:13" s="70" customFormat="1" ht="12.75" customHeight="1" x14ac:dyDescent="0.2">
      <c r="A45" s="127">
        <v>45101</v>
      </c>
      <c r="B45" s="128" t="s">
        <v>11</v>
      </c>
      <c r="C45" s="76" t="s">
        <v>246</v>
      </c>
      <c r="D45" s="126" t="s">
        <v>29</v>
      </c>
      <c r="E45" s="129"/>
      <c r="F45" s="70">
        <v>2537750</v>
      </c>
      <c r="G45" s="30"/>
      <c r="I45" s="69"/>
      <c r="J45" s="69"/>
    </row>
    <row r="46" spans="1:13" s="70" customFormat="1" ht="12.75" customHeight="1" x14ac:dyDescent="0.2">
      <c r="A46" s="127">
        <v>45101</v>
      </c>
      <c r="B46" s="128" t="s">
        <v>11</v>
      </c>
      <c r="C46" s="76" t="s">
        <v>637</v>
      </c>
      <c r="D46" s="126" t="s">
        <v>29</v>
      </c>
      <c r="E46" s="129"/>
      <c r="F46" s="70">
        <v>27500</v>
      </c>
      <c r="G46" s="30"/>
      <c r="I46" s="69"/>
      <c r="J46" s="69"/>
    </row>
    <row r="47" spans="1:13" s="70" customFormat="1" ht="12.75" customHeight="1" x14ac:dyDescent="0.2">
      <c r="A47" s="127">
        <v>45101</v>
      </c>
      <c r="B47" s="128" t="s">
        <v>11</v>
      </c>
      <c r="C47" s="76" t="s">
        <v>1131</v>
      </c>
      <c r="D47" s="126" t="s">
        <v>29</v>
      </c>
      <c r="E47" s="129"/>
      <c r="F47" s="70">
        <v>1500000</v>
      </c>
      <c r="G47" s="30"/>
      <c r="I47" s="69"/>
      <c r="J47" s="69"/>
    </row>
    <row r="48" spans="1:13" s="2" customFormat="1" ht="12.75" customHeight="1" x14ac:dyDescent="0.25">
      <c r="A48" s="32"/>
      <c r="B48" s="33"/>
      <c r="C48" s="14"/>
      <c r="D48" s="34"/>
      <c r="E48" s="16">
        <f>SUM(E17:E47)</f>
        <v>16804428.940000001</v>
      </c>
      <c r="F48" s="16">
        <f>SUM(F17:F47)</f>
        <v>302267795.4599998</v>
      </c>
      <c r="G48" s="30"/>
      <c r="H48" s="1"/>
      <c r="I48" s="39">
        <v>285463366.51999998</v>
      </c>
      <c r="K48" s="92">
        <f>E49-I48</f>
        <v>0</v>
      </c>
      <c r="L48" s="41"/>
      <c r="M48" s="42"/>
    </row>
    <row r="49" spans="1:14" s="2" customFormat="1" ht="12.75" customHeight="1" x14ac:dyDescent="0.2">
      <c r="A49" s="36"/>
      <c r="B49" s="28" t="s">
        <v>11</v>
      </c>
      <c r="C49" s="19" t="s">
        <v>65</v>
      </c>
      <c r="D49" s="37"/>
      <c r="E49" s="38">
        <f>F48-E48</f>
        <v>285463366.5199998</v>
      </c>
      <c r="F49" s="22"/>
      <c r="G49" s="1"/>
      <c r="H49" s="1"/>
      <c r="J49" s="1"/>
      <c r="K49" s="1"/>
      <c r="L49" s="1"/>
      <c r="M49" s="1"/>
    </row>
    <row r="50" spans="1:14" s="2" customFormat="1" ht="12.75" customHeight="1" x14ac:dyDescent="0.2">
      <c r="A50" s="36"/>
      <c r="B50" s="28" t="s">
        <v>66</v>
      </c>
      <c r="C50" s="43" t="s">
        <v>67</v>
      </c>
      <c r="D50" s="43"/>
      <c r="E50" s="12">
        <v>59416310</v>
      </c>
      <c r="F50" s="22"/>
      <c r="G50" s="1"/>
      <c r="H50" s="40"/>
      <c r="I50" s="45">
        <v>3357.1</v>
      </c>
      <c r="J50" s="46"/>
      <c r="K50" s="46"/>
      <c r="L50" s="13"/>
    </row>
    <row r="51" spans="1:14" s="2" customFormat="1" ht="12.75" customHeight="1" x14ac:dyDescent="0.25">
      <c r="A51" s="36"/>
      <c r="B51" s="28"/>
      <c r="C51" s="44" t="s">
        <v>68</v>
      </c>
      <c r="D51" s="43"/>
      <c r="E51" s="7">
        <f>E49+E50</f>
        <v>344879676.5199998</v>
      </c>
      <c r="F51" s="22"/>
      <c r="G51" s="1"/>
      <c r="H51" s="103" t="s">
        <v>69</v>
      </c>
      <c r="I51" s="45">
        <v>-83.92</v>
      </c>
      <c r="J51" s="46"/>
      <c r="K51" s="46"/>
      <c r="N51" s="1"/>
    </row>
    <row r="52" spans="1:14" s="2" customFormat="1" x14ac:dyDescent="0.2">
      <c r="A52" s="24"/>
      <c r="B52" s="1"/>
      <c r="C52" s="14"/>
      <c r="D52" s="25"/>
      <c r="E52" s="1"/>
      <c r="H52" s="35" t="s">
        <v>70</v>
      </c>
      <c r="I52" s="45">
        <f>4.6+54.96</f>
        <v>59.56</v>
      </c>
      <c r="J52" s="46">
        <f>+I53-D55</f>
        <v>0</v>
      </c>
      <c r="M52" s="2" t="s">
        <v>396</v>
      </c>
      <c r="N52" s="1"/>
    </row>
    <row r="53" spans="1:14" x14ac:dyDescent="0.2">
      <c r="C53" s="56"/>
      <c r="D53" s="56"/>
      <c r="E53" s="104"/>
      <c r="I53" s="49">
        <f>SUM(I50:I52)</f>
        <v>3332.74</v>
      </c>
      <c r="J53" s="46"/>
      <c r="K53" s="46"/>
      <c r="L53" s="2"/>
      <c r="M53" s="2"/>
      <c r="N53" s="2"/>
    </row>
    <row r="54" spans="1:14" x14ac:dyDescent="0.2">
      <c r="C54" s="78" t="s">
        <v>575</v>
      </c>
      <c r="D54" s="48" t="s">
        <v>576</v>
      </c>
      <c r="E54" s="104"/>
      <c r="I54" s="2"/>
      <c r="J54" s="2"/>
      <c r="K54" s="2"/>
      <c r="L54" s="2"/>
      <c r="M54" s="2"/>
      <c r="N54" s="2"/>
    </row>
    <row r="55" spans="1:14" s="2" customFormat="1" x14ac:dyDescent="0.2">
      <c r="A55" s="24"/>
      <c r="B55" s="1"/>
      <c r="C55" s="47" t="s">
        <v>570</v>
      </c>
      <c r="D55" s="111">
        <v>3332.74</v>
      </c>
      <c r="E55" s="104"/>
      <c r="G55" s="1"/>
      <c r="H55" s="110" t="s">
        <v>581</v>
      </c>
      <c r="N55" s="2" t="s">
        <v>535</v>
      </c>
    </row>
    <row r="56" spans="1:14" s="2" customFormat="1" x14ac:dyDescent="0.2">
      <c r="A56" s="24"/>
      <c r="B56" s="1"/>
      <c r="C56" s="47" t="s">
        <v>931</v>
      </c>
      <c r="D56" s="111">
        <v>463.31</v>
      </c>
      <c r="E56" s="104"/>
      <c r="G56" s="1"/>
      <c r="H56" s="110" t="s">
        <v>580</v>
      </c>
    </row>
    <row r="57" spans="1:14" s="2" customFormat="1" x14ac:dyDescent="0.2">
      <c r="A57" s="24"/>
      <c r="B57" s="1"/>
      <c r="C57" s="47" t="s">
        <v>572</v>
      </c>
      <c r="D57" s="111">
        <f>+D103/100000</f>
        <v>496.22917460000002</v>
      </c>
      <c r="E57" s="104"/>
      <c r="G57" s="1"/>
      <c r="H57" s="90" t="s">
        <v>587</v>
      </c>
    </row>
    <row r="58" spans="1:14" s="2" customFormat="1" x14ac:dyDescent="0.2">
      <c r="A58" s="24"/>
      <c r="B58" s="1"/>
      <c r="C58" s="108" t="s">
        <v>578</v>
      </c>
      <c r="D58" s="48">
        <f>SUM(D55:D57)</f>
        <v>4292.2791745999994</v>
      </c>
      <c r="E58" s="104"/>
      <c r="G58" s="1"/>
    </row>
    <row r="59" spans="1:14" s="2" customFormat="1" x14ac:dyDescent="0.2">
      <c r="A59" s="24"/>
      <c r="B59" s="1"/>
      <c r="C59" s="47"/>
      <c r="D59" s="107"/>
      <c r="E59" s="104"/>
      <c r="G59" s="1"/>
    </row>
    <row r="60" spans="1:14" s="2" customFormat="1" x14ac:dyDescent="0.2">
      <c r="A60" s="24"/>
      <c r="B60" s="1"/>
      <c r="C60" s="47" t="s">
        <v>932</v>
      </c>
      <c r="D60" s="111">
        <v>303.36</v>
      </c>
      <c r="E60" s="104"/>
      <c r="G60" s="1"/>
      <c r="H60" s="110" t="s">
        <v>581</v>
      </c>
    </row>
    <row r="61" spans="1:14" s="2" customFormat="1" x14ac:dyDescent="0.2">
      <c r="A61" s="24"/>
      <c r="B61" s="1"/>
      <c r="C61" s="47" t="s">
        <v>933</v>
      </c>
      <c r="D61" s="111">
        <f>358.72+179.5-193.68</f>
        <v>344.54</v>
      </c>
      <c r="E61" s="104"/>
      <c r="G61" s="1"/>
      <c r="H61" s="110" t="s">
        <v>581</v>
      </c>
      <c r="J61" s="114" t="s">
        <v>713</v>
      </c>
    </row>
    <row r="62" spans="1:14" s="2" customFormat="1" x14ac:dyDescent="0.2">
      <c r="A62" s="24"/>
      <c r="B62" s="1"/>
      <c r="C62" s="78" t="s">
        <v>579</v>
      </c>
      <c r="D62" s="109">
        <f>D60+D61</f>
        <v>647.90000000000009</v>
      </c>
      <c r="E62" s="104"/>
      <c r="G62" s="1"/>
      <c r="I62" s="113"/>
      <c r="J62" s="113" t="s">
        <v>709</v>
      </c>
      <c r="K62" s="113" t="s">
        <v>710</v>
      </c>
      <c r="L62" s="113" t="s">
        <v>711</v>
      </c>
      <c r="M62" s="113" t="s">
        <v>712</v>
      </c>
    </row>
    <row r="63" spans="1:14" s="2" customFormat="1" x14ac:dyDescent="0.2">
      <c r="A63" s="24"/>
      <c r="B63" s="1"/>
      <c r="C63" s="105"/>
      <c r="D63" s="106"/>
      <c r="E63" s="104"/>
      <c r="G63" s="1"/>
      <c r="I63" s="113" t="s">
        <v>706</v>
      </c>
      <c r="J63" s="115"/>
      <c r="K63" s="115">
        <v>968.99</v>
      </c>
      <c r="L63" s="115">
        <v>968.99</v>
      </c>
      <c r="M63" s="113">
        <f>+J63+L63-K63</f>
        <v>0</v>
      </c>
    </row>
    <row r="64" spans="1:14" s="2" customFormat="1" x14ac:dyDescent="0.2">
      <c r="A64" s="24"/>
      <c r="B64" s="1"/>
      <c r="C64" s="78" t="s">
        <v>577</v>
      </c>
      <c r="D64" s="109">
        <f>D55+D62</f>
        <v>3980.64</v>
      </c>
      <c r="E64" s="104"/>
      <c r="G64" s="1"/>
      <c r="I64" s="113" t="s">
        <v>707</v>
      </c>
      <c r="J64" s="115">
        <v>183.1</v>
      </c>
      <c r="K64" s="115">
        <v>2424.27</v>
      </c>
      <c r="L64" s="115">
        <v>3096.17</v>
      </c>
      <c r="M64" s="113">
        <f>+J64+L64-K64</f>
        <v>855</v>
      </c>
    </row>
    <row r="65" spans="1:13" s="2" customFormat="1" x14ac:dyDescent="0.2">
      <c r="A65" s="24"/>
      <c r="B65" s="1"/>
      <c r="C65" s="56"/>
      <c r="D65" s="56"/>
      <c r="E65" s="104"/>
      <c r="G65" s="1"/>
      <c r="I65" s="113" t="s">
        <v>708</v>
      </c>
      <c r="J65" s="115">
        <v>1371.02</v>
      </c>
      <c r="K65" s="115">
        <v>12289.53</v>
      </c>
      <c r="L65" s="115">
        <f>12105.3+179.5</f>
        <v>12284.8</v>
      </c>
      <c r="M65" s="113">
        <f>+J65+L65-K65</f>
        <v>1366.2899999999991</v>
      </c>
    </row>
    <row r="66" spans="1:13" s="2" customFormat="1" ht="38.25" x14ac:dyDescent="0.2">
      <c r="A66" s="24"/>
      <c r="B66" s="1"/>
      <c r="C66" s="79" t="str">
        <f>"Particulars ( 01-04-2021 to "&amp;TEXT(A5,"dd-mm-yyyy")&amp;" )"</f>
        <v>Particulars ( 01-04-2021 to 24-06-2023 )</v>
      </c>
      <c r="D66" s="80" t="s">
        <v>73</v>
      </c>
      <c r="E66" s="80" t="s">
        <v>74</v>
      </c>
      <c r="F66" s="81" t="s">
        <v>75</v>
      </c>
      <c r="G66" s="80" t="s">
        <v>76</v>
      </c>
      <c r="J66" s="118">
        <f>SUM(J63:J65)</f>
        <v>1554.12</v>
      </c>
      <c r="K66" s="118">
        <f>SUM(K63:K65)</f>
        <v>15682.79</v>
      </c>
      <c r="L66" s="118">
        <f>SUM(L63:L65)</f>
        <v>16349.96</v>
      </c>
      <c r="M66" s="118">
        <f>SUM(M63:M65)</f>
        <v>2221.2899999999991</v>
      </c>
    </row>
    <row r="67" spans="1:13" s="2" customFormat="1" x14ac:dyDescent="0.2">
      <c r="A67" s="24"/>
      <c r="B67" s="1"/>
      <c r="C67" s="50" t="s">
        <v>444</v>
      </c>
      <c r="D67" s="55">
        <f>+L63+L64+J64</f>
        <v>4248.26</v>
      </c>
      <c r="E67" s="55">
        <f>+K63+K64</f>
        <v>3393.26</v>
      </c>
      <c r="F67" s="55">
        <f>+D67-E67</f>
        <v>855</v>
      </c>
      <c r="G67" s="55">
        <f>1500-F67</f>
        <v>645</v>
      </c>
      <c r="H67" s="2" t="s">
        <v>396</v>
      </c>
    </row>
    <row r="68" spans="1:13" s="2" customFormat="1" x14ac:dyDescent="0.2">
      <c r="A68" s="24"/>
      <c r="B68" s="1"/>
      <c r="C68" s="50" t="s">
        <v>71</v>
      </c>
      <c r="D68" s="55">
        <f>+J65+L65</f>
        <v>13655.82</v>
      </c>
      <c r="E68" s="55">
        <f>+K65</f>
        <v>12289.53</v>
      </c>
      <c r="F68" s="55">
        <f>+D68-E68</f>
        <v>1366.2899999999991</v>
      </c>
      <c r="G68" s="55">
        <f>1500+700-F68</f>
        <v>833.71000000000095</v>
      </c>
      <c r="H68" s="2" t="s">
        <v>396</v>
      </c>
    </row>
    <row r="69" spans="1:13" s="2" customFormat="1" x14ac:dyDescent="0.2">
      <c r="A69" s="24"/>
      <c r="B69" s="1"/>
      <c r="C69" s="14"/>
      <c r="D69" s="56"/>
      <c r="E69" s="13"/>
      <c r="G69" s="1"/>
    </row>
    <row r="70" spans="1:13" s="2" customFormat="1" x14ac:dyDescent="0.2">
      <c r="A70" s="215" t="s">
        <v>80</v>
      </c>
      <c r="B70" s="216"/>
      <c r="C70" s="216"/>
      <c r="D70" s="217"/>
      <c r="E70" s="69"/>
      <c r="F70" s="70"/>
      <c r="G70" s="1"/>
      <c r="H70" s="53"/>
    </row>
    <row r="71" spans="1:13" s="2" customFormat="1" x14ac:dyDescent="0.2">
      <c r="A71" s="71" t="s">
        <v>81</v>
      </c>
      <c r="B71" s="71"/>
      <c r="C71" s="72" t="s">
        <v>82</v>
      </c>
      <c r="D71" s="73" t="s">
        <v>83</v>
      </c>
      <c r="E71" s="69"/>
      <c r="F71" s="70"/>
      <c r="H71" s="53"/>
    </row>
    <row r="72" spans="1:13" s="2" customFormat="1" x14ac:dyDescent="0.2">
      <c r="A72" s="87">
        <v>45080</v>
      </c>
      <c r="B72" s="120" t="s">
        <v>1052</v>
      </c>
      <c r="C72" s="75" t="s">
        <v>86</v>
      </c>
      <c r="D72" s="88">
        <v>163799</v>
      </c>
      <c r="G72" s="1"/>
      <c r="L72" s="1"/>
      <c r="M72" s="1"/>
    </row>
    <row r="73" spans="1:13" s="2" customFormat="1" x14ac:dyDescent="0.2">
      <c r="A73" s="87">
        <v>45080</v>
      </c>
      <c r="B73" s="120" t="s">
        <v>1052</v>
      </c>
      <c r="C73" s="75" t="s">
        <v>86</v>
      </c>
      <c r="D73" s="88">
        <v>1695107</v>
      </c>
      <c r="G73" s="1"/>
      <c r="L73" s="1"/>
      <c r="M73" s="1"/>
    </row>
    <row r="74" spans="1:13" s="2" customFormat="1" x14ac:dyDescent="0.2">
      <c r="A74" s="87">
        <v>45082</v>
      </c>
      <c r="B74" s="120" t="s">
        <v>1052</v>
      </c>
      <c r="C74" s="75" t="s">
        <v>87</v>
      </c>
      <c r="D74" s="88">
        <v>6627</v>
      </c>
      <c r="G74" s="1"/>
      <c r="L74" s="1"/>
      <c r="M74" s="1"/>
    </row>
    <row r="75" spans="1:13" s="2" customFormat="1" x14ac:dyDescent="0.2">
      <c r="A75" s="87">
        <v>45084</v>
      </c>
      <c r="B75" s="120" t="s">
        <v>1052</v>
      </c>
      <c r="C75" s="75" t="s">
        <v>87</v>
      </c>
      <c r="D75" s="88">
        <v>618395.80000000005</v>
      </c>
      <c r="G75" s="1"/>
      <c r="L75" s="1"/>
      <c r="M75" s="1"/>
    </row>
    <row r="76" spans="1:13" s="2" customFormat="1" x14ac:dyDescent="0.2">
      <c r="A76" s="87">
        <v>45085</v>
      </c>
      <c r="B76" s="120" t="s">
        <v>1052</v>
      </c>
      <c r="C76" s="75" t="s">
        <v>767</v>
      </c>
      <c r="D76" s="88">
        <v>407682</v>
      </c>
      <c r="G76" s="1"/>
      <c r="L76" s="1"/>
      <c r="M76" s="1"/>
    </row>
    <row r="77" spans="1:13" s="2" customFormat="1" x14ac:dyDescent="0.2">
      <c r="A77" s="87">
        <v>45086</v>
      </c>
      <c r="B77" s="120" t="s">
        <v>1052</v>
      </c>
      <c r="C77" s="75" t="s">
        <v>784</v>
      </c>
      <c r="D77" s="88">
        <v>1104724</v>
      </c>
      <c r="G77" s="1"/>
      <c r="L77" s="1"/>
      <c r="M77" s="1"/>
    </row>
    <row r="78" spans="1:13" s="2" customFormat="1" x14ac:dyDescent="0.2">
      <c r="A78" s="87">
        <v>45086</v>
      </c>
      <c r="B78" s="120" t="s">
        <v>1052</v>
      </c>
      <c r="C78" s="75" t="s">
        <v>86</v>
      </c>
      <c r="D78" s="88">
        <v>1756907</v>
      </c>
      <c r="G78" s="1"/>
      <c r="L78" s="1"/>
      <c r="M78" s="1"/>
    </row>
    <row r="79" spans="1:13" s="2" customFormat="1" x14ac:dyDescent="0.2">
      <c r="A79" s="87">
        <v>45086</v>
      </c>
      <c r="B79" s="120" t="s">
        <v>1052</v>
      </c>
      <c r="C79" s="75" t="s">
        <v>784</v>
      </c>
      <c r="D79" s="88">
        <v>1489874</v>
      </c>
      <c r="G79" s="1"/>
      <c r="L79" s="1"/>
      <c r="M79" s="1"/>
    </row>
    <row r="80" spans="1:13" s="2" customFormat="1" x14ac:dyDescent="0.2">
      <c r="A80" s="87">
        <v>45086</v>
      </c>
      <c r="B80" s="120" t="s">
        <v>1052</v>
      </c>
      <c r="C80" s="75" t="s">
        <v>201</v>
      </c>
      <c r="D80" s="88">
        <v>5000192.4400000004</v>
      </c>
      <c r="G80" s="1"/>
      <c r="L80" s="1"/>
      <c r="M80" s="1"/>
    </row>
    <row r="81" spans="1:13" s="2" customFormat="1" x14ac:dyDescent="0.2">
      <c r="A81" s="87">
        <v>45089</v>
      </c>
      <c r="B81" s="120" t="s">
        <v>1052</v>
      </c>
      <c r="C81" s="75" t="s">
        <v>566</v>
      </c>
      <c r="D81" s="88">
        <v>654429</v>
      </c>
      <c r="G81" s="1"/>
      <c r="L81" s="1"/>
      <c r="M81" s="1"/>
    </row>
    <row r="82" spans="1:13" s="2" customFormat="1" x14ac:dyDescent="0.2">
      <c r="A82" s="87">
        <v>45090</v>
      </c>
      <c r="B82" s="120" t="s">
        <v>1052</v>
      </c>
      <c r="C82" s="75" t="s">
        <v>566</v>
      </c>
      <c r="D82" s="88">
        <f>62180.5+9179</f>
        <v>71359.5</v>
      </c>
      <c r="G82" s="1"/>
      <c r="L82" s="1"/>
      <c r="M82" s="1"/>
    </row>
    <row r="83" spans="1:13" s="2" customFormat="1" x14ac:dyDescent="0.2">
      <c r="A83" s="87">
        <v>45090</v>
      </c>
      <c r="B83" s="120" t="s">
        <v>1052</v>
      </c>
      <c r="C83" s="75" t="s">
        <v>1084</v>
      </c>
      <c r="D83" s="88">
        <v>5353676</v>
      </c>
      <c r="G83" s="1"/>
      <c r="L83" s="1"/>
      <c r="M83" s="1"/>
    </row>
    <row r="84" spans="1:13" s="2" customFormat="1" x14ac:dyDescent="0.2">
      <c r="A84" s="87">
        <v>45091</v>
      </c>
      <c r="B84" s="120" t="s">
        <v>1052</v>
      </c>
      <c r="C84" s="75" t="s">
        <v>87</v>
      </c>
      <c r="D84" s="88">
        <v>1261201</v>
      </c>
      <c r="G84" s="1"/>
      <c r="L84" s="1"/>
      <c r="M84" s="1"/>
    </row>
    <row r="85" spans="1:13" s="2" customFormat="1" x14ac:dyDescent="0.2">
      <c r="A85" s="87">
        <v>45091</v>
      </c>
      <c r="B85" s="120" t="s">
        <v>1052</v>
      </c>
      <c r="C85" s="75" t="s">
        <v>1090</v>
      </c>
      <c r="D85" s="88">
        <v>1000000</v>
      </c>
      <c r="G85" s="1"/>
      <c r="L85" s="1"/>
      <c r="M85" s="1"/>
    </row>
    <row r="86" spans="1:13" s="2" customFormat="1" x14ac:dyDescent="0.2">
      <c r="A86" s="87">
        <v>45092</v>
      </c>
      <c r="B86" s="120" t="s">
        <v>1052</v>
      </c>
      <c r="C86" s="75" t="s">
        <v>271</v>
      </c>
      <c r="D86" s="88">
        <v>485258</v>
      </c>
      <c r="G86" s="1"/>
      <c r="L86" s="1"/>
      <c r="M86" s="1"/>
    </row>
    <row r="87" spans="1:13" s="2" customFormat="1" x14ac:dyDescent="0.2">
      <c r="A87" s="87">
        <v>45092</v>
      </c>
      <c r="B87" s="120" t="s">
        <v>1052</v>
      </c>
      <c r="C87" s="75" t="s">
        <v>767</v>
      </c>
      <c r="D87" s="88">
        <v>1074373</v>
      </c>
      <c r="G87" s="1"/>
      <c r="L87" s="1"/>
      <c r="M87" s="1"/>
    </row>
    <row r="88" spans="1:13" s="2" customFormat="1" x14ac:dyDescent="0.2">
      <c r="A88" s="87">
        <v>45094</v>
      </c>
      <c r="B88" s="120" t="s">
        <v>1052</v>
      </c>
      <c r="C88" s="75" t="s">
        <v>467</v>
      </c>
      <c r="D88" s="88">
        <v>2582806</v>
      </c>
      <c r="G88" s="1"/>
      <c r="L88" s="1"/>
      <c r="M88" s="1"/>
    </row>
    <row r="89" spans="1:13" s="2" customFormat="1" x14ac:dyDescent="0.2">
      <c r="A89" s="87">
        <v>45096</v>
      </c>
      <c r="B89" s="120" t="s">
        <v>1052</v>
      </c>
      <c r="C89" s="75" t="s">
        <v>85</v>
      </c>
      <c r="D89" s="88">
        <v>77650</v>
      </c>
      <c r="G89" s="1"/>
      <c r="L89" s="1"/>
      <c r="M89" s="1"/>
    </row>
    <row r="90" spans="1:13" s="2" customFormat="1" x14ac:dyDescent="0.2">
      <c r="A90" s="87">
        <v>45096</v>
      </c>
      <c r="B90" s="120" t="s">
        <v>1052</v>
      </c>
      <c r="C90" s="75" t="s">
        <v>270</v>
      </c>
      <c r="D90" s="88">
        <v>1475157</v>
      </c>
      <c r="G90" s="1"/>
      <c r="L90" s="1"/>
      <c r="M90" s="1"/>
    </row>
    <row r="91" spans="1:13" s="2" customFormat="1" x14ac:dyDescent="0.2">
      <c r="A91" s="87">
        <v>45096</v>
      </c>
      <c r="B91" s="120" t="s">
        <v>1052</v>
      </c>
      <c r="C91" s="75" t="s">
        <v>270</v>
      </c>
      <c r="D91" s="88">
        <v>741951</v>
      </c>
      <c r="G91" s="1"/>
      <c r="L91" s="1"/>
      <c r="M91" s="1"/>
    </row>
    <row r="92" spans="1:13" s="2" customFormat="1" x14ac:dyDescent="0.2">
      <c r="A92" s="87">
        <v>45096</v>
      </c>
      <c r="B92" s="120" t="s">
        <v>1052</v>
      </c>
      <c r="C92" s="75" t="s">
        <v>270</v>
      </c>
      <c r="D92" s="88">
        <v>1034388</v>
      </c>
      <c r="G92" s="1"/>
      <c r="L92" s="1"/>
      <c r="M92" s="1"/>
    </row>
    <row r="93" spans="1:13" s="2" customFormat="1" x14ac:dyDescent="0.2">
      <c r="A93" s="87">
        <v>45096</v>
      </c>
      <c r="B93" s="120" t="s">
        <v>1052</v>
      </c>
      <c r="C93" s="75" t="s">
        <v>270</v>
      </c>
      <c r="D93" s="88">
        <v>93897</v>
      </c>
      <c r="G93" s="1"/>
      <c r="L93" s="1"/>
      <c r="M93" s="1"/>
    </row>
    <row r="94" spans="1:13" s="2" customFormat="1" x14ac:dyDescent="0.2">
      <c r="A94" s="87">
        <v>45096</v>
      </c>
      <c r="B94" s="120" t="s">
        <v>1052</v>
      </c>
      <c r="C94" s="75" t="s">
        <v>270</v>
      </c>
      <c r="D94" s="88">
        <v>353700</v>
      </c>
      <c r="G94" s="1"/>
      <c r="L94" s="1"/>
      <c r="M94" s="1"/>
    </row>
    <row r="95" spans="1:13" s="2" customFormat="1" x14ac:dyDescent="0.2">
      <c r="A95" s="87">
        <v>45096</v>
      </c>
      <c r="B95" s="120" t="s">
        <v>1052</v>
      </c>
      <c r="C95" s="75" t="s">
        <v>270</v>
      </c>
      <c r="D95" s="88">
        <v>1205410</v>
      </c>
      <c r="G95" s="1"/>
      <c r="L95" s="1"/>
      <c r="M95" s="1"/>
    </row>
    <row r="96" spans="1:13" s="2" customFormat="1" x14ac:dyDescent="0.2">
      <c r="A96" s="87">
        <v>45096</v>
      </c>
      <c r="B96" s="120" t="s">
        <v>1052</v>
      </c>
      <c r="C96" s="75" t="s">
        <v>86</v>
      </c>
      <c r="D96" s="88">
        <v>5053085</v>
      </c>
      <c r="G96" s="1"/>
      <c r="L96" s="1"/>
      <c r="M96" s="1"/>
    </row>
    <row r="97" spans="1:13" s="2" customFormat="1" x14ac:dyDescent="0.2">
      <c r="A97" s="87">
        <v>45096</v>
      </c>
      <c r="B97" s="120" t="s">
        <v>1052</v>
      </c>
      <c r="C97" s="75" t="s">
        <v>1116</v>
      </c>
      <c r="D97" s="88">
        <v>1962959.72</v>
      </c>
      <c r="G97" s="1"/>
      <c r="L97" s="1"/>
      <c r="M97" s="1"/>
    </row>
    <row r="98" spans="1:13" s="2" customFormat="1" x14ac:dyDescent="0.2">
      <c r="A98" s="87">
        <v>45098</v>
      </c>
      <c r="B98" s="120" t="s">
        <v>1052</v>
      </c>
      <c r="C98" s="75" t="s">
        <v>86</v>
      </c>
      <c r="D98" s="88">
        <v>2350710</v>
      </c>
      <c r="G98" s="1"/>
      <c r="L98" s="1"/>
      <c r="M98" s="1"/>
    </row>
    <row r="99" spans="1:13" s="2" customFormat="1" x14ac:dyDescent="0.2">
      <c r="A99" s="87">
        <v>45098</v>
      </c>
      <c r="B99" s="120" t="s">
        <v>1052</v>
      </c>
      <c r="C99" s="75" t="s">
        <v>86</v>
      </c>
      <c r="D99" s="88">
        <v>980606</v>
      </c>
      <c r="G99" s="1"/>
      <c r="L99" s="1"/>
      <c r="M99" s="1"/>
    </row>
    <row r="100" spans="1:13" s="2" customFormat="1" x14ac:dyDescent="0.2">
      <c r="A100" s="87">
        <v>45099</v>
      </c>
      <c r="B100" s="120" t="s">
        <v>1052</v>
      </c>
      <c r="C100" s="75" t="s">
        <v>18</v>
      </c>
      <c r="D100" s="88">
        <v>466628</v>
      </c>
      <c r="G100" s="1"/>
      <c r="L100" s="1"/>
      <c r="M100" s="1"/>
    </row>
    <row r="101" spans="1:13" s="2" customFormat="1" x14ac:dyDescent="0.2">
      <c r="A101" s="87">
        <v>45099</v>
      </c>
      <c r="B101" s="120" t="s">
        <v>1052</v>
      </c>
      <c r="C101" s="75" t="s">
        <v>594</v>
      </c>
      <c r="D101" s="88">
        <v>7600365</v>
      </c>
      <c r="G101" s="1"/>
      <c r="L101" s="1"/>
      <c r="M101" s="1"/>
    </row>
    <row r="102" spans="1:13" s="2" customFormat="1" x14ac:dyDescent="0.2">
      <c r="A102" s="87">
        <v>45099</v>
      </c>
      <c r="B102" s="120" t="s">
        <v>1052</v>
      </c>
      <c r="C102" s="75" t="s">
        <v>84</v>
      </c>
      <c r="D102" s="88">
        <v>1500000</v>
      </c>
      <c r="G102" s="1"/>
      <c r="L102" s="1"/>
      <c r="M102" s="1"/>
    </row>
    <row r="103" spans="1:13" s="2" customFormat="1" x14ac:dyDescent="0.2">
      <c r="A103" s="87"/>
      <c r="B103" s="74"/>
      <c r="C103" s="75"/>
      <c r="D103" s="51">
        <f>SUM(D72:D102)</f>
        <v>49622917.460000001</v>
      </c>
      <c r="F103" s="2" t="s">
        <v>396</v>
      </c>
      <c r="G103" s="1"/>
      <c r="L103" s="1"/>
      <c r="M103" s="1"/>
    </row>
    <row r="104" spans="1:13" s="2" customFormat="1" x14ac:dyDescent="0.2">
      <c r="A104" s="24"/>
      <c r="B104" s="1"/>
      <c r="C104" s="14"/>
      <c r="D104" s="56"/>
      <c r="E104" s="13"/>
      <c r="G104" s="1"/>
      <c r="L104" s="1"/>
      <c r="M104" s="1"/>
    </row>
    <row r="105" spans="1:13" s="2" customFormat="1" x14ac:dyDescent="0.2">
      <c r="A105" s="24"/>
      <c r="B105" s="1"/>
      <c r="C105" s="218" t="s">
        <v>77</v>
      </c>
      <c r="D105" s="219"/>
      <c r="E105" s="219"/>
      <c r="F105" s="220"/>
      <c r="G105" s="1"/>
      <c r="L105" s="1"/>
      <c r="M105" s="1"/>
    </row>
    <row r="106" spans="1:13" s="2" customFormat="1" x14ac:dyDescent="0.2">
      <c r="A106" s="24"/>
      <c r="B106" s="1"/>
      <c r="C106" s="50"/>
      <c r="D106" s="57" t="s">
        <v>78</v>
      </c>
      <c r="E106" s="58" t="s">
        <v>79</v>
      </c>
      <c r="F106" s="57" t="s">
        <v>72</v>
      </c>
      <c r="G106" s="1"/>
      <c r="I106" s="1"/>
      <c r="J106" s="1"/>
      <c r="K106" s="1"/>
      <c r="L106" s="1"/>
      <c r="M106" s="1"/>
    </row>
    <row r="107" spans="1:13" s="2" customFormat="1" x14ac:dyDescent="0.2">
      <c r="A107" s="24"/>
      <c r="B107" s="1"/>
      <c r="C107" s="59" t="str">
        <f>"01-06-2023 to "&amp;TEXT(A5-2,"dd-mm-yyyy")</f>
        <v>01-06-2023 to 22-06-2023</v>
      </c>
      <c r="D107" s="60">
        <v>4490.28</v>
      </c>
      <c r="E107" s="60">
        <v>155.81</v>
      </c>
      <c r="F107" s="61">
        <f>SUM(D107:E107)</f>
        <v>4646.09</v>
      </c>
      <c r="G107" s="1"/>
    </row>
    <row r="108" spans="1:13" s="2" customFormat="1" x14ac:dyDescent="0.2">
      <c r="A108" s="24"/>
      <c r="B108" s="1"/>
      <c r="C108" s="62" t="str">
        <f>TEXT(A5-1,"dd-mm-yyyy")</f>
        <v>23-06-2023</v>
      </c>
      <c r="D108" s="60">
        <v>186.69</v>
      </c>
      <c r="E108" s="60">
        <v>8.51</v>
      </c>
      <c r="F108" s="61">
        <f>SUM(D108:E108)</f>
        <v>195.2</v>
      </c>
      <c r="G108" s="54"/>
      <c r="I108" s="1"/>
      <c r="J108" s="1"/>
      <c r="K108" s="1"/>
      <c r="L108" s="1"/>
      <c r="M108" s="1"/>
    </row>
    <row r="109" spans="1:13" s="2" customFormat="1" ht="13.5" thickBot="1" x14ac:dyDescent="0.25">
      <c r="A109" s="24"/>
      <c r="B109" s="1"/>
      <c r="C109" s="63" t="str">
        <f>"01-06-2023 to "&amp;TEXT(A5-1,"dd-mm-yyyy")</f>
        <v>01-06-2023 to 23-06-2023</v>
      </c>
      <c r="D109" s="64">
        <f>SUM(D107:D108)</f>
        <v>4676.9699999999993</v>
      </c>
      <c r="E109" s="64">
        <f>SUM(E107:E108)</f>
        <v>164.32</v>
      </c>
      <c r="F109" s="64">
        <f>SUM(F107:F108)</f>
        <v>4841.29</v>
      </c>
      <c r="G109" s="54"/>
      <c r="I109" s="1"/>
      <c r="J109" s="1"/>
      <c r="K109" s="1"/>
      <c r="L109" s="1"/>
      <c r="M109" s="1"/>
    </row>
    <row r="110" spans="1:13" s="2" customFormat="1" ht="13.5" thickTop="1" x14ac:dyDescent="0.2">
      <c r="A110" s="24"/>
      <c r="B110" s="1"/>
      <c r="C110" s="62"/>
      <c r="D110" s="65"/>
      <c r="E110" s="66"/>
      <c r="F110" s="67"/>
      <c r="G110" s="54"/>
      <c r="I110" s="1"/>
      <c r="J110" s="1"/>
      <c r="K110" s="1"/>
      <c r="L110" s="1"/>
      <c r="M110" s="1"/>
    </row>
    <row r="111" spans="1:13" s="2" customFormat="1" x14ac:dyDescent="0.2">
      <c r="A111" s="24"/>
      <c r="B111" s="1"/>
      <c r="C111" s="62" t="str">
        <f>"01-04-2023 to " &amp;C108</f>
        <v>01-04-2023 to 23-06-2023</v>
      </c>
      <c r="D111" s="68">
        <f>+D109+9224.33</f>
        <v>13901.3</v>
      </c>
      <c r="E111" s="68">
        <f>+E109+906.58</f>
        <v>1070.9000000000001</v>
      </c>
      <c r="F111" s="68">
        <f>+F109+10130.9</f>
        <v>14972.189999999999</v>
      </c>
      <c r="G111" s="54"/>
      <c r="I111" s="1"/>
      <c r="J111" s="1"/>
      <c r="K111" s="1"/>
      <c r="L111" s="1"/>
      <c r="M111" s="1"/>
    </row>
    <row r="112" spans="1:13" x14ac:dyDescent="0.2">
      <c r="C112" s="52"/>
      <c r="D112" s="85"/>
      <c r="E112" s="53"/>
      <c r="F112" s="53"/>
      <c r="G112" s="54"/>
      <c r="H112" s="2" t="s">
        <v>396</v>
      </c>
    </row>
    <row r="113" spans="1:10" s="2" customFormat="1" x14ac:dyDescent="0.2">
      <c r="A113" s="24"/>
      <c r="B113" s="1"/>
      <c r="C113" s="52"/>
      <c r="D113" s="85"/>
      <c r="E113" s="53"/>
      <c r="F113" s="53"/>
      <c r="G113" s="54"/>
      <c r="H113" s="53"/>
    </row>
    <row r="114" spans="1:10" x14ac:dyDescent="0.2">
      <c r="C114" s="52"/>
      <c r="D114" s="85"/>
      <c r="E114" s="53"/>
      <c r="F114" s="53"/>
      <c r="G114" s="54"/>
      <c r="H114" s="53" t="s">
        <v>396</v>
      </c>
    </row>
    <row r="115" spans="1:10" x14ac:dyDescent="0.2">
      <c r="C115" s="52"/>
      <c r="D115" s="85"/>
      <c r="E115" s="53"/>
      <c r="F115" s="53"/>
      <c r="G115" s="54"/>
      <c r="H115" s="53" t="s">
        <v>396</v>
      </c>
      <c r="J115" s="42"/>
    </row>
    <row r="116" spans="1:10" x14ac:dyDescent="0.2">
      <c r="G116" s="54"/>
      <c r="H116" s="53"/>
      <c r="I116" s="101"/>
    </row>
    <row r="117" spans="1:10" x14ac:dyDescent="0.2">
      <c r="G117" s="54"/>
      <c r="H117" s="53"/>
    </row>
    <row r="118" spans="1:10" x14ac:dyDescent="0.2">
      <c r="G118" s="54"/>
      <c r="H118" s="53"/>
    </row>
    <row r="119" spans="1:10" x14ac:dyDescent="0.2">
      <c r="H119" s="53"/>
    </row>
  </sheetData>
  <mergeCells count="6">
    <mergeCell ref="C105:F105"/>
    <mergeCell ref="A1:G1"/>
    <mergeCell ref="A3:F3"/>
    <mergeCell ref="A9:F9"/>
    <mergeCell ref="A15:F15"/>
    <mergeCell ref="A70:D70"/>
  </mergeCells>
  <conditionalFormatting sqref="G67:G68">
    <cfRule type="cellIs" dxfId="462" priority="1" operator="lessThan">
      <formula>0</formula>
    </cfRule>
  </conditionalFormatting>
  <conditionalFormatting sqref="C17">
    <cfRule type="duplicateValues" dxfId="461" priority="2"/>
  </conditionalFormatting>
  <conditionalFormatting sqref="C18:C47">
    <cfRule type="duplicateValues" dxfId="460" priority="552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Sheet361">
    <pageSetUpPr fitToPage="1"/>
  </sheetPr>
  <dimension ref="A1:N145"/>
  <sheetViews>
    <sheetView topLeftCell="A52" zoomScaleNormal="100" workbookViewId="0">
      <selection activeCell="C46" sqref="C46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47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1132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45103</v>
      </c>
      <c r="B5" s="9" t="s">
        <v>6</v>
      </c>
      <c r="C5" s="10" t="s">
        <v>7</v>
      </c>
      <c r="D5" s="11"/>
      <c r="E5" s="12">
        <v>221548.70000000019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221548.70000000019</v>
      </c>
      <c r="F6" s="16">
        <f>F5</f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+E6-F6</f>
        <v>221548.70000000019</v>
      </c>
      <c r="F7" s="22"/>
      <c r="G7" s="23"/>
      <c r="H7" s="112"/>
      <c r="I7" s="112"/>
      <c r="J7" s="13"/>
    </row>
    <row r="8" spans="1:10" ht="12.75" customHeight="1" x14ac:dyDescent="0.4">
      <c r="H8" s="112"/>
      <c r="I8" s="112"/>
    </row>
    <row r="9" spans="1:10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12"/>
    </row>
    <row r="10" spans="1:10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12"/>
    </row>
    <row r="11" spans="1:10" s="2" customFormat="1" ht="14.25" customHeight="1" x14ac:dyDescent="0.2">
      <c r="A11" s="127">
        <v>45103</v>
      </c>
      <c r="B11" s="9" t="s">
        <v>6</v>
      </c>
      <c r="C11" s="10" t="s">
        <v>7</v>
      </c>
      <c r="D11" s="11"/>
      <c r="F11" s="12">
        <v>29831841.169999991</v>
      </c>
      <c r="G11" s="1"/>
      <c r="H11" s="130"/>
      <c r="I11" s="130"/>
    </row>
    <row r="12" spans="1:10" s="2" customFormat="1" ht="14.25" customHeight="1" x14ac:dyDescent="0.2">
      <c r="A12" s="127">
        <v>45103</v>
      </c>
      <c r="B12" s="9" t="s">
        <v>11</v>
      </c>
      <c r="C12" s="10" t="s">
        <v>718</v>
      </c>
      <c r="D12" s="126" t="s">
        <v>29</v>
      </c>
      <c r="F12" s="12">
        <v>11802</v>
      </c>
      <c r="G12" s="1"/>
      <c r="H12" s="130"/>
      <c r="I12" s="130"/>
    </row>
    <row r="13" spans="1:10" s="2" customFormat="1" ht="14.25" customHeight="1" x14ac:dyDescent="0.2">
      <c r="A13" s="127">
        <v>45103</v>
      </c>
      <c r="B13" s="9" t="s">
        <v>11</v>
      </c>
      <c r="C13" s="10" t="s">
        <v>114</v>
      </c>
      <c r="D13" s="126" t="s">
        <v>29</v>
      </c>
      <c r="F13" s="12">
        <v>1652</v>
      </c>
      <c r="G13" s="1"/>
      <c r="H13" s="130"/>
      <c r="I13" s="130"/>
    </row>
    <row r="14" spans="1:10" s="2" customFormat="1" ht="14.25" customHeight="1" x14ac:dyDescent="0.2">
      <c r="A14" s="127">
        <v>45103</v>
      </c>
      <c r="B14" s="9" t="s">
        <v>11</v>
      </c>
      <c r="C14" s="10" t="s">
        <v>51</v>
      </c>
      <c r="D14" s="126" t="s">
        <v>29</v>
      </c>
      <c r="F14" s="12">
        <v>98228</v>
      </c>
      <c r="G14" s="1"/>
      <c r="H14" s="130"/>
      <c r="I14" s="130"/>
    </row>
    <row r="15" spans="1:10" s="2" customFormat="1" ht="14.25" customHeight="1" x14ac:dyDescent="0.2">
      <c r="A15" s="127">
        <v>45103</v>
      </c>
      <c r="B15" s="9" t="s">
        <v>11</v>
      </c>
      <c r="C15" s="10" t="s">
        <v>769</v>
      </c>
      <c r="D15" s="126" t="s">
        <v>29</v>
      </c>
      <c r="F15" s="12">
        <v>13052</v>
      </c>
      <c r="G15" s="1"/>
      <c r="H15" s="130"/>
      <c r="I15" s="130"/>
    </row>
    <row r="16" spans="1:10" s="2" customFormat="1" ht="12.75" customHeight="1" x14ac:dyDescent="0.4">
      <c r="D16" s="15" t="s">
        <v>8</v>
      </c>
      <c r="E16" s="16">
        <f>E11</f>
        <v>0</v>
      </c>
      <c r="F16" s="16">
        <f>SUM(F11:F15)</f>
        <v>29956575.169999991</v>
      </c>
      <c r="G16" s="1"/>
      <c r="H16" s="112"/>
      <c r="I16" s="112"/>
    </row>
    <row r="17" spans="1:10" s="2" customFormat="1" ht="12.75" customHeight="1" x14ac:dyDescent="0.4">
      <c r="A17" s="17"/>
      <c r="B17" s="18"/>
      <c r="C17" s="96" t="s">
        <v>9</v>
      </c>
      <c r="D17" s="20"/>
      <c r="E17" s="21">
        <f>+F16-E16</f>
        <v>29956575.169999991</v>
      </c>
      <c r="G17" s="23"/>
      <c r="H17" s="112"/>
      <c r="I17" s="112"/>
      <c r="J17" s="13"/>
    </row>
    <row r="18" spans="1:10" s="2" customFormat="1" ht="12.75" customHeight="1" x14ac:dyDescent="0.4">
      <c r="A18" s="24"/>
      <c r="B18" s="1"/>
      <c r="C18" s="14"/>
      <c r="D18" s="25"/>
      <c r="G18" s="23"/>
      <c r="H18" s="112"/>
      <c r="I18" s="112"/>
      <c r="J18" s="13"/>
    </row>
    <row r="19" spans="1:10" s="2" customFormat="1" ht="21.75" customHeight="1" x14ac:dyDescent="0.4">
      <c r="A19" s="214" t="s">
        <v>10</v>
      </c>
      <c r="B19" s="214"/>
      <c r="C19" s="214"/>
      <c r="D19" s="214"/>
      <c r="E19" s="214"/>
      <c r="F19" s="214"/>
      <c r="G19" s="13"/>
      <c r="H19" s="112"/>
      <c r="I19" s="112"/>
      <c r="J19" s="13"/>
    </row>
    <row r="20" spans="1:10" s="2" customFormat="1" ht="12.75" customHeight="1" x14ac:dyDescent="0.4">
      <c r="A20" s="26" t="s">
        <v>1</v>
      </c>
      <c r="B20" s="27" t="s">
        <v>2</v>
      </c>
      <c r="C20" s="5"/>
      <c r="D20" s="6" t="s">
        <v>3</v>
      </c>
      <c r="E20" s="7" t="s">
        <v>4</v>
      </c>
      <c r="F20" s="7" t="s">
        <v>5</v>
      </c>
      <c r="G20" s="23"/>
      <c r="H20" s="112"/>
      <c r="I20" s="112"/>
      <c r="J20" s="13"/>
    </row>
    <row r="21" spans="1:10" s="2" customFormat="1" ht="12.75" customHeight="1" x14ac:dyDescent="0.2">
      <c r="A21" s="127">
        <v>45103</v>
      </c>
      <c r="B21" s="128" t="s">
        <v>11</v>
      </c>
      <c r="C21" s="29" t="s">
        <v>7</v>
      </c>
      <c r="D21" s="25"/>
      <c r="E21" s="31"/>
      <c r="F21" s="2">
        <v>285463366.5199998</v>
      </c>
      <c r="G21" s="30"/>
      <c r="I21" s="13"/>
      <c r="J21" s="13"/>
    </row>
    <row r="22" spans="1:10" s="70" customFormat="1" ht="12.75" customHeight="1" x14ac:dyDescent="0.2">
      <c r="A22" s="127">
        <v>45103</v>
      </c>
      <c r="B22" s="128" t="s">
        <v>6</v>
      </c>
      <c r="C22" s="76" t="s">
        <v>516</v>
      </c>
      <c r="D22" s="125" t="s">
        <v>13</v>
      </c>
      <c r="E22" s="129">
        <v>54259</v>
      </c>
      <c r="G22" s="30"/>
      <c r="I22" s="69"/>
      <c r="J22" s="69"/>
    </row>
    <row r="23" spans="1:10" s="70" customFormat="1" ht="12.75" customHeight="1" x14ac:dyDescent="0.2">
      <c r="A23" s="127">
        <v>45103</v>
      </c>
      <c r="B23" s="128" t="s">
        <v>6</v>
      </c>
      <c r="C23" s="76" t="s">
        <v>202</v>
      </c>
      <c r="D23" s="125" t="s">
        <v>13</v>
      </c>
      <c r="E23" s="129">
        <v>75000</v>
      </c>
      <c r="G23" s="30"/>
      <c r="I23" s="69"/>
      <c r="J23" s="69"/>
    </row>
    <row r="24" spans="1:10" s="70" customFormat="1" ht="12.75" customHeight="1" x14ac:dyDescent="0.2">
      <c r="A24" s="127">
        <v>45103</v>
      </c>
      <c r="B24" s="128" t="s">
        <v>6</v>
      </c>
      <c r="C24" s="76" t="s">
        <v>752</v>
      </c>
      <c r="D24" s="126" t="s">
        <v>13</v>
      </c>
      <c r="E24" s="129">
        <v>66675</v>
      </c>
      <c r="G24" s="30"/>
      <c r="I24" s="69"/>
      <c r="J24" s="69"/>
    </row>
    <row r="25" spans="1:10" s="70" customFormat="1" ht="12.75" customHeight="1" x14ac:dyDescent="0.2">
      <c r="A25" s="127">
        <v>45103</v>
      </c>
      <c r="B25" s="128" t="s">
        <v>6</v>
      </c>
      <c r="C25" s="76" t="s">
        <v>275</v>
      </c>
      <c r="D25" s="126" t="s">
        <v>13</v>
      </c>
      <c r="E25" s="129">
        <v>615000</v>
      </c>
      <c r="G25" s="30"/>
      <c r="I25" s="69"/>
      <c r="J25" s="69"/>
    </row>
    <row r="26" spans="1:10" s="70" customFormat="1" ht="12.75" customHeight="1" x14ac:dyDescent="0.2">
      <c r="A26" s="127">
        <v>45103</v>
      </c>
      <c r="B26" s="128" t="s">
        <v>6</v>
      </c>
      <c r="C26" s="76" t="s">
        <v>329</v>
      </c>
      <c r="D26" s="126" t="s">
        <v>13</v>
      </c>
      <c r="E26" s="129">
        <v>144014</v>
      </c>
      <c r="G26" s="30"/>
      <c r="I26" s="69"/>
      <c r="J26" s="69"/>
    </row>
    <row r="27" spans="1:10" s="70" customFormat="1" ht="12.75" customHeight="1" x14ac:dyDescent="0.2">
      <c r="A27" s="127">
        <v>45103</v>
      </c>
      <c r="B27" s="128" t="s">
        <v>6</v>
      </c>
      <c r="C27" s="76" t="s">
        <v>682</v>
      </c>
      <c r="D27" s="126" t="s">
        <v>13</v>
      </c>
      <c r="E27" s="129">
        <v>3675</v>
      </c>
      <c r="G27" s="30"/>
      <c r="I27" s="69"/>
      <c r="J27" s="69"/>
    </row>
    <row r="28" spans="1:10" s="70" customFormat="1" ht="12.75" customHeight="1" x14ac:dyDescent="0.2">
      <c r="A28" s="127">
        <v>45103</v>
      </c>
      <c r="B28" s="128" t="s">
        <v>6</v>
      </c>
      <c r="C28" s="76" t="s">
        <v>1133</v>
      </c>
      <c r="D28" s="126" t="s">
        <v>13</v>
      </c>
      <c r="E28" s="129">
        <v>5513</v>
      </c>
      <c r="G28" s="30"/>
      <c r="I28" s="69"/>
      <c r="J28" s="69"/>
    </row>
    <row r="29" spans="1:10" s="70" customFormat="1" ht="12.75" customHeight="1" x14ac:dyDescent="0.2">
      <c r="A29" s="127">
        <v>45103</v>
      </c>
      <c r="B29" s="128" t="s">
        <v>6</v>
      </c>
      <c r="C29" s="76" t="s">
        <v>458</v>
      </c>
      <c r="D29" s="126" t="s">
        <v>13</v>
      </c>
      <c r="E29" s="129">
        <v>886305</v>
      </c>
      <c r="G29" s="30"/>
      <c r="I29" s="69"/>
      <c r="J29" s="69"/>
    </row>
    <row r="30" spans="1:10" s="70" customFormat="1" ht="12.75" customHeight="1" x14ac:dyDescent="0.2">
      <c r="A30" s="127">
        <v>45103</v>
      </c>
      <c r="B30" s="128" t="s">
        <v>6</v>
      </c>
      <c r="C30" s="76" t="s">
        <v>1135</v>
      </c>
      <c r="D30" s="126" t="s">
        <v>13</v>
      </c>
      <c r="E30" s="129">
        <v>29106</v>
      </c>
      <c r="G30" s="30"/>
      <c r="I30" s="69"/>
      <c r="J30" s="69"/>
    </row>
    <row r="31" spans="1:10" s="70" customFormat="1" ht="12.75" customHeight="1" x14ac:dyDescent="0.2">
      <c r="A31" s="127">
        <v>45103</v>
      </c>
      <c r="B31" s="128" t="s">
        <v>6</v>
      </c>
      <c r="C31" s="76" t="s">
        <v>426</v>
      </c>
      <c r="D31" s="126" t="s">
        <v>13</v>
      </c>
      <c r="E31" s="129">
        <v>293053.90999999997</v>
      </c>
      <c r="G31" s="30"/>
      <c r="I31" s="69"/>
      <c r="J31" s="69"/>
    </row>
    <row r="32" spans="1:10" s="70" customFormat="1" ht="12.75" customHeight="1" x14ac:dyDescent="0.2">
      <c r="A32" s="127">
        <v>45103</v>
      </c>
      <c r="B32" s="128" t="s">
        <v>6</v>
      </c>
      <c r="C32" s="76" t="s">
        <v>830</v>
      </c>
      <c r="D32" s="126" t="s">
        <v>13</v>
      </c>
      <c r="E32" s="129">
        <v>210504.71</v>
      </c>
      <c r="G32" s="30"/>
      <c r="I32" s="69"/>
      <c r="J32" s="69"/>
    </row>
    <row r="33" spans="1:10" s="70" customFormat="1" ht="12.75" customHeight="1" x14ac:dyDescent="0.2">
      <c r="A33" s="127">
        <v>45103</v>
      </c>
      <c r="B33" s="128" t="s">
        <v>6</v>
      </c>
      <c r="C33" s="76" t="s">
        <v>1087</v>
      </c>
      <c r="D33" s="126" t="s">
        <v>13</v>
      </c>
      <c r="E33" s="129">
        <v>320468.59000000003</v>
      </c>
      <c r="G33" s="30"/>
      <c r="I33" s="69"/>
      <c r="J33" s="69"/>
    </row>
    <row r="34" spans="1:10" s="70" customFormat="1" ht="12.75" customHeight="1" x14ac:dyDescent="0.2">
      <c r="A34" s="127">
        <v>45103</v>
      </c>
      <c r="B34" s="128" t="s">
        <v>6</v>
      </c>
      <c r="C34" s="76" t="s">
        <v>948</v>
      </c>
      <c r="D34" s="126" t="s">
        <v>13</v>
      </c>
      <c r="E34" s="129">
        <v>767370.95</v>
      </c>
      <c r="G34" s="30"/>
      <c r="I34" s="69"/>
      <c r="J34" s="69"/>
    </row>
    <row r="35" spans="1:10" s="70" customFormat="1" ht="12.75" customHeight="1" x14ac:dyDescent="0.2">
      <c r="A35" s="127">
        <v>45103</v>
      </c>
      <c r="B35" s="128" t="s">
        <v>6</v>
      </c>
      <c r="C35" s="76" t="s">
        <v>947</v>
      </c>
      <c r="D35" s="126" t="s">
        <v>13</v>
      </c>
      <c r="E35" s="129">
        <v>3494199</v>
      </c>
      <c r="G35" s="30"/>
      <c r="I35" s="69"/>
      <c r="J35" s="69"/>
    </row>
    <row r="36" spans="1:10" s="70" customFormat="1" ht="12.75" customHeight="1" x14ac:dyDescent="0.2">
      <c r="A36" s="127">
        <v>45103</v>
      </c>
      <c r="B36" s="128" t="s">
        <v>6</v>
      </c>
      <c r="C36" s="76" t="s">
        <v>200</v>
      </c>
      <c r="D36" s="126" t="s">
        <v>13</v>
      </c>
      <c r="E36" s="129">
        <v>48622</v>
      </c>
      <c r="G36" s="30"/>
      <c r="I36" s="69"/>
      <c r="J36" s="69"/>
    </row>
    <row r="37" spans="1:10" s="70" customFormat="1" ht="12.75" customHeight="1" x14ac:dyDescent="0.2">
      <c r="A37" s="127">
        <v>45103</v>
      </c>
      <c r="B37" s="128" t="s">
        <v>6</v>
      </c>
      <c r="C37" s="76" t="s">
        <v>120</v>
      </c>
      <c r="D37" s="126" t="s">
        <v>13</v>
      </c>
      <c r="E37" s="129">
        <v>351783</v>
      </c>
      <c r="G37" s="30"/>
      <c r="I37" s="69"/>
      <c r="J37" s="69"/>
    </row>
    <row r="38" spans="1:10" s="70" customFormat="1" ht="12.75" customHeight="1" x14ac:dyDescent="0.2">
      <c r="A38" s="127">
        <v>45103</v>
      </c>
      <c r="B38" s="128" t="s">
        <v>6</v>
      </c>
      <c r="C38" s="76" t="s">
        <v>149</v>
      </c>
      <c r="D38" s="126" t="s">
        <v>13</v>
      </c>
      <c r="E38" s="129">
        <v>40802</v>
      </c>
      <c r="G38" s="30"/>
      <c r="I38" s="69"/>
      <c r="J38" s="69"/>
    </row>
    <row r="39" spans="1:10" s="70" customFormat="1" ht="12.75" customHeight="1" x14ac:dyDescent="0.2">
      <c r="A39" s="127">
        <v>45103</v>
      </c>
      <c r="B39" s="128" t="s">
        <v>6</v>
      </c>
      <c r="C39" s="76" t="s">
        <v>785</v>
      </c>
      <c r="D39" s="126" t="s">
        <v>13</v>
      </c>
      <c r="E39" s="129">
        <v>8094561</v>
      </c>
      <c r="G39" s="30"/>
      <c r="I39" s="69"/>
      <c r="J39" s="69"/>
    </row>
    <row r="40" spans="1:10" s="70" customFormat="1" ht="12.75" customHeight="1" x14ac:dyDescent="0.2">
      <c r="A40" s="127">
        <v>45103</v>
      </c>
      <c r="B40" s="128" t="s">
        <v>6</v>
      </c>
      <c r="C40" s="76" t="s">
        <v>16</v>
      </c>
      <c r="D40" s="126" t="s">
        <v>29</v>
      </c>
      <c r="E40" s="129">
        <v>16493.650000000001</v>
      </c>
      <c r="G40" s="30"/>
      <c r="I40" s="69"/>
      <c r="J40" s="69"/>
    </row>
    <row r="41" spans="1:10" s="70" customFormat="1" ht="12.75" customHeight="1" x14ac:dyDescent="0.2">
      <c r="A41" s="127">
        <v>45103</v>
      </c>
      <c r="B41" s="128" t="s">
        <v>11</v>
      </c>
      <c r="C41" s="76" t="s">
        <v>111</v>
      </c>
      <c r="D41" s="126" t="s">
        <v>29</v>
      </c>
      <c r="E41" s="129"/>
      <c r="F41" s="70">
        <v>2928840.98</v>
      </c>
      <c r="G41" s="30"/>
      <c r="I41" s="69"/>
      <c r="J41" s="69"/>
    </row>
    <row r="42" spans="1:10" s="70" customFormat="1" ht="12.75" customHeight="1" x14ac:dyDescent="0.2">
      <c r="A42" s="127">
        <v>45103</v>
      </c>
      <c r="B42" s="128" t="s">
        <v>11</v>
      </c>
      <c r="C42" s="76" t="s">
        <v>107</v>
      </c>
      <c r="D42" s="126" t="s">
        <v>29</v>
      </c>
      <c r="E42" s="129"/>
      <c r="F42" s="70">
        <v>783292.47</v>
      </c>
      <c r="G42" s="30"/>
      <c r="I42" s="69"/>
      <c r="J42" s="69"/>
    </row>
    <row r="43" spans="1:10" s="70" customFormat="1" ht="12.75" customHeight="1" x14ac:dyDescent="0.2">
      <c r="A43" s="127">
        <v>45103</v>
      </c>
      <c r="B43" s="128" t="s">
        <v>11</v>
      </c>
      <c r="C43" s="76" t="s">
        <v>558</v>
      </c>
      <c r="D43" s="126" t="s">
        <v>29</v>
      </c>
      <c r="E43" s="129"/>
      <c r="F43" s="70">
        <v>1594238.53</v>
      </c>
      <c r="G43" s="30"/>
      <c r="I43" s="69"/>
      <c r="J43" s="69"/>
    </row>
    <row r="44" spans="1:10" s="70" customFormat="1" ht="12.75" customHeight="1" x14ac:dyDescent="0.2">
      <c r="A44" s="127">
        <v>45103</v>
      </c>
      <c r="B44" s="128" t="s">
        <v>11</v>
      </c>
      <c r="C44" s="76" t="s">
        <v>199</v>
      </c>
      <c r="D44" s="126" t="s">
        <v>29</v>
      </c>
      <c r="E44" s="129"/>
      <c r="F44" s="70">
        <v>1360897</v>
      </c>
      <c r="G44" s="30"/>
      <c r="I44" s="69"/>
      <c r="J44" s="69"/>
    </row>
    <row r="45" spans="1:10" s="70" customFormat="1" ht="12.75" customHeight="1" x14ac:dyDescent="0.2">
      <c r="A45" s="127">
        <v>45103</v>
      </c>
      <c r="B45" s="128" t="s">
        <v>11</v>
      </c>
      <c r="C45" s="76" t="s">
        <v>808</v>
      </c>
      <c r="D45" s="126" t="s">
        <v>29</v>
      </c>
      <c r="E45" s="129"/>
      <c r="F45" s="70">
        <v>37283</v>
      </c>
      <c r="G45" s="30"/>
      <c r="I45" s="69"/>
      <c r="J45" s="69"/>
    </row>
    <row r="46" spans="1:10" s="70" customFormat="1" ht="12.75" customHeight="1" x14ac:dyDescent="0.2">
      <c r="A46" s="127">
        <v>45103</v>
      </c>
      <c r="B46" s="128" t="s">
        <v>11</v>
      </c>
      <c r="C46" s="76" t="s">
        <v>453</v>
      </c>
      <c r="D46" s="126" t="s">
        <v>29</v>
      </c>
      <c r="E46" s="129"/>
      <c r="F46" s="70">
        <v>44158</v>
      </c>
      <c r="G46" s="30"/>
      <c r="I46" s="69"/>
      <c r="J46" s="69"/>
    </row>
    <row r="47" spans="1:10" s="70" customFormat="1" ht="12.75" customHeight="1" x14ac:dyDescent="0.2">
      <c r="A47" s="127">
        <v>45103</v>
      </c>
      <c r="B47" s="128" t="s">
        <v>11</v>
      </c>
      <c r="C47" s="76" t="s">
        <v>1134</v>
      </c>
      <c r="D47" s="126" t="s">
        <v>29</v>
      </c>
      <c r="E47" s="129"/>
      <c r="F47" s="70">
        <v>143960</v>
      </c>
      <c r="G47" s="30"/>
      <c r="I47" s="69"/>
      <c r="J47" s="69"/>
    </row>
    <row r="48" spans="1:10" s="70" customFormat="1" ht="12.75" customHeight="1" x14ac:dyDescent="0.2">
      <c r="A48" s="127">
        <v>45103</v>
      </c>
      <c r="B48" s="128" t="s">
        <v>11</v>
      </c>
      <c r="C48" s="76" t="s">
        <v>62</v>
      </c>
      <c r="D48" s="126" t="s">
        <v>29</v>
      </c>
      <c r="E48" s="129"/>
      <c r="F48" s="70">
        <v>13000</v>
      </c>
      <c r="G48" s="30"/>
      <c r="I48" s="69"/>
      <c r="J48" s="69"/>
    </row>
    <row r="49" spans="1:10" s="70" customFormat="1" ht="12.75" customHeight="1" x14ac:dyDescent="0.2">
      <c r="A49" s="127">
        <v>45103</v>
      </c>
      <c r="B49" s="128" t="s">
        <v>11</v>
      </c>
      <c r="C49" s="76" t="s">
        <v>937</v>
      </c>
      <c r="D49" s="126" t="s">
        <v>29</v>
      </c>
      <c r="E49" s="129"/>
      <c r="F49" s="70">
        <v>5181</v>
      </c>
      <c r="G49" s="30"/>
      <c r="I49" s="69"/>
      <c r="J49" s="69"/>
    </row>
    <row r="50" spans="1:10" s="70" customFormat="1" ht="12.75" customHeight="1" x14ac:dyDescent="0.2">
      <c r="A50" s="127">
        <v>45103</v>
      </c>
      <c r="B50" s="128" t="s">
        <v>11</v>
      </c>
      <c r="C50" s="76" t="s">
        <v>1086</v>
      </c>
      <c r="D50" s="126" t="s">
        <v>29</v>
      </c>
      <c r="E50" s="129"/>
      <c r="F50" s="70">
        <v>150000</v>
      </c>
      <c r="G50" s="30"/>
      <c r="I50" s="69"/>
      <c r="J50" s="69"/>
    </row>
    <row r="51" spans="1:10" s="70" customFormat="1" ht="12.75" customHeight="1" x14ac:dyDescent="0.2">
      <c r="A51" s="127">
        <v>45103</v>
      </c>
      <c r="B51" s="128" t="s">
        <v>11</v>
      </c>
      <c r="C51" s="76" t="s">
        <v>246</v>
      </c>
      <c r="D51" s="126" t="s">
        <v>29</v>
      </c>
      <c r="E51" s="129"/>
      <c r="F51" s="70">
        <v>68915.73</v>
      </c>
      <c r="G51" s="30"/>
      <c r="I51" s="69"/>
      <c r="J51" s="69"/>
    </row>
    <row r="52" spans="1:10" s="70" customFormat="1" ht="12.75" customHeight="1" x14ac:dyDescent="0.2">
      <c r="A52" s="127">
        <v>45103</v>
      </c>
      <c r="B52" s="128" t="s">
        <v>11</v>
      </c>
      <c r="C52" s="76" t="s">
        <v>242</v>
      </c>
      <c r="D52" s="126" t="s">
        <v>29</v>
      </c>
      <c r="E52" s="129"/>
      <c r="F52" s="70">
        <v>266823.36</v>
      </c>
      <c r="G52" s="30"/>
      <c r="I52" s="69"/>
      <c r="J52" s="69"/>
    </row>
    <row r="53" spans="1:10" s="70" customFormat="1" ht="12.75" customHeight="1" x14ac:dyDescent="0.2">
      <c r="A53" s="127">
        <v>45103</v>
      </c>
      <c r="B53" s="128" t="s">
        <v>11</v>
      </c>
      <c r="C53" s="76" t="s">
        <v>129</v>
      </c>
      <c r="D53" s="126" t="s">
        <v>29</v>
      </c>
      <c r="E53" s="129"/>
      <c r="F53" s="70">
        <v>15104</v>
      </c>
      <c r="G53" s="30"/>
      <c r="I53" s="69"/>
      <c r="J53" s="69"/>
    </row>
    <row r="54" spans="1:10" s="70" customFormat="1" ht="12.75" customHeight="1" x14ac:dyDescent="0.2">
      <c r="A54" s="127">
        <v>45103</v>
      </c>
      <c r="B54" s="128" t="s">
        <v>11</v>
      </c>
      <c r="C54" s="76" t="s">
        <v>59</v>
      </c>
      <c r="D54" s="126" t="s">
        <v>29</v>
      </c>
      <c r="E54" s="129"/>
      <c r="F54" s="70">
        <v>14120</v>
      </c>
      <c r="G54" s="30"/>
      <c r="I54" s="69"/>
      <c r="J54" s="69"/>
    </row>
    <row r="55" spans="1:10" s="70" customFormat="1" ht="12.75" customHeight="1" x14ac:dyDescent="0.2">
      <c r="A55" s="127">
        <v>45103</v>
      </c>
      <c r="B55" s="128" t="s">
        <v>11</v>
      </c>
      <c r="C55" s="76" t="s">
        <v>252</v>
      </c>
      <c r="D55" s="126" t="s">
        <v>29</v>
      </c>
      <c r="E55" s="129"/>
      <c r="F55" s="70">
        <v>17219</v>
      </c>
      <c r="G55" s="30"/>
      <c r="I55" s="69"/>
      <c r="J55" s="69"/>
    </row>
    <row r="56" spans="1:10" s="70" customFormat="1" ht="12.75" customHeight="1" x14ac:dyDescent="0.2">
      <c r="A56" s="127">
        <v>45103</v>
      </c>
      <c r="B56" s="128" t="s">
        <v>11</v>
      </c>
      <c r="C56" s="76" t="s">
        <v>541</v>
      </c>
      <c r="D56" s="126" t="s">
        <v>29</v>
      </c>
      <c r="E56" s="129"/>
      <c r="F56" s="70">
        <v>49505</v>
      </c>
      <c r="G56" s="30"/>
      <c r="I56" s="69"/>
      <c r="J56" s="69"/>
    </row>
    <row r="57" spans="1:10" s="70" customFormat="1" ht="12.75" customHeight="1" x14ac:dyDescent="0.2">
      <c r="A57" s="127">
        <v>45103</v>
      </c>
      <c r="B57" s="128" t="s">
        <v>11</v>
      </c>
      <c r="C57" s="76" t="s">
        <v>303</v>
      </c>
      <c r="D57" s="126" t="s">
        <v>29</v>
      </c>
      <c r="E57" s="129"/>
      <c r="F57" s="70">
        <v>73052</v>
      </c>
      <c r="G57" s="30"/>
      <c r="I57" s="69"/>
      <c r="J57" s="69"/>
    </row>
    <row r="58" spans="1:10" s="70" customFormat="1" ht="12.75" customHeight="1" x14ac:dyDescent="0.2">
      <c r="A58" s="127">
        <v>45103</v>
      </c>
      <c r="B58" s="128" t="s">
        <v>11</v>
      </c>
      <c r="C58" s="76" t="s">
        <v>885</v>
      </c>
      <c r="D58" s="126" t="s">
        <v>29</v>
      </c>
      <c r="E58" s="129"/>
      <c r="F58" s="70">
        <v>9800</v>
      </c>
      <c r="G58" s="30"/>
      <c r="I58" s="69"/>
      <c r="J58" s="69"/>
    </row>
    <row r="59" spans="1:10" s="70" customFormat="1" ht="12.75" customHeight="1" x14ac:dyDescent="0.2">
      <c r="A59" s="127">
        <v>45103</v>
      </c>
      <c r="B59" s="128" t="s">
        <v>11</v>
      </c>
      <c r="C59" s="76" t="s">
        <v>626</v>
      </c>
      <c r="D59" s="126" t="s">
        <v>29</v>
      </c>
      <c r="E59" s="129"/>
      <c r="F59" s="70">
        <v>7204</v>
      </c>
      <c r="G59" s="30"/>
      <c r="I59" s="69"/>
      <c r="J59" s="69"/>
    </row>
    <row r="60" spans="1:10" s="70" customFormat="1" ht="12.75" customHeight="1" x14ac:dyDescent="0.2">
      <c r="A60" s="127">
        <v>45103</v>
      </c>
      <c r="B60" s="128" t="s">
        <v>11</v>
      </c>
      <c r="C60" s="76" t="s">
        <v>436</v>
      </c>
      <c r="D60" s="126" t="s">
        <v>29</v>
      </c>
      <c r="E60" s="129"/>
      <c r="F60" s="70">
        <v>708</v>
      </c>
      <c r="G60" s="30"/>
      <c r="I60" s="69"/>
      <c r="J60" s="69"/>
    </row>
    <row r="61" spans="1:10" s="70" customFormat="1" ht="12.75" customHeight="1" x14ac:dyDescent="0.2">
      <c r="A61" s="127">
        <v>45103</v>
      </c>
      <c r="B61" s="128" t="s">
        <v>11</v>
      </c>
      <c r="C61" s="76" t="s">
        <v>54</v>
      </c>
      <c r="D61" s="126" t="s">
        <v>29</v>
      </c>
      <c r="E61" s="129"/>
      <c r="F61" s="70">
        <v>20680</v>
      </c>
      <c r="G61" s="30"/>
      <c r="I61" s="69"/>
      <c r="J61" s="69"/>
    </row>
    <row r="62" spans="1:10" s="70" customFormat="1" ht="12.75" customHeight="1" x14ac:dyDescent="0.2">
      <c r="A62" s="127">
        <v>45103</v>
      </c>
      <c r="B62" s="128" t="s">
        <v>11</v>
      </c>
      <c r="C62" s="76" t="s">
        <v>778</v>
      </c>
      <c r="D62" s="126" t="s">
        <v>29</v>
      </c>
      <c r="E62" s="129"/>
      <c r="F62" s="70">
        <v>18540.16</v>
      </c>
      <c r="G62" s="30"/>
      <c r="I62" s="69"/>
      <c r="J62" s="69"/>
    </row>
    <row r="63" spans="1:10" s="70" customFormat="1" ht="12.75" customHeight="1" x14ac:dyDescent="0.2">
      <c r="A63" s="127">
        <v>45103</v>
      </c>
      <c r="B63" s="128" t="s">
        <v>11</v>
      </c>
      <c r="C63" s="76" t="s">
        <v>362</v>
      </c>
      <c r="D63" s="126" t="s">
        <v>29</v>
      </c>
      <c r="E63" s="129"/>
      <c r="F63" s="70">
        <v>22824.2</v>
      </c>
      <c r="G63" s="30"/>
      <c r="I63" s="69"/>
      <c r="J63" s="69"/>
    </row>
    <row r="64" spans="1:10" s="70" customFormat="1" ht="12.75" customHeight="1" x14ac:dyDescent="0.2">
      <c r="A64" s="127">
        <v>45103</v>
      </c>
      <c r="B64" s="128" t="s">
        <v>11</v>
      </c>
      <c r="C64" s="76" t="s">
        <v>57</v>
      </c>
      <c r="D64" s="126" t="s">
        <v>29</v>
      </c>
      <c r="E64" s="129"/>
      <c r="F64" s="70">
        <v>1000000</v>
      </c>
      <c r="G64" s="30"/>
      <c r="I64" s="69"/>
      <c r="J64" s="69"/>
    </row>
    <row r="65" spans="1:14" s="70" customFormat="1" ht="12.75" customHeight="1" x14ac:dyDescent="0.2">
      <c r="A65" s="127">
        <v>45103</v>
      </c>
      <c r="B65" s="128" t="s">
        <v>11</v>
      </c>
      <c r="C65" s="76" t="s">
        <v>251</v>
      </c>
      <c r="D65" s="126" t="s">
        <v>29</v>
      </c>
      <c r="E65" s="129"/>
      <c r="F65" s="70">
        <v>17321</v>
      </c>
      <c r="G65" s="30"/>
      <c r="I65" s="69"/>
      <c r="J65" s="69"/>
    </row>
    <row r="66" spans="1:14" s="70" customFormat="1" ht="12.75" customHeight="1" x14ac:dyDescent="0.2">
      <c r="A66" s="127">
        <v>45103</v>
      </c>
      <c r="B66" s="128" t="s">
        <v>11</v>
      </c>
      <c r="C66" s="76" t="s">
        <v>961</v>
      </c>
      <c r="D66" s="126" t="s">
        <v>29</v>
      </c>
      <c r="E66" s="129"/>
      <c r="F66" s="70">
        <v>23000</v>
      </c>
      <c r="G66" s="30"/>
      <c r="I66" s="69"/>
      <c r="J66" s="69"/>
    </row>
    <row r="67" spans="1:14" s="70" customFormat="1" ht="12.75" customHeight="1" x14ac:dyDescent="0.2">
      <c r="A67" s="127">
        <v>45103</v>
      </c>
      <c r="B67" s="128" t="s">
        <v>11</v>
      </c>
      <c r="C67" s="76" t="s">
        <v>353</v>
      </c>
      <c r="D67" s="126" t="s">
        <v>29</v>
      </c>
      <c r="E67" s="129"/>
      <c r="F67" s="70">
        <v>35400</v>
      </c>
      <c r="G67" s="30"/>
      <c r="I67" s="69"/>
      <c r="J67" s="69"/>
    </row>
    <row r="68" spans="1:14" s="70" customFormat="1" ht="12.75" customHeight="1" x14ac:dyDescent="0.2">
      <c r="A68" s="127">
        <v>45103</v>
      </c>
      <c r="B68" s="128" t="s">
        <v>11</v>
      </c>
      <c r="C68" s="76" t="s">
        <v>16</v>
      </c>
      <c r="D68" s="126" t="s">
        <v>29</v>
      </c>
      <c r="E68" s="129"/>
      <c r="F68" s="70">
        <v>298562.65999999997</v>
      </c>
      <c r="G68" s="30"/>
      <c r="I68" s="69"/>
      <c r="J68" s="69"/>
    </row>
    <row r="69" spans="1:14" s="70" customFormat="1" ht="12.75" customHeight="1" x14ac:dyDescent="0.2">
      <c r="A69" s="127">
        <v>45103</v>
      </c>
      <c r="B69" s="128" t="s">
        <v>11</v>
      </c>
      <c r="C69" s="76" t="s">
        <v>602</v>
      </c>
      <c r="D69" s="126" t="s">
        <v>29</v>
      </c>
      <c r="E69" s="129"/>
      <c r="F69" s="70">
        <v>30566</v>
      </c>
      <c r="G69" s="30"/>
      <c r="I69" s="69"/>
      <c r="J69" s="69"/>
    </row>
    <row r="70" spans="1:14" s="70" customFormat="1" ht="12.75" customHeight="1" x14ac:dyDescent="0.2">
      <c r="A70" s="127">
        <v>45103</v>
      </c>
      <c r="B70" s="128" t="s">
        <v>11</v>
      </c>
      <c r="C70" s="76" t="s">
        <v>338</v>
      </c>
      <c r="D70" s="126" t="s">
        <v>29</v>
      </c>
      <c r="E70" s="129"/>
      <c r="F70" s="70">
        <v>101774.92</v>
      </c>
      <c r="G70" s="30"/>
      <c r="I70" s="69"/>
      <c r="J70" s="69"/>
    </row>
    <row r="71" spans="1:14" s="70" customFormat="1" ht="12.75" customHeight="1" x14ac:dyDescent="0.2">
      <c r="A71" s="127">
        <v>45103</v>
      </c>
      <c r="B71" s="128" t="s">
        <v>11</v>
      </c>
      <c r="C71" s="76" t="s">
        <v>64</v>
      </c>
      <c r="D71" s="126" t="s">
        <v>29</v>
      </c>
      <c r="E71" s="129"/>
      <c r="F71" s="70">
        <v>15230.79</v>
      </c>
      <c r="G71" s="30"/>
      <c r="I71" s="69"/>
      <c r="J71" s="69"/>
    </row>
    <row r="72" spans="1:14" s="70" customFormat="1" ht="12.75" customHeight="1" x14ac:dyDescent="0.2">
      <c r="A72" s="127">
        <v>45103</v>
      </c>
      <c r="B72" s="128" t="s">
        <v>11</v>
      </c>
      <c r="C72" s="76" t="s">
        <v>15</v>
      </c>
      <c r="D72" s="126" t="s">
        <v>29</v>
      </c>
      <c r="E72" s="129"/>
      <c r="F72" s="70">
        <v>123032.84</v>
      </c>
      <c r="G72" s="30"/>
      <c r="I72" s="69"/>
      <c r="J72" s="69"/>
    </row>
    <row r="73" spans="1:14" s="2" customFormat="1" ht="12.75" customHeight="1" x14ac:dyDescent="0.25">
      <c r="A73" s="32"/>
      <c r="B73" s="33"/>
      <c r="C73" s="14"/>
      <c r="D73" s="34"/>
      <c r="E73" s="16">
        <f>SUM(E21:E72)</f>
        <v>15517405.810000001</v>
      </c>
      <c r="F73" s="16">
        <f>SUM(F21:F72)</f>
        <v>294753601.15999991</v>
      </c>
      <c r="G73" s="30"/>
      <c r="H73" s="1"/>
      <c r="I73" s="39">
        <v>279236195.35000002</v>
      </c>
      <c r="K73" s="92">
        <f>E74-I73</f>
        <v>0</v>
      </c>
      <c r="L73" s="41"/>
      <c r="M73" s="42"/>
    </row>
    <row r="74" spans="1:14" s="2" customFormat="1" ht="12.75" customHeight="1" x14ac:dyDescent="0.2">
      <c r="A74" s="36"/>
      <c r="B74" s="28" t="s">
        <v>11</v>
      </c>
      <c r="C74" s="19" t="s">
        <v>65</v>
      </c>
      <c r="D74" s="37"/>
      <c r="E74" s="38">
        <f>F73-E73</f>
        <v>279236195.3499999</v>
      </c>
      <c r="F74" s="22"/>
      <c r="G74" s="1"/>
      <c r="H74" s="1"/>
      <c r="J74" s="1"/>
      <c r="K74" s="1"/>
      <c r="L74" s="1"/>
      <c r="M74" s="1"/>
    </row>
    <row r="75" spans="1:14" s="2" customFormat="1" ht="12.75" customHeight="1" x14ac:dyDescent="0.2">
      <c r="A75" s="36"/>
      <c r="B75" s="28" t="s">
        <v>66</v>
      </c>
      <c r="C75" s="43" t="s">
        <v>67</v>
      </c>
      <c r="D75" s="43"/>
      <c r="E75" s="12">
        <v>59416310</v>
      </c>
      <c r="F75" s="22"/>
      <c r="G75" s="1"/>
      <c r="H75" s="40"/>
      <c r="I75" s="45">
        <v>3438.35</v>
      </c>
      <c r="J75" s="46"/>
      <c r="K75" s="46"/>
      <c r="L75" s="13"/>
    </row>
    <row r="76" spans="1:14" s="2" customFormat="1" ht="12.75" customHeight="1" x14ac:dyDescent="0.25">
      <c r="A76" s="36"/>
      <c r="B76" s="28"/>
      <c r="C76" s="44" t="s">
        <v>68</v>
      </c>
      <c r="D76" s="43"/>
      <c r="E76" s="7">
        <f>E74+E75</f>
        <v>338652505.3499999</v>
      </c>
      <c r="F76" s="22"/>
      <c r="G76" s="1"/>
      <c r="H76" s="103" t="s">
        <v>69</v>
      </c>
      <c r="I76" s="45">
        <v>-87.03</v>
      </c>
      <c r="J76" s="46"/>
      <c r="K76" s="46"/>
      <c r="N76" s="1"/>
    </row>
    <row r="77" spans="1:14" s="2" customFormat="1" x14ac:dyDescent="0.2">
      <c r="A77" s="24"/>
      <c r="B77" s="1"/>
      <c r="C77" s="14"/>
      <c r="D77" s="25"/>
      <c r="E77" s="1"/>
      <c r="H77" s="35" t="s">
        <v>70</v>
      </c>
      <c r="I77" s="45">
        <v>62.55</v>
      </c>
      <c r="J77" s="46">
        <f>+I78-D80</f>
        <v>0</v>
      </c>
      <c r="M77" s="2" t="s">
        <v>396</v>
      </c>
      <c r="N77" s="1"/>
    </row>
    <row r="78" spans="1:14" x14ac:dyDescent="0.2">
      <c r="C78" s="56"/>
      <c r="D78" s="56"/>
      <c r="E78" s="104"/>
      <c r="I78" s="49">
        <f>SUM(I75:I77)</f>
        <v>3413.87</v>
      </c>
      <c r="J78" s="46"/>
      <c r="K78" s="46"/>
      <c r="L78" s="2"/>
      <c r="M78" s="2"/>
      <c r="N78" s="2"/>
    </row>
    <row r="79" spans="1:14" x14ac:dyDescent="0.2">
      <c r="C79" s="78" t="s">
        <v>575</v>
      </c>
      <c r="D79" s="48" t="s">
        <v>576</v>
      </c>
      <c r="E79" s="104"/>
      <c r="I79" s="2"/>
      <c r="J79" s="2"/>
      <c r="K79" s="2"/>
      <c r="L79" s="2"/>
      <c r="M79" s="2"/>
      <c r="N79" s="2"/>
    </row>
    <row r="80" spans="1:14" s="2" customFormat="1" x14ac:dyDescent="0.2">
      <c r="A80" s="24"/>
      <c r="B80" s="1"/>
      <c r="C80" s="47" t="s">
        <v>570</v>
      </c>
      <c r="D80" s="111">
        <v>3413.87</v>
      </c>
      <c r="E80" s="104"/>
      <c r="G80" s="1"/>
      <c r="H80" s="110" t="s">
        <v>581</v>
      </c>
      <c r="N80" s="2" t="s">
        <v>535</v>
      </c>
    </row>
    <row r="81" spans="1:13" s="2" customFormat="1" x14ac:dyDescent="0.2">
      <c r="A81" s="24"/>
      <c r="B81" s="1"/>
      <c r="C81" s="47" t="s">
        <v>931</v>
      </c>
      <c r="D81" s="111">
        <v>463.31</v>
      </c>
      <c r="E81" s="104"/>
      <c r="G81" s="1"/>
      <c r="H81" s="110" t="s">
        <v>580</v>
      </c>
    </row>
    <row r="82" spans="1:13" s="2" customFormat="1" x14ac:dyDescent="0.2">
      <c r="A82" s="24"/>
      <c r="B82" s="1"/>
      <c r="C82" s="47" t="s">
        <v>572</v>
      </c>
      <c r="D82" s="111">
        <f>+D129/100000</f>
        <v>499.5648046</v>
      </c>
      <c r="E82" s="104"/>
      <c r="G82" s="1"/>
      <c r="H82" s="90" t="s">
        <v>587</v>
      </c>
    </row>
    <row r="83" spans="1:13" s="2" customFormat="1" x14ac:dyDescent="0.2">
      <c r="A83" s="24"/>
      <c r="B83" s="1"/>
      <c r="C83" s="108" t="s">
        <v>578</v>
      </c>
      <c r="D83" s="48">
        <f>SUM(D80:D82)</f>
        <v>4376.7448046</v>
      </c>
      <c r="E83" s="104"/>
      <c r="G83" s="1"/>
    </row>
    <row r="84" spans="1:13" s="2" customFormat="1" x14ac:dyDescent="0.2">
      <c r="A84" s="24"/>
      <c r="B84" s="1"/>
      <c r="C84" s="47"/>
      <c r="D84" s="107"/>
      <c r="E84" s="104"/>
      <c r="G84" s="1"/>
    </row>
    <row r="85" spans="1:13" s="2" customFormat="1" x14ac:dyDescent="0.2">
      <c r="A85" s="24"/>
      <c r="B85" s="1"/>
      <c r="C85" s="47" t="s">
        <v>932</v>
      </c>
      <c r="D85" s="111">
        <v>384.3</v>
      </c>
      <c r="E85" s="104"/>
      <c r="G85" s="1"/>
      <c r="H85" s="110" t="s">
        <v>581</v>
      </c>
    </row>
    <row r="86" spans="1:13" s="2" customFormat="1" x14ac:dyDescent="0.2">
      <c r="A86" s="24"/>
      <c r="B86" s="1"/>
      <c r="C86" s="47" t="s">
        <v>933</v>
      </c>
      <c r="D86" s="111">
        <f>179.5+358.72-193.68</f>
        <v>344.54</v>
      </c>
      <c r="E86" s="104"/>
      <c r="G86" s="1"/>
      <c r="H86" s="110" t="s">
        <v>581</v>
      </c>
      <c r="J86" s="114" t="s">
        <v>713</v>
      </c>
    </row>
    <row r="87" spans="1:13" s="2" customFormat="1" x14ac:dyDescent="0.2">
      <c r="A87" s="24"/>
      <c r="B87" s="1"/>
      <c r="C87" s="78" t="s">
        <v>579</v>
      </c>
      <c r="D87" s="109">
        <f>D85+D86</f>
        <v>728.84</v>
      </c>
      <c r="E87" s="104"/>
      <c r="G87" s="1"/>
      <c r="I87" s="113"/>
      <c r="J87" s="113" t="s">
        <v>709</v>
      </c>
      <c r="K87" s="113" t="s">
        <v>710</v>
      </c>
      <c r="L87" s="113" t="s">
        <v>711</v>
      </c>
      <c r="M87" s="113" t="s">
        <v>712</v>
      </c>
    </row>
    <row r="88" spans="1:13" s="2" customFormat="1" x14ac:dyDescent="0.2">
      <c r="A88" s="24"/>
      <c r="B88" s="1"/>
      <c r="C88" s="105"/>
      <c r="D88" s="106"/>
      <c r="E88" s="104"/>
      <c r="G88" s="1"/>
      <c r="I88" s="113" t="s">
        <v>706</v>
      </c>
      <c r="J88" s="115"/>
      <c r="K88" s="115">
        <v>968.99</v>
      </c>
      <c r="L88" s="115">
        <v>968.99</v>
      </c>
      <c r="M88" s="113">
        <f>+J88+L88-K88</f>
        <v>0</v>
      </c>
    </row>
    <row r="89" spans="1:13" s="2" customFormat="1" x14ac:dyDescent="0.2">
      <c r="A89" s="24"/>
      <c r="B89" s="1"/>
      <c r="C89" s="78" t="s">
        <v>577</v>
      </c>
      <c r="D89" s="109">
        <f>D80+D87</f>
        <v>4142.71</v>
      </c>
      <c r="E89" s="104"/>
      <c r="G89" s="1"/>
      <c r="I89" s="113" t="s">
        <v>707</v>
      </c>
      <c r="J89" s="115">
        <v>183.1</v>
      </c>
      <c r="K89" s="115">
        <v>2424.27</v>
      </c>
      <c r="L89" s="115">
        <v>3177.12</v>
      </c>
      <c r="M89" s="113">
        <f>+J89+L89-K89</f>
        <v>935.94999999999982</v>
      </c>
    </row>
    <row r="90" spans="1:13" s="2" customFormat="1" x14ac:dyDescent="0.2">
      <c r="A90" s="24"/>
      <c r="B90" s="1"/>
      <c r="C90" s="56"/>
      <c r="D90" s="56"/>
      <c r="E90" s="104"/>
      <c r="G90" s="1"/>
      <c r="I90" s="113" t="s">
        <v>708</v>
      </c>
      <c r="J90" s="115">
        <v>1371.02</v>
      </c>
      <c r="K90" s="115">
        <v>12292.86</v>
      </c>
      <c r="L90" s="115">
        <v>12284.8</v>
      </c>
      <c r="M90" s="113">
        <f>+J90+L90-K90</f>
        <v>1362.9599999999991</v>
      </c>
    </row>
    <row r="91" spans="1:13" s="2" customFormat="1" ht="38.25" x14ac:dyDescent="0.2">
      <c r="A91" s="24"/>
      <c r="B91" s="1"/>
      <c r="C91" s="79" t="str">
        <f>"Particulars ( 01-04-2021 to "&amp;TEXT(A5,"dd-mm-yyyy")&amp;" )"</f>
        <v>Particulars ( 01-04-2021 to 26-06-2023 )</v>
      </c>
      <c r="D91" s="80" t="s">
        <v>73</v>
      </c>
      <c r="E91" s="80" t="s">
        <v>74</v>
      </c>
      <c r="F91" s="81" t="s">
        <v>75</v>
      </c>
      <c r="G91" s="80" t="s">
        <v>76</v>
      </c>
      <c r="J91" s="118">
        <f>SUM(J88:J90)</f>
        <v>1554.12</v>
      </c>
      <c r="K91" s="118">
        <f>SUM(K88:K90)</f>
        <v>15686.12</v>
      </c>
      <c r="L91" s="118">
        <f>SUM(L88:L90)</f>
        <v>16430.91</v>
      </c>
      <c r="M91" s="118">
        <f>SUM(M88:M90)</f>
        <v>2298.9099999999989</v>
      </c>
    </row>
    <row r="92" spans="1:13" s="2" customFormat="1" x14ac:dyDescent="0.2">
      <c r="A92" s="24"/>
      <c r="B92" s="1"/>
      <c r="C92" s="50" t="s">
        <v>444</v>
      </c>
      <c r="D92" s="55">
        <f>+L88+L89+J89</f>
        <v>4329.21</v>
      </c>
      <c r="E92" s="55">
        <f>+K88+K89</f>
        <v>3393.26</v>
      </c>
      <c r="F92" s="55">
        <f>+D92-E92</f>
        <v>935.94999999999982</v>
      </c>
      <c r="G92" s="55">
        <f>1500-F92</f>
        <v>564.05000000000018</v>
      </c>
      <c r="H92" s="2" t="s">
        <v>396</v>
      </c>
    </row>
    <row r="93" spans="1:13" s="2" customFormat="1" x14ac:dyDescent="0.2">
      <c r="A93" s="24"/>
      <c r="B93" s="1"/>
      <c r="C93" s="50" t="s">
        <v>71</v>
      </c>
      <c r="D93" s="55">
        <f>+J90+L90</f>
        <v>13655.82</v>
      </c>
      <c r="E93" s="55">
        <f>+K90</f>
        <v>12292.86</v>
      </c>
      <c r="F93" s="55">
        <f>+D93-E93</f>
        <v>1362.9599999999991</v>
      </c>
      <c r="G93" s="55">
        <f>1500+700-F93</f>
        <v>837.04000000000087</v>
      </c>
      <c r="H93" s="2" t="s">
        <v>396</v>
      </c>
    </row>
    <row r="94" spans="1:13" s="2" customFormat="1" x14ac:dyDescent="0.2">
      <c r="A94" s="24"/>
      <c r="B94" s="1"/>
      <c r="C94" s="14"/>
      <c r="D94" s="56"/>
      <c r="E94" s="13"/>
      <c r="G94" s="1"/>
    </row>
    <row r="95" spans="1:13" s="2" customFormat="1" x14ac:dyDescent="0.2">
      <c r="A95" s="215" t="s">
        <v>80</v>
      </c>
      <c r="B95" s="216"/>
      <c r="C95" s="216"/>
      <c r="D95" s="217"/>
      <c r="E95" s="69"/>
      <c r="F95" s="70"/>
      <c r="G95" s="1"/>
      <c r="H95" s="53"/>
    </row>
    <row r="96" spans="1:13" s="2" customFormat="1" x14ac:dyDescent="0.2">
      <c r="A96" s="71" t="s">
        <v>81</v>
      </c>
      <c r="B96" s="71"/>
      <c r="C96" s="72" t="s">
        <v>82</v>
      </c>
      <c r="D96" s="73" t="s">
        <v>83</v>
      </c>
      <c r="E96" s="69"/>
      <c r="F96" s="70"/>
      <c r="H96" s="53"/>
    </row>
    <row r="97" spans="1:13" s="2" customFormat="1" x14ac:dyDescent="0.2">
      <c r="A97" s="87">
        <v>45080</v>
      </c>
      <c r="B97" s="120" t="s">
        <v>1052</v>
      </c>
      <c r="C97" s="75" t="s">
        <v>86</v>
      </c>
      <c r="D97" s="88">
        <v>163799</v>
      </c>
      <c r="G97" s="1"/>
      <c r="L97" s="1"/>
      <c r="M97" s="1"/>
    </row>
    <row r="98" spans="1:13" s="2" customFormat="1" x14ac:dyDescent="0.2">
      <c r="A98" s="87">
        <v>45080</v>
      </c>
      <c r="B98" s="120" t="s">
        <v>1052</v>
      </c>
      <c r="C98" s="75" t="s">
        <v>86</v>
      </c>
      <c r="D98" s="88">
        <v>1695107</v>
      </c>
      <c r="G98" s="1"/>
      <c r="L98" s="1"/>
      <c r="M98" s="1"/>
    </row>
    <row r="99" spans="1:13" s="2" customFormat="1" x14ac:dyDescent="0.2">
      <c r="A99" s="87">
        <v>45082</v>
      </c>
      <c r="B99" s="120" t="s">
        <v>1052</v>
      </c>
      <c r="C99" s="75" t="s">
        <v>87</v>
      </c>
      <c r="D99" s="88">
        <v>6627</v>
      </c>
      <c r="G99" s="1"/>
      <c r="L99" s="1"/>
      <c r="M99" s="1"/>
    </row>
    <row r="100" spans="1:13" s="2" customFormat="1" x14ac:dyDescent="0.2">
      <c r="A100" s="87">
        <v>45084</v>
      </c>
      <c r="B100" s="120" t="s">
        <v>1052</v>
      </c>
      <c r="C100" s="75" t="s">
        <v>87</v>
      </c>
      <c r="D100" s="88">
        <v>618395.80000000005</v>
      </c>
      <c r="G100" s="1"/>
      <c r="L100" s="1"/>
      <c r="M100" s="1"/>
    </row>
    <row r="101" spans="1:13" s="2" customFormat="1" x14ac:dyDescent="0.2">
      <c r="A101" s="87">
        <v>45085</v>
      </c>
      <c r="B101" s="120" t="s">
        <v>1052</v>
      </c>
      <c r="C101" s="75" t="s">
        <v>18</v>
      </c>
      <c r="D101" s="88">
        <v>407682</v>
      </c>
      <c r="G101" s="1"/>
      <c r="L101" s="1"/>
      <c r="M101" s="1"/>
    </row>
    <row r="102" spans="1:13" s="2" customFormat="1" x14ac:dyDescent="0.2">
      <c r="A102" s="87">
        <v>45086</v>
      </c>
      <c r="B102" s="120" t="s">
        <v>1052</v>
      </c>
      <c r="C102" s="75" t="s">
        <v>85</v>
      </c>
      <c r="D102" s="88">
        <v>1104724</v>
      </c>
      <c r="G102" s="1"/>
      <c r="L102" s="1"/>
      <c r="M102" s="1"/>
    </row>
    <row r="103" spans="1:13" s="2" customFormat="1" x14ac:dyDescent="0.2">
      <c r="A103" s="87">
        <v>45086</v>
      </c>
      <c r="B103" s="120" t="s">
        <v>1052</v>
      </c>
      <c r="C103" s="75" t="s">
        <v>85</v>
      </c>
      <c r="D103" s="88">
        <v>1489874</v>
      </c>
      <c r="G103" s="1"/>
      <c r="L103" s="1"/>
      <c r="M103" s="1"/>
    </row>
    <row r="104" spans="1:13" s="2" customFormat="1" x14ac:dyDescent="0.2">
      <c r="A104" s="87">
        <v>45086</v>
      </c>
      <c r="B104" s="120" t="s">
        <v>1052</v>
      </c>
      <c r="C104" s="75" t="s">
        <v>86</v>
      </c>
      <c r="D104" s="88">
        <v>1756907</v>
      </c>
      <c r="G104" s="1"/>
      <c r="L104" s="1"/>
      <c r="M104" s="1"/>
    </row>
    <row r="105" spans="1:13" s="2" customFormat="1" x14ac:dyDescent="0.2">
      <c r="A105" s="87">
        <v>45086</v>
      </c>
      <c r="B105" s="120" t="s">
        <v>1052</v>
      </c>
      <c r="C105" s="75" t="s">
        <v>201</v>
      </c>
      <c r="D105" s="88">
        <v>5000192.4400000004</v>
      </c>
      <c r="G105" s="1"/>
      <c r="L105" s="1"/>
      <c r="M105" s="1"/>
    </row>
    <row r="106" spans="1:13" s="2" customFormat="1" x14ac:dyDescent="0.2">
      <c r="A106" s="87">
        <v>45089</v>
      </c>
      <c r="B106" s="120" t="s">
        <v>1052</v>
      </c>
      <c r="C106" s="75" t="s">
        <v>270</v>
      </c>
      <c r="D106" s="88">
        <v>654429</v>
      </c>
      <c r="G106" s="1"/>
      <c r="L106" s="1"/>
      <c r="M106" s="1"/>
    </row>
    <row r="107" spans="1:13" s="2" customFormat="1" x14ac:dyDescent="0.2">
      <c r="A107" s="87">
        <v>45090</v>
      </c>
      <c r="B107" s="120" t="s">
        <v>1052</v>
      </c>
      <c r="C107" s="75" t="s">
        <v>594</v>
      </c>
      <c r="D107" s="88">
        <v>5353676</v>
      </c>
      <c r="G107" s="1"/>
      <c r="L107" s="1"/>
      <c r="M107" s="1"/>
    </row>
    <row r="108" spans="1:13" s="2" customFormat="1" x14ac:dyDescent="0.2">
      <c r="A108" s="87">
        <v>45090</v>
      </c>
      <c r="B108" s="120" t="s">
        <v>1052</v>
      </c>
      <c r="C108" s="75" t="s">
        <v>270</v>
      </c>
      <c r="D108" s="88">
        <v>62180.5</v>
      </c>
      <c r="G108" s="1"/>
      <c r="L108" s="1"/>
      <c r="M108" s="1"/>
    </row>
    <row r="109" spans="1:13" s="2" customFormat="1" x14ac:dyDescent="0.2">
      <c r="A109" s="87">
        <v>45090</v>
      </c>
      <c r="B109" s="120" t="s">
        <v>1052</v>
      </c>
      <c r="C109" s="75" t="s">
        <v>270</v>
      </c>
      <c r="D109" s="88">
        <v>9179</v>
      </c>
      <c r="G109" s="1"/>
      <c r="L109" s="1"/>
      <c r="M109" s="1"/>
    </row>
    <row r="110" spans="1:13" s="2" customFormat="1" x14ac:dyDescent="0.2">
      <c r="A110" s="87">
        <v>45091</v>
      </c>
      <c r="B110" s="120" t="s">
        <v>1052</v>
      </c>
      <c r="C110" s="75" t="s">
        <v>87</v>
      </c>
      <c r="D110" s="88">
        <v>1261201</v>
      </c>
      <c r="G110" s="1"/>
      <c r="L110" s="1"/>
      <c r="M110" s="1"/>
    </row>
    <row r="111" spans="1:13" s="2" customFormat="1" x14ac:dyDescent="0.2">
      <c r="A111" s="87">
        <v>45091</v>
      </c>
      <c r="B111" s="120" t="s">
        <v>1052</v>
      </c>
      <c r="C111" s="75" t="s">
        <v>84</v>
      </c>
      <c r="D111" s="88">
        <v>1000000</v>
      </c>
      <c r="G111" s="1"/>
      <c r="L111" s="1"/>
      <c r="M111" s="1"/>
    </row>
    <row r="112" spans="1:13" s="2" customFormat="1" x14ac:dyDescent="0.2">
      <c r="A112" s="87">
        <v>45092</v>
      </c>
      <c r="B112" s="120" t="s">
        <v>1052</v>
      </c>
      <c r="C112" s="75" t="s">
        <v>18</v>
      </c>
      <c r="D112" s="88">
        <v>1074373</v>
      </c>
      <c r="G112" s="1"/>
      <c r="L112" s="1"/>
      <c r="M112" s="1"/>
    </row>
    <row r="113" spans="1:13" s="2" customFormat="1" x14ac:dyDescent="0.2">
      <c r="A113" s="87">
        <v>45094</v>
      </c>
      <c r="B113" s="120" t="s">
        <v>1052</v>
      </c>
      <c r="C113" s="75" t="s">
        <v>323</v>
      </c>
      <c r="D113" s="88">
        <v>2582806</v>
      </c>
      <c r="G113" s="1"/>
      <c r="L113" s="1"/>
      <c r="M113" s="1"/>
    </row>
    <row r="114" spans="1:13" s="2" customFormat="1" x14ac:dyDescent="0.2">
      <c r="A114" s="87">
        <v>45095</v>
      </c>
      <c r="B114" s="120" t="s">
        <v>1052</v>
      </c>
      <c r="C114" s="75" t="s">
        <v>85</v>
      </c>
      <c r="D114" s="88">
        <v>77650</v>
      </c>
      <c r="G114" s="1"/>
      <c r="L114" s="1"/>
      <c r="M114" s="1"/>
    </row>
    <row r="115" spans="1:13" s="2" customFormat="1" x14ac:dyDescent="0.2">
      <c r="A115" s="87">
        <v>45096</v>
      </c>
      <c r="B115" s="120" t="s">
        <v>1052</v>
      </c>
      <c r="C115" s="75" t="s">
        <v>270</v>
      </c>
      <c r="D115" s="88">
        <v>1475157</v>
      </c>
      <c r="G115" s="1"/>
      <c r="L115" s="1"/>
      <c r="M115" s="1"/>
    </row>
    <row r="116" spans="1:13" s="2" customFormat="1" x14ac:dyDescent="0.2">
      <c r="A116" s="87">
        <v>45096</v>
      </c>
      <c r="B116" s="120" t="s">
        <v>1052</v>
      </c>
      <c r="C116" s="75" t="s">
        <v>270</v>
      </c>
      <c r="D116" s="88">
        <v>741951</v>
      </c>
      <c r="G116" s="1"/>
      <c r="L116" s="1"/>
      <c r="M116" s="1"/>
    </row>
    <row r="117" spans="1:13" s="2" customFormat="1" x14ac:dyDescent="0.2">
      <c r="A117" s="87">
        <v>45096</v>
      </c>
      <c r="B117" s="120" t="s">
        <v>1052</v>
      </c>
      <c r="C117" s="75" t="s">
        <v>270</v>
      </c>
      <c r="D117" s="88">
        <v>1034388</v>
      </c>
      <c r="G117" s="1"/>
      <c r="L117" s="1"/>
      <c r="M117" s="1"/>
    </row>
    <row r="118" spans="1:13" s="2" customFormat="1" x14ac:dyDescent="0.2">
      <c r="A118" s="87">
        <v>45096</v>
      </c>
      <c r="B118" s="120" t="s">
        <v>1052</v>
      </c>
      <c r="C118" s="75" t="s">
        <v>270</v>
      </c>
      <c r="D118" s="88">
        <v>93897</v>
      </c>
      <c r="G118" s="1"/>
      <c r="L118" s="1"/>
      <c r="M118" s="1"/>
    </row>
    <row r="119" spans="1:13" s="2" customFormat="1" x14ac:dyDescent="0.2">
      <c r="A119" s="87">
        <v>45096</v>
      </c>
      <c r="B119" s="120" t="s">
        <v>1052</v>
      </c>
      <c r="C119" s="75" t="s">
        <v>270</v>
      </c>
      <c r="D119" s="88">
        <v>353700</v>
      </c>
      <c r="G119" s="1"/>
      <c r="L119" s="1"/>
      <c r="M119" s="1"/>
    </row>
    <row r="120" spans="1:13" s="2" customFormat="1" x14ac:dyDescent="0.2">
      <c r="A120" s="87">
        <v>45096</v>
      </c>
      <c r="B120" s="120" t="s">
        <v>1052</v>
      </c>
      <c r="C120" s="75" t="s">
        <v>270</v>
      </c>
      <c r="D120" s="88">
        <v>1205410</v>
      </c>
      <c r="G120" s="1"/>
      <c r="L120" s="1"/>
      <c r="M120" s="1"/>
    </row>
    <row r="121" spans="1:13" s="2" customFormat="1" x14ac:dyDescent="0.2">
      <c r="A121" s="87">
        <v>45096</v>
      </c>
      <c r="B121" s="120" t="s">
        <v>1052</v>
      </c>
      <c r="C121" s="75" t="s">
        <v>86</v>
      </c>
      <c r="D121" s="88">
        <v>5053085</v>
      </c>
      <c r="G121" s="1"/>
      <c r="L121" s="1"/>
      <c r="M121" s="1"/>
    </row>
    <row r="122" spans="1:13" s="2" customFormat="1" x14ac:dyDescent="0.2">
      <c r="A122" s="87">
        <v>45096</v>
      </c>
      <c r="B122" s="120" t="s">
        <v>1052</v>
      </c>
      <c r="C122" s="75" t="s">
        <v>88</v>
      </c>
      <c r="D122" s="88">
        <v>1962959.72</v>
      </c>
      <c r="G122" s="1"/>
      <c r="L122" s="1"/>
      <c r="M122" s="1"/>
    </row>
    <row r="123" spans="1:13" s="2" customFormat="1" x14ac:dyDescent="0.2">
      <c r="A123" s="87">
        <v>45098</v>
      </c>
      <c r="B123" s="120" t="s">
        <v>1052</v>
      </c>
      <c r="C123" s="75" t="s">
        <v>86</v>
      </c>
      <c r="D123" s="88">
        <v>2350710</v>
      </c>
      <c r="G123" s="1"/>
      <c r="L123" s="1"/>
      <c r="M123" s="1"/>
    </row>
    <row r="124" spans="1:13" s="2" customFormat="1" x14ac:dyDescent="0.2">
      <c r="A124" s="87">
        <v>45098</v>
      </c>
      <c r="B124" s="120" t="s">
        <v>1052</v>
      </c>
      <c r="C124" s="75" t="s">
        <v>86</v>
      </c>
      <c r="D124" s="88">
        <v>980606</v>
      </c>
      <c r="G124" s="1"/>
      <c r="L124" s="1"/>
      <c r="M124" s="1"/>
    </row>
    <row r="125" spans="1:13" s="2" customFormat="1" x14ac:dyDescent="0.2">
      <c r="A125" s="87">
        <v>45099</v>
      </c>
      <c r="B125" s="120" t="s">
        <v>1052</v>
      </c>
      <c r="C125" s="75" t="s">
        <v>18</v>
      </c>
      <c r="D125" s="88">
        <v>466628</v>
      </c>
      <c r="G125" s="1"/>
      <c r="L125" s="1"/>
      <c r="M125" s="1"/>
    </row>
    <row r="126" spans="1:13" s="2" customFormat="1" x14ac:dyDescent="0.2">
      <c r="A126" s="87">
        <v>45099</v>
      </c>
      <c r="B126" s="120" t="s">
        <v>1052</v>
      </c>
      <c r="C126" s="75" t="s">
        <v>594</v>
      </c>
      <c r="D126" s="88">
        <v>7600365</v>
      </c>
      <c r="G126" s="1"/>
      <c r="L126" s="1"/>
      <c r="M126" s="1"/>
    </row>
    <row r="127" spans="1:13" s="2" customFormat="1" x14ac:dyDescent="0.2">
      <c r="A127" s="87">
        <v>45099</v>
      </c>
      <c r="B127" s="120" t="s">
        <v>1052</v>
      </c>
      <c r="C127" s="75" t="s">
        <v>84</v>
      </c>
      <c r="D127" s="88">
        <v>1500000</v>
      </c>
      <c r="G127" s="1"/>
      <c r="L127" s="1"/>
      <c r="M127" s="1"/>
    </row>
    <row r="128" spans="1:13" s="2" customFormat="1" x14ac:dyDescent="0.2">
      <c r="A128" s="87">
        <v>45103</v>
      </c>
      <c r="B128" s="120" t="s">
        <v>1052</v>
      </c>
      <c r="C128" s="75" t="s">
        <v>87</v>
      </c>
      <c r="D128" s="88">
        <v>818821</v>
      </c>
      <c r="G128" s="1"/>
      <c r="L128" s="1"/>
      <c r="M128" s="1"/>
    </row>
    <row r="129" spans="1:13" s="2" customFormat="1" x14ac:dyDescent="0.2">
      <c r="A129" s="87"/>
      <c r="B129" s="74"/>
      <c r="C129" s="75"/>
      <c r="D129" s="51">
        <f>SUM(D97:D128)</f>
        <v>49956480.460000001</v>
      </c>
      <c r="F129" s="2" t="s">
        <v>396</v>
      </c>
      <c r="G129" s="1"/>
      <c r="L129" s="1"/>
      <c r="M129" s="1"/>
    </row>
    <row r="130" spans="1:13" s="2" customFormat="1" x14ac:dyDescent="0.2">
      <c r="A130" s="24"/>
      <c r="B130" s="1"/>
      <c r="C130" s="14"/>
      <c r="D130" s="56"/>
      <c r="E130" s="13"/>
      <c r="G130" s="1"/>
      <c r="L130" s="1"/>
      <c r="M130" s="1"/>
    </row>
    <row r="131" spans="1:13" s="2" customFormat="1" x14ac:dyDescent="0.2">
      <c r="A131" s="24"/>
      <c r="B131" s="1"/>
      <c r="C131" s="218" t="s">
        <v>77</v>
      </c>
      <c r="D131" s="219"/>
      <c r="E131" s="219"/>
      <c r="F131" s="220"/>
      <c r="G131" s="1"/>
      <c r="L131" s="1"/>
      <c r="M131" s="1"/>
    </row>
    <row r="132" spans="1:13" s="2" customFormat="1" x14ac:dyDescent="0.2">
      <c r="A132" s="24"/>
      <c r="B132" s="1"/>
      <c r="C132" s="50"/>
      <c r="D132" s="57" t="s">
        <v>78</v>
      </c>
      <c r="E132" s="58" t="s">
        <v>79</v>
      </c>
      <c r="F132" s="57" t="s">
        <v>72</v>
      </c>
      <c r="G132" s="1"/>
      <c r="I132" s="1"/>
      <c r="J132" s="1"/>
      <c r="K132" s="1"/>
      <c r="L132" s="1"/>
      <c r="M132" s="1"/>
    </row>
    <row r="133" spans="1:13" s="2" customFormat="1" x14ac:dyDescent="0.2">
      <c r="A133" s="24"/>
      <c r="B133" s="1"/>
      <c r="C133" s="59" t="str">
        <f>"01-06-2023 to "&amp;TEXT(A5-2,"dd-mm-yyyy")</f>
        <v>01-06-2023 to 24-06-2023</v>
      </c>
      <c r="D133" s="60">
        <v>4829.33</v>
      </c>
      <c r="E133" s="60">
        <v>169.37</v>
      </c>
      <c r="F133" s="61">
        <f>SUM(D133:E133)</f>
        <v>4998.7</v>
      </c>
      <c r="G133" s="1"/>
    </row>
    <row r="134" spans="1:13" s="2" customFormat="1" x14ac:dyDescent="0.2">
      <c r="A134" s="24"/>
      <c r="B134" s="1"/>
      <c r="C134" s="62" t="str">
        <f>TEXT(A5-1,"dd-mm-yyyy")</f>
        <v>25-06-2023</v>
      </c>
      <c r="D134" s="60">
        <v>271.63</v>
      </c>
      <c r="E134" s="60">
        <v>0.88</v>
      </c>
      <c r="F134" s="61">
        <f>SUM(D134:E134)</f>
        <v>272.51</v>
      </c>
      <c r="G134" s="54"/>
      <c r="I134" s="1"/>
      <c r="J134" s="1"/>
      <c r="K134" s="1"/>
      <c r="L134" s="1"/>
      <c r="M134" s="1"/>
    </row>
    <row r="135" spans="1:13" s="2" customFormat="1" ht="13.5" thickBot="1" x14ac:dyDescent="0.25">
      <c r="A135" s="24"/>
      <c r="B135" s="1"/>
      <c r="C135" s="63" t="str">
        <f>"01-06-2023 to "&amp;TEXT(A5-1,"dd-mm-yyyy")</f>
        <v>01-06-2023 to 25-06-2023</v>
      </c>
      <c r="D135" s="64">
        <f>SUM(D133:D134)</f>
        <v>5100.96</v>
      </c>
      <c r="E135" s="64">
        <f>SUM(E133:E134)</f>
        <v>170.25</v>
      </c>
      <c r="F135" s="64">
        <f>SUM(F133:F134)</f>
        <v>5271.21</v>
      </c>
      <c r="G135" s="54"/>
      <c r="I135" s="1"/>
      <c r="J135" s="1"/>
      <c r="K135" s="1"/>
      <c r="L135" s="1"/>
      <c r="M135" s="1"/>
    </row>
    <row r="136" spans="1:13" s="2" customFormat="1" ht="13.5" thickTop="1" x14ac:dyDescent="0.2">
      <c r="A136" s="24"/>
      <c r="B136" s="1"/>
      <c r="C136" s="62"/>
      <c r="D136" s="65"/>
      <c r="E136" s="66"/>
      <c r="F136" s="67"/>
      <c r="G136" s="54"/>
      <c r="I136" s="1"/>
      <c r="J136" s="1"/>
      <c r="K136" s="1"/>
      <c r="L136" s="1"/>
      <c r="M136" s="1"/>
    </row>
    <row r="137" spans="1:13" s="2" customFormat="1" x14ac:dyDescent="0.2">
      <c r="A137" s="24"/>
      <c r="B137" s="1"/>
      <c r="C137" s="62" t="str">
        <f>"01-04-2023 to " &amp;C134</f>
        <v>01-04-2023 to 25-06-2023</v>
      </c>
      <c r="D137" s="68">
        <f>+D135+9224.33</f>
        <v>14325.29</v>
      </c>
      <c r="E137" s="68">
        <f>+E135+906.58</f>
        <v>1076.83</v>
      </c>
      <c r="F137" s="68">
        <f>+F135+10130.9</f>
        <v>15402.11</v>
      </c>
      <c r="G137" s="54"/>
      <c r="I137" s="1"/>
      <c r="J137" s="1"/>
      <c r="K137" s="1"/>
      <c r="L137" s="1"/>
      <c r="M137" s="1"/>
    </row>
    <row r="138" spans="1:13" x14ac:dyDescent="0.2">
      <c r="C138" s="52"/>
      <c r="D138" s="85"/>
      <c r="E138" s="53"/>
      <c r="F138" s="53"/>
      <c r="G138" s="54"/>
      <c r="H138" s="2" t="s">
        <v>396</v>
      </c>
    </row>
    <row r="139" spans="1:13" s="2" customFormat="1" x14ac:dyDescent="0.2">
      <c r="A139" s="24"/>
      <c r="B139" s="1"/>
      <c r="C139" s="52"/>
      <c r="D139" s="85"/>
      <c r="E139" s="53"/>
      <c r="F139" s="53"/>
      <c r="G139" s="54"/>
      <c r="H139" s="53"/>
    </row>
    <row r="140" spans="1:13" x14ac:dyDescent="0.2">
      <c r="C140" s="52"/>
      <c r="D140" s="85"/>
      <c r="E140" s="53"/>
      <c r="F140" s="53"/>
      <c r="G140" s="54"/>
      <c r="H140" s="53" t="s">
        <v>396</v>
      </c>
    </row>
    <row r="141" spans="1:13" x14ac:dyDescent="0.2">
      <c r="C141" s="52"/>
      <c r="D141" s="85"/>
      <c r="E141" s="53"/>
      <c r="F141" s="53"/>
      <c r="G141" s="54"/>
      <c r="H141" s="53" t="s">
        <v>396</v>
      </c>
      <c r="J141" s="42"/>
    </row>
    <row r="142" spans="1:13" x14ac:dyDescent="0.2">
      <c r="G142" s="54"/>
      <c r="H142" s="53"/>
      <c r="I142" s="101"/>
    </row>
    <row r="143" spans="1:13" x14ac:dyDescent="0.2">
      <c r="G143" s="54"/>
      <c r="H143" s="53"/>
    </row>
    <row r="144" spans="1:13" x14ac:dyDescent="0.2">
      <c r="G144" s="54"/>
      <c r="H144" s="53"/>
    </row>
    <row r="145" spans="8:8" x14ac:dyDescent="0.2">
      <c r="H145" s="53"/>
    </row>
  </sheetData>
  <mergeCells count="6">
    <mergeCell ref="C131:F131"/>
    <mergeCell ref="A1:G1"/>
    <mergeCell ref="A3:F3"/>
    <mergeCell ref="A9:F9"/>
    <mergeCell ref="A19:F19"/>
    <mergeCell ref="A95:D95"/>
  </mergeCells>
  <conditionalFormatting sqref="G92:G93">
    <cfRule type="cellIs" dxfId="459" priority="1" operator="lessThan">
      <formula>0</formula>
    </cfRule>
  </conditionalFormatting>
  <conditionalFormatting sqref="C21">
    <cfRule type="duplicateValues" dxfId="458" priority="2"/>
  </conditionalFormatting>
  <conditionalFormatting sqref="C22:C72">
    <cfRule type="duplicateValues" dxfId="457" priority="553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Sheet362">
    <pageSetUpPr fitToPage="1"/>
  </sheetPr>
  <dimension ref="A1:N144"/>
  <sheetViews>
    <sheetView topLeftCell="B127" zoomScaleNormal="100" workbookViewId="0">
      <selection activeCell="C46" sqref="C46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85546875" style="14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1136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45104</v>
      </c>
      <c r="B5" s="9" t="s">
        <v>6</v>
      </c>
      <c r="C5" s="10" t="s">
        <v>7</v>
      </c>
      <c r="D5" s="11"/>
      <c r="E5" s="12">
        <v>221548.70000000019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221548.70000000019</v>
      </c>
      <c r="F6" s="16">
        <f>F5</f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+E6-F6</f>
        <v>221548.70000000019</v>
      </c>
      <c r="F7" s="22"/>
      <c r="G7" s="23"/>
      <c r="H7" s="112"/>
      <c r="I7" s="112"/>
      <c r="J7" s="13"/>
    </row>
    <row r="8" spans="1:10" ht="12.75" customHeight="1" x14ac:dyDescent="0.4">
      <c r="H8" s="112"/>
      <c r="I8" s="112"/>
    </row>
    <row r="9" spans="1:10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12"/>
    </row>
    <row r="10" spans="1:10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12"/>
    </row>
    <row r="11" spans="1:10" s="2" customFormat="1" ht="14.25" customHeight="1" x14ac:dyDescent="0.2">
      <c r="A11" s="127">
        <v>45104</v>
      </c>
      <c r="B11" s="9" t="s">
        <v>6</v>
      </c>
      <c r="C11" s="10" t="s">
        <v>7</v>
      </c>
      <c r="D11" s="11"/>
      <c r="F11" s="12">
        <v>29956575.169999991</v>
      </c>
      <c r="G11" s="1"/>
      <c r="H11" s="130"/>
      <c r="I11" s="130"/>
    </row>
    <row r="12" spans="1:10" s="2" customFormat="1" ht="14.25" customHeight="1" x14ac:dyDescent="0.2">
      <c r="A12" s="127">
        <v>45104</v>
      </c>
      <c r="B12" s="9" t="s">
        <v>6</v>
      </c>
      <c r="C12" s="10" t="s">
        <v>419</v>
      </c>
      <c r="D12" s="125" t="s">
        <v>13</v>
      </c>
      <c r="E12" s="2">
        <v>307755</v>
      </c>
      <c r="F12" s="12"/>
      <c r="G12" s="1"/>
      <c r="H12" s="130"/>
      <c r="I12" s="130"/>
    </row>
    <row r="13" spans="1:10" s="2" customFormat="1" ht="14.25" customHeight="1" x14ac:dyDescent="0.2">
      <c r="A13" s="127">
        <v>45104</v>
      </c>
      <c r="B13" s="9" t="s">
        <v>6</v>
      </c>
      <c r="C13" s="10" t="s">
        <v>16</v>
      </c>
      <c r="D13" s="125" t="s">
        <v>13</v>
      </c>
      <c r="E13" s="2">
        <v>1593938.21</v>
      </c>
      <c r="F13" s="12"/>
      <c r="G13" s="1"/>
      <c r="H13" s="130"/>
      <c r="I13" s="130"/>
    </row>
    <row r="14" spans="1:10" s="2" customFormat="1" ht="14.25" customHeight="1" x14ac:dyDescent="0.2">
      <c r="A14" s="127">
        <v>45104</v>
      </c>
      <c r="B14" s="9" t="s">
        <v>11</v>
      </c>
      <c r="C14" s="10" t="s">
        <v>1137</v>
      </c>
      <c r="D14" s="126" t="s">
        <v>29</v>
      </c>
      <c r="F14" s="12">
        <v>11834.9</v>
      </c>
      <c r="G14" s="1"/>
      <c r="H14" s="130"/>
      <c r="I14" s="130"/>
    </row>
    <row r="15" spans="1:10" s="2" customFormat="1" ht="12.75" customHeight="1" x14ac:dyDescent="0.4">
      <c r="D15" s="15" t="s">
        <v>8</v>
      </c>
      <c r="E15" s="16">
        <f>SUM(E12:E14)</f>
        <v>1901693.21</v>
      </c>
      <c r="F15" s="16">
        <f>SUM(F11:F14)</f>
        <v>29968410.069999989</v>
      </c>
      <c r="G15" s="1"/>
      <c r="H15" s="112"/>
      <c r="I15" s="112"/>
    </row>
    <row r="16" spans="1:10" s="2" customFormat="1" ht="12.75" customHeight="1" x14ac:dyDescent="0.4">
      <c r="A16" s="17"/>
      <c r="B16" s="18"/>
      <c r="C16" s="96" t="s">
        <v>9</v>
      </c>
      <c r="D16" s="20"/>
      <c r="E16" s="21">
        <f>+F15-E15</f>
        <v>28066716.859999988</v>
      </c>
      <c r="G16" s="23"/>
      <c r="H16" s="112"/>
      <c r="I16" s="112"/>
      <c r="J16" s="13"/>
    </row>
    <row r="17" spans="1:10" s="2" customFormat="1" ht="12.75" customHeight="1" x14ac:dyDescent="0.4">
      <c r="A17" s="24"/>
      <c r="B17" s="1"/>
      <c r="C17" s="14"/>
      <c r="D17" s="25"/>
      <c r="G17" s="23"/>
      <c r="H17" s="112"/>
      <c r="I17" s="112"/>
      <c r="J17" s="13"/>
    </row>
    <row r="18" spans="1:10" s="2" customFormat="1" ht="21.75" customHeight="1" x14ac:dyDescent="0.4">
      <c r="A18" s="214" t="s">
        <v>10</v>
      </c>
      <c r="B18" s="214"/>
      <c r="C18" s="214"/>
      <c r="D18" s="214"/>
      <c r="E18" s="214"/>
      <c r="F18" s="214"/>
      <c r="G18" s="13"/>
      <c r="H18" s="112"/>
      <c r="I18" s="112"/>
      <c r="J18" s="13"/>
    </row>
    <row r="19" spans="1:10" s="2" customFormat="1" ht="12.75" customHeight="1" x14ac:dyDescent="0.4">
      <c r="A19" s="26" t="s">
        <v>1</v>
      </c>
      <c r="B19" s="27" t="s">
        <v>2</v>
      </c>
      <c r="C19" s="5"/>
      <c r="D19" s="6" t="s">
        <v>3</v>
      </c>
      <c r="E19" s="7" t="s">
        <v>4</v>
      </c>
      <c r="F19" s="7" t="s">
        <v>5</v>
      </c>
      <c r="G19" s="23"/>
      <c r="H19" s="112"/>
      <c r="I19" s="112"/>
      <c r="J19" s="13"/>
    </row>
    <row r="20" spans="1:10" s="2" customFormat="1" ht="12.75" customHeight="1" x14ac:dyDescent="0.2">
      <c r="A20" s="127">
        <v>45104</v>
      </c>
      <c r="B20" s="128" t="s">
        <v>11</v>
      </c>
      <c r="C20" s="29" t="s">
        <v>7</v>
      </c>
      <c r="D20" s="25"/>
      <c r="E20" s="31"/>
      <c r="F20" s="2">
        <v>279236195.3499999</v>
      </c>
      <c r="G20" s="30"/>
      <c r="I20" s="13"/>
      <c r="J20" s="13"/>
    </row>
    <row r="21" spans="1:10" s="70" customFormat="1" ht="12.75" customHeight="1" x14ac:dyDescent="0.2">
      <c r="A21" s="127">
        <v>45104</v>
      </c>
      <c r="B21" s="128" t="s">
        <v>6</v>
      </c>
      <c r="C21" s="76" t="s">
        <v>272</v>
      </c>
      <c r="D21" s="125" t="s">
        <v>13</v>
      </c>
      <c r="E21" s="129">
        <v>305978</v>
      </c>
      <c r="G21" s="30"/>
      <c r="I21" s="69"/>
      <c r="J21" s="69"/>
    </row>
    <row r="22" spans="1:10" s="70" customFormat="1" ht="12.75" customHeight="1" x14ac:dyDescent="0.2">
      <c r="A22" s="127">
        <v>45104</v>
      </c>
      <c r="B22" s="128" t="s">
        <v>6</v>
      </c>
      <c r="C22" s="76" t="s">
        <v>843</v>
      </c>
      <c r="D22" s="125" t="s">
        <v>13</v>
      </c>
      <c r="E22" s="129">
        <v>71164.800000000003</v>
      </c>
      <c r="G22" s="30"/>
      <c r="I22" s="69"/>
      <c r="J22" s="69"/>
    </row>
    <row r="23" spans="1:10" s="70" customFormat="1" ht="12.75" customHeight="1" x14ac:dyDescent="0.2">
      <c r="A23" s="127">
        <v>45104</v>
      </c>
      <c r="B23" s="128" t="s">
        <v>6</v>
      </c>
      <c r="C23" s="76" t="s">
        <v>1062</v>
      </c>
      <c r="D23" s="126" t="s">
        <v>13</v>
      </c>
      <c r="E23" s="129">
        <v>155452</v>
      </c>
      <c r="G23" s="30"/>
      <c r="I23" s="69"/>
      <c r="J23" s="69"/>
    </row>
    <row r="24" spans="1:10" s="70" customFormat="1" ht="12.75" customHeight="1" x14ac:dyDescent="0.2">
      <c r="A24" s="127">
        <v>45104</v>
      </c>
      <c r="B24" s="128" t="s">
        <v>6</v>
      </c>
      <c r="C24" s="76" t="s">
        <v>957</v>
      </c>
      <c r="D24" s="126" t="s">
        <v>13</v>
      </c>
      <c r="E24" s="129">
        <v>540000</v>
      </c>
      <c r="G24" s="30"/>
      <c r="I24" s="69"/>
      <c r="J24" s="69"/>
    </row>
    <row r="25" spans="1:10" s="70" customFormat="1" ht="12.75" customHeight="1" x14ac:dyDescent="0.2">
      <c r="A25" s="127">
        <v>45104</v>
      </c>
      <c r="B25" s="128" t="s">
        <v>6</v>
      </c>
      <c r="C25" s="76" t="s">
        <v>450</v>
      </c>
      <c r="D25" s="126" t="s">
        <v>13</v>
      </c>
      <c r="E25" s="129">
        <v>3148</v>
      </c>
      <c r="G25" s="30"/>
      <c r="I25" s="69"/>
      <c r="J25" s="69"/>
    </row>
    <row r="26" spans="1:10" s="70" customFormat="1" ht="12.75" customHeight="1" x14ac:dyDescent="0.2">
      <c r="A26" s="127">
        <v>45104</v>
      </c>
      <c r="B26" s="128" t="s">
        <v>6</v>
      </c>
      <c r="C26" s="76" t="s">
        <v>15</v>
      </c>
      <c r="D26" s="126" t="s">
        <v>13</v>
      </c>
      <c r="E26" s="129">
        <v>4127.58</v>
      </c>
      <c r="G26" s="30"/>
      <c r="I26" s="69"/>
      <c r="J26" s="69"/>
    </row>
    <row r="27" spans="1:10" s="70" customFormat="1" ht="12.75" customHeight="1" x14ac:dyDescent="0.2">
      <c r="A27" s="127">
        <v>45104</v>
      </c>
      <c r="B27" s="128" t="s">
        <v>6</v>
      </c>
      <c r="C27" s="76" t="s">
        <v>271</v>
      </c>
      <c r="D27" s="126" t="s">
        <v>13</v>
      </c>
      <c r="E27" s="129">
        <v>2963172</v>
      </c>
      <c r="G27" s="30"/>
      <c r="I27" s="69"/>
      <c r="J27" s="69"/>
    </row>
    <row r="28" spans="1:10" s="70" customFormat="1" ht="12.75" customHeight="1" x14ac:dyDescent="0.2">
      <c r="A28" s="127">
        <v>45104</v>
      </c>
      <c r="B28" s="128" t="s">
        <v>6</v>
      </c>
      <c r="C28" s="76" t="s">
        <v>19</v>
      </c>
      <c r="D28" s="126" t="s">
        <v>13</v>
      </c>
      <c r="E28" s="129">
        <v>6031</v>
      </c>
      <c r="G28" s="30"/>
      <c r="I28" s="69"/>
      <c r="J28" s="69"/>
    </row>
    <row r="29" spans="1:10" s="70" customFormat="1" ht="12.75" customHeight="1" x14ac:dyDescent="0.2">
      <c r="A29" s="127">
        <v>45104</v>
      </c>
      <c r="B29" s="128" t="s">
        <v>6</v>
      </c>
      <c r="C29" s="76" t="s">
        <v>103</v>
      </c>
      <c r="D29" s="126" t="s">
        <v>13</v>
      </c>
      <c r="E29" s="129">
        <v>1232682</v>
      </c>
      <c r="G29" s="30"/>
      <c r="I29" s="69"/>
      <c r="J29" s="69"/>
    </row>
    <row r="30" spans="1:10" s="70" customFormat="1" ht="12.75" customHeight="1" x14ac:dyDescent="0.2">
      <c r="A30" s="127">
        <v>45104</v>
      </c>
      <c r="B30" s="128" t="s">
        <v>6</v>
      </c>
      <c r="C30" s="76" t="s">
        <v>487</v>
      </c>
      <c r="D30" s="126" t="s">
        <v>13</v>
      </c>
      <c r="E30" s="129">
        <v>130343</v>
      </c>
      <c r="G30" s="30"/>
      <c r="I30" s="69"/>
      <c r="J30" s="69"/>
    </row>
    <row r="31" spans="1:10" s="70" customFormat="1" ht="12.75" customHeight="1" x14ac:dyDescent="0.2">
      <c r="A31" s="127">
        <v>45104</v>
      </c>
      <c r="B31" s="128" t="s">
        <v>6</v>
      </c>
      <c r="C31" s="76" t="s">
        <v>1138</v>
      </c>
      <c r="D31" s="126" t="s">
        <v>13</v>
      </c>
      <c r="E31" s="129">
        <v>10000</v>
      </c>
      <c r="G31" s="30"/>
      <c r="I31" s="69"/>
      <c r="J31" s="69"/>
    </row>
    <row r="32" spans="1:10" s="70" customFormat="1" ht="12.75" customHeight="1" x14ac:dyDescent="0.2">
      <c r="A32" s="127">
        <v>45104</v>
      </c>
      <c r="B32" s="128" t="s">
        <v>6</v>
      </c>
      <c r="C32" s="76" t="s">
        <v>332</v>
      </c>
      <c r="D32" s="126" t="s">
        <v>13</v>
      </c>
      <c r="E32" s="129">
        <v>1970700</v>
      </c>
      <c r="G32" s="30"/>
      <c r="I32" s="69"/>
      <c r="J32" s="69"/>
    </row>
    <row r="33" spans="1:10" s="70" customFormat="1" ht="12.75" customHeight="1" x14ac:dyDescent="0.2">
      <c r="A33" s="127">
        <v>45104</v>
      </c>
      <c r="B33" s="128" t="s">
        <v>6</v>
      </c>
      <c r="C33" s="76" t="s">
        <v>611</v>
      </c>
      <c r="D33" s="126" t="s">
        <v>13</v>
      </c>
      <c r="E33" s="129">
        <v>5292</v>
      </c>
      <c r="G33" s="30"/>
      <c r="I33" s="69"/>
      <c r="J33" s="69"/>
    </row>
    <row r="34" spans="1:10" s="70" customFormat="1" ht="12.75" customHeight="1" x14ac:dyDescent="0.2">
      <c r="A34" s="127">
        <v>45104</v>
      </c>
      <c r="B34" s="128" t="s">
        <v>6</v>
      </c>
      <c r="C34" s="76" t="s">
        <v>646</v>
      </c>
      <c r="D34" s="126" t="s">
        <v>13</v>
      </c>
      <c r="E34" s="129">
        <v>538848</v>
      </c>
      <c r="G34" s="30"/>
      <c r="I34" s="69"/>
      <c r="J34" s="69"/>
    </row>
    <row r="35" spans="1:10" s="70" customFormat="1" ht="12.75" customHeight="1" x14ac:dyDescent="0.2">
      <c r="A35" s="127">
        <v>45104</v>
      </c>
      <c r="B35" s="128" t="s">
        <v>6</v>
      </c>
      <c r="C35" s="76" t="s">
        <v>299</v>
      </c>
      <c r="D35" s="126" t="s">
        <v>13</v>
      </c>
      <c r="E35" s="129">
        <v>69809</v>
      </c>
      <c r="G35" s="30"/>
      <c r="I35" s="69"/>
      <c r="J35" s="69"/>
    </row>
    <row r="36" spans="1:10" s="70" customFormat="1" ht="12.75" customHeight="1" x14ac:dyDescent="0.2">
      <c r="A36" s="127">
        <v>45104</v>
      </c>
      <c r="B36" s="128" t="s">
        <v>6</v>
      </c>
      <c r="C36" s="76" t="s">
        <v>640</v>
      </c>
      <c r="D36" s="126" t="s">
        <v>13</v>
      </c>
      <c r="E36" s="129">
        <v>148613</v>
      </c>
      <c r="G36" s="30"/>
      <c r="I36" s="69"/>
      <c r="J36" s="69"/>
    </row>
    <row r="37" spans="1:10" s="70" customFormat="1" ht="12.75" customHeight="1" x14ac:dyDescent="0.2">
      <c r="A37" s="127">
        <v>45104</v>
      </c>
      <c r="B37" s="128" t="s">
        <v>6</v>
      </c>
      <c r="C37" s="76" t="s">
        <v>730</v>
      </c>
      <c r="D37" s="126" t="s">
        <v>13</v>
      </c>
      <c r="E37" s="129">
        <v>2100</v>
      </c>
      <c r="G37" s="30"/>
      <c r="I37" s="69"/>
      <c r="J37" s="69"/>
    </row>
    <row r="38" spans="1:10" s="70" customFormat="1" ht="12.75" customHeight="1" x14ac:dyDescent="0.2">
      <c r="A38" s="127">
        <v>45104</v>
      </c>
      <c r="B38" s="128" t="s">
        <v>6</v>
      </c>
      <c r="C38" s="76" t="s">
        <v>160</v>
      </c>
      <c r="D38" s="126" t="s">
        <v>13</v>
      </c>
      <c r="E38" s="129">
        <v>582835</v>
      </c>
      <c r="G38" s="30"/>
      <c r="I38" s="69"/>
      <c r="J38" s="69"/>
    </row>
    <row r="39" spans="1:10" s="70" customFormat="1" ht="12.75" customHeight="1" x14ac:dyDescent="0.2">
      <c r="A39" s="127">
        <v>45104</v>
      </c>
      <c r="B39" s="128" t="s">
        <v>6</v>
      </c>
      <c r="C39" s="76" t="s">
        <v>249</v>
      </c>
      <c r="D39" s="126" t="s">
        <v>13</v>
      </c>
      <c r="E39" s="129">
        <v>1134945</v>
      </c>
      <c r="G39" s="30"/>
      <c r="I39" s="69"/>
      <c r="J39" s="69"/>
    </row>
    <row r="40" spans="1:10" s="70" customFormat="1" ht="12.75" customHeight="1" x14ac:dyDescent="0.2">
      <c r="A40" s="127">
        <v>45104</v>
      </c>
      <c r="B40" s="128" t="s">
        <v>6</v>
      </c>
      <c r="C40" s="76" t="s">
        <v>202</v>
      </c>
      <c r="D40" s="126" t="s">
        <v>13</v>
      </c>
      <c r="E40" s="129">
        <v>45000</v>
      </c>
      <c r="G40" s="30"/>
      <c r="I40" s="69"/>
      <c r="J40" s="69"/>
    </row>
    <row r="41" spans="1:10" s="70" customFormat="1" ht="12.75" customHeight="1" x14ac:dyDescent="0.2">
      <c r="A41" s="127">
        <v>45104</v>
      </c>
      <c r="B41" s="128" t="s">
        <v>6</v>
      </c>
      <c r="C41" s="76" t="s">
        <v>149</v>
      </c>
      <c r="D41" s="126" t="s">
        <v>13</v>
      </c>
      <c r="E41" s="129">
        <v>246682</v>
      </c>
      <c r="G41" s="30"/>
      <c r="I41" s="69"/>
      <c r="J41" s="69"/>
    </row>
    <row r="42" spans="1:10" s="70" customFormat="1" ht="12.75" customHeight="1" x14ac:dyDescent="0.2">
      <c r="A42" s="127">
        <v>45104</v>
      </c>
      <c r="B42" s="128" t="s">
        <v>6</v>
      </c>
      <c r="C42" s="76" t="s">
        <v>264</v>
      </c>
      <c r="D42" s="126" t="s">
        <v>13</v>
      </c>
      <c r="E42" s="129">
        <v>729792</v>
      </c>
      <c r="G42" s="30"/>
      <c r="I42" s="69"/>
      <c r="J42" s="69"/>
    </row>
    <row r="43" spans="1:10" s="70" customFormat="1" ht="12.75" customHeight="1" x14ac:dyDescent="0.2">
      <c r="A43" s="127">
        <v>45104</v>
      </c>
      <c r="B43" s="128" t="s">
        <v>11</v>
      </c>
      <c r="C43" s="76" t="s">
        <v>64</v>
      </c>
      <c r="D43" s="126" t="s">
        <v>29</v>
      </c>
      <c r="E43" s="129"/>
      <c r="F43" s="70">
        <f>7116.58+5291.7</f>
        <v>12408.279999999999</v>
      </c>
      <c r="G43" s="30"/>
      <c r="I43" s="69"/>
      <c r="J43" s="69"/>
    </row>
    <row r="44" spans="1:10" s="70" customFormat="1" ht="12.75" customHeight="1" x14ac:dyDescent="0.2">
      <c r="A44" s="127">
        <v>45104</v>
      </c>
      <c r="B44" s="128" t="s">
        <v>11</v>
      </c>
      <c r="C44" s="76" t="s">
        <v>111</v>
      </c>
      <c r="D44" s="126" t="s">
        <v>29</v>
      </c>
      <c r="E44" s="129"/>
      <c r="F44" s="70">
        <v>1439924.62</v>
      </c>
      <c r="G44" s="30"/>
      <c r="I44" s="69"/>
      <c r="J44" s="69"/>
    </row>
    <row r="45" spans="1:10" s="70" customFormat="1" ht="12.75" customHeight="1" x14ac:dyDescent="0.2">
      <c r="A45" s="127">
        <v>45104</v>
      </c>
      <c r="B45" s="128" t="s">
        <v>11</v>
      </c>
      <c r="C45" s="76" t="s">
        <v>199</v>
      </c>
      <c r="D45" s="126" t="s">
        <v>29</v>
      </c>
      <c r="E45" s="129"/>
      <c r="F45" s="70">
        <v>1498234</v>
      </c>
      <c r="G45" s="30"/>
      <c r="I45" s="69"/>
      <c r="J45" s="69"/>
    </row>
    <row r="46" spans="1:10" s="70" customFormat="1" ht="12.75" customHeight="1" x14ac:dyDescent="0.2">
      <c r="A46" s="127">
        <v>45104</v>
      </c>
      <c r="B46" s="128" t="s">
        <v>11</v>
      </c>
      <c r="C46" s="76" t="s">
        <v>57</v>
      </c>
      <c r="D46" s="126" t="s">
        <v>29</v>
      </c>
      <c r="E46" s="129"/>
      <c r="F46" s="70">
        <v>13000000</v>
      </c>
      <c r="G46" s="30"/>
      <c r="I46" s="69"/>
      <c r="J46" s="69"/>
    </row>
    <row r="47" spans="1:10" s="70" customFormat="1" ht="12.75" customHeight="1" x14ac:dyDescent="0.2">
      <c r="A47" s="127">
        <v>45104</v>
      </c>
      <c r="B47" s="128" t="s">
        <v>11</v>
      </c>
      <c r="C47" s="76" t="s">
        <v>751</v>
      </c>
      <c r="D47" s="126" t="s">
        <v>29</v>
      </c>
      <c r="E47" s="129"/>
      <c r="F47" s="70">
        <v>300000</v>
      </c>
      <c r="G47" s="30"/>
      <c r="I47" s="69"/>
      <c r="J47" s="69"/>
    </row>
    <row r="48" spans="1:10" s="70" customFormat="1" ht="12.75" customHeight="1" x14ac:dyDescent="0.2">
      <c r="A48" s="127">
        <v>45104</v>
      </c>
      <c r="B48" s="128" t="s">
        <v>11</v>
      </c>
      <c r="C48" s="76" t="s">
        <v>236</v>
      </c>
      <c r="D48" s="126" t="s">
        <v>29</v>
      </c>
      <c r="E48" s="129"/>
      <c r="F48" s="70">
        <v>100000</v>
      </c>
      <c r="G48" s="30"/>
      <c r="I48" s="69"/>
      <c r="J48" s="69"/>
    </row>
    <row r="49" spans="1:10" s="70" customFormat="1" ht="12.75" customHeight="1" x14ac:dyDescent="0.2">
      <c r="A49" s="127">
        <v>45104</v>
      </c>
      <c r="B49" s="128" t="s">
        <v>11</v>
      </c>
      <c r="C49" s="76" t="s">
        <v>661</v>
      </c>
      <c r="D49" s="126" t="s">
        <v>29</v>
      </c>
      <c r="E49" s="129"/>
      <c r="F49" s="70">
        <v>100000</v>
      </c>
      <c r="G49" s="30"/>
      <c r="I49" s="69"/>
      <c r="J49" s="69"/>
    </row>
    <row r="50" spans="1:10" s="70" customFormat="1" ht="12.75" customHeight="1" x14ac:dyDescent="0.2">
      <c r="A50" s="127">
        <v>45104</v>
      </c>
      <c r="B50" s="128" t="s">
        <v>11</v>
      </c>
      <c r="C50" s="76" t="s">
        <v>792</v>
      </c>
      <c r="D50" s="126" t="s">
        <v>29</v>
      </c>
      <c r="E50" s="129"/>
      <c r="F50" s="70">
        <v>80691</v>
      </c>
      <c r="G50" s="30"/>
      <c r="I50" s="69"/>
      <c r="J50" s="69"/>
    </row>
    <row r="51" spans="1:10" s="70" customFormat="1" ht="12.75" customHeight="1" x14ac:dyDescent="0.2">
      <c r="A51" s="127">
        <v>45104</v>
      </c>
      <c r="B51" s="128" t="s">
        <v>11</v>
      </c>
      <c r="C51" s="76" t="s">
        <v>208</v>
      </c>
      <c r="D51" s="126" t="s">
        <v>29</v>
      </c>
      <c r="E51" s="129"/>
      <c r="F51" s="70">
        <v>18493</v>
      </c>
      <c r="G51" s="30"/>
      <c r="I51" s="69"/>
      <c r="J51" s="69"/>
    </row>
    <row r="52" spans="1:10" s="70" customFormat="1" ht="12.75" customHeight="1" x14ac:dyDescent="0.2">
      <c r="A52" s="127">
        <v>45104</v>
      </c>
      <c r="B52" s="128" t="s">
        <v>11</v>
      </c>
      <c r="C52" s="76" t="s">
        <v>437</v>
      </c>
      <c r="D52" s="126" t="s">
        <v>29</v>
      </c>
      <c r="E52" s="129"/>
      <c r="F52" s="70">
        <v>46801</v>
      </c>
      <c r="G52" s="30"/>
      <c r="I52" s="69"/>
      <c r="J52" s="69"/>
    </row>
    <row r="53" spans="1:10" s="70" customFormat="1" ht="12.75" customHeight="1" x14ac:dyDescent="0.2">
      <c r="A53" s="127">
        <v>45104</v>
      </c>
      <c r="B53" s="128" t="s">
        <v>11</v>
      </c>
      <c r="C53" s="76" t="s">
        <v>206</v>
      </c>
      <c r="D53" s="126" t="s">
        <v>29</v>
      </c>
      <c r="E53" s="129"/>
      <c r="F53" s="70">
        <v>50000</v>
      </c>
      <c r="G53" s="30"/>
      <c r="I53" s="69"/>
      <c r="J53" s="69"/>
    </row>
    <row r="54" spans="1:10" s="70" customFormat="1" ht="12.75" customHeight="1" x14ac:dyDescent="0.2">
      <c r="A54" s="127">
        <v>45104</v>
      </c>
      <c r="B54" s="128" t="s">
        <v>11</v>
      </c>
      <c r="C54" s="76" t="s">
        <v>1139</v>
      </c>
      <c r="D54" s="126" t="s">
        <v>29</v>
      </c>
      <c r="E54" s="129"/>
      <c r="F54" s="70">
        <v>126000</v>
      </c>
      <c r="G54" s="30"/>
      <c r="I54" s="69"/>
      <c r="J54" s="69"/>
    </row>
    <row r="55" spans="1:10" s="70" customFormat="1" ht="12.75" customHeight="1" x14ac:dyDescent="0.2">
      <c r="A55" s="127">
        <v>45104</v>
      </c>
      <c r="B55" s="128" t="s">
        <v>11</v>
      </c>
      <c r="C55" s="76" t="s">
        <v>62</v>
      </c>
      <c r="D55" s="126" t="s">
        <v>29</v>
      </c>
      <c r="E55" s="129"/>
      <c r="F55" s="70">
        <v>65000</v>
      </c>
      <c r="G55" s="30"/>
      <c r="I55" s="69"/>
      <c r="J55" s="69"/>
    </row>
    <row r="56" spans="1:10" s="70" customFormat="1" ht="12.75" customHeight="1" x14ac:dyDescent="0.2">
      <c r="A56" s="127">
        <v>45104</v>
      </c>
      <c r="B56" s="128" t="s">
        <v>11</v>
      </c>
      <c r="C56" s="76" t="s">
        <v>136</v>
      </c>
      <c r="D56" s="126" t="s">
        <v>29</v>
      </c>
      <c r="E56" s="129"/>
      <c r="F56" s="70">
        <v>9500</v>
      </c>
      <c r="G56" s="30"/>
      <c r="I56" s="69"/>
      <c r="J56" s="69"/>
    </row>
    <row r="57" spans="1:10" s="70" customFormat="1" ht="12.75" customHeight="1" x14ac:dyDescent="0.2">
      <c r="A57" s="127">
        <v>45104</v>
      </c>
      <c r="B57" s="128" t="s">
        <v>11</v>
      </c>
      <c r="C57" s="76" t="s">
        <v>98</v>
      </c>
      <c r="D57" s="126" t="s">
        <v>29</v>
      </c>
      <c r="E57" s="129"/>
      <c r="F57" s="70">
        <v>4910</v>
      </c>
      <c r="G57" s="30"/>
      <c r="I57" s="69"/>
      <c r="J57" s="69"/>
    </row>
    <row r="58" spans="1:10" s="70" customFormat="1" ht="12.75" customHeight="1" x14ac:dyDescent="0.2">
      <c r="A58" s="127">
        <v>45104</v>
      </c>
      <c r="B58" s="128" t="s">
        <v>11</v>
      </c>
      <c r="C58" s="76" t="s">
        <v>63</v>
      </c>
      <c r="D58" s="126" t="s">
        <v>29</v>
      </c>
      <c r="E58" s="129"/>
      <c r="F58" s="70">
        <v>2500000</v>
      </c>
      <c r="G58" s="30"/>
      <c r="I58" s="69"/>
      <c r="J58" s="69"/>
    </row>
    <row r="59" spans="1:10" s="70" customFormat="1" ht="12.75" customHeight="1" x14ac:dyDescent="0.2">
      <c r="A59" s="127">
        <v>45104</v>
      </c>
      <c r="B59" s="128" t="s">
        <v>11</v>
      </c>
      <c r="C59" s="76" t="s">
        <v>139</v>
      </c>
      <c r="D59" s="126" t="s">
        <v>29</v>
      </c>
      <c r="E59" s="129"/>
      <c r="F59" s="70">
        <v>552797</v>
      </c>
      <c r="G59" s="30"/>
      <c r="I59" s="69"/>
      <c r="J59" s="69"/>
    </row>
    <row r="60" spans="1:10" s="70" customFormat="1" ht="12.75" customHeight="1" x14ac:dyDescent="0.2">
      <c r="A60" s="127">
        <v>45104</v>
      </c>
      <c r="B60" s="128" t="s">
        <v>11</v>
      </c>
      <c r="C60" s="76" t="s">
        <v>300</v>
      </c>
      <c r="D60" s="126" t="s">
        <v>29</v>
      </c>
      <c r="E60" s="129"/>
      <c r="F60" s="70">
        <v>335945.76</v>
      </c>
      <c r="G60" s="30"/>
      <c r="I60" s="69"/>
      <c r="J60" s="69"/>
    </row>
    <row r="61" spans="1:10" s="70" customFormat="1" ht="12.75" customHeight="1" x14ac:dyDescent="0.2">
      <c r="A61" s="127">
        <v>45104</v>
      </c>
      <c r="B61" s="128" t="s">
        <v>11</v>
      </c>
      <c r="C61" s="76" t="s">
        <v>193</v>
      </c>
      <c r="D61" s="126" t="s">
        <v>29</v>
      </c>
      <c r="E61" s="129"/>
      <c r="F61" s="70">
        <v>867428</v>
      </c>
      <c r="G61" s="30"/>
      <c r="I61" s="69"/>
      <c r="J61" s="69"/>
    </row>
    <row r="62" spans="1:10" s="70" customFormat="1" ht="12.75" customHeight="1" x14ac:dyDescent="0.2">
      <c r="A62" s="127">
        <v>45104</v>
      </c>
      <c r="B62" s="128" t="s">
        <v>11</v>
      </c>
      <c r="C62" s="76" t="s">
        <v>849</v>
      </c>
      <c r="D62" s="126" t="s">
        <v>29</v>
      </c>
      <c r="E62" s="129"/>
      <c r="F62" s="70">
        <v>351480.5</v>
      </c>
      <c r="G62" s="30"/>
      <c r="I62" s="69"/>
      <c r="J62" s="69"/>
    </row>
    <row r="63" spans="1:10" s="70" customFormat="1" ht="12.75" customHeight="1" x14ac:dyDescent="0.2">
      <c r="A63" s="127">
        <v>45104</v>
      </c>
      <c r="B63" s="128" t="s">
        <v>11</v>
      </c>
      <c r="C63" s="76" t="s">
        <v>790</v>
      </c>
      <c r="D63" s="126" t="s">
        <v>29</v>
      </c>
      <c r="E63" s="129"/>
      <c r="F63" s="70">
        <v>654235</v>
      </c>
      <c r="G63" s="30"/>
      <c r="I63" s="69"/>
      <c r="J63" s="69"/>
    </row>
    <row r="64" spans="1:10" s="70" customFormat="1" ht="12.75" customHeight="1" x14ac:dyDescent="0.2">
      <c r="A64" s="127">
        <v>45104</v>
      </c>
      <c r="B64" s="128" t="s">
        <v>11</v>
      </c>
      <c r="C64" s="76" t="s">
        <v>745</v>
      </c>
      <c r="D64" s="126" t="s">
        <v>29</v>
      </c>
      <c r="E64" s="129"/>
      <c r="F64" s="70">
        <v>290747</v>
      </c>
      <c r="G64" s="30"/>
      <c r="I64" s="69"/>
      <c r="J64" s="69"/>
    </row>
    <row r="65" spans="1:14" s="70" customFormat="1" ht="12.75" customHeight="1" x14ac:dyDescent="0.2">
      <c r="A65" s="127">
        <v>45104</v>
      </c>
      <c r="B65" s="128" t="s">
        <v>11</v>
      </c>
      <c r="C65" s="76" t="s">
        <v>194</v>
      </c>
      <c r="D65" s="126" t="s">
        <v>29</v>
      </c>
      <c r="E65" s="129"/>
      <c r="F65" s="70">
        <v>681637</v>
      </c>
      <c r="G65" s="30"/>
      <c r="I65" s="69"/>
      <c r="J65" s="69"/>
    </row>
    <row r="66" spans="1:14" s="70" customFormat="1" ht="12.75" customHeight="1" x14ac:dyDescent="0.2">
      <c r="A66" s="127">
        <v>45104</v>
      </c>
      <c r="B66" s="128" t="s">
        <v>11</v>
      </c>
      <c r="C66" s="76" t="s">
        <v>1140</v>
      </c>
      <c r="D66" s="126" t="s">
        <v>29</v>
      </c>
      <c r="E66" s="129"/>
      <c r="F66" s="70">
        <v>392097</v>
      </c>
      <c r="G66" s="30"/>
      <c r="I66" s="69"/>
      <c r="J66" s="69"/>
    </row>
    <row r="67" spans="1:14" s="70" customFormat="1" ht="12.75" customHeight="1" x14ac:dyDescent="0.2">
      <c r="A67" s="127">
        <v>45104</v>
      </c>
      <c r="B67" s="128" t="s">
        <v>11</v>
      </c>
      <c r="C67" s="76" t="s">
        <v>241</v>
      </c>
      <c r="D67" s="126" t="s">
        <v>29</v>
      </c>
      <c r="E67" s="129"/>
      <c r="F67" s="70">
        <v>139560</v>
      </c>
      <c r="G67" s="30"/>
      <c r="I67" s="69"/>
      <c r="J67" s="69"/>
    </row>
    <row r="68" spans="1:14" s="70" customFormat="1" ht="12.75" customHeight="1" x14ac:dyDescent="0.2">
      <c r="A68" s="127">
        <v>45104</v>
      </c>
      <c r="B68" s="128" t="s">
        <v>11</v>
      </c>
      <c r="C68" s="76" t="s">
        <v>1141</v>
      </c>
      <c r="D68" s="126" t="s">
        <v>29</v>
      </c>
      <c r="E68" s="129"/>
      <c r="F68" s="70">
        <v>68411</v>
      </c>
      <c r="G68" s="30"/>
      <c r="I68" s="69"/>
      <c r="J68" s="69"/>
    </row>
    <row r="69" spans="1:14" s="70" customFormat="1" ht="12.75" customHeight="1" x14ac:dyDescent="0.2">
      <c r="A69" s="127">
        <v>45104</v>
      </c>
      <c r="B69" s="128" t="s">
        <v>11</v>
      </c>
      <c r="C69" s="76" t="s">
        <v>369</v>
      </c>
      <c r="D69" s="126" t="s">
        <v>29</v>
      </c>
      <c r="E69" s="129"/>
      <c r="F69" s="70">
        <v>21717.9</v>
      </c>
      <c r="G69" s="30"/>
      <c r="I69" s="69"/>
      <c r="J69" s="69"/>
    </row>
    <row r="70" spans="1:14" s="70" customFormat="1" ht="12.75" customHeight="1" x14ac:dyDescent="0.2">
      <c r="A70" s="127">
        <v>45104</v>
      </c>
      <c r="B70" s="128" t="s">
        <v>11</v>
      </c>
      <c r="C70" s="76" t="s">
        <v>95</v>
      </c>
      <c r="D70" s="126" t="s">
        <v>29</v>
      </c>
      <c r="E70" s="129"/>
      <c r="F70" s="70">
        <v>49500</v>
      </c>
      <c r="G70" s="30"/>
      <c r="I70" s="69"/>
      <c r="J70" s="69"/>
    </row>
    <row r="71" spans="1:14" s="2" customFormat="1" ht="12.75" customHeight="1" x14ac:dyDescent="0.25">
      <c r="A71" s="32"/>
      <c r="B71" s="33"/>
      <c r="C71" s="14"/>
      <c r="D71" s="34"/>
      <c r="E71" s="16">
        <f>SUM(E20:E70)</f>
        <v>10896714.379999999</v>
      </c>
      <c r="F71" s="16">
        <f>SUM(F20:F70)</f>
        <v>302993713.40999985</v>
      </c>
      <c r="G71" s="30"/>
      <c r="H71" s="1"/>
      <c r="I71" s="39">
        <v>292096999.02999997</v>
      </c>
      <c r="K71" s="92">
        <f>E72-I71</f>
        <v>0</v>
      </c>
      <c r="L71" s="41"/>
      <c r="M71" s="42"/>
    </row>
    <row r="72" spans="1:14" s="2" customFormat="1" ht="12.75" customHeight="1" x14ac:dyDescent="0.2">
      <c r="A72" s="36"/>
      <c r="B72" s="28" t="s">
        <v>11</v>
      </c>
      <c r="C72" s="19" t="s">
        <v>65</v>
      </c>
      <c r="D72" s="37"/>
      <c r="E72" s="38">
        <f>F71-E71</f>
        <v>292096999.02999985</v>
      </c>
      <c r="F72" s="22"/>
      <c r="G72" s="1"/>
      <c r="H72" s="1"/>
      <c r="J72" s="1"/>
      <c r="K72" s="1"/>
      <c r="L72" s="1"/>
      <c r="M72" s="1"/>
    </row>
    <row r="73" spans="1:14" s="2" customFormat="1" ht="12.75" customHeight="1" x14ac:dyDescent="0.2">
      <c r="A73" s="36"/>
      <c r="B73" s="28" t="s">
        <v>66</v>
      </c>
      <c r="C73" s="43" t="s">
        <v>67</v>
      </c>
      <c r="D73" s="43"/>
      <c r="E73" s="12">
        <v>59416310</v>
      </c>
      <c r="F73" s="22"/>
      <c r="G73" s="1"/>
      <c r="H73" s="40"/>
      <c r="I73" s="45">
        <v>3564.03</v>
      </c>
      <c r="J73" s="46"/>
      <c r="K73" s="46"/>
      <c r="L73" s="13"/>
    </row>
    <row r="74" spans="1:14" s="2" customFormat="1" ht="12.75" customHeight="1" x14ac:dyDescent="0.25">
      <c r="A74" s="36"/>
      <c r="B74" s="28"/>
      <c r="C74" s="44" t="s">
        <v>68</v>
      </c>
      <c r="D74" s="43"/>
      <c r="E74" s="7">
        <f>E72+E73</f>
        <v>351513309.02999985</v>
      </c>
      <c r="F74" s="22"/>
      <c r="G74" s="1"/>
      <c r="H74" s="103" t="s">
        <v>69</v>
      </c>
      <c r="I74" s="45">
        <v>-87.03</v>
      </c>
      <c r="J74" s="46"/>
      <c r="K74" s="46"/>
      <c r="N74" s="1"/>
    </row>
    <row r="75" spans="1:14" s="2" customFormat="1" x14ac:dyDescent="0.2">
      <c r="A75" s="24"/>
      <c r="B75" s="1"/>
      <c r="C75" s="14"/>
      <c r="D75" s="25"/>
      <c r="E75" s="1"/>
      <c r="H75" s="35" t="s">
        <v>70</v>
      </c>
      <c r="I75" s="45">
        <v>62.55</v>
      </c>
      <c r="J75" s="46">
        <f>+I76-D78</f>
        <v>0</v>
      </c>
      <c r="M75" s="2" t="s">
        <v>396</v>
      </c>
      <c r="N75" s="1"/>
    </row>
    <row r="76" spans="1:14" x14ac:dyDescent="0.2">
      <c r="C76" s="56"/>
      <c r="D76" s="56"/>
      <c r="E76" s="104"/>
      <c r="I76" s="49">
        <f>SUM(I73:I75)</f>
        <v>3539.55</v>
      </c>
      <c r="J76" s="46"/>
      <c r="K76" s="46"/>
      <c r="L76" s="2"/>
      <c r="M76" s="2"/>
      <c r="N76" s="2"/>
    </row>
    <row r="77" spans="1:14" x14ac:dyDescent="0.2">
      <c r="C77" s="78" t="s">
        <v>575</v>
      </c>
      <c r="D77" s="48" t="s">
        <v>576</v>
      </c>
      <c r="E77" s="104"/>
      <c r="I77" s="2"/>
      <c r="J77" s="2"/>
      <c r="K77" s="2"/>
      <c r="L77" s="2"/>
      <c r="M77" s="2"/>
      <c r="N77" s="2"/>
    </row>
    <row r="78" spans="1:14" s="2" customFormat="1" x14ac:dyDescent="0.2">
      <c r="A78" s="24"/>
      <c r="B78" s="1"/>
      <c r="C78" s="47" t="s">
        <v>570</v>
      </c>
      <c r="D78" s="111">
        <v>3539.55</v>
      </c>
      <c r="E78" s="104"/>
      <c r="G78" s="1"/>
      <c r="H78" s="110" t="s">
        <v>581</v>
      </c>
      <c r="N78" s="2" t="s">
        <v>535</v>
      </c>
    </row>
    <row r="79" spans="1:14" s="2" customFormat="1" x14ac:dyDescent="0.2">
      <c r="A79" s="24"/>
      <c r="B79" s="1"/>
      <c r="C79" s="47" t="s">
        <v>931</v>
      </c>
      <c r="D79" s="111">
        <v>525.29999999999995</v>
      </c>
      <c r="E79" s="104"/>
      <c r="G79" s="1"/>
      <c r="H79" s="110" t="s">
        <v>580</v>
      </c>
    </row>
    <row r="80" spans="1:14" s="2" customFormat="1" x14ac:dyDescent="0.2">
      <c r="A80" s="24"/>
      <c r="B80" s="1"/>
      <c r="C80" s="47" t="s">
        <v>572</v>
      </c>
      <c r="D80" s="111">
        <f>+D128/100000</f>
        <v>499.86274459999998</v>
      </c>
      <c r="E80" s="104"/>
      <c r="G80" s="1"/>
      <c r="H80" s="90" t="s">
        <v>587</v>
      </c>
    </row>
    <row r="81" spans="1:13" s="2" customFormat="1" x14ac:dyDescent="0.2">
      <c r="A81" s="24"/>
      <c r="B81" s="1"/>
      <c r="C81" s="108" t="s">
        <v>578</v>
      </c>
      <c r="D81" s="48">
        <f>SUM(D78:D80)</f>
        <v>4564.7127446000004</v>
      </c>
      <c r="E81" s="104"/>
      <c r="G81" s="1"/>
    </row>
    <row r="82" spans="1:13" s="2" customFormat="1" x14ac:dyDescent="0.2">
      <c r="A82" s="24"/>
      <c r="B82" s="1"/>
      <c r="C82" s="47"/>
      <c r="D82" s="107"/>
      <c r="E82" s="104"/>
      <c r="G82" s="1"/>
    </row>
    <row r="83" spans="1:13" s="2" customFormat="1" x14ac:dyDescent="0.2">
      <c r="A83" s="24"/>
      <c r="B83" s="1"/>
      <c r="C83" s="47" t="s">
        <v>932</v>
      </c>
      <c r="D83" s="111">
        <v>384.3</v>
      </c>
      <c r="E83" s="104"/>
      <c r="G83" s="1"/>
      <c r="H83" s="110" t="s">
        <v>581</v>
      </c>
    </row>
    <row r="84" spans="1:13" s="2" customFormat="1" x14ac:dyDescent="0.2">
      <c r="A84" s="24"/>
      <c r="B84" s="1"/>
      <c r="C84" s="136" t="s">
        <v>1142</v>
      </c>
      <c r="D84" s="111">
        <f>179.5+358.72-193.68</f>
        <v>344.54</v>
      </c>
      <c r="E84" s="104"/>
      <c r="G84" s="1"/>
      <c r="H84" s="110" t="s">
        <v>581</v>
      </c>
      <c r="J84" s="114" t="s">
        <v>713</v>
      </c>
    </row>
    <row r="85" spans="1:13" s="2" customFormat="1" x14ac:dyDescent="0.2">
      <c r="A85" s="24"/>
      <c r="B85" s="1"/>
      <c r="C85" s="78" t="s">
        <v>579</v>
      </c>
      <c r="D85" s="109">
        <f>D83+D84</f>
        <v>728.84</v>
      </c>
      <c r="E85" s="104"/>
      <c r="G85" s="1"/>
      <c r="I85" s="113"/>
      <c r="J85" s="113" t="s">
        <v>709</v>
      </c>
      <c r="K85" s="113" t="s">
        <v>710</v>
      </c>
      <c r="L85" s="113" t="s">
        <v>711</v>
      </c>
      <c r="M85" s="113" t="s">
        <v>712</v>
      </c>
    </row>
    <row r="86" spans="1:13" s="2" customFormat="1" x14ac:dyDescent="0.2">
      <c r="A86" s="24"/>
      <c r="B86" s="1"/>
      <c r="C86" s="105"/>
      <c r="D86" s="106"/>
      <c r="E86" s="104"/>
      <c r="G86" s="1"/>
      <c r="I86" s="113" t="s">
        <v>706</v>
      </c>
      <c r="J86" s="115"/>
      <c r="K86" s="115">
        <v>968.99</v>
      </c>
      <c r="L86" s="115">
        <v>968.99</v>
      </c>
      <c r="M86" s="113">
        <f>+J86+L86-K86</f>
        <v>0</v>
      </c>
    </row>
    <row r="87" spans="1:13" s="2" customFormat="1" x14ac:dyDescent="0.2">
      <c r="A87" s="24"/>
      <c r="B87" s="1"/>
      <c r="C87" s="78" t="s">
        <v>577</v>
      </c>
      <c r="D87" s="109">
        <f>D78+D85</f>
        <v>4268.3900000000003</v>
      </c>
      <c r="E87" s="104"/>
      <c r="G87" s="1"/>
      <c r="I87" s="113" t="s">
        <v>707</v>
      </c>
      <c r="J87" s="115">
        <v>183.1</v>
      </c>
      <c r="K87" s="115">
        <v>2486.27</v>
      </c>
      <c r="L87" s="115">
        <v>3177.12</v>
      </c>
      <c r="M87" s="113">
        <f>+J87+L87-K87</f>
        <v>873.94999999999982</v>
      </c>
    </row>
    <row r="88" spans="1:13" s="2" customFormat="1" x14ac:dyDescent="0.2">
      <c r="A88" s="24"/>
      <c r="B88" s="1"/>
      <c r="C88" s="56"/>
      <c r="D88" s="56"/>
      <c r="E88" s="104"/>
      <c r="G88" s="1"/>
      <c r="I88" s="113" t="s">
        <v>708</v>
      </c>
      <c r="J88" s="115">
        <v>1371.02</v>
      </c>
      <c r="K88" s="115">
        <v>12293.16</v>
      </c>
      <c r="L88" s="115">
        <v>12105.3</v>
      </c>
      <c r="M88" s="113">
        <f>+J88+L88-K88</f>
        <v>1183.1599999999999</v>
      </c>
    </row>
    <row r="89" spans="1:13" s="2" customFormat="1" ht="38.25" x14ac:dyDescent="0.2">
      <c r="A89" s="24"/>
      <c r="B89" s="1"/>
      <c r="C89" s="79" t="str">
        <f>"Particulars ( 01-04-2021 to "&amp;TEXT(A5,"dd-mm-yyyy")&amp;" )"</f>
        <v>Particulars ( 01-04-2021 to 27-06-2023 )</v>
      </c>
      <c r="D89" s="80" t="s">
        <v>73</v>
      </c>
      <c r="E89" s="80" t="s">
        <v>74</v>
      </c>
      <c r="F89" s="81" t="s">
        <v>75</v>
      </c>
      <c r="G89" s="80" t="s">
        <v>76</v>
      </c>
      <c r="J89" s="118">
        <f>SUM(J86:J88)</f>
        <v>1554.12</v>
      </c>
      <c r="K89" s="118">
        <f>SUM(K86:K88)</f>
        <v>15748.42</v>
      </c>
      <c r="L89" s="118">
        <f>SUM(L86:L88)</f>
        <v>16251.41</v>
      </c>
      <c r="M89" s="118">
        <f>SUM(M86:M88)</f>
        <v>2057.1099999999997</v>
      </c>
    </row>
    <row r="90" spans="1:13" s="2" customFormat="1" x14ac:dyDescent="0.2">
      <c r="A90" s="24"/>
      <c r="B90" s="1"/>
      <c r="C90" s="50" t="s">
        <v>444</v>
      </c>
      <c r="D90" s="55">
        <f>+L86+L87+J87</f>
        <v>4329.21</v>
      </c>
      <c r="E90" s="55">
        <f>+K86+K87</f>
        <v>3455.26</v>
      </c>
      <c r="F90" s="55">
        <f>+D90-E90</f>
        <v>873.94999999999982</v>
      </c>
      <c r="G90" s="55">
        <f>1500-F90</f>
        <v>626.05000000000018</v>
      </c>
      <c r="H90" s="2" t="s">
        <v>396</v>
      </c>
    </row>
    <row r="91" spans="1:13" s="2" customFormat="1" x14ac:dyDescent="0.2">
      <c r="A91" s="24"/>
      <c r="B91" s="1"/>
      <c r="C91" s="50" t="s">
        <v>71</v>
      </c>
      <c r="D91" s="55">
        <f>+J88+L88</f>
        <v>13476.32</v>
      </c>
      <c r="E91" s="55">
        <f>+K88</f>
        <v>12293.16</v>
      </c>
      <c r="F91" s="55">
        <f>+D91-E91</f>
        <v>1183.1599999999999</v>
      </c>
      <c r="G91" s="55">
        <f>1500+700-F91</f>
        <v>1016.8400000000001</v>
      </c>
      <c r="H91" s="2" t="s">
        <v>396</v>
      </c>
    </row>
    <row r="92" spans="1:13" s="2" customFormat="1" x14ac:dyDescent="0.2">
      <c r="A92" s="24"/>
      <c r="B92" s="1"/>
      <c r="C92" s="14"/>
      <c r="D92" s="56"/>
      <c r="E92" s="13"/>
      <c r="G92" s="1"/>
    </row>
    <row r="93" spans="1:13" s="2" customFormat="1" x14ac:dyDescent="0.2">
      <c r="A93" s="215" t="s">
        <v>80</v>
      </c>
      <c r="B93" s="216"/>
      <c r="C93" s="216"/>
      <c r="D93" s="217"/>
      <c r="E93" s="69"/>
      <c r="F93" s="70"/>
      <c r="G93" s="1"/>
      <c r="H93" s="53"/>
    </row>
    <row r="94" spans="1:13" s="2" customFormat="1" x14ac:dyDescent="0.2">
      <c r="A94" s="71" t="s">
        <v>81</v>
      </c>
      <c r="B94" s="71"/>
      <c r="C94" s="72" t="s">
        <v>82</v>
      </c>
      <c r="D94" s="73" t="s">
        <v>83</v>
      </c>
      <c r="E94" s="69"/>
      <c r="F94" s="70"/>
      <c r="H94" s="53"/>
    </row>
    <row r="95" spans="1:13" s="2" customFormat="1" x14ac:dyDescent="0.2">
      <c r="A95" s="87">
        <v>45080</v>
      </c>
      <c r="B95" s="120" t="s">
        <v>1052</v>
      </c>
      <c r="C95" s="75" t="s">
        <v>86</v>
      </c>
      <c r="D95" s="88">
        <v>163799</v>
      </c>
      <c r="G95" s="1"/>
      <c r="L95" s="1"/>
      <c r="M95" s="1"/>
    </row>
    <row r="96" spans="1:13" s="2" customFormat="1" x14ac:dyDescent="0.2">
      <c r="A96" s="87">
        <v>45080</v>
      </c>
      <c r="B96" s="120" t="s">
        <v>1052</v>
      </c>
      <c r="C96" s="75" t="s">
        <v>86</v>
      </c>
      <c r="D96" s="88">
        <v>1695107</v>
      </c>
      <c r="G96" s="1"/>
      <c r="L96" s="1"/>
      <c r="M96" s="1"/>
    </row>
    <row r="97" spans="1:13" s="2" customFormat="1" x14ac:dyDescent="0.2">
      <c r="A97" s="87">
        <v>45082</v>
      </c>
      <c r="B97" s="120" t="s">
        <v>1052</v>
      </c>
      <c r="C97" s="75" t="s">
        <v>87</v>
      </c>
      <c r="D97" s="88">
        <v>6627</v>
      </c>
      <c r="G97" s="1"/>
      <c r="L97" s="1"/>
      <c r="M97" s="1"/>
    </row>
    <row r="98" spans="1:13" s="2" customFormat="1" x14ac:dyDescent="0.2">
      <c r="A98" s="87">
        <v>45084</v>
      </c>
      <c r="B98" s="120" t="s">
        <v>1052</v>
      </c>
      <c r="C98" s="75" t="s">
        <v>87</v>
      </c>
      <c r="D98" s="88">
        <v>618395.80000000005</v>
      </c>
      <c r="G98" s="1"/>
      <c r="L98" s="1"/>
      <c r="M98" s="1"/>
    </row>
    <row r="99" spans="1:13" s="2" customFormat="1" x14ac:dyDescent="0.2">
      <c r="A99" s="87">
        <v>45085</v>
      </c>
      <c r="B99" s="120" t="s">
        <v>1052</v>
      </c>
      <c r="C99" s="75" t="s">
        <v>18</v>
      </c>
      <c r="D99" s="88">
        <v>407682</v>
      </c>
      <c r="G99" s="1"/>
      <c r="L99" s="1"/>
      <c r="M99" s="1"/>
    </row>
    <row r="100" spans="1:13" s="2" customFormat="1" x14ac:dyDescent="0.2">
      <c r="A100" s="87">
        <v>45086</v>
      </c>
      <c r="B100" s="120" t="s">
        <v>1052</v>
      </c>
      <c r="C100" s="75" t="s">
        <v>85</v>
      </c>
      <c r="D100" s="88">
        <v>1104724</v>
      </c>
      <c r="G100" s="1"/>
      <c r="L100" s="1"/>
      <c r="M100" s="1"/>
    </row>
    <row r="101" spans="1:13" s="2" customFormat="1" x14ac:dyDescent="0.2">
      <c r="A101" s="87">
        <v>45086</v>
      </c>
      <c r="B101" s="120" t="s">
        <v>1052</v>
      </c>
      <c r="C101" s="75" t="s">
        <v>85</v>
      </c>
      <c r="D101" s="88">
        <v>1489874</v>
      </c>
      <c r="G101" s="1"/>
      <c r="L101" s="1"/>
      <c r="M101" s="1"/>
    </row>
    <row r="102" spans="1:13" s="2" customFormat="1" x14ac:dyDescent="0.2">
      <c r="A102" s="87">
        <v>45086</v>
      </c>
      <c r="B102" s="120" t="s">
        <v>1052</v>
      </c>
      <c r="C102" s="75" t="s">
        <v>86</v>
      </c>
      <c r="D102" s="88">
        <v>1756907</v>
      </c>
      <c r="G102" s="1"/>
      <c r="L102" s="1"/>
      <c r="M102" s="1"/>
    </row>
    <row r="103" spans="1:13" s="2" customFormat="1" x14ac:dyDescent="0.2">
      <c r="A103" s="87">
        <v>45086</v>
      </c>
      <c r="B103" s="120" t="s">
        <v>1052</v>
      </c>
      <c r="C103" s="75" t="s">
        <v>201</v>
      </c>
      <c r="D103" s="88">
        <v>5000192.4400000004</v>
      </c>
      <c r="G103" s="1"/>
      <c r="L103" s="1"/>
      <c r="M103" s="1"/>
    </row>
    <row r="104" spans="1:13" s="2" customFormat="1" x14ac:dyDescent="0.2">
      <c r="A104" s="87">
        <v>45089</v>
      </c>
      <c r="B104" s="120" t="s">
        <v>1052</v>
      </c>
      <c r="C104" s="75" t="s">
        <v>270</v>
      </c>
      <c r="D104" s="88">
        <v>654429</v>
      </c>
      <c r="G104" s="1"/>
      <c r="L104" s="1"/>
      <c r="M104" s="1"/>
    </row>
    <row r="105" spans="1:13" s="2" customFormat="1" x14ac:dyDescent="0.2">
      <c r="A105" s="87">
        <v>45090</v>
      </c>
      <c r="B105" s="120" t="s">
        <v>1052</v>
      </c>
      <c r="C105" s="75" t="s">
        <v>594</v>
      </c>
      <c r="D105" s="88">
        <v>5353676</v>
      </c>
      <c r="G105" s="1"/>
      <c r="L105" s="1"/>
      <c r="M105" s="1"/>
    </row>
    <row r="106" spans="1:13" s="2" customFormat="1" x14ac:dyDescent="0.2">
      <c r="A106" s="87">
        <v>45090</v>
      </c>
      <c r="B106" s="120" t="s">
        <v>1052</v>
      </c>
      <c r="C106" s="75" t="s">
        <v>270</v>
      </c>
      <c r="D106" s="88">
        <v>62180.5</v>
      </c>
      <c r="G106" s="1"/>
      <c r="L106" s="1"/>
      <c r="M106" s="1"/>
    </row>
    <row r="107" spans="1:13" s="2" customFormat="1" x14ac:dyDescent="0.2">
      <c r="A107" s="87">
        <v>45090</v>
      </c>
      <c r="B107" s="120" t="s">
        <v>1052</v>
      </c>
      <c r="C107" s="75" t="s">
        <v>270</v>
      </c>
      <c r="D107" s="88">
        <v>9179</v>
      </c>
      <c r="G107" s="1"/>
      <c r="L107" s="1"/>
      <c r="M107" s="1"/>
    </row>
    <row r="108" spans="1:13" s="2" customFormat="1" x14ac:dyDescent="0.2">
      <c r="A108" s="87">
        <v>45091</v>
      </c>
      <c r="B108" s="120" t="s">
        <v>1052</v>
      </c>
      <c r="C108" s="75" t="s">
        <v>87</v>
      </c>
      <c r="D108" s="88">
        <v>1261201</v>
      </c>
      <c r="G108" s="1"/>
      <c r="L108" s="1"/>
      <c r="M108" s="1"/>
    </row>
    <row r="109" spans="1:13" s="2" customFormat="1" x14ac:dyDescent="0.2">
      <c r="A109" s="87">
        <v>45091</v>
      </c>
      <c r="B109" s="120" t="s">
        <v>1052</v>
      </c>
      <c r="C109" s="75" t="s">
        <v>84</v>
      </c>
      <c r="D109" s="88">
        <v>1000000</v>
      </c>
      <c r="G109" s="1"/>
      <c r="L109" s="1"/>
      <c r="M109" s="1"/>
    </row>
    <row r="110" spans="1:13" s="2" customFormat="1" x14ac:dyDescent="0.2">
      <c r="A110" s="87">
        <v>45092</v>
      </c>
      <c r="B110" s="120" t="s">
        <v>1052</v>
      </c>
      <c r="C110" s="75" t="s">
        <v>18</v>
      </c>
      <c r="D110" s="88">
        <v>1074373</v>
      </c>
      <c r="G110" s="1"/>
      <c r="L110" s="1"/>
      <c r="M110" s="1"/>
    </row>
    <row r="111" spans="1:13" s="2" customFormat="1" x14ac:dyDescent="0.2">
      <c r="A111" s="87">
        <v>45094</v>
      </c>
      <c r="B111" s="120" t="s">
        <v>1052</v>
      </c>
      <c r="C111" s="75" t="s">
        <v>323</v>
      </c>
      <c r="D111" s="88">
        <v>2582806</v>
      </c>
      <c r="G111" s="1"/>
      <c r="L111" s="1"/>
      <c r="M111" s="1"/>
    </row>
    <row r="112" spans="1:13" s="2" customFormat="1" x14ac:dyDescent="0.2">
      <c r="A112" s="87">
        <v>45095</v>
      </c>
      <c r="B112" s="120" t="s">
        <v>1052</v>
      </c>
      <c r="C112" s="75" t="s">
        <v>85</v>
      </c>
      <c r="D112" s="88">
        <v>77650</v>
      </c>
      <c r="G112" s="1"/>
      <c r="L112" s="1"/>
      <c r="M112" s="1"/>
    </row>
    <row r="113" spans="1:13" s="2" customFormat="1" x14ac:dyDescent="0.2">
      <c r="A113" s="87">
        <v>45096</v>
      </c>
      <c r="B113" s="120" t="s">
        <v>1052</v>
      </c>
      <c r="C113" s="75" t="s">
        <v>270</v>
      </c>
      <c r="D113" s="88">
        <v>1475157</v>
      </c>
      <c r="G113" s="1"/>
      <c r="L113" s="1"/>
      <c r="M113" s="1"/>
    </row>
    <row r="114" spans="1:13" s="2" customFormat="1" x14ac:dyDescent="0.2">
      <c r="A114" s="87">
        <v>45096</v>
      </c>
      <c r="B114" s="120" t="s">
        <v>1052</v>
      </c>
      <c r="C114" s="75" t="s">
        <v>270</v>
      </c>
      <c r="D114" s="88">
        <v>741951</v>
      </c>
      <c r="G114" s="1"/>
      <c r="L114" s="1"/>
      <c r="M114" s="1"/>
    </row>
    <row r="115" spans="1:13" s="2" customFormat="1" x14ac:dyDescent="0.2">
      <c r="A115" s="87">
        <v>45096</v>
      </c>
      <c r="B115" s="120" t="s">
        <v>1052</v>
      </c>
      <c r="C115" s="75" t="s">
        <v>270</v>
      </c>
      <c r="D115" s="88">
        <v>1034388</v>
      </c>
      <c r="G115" s="1"/>
      <c r="L115" s="1"/>
      <c r="M115" s="1"/>
    </row>
    <row r="116" spans="1:13" s="2" customFormat="1" x14ac:dyDescent="0.2">
      <c r="A116" s="87">
        <v>45096</v>
      </c>
      <c r="B116" s="120" t="s">
        <v>1052</v>
      </c>
      <c r="C116" s="75" t="s">
        <v>270</v>
      </c>
      <c r="D116" s="88">
        <v>93897</v>
      </c>
      <c r="G116" s="1"/>
      <c r="L116" s="1"/>
      <c r="M116" s="1"/>
    </row>
    <row r="117" spans="1:13" s="2" customFormat="1" x14ac:dyDescent="0.2">
      <c r="A117" s="87">
        <v>45096</v>
      </c>
      <c r="B117" s="120" t="s">
        <v>1052</v>
      </c>
      <c r="C117" s="75" t="s">
        <v>270</v>
      </c>
      <c r="D117" s="88">
        <v>353700</v>
      </c>
      <c r="G117" s="1"/>
      <c r="L117" s="1"/>
      <c r="M117" s="1"/>
    </row>
    <row r="118" spans="1:13" s="2" customFormat="1" x14ac:dyDescent="0.2">
      <c r="A118" s="87">
        <v>45096</v>
      </c>
      <c r="B118" s="120" t="s">
        <v>1052</v>
      </c>
      <c r="C118" s="75" t="s">
        <v>270</v>
      </c>
      <c r="D118" s="88">
        <v>1205410</v>
      </c>
      <c r="G118" s="1"/>
      <c r="L118" s="1"/>
      <c r="M118" s="1"/>
    </row>
    <row r="119" spans="1:13" s="2" customFormat="1" x14ac:dyDescent="0.2">
      <c r="A119" s="87">
        <v>45096</v>
      </c>
      <c r="B119" s="120" t="s">
        <v>1052</v>
      </c>
      <c r="C119" s="75" t="s">
        <v>86</v>
      </c>
      <c r="D119" s="88">
        <v>5053085</v>
      </c>
      <c r="G119" s="1"/>
      <c r="L119" s="1"/>
      <c r="M119" s="1"/>
    </row>
    <row r="120" spans="1:13" s="2" customFormat="1" x14ac:dyDescent="0.2">
      <c r="A120" s="87">
        <v>45096</v>
      </c>
      <c r="B120" s="120" t="s">
        <v>1052</v>
      </c>
      <c r="C120" s="75" t="s">
        <v>88</v>
      </c>
      <c r="D120" s="88">
        <v>1962959.72</v>
      </c>
      <c r="G120" s="1"/>
      <c r="L120" s="1"/>
      <c r="M120" s="1"/>
    </row>
    <row r="121" spans="1:13" s="2" customFormat="1" x14ac:dyDescent="0.2">
      <c r="A121" s="87">
        <v>45098</v>
      </c>
      <c r="B121" s="120" t="s">
        <v>1052</v>
      </c>
      <c r="C121" s="75" t="s">
        <v>86</v>
      </c>
      <c r="D121" s="88">
        <v>2350710</v>
      </c>
      <c r="G121" s="1"/>
      <c r="L121" s="1"/>
      <c r="M121" s="1"/>
    </row>
    <row r="122" spans="1:13" s="2" customFormat="1" x14ac:dyDescent="0.2">
      <c r="A122" s="87">
        <v>45098</v>
      </c>
      <c r="B122" s="120" t="s">
        <v>1052</v>
      </c>
      <c r="C122" s="75" t="s">
        <v>86</v>
      </c>
      <c r="D122" s="88">
        <v>980606</v>
      </c>
      <c r="G122" s="1"/>
      <c r="L122" s="1"/>
      <c r="M122" s="1"/>
    </row>
    <row r="123" spans="1:13" s="2" customFormat="1" x14ac:dyDescent="0.2">
      <c r="A123" s="87">
        <v>45099</v>
      </c>
      <c r="B123" s="120" t="s">
        <v>1052</v>
      </c>
      <c r="C123" s="75" t="s">
        <v>18</v>
      </c>
      <c r="D123" s="88">
        <v>466628</v>
      </c>
      <c r="G123" s="1"/>
      <c r="L123" s="1"/>
      <c r="M123" s="1"/>
    </row>
    <row r="124" spans="1:13" s="2" customFormat="1" x14ac:dyDescent="0.2">
      <c r="A124" s="87">
        <v>45099</v>
      </c>
      <c r="B124" s="120" t="s">
        <v>1052</v>
      </c>
      <c r="C124" s="75" t="s">
        <v>594</v>
      </c>
      <c r="D124" s="88">
        <v>7600365</v>
      </c>
      <c r="G124" s="1"/>
      <c r="L124" s="1"/>
      <c r="M124" s="1"/>
    </row>
    <row r="125" spans="1:13" s="2" customFormat="1" x14ac:dyDescent="0.2">
      <c r="A125" s="87">
        <v>45099</v>
      </c>
      <c r="B125" s="120" t="s">
        <v>1052</v>
      </c>
      <c r="C125" s="75" t="s">
        <v>84</v>
      </c>
      <c r="D125" s="88">
        <v>1500000</v>
      </c>
      <c r="G125" s="1"/>
      <c r="L125" s="1"/>
      <c r="M125" s="1"/>
    </row>
    <row r="126" spans="1:13" s="2" customFormat="1" x14ac:dyDescent="0.2">
      <c r="A126" s="87">
        <v>45103</v>
      </c>
      <c r="B126" s="120" t="s">
        <v>1052</v>
      </c>
      <c r="C126" s="75" t="s">
        <v>87</v>
      </c>
      <c r="D126" s="88">
        <v>818821</v>
      </c>
      <c r="G126" s="1"/>
      <c r="L126" s="1"/>
      <c r="M126" s="1"/>
    </row>
    <row r="127" spans="1:13" s="2" customFormat="1" x14ac:dyDescent="0.2">
      <c r="A127" s="87">
        <v>45104</v>
      </c>
      <c r="B127" s="120" t="s">
        <v>1052</v>
      </c>
      <c r="C127" s="75" t="s">
        <v>270</v>
      </c>
      <c r="D127" s="88">
        <v>29794</v>
      </c>
      <c r="G127" s="1"/>
      <c r="L127" s="1"/>
      <c r="M127" s="1"/>
    </row>
    <row r="128" spans="1:13" s="2" customFormat="1" x14ac:dyDescent="0.2">
      <c r="A128" s="87"/>
      <c r="B128" s="74"/>
      <c r="C128" s="75"/>
      <c r="D128" s="51">
        <f>SUM(D95:D127)</f>
        <v>49986274.460000001</v>
      </c>
      <c r="F128" s="2" t="s">
        <v>396</v>
      </c>
      <c r="G128" s="1"/>
      <c r="L128" s="1"/>
      <c r="M128" s="1"/>
    </row>
    <row r="129" spans="1:13" s="2" customFormat="1" x14ac:dyDescent="0.2">
      <c r="A129" s="24"/>
      <c r="B129" s="1"/>
      <c r="C129" s="14"/>
      <c r="D129" s="56"/>
      <c r="E129" s="13"/>
      <c r="G129" s="1"/>
      <c r="L129" s="1"/>
      <c r="M129" s="1"/>
    </row>
    <row r="130" spans="1:13" s="2" customFormat="1" x14ac:dyDescent="0.2">
      <c r="A130" s="24"/>
      <c r="B130" s="1"/>
      <c r="C130" s="218" t="s">
        <v>77</v>
      </c>
      <c r="D130" s="219"/>
      <c r="E130" s="219"/>
      <c r="F130" s="220"/>
      <c r="G130" s="1"/>
      <c r="L130" s="1"/>
      <c r="M130" s="1"/>
    </row>
    <row r="131" spans="1:13" s="2" customFormat="1" x14ac:dyDescent="0.2">
      <c r="A131" s="24"/>
      <c r="B131" s="1"/>
      <c r="C131" s="50"/>
      <c r="D131" s="57" t="s">
        <v>78</v>
      </c>
      <c r="E131" s="58" t="s">
        <v>79</v>
      </c>
      <c r="F131" s="57" t="s">
        <v>72</v>
      </c>
      <c r="G131" s="1"/>
      <c r="I131" s="1"/>
      <c r="J131" s="1"/>
      <c r="K131" s="1"/>
      <c r="L131" s="1"/>
      <c r="M131" s="1"/>
    </row>
    <row r="132" spans="1:13" s="2" customFormat="1" x14ac:dyDescent="0.2">
      <c r="A132" s="24"/>
      <c r="B132" s="1"/>
      <c r="C132" s="59" t="str">
        <f>"01-06-2023 to "&amp;TEXT(A5-2,"dd-mm-yyyy")</f>
        <v>01-06-2023 to 25-06-2023</v>
      </c>
      <c r="D132" s="60">
        <v>5106.59</v>
      </c>
      <c r="E132" s="60">
        <v>170.25</v>
      </c>
      <c r="F132" s="61">
        <f>SUM(D132:E132)</f>
        <v>5276.84</v>
      </c>
      <c r="G132" s="1"/>
    </row>
    <row r="133" spans="1:13" s="2" customFormat="1" x14ac:dyDescent="0.2">
      <c r="A133" s="24"/>
      <c r="B133" s="1"/>
      <c r="C133" s="62" t="str">
        <f>TEXT(A5-1,"dd-mm-yyyy")</f>
        <v>26-06-2023</v>
      </c>
      <c r="D133" s="60">
        <v>163.04</v>
      </c>
      <c r="E133" s="60">
        <v>7.53</v>
      </c>
      <c r="F133" s="61">
        <f>SUM(D133:E133)</f>
        <v>170.57</v>
      </c>
      <c r="G133" s="54"/>
      <c r="I133" s="1"/>
      <c r="J133" s="1"/>
      <c r="K133" s="1"/>
      <c r="L133" s="1"/>
      <c r="M133" s="1"/>
    </row>
    <row r="134" spans="1:13" s="2" customFormat="1" ht="13.5" thickBot="1" x14ac:dyDescent="0.25">
      <c r="A134" s="24"/>
      <c r="B134" s="1"/>
      <c r="C134" s="63" t="str">
        <f>"01-06-2023 to "&amp;TEXT(A5-1,"dd-mm-yyyy")</f>
        <v>01-06-2023 to 26-06-2023</v>
      </c>
      <c r="D134" s="64">
        <f>SUM(D132:D133)</f>
        <v>5269.63</v>
      </c>
      <c r="E134" s="64">
        <f>SUM(E132:E133)</f>
        <v>177.78</v>
      </c>
      <c r="F134" s="64">
        <f>SUM(F132:F133)</f>
        <v>5447.41</v>
      </c>
      <c r="G134" s="54"/>
      <c r="I134" s="1"/>
      <c r="J134" s="1"/>
      <c r="K134" s="1"/>
      <c r="L134" s="1"/>
      <c r="M134" s="1"/>
    </row>
    <row r="135" spans="1:13" s="2" customFormat="1" ht="13.5" thickTop="1" x14ac:dyDescent="0.2">
      <c r="A135" s="24"/>
      <c r="B135" s="1"/>
      <c r="C135" s="62"/>
      <c r="D135" s="65"/>
      <c r="E135" s="66"/>
      <c r="F135" s="67"/>
      <c r="G135" s="54"/>
      <c r="I135" s="1"/>
      <c r="J135" s="1"/>
      <c r="K135" s="1"/>
      <c r="L135" s="1"/>
      <c r="M135" s="1"/>
    </row>
    <row r="136" spans="1:13" s="2" customFormat="1" x14ac:dyDescent="0.2">
      <c r="A136" s="24"/>
      <c r="B136" s="1"/>
      <c r="C136" s="62" t="str">
        <f>"01-04-2023 to " &amp;C133</f>
        <v>01-04-2023 to 26-06-2023</v>
      </c>
      <c r="D136" s="68">
        <f>+D134+9224.33</f>
        <v>14493.96</v>
      </c>
      <c r="E136" s="68">
        <f>+E134+906.58</f>
        <v>1084.3600000000001</v>
      </c>
      <c r="F136" s="68">
        <f>+F134+10130.9</f>
        <v>15578.31</v>
      </c>
      <c r="G136" s="54"/>
      <c r="I136" s="1"/>
      <c r="J136" s="1"/>
      <c r="K136" s="1"/>
      <c r="L136" s="1"/>
      <c r="M136" s="1"/>
    </row>
    <row r="137" spans="1:13" x14ac:dyDescent="0.2">
      <c r="C137" s="52"/>
      <c r="D137" s="85"/>
      <c r="E137" s="53"/>
      <c r="F137" s="53"/>
      <c r="G137" s="54"/>
      <c r="H137" s="2" t="s">
        <v>396</v>
      </c>
    </row>
    <row r="138" spans="1:13" s="2" customFormat="1" x14ac:dyDescent="0.2">
      <c r="A138" s="24"/>
      <c r="B138" s="1"/>
      <c r="C138" s="52"/>
      <c r="D138" s="85"/>
      <c r="E138" s="53"/>
      <c r="F138" s="53"/>
      <c r="G138" s="54"/>
      <c r="H138" s="53"/>
    </row>
    <row r="139" spans="1:13" x14ac:dyDescent="0.2">
      <c r="C139" s="52"/>
      <c r="D139" s="85"/>
      <c r="E139" s="53"/>
      <c r="F139" s="53"/>
      <c r="G139" s="54"/>
      <c r="H139" s="53" t="s">
        <v>396</v>
      </c>
    </row>
    <row r="140" spans="1:13" x14ac:dyDescent="0.2">
      <c r="C140" s="52"/>
      <c r="D140" s="85"/>
      <c r="E140" s="53"/>
      <c r="F140" s="53"/>
      <c r="G140" s="54"/>
      <c r="H140" s="53" t="s">
        <v>396</v>
      </c>
      <c r="J140" s="42"/>
    </row>
    <row r="141" spans="1:13" x14ac:dyDescent="0.2">
      <c r="G141" s="54"/>
      <c r="H141" s="53"/>
      <c r="I141" s="101"/>
    </row>
    <row r="142" spans="1:13" x14ac:dyDescent="0.2">
      <c r="G142" s="54"/>
      <c r="H142" s="53"/>
    </row>
    <row r="143" spans="1:13" x14ac:dyDescent="0.2">
      <c r="G143" s="54"/>
      <c r="H143" s="53"/>
    </row>
    <row r="144" spans="1:13" x14ac:dyDescent="0.2">
      <c r="H144" s="53"/>
    </row>
  </sheetData>
  <mergeCells count="6">
    <mergeCell ref="C130:F130"/>
    <mergeCell ref="A1:G1"/>
    <mergeCell ref="A3:F3"/>
    <mergeCell ref="A9:F9"/>
    <mergeCell ref="A18:F18"/>
    <mergeCell ref="A93:D93"/>
  </mergeCells>
  <conditionalFormatting sqref="G90:G91">
    <cfRule type="cellIs" dxfId="456" priority="1" operator="lessThan">
      <formula>0</formula>
    </cfRule>
  </conditionalFormatting>
  <conditionalFormatting sqref="C20">
    <cfRule type="duplicateValues" dxfId="455" priority="2"/>
  </conditionalFormatting>
  <conditionalFormatting sqref="C21:C70">
    <cfRule type="duplicateValues" dxfId="454" priority="554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 codeName="Sheet363">
    <pageSetUpPr fitToPage="1"/>
  </sheetPr>
  <dimension ref="A1:N132"/>
  <sheetViews>
    <sheetView topLeftCell="A43" zoomScaleNormal="100" workbookViewId="0">
      <selection activeCell="C46" sqref="C46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85546875" style="14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1143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45105</v>
      </c>
      <c r="B5" s="9" t="s">
        <v>6</v>
      </c>
      <c r="C5" s="10" t="s">
        <v>7</v>
      </c>
      <c r="D5" s="11"/>
      <c r="E5" s="12">
        <v>221548.70000000019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221548.70000000019</v>
      </c>
      <c r="F6" s="16">
        <f>F5</f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+E6-F6</f>
        <v>221548.70000000019</v>
      </c>
      <c r="F7" s="22"/>
      <c r="G7" s="23"/>
      <c r="H7" s="112"/>
      <c r="I7" s="112"/>
      <c r="J7" s="13"/>
    </row>
    <row r="8" spans="1:10" ht="12.75" customHeight="1" x14ac:dyDescent="0.4">
      <c r="H8" s="112"/>
      <c r="I8" s="112"/>
    </row>
    <row r="9" spans="1:10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12"/>
    </row>
    <row r="10" spans="1:10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12"/>
    </row>
    <row r="11" spans="1:10" s="2" customFormat="1" ht="14.25" customHeight="1" x14ac:dyDescent="0.2">
      <c r="A11" s="127">
        <v>45105</v>
      </c>
      <c r="B11" s="9" t="s">
        <v>6</v>
      </c>
      <c r="C11" s="10" t="s">
        <v>7</v>
      </c>
      <c r="D11" s="11"/>
      <c r="F11" s="12">
        <v>28066716.859999988</v>
      </c>
      <c r="G11" s="1"/>
      <c r="H11" s="130"/>
      <c r="I11" s="130"/>
    </row>
    <row r="12" spans="1:10" s="2" customFormat="1" ht="14.25" customHeight="1" x14ac:dyDescent="0.2">
      <c r="A12" s="127">
        <v>45105</v>
      </c>
      <c r="B12" s="9" t="s">
        <v>6</v>
      </c>
      <c r="C12" s="10" t="s">
        <v>16</v>
      </c>
      <c r="D12" s="125" t="s">
        <v>13</v>
      </c>
      <c r="E12" s="2">
        <v>16491959.809999999</v>
      </c>
      <c r="F12" s="12"/>
      <c r="G12" s="1"/>
      <c r="H12" s="130"/>
      <c r="I12" s="130"/>
    </row>
    <row r="13" spans="1:10" s="2" customFormat="1" ht="14.25" customHeight="1" x14ac:dyDescent="0.2">
      <c r="A13" s="127">
        <v>45105</v>
      </c>
      <c r="B13" s="9" t="s">
        <v>6</v>
      </c>
      <c r="C13" s="10" t="s">
        <v>21</v>
      </c>
      <c r="D13" s="125" t="s">
        <v>13</v>
      </c>
      <c r="E13" s="2">
        <v>400000</v>
      </c>
      <c r="F13" s="12"/>
      <c r="G13" s="1"/>
      <c r="H13" s="130"/>
      <c r="I13" s="130"/>
    </row>
    <row r="14" spans="1:10" s="2" customFormat="1" ht="14.25" customHeight="1" x14ac:dyDescent="0.2">
      <c r="A14" s="127">
        <v>45105</v>
      </c>
      <c r="B14" s="9" t="s">
        <v>11</v>
      </c>
      <c r="C14" s="10" t="s">
        <v>1137</v>
      </c>
      <c r="D14" s="125" t="s">
        <v>29</v>
      </c>
      <c r="F14" s="12">
        <v>4342.5200000000004</v>
      </c>
      <c r="G14" s="1"/>
      <c r="H14" s="130"/>
      <c r="I14" s="130"/>
    </row>
    <row r="15" spans="1:10" s="2" customFormat="1" ht="14.25" customHeight="1" x14ac:dyDescent="0.2">
      <c r="A15" s="127">
        <v>45105</v>
      </c>
      <c r="B15" s="9" t="s">
        <v>11</v>
      </c>
      <c r="C15" s="10" t="s">
        <v>1144</v>
      </c>
      <c r="D15" s="125" t="s">
        <v>29</v>
      </c>
      <c r="F15" s="12">
        <v>165000</v>
      </c>
      <c r="G15" s="1"/>
      <c r="H15" s="130"/>
      <c r="I15" s="130"/>
    </row>
    <row r="16" spans="1:10" s="2" customFormat="1" ht="14.25" customHeight="1" x14ac:dyDescent="0.2">
      <c r="A16" s="127">
        <v>45105</v>
      </c>
      <c r="B16" s="9" t="s">
        <v>11</v>
      </c>
      <c r="C16" s="10" t="s">
        <v>818</v>
      </c>
      <c r="D16" s="125" t="s">
        <v>29</v>
      </c>
      <c r="F16" s="12">
        <v>14323</v>
      </c>
      <c r="G16" s="1"/>
      <c r="H16" s="130"/>
      <c r="I16" s="130"/>
    </row>
    <row r="17" spans="1:10" s="2" customFormat="1" ht="14.25" customHeight="1" x14ac:dyDescent="0.2">
      <c r="A17" s="127">
        <v>45105</v>
      </c>
      <c r="B17" s="9" t="s">
        <v>11</v>
      </c>
      <c r="C17" s="10" t="s">
        <v>136</v>
      </c>
      <c r="D17" s="125" t="s">
        <v>29</v>
      </c>
      <c r="F17" s="12">
        <v>9644</v>
      </c>
      <c r="G17" s="1"/>
      <c r="H17" s="130"/>
      <c r="I17" s="130"/>
    </row>
    <row r="18" spans="1:10" s="2" customFormat="1" ht="14.25" customHeight="1" x14ac:dyDescent="0.2">
      <c r="A18" s="127">
        <v>45105</v>
      </c>
      <c r="B18" s="9" t="s">
        <v>11</v>
      </c>
      <c r="C18" s="10" t="s">
        <v>800</v>
      </c>
      <c r="D18" s="125" t="s">
        <v>29</v>
      </c>
      <c r="F18" s="12">
        <v>2287</v>
      </c>
      <c r="G18" s="1"/>
      <c r="H18" s="130"/>
      <c r="I18" s="130"/>
    </row>
    <row r="19" spans="1:10" s="2" customFormat="1" ht="14.25" customHeight="1" x14ac:dyDescent="0.2">
      <c r="A19" s="127">
        <v>45105</v>
      </c>
      <c r="B19" s="9" t="s">
        <v>11</v>
      </c>
      <c r="C19" s="10" t="s">
        <v>232</v>
      </c>
      <c r="D19" s="125" t="s">
        <v>29</v>
      </c>
      <c r="F19" s="12">
        <v>1026.5999999999999</v>
      </c>
      <c r="G19" s="1"/>
      <c r="H19" s="130"/>
      <c r="I19" s="130"/>
    </row>
    <row r="20" spans="1:10" s="2" customFormat="1" ht="14.25" customHeight="1" x14ac:dyDescent="0.2">
      <c r="A20" s="127">
        <v>45105</v>
      </c>
      <c r="B20" s="9" t="s">
        <v>11</v>
      </c>
      <c r="C20" s="10" t="s">
        <v>537</v>
      </c>
      <c r="D20" s="125" t="s">
        <v>29</v>
      </c>
      <c r="F20" s="12">
        <v>183573</v>
      </c>
      <c r="G20" s="1"/>
      <c r="H20" s="130"/>
      <c r="I20" s="130"/>
    </row>
    <row r="21" spans="1:10" s="2" customFormat="1" ht="14.25" customHeight="1" x14ac:dyDescent="0.2">
      <c r="A21" s="127">
        <v>45105</v>
      </c>
      <c r="B21" s="9" t="s">
        <v>11</v>
      </c>
      <c r="C21" s="10" t="s">
        <v>372</v>
      </c>
      <c r="D21" s="125" t="s">
        <v>29</v>
      </c>
      <c r="F21" s="12">
        <v>266063</v>
      </c>
      <c r="G21" s="1"/>
      <c r="H21" s="130"/>
      <c r="I21" s="130"/>
    </row>
    <row r="22" spans="1:10" s="2" customFormat="1" ht="14.25" customHeight="1" x14ac:dyDescent="0.2">
      <c r="A22" s="127">
        <v>45105</v>
      </c>
      <c r="B22" s="9" t="s">
        <v>11</v>
      </c>
      <c r="C22" s="10" t="s">
        <v>1145</v>
      </c>
      <c r="D22" s="125" t="s">
        <v>29</v>
      </c>
      <c r="F22" s="12">
        <v>432192</v>
      </c>
      <c r="G22" s="1"/>
      <c r="H22" s="130"/>
      <c r="I22" s="130"/>
    </row>
    <row r="23" spans="1:10" s="2" customFormat="1" ht="14.25" customHeight="1" x14ac:dyDescent="0.2">
      <c r="A23" s="127">
        <v>45105</v>
      </c>
      <c r="B23" s="9" t="s">
        <v>11</v>
      </c>
      <c r="C23" s="10" t="s">
        <v>370</v>
      </c>
      <c r="D23" s="125" t="s">
        <v>29</v>
      </c>
      <c r="F23" s="12">
        <v>929.18</v>
      </c>
      <c r="G23" s="1"/>
      <c r="H23" s="130"/>
      <c r="I23" s="130"/>
    </row>
    <row r="24" spans="1:10" s="2" customFormat="1" ht="14.25" customHeight="1" x14ac:dyDescent="0.2">
      <c r="A24" s="127">
        <v>45105</v>
      </c>
      <c r="B24" s="9" t="s">
        <v>11</v>
      </c>
      <c r="C24" s="10" t="s">
        <v>242</v>
      </c>
      <c r="D24" s="125" t="s">
        <v>29</v>
      </c>
      <c r="F24" s="12">
        <v>79231</v>
      </c>
      <c r="G24" s="1"/>
      <c r="H24" s="130"/>
      <c r="I24" s="130"/>
    </row>
    <row r="25" spans="1:10" s="2" customFormat="1" ht="14.25" customHeight="1" x14ac:dyDescent="0.2">
      <c r="A25" s="127">
        <v>45105</v>
      </c>
      <c r="B25" s="9" t="s">
        <v>11</v>
      </c>
      <c r="C25" s="10" t="s">
        <v>243</v>
      </c>
      <c r="D25" s="125" t="s">
        <v>29</v>
      </c>
      <c r="F25" s="12">
        <v>3535.28</v>
      </c>
      <c r="G25" s="1"/>
      <c r="H25" s="130"/>
      <c r="I25" s="130"/>
    </row>
    <row r="26" spans="1:10" s="2" customFormat="1" ht="14.25" customHeight="1" x14ac:dyDescent="0.2">
      <c r="A26" s="127">
        <v>45105</v>
      </c>
      <c r="B26" s="9" t="s">
        <v>11</v>
      </c>
      <c r="C26" s="10" t="s">
        <v>525</v>
      </c>
      <c r="D26" s="125" t="s">
        <v>29</v>
      </c>
      <c r="F26" s="12">
        <v>1000000</v>
      </c>
      <c r="G26" s="1"/>
      <c r="H26" s="130"/>
      <c r="I26" s="130"/>
    </row>
    <row r="27" spans="1:10" s="2" customFormat="1" ht="14.25" customHeight="1" x14ac:dyDescent="0.2">
      <c r="A27" s="127">
        <v>45105</v>
      </c>
      <c r="B27" s="9" t="s">
        <v>11</v>
      </c>
      <c r="C27" s="10" t="s">
        <v>1058</v>
      </c>
      <c r="D27" s="125" t="s">
        <v>29</v>
      </c>
      <c r="F27" s="12">
        <v>564979</v>
      </c>
      <c r="G27" s="1"/>
      <c r="H27" s="130"/>
      <c r="I27" s="130"/>
    </row>
    <row r="28" spans="1:10" s="2" customFormat="1" ht="14.25" customHeight="1" x14ac:dyDescent="0.2">
      <c r="A28" s="127">
        <v>45105</v>
      </c>
      <c r="B28" s="9" t="s">
        <v>11</v>
      </c>
      <c r="C28" s="10" t="s">
        <v>382</v>
      </c>
      <c r="D28" s="125" t="s">
        <v>29</v>
      </c>
      <c r="F28" s="12">
        <v>405000</v>
      </c>
      <c r="G28" s="1"/>
      <c r="H28" s="130"/>
      <c r="I28" s="130"/>
    </row>
    <row r="29" spans="1:10" s="2" customFormat="1" ht="14.25" customHeight="1" x14ac:dyDescent="0.2">
      <c r="A29" s="127">
        <v>45105</v>
      </c>
      <c r="B29" s="9" t="s">
        <v>11</v>
      </c>
      <c r="C29" s="10" t="s">
        <v>631</v>
      </c>
      <c r="D29" s="125" t="s">
        <v>29</v>
      </c>
      <c r="F29" s="12">
        <v>100000</v>
      </c>
      <c r="G29" s="1"/>
      <c r="H29" s="130"/>
      <c r="I29" s="130"/>
    </row>
    <row r="30" spans="1:10" s="2" customFormat="1" ht="14.25" customHeight="1" x14ac:dyDescent="0.2">
      <c r="A30" s="127">
        <v>45105</v>
      </c>
      <c r="B30" s="9" t="s">
        <v>11</v>
      </c>
      <c r="C30" s="10" t="s">
        <v>57</v>
      </c>
      <c r="D30" s="126" t="s">
        <v>29</v>
      </c>
      <c r="F30" s="12">
        <v>11200000</v>
      </c>
      <c r="G30" s="1"/>
      <c r="H30" s="130"/>
      <c r="I30" s="130"/>
    </row>
    <row r="31" spans="1:10" s="2" customFormat="1" ht="12.75" customHeight="1" x14ac:dyDescent="0.4">
      <c r="D31" s="15" t="s">
        <v>8</v>
      </c>
      <c r="E31" s="16">
        <f>SUM(E12:E30)</f>
        <v>16891959.809999999</v>
      </c>
      <c r="F31" s="16">
        <f>SUM(F11:F30)</f>
        <v>42498842.43999999</v>
      </c>
      <c r="G31" s="1"/>
      <c r="H31" s="112"/>
      <c r="I31" s="112"/>
    </row>
    <row r="32" spans="1:10" s="2" customFormat="1" ht="12.75" customHeight="1" x14ac:dyDescent="0.4">
      <c r="A32" s="17"/>
      <c r="B32" s="18"/>
      <c r="C32" s="96" t="s">
        <v>9</v>
      </c>
      <c r="D32" s="20"/>
      <c r="E32" s="21">
        <f>+F31-E31</f>
        <v>25606882.629999992</v>
      </c>
      <c r="G32" s="23"/>
      <c r="H32" s="112"/>
      <c r="I32" s="112"/>
      <c r="J32" s="13"/>
    </row>
    <row r="33" spans="1:10" s="2" customFormat="1" ht="12.75" customHeight="1" x14ac:dyDescent="0.4">
      <c r="A33" s="24"/>
      <c r="B33" s="1"/>
      <c r="C33" s="14"/>
      <c r="D33" s="25"/>
      <c r="G33" s="23"/>
      <c r="H33" s="112"/>
      <c r="I33" s="112"/>
      <c r="J33" s="13"/>
    </row>
    <row r="34" spans="1:10" s="2" customFormat="1" ht="21.75" customHeight="1" x14ac:dyDescent="0.4">
      <c r="A34" s="214" t="s">
        <v>10</v>
      </c>
      <c r="B34" s="214"/>
      <c r="C34" s="214"/>
      <c r="D34" s="214"/>
      <c r="E34" s="214"/>
      <c r="F34" s="214"/>
      <c r="G34" s="13"/>
      <c r="H34" s="112"/>
      <c r="I34" s="112"/>
      <c r="J34" s="13"/>
    </row>
    <row r="35" spans="1:10" s="2" customFormat="1" ht="12.75" customHeight="1" x14ac:dyDescent="0.4">
      <c r="A35" s="26" t="s">
        <v>1</v>
      </c>
      <c r="B35" s="27" t="s">
        <v>2</v>
      </c>
      <c r="C35" s="5"/>
      <c r="D35" s="6" t="s">
        <v>3</v>
      </c>
      <c r="E35" s="7" t="s">
        <v>4</v>
      </c>
      <c r="F35" s="7" t="s">
        <v>5</v>
      </c>
      <c r="G35" s="23"/>
      <c r="H35" s="112"/>
      <c r="I35" s="112"/>
      <c r="J35" s="13"/>
    </row>
    <row r="36" spans="1:10" s="2" customFormat="1" ht="12.75" customHeight="1" x14ac:dyDescent="0.2">
      <c r="A36" s="127">
        <v>45105</v>
      </c>
      <c r="B36" s="128" t="s">
        <v>11</v>
      </c>
      <c r="C36" s="29" t="s">
        <v>7</v>
      </c>
      <c r="D36" s="25"/>
      <c r="E36" s="31"/>
      <c r="F36" s="2">
        <v>292096999.02999985</v>
      </c>
      <c r="G36" s="30"/>
      <c r="I36" s="13"/>
      <c r="J36" s="13"/>
    </row>
    <row r="37" spans="1:10" s="70" customFormat="1" ht="12.75" customHeight="1" x14ac:dyDescent="0.2">
      <c r="A37" s="127">
        <v>45105</v>
      </c>
      <c r="B37" s="128" t="s">
        <v>6</v>
      </c>
      <c r="C37" s="76" t="s">
        <v>318</v>
      </c>
      <c r="D37" s="125" t="s">
        <v>13</v>
      </c>
      <c r="E37" s="129">
        <v>620826</v>
      </c>
      <c r="G37" s="30"/>
      <c r="I37" s="69"/>
      <c r="J37" s="69"/>
    </row>
    <row r="38" spans="1:10" s="70" customFormat="1" ht="12.75" customHeight="1" x14ac:dyDescent="0.2">
      <c r="A38" s="127">
        <v>45105</v>
      </c>
      <c r="B38" s="128" t="s">
        <v>6</v>
      </c>
      <c r="C38" s="76" t="s">
        <v>244</v>
      </c>
      <c r="D38" s="125" t="s">
        <v>13</v>
      </c>
      <c r="E38" s="129">
        <v>569337</v>
      </c>
      <c r="G38" s="30"/>
      <c r="I38" s="69"/>
      <c r="J38" s="69"/>
    </row>
    <row r="39" spans="1:10" s="70" customFormat="1" ht="12.75" customHeight="1" x14ac:dyDescent="0.2">
      <c r="A39" s="127">
        <v>45105</v>
      </c>
      <c r="B39" s="128" t="s">
        <v>6</v>
      </c>
      <c r="C39" s="76" t="s">
        <v>296</v>
      </c>
      <c r="D39" s="126" t="s">
        <v>13</v>
      </c>
      <c r="E39" s="129">
        <v>100000</v>
      </c>
      <c r="G39" s="30"/>
      <c r="I39" s="69"/>
      <c r="J39" s="69"/>
    </row>
    <row r="40" spans="1:10" s="70" customFormat="1" ht="12.75" customHeight="1" x14ac:dyDescent="0.2">
      <c r="A40" s="127">
        <v>45105</v>
      </c>
      <c r="B40" s="128" t="s">
        <v>6</v>
      </c>
      <c r="C40" s="76" t="s">
        <v>16</v>
      </c>
      <c r="D40" s="126" t="s">
        <v>13</v>
      </c>
      <c r="E40" s="129">
        <v>100000</v>
      </c>
      <c r="G40" s="30"/>
      <c r="I40" s="69"/>
      <c r="J40" s="69"/>
    </row>
    <row r="41" spans="1:10" s="70" customFormat="1" ht="12.75" customHeight="1" x14ac:dyDescent="0.2">
      <c r="A41" s="127">
        <v>45105</v>
      </c>
      <c r="B41" s="128" t="s">
        <v>6</v>
      </c>
      <c r="C41" s="76" t="s">
        <v>316</v>
      </c>
      <c r="D41" s="126" t="s">
        <v>13</v>
      </c>
      <c r="E41" s="129">
        <v>2554318</v>
      </c>
      <c r="G41" s="30"/>
      <c r="I41" s="69"/>
      <c r="J41" s="69"/>
    </row>
    <row r="42" spans="1:10" s="70" customFormat="1" ht="12.75" customHeight="1" x14ac:dyDescent="0.2">
      <c r="A42" s="127">
        <v>45105</v>
      </c>
      <c r="B42" s="128" t="s">
        <v>6</v>
      </c>
      <c r="C42" s="76" t="s">
        <v>595</v>
      </c>
      <c r="D42" s="126" t="s">
        <v>13</v>
      </c>
      <c r="E42" s="129">
        <v>99382</v>
      </c>
      <c r="G42" s="30"/>
      <c r="I42" s="69"/>
      <c r="J42" s="69"/>
    </row>
    <row r="43" spans="1:10" s="70" customFormat="1" ht="12.75" customHeight="1" x14ac:dyDescent="0.2">
      <c r="A43" s="127">
        <v>45105</v>
      </c>
      <c r="B43" s="128" t="s">
        <v>6</v>
      </c>
      <c r="C43" s="76" t="s">
        <v>257</v>
      </c>
      <c r="D43" s="126" t="s">
        <v>13</v>
      </c>
      <c r="E43" s="129">
        <v>5218280.92</v>
      </c>
      <c r="G43" s="30"/>
      <c r="I43" s="69"/>
      <c r="J43" s="69"/>
    </row>
    <row r="44" spans="1:10" s="70" customFormat="1" ht="12.75" customHeight="1" x14ac:dyDescent="0.2">
      <c r="A44" s="127">
        <v>45105</v>
      </c>
      <c r="B44" s="128" t="s">
        <v>6</v>
      </c>
      <c r="C44" s="76" t="s">
        <v>149</v>
      </c>
      <c r="D44" s="126" t="s">
        <v>13</v>
      </c>
      <c r="E44" s="129">
        <v>4236</v>
      </c>
      <c r="G44" s="30"/>
      <c r="I44" s="69"/>
      <c r="J44" s="69"/>
    </row>
    <row r="45" spans="1:10" s="70" customFormat="1" ht="12.75" customHeight="1" x14ac:dyDescent="0.2">
      <c r="A45" s="127">
        <v>45105</v>
      </c>
      <c r="B45" s="128" t="s">
        <v>6</v>
      </c>
      <c r="C45" s="76" t="s">
        <v>678</v>
      </c>
      <c r="D45" s="126" t="s">
        <v>13</v>
      </c>
      <c r="E45" s="129">
        <v>200000</v>
      </c>
      <c r="G45" s="30"/>
      <c r="I45" s="69"/>
      <c r="J45" s="69"/>
    </row>
    <row r="46" spans="1:10" s="70" customFormat="1" ht="12.75" customHeight="1" x14ac:dyDescent="0.2">
      <c r="A46" s="127">
        <v>45105</v>
      </c>
      <c r="B46" s="128" t="s">
        <v>6</v>
      </c>
      <c r="C46" s="76" t="s">
        <v>145</v>
      </c>
      <c r="D46" s="126" t="s">
        <v>13</v>
      </c>
      <c r="E46" s="129">
        <v>523928</v>
      </c>
      <c r="G46" s="30"/>
      <c r="I46" s="69"/>
      <c r="J46" s="69"/>
    </row>
    <row r="47" spans="1:10" s="70" customFormat="1" ht="12.75" customHeight="1" x14ac:dyDescent="0.2">
      <c r="A47" s="127">
        <v>45105</v>
      </c>
      <c r="B47" s="128" t="s">
        <v>6</v>
      </c>
      <c r="C47" s="76" t="s">
        <v>19</v>
      </c>
      <c r="D47" s="126" t="s">
        <v>13</v>
      </c>
      <c r="E47" s="129">
        <v>1297008</v>
      </c>
      <c r="G47" s="30"/>
      <c r="I47" s="69"/>
      <c r="J47" s="69"/>
    </row>
    <row r="48" spans="1:10" s="70" customFormat="1" ht="12.75" customHeight="1" x14ac:dyDescent="0.2">
      <c r="A48" s="127">
        <v>45105</v>
      </c>
      <c r="B48" s="128" t="s">
        <v>6</v>
      </c>
      <c r="C48" s="76" t="s">
        <v>120</v>
      </c>
      <c r="D48" s="126" t="s">
        <v>13</v>
      </c>
      <c r="E48" s="129">
        <v>2621686</v>
      </c>
      <c r="G48" s="30"/>
      <c r="I48" s="69"/>
      <c r="J48" s="69"/>
    </row>
    <row r="49" spans="1:14" s="70" customFormat="1" ht="12.75" customHeight="1" x14ac:dyDescent="0.2">
      <c r="A49" s="127">
        <v>45105</v>
      </c>
      <c r="B49" s="128" t="s">
        <v>6</v>
      </c>
      <c r="C49" s="76" t="s">
        <v>947</v>
      </c>
      <c r="D49" s="126" t="s">
        <v>13</v>
      </c>
      <c r="E49" s="129">
        <v>3426407</v>
      </c>
      <c r="G49" s="30"/>
      <c r="I49" s="69"/>
      <c r="J49" s="69"/>
    </row>
    <row r="50" spans="1:14" s="70" customFormat="1" ht="12.75" customHeight="1" x14ac:dyDescent="0.2">
      <c r="A50" s="127">
        <v>45105</v>
      </c>
      <c r="B50" s="128" t="s">
        <v>6</v>
      </c>
      <c r="C50" s="76" t="s">
        <v>27</v>
      </c>
      <c r="D50" s="126" t="s">
        <v>13</v>
      </c>
      <c r="E50" s="129">
        <v>442277.54</v>
      </c>
      <c r="G50" s="30"/>
      <c r="I50" s="69"/>
      <c r="J50" s="69"/>
    </row>
    <row r="51" spans="1:14" s="70" customFormat="1" ht="12.75" customHeight="1" x14ac:dyDescent="0.2">
      <c r="A51" s="127">
        <v>45105</v>
      </c>
      <c r="B51" s="128" t="s">
        <v>11</v>
      </c>
      <c r="C51" s="76" t="s">
        <v>64</v>
      </c>
      <c r="D51" s="126" t="s">
        <v>29</v>
      </c>
      <c r="E51" s="129"/>
      <c r="F51" s="70">
        <f>14184.78+0.3</f>
        <v>14185.08</v>
      </c>
      <c r="G51" s="30"/>
      <c r="I51" s="69"/>
      <c r="J51" s="69"/>
    </row>
    <row r="52" spans="1:14" s="70" customFormat="1" ht="12.75" customHeight="1" x14ac:dyDescent="0.2">
      <c r="A52" s="127">
        <v>45105</v>
      </c>
      <c r="B52" s="128" t="s">
        <v>11</v>
      </c>
      <c r="C52" s="76" t="s">
        <v>568</v>
      </c>
      <c r="D52" s="126" t="s">
        <v>29</v>
      </c>
      <c r="E52" s="129"/>
      <c r="F52" s="70">
        <v>70008.13</v>
      </c>
      <c r="G52" s="30"/>
      <c r="I52" s="69"/>
      <c r="J52" s="69"/>
    </row>
    <row r="53" spans="1:14" s="70" customFormat="1" ht="12.75" customHeight="1" x14ac:dyDescent="0.2">
      <c r="A53" s="127">
        <v>45105</v>
      </c>
      <c r="B53" s="128" t="s">
        <v>11</v>
      </c>
      <c r="C53" s="76" t="s">
        <v>156</v>
      </c>
      <c r="D53" s="126" t="s">
        <v>29</v>
      </c>
      <c r="E53" s="129"/>
      <c r="F53" s="70">
        <v>126.01</v>
      </c>
      <c r="G53" s="30"/>
      <c r="I53" s="69"/>
      <c r="J53" s="69"/>
    </row>
    <row r="54" spans="1:14" s="70" customFormat="1" ht="12.75" customHeight="1" x14ac:dyDescent="0.2">
      <c r="A54" s="127">
        <v>45105</v>
      </c>
      <c r="B54" s="128" t="s">
        <v>11</v>
      </c>
      <c r="C54" s="76" t="s">
        <v>109</v>
      </c>
      <c r="D54" s="126" t="s">
        <v>29</v>
      </c>
      <c r="E54" s="129"/>
      <c r="F54" s="70">
        <v>942323</v>
      </c>
      <c r="G54" s="30"/>
      <c r="I54" s="69"/>
      <c r="J54" s="69"/>
    </row>
    <row r="55" spans="1:14" s="70" customFormat="1" ht="12.75" customHeight="1" x14ac:dyDescent="0.2">
      <c r="A55" s="127">
        <v>45105</v>
      </c>
      <c r="B55" s="128" t="s">
        <v>11</v>
      </c>
      <c r="C55" s="76" t="s">
        <v>204</v>
      </c>
      <c r="D55" s="126" t="s">
        <v>29</v>
      </c>
      <c r="E55" s="129"/>
      <c r="F55" s="70">
        <v>818384.39</v>
      </c>
      <c r="G55" s="30"/>
      <c r="I55" s="69"/>
      <c r="J55" s="69"/>
    </row>
    <row r="56" spans="1:14" s="70" customFormat="1" ht="12.75" customHeight="1" x14ac:dyDescent="0.2">
      <c r="A56" s="127">
        <v>45105</v>
      </c>
      <c r="B56" s="128" t="s">
        <v>11</v>
      </c>
      <c r="C56" s="76" t="s">
        <v>1146</v>
      </c>
      <c r="D56" s="126" t="s">
        <v>29</v>
      </c>
      <c r="E56" s="129"/>
      <c r="F56" s="70">
        <v>770310</v>
      </c>
      <c r="G56" s="30"/>
      <c r="I56" s="69"/>
      <c r="J56" s="69"/>
    </row>
    <row r="57" spans="1:14" s="70" customFormat="1" ht="12.75" customHeight="1" x14ac:dyDescent="0.2">
      <c r="A57" s="127">
        <v>45105</v>
      </c>
      <c r="B57" s="128" t="s">
        <v>11</v>
      </c>
      <c r="C57" s="76" t="s">
        <v>34</v>
      </c>
      <c r="D57" s="126" t="s">
        <v>29</v>
      </c>
      <c r="E57" s="129"/>
      <c r="F57" s="70">
        <v>20000</v>
      </c>
      <c r="G57" s="30"/>
      <c r="I57" s="69"/>
      <c r="J57" s="69"/>
    </row>
    <row r="58" spans="1:14" s="70" customFormat="1" ht="12.75" customHeight="1" x14ac:dyDescent="0.2">
      <c r="A58" s="127">
        <v>45105</v>
      </c>
      <c r="B58" s="128" t="s">
        <v>11</v>
      </c>
      <c r="C58" s="76" t="s">
        <v>57</v>
      </c>
      <c r="D58" s="126" t="s">
        <v>29</v>
      </c>
      <c r="E58" s="129"/>
      <c r="F58" s="70">
        <v>500000</v>
      </c>
      <c r="G58" s="30"/>
      <c r="I58" s="69"/>
      <c r="J58" s="69"/>
    </row>
    <row r="59" spans="1:14" s="2" customFormat="1" ht="12.75" customHeight="1" x14ac:dyDescent="0.25">
      <c r="A59" s="32"/>
      <c r="B59" s="33"/>
      <c r="C59" s="14"/>
      <c r="D59" s="34"/>
      <c r="E59" s="16">
        <f>SUM(E36:E58)</f>
        <v>17777686.460000001</v>
      </c>
      <c r="F59" s="16">
        <f>SUM(F36:F58)</f>
        <v>295232335.63999981</v>
      </c>
      <c r="G59" s="30"/>
      <c r="H59" s="1"/>
      <c r="I59" s="39">
        <v>277454649.18000001</v>
      </c>
      <c r="K59" s="92">
        <f>E60-I59</f>
        <v>0</v>
      </c>
      <c r="L59" s="41"/>
      <c r="M59" s="42"/>
    </row>
    <row r="60" spans="1:14" s="2" customFormat="1" ht="12.75" customHeight="1" x14ac:dyDescent="0.2">
      <c r="A60" s="36"/>
      <c r="B60" s="28" t="s">
        <v>11</v>
      </c>
      <c r="C60" s="19" t="s">
        <v>65</v>
      </c>
      <c r="D60" s="37"/>
      <c r="E60" s="38">
        <f>F59-E59</f>
        <v>277454649.17999983</v>
      </c>
      <c r="F60" s="22"/>
      <c r="G60" s="1"/>
      <c r="H60" s="1"/>
      <c r="J60" s="1"/>
      <c r="K60" s="1"/>
      <c r="L60" s="1"/>
      <c r="M60" s="1"/>
    </row>
    <row r="61" spans="1:14" s="2" customFormat="1" ht="12.75" customHeight="1" x14ac:dyDescent="0.2">
      <c r="A61" s="36"/>
      <c r="B61" s="28" t="s">
        <v>66</v>
      </c>
      <c r="C61" s="43" t="s">
        <v>67</v>
      </c>
      <c r="D61" s="43"/>
      <c r="E61" s="12">
        <v>59416310</v>
      </c>
      <c r="F61" s="22"/>
      <c r="G61" s="1"/>
      <c r="H61" s="40"/>
      <c r="I61" s="45">
        <v>3881.32</v>
      </c>
      <c r="J61" s="46"/>
      <c r="K61" s="46"/>
      <c r="L61" s="13"/>
    </row>
    <row r="62" spans="1:14" s="2" customFormat="1" ht="12.75" customHeight="1" x14ac:dyDescent="0.25">
      <c r="A62" s="36"/>
      <c r="B62" s="28"/>
      <c r="C62" s="44" t="s">
        <v>68</v>
      </c>
      <c r="D62" s="43"/>
      <c r="E62" s="7">
        <f>E60+E61</f>
        <v>336870959.17999983</v>
      </c>
      <c r="F62" s="22"/>
      <c r="G62" s="1"/>
      <c r="H62" s="103" t="s">
        <v>69</v>
      </c>
      <c r="I62" s="45">
        <v>-87.03</v>
      </c>
      <c r="J62" s="46"/>
      <c r="K62" s="46"/>
      <c r="N62" s="1"/>
    </row>
    <row r="63" spans="1:14" s="2" customFormat="1" x14ac:dyDescent="0.2">
      <c r="A63" s="24"/>
      <c r="B63" s="1"/>
      <c r="C63" s="14"/>
      <c r="D63" s="25"/>
      <c r="E63" s="1"/>
      <c r="H63" s="35" t="s">
        <v>70</v>
      </c>
      <c r="I63" s="45">
        <v>62.55</v>
      </c>
      <c r="J63" s="46">
        <f>+I64-D66</f>
        <v>0</v>
      </c>
      <c r="M63" s="2" t="s">
        <v>396</v>
      </c>
      <c r="N63" s="1"/>
    </row>
    <row r="64" spans="1:14" x14ac:dyDescent="0.2">
      <c r="C64" s="56"/>
      <c r="D64" s="56"/>
      <c r="E64" s="104"/>
      <c r="I64" s="49">
        <f>SUM(I61:I63)</f>
        <v>3856.84</v>
      </c>
      <c r="J64" s="46"/>
      <c r="K64" s="46"/>
      <c r="L64" s="2"/>
      <c r="M64" s="2"/>
      <c r="N64" s="2"/>
    </row>
    <row r="65" spans="1:14" x14ac:dyDescent="0.2">
      <c r="C65" s="78" t="s">
        <v>575</v>
      </c>
      <c r="D65" s="48" t="s">
        <v>576</v>
      </c>
      <c r="E65" s="104"/>
      <c r="I65" s="2"/>
      <c r="J65" s="2"/>
      <c r="K65" s="2"/>
      <c r="L65" s="2"/>
      <c r="M65" s="2"/>
      <c r="N65" s="2"/>
    </row>
    <row r="66" spans="1:14" s="2" customFormat="1" x14ac:dyDescent="0.2">
      <c r="A66" s="24"/>
      <c r="B66" s="1"/>
      <c r="C66" s="47" t="s">
        <v>570</v>
      </c>
      <c r="D66" s="111">
        <v>3856.84</v>
      </c>
      <c r="E66" s="104"/>
      <c r="G66" s="1"/>
      <c r="H66" s="110" t="s">
        <v>581</v>
      </c>
      <c r="N66" s="2" t="s">
        <v>535</v>
      </c>
    </row>
    <row r="67" spans="1:14" s="2" customFormat="1" x14ac:dyDescent="0.2">
      <c r="A67" s="24"/>
      <c r="B67" s="1"/>
      <c r="C67" s="47" t="s">
        <v>931</v>
      </c>
      <c r="D67" s="111">
        <v>525.29999999999995</v>
      </c>
      <c r="E67" s="104"/>
      <c r="G67" s="1"/>
      <c r="H67" s="110" t="s">
        <v>580</v>
      </c>
    </row>
    <row r="68" spans="1:14" s="2" customFormat="1" x14ac:dyDescent="0.2">
      <c r="A68" s="24"/>
      <c r="B68" s="1"/>
      <c r="C68" s="47" t="s">
        <v>572</v>
      </c>
      <c r="D68" s="111">
        <f>+D116/100000</f>
        <v>499.86274459999998</v>
      </c>
      <c r="E68" s="104"/>
      <c r="G68" s="1"/>
      <c r="H68" s="90" t="s">
        <v>587</v>
      </c>
    </row>
    <row r="69" spans="1:14" s="2" customFormat="1" x14ac:dyDescent="0.2">
      <c r="A69" s="24"/>
      <c r="B69" s="1"/>
      <c r="C69" s="108" t="s">
        <v>578</v>
      </c>
      <c r="D69" s="48">
        <f>SUM(D66:D68)</f>
        <v>4882.0027446000004</v>
      </c>
      <c r="E69" s="104"/>
      <c r="G69" s="1"/>
    </row>
    <row r="70" spans="1:14" s="2" customFormat="1" x14ac:dyDescent="0.2">
      <c r="A70" s="24"/>
      <c r="B70" s="1"/>
      <c r="C70" s="47"/>
      <c r="D70" s="107"/>
      <c r="E70" s="104"/>
      <c r="G70" s="1"/>
    </row>
    <row r="71" spans="1:14" s="2" customFormat="1" x14ac:dyDescent="0.2">
      <c r="A71" s="24"/>
      <c r="B71" s="1"/>
      <c r="C71" s="47" t="s">
        <v>932</v>
      </c>
      <c r="D71" s="111">
        <v>384.3</v>
      </c>
      <c r="E71" s="104"/>
      <c r="G71" s="1"/>
      <c r="H71" s="110" t="s">
        <v>581</v>
      </c>
    </row>
    <row r="72" spans="1:14" s="2" customFormat="1" x14ac:dyDescent="0.2">
      <c r="A72" s="24"/>
      <c r="B72" s="1"/>
      <c r="C72" s="136" t="s">
        <v>1142</v>
      </c>
      <c r="D72" s="111">
        <f>179.5+363.14-193.68</f>
        <v>348.96</v>
      </c>
      <c r="E72" s="104"/>
      <c r="G72" s="1"/>
      <c r="H72" s="110" t="s">
        <v>581</v>
      </c>
      <c r="J72" s="114" t="s">
        <v>713</v>
      </c>
    </row>
    <row r="73" spans="1:14" s="2" customFormat="1" x14ac:dyDescent="0.2">
      <c r="A73" s="24"/>
      <c r="B73" s="1"/>
      <c r="C73" s="78" t="s">
        <v>579</v>
      </c>
      <c r="D73" s="109">
        <f>D71+D72</f>
        <v>733.26</v>
      </c>
      <c r="E73" s="104"/>
      <c r="G73" s="1"/>
      <c r="I73" s="113"/>
      <c r="J73" s="113" t="s">
        <v>709</v>
      </c>
      <c r="K73" s="113" t="s">
        <v>710</v>
      </c>
      <c r="L73" s="113" t="s">
        <v>711</v>
      </c>
      <c r="M73" s="113" t="s">
        <v>712</v>
      </c>
    </row>
    <row r="74" spans="1:14" s="2" customFormat="1" x14ac:dyDescent="0.2">
      <c r="A74" s="24"/>
      <c r="B74" s="1"/>
      <c r="C74" s="105"/>
      <c r="D74" s="106"/>
      <c r="E74" s="104"/>
      <c r="G74" s="1"/>
      <c r="I74" s="113" t="s">
        <v>706</v>
      </c>
      <c r="J74" s="115"/>
      <c r="K74" s="115">
        <v>968.99</v>
      </c>
      <c r="L74" s="115">
        <v>968.99</v>
      </c>
      <c r="M74" s="113">
        <f>+J74+L74-K74</f>
        <v>0</v>
      </c>
    </row>
    <row r="75" spans="1:14" s="2" customFormat="1" x14ac:dyDescent="0.2">
      <c r="A75" s="24"/>
      <c r="B75" s="1"/>
      <c r="C75" s="78" t="s">
        <v>577</v>
      </c>
      <c r="D75" s="109">
        <f>D66+D73</f>
        <v>4590.1000000000004</v>
      </c>
      <c r="E75" s="104"/>
      <c r="G75" s="1"/>
      <c r="I75" s="113" t="s">
        <v>707</v>
      </c>
      <c r="J75" s="115">
        <v>183.1</v>
      </c>
      <c r="K75" s="115">
        <v>2486.27</v>
      </c>
      <c r="L75" s="115">
        <v>3177.12</v>
      </c>
      <c r="M75" s="113">
        <f>+J75+L75-K75</f>
        <v>873.94999999999982</v>
      </c>
    </row>
    <row r="76" spans="1:14" s="2" customFormat="1" x14ac:dyDescent="0.2">
      <c r="A76" s="24"/>
      <c r="B76" s="1"/>
      <c r="C76" s="56"/>
      <c r="D76" s="56"/>
      <c r="E76" s="104"/>
      <c r="G76" s="1"/>
      <c r="I76" s="113" t="s">
        <v>708</v>
      </c>
      <c r="J76" s="115">
        <v>1371.02</v>
      </c>
      <c r="K76" s="115">
        <v>12293.16</v>
      </c>
      <c r="L76" s="115">
        <v>12289.22</v>
      </c>
      <c r="M76" s="113">
        <f>+J76+L76-K76</f>
        <v>1367.08</v>
      </c>
    </row>
    <row r="77" spans="1:14" s="2" customFormat="1" ht="38.25" x14ac:dyDescent="0.2">
      <c r="A77" s="24"/>
      <c r="B77" s="1"/>
      <c r="C77" s="79" t="str">
        <f>"Particulars ( 01-04-2021 to "&amp;TEXT(A5,"dd-mm-yyyy")&amp;" )"</f>
        <v>Particulars ( 01-04-2021 to 28-06-2023 )</v>
      </c>
      <c r="D77" s="80" t="s">
        <v>73</v>
      </c>
      <c r="E77" s="80" t="s">
        <v>74</v>
      </c>
      <c r="F77" s="81" t="s">
        <v>75</v>
      </c>
      <c r="G77" s="80" t="s">
        <v>76</v>
      </c>
      <c r="J77" s="118">
        <f>SUM(J74:J76)</f>
        <v>1554.12</v>
      </c>
      <c r="K77" s="118">
        <f>SUM(K74:K76)</f>
        <v>15748.42</v>
      </c>
      <c r="L77" s="118">
        <f>SUM(L74:L76)</f>
        <v>16435.329999999998</v>
      </c>
      <c r="M77" s="118">
        <f>SUM(M74:M76)</f>
        <v>2241.0299999999997</v>
      </c>
    </row>
    <row r="78" spans="1:14" s="2" customFormat="1" x14ac:dyDescent="0.2">
      <c r="A78" s="24"/>
      <c r="B78" s="1"/>
      <c r="C78" s="50" t="s">
        <v>444</v>
      </c>
      <c r="D78" s="55">
        <f>+L74+L75+J75</f>
        <v>4329.21</v>
      </c>
      <c r="E78" s="55">
        <f>+K74+K75</f>
        <v>3455.26</v>
      </c>
      <c r="F78" s="55">
        <f>+D78-E78</f>
        <v>873.94999999999982</v>
      </c>
      <c r="G78" s="55">
        <f>1500-F78</f>
        <v>626.05000000000018</v>
      </c>
      <c r="H78" s="2" t="s">
        <v>396</v>
      </c>
    </row>
    <row r="79" spans="1:14" s="2" customFormat="1" x14ac:dyDescent="0.2">
      <c r="A79" s="24"/>
      <c r="B79" s="1"/>
      <c r="C79" s="50" t="s">
        <v>71</v>
      </c>
      <c r="D79" s="55">
        <f>+J76+L76</f>
        <v>13660.24</v>
      </c>
      <c r="E79" s="55">
        <f>+K76</f>
        <v>12293.16</v>
      </c>
      <c r="F79" s="55">
        <f>+D79-E79</f>
        <v>1367.08</v>
      </c>
      <c r="G79" s="55">
        <f>1500+700-F79</f>
        <v>832.92000000000007</v>
      </c>
      <c r="H79" s="2" t="s">
        <v>396</v>
      </c>
    </row>
    <row r="80" spans="1:14" s="2" customFormat="1" x14ac:dyDescent="0.2">
      <c r="A80" s="24"/>
      <c r="B80" s="1"/>
      <c r="C80" s="14"/>
      <c r="D80" s="56"/>
      <c r="E80" s="13"/>
      <c r="G80" s="1"/>
    </row>
    <row r="81" spans="1:13" s="2" customFormat="1" x14ac:dyDescent="0.2">
      <c r="A81" s="215" t="s">
        <v>80</v>
      </c>
      <c r="B81" s="216"/>
      <c r="C81" s="216"/>
      <c r="D81" s="217"/>
      <c r="E81" s="69"/>
      <c r="F81" s="70"/>
      <c r="G81" s="1"/>
      <c r="H81" s="53"/>
    </row>
    <row r="82" spans="1:13" s="2" customFormat="1" x14ac:dyDescent="0.2">
      <c r="A82" s="71" t="s">
        <v>81</v>
      </c>
      <c r="B82" s="71"/>
      <c r="C82" s="72" t="s">
        <v>82</v>
      </c>
      <c r="D82" s="73" t="s">
        <v>83</v>
      </c>
      <c r="E82" s="69"/>
      <c r="F82" s="70"/>
      <c r="H82" s="53"/>
    </row>
    <row r="83" spans="1:13" s="2" customFormat="1" x14ac:dyDescent="0.2">
      <c r="A83" s="87">
        <v>45080</v>
      </c>
      <c r="B83" s="120" t="s">
        <v>1052</v>
      </c>
      <c r="C83" s="75" t="s">
        <v>86</v>
      </c>
      <c r="D83" s="88">
        <v>163799</v>
      </c>
      <c r="G83" s="1"/>
      <c r="L83" s="1"/>
      <c r="M83" s="1"/>
    </row>
    <row r="84" spans="1:13" s="2" customFormat="1" x14ac:dyDescent="0.2">
      <c r="A84" s="87">
        <v>45080</v>
      </c>
      <c r="B84" s="120" t="s">
        <v>1052</v>
      </c>
      <c r="C84" s="75" t="s">
        <v>86</v>
      </c>
      <c r="D84" s="88">
        <v>1695107</v>
      </c>
      <c r="G84" s="1"/>
      <c r="L84" s="1"/>
      <c r="M84" s="1"/>
    </row>
    <row r="85" spans="1:13" s="2" customFormat="1" x14ac:dyDescent="0.2">
      <c r="A85" s="87">
        <v>45082</v>
      </c>
      <c r="B85" s="120" t="s">
        <v>1052</v>
      </c>
      <c r="C85" s="75" t="s">
        <v>87</v>
      </c>
      <c r="D85" s="88">
        <v>6627</v>
      </c>
      <c r="G85" s="1"/>
      <c r="L85" s="1"/>
      <c r="M85" s="1"/>
    </row>
    <row r="86" spans="1:13" s="2" customFormat="1" x14ac:dyDescent="0.2">
      <c r="A86" s="87">
        <v>45084</v>
      </c>
      <c r="B86" s="120" t="s">
        <v>1052</v>
      </c>
      <c r="C86" s="75" t="s">
        <v>87</v>
      </c>
      <c r="D86" s="88">
        <v>618395.80000000005</v>
      </c>
      <c r="G86" s="1"/>
      <c r="L86" s="1"/>
      <c r="M86" s="1"/>
    </row>
    <row r="87" spans="1:13" s="2" customFormat="1" x14ac:dyDescent="0.2">
      <c r="A87" s="87">
        <v>45085</v>
      </c>
      <c r="B87" s="120" t="s">
        <v>1052</v>
      </c>
      <c r="C87" s="75" t="s">
        <v>18</v>
      </c>
      <c r="D87" s="88">
        <v>407682</v>
      </c>
      <c r="G87" s="1"/>
      <c r="L87" s="1"/>
      <c r="M87" s="1"/>
    </row>
    <row r="88" spans="1:13" s="2" customFormat="1" x14ac:dyDescent="0.2">
      <c r="A88" s="87">
        <v>45086</v>
      </c>
      <c r="B88" s="120" t="s">
        <v>1052</v>
      </c>
      <c r="C88" s="75" t="s">
        <v>85</v>
      </c>
      <c r="D88" s="88">
        <v>1104724</v>
      </c>
      <c r="G88" s="1"/>
      <c r="L88" s="1"/>
      <c r="M88" s="1"/>
    </row>
    <row r="89" spans="1:13" s="2" customFormat="1" x14ac:dyDescent="0.2">
      <c r="A89" s="87">
        <v>45086</v>
      </c>
      <c r="B89" s="120" t="s">
        <v>1052</v>
      </c>
      <c r="C89" s="75" t="s">
        <v>85</v>
      </c>
      <c r="D89" s="88">
        <v>1489874</v>
      </c>
      <c r="G89" s="1"/>
      <c r="L89" s="1"/>
      <c r="M89" s="1"/>
    </row>
    <row r="90" spans="1:13" s="2" customFormat="1" x14ac:dyDescent="0.2">
      <c r="A90" s="87">
        <v>45086</v>
      </c>
      <c r="B90" s="120" t="s">
        <v>1052</v>
      </c>
      <c r="C90" s="75" t="s">
        <v>86</v>
      </c>
      <c r="D90" s="88">
        <v>1756907</v>
      </c>
      <c r="G90" s="1"/>
      <c r="L90" s="1"/>
      <c r="M90" s="1"/>
    </row>
    <row r="91" spans="1:13" s="2" customFormat="1" x14ac:dyDescent="0.2">
      <c r="A91" s="87">
        <v>45086</v>
      </c>
      <c r="B91" s="120" t="s">
        <v>1052</v>
      </c>
      <c r="C91" s="75" t="s">
        <v>201</v>
      </c>
      <c r="D91" s="88">
        <v>5000192.4400000004</v>
      </c>
      <c r="G91" s="1"/>
      <c r="L91" s="1"/>
      <c r="M91" s="1"/>
    </row>
    <row r="92" spans="1:13" s="2" customFormat="1" x14ac:dyDescent="0.2">
      <c r="A92" s="87">
        <v>45089</v>
      </c>
      <c r="B92" s="120" t="s">
        <v>1052</v>
      </c>
      <c r="C92" s="75" t="s">
        <v>270</v>
      </c>
      <c r="D92" s="88">
        <v>654429</v>
      </c>
      <c r="G92" s="1"/>
      <c r="L92" s="1"/>
      <c r="M92" s="1"/>
    </row>
    <row r="93" spans="1:13" s="2" customFormat="1" x14ac:dyDescent="0.2">
      <c r="A93" s="87">
        <v>45090</v>
      </c>
      <c r="B93" s="120" t="s">
        <v>1052</v>
      </c>
      <c r="C93" s="75" t="s">
        <v>594</v>
      </c>
      <c r="D93" s="88">
        <v>5353676</v>
      </c>
      <c r="G93" s="1"/>
      <c r="L93" s="1"/>
      <c r="M93" s="1"/>
    </row>
    <row r="94" spans="1:13" s="2" customFormat="1" x14ac:dyDescent="0.2">
      <c r="A94" s="87">
        <v>45090</v>
      </c>
      <c r="B94" s="120" t="s">
        <v>1052</v>
      </c>
      <c r="C94" s="75" t="s">
        <v>270</v>
      </c>
      <c r="D94" s="88">
        <v>62180.5</v>
      </c>
      <c r="G94" s="1"/>
      <c r="L94" s="1"/>
      <c r="M94" s="1"/>
    </row>
    <row r="95" spans="1:13" s="2" customFormat="1" x14ac:dyDescent="0.2">
      <c r="A95" s="87">
        <v>45090</v>
      </c>
      <c r="B95" s="120" t="s">
        <v>1052</v>
      </c>
      <c r="C95" s="75" t="s">
        <v>270</v>
      </c>
      <c r="D95" s="88">
        <v>9179</v>
      </c>
      <c r="G95" s="1"/>
      <c r="L95" s="1"/>
      <c r="M95" s="1"/>
    </row>
    <row r="96" spans="1:13" s="2" customFormat="1" x14ac:dyDescent="0.2">
      <c r="A96" s="87">
        <v>45091</v>
      </c>
      <c r="B96" s="120" t="s">
        <v>1052</v>
      </c>
      <c r="C96" s="75" t="s">
        <v>87</v>
      </c>
      <c r="D96" s="88">
        <v>1261201</v>
      </c>
      <c r="G96" s="1"/>
      <c r="L96" s="1"/>
      <c r="M96" s="1"/>
    </row>
    <row r="97" spans="1:13" s="2" customFormat="1" x14ac:dyDescent="0.2">
      <c r="A97" s="87">
        <v>45091</v>
      </c>
      <c r="B97" s="120" t="s">
        <v>1052</v>
      </c>
      <c r="C97" s="75" t="s">
        <v>84</v>
      </c>
      <c r="D97" s="88">
        <v>1000000</v>
      </c>
      <c r="G97" s="1"/>
      <c r="L97" s="1"/>
      <c r="M97" s="1"/>
    </row>
    <row r="98" spans="1:13" s="2" customFormat="1" x14ac:dyDescent="0.2">
      <c r="A98" s="87">
        <v>45092</v>
      </c>
      <c r="B98" s="120" t="s">
        <v>1052</v>
      </c>
      <c r="C98" s="75" t="s">
        <v>18</v>
      </c>
      <c r="D98" s="88">
        <v>1074373</v>
      </c>
      <c r="G98" s="1"/>
      <c r="L98" s="1"/>
      <c r="M98" s="1"/>
    </row>
    <row r="99" spans="1:13" s="2" customFormat="1" x14ac:dyDescent="0.2">
      <c r="A99" s="87">
        <v>45094</v>
      </c>
      <c r="B99" s="120" t="s">
        <v>1052</v>
      </c>
      <c r="C99" s="75" t="s">
        <v>323</v>
      </c>
      <c r="D99" s="88">
        <v>2582806</v>
      </c>
      <c r="G99" s="1"/>
      <c r="L99" s="1"/>
      <c r="M99" s="1"/>
    </row>
    <row r="100" spans="1:13" s="2" customFormat="1" x14ac:dyDescent="0.2">
      <c r="A100" s="87">
        <v>45095</v>
      </c>
      <c r="B100" s="120" t="s">
        <v>1052</v>
      </c>
      <c r="C100" s="75" t="s">
        <v>85</v>
      </c>
      <c r="D100" s="88">
        <v>77650</v>
      </c>
      <c r="G100" s="1"/>
      <c r="L100" s="1"/>
      <c r="M100" s="1"/>
    </row>
    <row r="101" spans="1:13" s="2" customFormat="1" x14ac:dyDescent="0.2">
      <c r="A101" s="87">
        <v>45096</v>
      </c>
      <c r="B101" s="120" t="s">
        <v>1052</v>
      </c>
      <c r="C101" s="75" t="s">
        <v>270</v>
      </c>
      <c r="D101" s="88">
        <v>1475157</v>
      </c>
      <c r="G101" s="1"/>
      <c r="L101" s="1"/>
      <c r="M101" s="1"/>
    </row>
    <row r="102" spans="1:13" s="2" customFormat="1" x14ac:dyDescent="0.2">
      <c r="A102" s="87">
        <v>45096</v>
      </c>
      <c r="B102" s="120" t="s">
        <v>1052</v>
      </c>
      <c r="C102" s="75" t="s">
        <v>270</v>
      </c>
      <c r="D102" s="88">
        <v>741951</v>
      </c>
      <c r="G102" s="1"/>
      <c r="L102" s="1"/>
      <c r="M102" s="1"/>
    </row>
    <row r="103" spans="1:13" s="2" customFormat="1" x14ac:dyDescent="0.2">
      <c r="A103" s="87">
        <v>45096</v>
      </c>
      <c r="B103" s="120" t="s">
        <v>1052</v>
      </c>
      <c r="C103" s="75" t="s">
        <v>270</v>
      </c>
      <c r="D103" s="88">
        <v>1034388</v>
      </c>
      <c r="G103" s="1"/>
      <c r="L103" s="1"/>
      <c r="M103" s="1"/>
    </row>
    <row r="104" spans="1:13" s="2" customFormat="1" x14ac:dyDescent="0.2">
      <c r="A104" s="87">
        <v>45096</v>
      </c>
      <c r="B104" s="120" t="s">
        <v>1052</v>
      </c>
      <c r="C104" s="75" t="s">
        <v>270</v>
      </c>
      <c r="D104" s="88">
        <v>93897</v>
      </c>
      <c r="G104" s="1"/>
      <c r="L104" s="1"/>
      <c r="M104" s="1"/>
    </row>
    <row r="105" spans="1:13" s="2" customFormat="1" x14ac:dyDescent="0.2">
      <c r="A105" s="87">
        <v>45096</v>
      </c>
      <c r="B105" s="120" t="s">
        <v>1052</v>
      </c>
      <c r="C105" s="75" t="s">
        <v>270</v>
      </c>
      <c r="D105" s="88">
        <v>353700</v>
      </c>
      <c r="G105" s="1"/>
      <c r="L105" s="1"/>
      <c r="M105" s="1"/>
    </row>
    <row r="106" spans="1:13" s="2" customFormat="1" x14ac:dyDescent="0.2">
      <c r="A106" s="87">
        <v>45096</v>
      </c>
      <c r="B106" s="120" t="s">
        <v>1052</v>
      </c>
      <c r="C106" s="75" t="s">
        <v>270</v>
      </c>
      <c r="D106" s="88">
        <v>1205410</v>
      </c>
      <c r="G106" s="1"/>
      <c r="L106" s="1"/>
      <c r="M106" s="1"/>
    </row>
    <row r="107" spans="1:13" s="2" customFormat="1" x14ac:dyDescent="0.2">
      <c r="A107" s="87">
        <v>45096</v>
      </c>
      <c r="B107" s="120" t="s">
        <v>1052</v>
      </c>
      <c r="C107" s="75" t="s">
        <v>86</v>
      </c>
      <c r="D107" s="88">
        <v>5053085</v>
      </c>
      <c r="G107" s="1"/>
      <c r="L107" s="1"/>
      <c r="M107" s="1"/>
    </row>
    <row r="108" spans="1:13" s="2" customFormat="1" x14ac:dyDescent="0.2">
      <c r="A108" s="87">
        <v>45096</v>
      </c>
      <c r="B108" s="120" t="s">
        <v>1052</v>
      </c>
      <c r="C108" s="75" t="s">
        <v>88</v>
      </c>
      <c r="D108" s="88">
        <v>1962959.72</v>
      </c>
      <c r="G108" s="1"/>
      <c r="L108" s="1"/>
      <c r="M108" s="1"/>
    </row>
    <row r="109" spans="1:13" s="2" customFormat="1" x14ac:dyDescent="0.2">
      <c r="A109" s="87">
        <v>45098</v>
      </c>
      <c r="B109" s="120" t="s">
        <v>1052</v>
      </c>
      <c r="C109" s="75" t="s">
        <v>86</v>
      </c>
      <c r="D109" s="88">
        <v>2350710</v>
      </c>
      <c r="G109" s="1"/>
      <c r="L109" s="1"/>
      <c r="M109" s="1"/>
    </row>
    <row r="110" spans="1:13" s="2" customFormat="1" x14ac:dyDescent="0.2">
      <c r="A110" s="87">
        <v>45098</v>
      </c>
      <c r="B110" s="120" t="s">
        <v>1052</v>
      </c>
      <c r="C110" s="75" t="s">
        <v>86</v>
      </c>
      <c r="D110" s="88">
        <v>980606</v>
      </c>
      <c r="G110" s="1"/>
      <c r="L110" s="1"/>
      <c r="M110" s="1"/>
    </row>
    <row r="111" spans="1:13" s="2" customFormat="1" x14ac:dyDescent="0.2">
      <c r="A111" s="87">
        <v>45099</v>
      </c>
      <c r="B111" s="120" t="s">
        <v>1052</v>
      </c>
      <c r="C111" s="75" t="s">
        <v>18</v>
      </c>
      <c r="D111" s="88">
        <v>466628</v>
      </c>
      <c r="G111" s="1"/>
      <c r="L111" s="1"/>
      <c r="M111" s="1"/>
    </row>
    <row r="112" spans="1:13" s="2" customFormat="1" x14ac:dyDescent="0.2">
      <c r="A112" s="87">
        <v>45099</v>
      </c>
      <c r="B112" s="120" t="s">
        <v>1052</v>
      </c>
      <c r="C112" s="75" t="s">
        <v>594</v>
      </c>
      <c r="D112" s="88">
        <v>7600365</v>
      </c>
      <c r="G112" s="1"/>
      <c r="L112" s="1"/>
      <c r="M112" s="1"/>
    </row>
    <row r="113" spans="1:13" s="2" customFormat="1" x14ac:dyDescent="0.2">
      <c r="A113" s="87">
        <v>45099</v>
      </c>
      <c r="B113" s="120" t="s">
        <v>1052</v>
      </c>
      <c r="C113" s="75" t="s">
        <v>84</v>
      </c>
      <c r="D113" s="88">
        <v>1500000</v>
      </c>
      <c r="G113" s="1"/>
      <c r="L113" s="1"/>
      <c r="M113" s="1"/>
    </row>
    <row r="114" spans="1:13" s="2" customFormat="1" x14ac:dyDescent="0.2">
      <c r="A114" s="87">
        <v>45103</v>
      </c>
      <c r="B114" s="120" t="s">
        <v>1052</v>
      </c>
      <c r="C114" s="75" t="s">
        <v>87</v>
      </c>
      <c r="D114" s="88">
        <v>818821</v>
      </c>
      <c r="G114" s="1"/>
      <c r="L114" s="1"/>
      <c r="M114" s="1"/>
    </row>
    <row r="115" spans="1:13" s="2" customFormat="1" x14ac:dyDescent="0.2">
      <c r="A115" s="87">
        <v>45104</v>
      </c>
      <c r="B115" s="120" t="s">
        <v>1052</v>
      </c>
      <c r="C115" s="75" t="s">
        <v>270</v>
      </c>
      <c r="D115" s="88">
        <v>29794</v>
      </c>
      <c r="G115" s="1"/>
      <c r="L115" s="1"/>
      <c r="M115" s="1"/>
    </row>
    <row r="116" spans="1:13" s="2" customFormat="1" x14ac:dyDescent="0.2">
      <c r="A116" s="87"/>
      <c r="B116" s="74"/>
      <c r="C116" s="75"/>
      <c r="D116" s="51">
        <f>SUM(D83:D115)</f>
        <v>49986274.460000001</v>
      </c>
      <c r="F116" s="2" t="s">
        <v>396</v>
      </c>
      <c r="G116" s="1"/>
      <c r="L116" s="1"/>
      <c r="M116" s="1"/>
    </row>
    <row r="117" spans="1:13" s="2" customFormat="1" x14ac:dyDescent="0.2">
      <c r="A117" s="24"/>
      <c r="B117" s="1"/>
      <c r="C117" s="14"/>
      <c r="D117" s="56"/>
      <c r="E117" s="13"/>
      <c r="G117" s="1"/>
      <c r="L117" s="1"/>
      <c r="M117" s="1"/>
    </row>
    <row r="118" spans="1:13" s="2" customFormat="1" x14ac:dyDescent="0.2">
      <c r="A118" s="24"/>
      <c r="B118" s="1"/>
      <c r="C118" s="218" t="s">
        <v>77</v>
      </c>
      <c r="D118" s="219"/>
      <c r="E118" s="219"/>
      <c r="F118" s="220"/>
      <c r="G118" s="1"/>
      <c r="L118" s="1"/>
      <c r="M118" s="1"/>
    </row>
    <row r="119" spans="1:13" s="2" customFormat="1" x14ac:dyDescent="0.2">
      <c r="A119" s="24"/>
      <c r="B119" s="1"/>
      <c r="C119" s="50"/>
      <c r="D119" s="57" t="s">
        <v>78</v>
      </c>
      <c r="E119" s="58" t="s">
        <v>79</v>
      </c>
      <c r="F119" s="57" t="s">
        <v>72</v>
      </c>
      <c r="G119" s="1"/>
      <c r="I119" s="1"/>
      <c r="J119" s="1"/>
      <c r="K119" s="1"/>
      <c r="L119" s="1"/>
      <c r="M119" s="1"/>
    </row>
    <row r="120" spans="1:13" s="2" customFormat="1" x14ac:dyDescent="0.2">
      <c r="A120" s="24"/>
      <c r="B120" s="1"/>
      <c r="C120" s="59" t="str">
        <f>"01-06-2023 to "&amp;TEXT(A5-2,"dd-mm-yyyy")</f>
        <v>01-06-2023 to 26-06-2023</v>
      </c>
      <c r="D120" s="60">
        <v>5269.62</v>
      </c>
      <c r="E120" s="60">
        <v>177.78</v>
      </c>
      <c r="F120" s="61">
        <f>SUM(D120:E120)</f>
        <v>5447.4</v>
      </c>
      <c r="G120" s="1"/>
    </row>
    <row r="121" spans="1:13" s="2" customFormat="1" x14ac:dyDescent="0.2">
      <c r="A121" s="24"/>
      <c r="B121" s="1"/>
      <c r="C121" s="62" t="str">
        <f>TEXT(A5-1,"dd-mm-yyyy")</f>
        <v>27-06-2023</v>
      </c>
      <c r="D121" s="60">
        <v>140.82</v>
      </c>
      <c r="E121" s="60">
        <v>4.3600000000000003</v>
      </c>
      <c r="F121" s="61">
        <f>SUM(D121:E121)</f>
        <v>145.18</v>
      </c>
      <c r="G121" s="54"/>
      <c r="I121" s="1"/>
      <c r="J121" s="1"/>
      <c r="K121" s="1"/>
      <c r="L121" s="1"/>
      <c r="M121" s="1"/>
    </row>
    <row r="122" spans="1:13" s="2" customFormat="1" ht="13.5" thickBot="1" x14ac:dyDescent="0.25">
      <c r="A122" s="24"/>
      <c r="B122" s="1"/>
      <c r="C122" s="63" t="str">
        <f>"01-06-2023 to "&amp;TEXT(A5-1,"dd-mm-yyyy")</f>
        <v>01-06-2023 to 27-06-2023</v>
      </c>
      <c r="D122" s="64">
        <f>SUM(D120:D121)</f>
        <v>5410.44</v>
      </c>
      <c r="E122" s="64">
        <f>SUM(E120:E121)</f>
        <v>182.14000000000001</v>
      </c>
      <c r="F122" s="64">
        <f>SUM(F120:F121)</f>
        <v>5592.58</v>
      </c>
      <c r="G122" s="54"/>
      <c r="I122" s="1"/>
      <c r="J122" s="1"/>
      <c r="K122" s="1"/>
      <c r="L122" s="1"/>
      <c r="M122" s="1"/>
    </row>
    <row r="123" spans="1:13" s="2" customFormat="1" ht="13.5" thickTop="1" x14ac:dyDescent="0.2">
      <c r="A123" s="24"/>
      <c r="B123" s="1"/>
      <c r="C123" s="62"/>
      <c r="D123" s="65"/>
      <c r="E123" s="66"/>
      <c r="F123" s="67"/>
      <c r="G123" s="54"/>
      <c r="I123" s="1"/>
      <c r="J123" s="1"/>
      <c r="K123" s="1"/>
      <c r="L123" s="1"/>
      <c r="M123" s="1"/>
    </row>
    <row r="124" spans="1:13" s="2" customFormat="1" x14ac:dyDescent="0.2">
      <c r="A124" s="24"/>
      <c r="B124" s="1"/>
      <c r="C124" s="62" t="str">
        <f>"01-04-2023 to " &amp;C121</f>
        <v>01-04-2023 to 27-06-2023</v>
      </c>
      <c r="D124" s="68">
        <f>+D122+9224.33</f>
        <v>14634.77</v>
      </c>
      <c r="E124" s="68">
        <f>+E122+906.58</f>
        <v>1088.72</v>
      </c>
      <c r="F124" s="68">
        <f>+F122+10130.9</f>
        <v>15723.48</v>
      </c>
      <c r="G124" s="54"/>
      <c r="I124" s="1"/>
      <c r="J124" s="1"/>
      <c r="K124" s="1"/>
      <c r="L124" s="1"/>
      <c r="M124" s="1"/>
    </row>
    <row r="125" spans="1:13" x14ac:dyDescent="0.2">
      <c r="C125" s="52"/>
      <c r="D125" s="85"/>
      <c r="E125" s="53"/>
      <c r="F125" s="53"/>
      <c r="G125" s="54"/>
      <c r="H125" s="2" t="s">
        <v>396</v>
      </c>
    </row>
    <row r="126" spans="1:13" s="2" customFormat="1" x14ac:dyDescent="0.2">
      <c r="A126" s="24"/>
      <c r="B126" s="1"/>
      <c r="C126" s="52"/>
      <c r="D126" s="85"/>
      <c r="E126" s="53"/>
      <c r="F126" s="53"/>
      <c r="G126" s="54"/>
      <c r="H126" s="53"/>
    </row>
    <row r="127" spans="1:13" x14ac:dyDescent="0.2">
      <c r="C127" s="52"/>
      <c r="D127" s="85"/>
      <c r="E127" s="53"/>
      <c r="F127" s="53"/>
      <c r="G127" s="54"/>
      <c r="H127" s="53" t="s">
        <v>396</v>
      </c>
    </row>
    <row r="128" spans="1:13" x14ac:dyDescent="0.2">
      <c r="C128" s="52"/>
      <c r="D128" s="85"/>
      <c r="E128" s="53"/>
      <c r="F128" s="53"/>
      <c r="G128" s="54"/>
      <c r="H128" s="53" t="s">
        <v>396</v>
      </c>
      <c r="J128" s="42"/>
    </row>
    <row r="129" spans="7:9" x14ac:dyDescent="0.2">
      <c r="G129" s="54"/>
      <c r="H129" s="53"/>
      <c r="I129" s="101"/>
    </row>
    <row r="130" spans="7:9" x14ac:dyDescent="0.2">
      <c r="G130" s="54"/>
      <c r="H130" s="53"/>
    </row>
    <row r="131" spans="7:9" x14ac:dyDescent="0.2">
      <c r="G131" s="54"/>
      <c r="H131" s="53"/>
    </row>
    <row r="132" spans="7:9" x14ac:dyDescent="0.2">
      <c r="H132" s="53"/>
    </row>
  </sheetData>
  <mergeCells count="6">
    <mergeCell ref="C118:F118"/>
    <mergeCell ref="A1:G1"/>
    <mergeCell ref="A3:F3"/>
    <mergeCell ref="A9:F9"/>
    <mergeCell ref="A34:F34"/>
    <mergeCell ref="A81:D81"/>
  </mergeCells>
  <conditionalFormatting sqref="G78:G79">
    <cfRule type="cellIs" dxfId="453" priority="1" operator="lessThan">
      <formula>0</formula>
    </cfRule>
  </conditionalFormatting>
  <conditionalFormatting sqref="C36">
    <cfRule type="duplicateValues" dxfId="452" priority="2"/>
  </conditionalFormatting>
  <conditionalFormatting sqref="C37:C58">
    <cfRule type="duplicateValues" dxfId="451" priority="555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Sheet364">
    <pageSetUpPr fitToPage="1"/>
  </sheetPr>
  <dimension ref="A1:N116"/>
  <sheetViews>
    <sheetView topLeftCell="B58" zoomScaleNormal="100" workbookViewId="0">
      <selection activeCell="C46" sqref="C46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85546875" style="14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1147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45106</v>
      </c>
      <c r="B5" s="9" t="s">
        <v>6</v>
      </c>
      <c r="C5" s="10" t="s">
        <v>7</v>
      </c>
      <c r="D5" s="11"/>
      <c r="E5" s="12">
        <v>221548.70000000019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221548.70000000019</v>
      </c>
      <c r="F6" s="16">
        <f>F5</f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+E6-F6</f>
        <v>221548.70000000019</v>
      </c>
      <c r="F7" s="22"/>
      <c r="G7" s="23"/>
      <c r="H7" s="112"/>
      <c r="I7" s="112"/>
      <c r="J7" s="13"/>
    </row>
    <row r="8" spans="1:10" ht="12.75" customHeight="1" x14ac:dyDescent="0.4">
      <c r="H8" s="112"/>
      <c r="I8" s="112"/>
    </row>
    <row r="9" spans="1:10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12"/>
    </row>
    <row r="10" spans="1:10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12"/>
    </row>
    <row r="11" spans="1:10" s="2" customFormat="1" ht="14.25" customHeight="1" x14ac:dyDescent="0.2">
      <c r="A11" s="127">
        <v>45106</v>
      </c>
      <c r="B11" s="9" t="s">
        <v>6</v>
      </c>
      <c r="C11" s="10" t="s">
        <v>7</v>
      </c>
      <c r="D11" s="11"/>
      <c r="F11" s="12">
        <v>25606882.629999999</v>
      </c>
      <c r="G11" s="1"/>
      <c r="H11" s="130" t="s">
        <v>1148</v>
      </c>
      <c r="I11" s="130"/>
    </row>
    <row r="12" spans="1:10" s="2" customFormat="1" ht="14.25" customHeight="1" x14ac:dyDescent="0.2">
      <c r="A12" s="127">
        <v>45106</v>
      </c>
      <c r="B12" s="9" t="s">
        <v>6</v>
      </c>
      <c r="C12" s="10" t="s">
        <v>16</v>
      </c>
      <c r="D12" s="125" t="s">
        <v>13</v>
      </c>
      <c r="E12" s="2">
        <v>4809251.13</v>
      </c>
      <c r="F12" s="12"/>
      <c r="G12" s="1"/>
      <c r="H12" s="130"/>
      <c r="I12" s="130"/>
    </row>
    <row r="13" spans="1:10" s="2" customFormat="1" ht="12.75" customHeight="1" x14ac:dyDescent="0.4">
      <c r="D13" s="15" t="s">
        <v>8</v>
      </c>
      <c r="E13" s="16">
        <f>SUM(E12:E12)</f>
        <v>4809251.13</v>
      </c>
      <c r="F13" s="16">
        <f>SUM(F11:F12)</f>
        <v>25606882.629999999</v>
      </c>
      <c r="G13" s="1"/>
      <c r="H13" s="112"/>
      <c r="I13" s="112"/>
    </row>
    <row r="14" spans="1:10" s="2" customFormat="1" ht="12.75" customHeight="1" x14ac:dyDescent="0.4">
      <c r="A14" s="17"/>
      <c r="B14" s="18"/>
      <c r="C14" s="96" t="s">
        <v>9</v>
      </c>
      <c r="D14" s="20"/>
      <c r="E14" s="21">
        <f>+F13-E13</f>
        <v>20797631.5</v>
      </c>
      <c r="G14" s="23"/>
      <c r="H14" s="112"/>
      <c r="I14" s="112"/>
      <c r="J14" s="13"/>
    </row>
    <row r="15" spans="1:10" s="2" customFormat="1" ht="12.75" customHeight="1" x14ac:dyDescent="0.4">
      <c r="A15" s="24"/>
      <c r="B15" s="1"/>
      <c r="C15" s="14"/>
      <c r="D15" s="25"/>
      <c r="G15" s="23"/>
      <c r="H15" s="112"/>
      <c r="I15" s="112"/>
      <c r="J15" s="13"/>
    </row>
    <row r="16" spans="1:10" s="2" customFormat="1" ht="21.75" customHeight="1" x14ac:dyDescent="0.4">
      <c r="A16" s="214" t="s">
        <v>10</v>
      </c>
      <c r="B16" s="214"/>
      <c r="C16" s="214"/>
      <c r="D16" s="214"/>
      <c r="E16" s="214"/>
      <c r="F16" s="214"/>
      <c r="G16" s="13"/>
      <c r="H16" s="112"/>
      <c r="I16" s="112"/>
      <c r="J16" s="13"/>
    </row>
    <row r="17" spans="1:10" s="2" customFormat="1" ht="12.75" customHeight="1" x14ac:dyDescent="0.4">
      <c r="A17" s="26" t="s">
        <v>1</v>
      </c>
      <c r="B17" s="27" t="s">
        <v>2</v>
      </c>
      <c r="C17" s="5"/>
      <c r="D17" s="6" t="s">
        <v>3</v>
      </c>
      <c r="E17" s="7" t="s">
        <v>4</v>
      </c>
      <c r="F17" s="7" t="s">
        <v>5</v>
      </c>
      <c r="G17" s="23"/>
      <c r="H17" s="112"/>
      <c r="I17" s="112"/>
      <c r="J17" s="13"/>
    </row>
    <row r="18" spans="1:10" s="2" customFormat="1" ht="12.75" customHeight="1" x14ac:dyDescent="0.2">
      <c r="A18" s="127">
        <v>45106</v>
      </c>
      <c r="B18" s="128" t="s">
        <v>11</v>
      </c>
      <c r="C18" s="29" t="s">
        <v>7</v>
      </c>
      <c r="D18" s="25"/>
      <c r="E18" s="31"/>
      <c r="F18" s="2">
        <v>277454649.18000001</v>
      </c>
      <c r="G18" s="30"/>
      <c r="I18" s="13"/>
      <c r="J18" s="13"/>
    </row>
    <row r="19" spans="1:10" s="70" customFormat="1" ht="12.75" customHeight="1" x14ac:dyDescent="0.2">
      <c r="A19" s="127">
        <v>45106</v>
      </c>
      <c r="B19" s="128" t="s">
        <v>6</v>
      </c>
      <c r="C19" s="76" t="s">
        <v>120</v>
      </c>
      <c r="D19" s="125" t="s">
        <v>13</v>
      </c>
      <c r="E19" s="129">
        <v>1156626</v>
      </c>
      <c r="G19" s="30"/>
      <c r="I19" s="69"/>
      <c r="J19" s="69"/>
    </row>
    <row r="20" spans="1:10" s="70" customFormat="1" ht="12.75" customHeight="1" x14ac:dyDescent="0.2">
      <c r="A20" s="127">
        <v>45106</v>
      </c>
      <c r="B20" s="128" t="s">
        <v>6</v>
      </c>
      <c r="C20" s="76" t="s">
        <v>764</v>
      </c>
      <c r="D20" s="126" t="s">
        <v>13</v>
      </c>
      <c r="E20" s="129">
        <v>497285.44</v>
      </c>
      <c r="G20" s="30"/>
      <c r="I20" s="69"/>
      <c r="J20" s="69"/>
    </row>
    <row r="21" spans="1:10" s="70" customFormat="1" ht="12.75" customHeight="1" x14ac:dyDescent="0.2">
      <c r="A21" s="127">
        <v>45106</v>
      </c>
      <c r="B21" s="128" t="s">
        <v>6</v>
      </c>
      <c r="C21" s="76" t="s">
        <v>750</v>
      </c>
      <c r="D21" s="126" t="s">
        <v>13</v>
      </c>
      <c r="E21" s="129">
        <v>4872018.6100000003</v>
      </c>
      <c r="G21" s="30"/>
      <c r="I21" s="69"/>
      <c r="J21" s="69"/>
    </row>
    <row r="22" spans="1:10" s="70" customFormat="1" ht="12.75" customHeight="1" x14ac:dyDescent="0.2">
      <c r="A22" s="127">
        <v>45106</v>
      </c>
      <c r="B22" s="128" t="s">
        <v>6</v>
      </c>
      <c r="C22" s="76" t="s">
        <v>773</v>
      </c>
      <c r="D22" s="126" t="s">
        <v>13</v>
      </c>
      <c r="E22" s="129">
        <v>1236339.23</v>
      </c>
      <c r="G22" s="30"/>
      <c r="I22" s="69"/>
      <c r="J22" s="69"/>
    </row>
    <row r="23" spans="1:10" s="70" customFormat="1" ht="12.75" customHeight="1" x14ac:dyDescent="0.2">
      <c r="A23" s="127">
        <v>45106</v>
      </c>
      <c r="B23" s="128" t="s">
        <v>6</v>
      </c>
      <c r="C23" s="76" t="s">
        <v>755</v>
      </c>
      <c r="D23" s="126" t="s">
        <v>13</v>
      </c>
      <c r="E23" s="129">
        <v>3494663.27</v>
      </c>
      <c r="G23" s="30"/>
      <c r="I23" s="69"/>
      <c r="J23" s="69"/>
    </row>
    <row r="24" spans="1:10" s="70" customFormat="1" ht="12.75" customHeight="1" x14ac:dyDescent="0.2">
      <c r="A24" s="127">
        <v>45106</v>
      </c>
      <c r="B24" s="128" t="s">
        <v>6</v>
      </c>
      <c r="C24" s="76" t="s">
        <v>748</v>
      </c>
      <c r="D24" s="126" t="s">
        <v>13</v>
      </c>
      <c r="E24" s="129">
        <v>1035679</v>
      </c>
      <c r="G24" s="30"/>
      <c r="I24" s="69"/>
      <c r="J24" s="69"/>
    </row>
    <row r="25" spans="1:10" s="70" customFormat="1" ht="12.75" customHeight="1" x14ac:dyDescent="0.2">
      <c r="A25" s="127">
        <v>45106</v>
      </c>
      <c r="B25" s="128" t="s">
        <v>6</v>
      </c>
      <c r="C25" s="76" t="s">
        <v>237</v>
      </c>
      <c r="D25" s="126" t="s">
        <v>13</v>
      </c>
      <c r="E25" s="129">
        <v>822504</v>
      </c>
      <c r="G25" s="30"/>
      <c r="I25" s="69"/>
      <c r="J25" s="69"/>
    </row>
    <row r="26" spans="1:10" s="70" customFormat="1" ht="12.75" customHeight="1" x14ac:dyDescent="0.2">
      <c r="A26" s="127">
        <v>45106</v>
      </c>
      <c r="B26" s="128" t="s">
        <v>6</v>
      </c>
      <c r="C26" s="76" t="s">
        <v>105</v>
      </c>
      <c r="D26" s="126" t="s">
        <v>13</v>
      </c>
      <c r="E26" s="129">
        <v>5870874</v>
      </c>
      <c r="G26" s="30"/>
      <c r="I26" s="69"/>
      <c r="J26" s="69"/>
    </row>
    <row r="27" spans="1:10" s="70" customFormat="1" ht="12.75" customHeight="1" x14ac:dyDescent="0.2">
      <c r="A27" s="127">
        <v>45106</v>
      </c>
      <c r="B27" s="128" t="s">
        <v>6</v>
      </c>
      <c r="C27" s="76" t="s">
        <v>947</v>
      </c>
      <c r="D27" s="126" t="s">
        <v>13</v>
      </c>
      <c r="E27" s="129">
        <v>3208243</v>
      </c>
      <c r="G27" s="30"/>
      <c r="I27" s="69"/>
      <c r="J27" s="69"/>
    </row>
    <row r="28" spans="1:10" s="70" customFormat="1" ht="12.75" customHeight="1" x14ac:dyDescent="0.2">
      <c r="A28" s="127">
        <v>45106</v>
      </c>
      <c r="B28" s="128" t="s">
        <v>6</v>
      </c>
      <c r="C28" s="76" t="s">
        <v>366</v>
      </c>
      <c r="D28" s="126" t="s">
        <v>13</v>
      </c>
      <c r="E28" s="129">
        <v>5000000</v>
      </c>
      <c r="G28" s="30"/>
      <c r="I28" s="69"/>
      <c r="J28" s="69"/>
    </row>
    <row r="29" spans="1:10" s="70" customFormat="1" ht="12.75" customHeight="1" x14ac:dyDescent="0.2">
      <c r="A29" s="127">
        <v>45106</v>
      </c>
      <c r="B29" s="128" t="s">
        <v>6</v>
      </c>
      <c r="C29" s="76" t="s">
        <v>288</v>
      </c>
      <c r="D29" s="126" t="s">
        <v>13</v>
      </c>
      <c r="E29" s="129">
        <v>978604</v>
      </c>
      <c r="G29" s="30"/>
      <c r="I29" s="69"/>
      <c r="J29" s="69"/>
    </row>
    <row r="30" spans="1:10" s="70" customFormat="1" ht="12.75" customHeight="1" x14ac:dyDescent="0.2">
      <c r="A30" s="127">
        <v>45106</v>
      </c>
      <c r="B30" s="128" t="s">
        <v>11</v>
      </c>
      <c r="C30" s="76" t="s">
        <v>64</v>
      </c>
      <c r="D30" s="126" t="s">
        <v>29</v>
      </c>
      <c r="E30" s="129"/>
      <c r="F30" s="70">
        <v>13865</v>
      </c>
      <c r="G30" s="30"/>
      <c r="I30" s="69"/>
      <c r="J30" s="69"/>
    </row>
    <row r="31" spans="1:10" s="70" customFormat="1" ht="12.75" customHeight="1" x14ac:dyDescent="0.2">
      <c r="A31" s="127">
        <v>45106</v>
      </c>
      <c r="B31" s="128" t="s">
        <v>11</v>
      </c>
      <c r="C31" s="76" t="s">
        <v>795</v>
      </c>
      <c r="D31" s="126" t="s">
        <v>29</v>
      </c>
      <c r="E31" s="129"/>
      <c r="F31" s="70">
        <v>1193089.5</v>
      </c>
      <c r="G31" s="30"/>
      <c r="I31" s="69"/>
      <c r="J31" s="69"/>
    </row>
    <row r="32" spans="1:10" s="70" customFormat="1" ht="12.75" customHeight="1" x14ac:dyDescent="0.2">
      <c r="A32" s="127">
        <v>45106</v>
      </c>
      <c r="B32" s="128" t="s">
        <v>11</v>
      </c>
      <c r="C32" s="76" t="s">
        <v>15</v>
      </c>
      <c r="D32" s="126" t="s">
        <v>29</v>
      </c>
      <c r="E32" s="129"/>
      <c r="F32" s="70">
        <f>6363.76-2422.2</f>
        <v>3941.5600000000004</v>
      </c>
      <c r="G32" s="30"/>
      <c r="I32" s="69"/>
      <c r="J32" s="69"/>
    </row>
    <row r="33" spans="1:14" s="70" customFormat="1" ht="12.75" customHeight="1" x14ac:dyDescent="0.2">
      <c r="A33" s="127">
        <v>45106</v>
      </c>
      <c r="B33" s="128" t="s">
        <v>11</v>
      </c>
      <c r="C33" s="76" t="s">
        <v>749</v>
      </c>
      <c r="D33" s="126" t="s">
        <v>29</v>
      </c>
      <c r="E33" s="129"/>
      <c r="F33" s="70">
        <v>471881.7</v>
      </c>
      <c r="G33" s="30"/>
      <c r="I33" s="69"/>
      <c r="J33" s="69"/>
    </row>
    <row r="34" spans="1:14" s="70" customFormat="1" ht="12.75" customHeight="1" x14ac:dyDescent="0.2">
      <c r="A34" s="127">
        <v>45106</v>
      </c>
      <c r="B34" s="128" t="s">
        <v>11</v>
      </c>
      <c r="C34" s="76" t="s">
        <v>110</v>
      </c>
      <c r="D34" s="126" t="s">
        <v>29</v>
      </c>
      <c r="E34" s="129"/>
      <c r="F34" s="70">
        <v>1031130.38</v>
      </c>
      <c r="G34" s="30"/>
      <c r="I34" s="69"/>
      <c r="J34" s="69"/>
    </row>
    <row r="35" spans="1:14" s="70" customFormat="1" ht="12.75" customHeight="1" x14ac:dyDescent="0.2">
      <c r="A35" s="127">
        <v>45106</v>
      </c>
      <c r="B35" s="128" t="s">
        <v>11</v>
      </c>
      <c r="C35" s="76" t="s">
        <v>513</v>
      </c>
      <c r="D35" s="126" t="s">
        <v>29</v>
      </c>
      <c r="E35" s="129"/>
      <c r="F35" s="70">
        <v>1891760</v>
      </c>
      <c r="G35" s="30"/>
      <c r="I35" s="69"/>
      <c r="J35" s="69"/>
    </row>
    <row r="36" spans="1:14" s="70" customFormat="1" ht="12.75" customHeight="1" x14ac:dyDescent="0.2">
      <c r="A36" s="127">
        <v>45106</v>
      </c>
      <c r="B36" s="128" t="s">
        <v>11</v>
      </c>
      <c r="C36" s="76" t="s">
        <v>410</v>
      </c>
      <c r="D36" s="126" t="s">
        <v>29</v>
      </c>
      <c r="E36" s="129"/>
      <c r="F36" s="70">
        <v>113516</v>
      </c>
      <c r="G36" s="30"/>
      <c r="I36" s="69"/>
      <c r="J36" s="69"/>
    </row>
    <row r="37" spans="1:14" s="70" customFormat="1" ht="12.75" customHeight="1" x14ac:dyDescent="0.2">
      <c r="A37" s="127">
        <v>45106</v>
      </c>
      <c r="B37" s="128" t="s">
        <v>11</v>
      </c>
      <c r="C37" s="76" t="s">
        <v>254</v>
      </c>
      <c r="D37" s="126" t="s">
        <v>29</v>
      </c>
      <c r="E37" s="129"/>
      <c r="F37" s="70">
        <v>161761</v>
      </c>
      <c r="G37" s="30"/>
      <c r="I37" s="69"/>
      <c r="J37" s="69"/>
    </row>
    <row r="38" spans="1:14" s="70" customFormat="1" ht="12.75" customHeight="1" x14ac:dyDescent="0.2">
      <c r="A38" s="127">
        <v>45106</v>
      </c>
      <c r="B38" s="128" t="s">
        <v>11</v>
      </c>
      <c r="C38" s="76" t="s">
        <v>30</v>
      </c>
      <c r="D38" s="126" t="s">
        <v>29</v>
      </c>
      <c r="E38" s="129"/>
      <c r="F38" s="70">
        <v>3802098</v>
      </c>
      <c r="G38" s="30"/>
      <c r="I38" s="69"/>
      <c r="J38" s="69"/>
    </row>
    <row r="39" spans="1:14" s="70" customFormat="1" ht="12.75" customHeight="1" x14ac:dyDescent="0.2">
      <c r="A39" s="127">
        <v>45106</v>
      </c>
      <c r="B39" s="128" t="s">
        <v>11</v>
      </c>
      <c r="C39" s="76" t="s">
        <v>253</v>
      </c>
      <c r="D39" s="126" t="s">
        <v>29</v>
      </c>
      <c r="E39" s="129"/>
      <c r="F39" s="70">
        <v>251340</v>
      </c>
      <c r="G39" s="30"/>
      <c r="I39" s="69"/>
      <c r="J39" s="69"/>
    </row>
    <row r="40" spans="1:14" s="70" customFormat="1" ht="12.75" customHeight="1" x14ac:dyDescent="0.2">
      <c r="A40" s="127">
        <v>45106</v>
      </c>
      <c r="B40" s="128" t="s">
        <v>11</v>
      </c>
      <c r="C40" s="76" t="s">
        <v>340</v>
      </c>
      <c r="D40" s="126" t="s">
        <v>29</v>
      </c>
      <c r="E40" s="129"/>
      <c r="F40" s="70">
        <v>398502</v>
      </c>
      <c r="G40" s="30"/>
      <c r="I40" s="69"/>
      <c r="J40" s="69"/>
    </row>
    <row r="41" spans="1:14" s="70" customFormat="1" ht="12.75" customHeight="1" x14ac:dyDescent="0.2">
      <c r="A41" s="127">
        <v>45106</v>
      </c>
      <c r="B41" s="128" t="s">
        <v>11</v>
      </c>
      <c r="C41" s="76" t="s">
        <v>411</v>
      </c>
      <c r="D41" s="126" t="s">
        <v>29</v>
      </c>
      <c r="E41" s="129"/>
      <c r="F41" s="70">
        <v>63720</v>
      </c>
      <c r="G41" s="30"/>
      <c r="I41" s="69"/>
      <c r="J41" s="69"/>
    </row>
    <row r="42" spans="1:14" s="70" customFormat="1" ht="12.75" customHeight="1" x14ac:dyDescent="0.2">
      <c r="A42" s="127">
        <v>45106</v>
      </c>
      <c r="B42" s="128" t="s">
        <v>11</v>
      </c>
      <c r="C42" s="76" t="s">
        <v>140</v>
      </c>
      <c r="D42" s="126" t="s">
        <v>29</v>
      </c>
      <c r="E42" s="129"/>
      <c r="F42" s="70">
        <v>1163719</v>
      </c>
      <c r="G42" s="30"/>
      <c r="I42" s="69"/>
      <c r="J42" s="69"/>
    </row>
    <row r="43" spans="1:14" s="2" customFormat="1" ht="12.75" customHeight="1" x14ac:dyDescent="0.25">
      <c r="A43" s="32"/>
      <c r="B43" s="33"/>
      <c r="C43" s="14"/>
      <c r="D43" s="34"/>
      <c r="E43" s="16">
        <f>SUM(E18:E42)</f>
        <v>28172836.550000001</v>
      </c>
      <c r="F43" s="16">
        <f>SUM(F18:F42)</f>
        <v>288014973.31999999</v>
      </c>
      <c r="G43" s="30"/>
      <c r="H43" s="1"/>
      <c r="I43" s="39">
        <v>259842136.77000001</v>
      </c>
      <c r="K43" s="92">
        <f>E44-I43</f>
        <v>0</v>
      </c>
      <c r="L43" s="41"/>
      <c r="M43" s="42"/>
    </row>
    <row r="44" spans="1:14" s="2" customFormat="1" ht="12.75" customHeight="1" x14ac:dyDescent="0.2">
      <c r="A44" s="36"/>
      <c r="B44" s="28" t="s">
        <v>11</v>
      </c>
      <c r="C44" s="19" t="s">
        <v>65</v>
      </c>
      <c r="D44" s="37"/>
      <c r="E44" s="38">
        <f>F43-E43</f>
        <v>259842136.76999998</v>
      </c>
      <c r="F44" s="22"/>
      <c r="G44" s="1"/>
      <c r="H44" s="1"/>
      <c r="J44" s="1"/>
      <c r="K44" s="1"/>
      <c r="L44" s="1"/>
      <c r="M44" s="1"/>
    </row>
    <row r="45" spans="1:14" s="2" customFormat="1" ht="12.75" customHeight="1" x14ac:dyDescent="0.2">
      <c r="A45" s="36"/>
      <c r="B45" s="28" t="s">
        <v>66</v>
      </c>
      <c r="C45" s="43" t="s">
        <v>67</v>
      </c>
      <c r="D45" s="43"/>
      <c r="E45" s="12">
        <v>59416310</v>
      </c>
      <c r="F45" s="22"/>
      <c r="G45" s="1"/>
      <c r="H45" s="40"/>
      <c r="I45" s="45">
        <v>4099.78</v>
      </c>
      <c r="J45" s="46"/>
      <c r="K45" s="46"/>
      <c r="L45" s="13"/>
    </row>
    <row r="46" spans="1:14" s="2" customFormat="1" ht="12.75" customHeight="1" x14ac:dyDescent="0.25">
      <c r="A46" s="36"/>
      <c r="B46" s="28"/>
      <c r="C46" s="44" t="s">
        <v>68</v>
      </c>
      <c r="D46" s="43"/>
      <c r="E46" s="7">
        <f>E44+E45</f>
        <v>319258446.76999998</v>
      </c>
      <c r="F46" s="22"/>
      <c r="G46" s="1"/>
      <c r="H46" s="103" t="s">
        <v>69</v>
      </c>
      <c r="I46" s="45">
        <v>-87.03</v>
      </c>
      <c r="J46" s="46"/>
      <c r="K46" s="46"/>
      <c r="N46" s="1"/>
    </row>
    <row r="47" spans="1:14" s="2" customFormat="1" x14ac:dyDescent="0.2">
      <c r="A47" s="24"/>
      <c r="B47" s="1"/>
      <c r="C47" s="14"/>
      <c r="D47" s="25"/>
      <c r="E47" s="1"/>
      <c r="H47" s="35" t="s">
        <v>70</v>
      </c>
      <c r="I47" s="45">
        <v>62.55</v>
      </c>
      <c r="J47" s="46">
        <f>+I48-D50</f>
        <v>0</v>
      </c>
      <c r="M47" s="2" t="s">
        <v>396</v>
      </c>
      <c r="N47" s="1"/>
    </row>
    <row r="48" spans="1:14" x14ac:dyDescent="0.2">
      <c r="C48" s="56"/>
      <c r="D48" s="56"/>
      <c r="E48" s="104"/>
      <c r="I48" s="49">
        <f>SUM(I45:I47)</f>
        <v>4075.2999999999997</v>
      </c>
      <c r="J48" s="46"/>
      <c r="K48" s="46"/>
      <c r="L48" s="2"/>
      <c r="M48" s="2"/>
      <c r="N48" s="2"/>
    </row>
    <row r="49" spans="1:14" x14ac:dyDescent="0.2">
      <c r="C49" s="78" t="s">
        <v>575</v>
      </c>
      <c r="D49" s="48" t="s">
        <v>576</v>
      </c>
      <c r="E49" s="104"/>
      <c r="I49" s="2"/>
      <c r="J49" s="2"/>
      <c r="K49" s="2"/>
      <c r="L49" s="2"/>
      <c r="M49" s="2"/>
      <c r="N49" s="2"/>
    </row>
    <row r="50" spans="1:14" s="2" customFormat="1" x14ac:dyDescent="0.2">
      <c r="A50" s="24"/>
      <c r="B50" s="1"/>
      <c r="C50" s="47" t="s">
        <v>570</v>
      </c>
      <c r="D50" s="111">
        <v>4075.3</v>
      </c>
      <c r="E50" s="104"/>
      <c r="G50" s="1"/>
      <c r="H50" s="110" t="s">
        <v>581</v>
      </c>
      <c r="N50" s="2" t="s">
        <v>535</v>
      </c>
    </row>
    <row r="51" spans="1:14" s="2" customFormat="1" x14ac:dyDescent="0.2">
      <c r="A51" s="24"/>
      <c r="B51" s="1"/>
      <c r="C51" s="47" t="s">
        <v>931</v>
      </c>
      <c r="D51" s="111">
        <v>525.29999999999995</v>
      </c>
      <c r="E51" s="104"/>
      <c r="G51" s="1"/>
      <c r="H51" s="110" t="s">
        <v>580</v>
      </c>
    </row>
    <row r="52" spans="1:14" s="2" customFormat="1" x14ac:dyDescent="0.2">
      <c r="A52" s="24"/>
      <c r="B52" s="1"/>
      <c r="C52" s="47" t="s">
        <v>572</v>
      </c>
      <c r="D52" s="111">
        <f>+D100/100000</f>
        <v>499.86274459999998</v>
      </c>
      <c r="E52" s="104"/>
      <c r="G52" s="1"/>
      <c r="H52" s="90" t="s">
        <v>587</v>
      </c>
    </row>
    <row r="53" spans="1:14" s="2" customFormat="1" x14ac:dyDescent="0.2">
      <c r="A53" s="24"/>
      <c r="B53" s="1"/>
      <c r="C53" s="108" t="s">
        <v>578</v>
      </c>
      <c r="D53" s="48">
        <f>SUM(D50:D52)</f>
        <v>5100.4627446000004</v>
      </c>
      <c r="E53" s="104"/>
      <c r="G53" s="1"/>
    </row>
    <row r="54" spans="1:14" s="2" customFormat="1" x14ac:dyDescent="0.2">
      <c r="A54" s="24"/>
      <c r="B54" s="1"/>
      <c r="C54" s="47"/>
      <c r="D54" s="107"/>
      <c r="E54" s="104"/>
      <c r="G54" s="1"/>
    </row>
    <row r="55" spans="1:14" s="2" customFormat="1" x14ac:dyDescent="0.2">
      <c r="A55" s="24"/>
      <c r="B55" s="1"/>
      <c r="C55" s="47" t="s">
        <v>932</v>
      </c>
      <c r="D55" s="111">
        <v>384.3</v>
      </c>
      <c r="E55" s="104"/>
      <c r="G55" s="1"/>
      <c r="H55" s="110" t="s">
        <v>581</v>
      </c>
    </row>
    <row r="56" spans="1:14" s="2" customFormat="1" x14ac:dyDescent="0.2">
      <c r="A56" s="24"/>
      <c r="B56" s="1"/>
      <c r="C56" s="136" t="s">
        <v>1142</v>
      </c>
      <c r="D56" s="111">
        <f>179.5+474.5-210.33</f>
        <v>443.66999999999996</v>
      </c>
      <c r="E56" s="104"/>
      <c r="G56" s="1"/>
      <c r="H56" s="110" t="s">
        <v>581</v>
      </c>
      <c r="J56" s="114" t="s">
        <v>713</v>
      </c>
    </row>
    <row r="57" spans="1:14" s="2" customFormat="1" x14ac:dyDescent="0.2">
      <c r="A57" s="24"/>
      <c r="B57" s="1"/>
      <c r="C57" s="78" t="s">
        <v>579</v>
      </c>
      <c r="D57" s="109">
        <f>D55+D56</f>
        <v>827.97</v>
      </c>
      <c r="E57" s="104"/>
      <c r="G57" s="1"/>
      <c r="I57" s="113"/>
      <c r="J57" s="113" t="s">
        <v>709</v>
      </c>
      <c r="K57" s="113" t="s">
        <v>710</v>
      </c>
      <c r="L57" s="113" t="s">
        <v>711</v>
      </c>
      <c r="M57" s="113" t="s">
        <v>712</v>
      </c>
    </row>
    <row r="58" spans="1:14" s="2" customFormat="1" x14ac:dyDescent="0.2">
      <c r="A58" s="24"/>
      <c r="B58" s="1"/>
      <c r="C58" s="105"/>
      <c r="D58" s="106"/>
      <c r="E58" s="104"/>
      <c r="G58" s="1"/>
      <c r="I58" s="113" t="s">
        <v>706</v>
      </c>
      <c r="J58" s="115"/>
      <c r="K58" s="115">
        <v>968.99</v>
      </c>
      <c r="L58" s="115">
        <v>968.99</v>
      </c>
      <c r="M58" s="113">
        <f>+J58+L58-K58</f>
        <v>0</v>
      </c>
    </row>
    <row r="59" spans="1:14" s="2" customFormat="1" x14ac:dyDescent="0.2">
      <c r="A59" s="24"/>
      <c r="B59" s="1"/>
      <c r="C59" s="78" t="s">
        <v>577</v>
      </c>
      <c r="D59" s="109">
        <f>D50+D57</f>
        <v>4903.2700000000004</v>
      </c>
      <c r="E59" s="104"/>
      <c r="G59" s="1"/>
      <c r="I59" s="113" t="s">
        <v>707</v>
      </c>
      <c r="J59" s="115">
        <v>183.1</v>
      </c>
      <c r="K59" s="115">
        <v>2486.27</v>
      </c>
      <c r="L59" s="115">
        <v>3177.12</v>
      </c>
      <c r="M59" s="113">
        <f>+J59+L59-K59</f>
        <v>873.94999999999982</v>
      </c>
    </row>
    <row r="60" spans="1:14" s="2" customFormat="1" x14ac:dyDescent="0.2">
      <c r="A60" s="24"/>
      <c r="B60" s="1"/>
      <c r="C60" s="56"/>
      <c r="D60" s="56"/>
      <c r="E60" s="104"/>
      <c r="G60" s="1"/>
      <c r="I60" s="113" t="s">
        <v>708</v>
      </c>
      <c r="J60" s="115">
        <v>1371.02</v>
      </c>
      <c r="K60" s="115">
        <v>12309.81</v>
      </c>
      <c r="L60" s="115">
        <v>12400.58</v>
      </c>
      <c r="M60" s="113">
        <f>+J60+L60-K60</f>
        <v>1461.7900000000009</v>
      </c>
    </row>
    <row r="61" spans="1:14" s="2" customFormat="1" ht="38.25" x14ac:dyDescent="0.2">
      <c r="A61" s="24"/>
      <c r="B61" s="1"/>
      <c r="C61" s="79" t="str">
        <f>"Particulars ( 01-04-2021 to "&amp;TEXT(A5,"dd-mm-yyyy")&amp;" )"</f>
        <v>Particulars ( 01-04-2021 to 29-06-2023 )</v>
      </c>
      <c r="D61" s="80" t="s">
        <v>73</v>
      </c>
      <c r="E61" s="80" t="s">
        <v>74</v>
      </c>
      <c r="F61" s="81" t="s">
        <v>75</v>
      </c>
      <c r="G61" s="80" t="s">
        <v>76</v>
      </c>
      <c r="J61" s="118">
        <f>SUM(J58:J60)</f>
        <v>1554.12</v>
      </c>
      <c r="K61" s="118">
        <f>SUM(K58:K60)</f>
        <v>15765.07</v>
      </c>
      <c r="L61" s="118">
        <f>SUM(L58:L60)</f>
        <v>16546.689999999999</v>
      </c>
      <c r="M61" s="118">
        <f>SUM(M58:M60)</f>
        <v>2335.7400000000007</v>
      </c>
    </row>
    <row r="62" spans="1:14" s="2" customFormat="1" x14ac:dyDescent="0.2">
      <c r="A62" s="24"/>
      <c r="B62" s="1"/>
      <c r="C62" s="50" t="s">
        <v>444</v>
      </c>
      <c r="D62" s="55">
        <f>+L58+L59+J59</f>
        <v>4329.21</v>
      </c>
      <c r="E62" s="55">
        <f>+K58+K59</f>
        <v>3455.26</v>
      </c>
      <c r="F62" s="55">
        <f>+D62-E62</f>
        <v>873.94999999999982</v>
      </c>
      <c r="G62" s="55">
        <f>1500-F62</f>
        <v>626.05000000000018</v>
      </c>
      <c r="H62" s="2" t="s">
        <v>396</v>
      </c>
    </row>
    <row r="63" spans="1:14" s="2" customFormat="1" x14ac:dyDescent="0.2">
      <c r="A63" s="24"/>
      <c r="B63" s="1"/>
      <c r="C63" s="50" t="s">
        <v>71</v>
      </c>
      <c r="D63" s="55">
        <f>+J60+L60</f>
        <v>13771.6</v>
      </c>
      <c r="E63" s="55">
        <f>+K60</f>
        <v>12309.81</v>
      </c>
      <c r="F63" s="55">
        <f>+D63-E63</f>
        <v>1461.7900000000009</v>
      </c>
      <c r="G63" s="55">
        <f>1500+700-F63</f>
        <v>738.20999999999913</v>
      </c>
      <c r="H63" s="2" t="s">
        <v>396</v>
      </c>
    </row>
    <row r="64" spans="1:14" s="2" customFormat="1" x14ac:dyDescent="0.2">
      <c r="A64" s="24"/>
      <c r="B64" s="1"/>
      <c r="C64" s="14"/>
      <c r="D64" s="56"/>
      <c r="E64" s="13"/>
      <c r="G64" s="1"/>
    </row>
    <row r="65" spans="1:13" s="2" customFormat="1" x14ac:dyDescent="0.2">
      <c r="A65" s="215" t="s">
        <v>80</v>
      </c>
      <c r="B65" s="216"/>
      <c r="C65" s="216"/>
      <c r="D65" s="217"/>
      <c r="E65" s="69"/>
      <c r="F65" s="70"/>
      <c r="G65" s="1"/>
      <c r="H65" s="53"/>
    </row>
    <row r="66" spans="1:13" s="2" customFormat="1" x14ac:dyDescent="0.2">
      <c r="A66" s="71" t="s">
        <v>81</v>
      </c>
      <c r="B66" s="71"/>
      <c r="C66" s="72" t="s">
        <v>82</v>
      </c>
      <c r="D66" s="73" t="s">
        <v>83</v>
      </c>
      <c r="E66" s="69"/>
      <c r="F66" s="70"/>
      <c r="H66" s="53"/>
    </row>
    <row r="67" spans="1:13" s="2" customFormat="1" x14ac:dyDescent="0.2">
      <c r="A67" s="87">
        <v>45080</v>
      </c>
      <c r="B67" s="120" t="s">
        <v>1052</v>
      </c>
      <c r="C67" s="75" t="s">
        <v>86</v>
      </c>
      <c r="D67" s="88">
        <v>163799</v>
      </c>
      <c r="G67" s="1"/>
      <c r="L67" s="1"/>
      <c r="M67" s="1"/>
    </row>
    <row r="68" spans="1:13" s="2" customFormat="1" x14ac:dyDescent="0.2">
      <c r="A68" s="87">
        <v>45080</v>
      </c>
      <c r="B68" s="120" t="s">
        <v>1052</v>
      </c>
      <c r="C68" s="75" t="s">
        <v>86</v>
      </c>
      <c r="D68" s="88">
        <v>1695107</v>
      </c>
      <c r="G68" s="1"/>
      <c r="L68" s="1"/>
      <c r="M68" s="1"/>
    </row>
    <row r="69" spans="1:13" s="2" customFormat="1" x14ac:dyDescent="0.2">
      <c r="A69" s="87">
        <v>45082</v>
      </c>
      <c r="B69" s="120" t="s">
        <v>1052</v>
      </c>
      <c r="C69" s="75" t="s">
        <v>87</v>
      </c>
      <c r="D69" s="88">
        <v>6627</v>
      </c>
      <c r="G69" s="1"/>
      <c r="L69" s="1"/>
      <c r="M69" s="1"/>
    </row>
    <row r="70" spans="1:13" s="2" customFormat="1" x14ac:dyDescent="0.2">
      <c r="A70" s="87">
        <v>45084</v>
      </c>
      <c r="B70" s="120" t="s">
        <v>1052</v>
      </c>
      <c r="C70" s="75" t="s">
        <v>87</v>
      </c>
      <c r="D70" s="88">
        <v>618395.80000000005</v>
      </c>
      <c r="G70" s="1"/>
      <c r="L70" s="1"/>
      <c r="M70" s="1"/>
    </row>
    <row r="71" spans="1:13" s="2" customFormat="1" x14ac:dyDescent="0.2">
      <c r="A71" s="87">
        <v>45085</v>
      </c>
      <c r="B71" s="120" t="s">
        <v>1052</v>
      </c>
      <c r="C71" s="75" t="s">
        <v>18</v>
      </c>
      <c r="D71" s="88">
        <v>407682</v>
      </c>
      <c r="G71" s="1"/>
      <c r="L71" s="1"/>
      <c r="M71" s="1"/>
    </row>
    <row r="72" spans="1:13" s="2" customFormat="1" x14ac:dyDescent="0.2">
      <c r="A72" s="87">
        <v>45086</v>
      </c>
      <c r="B72" s="120" t="s">
        <v>1052</v>
      </c>
      <c r="C72" s="75" t="s">
        <v>85</v>
      </c>
      <c r="D72" s="88">
        <v>1104724</v>
      </c>
      <c r="G72" s="1"/>
      <c r="L72" s="1"/>
      <c r="M72" s="1"/>
    </row>
    <row r="73" spans="1:13" s="2" customFormat="1" x14ac:dyDescent="0.2">
      <c r="A73" s="87">
        <v>45086</v>
      </c>
      <c r="B73" s="120" t="s">
        <v>1052</v>
      </c>
      <c r="C73" s="75" t="s">
        <v>85</v>
      </c>
      <c r="D73" s="88">
        <v>1489874</v>
      </c>
      <c r="G73" s="1"/>
      <c r="L73" s="1"/>
      <c r="M73" s="1"/>
    </row>
    <row r="74" spans="1:13" s="2" customFormat="1" x14ac:dyDescent="0.2">
      <c r="A74" s="87">
        <v>45086</v>
      </c>
      <c r="B74" s="120" t="s">
        <v>1052</v>
      </c>
      <c r="C74" s="75" t="s">
        <v>86</v>
      </c>
      <c r="D74" s="88">
        <v>1756907</v>
      </c>
      <c r="G74" s="1"/>
      <c r="L74" s="1"/>
      <c r="M74" s="1"/>
    </row>
    <row r="75" spans="1:13" s="2" customFormat="1" x14ac:dyDescent="0.2">
      <c r="A75" s="87">
        <v>45086</v>
      </c>
      <c r="B75" s="120" t="s">
        <v>1052</v>
      </c>
      <c r="C75" s="75" t="s">
        <v>201</v>
      </c>
      <c r="D75" s="88">
        <v>5000192.4400000004</v>
      </c>
      <c r="G75" s="1"/>
      <c r="L75" s="1"/>
      <c r="M75" s="1"/>
    </row>
    <row r="76" spans="1:13" s="2" customFormat="1" x14ac:dyDescent="0.2">
      <c r="A76" s="87">
        <v>45089</v>
      </c>
      <c r="B76" s="120" t="s">
        <v>1052</v>
      </c>
      <c r="C76" s="75" t="s">
        <v>270</v>
      </c>
      <c r="D76" s="88">
        <v>654429</v>
      </c>
      <c r="G76" s="1"/>
      <c r="L76" s="1"/>
      <c r="M76" s="1"/>
    </row>
    <row r="77" spans="1:13" s="2" customFormat="1" x14ac:dyDescent="0.2">
      <c r="A77" s="87">
        <v>45090</v>
      </c>
      <c r="B77" s="120" t="s">
        <v>1052</v>
      </c>
      <c r="C77" s="75" t="s">
        <v>594</v>
      </c>
      <c r="D77" s="88">
        <v>5353676</v>
      </c>
      <c r="G77" s="1"/>
      <c r="L77" s="1"/>
      <c r="M77" s="1"/>
    </row>
    <row r="78" spans="1:13" s="2" customFormat="1" x14ac:dyDescent="0.2">
      <c r="A78" s="87">
        <v>45090</v>
      </c>
      <c r="B78" s="120" t="s">
        <v>1052</v>
      </c>
      <c r="C78" s="75" t="s">
        <v>270</v>
      </c>
      <c r="D78" s="88">
        <v>62180.5</v>
      </c>
      <c r="G78" s="1"/>
      <c r="L78" s="1"/>
      <c r="M78" s="1"/>
    </row>
    <row r="79" spans="1:13" s="2" customFormat="1" x14ac:dyDescent="0.2">
      <c r="A79" s="87">
        <v>45090</v>
      </c>
      <c r="B79" s="120" t="s">
        <v>1052</v>
      </c>
      <c r="C79" s="75" t="s">
        <v>270</v>
      </c>
      <c r="D79" s="88">
        <v>9179</v>
      </c>
      <c r="G79" s="1"/>
      <c r="L79" s="1"/>
      <c r="M79" s="1"/>
    </row>
    <row r="80" spans="1:13" s="2" customFormat="1" x14ac:dyDescent="0.2">
      <c r="A80" s="87">
        <v>45091</v>
      </c>
      <c r="B80" s="120" t="s">
        <v>1052</v>
      </c>
      <c r="C80" s="75" t="s">
        <v>87</v>
      </c>
      <c r="D80" s="88">
        <v>1261201</v>
      </c>
      <c r="G80" s="1"/>
      <c r="L80" s="1"/>
      <c r="M80" s="1"/>
    </row>
    <row r="81" spans="1:13" s="2" customFormat="1" x14ac:dyDescent="0.2">
      <c r="A81" s="87">
        <v>45091</v>
      </c>
      <c r="B81" s="120" t="s">
        <v>1052</v>
      </c>
      <c r="C81" s="75" t="s">
        <v>84</v>
      </c>
      <c r="D81" s="88">
        <v>1000000</v>
      </c>
      <c r="G81" s="1"/>
      <c r="L81" s="1"/>
      <c r="M81" s="1"/>
    </row>
    <row r="82" spans="1:13" s="2" customFormat="1" x14ac:dyDescent="0.2">
      <c r="A82" s="87">
        <v>45092</v>
      </c>
      <c r="B82" s="120" t="s">
        <v>1052</v>
      </c>
      <c r="C82" s="75" t="s">
        <v>18</v>
      </c>
      <c r="D82" s="88">
        <v>1074373</v>
      </c>
      <c r="G82" s="1"/>
      <c r="L82" s="1"/>
      <c r="M82" s="1"/>
    </row>
    <row r="83" spans="1:13" s="2" customFormat="1" x14ac:dyDescent="0.2">
      <c r="A83" s="87">
        <v>45094</v>
      </c>
      <c r="B83" s="120" t="s">
        <v>1052</v>
      </c>
      <c r="C83" s="75" t="s">
        <v>323</v>
      </c>
      <c r="D83" s="88">
        <v>2582806</v>
      </c>
      <c r="G83" s="1"/>
      <c r="L83" s="1"/>
      <c r="M83" s="1"/>
    </row>
    <row r="84" spans="1:13" s="2" customFormat="1" x14ac:dyDescent="0.2">
      <c r="A84" s="87">
        <v>45095</v>
      </c>
      <c r="B84" s="120" t="s">
        <v>1052</v>
      </c>
      <c r="C84" s="75" t="s">
        <v>85</v>
      </c>
      <c r="D84" s="88">
        <v>77650</v>
      </c>
      <c r="G84" s="1"/>
      <c r="L84" s="1"/>
      <c r="M84" s="1"/>
    </row>
    <row r="85" spans="1:13" s="2" customFormat="1" x14ac:dyDescent="0.2">
      <c r="A85" s="87">
        <v>45096</v>
      </c>
      <c r="B85" s="120" t="s">
        <v>1052</v>
      </c>
      <c r="C85" s="75" t="s">
        <v>270</v>
      </c>
      <c r="D85" s="88">
        <v>1475157</v>
      </c>
      <c r="G85" s="1"/>
      <c r="L85" s="1"/>
      <c r="M85" s="1"/>
    </row>
    <row r="86" spans="1:13" s="2" customFormat="1" x14ac:dyDescent="0.2">
      <c r="A86" s="87">
        <v>45096</v>
      </c>
      <c r="B86" s="120" t="s">
        <v>1052</v>
      </c>
      <c r="C86" s="75" t="s">
        <v>270</v>
      </c>
      <c r="D86" s="88">
        <v>741951</v>
      </c>
      <c r="G86" s="1"/>
      <c r="L86" s="1"/>
      <c r="M86" s="1"/>
    </row>
    <row r="87" spans="1:13" s="2" customFormat="1" x14ac:dyDescent="0.2">
      <c r="A87" s="87">
        <v>45096</v>
      </c>
      <c r="B87" s="120" t="s">
        <v>1052</v>
      </c>
      <c r="C87" s="75" t="s">
        <v>270</v>
      </c>
      <c r="D87" s="88">
        <v>1034388</v>
      </c>
      <c r="G87" s="1"/>
      <c r="L87" s="1"/>
      <c r="M87" s="1"/>
    </row>
    <row r="88" spans="1:13" s="2" customFormat="1" x14ac:dyDescent="0.2">
      <c r="A88" s="87">
        <v>45096</v>
      </c>
      <c r="B88" s="120" t="s">
        <v>1052</v>
      </c>
      <c r="C88" s="75" t="s">
        <v>270</v>
      </c>
      <c r="D88" s="88">
        <v>93897</v>
      </c>
      <c r="G88" s="1"/>
      <c r="L88" s="1"/>
      <c r="M88" s="1"/>
    </row>
    <row r="89" spans="1:13" s="2" customFormat="1" x14ac:dyDescent="0.2">
      <c r="A89" s="87">
        <v>45096</v>
      </c>
      <c r="B89" s="120" t="s">
        <v>1052</v>
      </c>
      <c r="C89" s="75" t="s">
        <v>270</v>
      </c>
      <c r="D89" s="88">
        <v>353700</v>
      </c>
      <c r="G89" s="1"/>
      <c r="L89" s="1"/>
      <c r="M89" s="1"/>
    </row>
    <row r="90" spans="1:13" s="2" customFormat="1" x14ac:dyDescent="0.2">
      <c r="A90" s="87">
        <v>45096</v>
      </c>
      <c r="B90" s="120" t="s">
        <v>1052</v>
      </c>
      <c r="C90" s="75" t="s">
        <v>270</v>
      </c>
      <c r="D90" s="88">
        <v>1205410</v>
      </c>
      <c r="G90" s="1"/>
      <c r="L90" s="1"/>
      <c r="M90" s="1"/>
    </row>
    <row r="91" spans="1:13" s="2" customFormat="1" x14ac:dyDescent="0.2">
      <c r="A91" s="87">
        <v>45096</v>
      </c>
      <c r="B91" s="120" t="s">
        <v>1052</v>
      </c>
      <c r="C91" s="75" t="s">
        <v>86</v>
      </c>
      <c r="D91" s="88">
        <v>5053085</v>
      </c>
      <c r="G91" s="1"/>
      <c r="L91" s="1"/>
      <c r="M91" s="1"/>
    </row>
    <row r="92" spans="1:13" s="2" customFormat="1" x14ac:dyDescent="0.2">
      <c r="A92" s="87">
        <v>45096</v>
      </c>
      <c r="B92" s="120" t="s">
        <v>1052</v>
      </c>
      <c r="C92" s="75" t="s">
        <v>88</v>
      </c>
      <c r="D92" s="88">
        <v>1962959.72</v>
      </c>
      <c r="G92" s="1"/>
      <c r="L92" s="1"/>
      <c r="M92" s="1"/>
    </row>
    <row r="93" spans="1:13" s="2" customFormat="1" x14ac:dyDescent="0.2">
      <c r="A93" s="87">
        <v>45098</v>
      </c>
      <c r="B93" s="120" t="s">
        <v>1052</v>
      </c>
      <c r="C93" s="75" t="s">
        <v>86</v>
      </c>
      <c r="D93" s="88">
        <v>2350710</v>
      </c>
      <c r="G93" s="1"/>
      <c r="L93" s="1"/>
      <c r="M93" s="1"/>
    </row>
    <row r="94" spans="1:13" s="2" customFormat="1" x14ac:dyDescent="0.2">
      <c r="A94" s="87">
        <v>45098</v>
      </c>
      <c r="B94" s="120" t="s">
        <v>1052</v>
      </c>
      <c r="C94" s="75" t="s">
        <v>86</v>
      </c>
      <c r="D94" s="88">
        <v>980606</v>
      </c>
      <c r="G94" s="1"/>
      <c r="L94" s="1"/>
      <c r="M94" s="1"/>
    </row>
    <row r="95" spans="1:13" s="2" customFormat="1" x14ac:dyDescent="0.2">
      <c r="A95" s="87">
        <v>45099</v>
      </c>
      <c r="B95" s="120" t="s">
        <v>1052</v>
      </c>
      <c r="C95" s="75" t="s">
        <v>18</v>
      </c>
      <c r="D95" s="88">
        <v>466628</v>
      </c>
      <c r="G95" s="1"/>
      <c r="L95" s="1"/>
      <c r="M95" s="1"/>
    </row>
    <row r="96" spans="1:13" s="2" customFormat="1" x14ac:dyDescent="0.2">
      <c r="A96" s="87">
        <v>45099</v>
      </c>
      <c r="B96" s="120" t="s">
        <v>1052</v>
      </c>
      <c r="C96" s="75" t="s">
        <v>594</v>
      </c>
      <c r="D96" s="88">
        <v>7600365</v>
      </c>
      <c r="G96" s="1"/>
      <c r="L96" s="1"/>
      <c r="M96" s="1"/>
    </row>
    <row r="97" spans="1:13" s="2" customFormat="1" x14ac:dyDescent="0.2">
      <c r="A97" s="87">
        <v>45099</v>
      </c>
      <c r="B97" s="120" t="s">
        <v>1052</v>
      </c>
      <c r="C97" s="75" t="s">
        <v>84</v>
      </c>
      <c r="D97" s="88">
        <v>1500000</v>
      </c>
      <c r="G97" s="1"/>
      <c r="L97" s="1"/>
      <c r="M97" s="1"/>
    </row>
    <row r="98" spans="1:13" s="2" customFormat="1" x14ac:dyDescent="0.2">
      <c r="A98" s="87">
        <v>45103</v>
      </c>
      <c r="B98" s="120" t="s">
        <v>1052</v>
      </c>
      <c r="C98" s="75" t="s">
        <v>87</v>
      </c>
      <c r="D98" s="88">
        <v>818821</v>
      </c>
      <c r="G98" s="1"/>
      <c r="L98" s="1"/>
      <c r="M98" s="1"/>
    </row>
    <row r="99" spans="1:13" s="2" customFormat="1" x14ac:dyDescent="0.2">
      <c r="A99" s="87">
        <v>45104</v>
      </c>
      <c r="B99" s="120" t="s">
        <v>1052</v>
      </c>
      <c r="C99" s="75" t="s">
        <v>270</v>
      </c>
      <c r="D99" s="88">
        <v>29794</v>
      </c>
      <c r="G99" s="1"/>
      <c r="L99" s="1"/>
      <c r="M99" s="1"/>
    </row>
    <row r="100" spans="1:13" s="2" customFormat="1" x14ac:dyDescent="0.2">
      <c r="A100" s="87"/>
      <c r="B100" s="74"/>
      <c r="C100" s="75"/>
      <c r="D100" s="51">
        <f>SUM(D67:D99)</f>
        <v>49986274.460000001</v>
      </c>
      <c r="F100" s="2" t="s">
        <v>396</v>
      </c>
      <c r="G100" s="1"/>
      <c r="L100" s="1"/>
      <c r="M100" s="1"/>
    </row>
    <row r="101" spans="1:13" s="2" customFormat="1" x14ac:dyDescent="0.2">
      <c r="A101" s="24"/>
      <c r="B101" s="1"/>
      <c r="C101" s="14"/>
      <c r="D101" s="56"/>
      <c r="E101" s="13"/>
      <c r="G101" s="1"/>
      <c r="L101" s="1"/>
      <c r="M101" s="1"/>
    </row>
    <row r="102" spans="1:13" s="2" customFormat="1" x14ac:dyDescent="0.2">
      <c r="A102" s="24"/>
      <c r="B102" s="1"/>
      <c r="C102" s="218" t="s">
        <v>77</v>
      </c>
      <c r="D102" s="219"/>
      <c r="E102" s="219"/>
      <c r="F102" s="220"/>
      <c r="G102" s="1"/>
      <c r="L102" s="1"/>
      <c r="M102" s="1"/>
    </row>
    <row r="103" spans="1:13" s="2" customFormat="1" x14ac:dyDescent="0.2">
      <c r="A103" s="24"/>
      <c r="B103" s="1"/>
      <c r="C103" s="50"/>
      <c r="D103" s="57" t="s">
        <v>78</v>
      </c>
      <c r="E103" s="58" t="s">
        <v>79</v>
      </c>
      <c r="F103" s="57" t="s">
        <v>72</v>
      </c>
      <c r="G103" s="1"/>
      <c r="I103" s="1"/>
      <c r="J103" s="1"/>
      <c r="K103" s="1"/>
      <c r="L103" s="1"/>
      <c r="M103" s="1"/>
    </row>
    <row r="104" spans="1:13" s="2" customFormat="1" x14ac:dyDescent="0.2">
      <c r="A104" s="24"/>
      <c r="B104" s="1"/>
      <c r="C104" s="59" t="str">
        <f>"01-06-2023 to "&amp;TEXT(A5-2,"dd-mm-yyyy")</f>
        <v>01-06-2023 to 27-06-2023</v>
      </c>
      <c r="D104" s="60">
        <v>5550.22</v>
      </c>
      <c r="E104" s="60">
        <v>182.13</v>
      </c>
      <c r="F104" s="61">
        <f>SUM(D104:E104)</f>
        <v>5732.35</v>
      </c>
      <c r="G104" s="1"/>
    </row>
    <row r="105" spans="1:13" s="2" customFormat="1" x14ac:dyDescent="0.2">
      <c r="A105" s="24"/>
      <c r="B105" s="1"/>
      <c r="C105" s="62" t="str">
        <f>TEXT(A5-1,"dd-mm-yyyy")</f>
        <v>28-06-2023</v>
      </c>
      <c r="D105" s="60">
        <v>75.040000000000006</v>
      </c>
      <c r="E105" s="60">
        <v>5.57</v>
      </c>
      <c r="F105" s="61">
        <f>SUM(D105:E105)</f>
        <v>80.610000000000014</v>
      </c>
      <c r="G105" s="54"/>
      <c r="I105" s="1"/>
      <c r="J105" s="1"/>
      <c r="K105" s="1"/>
      <c r="L105" s="1"/>
      <c r="M105" s="1"/>
    </row>
    <row r="106" spans="1:13" s="2" customFormat="1" ht="13.5" thickBot="1" x14ac:dyDescent="0.25">
      <c r="A106" s="24"/>
      <c r="B106" s="1"/>
      <c r="C106" s="63" t="str">
        <f>"01-06-2023 to "&amp;TEXT(A5-1,"dd-mm-yyyy")</f>
        <v>01-06-2023 to 28-06-2023</v>
      </c>
      <c r="D106" s="64">
        <f>SUM(D104:D105)</f>
        <v>5625.26</v>
      </c>
      <c r="E106" s="64">
        <f>SUM(E104:E105)</f>
        <v>187.7</v>
      </c>
      <c r="F106" s="64">
        <f>SUM(F104:F105)</f>
        <v>5812.96</v>
      </c>
      <c r="G106" s="54"/>
      <c r="I106" s="1"/>
      <c r="J106" s="1"/>
      <c r="K106" s="1"/>
      <c r="L106" s="1"/>
      <c r="M106" s="1"/>
    </row>
    <row r="107" spans="1:13" s="2" customFormat="1" ht="13.5" thickTop="1" x14ac:dyDescent="0.2">
      <c r="A107" s="24"/>
      <c r="B107" s="1"/>
      <c r="C107" s="62"/>
      <c r="D107" s="65"/>
      <c r="E107" s="66"/>
      <c r="F107" s="67"/>
      <c r="G107" s="54"/>
      <c r="I107" s="1"/>
      <c r="J107" s="1"/>
      <c r="K107" s="1"/>
      <c r="L107" s="1"/>
      <c r="M107" s="1"/>
    </row>
    <row r="108" spans="1:13" s="2" customFormat="1" x14ac:dyDescent="0.2">
      <c r="A108" s="24"/>
      <c r="B108" s="1"/>
      <c r="C108" s="62" t="str">
        <f>"01-04-2023 to " &amp;C105</f>
        <v>01-04-2023 to 28-06-2023</v>
      </c>
      <c r="D108" s="68">
        <f>+D106+9224.33</f>
        <v>14849.59</v>
      </c>
      <c r="E108" s="68">
        <f>+E106+906.58</f>
        <v>1094.28</v>
      </c>
      <c r="F108" s="68">
        <f>+F106+10130.9</f>
        <v>15943.86</v>
      </c>
      <c r="G108" s="54"/>
      <c r="I108" s="1"/>
      <c r="J108" s="1"/>
      <c r="K108" s="1"/>
      <c r="L108" s="1"/>
      <c r="M108" s="1"/>
    </row>
    <row r="109" spans="1:13" x14ac:dyDescent="0.2">
      <c r="C109" s="52"/>
      <c r="D109" s="85"/>
      <c r="E109" s="53"/>
      <c r="F109" s="53"/>
      <c r="G109" s="54"/>
      <c r="H109" s="2" t="s">
        <v>396</v>
      </c>
    </row>
    <row r="110" spans="1:13" s="2" customFormat="1" x14ac:dyDescent="0.2">
      <c r="A110" s="24"/>
      <c r="B110" s="1"/>
      <c r="C110" s="52"/>
      <c r="D110" s="85"/>
      <c r="E110" s="53"/>
      <c r="F110" s="53"/>
      <c r="G110" s="54"/>
      <c r="H110" s="53"/>
    </row>
    <row r="111" spans="1:13" x14ac:dyDescent="0.2">
      <c r="C111" s="52"/>
      <c r="D111" s="85"/>
      <c r="E111" s="53"/>
      <c r="F111" s="53"/>
      <c r="G111" s="54"/>
      <c r="H111" s="53" t="s">
        <v>396</v>
      </c>
    </row>
    <row r="112" spans="1:13" x14ac:dyDescent="0.2">
      <c r="C112" s="52"/>
      <c r="D112" s="85"/>
      <c r="E112" s="53"/>
      <c r="F112" s="53"/>
      <c r="G112" s="54"/>
      <c r="H112" s="53" t="s">
        <v>396</v>
      </c>
      <c r="J112" s="42"/>
    </row>
    <row r="113" spans="7:9" x14ac:dyDescent="0.2">
      <c r="G113" s="54"/>
      <c r="H113" s="53"/>
      <c r="I113" s="101"/>
    </row>
    <row r="114" spans="7:9" x14ac:dyDescent="0.2">
      <c r="G114" s="54"/>
      <c r="H114" s="53"/>
    </row>
    <row r="115" spans="7:9" x14ac:dyDescent="0.2">
      <c r="G115" s="54"/>
      <c r="H115" s="53"/>
    </row>
    <row r="116" spans="7:9" x14ac:dyDescent="0.2">
      <c r="H116" s="53"/>
    </row>
  </sheetData>
  <mergeCells count="6">
    <mergeCell ref="C102:F102"/>
    <mergeCell ref="A1:G1"/>
    <mergeCell ref="A3:F3"/>
    <mergeCell ref="A9:F9"/>
    <mergeCell ref="A16:F16"/>
    <mergeCell ref="A65:D65"/>
  </mergeCells>
  <conditionalFormatting sqref="G62:G63">
    <cfRule type="cellIs" dxfId="450" priority="1" operator="lessThan">
      <formula>0</formula>
    </cfRule>
  </conditionalFormatting>
  <conditionalFormatting sqref="C18">
    <cfRule type="duplicateValues" dxfId="449" priority="2"/>
  </conditionalFormatting>
  <conditionalFormatting sqref="C19:C42">
    <cfRule type="duplicateValues" dxfId="448" priority="558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Sheet365">
    <pageSetUpPr fitToPage="1"/>
  </sheetPr>
  <dimension ref="A1:N153"/>
  <sheetViews>
    <sheetView topLeftCell="A108" zoomScaleNormal="100" workbookViewId="0">
      <selection activeCell="C46" sqref="C46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85546875" style="14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1149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45107</v>
      </c>
      <c r="B5" s="9" t="s">
        <v>6</v>
      </c>
      <c r="C5" s="10" t="s">
        <v>7</v>
      </c>
      <c r="D5" s="11"/>
      <c r="E5" s="12">
        <v>221548.70000000019</v>
      </c>
      <c r="F5" s="12"/>
      <c r="G5" s="1"/>
      <c r="H5" s="112"/>
      <c r="I5" s="112"/>
    </row>
    <row r="6" spans="1:10" s="2" customFormat="1" ht="14.25" customHeight="1" x14ac:dyDescent="0.4">
      <c r="A6" s="89">
        <v>45107</v>
      </c>
      <c r="B6" s="9" t="s">
        <v>11</v>
      </c>
      <c r="C6" s="10" t="s">
        <v>1150</v>
      </c>
      <c r="D6" s="11" t="s">
        <v>29</v>
      </c>
      <c r="E6" s="12"/>
      <c r="F6" s="12">
        <v>68833</v>
      </c>
      <c r="G6" s="1"/>
      <c r="H6" s="112"/>
      <c r="I6" s="112"/>
    </row>
    <row r="7" spans="1:10" s="2" customFormat="1" ht="12.75" customHeight="1" x14ac:dyDescent="0.4">
      <c r="D7" s="15" t="s">
        <v>8</v>
      </c>
      <c r="E7" s="16">
        <f>SUM(E5:E5)</f>
        <v>221548.70000000019</v>
      </c>
      <c r="F7" s="16">
        <f>SUM(F6)</f>
        <v>68833</v>
      </c>
      <c r="G7" s="1"/>
      <c r="H7" s="112"/>
      <c r="I7" s="112"/>
    </row>
    <row r="8" spans="1:10" s="2" customFormat="1" ht="12.75" customHeight="1" x14ac:dyDescent="0.4">
      <c r="A8" s="17"/>
      <c r="B8" s="18"/>
      <c r="C8" s="19" t="s">
        <v>9</v>
      </c>
      <c r="D8" s="20"/>
      <c r="E8" s="21">
        <f>+E7-F7</f>
        <v>152715.70000000019</v>
      </c>
      <c r="F8" s="22"/>
      <c r="G8" s="23"/>
      <c r="H8" s="112"/>
      <c r="I8" s="112"/>
      <c r="J8" s="13"/>
    </row>
    <row r="9" spans="1:10" ht="12.75" customHeight="1" x14ac:dyDescent="0.4">
      <c r="H9" s="112"/>
      <c r="I9" s="112"/>
    </row>
    <row r="10" spans="1:10" ht="18" customHeight="1" x14ac:dyDescent="0.4">
      <c r="A10" s="213" t="s">
        <v>1037</v>
      </c>
      <c r="B10" s="213"/>
      <c r="C10" s="213"/>
      <c r="D10" s="213"/>
      <c r="E10" s="213"/>
      <c r="F10" s="213"/>
      <c r="H10" s="112"/>
      <c r="I10" s="112"/>
    </row>
    <row r="11" spans="1:10" ht="12.75" customHeight="1" x14ac:dyDescent="0.4">
      <c r="A11" s="3" t="s">
        <v>1</v>
      </c>
      <c r="B11" s="4" t="s">
        <v>2</v>
      </c>
      <c r="C11" s="5"/>
      <c r="D11" s="6" t="s">
        <v>3</v>
      </c>
      <c r="E11" s="7" t="s">
        <v>4</v>
      </c>
      <c r="F11" s="7" t="s">
        <v>5</v>
      </c>
      <c r="H11" s="112"/>
      <c r="I11" s="112"/>
    </row>
    <row r="12" spans="1:10" s="2" customFormat="1" ht="14.25" customHeight="1" x14ac:dyDescent="0.2">
      <c r="A12" s="127">
        <v>45107</v>
      </c>
      <c r="B12" s="9" t="s">
        <v>6</v>
      </c>
      <c r="C12" s="10" t="s">
        <v>7</v>
      </c>
      <c r="D12" s="11"/>
      <c r="F12" s="12">
        <v>20797631.5</v>
      </c>
      <c r="G12" s="1"/>
      <c r="H12" s="130" t="s">
        <v>396</v>
      </c>
      <c r="I12" s="130"/>
    </row>
    <row r="13" spans="1:10" s="2" customFormat="1" ht="14.25" customHeight="1" x14ac:dyDescent="0.2">
      <c r="A13" s="127">
        <v>45107</v>
      </c>
      <c r="B13" s="9" t="s">
        <v>6</v>
      </c>
      <c r="C13" s="76" t="s">
        <v>405</v>
      </c>
      <c r="D13" s="125" t="s">
        <v>13</v>
      </c>
      <c r="E13" s="31">
        <v>7483</v>
      </c>
      <c r="F13" s="12"/>
      <c r="G13" s="1"/>
      <c r="H13" s="130"/>
      <c r="I13" s="130"/>
    </row>
    <row r="14" spans="1:10" s="2" customFormat="1" ht="14.25" customHeight="1" x14ac:dyDescent="0.2">
      <c r="A14" s="127">
        <v>45107</v>
      </c>
      <c r="B14" s="9" t="s">
        <v>6</v>
      </c>
      <c r="C14" s="76" t="s">
        <v>158</v>
      </c>
      <c r="D14" s="125" t="s">
        <v>13</v>
      </c>
      <c r="E14" s="31">
        <v>168371</v>
      </c>
      <c r="F14" s="12"/>
      <c r="G14" s="1"/>
      <c r="H14" s="130"/>
      <c r="I14" s="130"/>
    </row>
    <row r="15" spans="1:10" s="2" customFormat="1" ht="14.25" customHeight="1" x14ac:dyDescent="0.2">
      <c r="A15" s="127">
        <v>45107</v>
      </c>
      <c r="B15" s="9" t="s">
        <v>11</v>
      </c>
      <c r="C15" s="76" t="s">
        <v>57</v>
      </c>
      <c r="D15" s="11" t="s">
        <v>29</v>
      </c>
      <c r="F15" s="31">
        <v>1500000</v>
      </c>
      <c r="G15" s="1"/>
      <c r="H15" s="130"/>
      <c r="I15" s="130"/>
    </row>
    <row r="16" spans="1:10" s="2" customFormat="1" ht="14.25" customHeight="1" x14ac:dyDescent="0.2">
      <c r="A16" s="127">
        <v>45107</v>
      </c>
      <c r="B16" s="9" t="s">
        <v>11</v>
      </c>
      <c r="C16" s="76" t="s">
        <v>63</v>
      </c>
      <c r="D16" s="11" t="s">
        <v>29</v>
      </c>
      <c r="F16" s="31">
        <v>3600000</v>
      </c>
      <c r="G16" s="1"/>
      <c r="H16" s="130"/>
      <c r="I16" s="130"/>
    </row>
    <row r="17" spans="1:10" s="2" customFormat="1" ht="14.25" customHeight="1" x14ac:dyDescent="0.2">
      <c r="A17" s="127">
        <v>45107</v>
      </c>
      <c r="B17" s="9" t="s">
        <v>11</v>
      </c>
      <c r="C17" s="76" t="s">
        <v>377</v>
      </c>
      <c r="D17" s="11" t="s">
        <v>29</v>
      </c>
      <c r="F17" s="31">
        <v>272403</v>
      </c>
      <c r="G17" s="1"/>
      <c r="H17" s="130"/>
      <c r="I17" s="130"/>
    </row>
    <row r="18" spans="1:10" s="2" customFormat="1" ht="14.25" customHeight="1" x14ac:dyDescent="0.2">
      <c r="A18" s="127">
        <v>45107</v>
      </c>
      <c r="B18" s="9" t="s">
        <v>11</v>
      </c>
      <c r="C18" s="76" t="s">
        <v>798</v>
      </c>
      <c r="D18" s="11" t="s">
        <v>29</v>
      </c>
      <c r="F18" s="31">
        <v>176235</v>
      </c>
      <c r="G18" s="1"/>
      <c r="H18" s="130"/>
      <c r="I18" s="130"/>
    </row>
    <row r="19" spans="1:10" s="2" customFormat="1" ht="14.25" customHeight="1" x14ac:dyDescent="0.2">
      <c r="A19" s="127">
        <v>45107</v>
      </c>
      <c r="B19" s="9" t="s">
        <v>11</v>
      </c>
      <c r="C19" s="76" t="s">
        <v>251</v>
      </c>
      <c r="D19" s="11" t="s">
        <v>29</v>
      </c>
      <c r="F19" s="31">
        <v>314068</v>
      </c>
      <c r="G19" s="1"/>
      <c r="H19" s="130"/>
      <c r="I19" s="130"/>
    </row>
    <row r="20" spans="1:10" s="2" customFormat="1" ht="14.25" customHeight="1" x14ac:dyDescent="0.2">
      <c r="A20" s="127">
        <v>45107</v>
      </c>
      <c r="B20" s="9" t="s">
        <v>11</v>
      </c>
      <c r="C20" s="76" t="s">
        <v>49</v>
      </c>
      <c r="D20" s="11" t="s">
        <v>29</v>
      </c>
      <c r="F20" s="31">
        <v>130704</v>
      </c>
      <c r="G20" s="1"/>
      <c r="H20" s="130"/>
      <c r="I20" s="130"/>
    </row>
    <row r="21" spans="1:10" s="2" customFormat="1" ht="14.25" customHeight="1" x14ac:dyDescent="0.2">
      <c r="A21" s="127">
        <v>45107</v>
      </c>
      <c r="B21" s="9" t="s">
        <v>11</v>
      </c>
      <c r="C21" s="76" t="s">
        <v>28</v>
      </c>
      <c r="D21" s="11" t="s">
        <v>29</v>
      </c>
      <c r="F21" s="31">
        <v>252490.5</v>
      </c>
      <c r="G21" s="1"/>
      <c r="H21" s="130"/>
      <c r="I21" s="130"/>
    </row>
    <row r="22" spans="1:10" s="2" customFormat="1" ht="14.25" customHeight="1" x14ac:dyDescent="0.2">
      <c r="A22" s="127">
        <v>45107</v>
      </c>
      <c r="B22" s="9" t="s">
        <v>11</v>
      </c>
      <c r="C22" s="76" t="s">
        <v>41</v>
      </c>
      <c r="D22" s="11" t="s">
        <v>29</v>
      </c>
      <c r="F22" s="31">
        <v>95696</v>
      </c>
      <c r="G22" s="1"/>
      <c r="H22" s="130"/>
      <c r="I22" s="130"/>
    </row>
    <row r="23" spans="1:10" s="2" customFormat="1" ht="14.25" customHeight="1" x14ac:dyDescent="0.2">
      <c r="A23" s="127">
        <v>45107</v>
      </c>
      <c r="B23" s="9" t="s">
        <v>11</v>
      </c>
      <c r="C23" s="76" t="s">
        <v>541</v>
      </c>
      <c r="D23" s="11" t="s">
        <v>29</v>
      </c>
      <c r="F23" s="31">
        <v>77295</v>
      </c>
      <c r="G23" s="1"/>
      <c r="H23" s="130"/>
      <c r="I23" s="130"/>
    </row>
    <row r="24" spans="1:10" s="2" customFormat="1" ht="14.25" customHeight="1" x14ac:dyDescent="0.2">
      <c r="A24" s="127">
        <v>45107</v>
      </c>
      <c r="B24" s="9" t="s">
        <v>11</v>
      </c>
      <c r="C24" s="76" t="s">
        <v>1151</v>
      </c>
      <c r="D24" s="11" t="s">
        <v>29</v>
      </c>
      <c r="F24" s="31">
        <v>18762</v>
      </c>
      <c r="G24" s="1"/>
      <c r="H24" s="130"/>
      <c r="I24" s="130"/>
    </row>
    <row r="25" spans="1:10" s="2" customFormat="1" ht="14.25" customHeight="1" x14ac:dyDescent="0.2">
      <c r="A25" s="127">
        <v>45107</v>
      </c>
      <c r="B25" s="9" t="s">
        <v>11</v>
      </c>
      <c r="C25" s="76" t="s">
        <v>971</v>
      </c>
      <c r="D25" s="11" t="s">
        <v>29</v>
      </c>
      <c r="F25" s="31">
        <v>300000</v>
      </c>
      <c r="G25" s="1"/>
      <c r="H25" s="130"/>
      <c r="I25" s="130"/>
    </row>
    <row r="26" spans="1:10" s="2" customFormat="1" ht="14.25" customHeight="1" x14ac:dyDescent="0.2">
      <c r="A26" s="127">
        <v>45107</v>
      </c>
      <c r="B26" s="9" t="s">
        <v>11</v>
      </c>
      <c r="C26" s="76" t="s">
        <v>228</v>
      </c>
      <c r="D26" s="11" t="s">
        <v>29</v>
      </c>
      <c r="F26" s="31">
        <v>93868</v>
      </c>
      <c r="G26" s="1"/>
      <c r="H26" s="130"/>
      <c r="I26" s="130"/>
    </row>
    <row r="27" spans="1:10" s="2" customFormat="1" ht="14.25" customHeight="1" x14ac:dyDescent="0.2">
      <c r="A27" s="127">
        <v>45107</v>
      </c>
      <c r="B27" s="9" t="s">
        <v>11</v>
      </c>
      <c r="C27" s="76" t="s">
        <v>338</v>
      </c>
      <c r="D27" s="11" t="s">
        <v>29</v>
      </c>
      <c r="F27" s="31">
        <v>70781.240000000005</v>
      </c>
      <c r="G27" s="1"/>
      <c r="H27" s="130"/>
      <c r="I27" s="130"/>
    </row>
    <row r="28" spans="1:10" s="2" customFormat="1" ht="14.25" customHeight="1" x14ac:dyDescent="0.2">
      <c r="A28" s="127">
        <v>45107</v>
      </c>
      <c r="B28" s="9" t="s">
        <v>11</v>
      </c>
      <c r="C28" s="76" t="s">
        <v>339</v>
      </c>
      <c r="D28" s="11" t="s">
        <v>29</v>
      </c>
      <c r="F28" s="31">
        <v>107640.74</v>
      </c>
      <c r="G28" s="1"/>
      <c r="H28" s="130"/>
      <c r="I28" s="130"/>
    </row>
    <row r="29" spans="1:10" s="2" customFormat="1" ht="14.25" customHeight="1" x14ac:dyDescent="0.2">
      <c r="A29" s="127">
        <v>45107</v>
      </c>
      <c r="B29" s="9" t="s">
        <v>11</v>
      </c>
      <c r="C29" s="76" t="s">
        <v>1068</v>
      </c>
      <c r="D29" s="11" t="s">
        <v>29</v>
      </c>
      <c r="F29" s="31">
        <v>14072</v>
      </c>
      <c r="G29" s="1"/>
      <c r="H29" s="130"/>
      <c r="I29" s="130"/>
    </row>
    <row r="30" spans="1:10" s="2" customFormat="1" ht="14.25" customHeight="1" x14ac:dyDescent="0.2">
      <c r="A30" s="127">
        <v>45107</v>
      </c>
      <c r="B30" s="9" t="s">
        <v>11</v>
      </c>
      <c r="C30" s="76" t="s">
        <v>1152</v>
      </c>
      <c r="D30" s="11" t="s">
        <v>29</v>
      </c>
      <c r="F30" s="31">
        <v>7678.86</v>
      </c>
      <c r="G30" s="1"/>
      <c r="H30" s="130"/>
      <c r="I30" s="130"/>
    </row>
    <row r="31" spans="1:10" s="2" customFormat="1" ht="12.75" customHeight="1" x14ac:dyDescent="0.4">
      <c r="D31" s="15" t="s">
        <v>8</v>
      </c>
      <c r="E31" s="16">
        <f>SUM(E13:E30)</f>
        <v>175854</v>
      </c>
      <c r="F31" s="16">
        <f>SUM(F12:F30)</f>
        <v>27829325.839999996</v>
      </c>
      <c r="G31" s="1"/>
      <c r="H31" s="112"/>
      <c r="I31" s="112"/>
    </row>
    <row r="32" spans="1:10" s="2" customFormat="1" ht="12.75" customHeight="1" x14ac:dyDescent="0.4">
      <c r="A32" s="17"/>
      <c r="B32" s="18"/>
      <c r="C32" s="96" t="s">
        <v>9</v>
      </c>
      <c r="D32" s="20"/>
      <c r="E32" s="21">
        <f>+F31-E31</f>
        <v>27653471.839999996</v>
      </c>
      <c r="G32" s="23"/>
      <c r="H32" s="112"/>
      <c r="I32" s="112"/>
      <c r="J32" s="13"/>
    </row>
    <row r="33" spans="1:10" s="2" customFormat="1" ht="12.75" customHeight="1" x14ac:dyDescent="0.4">
      <c r="A33" s="24"/>
      <c r="B33" s="1"/>
      <c r="C33" s="14"/>
      <c r="D33" s="25"/>
      <c r="G33" s="23"/>
      <c r="H33" s="112"/>
      <c r="I33" s="112"/>
      <c r="J33" s="13"/>
    </row>
    <row r="34" spans="1:10" s="2" customFormat="1" ht="21.75" customHeight="1" x14ac:dyDescent="0.4">
      <c r="A34" s="214" t="s">
        <v>10</v>
      </c>
      <c r="B34" s="214"/>
      <c r="C34" s="214"/>
      <c r="D34" s="214"/>
      <c r="E34" s="214"/>
      <c r="F34" s="214"/>
      <c r="G34" s="13"/>
      <c r="H34" s="112"/>
      <c r="I34" s="112"/>
      <c r="J34" s="13"/>
    </row>
    <row r="35" spans="1:10" s="2" customFormat="1" ht="12.75" customHeight="1" x14ac:dyDescent="0.4">
      <c r="A35" s="26" t="s">
        <v>1</v>
      </c>
      <c r="B35" s="27" t="s">
        <v>2</v>
      </c>
      <c r="C35" s="5"/>
      <c r="D35" s="6" t="s">
        <v>3</v>
      </c>
      <c r="E35" s="7" t="s">
        <v>4</v>
      </c>
      <c r="F35" s="7" t="s">
        <v>5</v>
      </c>
      <c r="G35" s="23"/>
      <c r="H35" s="112"/>
      <c r="I35" s="112"/>
      <c r="J35" s="13"/>
    </row>
    <row r="36" spans="1:10" s="2" customFormat="1" ht="12.75" customHeight="1" x14ac:dyDescent="0.2">
      <c r="A36" s="127">
        <v>45107</v>
      </c>
      <c r="B36" s="128" t="s">
        <v>11</v>
      </c>
      <c r="C36" s="29" t="s">
        <v>7</v>
      </c>
      <c r="D36" s="25"/>
      <c r="E36" s="31"/>
      <c r="F36" s="2">
        <v>259842136.76999998</v>
      </c>
      <c r="G36" s="30"/>
      <c r="I36" s="13"/>
      <c r="J36" s="13"/>
    </row>
    <row r="37" spans="1:10" s="70" customFormat="1" ht="12.75" customHeight="1" x14ac:dyDescent="0.2">
      <c r="A37" s="127">
        <v>45107</v>
      </c>
      <c r="B37" s="128" t="s">
        <v>6</v>
      </c>
      <c r="C37" s="76" t="s">
        <v>20</v>
      </c>
      <c r="D37" s="125" t="s">
        <v>13</v>
      </c>
      <c r="E37" s="31">
        <v>281521</v>
      </c>
      <c r="G37" s="30"/>
      <c r="I37" s="69"/>
      <c r="J37" s="69"/>
    </row>
    <row r="38" spans="1:10" s="70" customFormat="1" ht="12.75" customHeight="1" x14ac:dyDescent="0.2">
      <c r="A38" s="127">
        <v>45107</v>
      </c>
      <c r="B38" s="128" t="s">
        <v>6</v>
      </c>
      <c r="C38" s="76" t="s">
        <v>411</v>
      </c>
      <c r="D38" s="125" t="s">
        <v>13</v>
      </c>
      <c r="E38" s="31">
        <v>63720</v>
      </c>
      <c r="G38" s="30"/>
      <c r="I38" s="69"/>
      <c r="J38" s="69"/>
    </row>
    <row r="39" spans="1:10" s="70" customFormat="1" ht="12.75" customHeight="1" x14ac:dyDescent="0.2">
      <c r="A39" s="127">
        <v>45107</v>
      </c>
      <c r="B39" s="128" t="s">
        <v>6</v>
      </c>
      <c r="C39" s="76" t="s">
        <v>1153</v>
      </c>
      <c r="D39" s="125" t="s">
        <v>13</v>
      </c>
      <c r="E39" s="31">
        <v>269099</v>
      </c>
      <c r="G39" s="30"/>
      <c r="I39" s="69"/>
      <c r="J39" s="69"/>
    </row>
    <row r="40" spans="1:10" s="70" customFormat="1" ht="12.75" customHeight="1" x14ac:dyDescent="0.2">
      <c r="A40" s="127">
        <v>45107</v>
      </c>
      <c r="B40" s="128" t="s">
        <v>6</v>
      </c>
      <c r="C40" s="76" t="s">
        <v>646</v>
      </c>
      <c r="D40" s="125" t="s">
        <v>13</v>
      </c>
      <c r="E40" s="31">
        <v>302492</v>
      </c>
      <c r="G40" s="30"/>
      <c r="I40" s="69"/>
      <c r="J40" s="69"/>
    </row>
    <row r="41" spans="1:10" s="70" customFormat="1" ht="12.75" customHeight="1" x14ac:dyDescent="0.2">
      <c r="A41" s="127">
        <v>45107</v>
      </c>
      <c r="B41" s="128" t="s">
        <v>6</v>
      </c>
      <c r="C41" s="76" t="s">
        <v>746</v>
      </c>
      <c r="D41" s="125" t="s">
        <v>13</v>
      </c>
      <c r="E41" s="31">
        <v>937769</v>
      </c>
      <c r="G41" s="30"/>
      <c r="I41" s="69"/>
      <c r="J41" s="69"/>
    </row>
    <row r="42" spans="1:10" s="70" customFormat="1" ht="12.75" customHeight="1" x14ac:dyDescent="0.2">
      <c r="A42" s="127">
        <v>45107</v>
      </c>
      <c r="B42" s="128" t="s">
        <v>6</v>
      </c>
      <c r="C42" s="76" t="s">
        <v>201</v>
      </c>
      <c r="D42" s="125" t="s">
        <v>13</v>
      </c>
      <c r="E42" s="31">
        <v>1322305</v>
      </c>
      <c r="G42" s="30"/>
      <c r="I42" s="69"/>
      <c r="J42" s="69"/>
    </row>
    <row r="43" spans="1:10" s="70" customFormat="1" ht="12.75" customHeight="1" x14ac:dyDescent="0.2">
      <c r="A43" s="127">
        <v>45107</v>
      </c>
      <c r="B43" s="128" t="s">
        <v>6</v>
      </c>
      <c r="C43" s="76" t="s">
        <v>972</v>
      </c>
      <c r="D43" s="125" t="s">
        <v>13</v>
      </c>
      <c r="E43" s="31">
        <v>184038</v>
      </c>
      <c r="G43" s="30"/>
      <c r="I43" s="69"/>
      <c r="J43" s="69"/>
    </row>
    <row r="44" spans="1:10" s="70" customFormat="1" ht="12.75" customHeight="1" x14ac:dyDescent="0.2">
      <c r="A44" s="127">
        <v>45107</v>
      </c>
      <c r="B44" s="128" t="s">
        <v>6</v>
      </c>
      <c r="C44" s="76" t="s">
        <v>425</v>
      </c>
      <c r="D44" s="125" t="s">
        <v>13</v>
      </c>
      <c r="E44" s="31">
        <v>751637</v>
      </c>
      <c r="G44" s="30"/>
      <c r="I44" s="69"/>
      <c r="J44" s="69"/>
    </row>
    <row r="45" spans="1:10" s="70" customFormat="1" ht="12.75" customHeight="1" x14ac:dyDescent="0.2">
      <c r="A45" s="127">
        <v>45107</v>
      </c>
      <c r="B45" s="128" t="s">
        <v>6</v>
      </c>
      <c r="C45" s="76" t="s">
        <v>510</v>
      </c>
      <c r="D45" s="125" t="s">
        <v>13</v>
      </c>
      <c r="E45" s="31">
        <v>219811</v>
      </c>
      <c r="G45" s="30"/>
      <c r="I45" s="69"/>
      <c r="J45" s="69"/>
    </row>
    <row r="46" spans="1:10" s="70" customFormat="1" ht="12.75" customHeight="1" x14ac:dyDescent="0.2">
      <c r="A46" s="127">
        <v>45107</v>
      </c>
      <c r="B46" s="128" t="s">
        <v>6</v>
      </c>
      <c r="C46" s="76" t="s">
        <v>149</v>
      </c>
      <c r="D46" s="125" t="s">
        <v>13</v>
      </c>
      <c r="E46" s="31">
        <v>18971</v>
      </c>
      <c r="G46" s="30"/>
      <c r="I46" s="69"/>
      <c r="J46" s="69"/>
    </row>
    <row r="47" spans="1:10" s="70" customFormat="1" ht="12.75" customHeight="1" x14ac:dyDescent="0.2">
      <c r="A47" s="127">
        <v>45107</v>
      </c>
      <c r="B47" s="128" t="s">
        <v>6</v>
      </c>
      <c r="C47" s="76" t="s">
        <v>389</v>
      </c>
      <c r="D47" s="125" t="s">
        <v>13</v>
      </c>
      <c r="E47" s="31">
        <v>246737.42</v>
      </c>
      <c r="G47" s="30"/>
      <c r="I47" s="69"/>
      <c r="J47" s="69"/>
    </row>
    <row r="48" spans="1:10" s="70" customFormat="1" ht="12.75" customHeight="1" x14ac:dyDescent="0.2">
      <c r="A48" s="127">
        <v>45107</v>
      </c>
      <c r="B48" s="128" t="s">
        <v>6</v>
      </c>
      <c r="C48" s="76" t="s">
        <v>237</v>
      </c>
      <c r="D48" s="125" t="s">
        <v>13</v>
      </c>
      <c r="E48" s="31">
        <v>1979482</v>
      </c>
      <c r="G48" s="30"/>
      <c r="I48" s="69"/>
      <c r="J48" s="69"/>
    </row>
    <row r="49" spans="1:10" s="70" customFormat="1" ht="12.75" customHeight="1" x14ac:dyDescent="0.2">
      <c r="A49" s="127">
        <v>45107</v>
      </c>
      <c r="B49" s="128" t="s">
        <v>6</v>
      </c>
      <c r="C49" s="76" t="s">
        <v>379</v>
      </c>
      <c r="D49" s="125" t="s">
        <v>13</v>
      </c>
      <c r="E49" s="31">
        <v>5356015.7699999996</v>
      </c>
      <c r="G49" s="30"/>
      <c r="I49" s="69"/>
      <c r="J49" s="69"/>
    </row>
    <row r="50" spans="1:10" s="70" customFormat="1" ht="12.75" customHeight="1" x14ac:dyDescent="0.2">
      <c r="A50" s="127">
        <v>45107</v>
      </c>
      <c r="B50" s="128" t="s">
        <v>6</v>
      </c>
      <c r="C50" s="76" t="s">
        <v>145</v>
      </c>
      <c r="D50" s="125" t="s">
        <v>13</v>
      </c>
      <c r="E50" s="31">
        <v>410562</v>
      </c>
      <c r="G50" s="30"/>
      <c r="I50" s="69"/>
      <c r="J50" s="69"/>
    </row>
    <row r="51" spans="1:10" s="70" customFormat="1" ht="12.75" customHeight="1" x14ac:dyDescent="0.2">
      <c r="A51" s="127">
        <v>45107</v>
      </c>
      <c r="B51" s="128" t="s">
        <v>6</v>
      </c>
      <c r="C51" s="76" t="s">
        <v>830</v>
      </c>
      <c r="D51" s="125" t="s">
        <v>13</v>
      </c>
      <c r="E51" s="31">
        <v>3108335.62</v>
      </c>
      <c r="G51" s="30"/>
      <c r="I51" s="69"/>
      <c r="J51" s="69"/>
    </row>
    <row r="52" spans="1:10" s="70" customFormat="1" ht="12.75" customHeight="1" x14ac:dyDescent="0.2">
      <c r="A52" s="127">
        <v>45107</v>
      </c>
      <c r="B52" s="128" t="s">
        <v>6</v>
      </c>
      <c r="C52" s="76" t="s">
        <v>947</v>
      </c>
      <c r="D52" s="125" t="s">
        <v>13</v>
      </c>
      <c r="E52" s="31">
        <v>3641590</v>
      </c>
      <c r="G52" s="30"/>
      <c r="I52" s="69"/>
      <c r="J52" s="69"/>
    </row>
    <row r="53" spans="1:10" s="70" customFormat="1" ht="12.75" customHeight="1" x14ac:dyDescent="0.2">
      <c r="A53" s="127">
        <v>45107</v>
      </c>
      <c r="B53" s="128" t="s">
        <v>6</v>
      </c>
      <c r="C53" s="76" t="s">
        <v>27</v>
      </c>
      <c r="D53" s="125" t="s">
        <v>13</v>
      </c>
      <c r="E53" s="31">
        <v>95774.5</v>
      </c>
      <c r="G53" s="30"/>
      <c r="I53" s="69"/>
      <c r="J53" s="69"/>
    </row>
    <row r="54" spans="1:10" s="70" customFormat="1" ht="12.75" customHeight="1" x14ac:dyDescent="0.2">
      <c r="A54" s="127">
        <v>45107</v>
      </c>
      <c r="B54" s="128" t="s">
        <v>6</v>
      </c>
      <c r="C54" s="76" t="s">
        <v>15</v>
      </c>
      <c r="D54" s="125" t="s">
        <v>13</v>
      </c>
      <c r="E54" s="31">
        <v>17624.990000000002</v>
      </c>
      <c r="G54" s="30"/>
      <c r="I54" s="69"/>
      <c r="J54" s="69"/>
    </row>
    <row r="55" spans="1:10" s="70" customFormat="1" ht="12.75" customHeight="1" x14ac:dyDescent="0.2">
      <c r="A55" s="127">
        <v>45107</v>
      </c>
      <c r="B55" s="128" t="s">
        <v>6</v>
      </c>
      <c r="C55" s="76" t="s">
        <v>120</v>
      </c>
      <c r="D55" s="125" t="s">
        <v>13</v>
      </c>
      <c r="E55" s="31">
        <v>1855506</v>
      </c>
      <c r="G55" s="30"/>
      <c r="I55" s="69"/>
      <c r="J55" s="69"/>
    </row>
    <row r="56" spans="1:10" s="70" customFormat="1" ht="12.75" customHeight="1" x14ac:dyDescent="0.2">
      <c r="A56" s="127">
        <v>45107</v>
      </c>
      <c r="B56" s="128" t="s">
        <v>6</v>
      </c>
      <c r="C56" s="76" t="s">
        <v>564</v>
      </c>
      <c r="D56" s="125" t="s">
        <v>13</v>
      </c>
      <c r="E56" s="31">
        <v>4386348.96</v>
      </c>
      <c r="G56" s="30"/>
      <c r="I56" s="69"/>
      <c r="J56" s="69"/>
    </row>
    <row r="57" spans="1:10" s="70" customFormat="1" ht="12.75" customHeight="1" x14ac:dyDescent="0.2">
      <c r="A57" s="127">
        <v>45107</v>
      </c>
      <c r="B57" s="128" t="s">
        <v>6</v>
      </c>
      <c r="C57" s="76" t="s">
        <v>219</v>
      </c>
      <c r="D57" s="125" t="s">
        <v>13</v>
      </c>
      <c r="E57" s="31">
        <v>918447</v>
      </c>
      <c r="G57" s="30"/>
      <c r="I57" s="69"/>
      <c r="J57" s="69"/>
    </row>
    <row r="58" spans="1:10" s="70" customFormat="1" ht="12.75" customHeight="1" x14ac:dyDescent="0.2">
      <c r="A58" s="127">
        <v>45107</v>
      </c>
      <c r="B58" s="128" t="s">
        <v>11</v>
      </c>
      <c r="C58" s="76" t="s">
        <v>156</v>
      </c>
      <c r="D58" s="11" t="s">
        <v>29</v>
      </c>
      <c r="E58" s="129"/>
      <c r="F58" s="31">
        <v>34876.82</v>
      </c>
      <c r="G58" s="30"/>
      <c r="I58" s="69"/>
      <c r="J58" s="69"/>
    </row>
    <row r="59" spans="1:10" s="70" customFormat="1" ht="12.75" customHeight="1" x14ac:dyDescent="0.2">
      <c r="A59" s="127">
        <v>45107</v>
      </c>
      <c r="B59" s="128" t="s">
        <v>11</v>
      </c>
      <c r="C59" s="76" t="s">
        <v>635</v>
      </c>
      <c r="D59" s="11" t="s">
        <v>29</v>
      </c>
      <c r="E59" s="129"/>
      <c r="F59" s="31">
        <v>1042951</v>
      </c>
      <c r="G59" s="30"/>
      <c r="I59" s="69"/>
      <c r="J59" s="69"/>
    </row>
    <row r="60" spans="1:10" s="70" customFormat="1" ht="12.75" customHeight="1" x14ac:dyDescent="0.2">
      <c r="A60" s="127">
        <v>45107</v>
      </c>
      <c r="B60" s="128" t="s">
        <v>11</v>
      </c>
      <c r="C60" s="76" t="s">
        <v>733</v>
      </c>
      <c r="D60" s="11" t="s">
        <v>29</v>
      </c>
      <c r="E60" s="129"/>
      <c r="F60" s="31">
        <v>208603</v>
      </c>
      <c r="G60" s="30"/>
      <c r="I60" s="69"/>
      <c r="J60" s="69"/>
    </row>
    <row r="61" spans="1:10" s="70" customFormat="1" ht="12.75" customHeight="1" x14ac:dyDescent="0.2">
      <c r="A61" s="127">
        <v>45107</v>
      </c>
      <c r="B61" s="128" t="s">
        <v>11</v>
      </c>
      <c r="C61" s="76" t="s">
        <v>732</v>
      </c>
      <c r="D61" s="11" t="s">
        <v>29</v>
      </c>
      <c r="E61" s="129"/>
      <c r="F61" s="31">
        <v>312904</v>
      </c>
      <c r="G61" s="30"/>
      <c r="I61" s="69"/>
      <c r="J61" s="69"/>
    </row>
    <row r="62" spans="1:10" s="70" customFormat="1" ht="12.75" customHeight="1" x14ac:dyDescent="0.2">
      <c r="A62" s="127">
        <v>45107</v>
      </c>
      <c r="B62" s="128" t="s">
        <v>11</v>
      </c>
      <c r="C62" s="76" t="s">
        <v>256</v>
      </c>
      <c r="D62" s="11" t="s">
        <v>29</v>
      </c>
      <c r="E62" s="129"/>
      <c r="F62" s="31">
        <v>540558</v>
      </c>
      <c r="G62" s="30"/>
      <c r="I62" s="69"/>
      <c r="J62" s="69"/>
    </row>
    <row r="63" spans="1:10" s="70" customFormat="1" ht="12.75" customHeight="1" x14ac:dyDescent="0.2">
      <c r="A63" s="127">
        <v>45107</v>
      </c>
      <c r="B63" s="128" t="s">
        <v>11</v>
      </c>
      <c r="C63" s="76" t="s">
        <v>650</v>
      </c>
      <c r="D63" s="11" t="s">
        <v>29</v>
      </c>
      <c r="E63" s="129"/>
      <c r="F63" s="31">
        <v>762597</v>
      </c>
      <c r="G63" s="30"/>
      <c r="I63" s="69"/>
      <c r="J63" s="69"/>
    </row>
    <row r="64" spans="1:10" s="70" customFormat="1" ht="12.75" customHeight="1" x14ac:dyDescent="0.2">
      <c r="A64" s="127">
        <v>45107</v>
      </c>
      <c r="B64" s="128" t="s">
        <v>11</v>
      </c>
      <c r="C64" s="76" t="s">
        <v>500</v>
      </c>
      <c r="D64" s="11" t="s">
        <v>29</v>
      </c>
      <c r="E64" s="129"/>
      <c r="F64" s="31">
        <v>7434594</v>
      </c>
      <c r="G64" s="30"/>
      <c r="I64" s="69"/>
      <c r="J64" s="69"/>
    </row>
    <row r="65" spans="1:13" s="70" customFormat="1" ht="12.75" customHeight="1" x14ac:dyDescent="0.2">
      <c r="A65" s="127">
        <v>45107</v>
      </c>
      <c r="B65" s="128" t="s">
        <v>11</v>
      </c>
      <c r="C65" s="76" t="s">
        <v>858</v>
      </c>
      <c r="D65" s="11" t="s">
        <v>29</v>
      </c>
      <c r="E65" s="129"/>
      <c r="F65" s="31">
        <v>23150</v>
      </c>
      <c r="G65" s="30"/>
      <c r="I65" s="69"/>
      <c r="J65" s="69"/>
    </row>
    <row r="66" spans="1:13" s="70" customFormat="1" ht="12.75" customHeight="1" x14ac:dyDescent="0.2">
      <c r="A66" s="127">
        <v>45107</v>
      </c>
      <c r="B66" s="128" t="s">
        <v>11</v>
      </c>
      <c r="C66" s="76" t="s">
        <v>62</v>
      </c>
      <c r="D66" s="11" t="s">
        <v>29</v>
      </c>
      <c r="E66" s="129"/>
      <c r="F66" s="31">
        <v>10000</v>
      </c>
      <c r="G66" s="30"/>
      <c r="I66" s="69"/>
      <c r="J66" s="69"/>
    </row>
    <row r="67" spans="1:13" s="70" customFormat="1" ht="12.75" customHeight="1" x14ac:dyDescent="0.2">
      <c r="A67" s="127">
        <v>45107</v>
      </c>
      <c r="B67" s="128" t="s">
        <v>11</v>
      </c>
      <c r="C67" s="76" t="s">
        <v>368</v>
      </c>
      <c r="D67" s="11" t="s">
        <v>29</v>
      </c>
      <c r="E67" s="129"/>
      <c r="F67" s="31">
        <v>714647</v>
      </c>
      <c r="G67" s="30"/>
      <c r="I67" s="69"/>
      <c r="J67" s="69"/>
    </row>
    <row r="68" spans="1:13" s="70" customFormat="1" ht="12.75" customHeight="1" x14ac:dyDescent="0.2">
      <c r="A68" s="127">
        <v>45107</v>
      </c>
      <c r="B68" s="128" t="s">
        <v>11</v>
      </c>
      <c r="C68" s="76" t="s">
        <v>302</v>
      </c>
      <c r="D68" s="11" t="s">
        <v>29</v>
      </c>
      <c r="E68" s="129"/>
      <c r="F68" s="31">
        <v>8500</v>
      </c>
      <c r="G68" s="30"/>
      <c r="I68" s="69"/>
      <c r="J68" s="69"/>
    </row>
    <row r="69" spans="1:13" s="70" customFormat="1" ht="12.75" customHeight="1" x14ac:dyDescent="0.2">
      <c r="A69" s="127">
        <v>45107</v>
      </c>
      <c r="B69" s="128" t="s">
        <v>11</v>
      </c>
      <c r="C69" s="76" t="s">
        <v>447</v>
      </c>
      <c r="D69" s="11" t="s">
        <v>29</v>
      </c>
      <c r="E69" s="129"/>
      <c r="F69" s="31">
        <v>297000</v>
      </c>
      <c r="G69" s="30"/>
      <c r="I69" s="69"/>
      <c r="J69" s="69"/>
    </row>
    <row r="70" spans="1:13" s="70" customFormat="1" ht="12.75" customHeight="1" x14ac:dyDescent="0.2">
      <c r="A70" s="127">
        <v>45107</v>
      </c>
      <c r="B70" s="128" t="s">
        <v>11</v>
      </c>
      <c r="C70" s="76" t="s">
        <v>738</v>
      </c>
      <c r="D70" s="11" t="s">
        <v>29</v>
      </c>
      <c r="E70" s="129"/>
      <c r="F70" s="31">
        <v>74717.48</v>
      </c>
      <c r="G70" s="30"/>
      <c r="I70" s="69"/>
      <c r="J70" s="69"/>
    </row>
    <row r="71" spans="1:13" s="70" customFormat="1" ht="12.75" customHeight="1" x14ac:dyDescent="0.2">
      <c r="A71" s="127">
        <v>45107</v>
      </c>
      <c r="B71" s="128" t="s">
        <v>11</v>
      </c>
      <c r="C71" s="76" t="s">
        <v>940</v>
      </c>
      <c r="D71" s="11" t="s">
        <v>29</v>
      </c>
      <c r="E71" s="129"/>
      <c r="F71" s="31">
        <v>11800</v>
      </c>
      <c r="G71" s="30"/>
      <c r="I71" s="69"/>
      <c r="J71" s="69"/>
    </row>
    <row r="72" spans="1:13" s="70" customFormat="1" ht="12.75" customHeight="1" x14ac:dyDescent="0.2">
      <c r="A72" s="127">
        <v>45107</v>
      </c>
      <c r="B72" s="128" t="s">
        <v>11</v>
      </c>
      <c r="C72" s="76" t="s">
        <v>16</v>
      </c>
      <c r="D72" s="11" t="s">
        <v>29</v>
      </c>
      <c r="E72" s="129"/>
      <c r="F72" s="31">
        <v>825609</v>
      </c>
      <c r="G72" s="30"/>
      <c r="I72" s="69"/>
      <c r="J72" s="69"/>
    </row>
    <row r="73" spans="1:13" s="70" customFormat="1" ht="12.75" customHeight="1" x14ac:dyDescent="0.2">
      <c r="A73" s="127">
        <v>45107</v>
      </c>
      <c r="B73" s="128" t="s">
        <v>11</v>
      </c>
      <c r="C73" s="76" t="s">
        <v>57</v>
      </c>
      <c r="D73" s="11" t="s">
        <v>29</v>
      </c>
      <c r="E73" s="129"/>
      <c r="F73" s="31">
        <v>28000000</v>
      </c>
      <c r="G73" s="30"/>
      <c r="I73" s="69"/>
      <c r="J73" s="69"/>
    </row>
    <row r="74" spans="1:13" s="70" customFormat="1" ht="12.75" customHeight="1" x14ac:dyDescent="0.2">
      <c r="A74" s="127">
        <v>45107</v>
      </c>
      <c r="B74" s="128" t="s">
        <v>11</v>
      </c>
      <c r="C74" s="76" t="s">
        <v>313</v>
      </c>
      <c r="D74" s="11" t="s">
        <v>29</v>
      </c>
      <c r="E74" s="129"/>
      <c r="F74" s="31">
        <v>750141</v>
      </c>
      <c r="G74" s="30"/>
      <c r="I74" s="69"/>
      <c r="J74" s="69"/>
    </row>
    <row r="75" spans="1:13" s="70" customFormat="1" ht="12.75" customHeight="1" x14ac:dyDescent="0.2">
      <c r="A75" s="127">
        <v>45107</v>
      </c>
      <c r="B75" s="128" t="s">
        <v>11</v>
      </c>
      <c r="C75" s="76" t="s">
        <v>703</v>
      </c>
      <c r="D75" s="11" t="s">
        <v>29</v>
      </c>
      <c r="E75" s="129"/>
      <c r="F75" s="31">
        <v>20000</v>
      </c>
      <c r="G75" s="30"/>
      <c r="I75" s="69"/>
      <c r="J75" s="69"/>
    </row>
    <row r="76" spans="1:13" s="70" customFormat="1" ht="12.75" customHeight="1" x14ac:dyDescent="0.2">
      <c r="A76" s="127">
        <v>45107</v>
      </c>
      <c r="B76" s="128" t="s">
        <v>11</v>
      </c>
      <c r="C76" s="76" t="s">
        <v>493</v>
      </c>
      <c r="D76" s="11" t="s">
        <v>29</v>
      </c>
      <c r="E76" s="129"/>
      <c r="F76" s="31">
        <v>28620</v>
      </c>
      <c r="G76" s="30"/>
      <c r="I76" s="69"/>
      <c r="J76" s="69"/>
    </row>
    <row r="77" spans="1:13" s="70" customFormat="1" ht="12.75" customHeight="1" x14ac:dyDescent="0.2">
      <c r="A77" s="127">
        <v>45107</v>
      </c>
      <c r="B77" s="128" t="s">
        <v>11</v>
      </c>
      <c r="C77" s="76" t="s">
        <v>214</v>
      </c>
      <c r="D77" s="11" t="s">
        <v>29</v>
      </c>
      <c r="E77" s="129"/>
      <c r="F77" s="31">
        <v>2190465</v>
      </c>
      <c r="G77" s="30"/>
      <c r="I77" s="69"/>
      <c r="J77" s="69"/>
    </row>
    <row r="78" spans="1:13" s="70" customFormat="1" ht="12.75" customHeight="1" x14ac:dyDescent="0.2">
      <c r="A78" s="127">
        <v>45107</v>
      </c>
      <c r="B78" s="128" t="s">
        <v>11</v>
      </c>
      <c r="C78" s="76" t="s">
        <v>442</v>
      </c>
      <c r="D78" s="11" t="s">
        <v>29</v>
      </c>
      <c r="E78" s="129"/>
      <c r="F78" s="31">
        <v>1980232</v>
      </c>
      <c r="G78" s="30"/>
      <c r="I78" s="69"/>
      <c r="J78" s="69"/>
    </row>
    <row r="79" spans="1:13" s="70" customFormat="1" ht="12.75" customHeight="1" x14ac:dyDescent="0.2">
      <c r="A79" s="127">
        <v>45107</v>
      </c>
      <c r="B79" s="128" t="s">
        <v>11</v>
      </c>
      <c r="C79" s="76" t="s">
        <v>306</v>
      </c>
      <c r="D79" s="11" t="s">
        <v>29</v>
      </c>
      <c r="E79" s="129"/>
      <c r="F79" s="31">
        <v>3593441</v>
      </c>
      <c r="G79" s="30"/>
      <c r="I79" s="69"/>
      <c r="J79" s="69"/>
    </row>
    <row r="80" spans="1:13" s="2" customFormat="1" ht="12.75" customHeight="1" x14ac:dyDescent="0.25">
      <c r="A80" s="32"/>
      <c r="B80" s="33"/>
      <c r="C80" s="14"/>
      <c r="D80" s="34"/>
      <c r="E80" s="16">
        <f>SUM(E36:E79)</f>
        <v>26367787.259999998</v>
      </c>
      <c r="F80" s="16">
        <f>SUM(F36:F79)</f>
        <v>308707543.06999999</v>
      </c>
      <c r="G80" s="30"/>
      <c r="H80" s="1"/>
      <c r="I80" s="39">
        <v>282339755.81</v>
      </c>
      <c r="K80" s="92">
        <f>E81-I80</f>
        <v>0</v>
      </c>
      <c r="L80" s="41"/>
      <c r="M80" s="42"/>
    </row>
    <row r="81" spans="1:14" s="2" customFormat="1" ht="12.75" customHeight="1" x14ac:dyDescent="0.2">
      <c r="A81" s="36"/>
      <c r="B81" s="28" t="s">
        <v>11</v>
      </c>
      <c r="C81" s="19" t="s">
        <v>65</v>
      </c>
      <c r="D81" s="37"/>
      <c r="E81" s="38">
        <f>F80-E80</f>
        <v>282339755.81</v>
      </c>
      <c r="F81" s="22"/>
      <c r="G81" s="1"/>
      <c r="H81" s="1"/>
      <c r="J81" s="1"/>
      <c r="K81" s="1"/>
      <c r="L81" s="1"/>
      <c r="M81" s="1"/>
    </row>
    <row r="82" spans="1:14" s="2" customFormat="1" ht="12.75" customHeight="1" x14ac:dyDescent="0.2">
      <c r="A82" s="36"/>
      <c r="B82" s="28" t="s">
        <v>66</v>
      </c>
      <c r="C82" s="43" t="s">
        <v>67</v>
      </c>
      <c r="D82" s="43"/>
      <c r="E82" s="12">
        <v>59416310</v>
      </c>
      <c r="F82" s="22"/>
      <c r="G82" s="1"/>
      <c r="H82" s="40"/>
      <c r="I82" s="45">
        <v>4370.51</v>
      </c>
      <c r="J82" s="46"/>
      <c r="K82" s="46"/>
      <c r="L82" s="13"/>
    </row>
    <row r="83" spans="1:14" s="2" customFormat="1" ht="12.75" customHeight="1" x14ac:dyDescent="0.25">
      <c r="A83" s="36"/>
      <c r="B83" s="28"/>
      <c r="C83" s="44" t="s">
        <v>68</v>
      </c>
      <c r="D83" s="43"/>
      <c r="E83" s="7">
        <f>E81+E82</f>
        <v>341756065.81</v>
      </c>
      <c r="F83" s="22"/>
      <c r="G83" s="1"/>
      <c r="H83" s="103" t="s">
        <v>69</v>
      </c>
      <c r="I83" s="45">
        <v>-92.5</v>
      </c>
      <c r="J83" s="46"/>
      <c r="K83" s="46"/>
      <c r="N83" s="1"/>
    </row>
    <row r="84" spans="1:14" s="2" customFormat="1" x14ac:dyDescent="0.2">
      <c r="A84" s="24"/>
      <c r="B84" s="1"/>
      <c r="C84" s="14"/>
      <c r="D84" s="25"/>
      <c r="E84" s="1"/>
      <c r="H84" s="35" t="s">
        <v>70</v>
      </c>
      <c r="I84" s="45">
        <f>54.96+13.06</f>
        <v>68.02</v>
      </c>
      <c r="J84" s="46">
        <f>+I85-D87</f>
        <v>0</v>
      </c>
      <c r="M84" s="2" t="s">
        <v>396</v>
      </c>
      <c r="N84" s="1"/>
    </row>
    <row r="85" spans="1:14" x14ac:dyDescent="0.2">
      <c r="C85" s="56"/>
      <c r="D85" s="56"/>
      <c r="E85" s="104"/>
      <c r="I85" s="49">
        <f>SUM(I82:I84)</f>
        <v>4346.0300000000007</v>
      </c>
      <c r="J85" s="46"/>
      <c r="K85" s="46"/>
      <c r="L85" s="2"/>
      <c r="M85" s="2"/>
      <c r="N85" s="2"/>
    </row>
    <row r="86" spans="1:14" x14ac:dyDescent="0.2">
      <c r="C86" s="78" t="s">
        <v>575</v>
      </c>
      <c r="D86" s="48" t="s">
        <v>576</v>
      </c>
      <c r="E86" s="104"/>
      <c r="I86" s="2"/>
      <c r="J86" s="2"/>
      <c r="K86" s="2"/>
      <c r="L86" s="2"/>
      <c r="M86" s="2"/>
      <c r="N86" s="2"/>
    </row>
    <row r="87" spans="1:14" s="2" customFormat="1" x14ac:dyDescent="0.2">
      <c r="A87" s="24"/>
      <c r="B87" s="1"/>
      <c r="C87" s="47" t="s">
        <v>570</v>
      </c>
      <c r="D87" s="111">
        <v>4346.03</v>
      </c>
      <c r="E87" s="104"/>
      <c r="G87" s="1"/>
      <c r="H87" s="110" t="s">
        <v>581</v>
      </c>
      <c r="N87" s="2" t="s">
        <v>535</v>
      </c>
    </row>
    <row r="88" spans="1:14" s="2" customFormat="1" x14ac:dyDescent="0.2">
      <c r="A88" s="24"/>
      <c r="B88" s="1"/>
      <c r="C88" s="47" t="s">
        <v>931</v>
      </c>
      <c r="D88" s="111">
        <v>525.29999999999995</v>
      </c>
      <c r="E88" s="104"/>
      <c r="G88" s="1"/>
      <c r="H88" s="110" t="s">
        <v>580</v>
      </c>
    </row>
    <row r="89" spans="1:14" s="2" customFormat="1" x14ac:dyDescent="0.2">
      <c r="A89" s="24"/>
      <c r="B89" s="1"/>
      <c r="C89" s="47" t="s">
        <v>572</v>
      </c>
      <c r="D89" s="111">
        <f>+D137/100000</f>
        <v>499.86274459999998</v>
      </c>
      <c r="E89" s="104"/>
      <c r="G89" s="1"/>
      <c r="H89" s="90" t="s">
        <v>587</v>
      </c>
    </row>
    <row r="90" spans="1:14" s="2" customFormat="1" x14ac:dyDescent="0.2">
      <c r="A90" s="24"/>
      <c r="B90" s="1"/>
      <c r="C90" s="108" t="s">
        <v>578</v>
      </c>
      <c r="D90" s="48">
        <f>SUM(D87:D89)</f>
        <v>5371.1927446</v>
      </c>
      <c r="E90" s="104"/>
      <c r="G90" s="1"/>
    </row>
    <row r="91" spans="1:14" s="2" customFormat="1" x14ac:dyDescent="0.2">
      <c r="A91" s="24"/>
      <c r="B91" s="1"/>
      <c r="C91" s="47"/>
      <c r="D91" s="107"/>
      <c r="E91" s="104"/>
      <c r="G91" s="1"/>
    </row>
    <row r="92" spans="1:14" s="2" customFormat="1" x14ac:dyDescent="0.2">
      <c r="A92" s="24"/>
      <c r="B92" s="1"/>
      <c r="C92" s="47" t="s">
        <v>932</v>
      </c>
      <c r="D92" s="111">
        <v>392.64</v>
      </c>
      <c r="E92" s="104"/>
      <c r="G92" s="1"/>
      <c r="H92" s="110" t="s">
        <v>581</v>
      </c>
    </row>
    <row r="93" spans="1:14" s="2" customFormat="1" x14ac:dyDescent="0.2">
      <c r="A93" s="24"/>
      <c r="B93" s="1"/>
      <c r="C93" s="136" t="s">
        <v>1142</v>
      </c>
      <c r="D93" s="111">
        <f>478.09+179.5-210.33</f>
        <v>447.25999999999988</v>
      </c>
      <c r="E93" s="104"/>
      <c r="G93" s="1"/>
      <c r="H93" s="110" t="s">
        <v>581</v>
      </c>
      <c r="J93" s="114" t="s">
        <v>713</v>
      </c>
    </row>
    <row r="94" spans="1:14" s="2" customFormat="1" x14ac:dyDescent="0.2">
      <c r="A94" s="24"/>
      <c r="B94" s="1"/>
      <c r="C94" s="78" t="s">
        <v>579</v>
      </c>
      <c r="D94" s="109">
        <f>D92+D93</f>
        <v>839.89999999999986</v>
      </c>
      <c r="E94" s="104"/>
      <c r="G94" s="1"/>
      <c r="I94" s="113"/>
      <c r="J94" s="113" t="s">
        <v>709</v>
      </c>
      <c r="K94" s="113" t="s">
        <v>710</v>
      </c>
      <c r="L94" s="113" t="s">
        <v>711</v>
      </c>
      <c r="M94" s="113" t="s">
        <v>712</v>
      </c>
    </row>
    <row r="95" spans="1:14" s="2" customFormat="1" x14ac:dyDescent="0.2">
      <c r="A95" s="24"/>
      <c r="B95" s="1"/>
      <c r="C95" s="105"/>
      <c r="D95" s="106"/>
      <c r="E95" s="104"/>
      <c r="G95" s="1"/>
      <c r="I95" s="113" t="s">
        <v>706</v>
      </c>
      <c r="J95" s="115"/>
      <c r="K95" s="115">
        <v>968.99</v>
      </c>
      <c r="L95" s="115">
        <v>968.99</v>
      </c>
      <c r="M95" s="113">
        <f>+J95+L95-K95</f>
        <v>0</v>
      </c>
    </row>
    <row r="96" spans="1:14" s="2" customFormat="1" x14ac:dyDescent="0.2">
      <c r="A96" s="24"/>
      <c r="B96" s="1"/>
      <c r="C96" s="78" t="s">
        <v>577</v>
      </c>
      <c r="D96" s="109">
        <f>D87+D94</f>
        <v>5185.9299999999994</v>
      </c>
      <c r="E96" s="104"/>
      <c r="G96" s="1"/>
      <c r="I96" s="113" t="s">
        <v>707</v>
      </c>
      <c r="J96" s="115">
        <v>183.1</v>
      </c>
      <c r="K96" s="115">
        <v>2486.27</v>
      </c>
      <c r="L96" s="115">
        <v>3177.12</v>
      </c>
      <c r="M96" s="113">
        <f>+J96+L96-K96</f>
        <v>873.94999999999982</v>
      </c>
    </row>
    <row r="97" spans="1:13" s="2" customFormat="1" x14ac:dyDescent="0.2">
      <c r="A97" s="24"/>
      <c r="B97" s="1"/>
      <c r="C97" s="56"/>
      <c r="D97" s="56"/>
      <c r="E97" s="104"/>
      <c r="G97" s="1"/>
      <c r="I97" s="113" t="s">
        <v>708</v>
      </c>
      <c r="J97" s="115">
        <v>1371.02</v>
      </c>
      <c r="K97" s="115">
        <v>12309.81</v>
      </c>
      <c r="L97" s="115">
        <v>12404.17</v>
      </c>
      <c r="M97" s="113">
        <f>+J97+L97-K97</f>
        <v>1465.380000000001</v>
      </c>
    </row>
    <row r="98" spans="1:13" s="2" customFormat="1" ht="38.25" x14ac:dyDescent="0.2">
      <c r="A98" s="24"/>
      <c r="B98" s="1"/>
      <c r="C98" s="79" t="str">
        <f>"Particulars ( 01-04-2021 to "&amp;TEXT(A5,"dd-mm-yyyy")&amp;" )"</f>
        <v>Particulars ( 01-04-2021 to 30-06-2023 )</v>
      </c>
      <c r="D98" s="80" t="s">
        <v>73</v>
      </c>
      <c r="E98" s="80" t="s">
        <v>74</v>
      </c>
      <c r="F98" s="81" t="s">
        <v>75</v>
      </c>
      <c r="G98" s="80" t="s">
        <v>76</v>
      </c>
      <c r="J98" s="118">
        <f>SUM(J95:J97)</f>
        <v>1554.12</v>
      </c>
      <c r="K98" s="118">
        <f>SUM(K95:K97)</f>
        <v>15765.07</v>
      </c>
      <c r="L98" s="118">
        <f>SUM(L95:L97)</f>
        <v>16550.28</v>
      </c>
      <c r="M98" s="118">
        <f>SUM(M95:M97)</f>
        <v>2339.3300000000008</v>
      </c>
    </row>
    <row r="99" spans="1:13" s="2" customFormat="1" x14ac:dyDescent="0.2">
      <c r="A99" s="24"/>
      <c r="B99" s="1"/>
      <c r="C99" s="50" t="s">
        <v>444</v>
      </c>
      <c r="D99" s="55">
        <f>+L95+L96+J96</f>
        <v>4329.21</v>
      </c>
      <c r="E99" s="55">
        <f>+K95+K96</f>
        <v>3455.26</v>
      </c>
      <c r="F99" s="55">
        <f>+D99-E99</f>
        <v>873.94999999999982</v>
      </c>
      <c r="G99" s="55">
        <f>1500-F99</f>
        <v>626.05000000000018</v>
      </c>
      <c r="H99" s="2" t="s">
        <v>396</v>
      </c>
    </row>
    <row r="100" spans="1:13" s="2" customFormat="1" x14ac:dyDescent="0.2">
      <c r="A100" s="24"/>
      <c r="B100" s="1"/>
      <c r="C100" s="50" t="s">
        <v>71</v>
      </c>
      <c r="D100" s="55">
        <f>+J97+L97</f>
        <v>13775.19</v>
      </c>
      <c r="E100" s="55">
        <f>+K97</f>
        <v>12309.81</v>
      </c>
      <c r="F100" s="55">
        <f>+D100-E100</f>
        <v>1465.380000000001</v>
      </c>
      <c r="G100" s="55">
        <f>1500+700-F100</f>
        <v>734.61999999999898</v>
      </c>
      <c r="H100" s="2" t="s">
        <v>396</v>
      </c>
    </row>
    <row r="101" spans="1:13" s="2" customFormat="1" x14ac:dyDescent="0.2">
      <c r="A101" s="24"/>
      <c r="B101" s="1"/>
      <c r="C101" s="14"/>
      <c r="D101" s="56"/>
      <c r="E101" s="13"/>
      <c r="G101" s="1"/>
    </row>
    <row r="102" spans="1:13" s="2" customFormat="1" x14ac:dyDescent="0.2">
      <c r="A102" s="215" t="s">
        <v>80</v>
      </c>
      <c r="B102" s="216"/>
      <c r="C102" s="216"/>
      <c r="D102" s="217"/>
      <c r="E102" s="69"/>
      <c r="F102" s="70"/>
      <c r="G102" s="1"/>
      <c r="H102" s="53"/>
    </row>
    <row r="103" spans="1:13" s="2" customFormat="1" x14ac:dyDescent="0.2">
      <c r="A103" s="71" t="s">
        <v>81</v>
      </c>
      <c r="B103" s="71"/>
      <c r="C103" s="72" t="s">
        <v>82</v>
      </c>
      <c r="D103" s="73" t="s">
        <v>83</v>
      </c>
      <c r="E103" s="69"/>
      <c r="F103" s="70"/>
      <c r="H103" s="53"/>
    </row>
    <row r="104" spans="1:13" s="2" customFormat="1" x14ac:dyDescent="0.2">
      <c r="A104" s="87">
        <v>45080</v>
      </c>
      <c r="B104" s="120" t="s">
        <v>1052</v>
      </c>
      <c r="C104" s="75" t="s">
        <v>86</v>
      </c>
      <c r="D104" s="88">
        <v>163799</v>
      </c>
      <c r="G104" s="1"/>
      <c r="L104" s="1"/>
      <c r="M104" s="1"/>
    </row>
    <row r="105" spans="1:13" s="2" customFormat="1" x14ac:dyDescent="0.2">
      <c r="A105" s="87">
        <v>45080</v>
      </c>
      <c r="B105" s="120" t="s">
        <v>1052</v>
      </c>
      <c r="C105" s="75" t="s">
        <v>86</v>
      </c>
      <c r="D105" s="88">
        <v>1695107</v>
      </c>
      <c r="G105" s="1"/>
      <c r="L105" s="1"/>
      <c r="M105" s="1"/>
    </row>
    <row r="106" spans="1:13" s="2" customFormat="1" x14ac:dyDescent="0.2">
      <c r="A106" s="87">
        <v>45082</v>
      </c>
      <c r="B106" s="120" t="s">
        <v>1052</v>
      </c>
      <c r="C106" s="75" t="s">
        <v>87</v>
      </c>
      <c r="D106" s="88">
        <v>6627</v>
      </c>
      <c r="G106" s="1"/>
      <c r="L106" s="1"/>
      <c r="M106" s="1"/>
    </row>
    <row r="107" spans="1:13" s="2" customFormat="1" x14ac:dyDescent="0.2">
      <c r="A107" s="87">
        <v>45084</v>
      </c>
      <c r="B107" s="120" t="s">
        <v>1052</v>
      </c>
      <c r="C107" s="75" t="s">
        <v>87</v>
      </c>
      <c r="D107" s="88">
        <v>618395.80000000005</v>
      </c>
      <c r="G107" s="1"/>
      <c r="L107" s="1"/>
      <c r="M107" s="1"/>
    </row>
    <row r="108" spans="1:13" s="2" customFormat="1" x14ac:dyDescent="0.2">
      <c r="A108" s="87">
        <v>45085</v>
      </c>
      <c r="B108" s="120" t="s">
        <v>1052</v>
      </c>
      <c r="C108" s="75" t="s">
        <v>18</v>
      </c>
      <c r="D108" s="88">
        <v>407682</v>
      </c>
      <c r="G108" s="1"/>
      <c r="L108" s="1"/>
      <c r="M108" s="1"/>
    </row>
    <row r="109" spans="1:13" s="2" customFormat="1" x14ac:dyDescent="0.2">
      <c r="A109" s="87">
        <v>45086</v>
      </c>
      <c r="B109" s="120" t="s">
        <v>1052</v>
      </c>
      <c r="C109" s="75" t="s">
        <v>85</v>
      </c>
      <c r="D109" s="88">
        <v>1104724</v>
      </c>
      <c r="G109" s="1"/>
      <c r="L109" s="1"/>
      <c r="M109" s="1"/>
    </row>
    <row r="110" spans="1:13" s="2" customFormat="1" x14ac:dyDescent="0.2">
      <c r="A110" s="87">
        <v>45086</v>
      </c>
      <c r="B110" s="120" t="s">
        <v>1052</v>
      </c>
      <c r="C110" s="75" t="s">
        <v>85</v>
      </c>
      <c r="D110" s="88">
        <v>1489874</v>
      </c>
      <c r="G110" s="1"/>
      <c r="L110" s="1"/>
      <c r="M110" s="1"/>
    </row>
    <row r="111" spans="1:13" s="2" customFormat="1" x14ac:dyDescent="0.2">
      <c r="A111" s="87">
        <v>45086</v>
      </c>
      <c r="B111" s="120" t="s">
        <v>1052</v>
      </c>
      <c r="C111" s="75" t="s">
        <v>86</v>
      </c>
      <c r="D111" s="88">
        <v>1756907</v>
      </c>
      <c r="G111" s="1"/>
      <c r="L111" s="1"/>
      <c r="M111" s="1"/>
    </row>
    <row r="112" spans="1:13" s="2" customFormat="1" x14ac:dyDescent="0.2">
      <c r="A112" s="87">
        <v>45086</v>
      </c>
      <c r="B112" s="120" t="s">
        <v>1052</v>
      </c>
      <c r="C112" s="75" t="s">
        <v>201</v>
      </c>
      <c r="D112" s="88">
        <v>5000192.4400000004</v>
      </c>
      <c r="G112" s="1"/>
      <c r="L112" s="1"/>
      <c r="M112" s="1"/>
    </row>
    <row r="113" spans="1:13" s="2" customFormat="1" x14ac:dyDescent="0.2">
      <c r="A113" s="87">
        <v>45089</v>
      </c>
      <c r="B113" s="120" t="s">
        <v>1052</v>
      </c>
      <c r="C113" s="75" t="s">
        <v>270</v>
      </c>
      <c r="D113" s="88">
        <v>654429</v>
      </c>
      <c r="G113" s="1"/>
      <c r="L113" s="1"/>
      <c r="M113" s="1"/>
    </row>
    <row r="114" spans="1:13" s="2" customFormat="1" x14ac:dyDescent="0.2">
      <c r="A114" s="87">
        <v>45090</v>
      </c>
      <c r="B114" s="120" t="s">
        <v>1052</v>
      </c>
      <c r="C114" s="75" t="s">
        <v>594</v>
      </c>
      <c r="D114" s="88">
        <v>5353676</v>
      </c>
      <c r="G114" s="1"/>
      <c r="L114" s="1"/>
      <c r="M114" s="1"/>
    </row>
    <row r="115" spans="1:13" s="2" customFormat="1" x14ac:dyDescent="0.2">
      <c r="A115" s="87">
        <v>45090</v>
      </c>
      <c r="B115" s="120" t="s">
        <v>1052</v>
      </c>
      <c r="C115" s="75" t="s">
        <v>270</v>
      </c>
      <c r="D115" s="88">
        <v>62180.5</v>
      </c>
      <c r="G115" s="1"/>
      <c r="L115" s="1"/>
      <c r="M115" s="1"/>
    </row>
    <row r="116" spans="1:13" s="2" customFormat="1" x14ac:dyDescent="0.2">
      <c r="A116" s="87">
        <v>45090</v>
      </c>
      <c r="B116" s="120" t="s">
        <v>1052</v>
      </c>
      <c r="C116" s="75" t="s">
        <v>270</v>
      </c>
      <c r="D116" s="88">
        <v>9179</v>
      </c>
      <c r="G116" s="1"/>
      <c r="L116" s="1"/>
      <c r="M116" s="1"/>
    </row>
    <row r="117" spans="1:13" s="2" customFormat="1" x14ac:dyDescent="0.2">
      <c r="A117" s="87">
        <v>45091</v>
      </c>
      <c r="B117" s="120" t="s">
        <v>1052</v>
      </c>
      <c r="C117" s="75" t="s">
        <v>87</v>
      </c>
      <c r="D117" s="88">
        <v>1261201</v>
      </c>
      <c r="G117" s="1"/>
      <c r="L117" s="1"/>
      <c r="M117" s="1"/>
    </row>
    <row r="118" spans="1:13" s="2" customFormat="1" x14ac:dyDescent="0.2">
      <c r="A118" s="87">
        <v>45091</v>
      </c>
      <c r="B118" s="120" t="s">
        <v>1052</v>
      </c>
      <c r="C118" s="75" t="s">
        <v>84</v>
      </c>
      <c r="D118" s="88">
        <v>1000000</v>
      </c>
      <c r="G118" s="1"/>
      <c r="L118" s="1"/>
      <c r="M118" s="1"/>
    </row>
    <row r="119" spans="1:13" s="2" customFormat="1" x14ac:dyDescent="0.2">
      <c r="A119" s="87">
        <v>45092</v>
      </c>
      <c r="B119" s="120" t="s">
        <v>1052</v>
      </c>
      <c r="C119" s="75" t="s">
        <v>18</v>
      </c>
      <c r="D119" s="88">
        <v>1074373</v>
      </c>
      <c r="G119" s="1"/>
      <c r="L119" s="1"/>
      <c r="M119" s="1"/>
    </row>
    <row r="120" spans="1:13" s="2" customFormat="1" x14ac:dyDescent="0.2">
      <c r="A120" s="87">
        <v>45094</v>
      </c>
      <c r="B120" s="120" t="s">
        <v>1052</v>
      </c>
      <c r="C120" s="75" t="s">
        <v>323</v>
      </c>
      <c r="D120" s="88">
        <v>2582806</v>
      </c>
      <c r="G120" s="1"/>
      <c r="L120" s="1"/>
      <c r="M120" s="1"/>
    </row>
    <row r="121" spans="1:13" s="2" customFormat="1" x14ac:dyDescent="0.2">
      <c r="A121" s="87">
        <v>45095</v>
      </c>
      <c r="B121" s="120" t="s">
        <v>1052</v>
      </c>
      <c r="C121" s="75" t="s">
        <v>85</v>
      </c>
      <c r="D121" s="88">
        <v>77650</v>
      </c>
      <c r="G121" s="1"/>
      <c r="L121" s="1"/>
      <c r="M121" s="1"/>
    </row>
    <row r="122" spans="1:13" s="2" customFormat="1" x14ac:dyDescent="0.2">
      <c r="A122" s="87">
        <v>45096</v>
      </c>
      <c r="B122" s="120" t="s">
        <v>1052</v>
      </c>
      <c r="C122" s="75" t="s">
        <v>270</v>
      </c>
      <c r="D122" s="88">
        <v>1475157</v>
      </c>
      <c r="G122" s="1"/>
      <c r="L122" s="1"/>
      <c r="M122" s="1"/>
    </row>
    <row r="123" spans="1:13" s="2" customFormat="1" x14ac:dyDescent="0.2">
      <c r="A123" s="87">
        <v>45096</v>
      </c>
      <c r="B123" s="120" t="s">
        <v>1052</v>
      </c>
      <c r="C123" s="75" t="s">
        <v>270</v>
      </c>
      <c r="D123" s="88">
        <v>741951</v>
      </c>
      <c r="G123" s="1"/>
      <c r="L123" s="1"/>
      <c r="M123" s="1"/>
    </row>
    <row r="124" spans="1:13" s="2" customFormat="1" x14ac:dyDescent="0.2">
      <c r="A124" s="87">
        <v>45096</v>
      </c>
      <c r="B124" s="120" t="s">
        <v>1052</v>
      </c>
      <c r="C124" s="75" t="s">
        <v>270</v>
      </c>
      <c r="D124" s="88">
        <v>1034388</v>
      </c>
      <c r="G124" s="1"/>
      <c r="L124" s="1"/>
      <c r="M124" s="1"/>
    </row>
    <row r="125" spans="1:13" s="2" customFormat="1" x14ac:dyDescent="0.2">
      <c r="A125" s="87">
        <v>45096</v>
      </c>
      <c r="B125" s="120" t="s">
        <v>1052</v>
      </c>
      <c r="C125" s="75" t="s">
        <v>270</v>
      </c>
      <c r="D125" s="88">
        <v>93897</v>
      </c>
      <c r="G125" s="1"/>
      <c r="L125" s="1"/>
      <c r="M125" s="1"/>
    </row>
    <row r="126" spans="1:13" s="2" customFormat="1" x14ac:dyDescent="0.2">
      <c r="A126" s="87">
        <v>45096</v>
      </c>
      <c r="B126" s="120" t="s">
        <v>1052</v>
      </c>
      <c r="C126" s="75" t="s">
        <v>270</v>
      </c>
      <c r="D126" s="88">
        <v>353700</v>
      </c>
      <c r="G126" s="1"/>
      <c r="L126" s="1"/>
      <c r="M126" s="1"/>
    </row>
    <row r="127" spans="1:13" s="2" customFormat="1" x14ac:dyDescent="0.2">
      <c r="A127" s="87">
        <v>45096</v>
      </c>
      <c r="B127" s="120" t="s">
        <v>1052</v>
      </c>
      <c r="C127" s="75" t="s">
        <v>270</v>
      </c>
      <c r="D127" s="88">
        <v>1205410</v>
      </c>
      <c r="G127" s="1"/>
      <c r="L127" s="1"/>
      <c r="M127" s="1"/>
    </row>
    <row r="128" spans="1:13" s="2" customFormat="1" x14ac:dyDescent="0.2">
      <c r="A128" s="87">
        <v>45096</v>
      </c>
      <c r="B128" s="120" t="s">
        <v>1052</v>
      </c>
      <c r="C128" s="75" t="s">
        <v>86</v>
      </c>
      <c r="D128" s="88">
        <v>5053085</v>
      </c>
      <c r="G128" s="1"/>
      <c r="L128" s="1"/>
      <c r="M128" s="1"/>
    </row>
    <row r="129" spans="1:13" s="2" customFormat="1" x14ac:dyDescent="0.2">
      <c r="A129" s="87">
        <v>45096</v>
      </c>
      <c r="B129" s="120" t="s">
        <v>1052</v>
      </c>
      <c r="C129" s="75" t="s">
        <v>88</v>
      </c>
      <c r="D129" s="88">
        <v>1962959.72</v>
      </c>
      <c r="G129" s="1"/>
      <c r="L129" s="1"/>
      <c r="M129" s="1"/>
    </row>
    <row r="130" spans="1:13" s="2" customFormat="1" x14ac:dyDescent="0.2">
      <c r="A130" s="87">
        <v>45098</v>
      </c>
      <c r="B130" s="120" t="s">
        <v>1052</v>
      </c>
      <c r="C130" s="75" t="s">
        <v>86</v>
      </c>
      <c r="D130" s="88">
        <v>2350710</v>
      </c>
      <c r="G130" s="1"/>
      <c r="L130" s="1"/>
      <c r="M130" s="1"/>
    </row>
    <row r="131" spans="1:13" s="2" customFormat="1" x14ac:dyDescent="0.2">
      <c r="A131" s="87">
        <v>45098</v>
      </c>
      <c r="B131" s="120" t="s">
        <v>1052</v>
      </c>
      <c r="C131" s="75" t="s">
        <v>86</v>
      </c>
      <c r="D131" s="88">
        <v>980606</v>
      </c>
      <c r="G131" s="1"/>
      <c r="L131" s="1"/>
      <c r="M131" s="1"/>
    </row>
    <row r="132" spans="1:13" s="2" customFormat="1" x14ac:dyDescent="0.2">
      <c r="A132" s="87">
        <v>45099</v>
      </c>
      <c r="B132" s="120" t="s">
        <v>1052</v>
      </c>
      <c r="C132" s="75" t="s">
        <v>18</v>
      </c>
      <c r="D132" s="88">
        <v>466628</v>
      </c>
      <c r="G132" s="1"/>
      <c r="L132" s="1"/>
      <c r="M132" s="1"/>
    </row>
    <row r="133" spans="1:13" s="2" customFormat="1" x14ac:dyDescent="0.2">
      <c r="A133" s="87">
        <v>45099</v>
      </c>
      <c r="B133" s="120" t="s">
        <v>1052</v>
      </c>
      <c r="C133" s="75" t="s">
        <v>594</v>
      </c>
      <c r="D133" s="88">
        <v>7600365</v>
      </c>
      <c r="G133" s="1"/>
      <c r="L133" s="1"/>
      <c r="M133" s="1"/>
    </row>
    <row r="134" spans="1:13" s="2" customFormat="1" x14ac:dyDescent="0.2">
      <c r="A134" s="87">
        <v>45099</v>
      </c>
      <c r="B134" s="120" t="s">
        <v>1052</v>
      </c>
      <c r="C134" s="75" t="s">
        <v>84</v>
      </c>
      <c r="D134" s="88">
        <v>1500000</v>
      </c>
      <c r="G134" s="1"/>
      <c r="L134" s="1"/>
      <c r="M134" s="1"/>
    </row>
    <row r="135" spans="1:13" s="2" customFormat="1" x14ac:dyDescent="0.2">
      <c r="A135" s="87">
        <v>45103</v>
      </c>
      <c r="B135" s="120" t="s">
        <v>1052</v>
      </c>
      <c r="C135" s="75" t="s">
        <v>87</v>
      </c>
      <c r="D135" s="88">
        <v>818821</v>
      </c>
      <c r="G135" s="1"/>
      <c r="L135" s="1"/>
      <c r="M135" s="1"/>
    </row>
    <row r="136" spans="1:13" s="2" customFormat="1" x14ac:dyDescent="0.2">
      <c r="A136" s="87">
        <v>45104</v>
      </c>
      <c r="B136" s="120" t="s">
        <v>1052</v>
      </c>
      <c r="C136" s="75" t="s">
        <v>270</v>
      </c>
      <c r="D136" s="88">
        <v>29794</v>
      </c>
      <c r="G136" s="1"/>
      <c r="L136" s="1"/>
      <c r="M136" s="1"/>
    </row>
    <row r="137" spans="1:13" s="2" customFormat="1" x14ac:dyDescent="0.2">
      <c r="A137" s="87"/>
      <c r="B137" s="74"/>
      <c r="C137" s="75"/>
      <c r="D137" s="51">
        <f>SUM(D104:D136)</f>
        <v>49986274.460000001</v>
      </c>
      <c r="F137" s="2" t="s">
        <v>396</v>
      </c>
      <c r="G137" s="1"/>
      <c r="L137" s="1"/>
      <c r="M137" s="1"/>
    </row>
    <row r="138" spans="1:13" s="2" customFormat="1" x14ac:dyDescent="0.2">
      <c r="A138" s="24"/>
      <c r="B138" s="1"/>
      <c r="C138" s="14"/>
      <c r="D138" s="56"/>
      <c r="E138" s="13"/>
      <c r="G138" s="1"/>
      <c r="L138" s="1"/>
      <c r="M138" s="1"/>
    </row>
    <row r="139" spans="1:13" s="2" customFormat="1" x14ac:dyDescent="0.2">
      <c r="A139" s="24"/>
      <c r="B139" s="1"/>
      <c r="C139" s="218" t="s">
        <v>77</v>
      </c>
      <c r="D139" s="219"/>
      <c r="E139" s="219"/>
      <c r="F139" s="220"/>
      <c r="G139" s="1"/>
      <c r="L139" s="1"/>
      <c r="M139" s="1"/>
    </row>
    <row r="140" spans="1:13" s="2" customFormat="1" x14ac:dyDescent="0.2">
      <c r="A140" s="24"/>
      <c r="B140" s="1"/>
      <c r="C140" s="50"/>
      <c r="D140" s="57" t="s">
        <v>78</v>
      </c>
      <c r="E140" s="58" t="s">
        <v>79</v>
      </c>
      <c r="F140" s="57" t="s">
        <v>72</v>
      </c>
      <c r="G140" s="1"/>
      <c r="I140" s="1"/>
      <c r="J140" s="1"/>
      <c r="K140" s="1"/>
      <c r="L140" s="1"/>
      <c r="M140" s="1"/>
    </row>
    <row r="141" spans="1:13" s="2" customFormat="1" x14ac:dyDescent="0.2">
      <c r="A141" s="24"/>
      <c r="B141" s="1"/>
      <c r="C141" s="59" t="str">
        <f>"01-06-2023 to "&amp;TEXT(A5-2,"dd-mm-yyyy")</f>
        <v>01-06-2023 to 28-06-2023</v>
      </c>
      <c r="D141" s="60">
        <v>5625.24</v>
      </c>
      <c r="E141" s="60">
        <v>187.7</v>
      </c>
      <c r="F141" s="61">
        <f>SUM(D141:E141)</f>
        <v>5812.94</v>
      </c>
      <c r="G141" s="1"/>
    </row>
    <row r="142" spans="1:13" s="2" customFormat="1" x14ac:dyDescent="0.2">
      <c r="A142" s="24"/>
      <c r="B142" s="1"/>
      <c r="C142" s="62" t="str">
        <f>TEXT(A5-1,"dd-mm-yyyy")</f>
        <v>29-06-2023</v>
      </c>
      <c r="D142" s="60">
        <v>203.64</v>
      </c>
      <c r="E142" s="60">
        <v>8.48</v>
      </c>
      <c r="F142" s="61">
        <f>SUM(D142:E142)</f>
        <v>212.11999999999998</v>
      </c>
      <c r="G142" s="54"/>
      <c r="I142" s="1"/>
      <c r="J142" s="1"/>
      <c r="K142" s="1"/>
      <c r="L142" s="1"/>
      <c r="M142" s="1"/>
    </row>
    <row r="143" spans="1:13" s="2" customFormat="1" ht="13.5" thickBot="1" x14ac:dyDescent="0.25">
      <c r="A143" s="24"/>
      <c r="B143" s="1"/>
      <c r="C143" s="63" t="str">
        <f>"01-06-2023 to "&amp;TEXT(A5-1,"dd-mm-yyyy")</f>
        <v>01-06-2023 to 29-06-2023</v>
      </c>
      <c r="D143" s="64">
        <f>SUM(D141:D142)</f>
        <v>5828.88</v>
      </c>
      <c r="E143" s="64">
        <f>SUM(E141:E142)</f>
        <v>196.17999999999998</v>
      </c>
      <c r="F143" s="64">
        <f>SUM(F141:F142)</f>
        <v>6025.0599999999995</v>
      </c>
      <c r="G143" s="54"/>
      <c r="I143" s="1"/>
      <c r="J143" s="1"/>
      <c r="K143" s="1"/>
      <c r="L143" s="1"/>
      <c r="M143" s="1"/>
    </row>
    <row r="144" spans="1:13" s="2" customFormat="1" ht="13.5" thickTop="1" x14ac:dyDescent="0.2">
      <c r="A144" s="24"/>
      <c r="B144" s="1"/>
      <c r="C144" s="62"/>
      <c r="D144" s="65"/>
      <c r="E144" s="66"/>
      <c r="F144" s="67"/>
      <c r="G144" s="54"/>
      <c r="I144" s="1"/>
      <c r="J144" s="1"/>
      <c r="K144" s="1"/>
      <c r="L144" s="1"/>
      <c r="M144" s="1"/>
    </row>
    <row r="145" spans="1:13" s="2" customFormat="1" x14ac:dyDescent="0.2">
      <c r="A145" s="24"/>
      <c r="B145" s="1"/>
      <c r="C145" s="62" t="str">
        <f>"01-04-2023 to " &amp;C142</f>
        <v>01-04-2023 to 29-06-2023</v>
      </c>
      <c r="D145" s="68">
        <f>+D143+9224.33</f>
        <v>15053.21</v>
      </c>
      <c r="E145" s="68">
        <f>+E143+906.58</f>
        <v>1102.76</v>
      </c>
      <c r="F145" s="68">
        <f>+F143+10130.9</f>
        <v>16155.96</v>
      </c>
      <c r="G145" s="54"/>
      <c r="I145" s="1"/>
      <c r="J145" s="1"/>
      <c r="K145" s="1"/>
      <c r="L145" s="1"/>
      <c r="M145" s="1"/>
    </row>
    <row r="146" spans="1:13" x14ac:dyDescent="0.2">
      <c r="C146" s="52"/>
      <c r="D146" s="85"/>
      <c r="E146" s="53"/>
      <c r="F146" s="53"/>
      <c r="G146" s="54"/>
      <c r="H146" s="2" t="s">
        <v>396</v>
      </c>
    </row>
    <row r="147" spans="1:13" s="2" customFormat="1" x14ac:dyDescent="0.2">
      <c r="A147" s="24"/>
      <c r="B147" s="1"/>
      <c r="C147" s="52"/>
      <c r="D147" s="85"/>
      <c r="E147" s="53"/>
      <c r="F147" s="53"/>
      <c r="G147" s="54"/>
      <c r="H147" s="53"/>
    </row>
    <row r="148" spans="1:13" x14ac:dyDescent="0.2">
      <c r="C148" s="52"/>
      <c r="D148" s="85"/>
      <c r="E148" s="53"/>
      <c r="F148" s="53"/>
      <c r="G148" s="54"/>
      <c r="H148" s="53" t="s">
        <v>396</v>
      </c>
    </row>
    <row r="149" spans="1:13" x14ac:dyDescent="0.2">
      <c r="C149" s="52"/>
      <c r="D149" s="85"/>
      <c r="E149" s="53"/>
      <c r="F149" s="53"/>
      <c r="G149" s="54"/>
      <c r="H149" s="53" t="s">
        <v>396</v>
      </c>
      <c r="J149" s="42"/>
    </row>
    <row r="150" spans="1:13" x14ac:dyDescent="0.2">
      <c r="G150" s="54"/>
      <c r="H150" s="53"/>
      <c r="I150" s="101"/>
    </row>
    <row r="151" spans="1:13" x14ac:dyDescent="0.2">
      <c r="G151" s="54"/>
      <c r="H151" s="53"/>
    </row>
    <row r="152" spans="1:13" x14ac:dyDescent="0.2">
      <c r="G152" s="54"/>
      <c r="H152" s="53"/>
    </row>
    <row r="153" spans="1:13" x14ac:dyDescent="0.2">
      <c r="H153" s="53"/>
    </row>
  </sheetData>
  <mergeCells count="6">
    <mergeCell ref="C139:F139"/>
    <mergeCell ref="A1:G1"/>
    <mergeCell ref="A3:F3"/>
    <mergeCell ref="A10:F10"/>
    <mergeCell ref="A34:F34"/>
    <mergeCell ref="A102:D102"/>
  </mergeCells>
  <conditionalFormatting sqref="G99:G100">
    <cfRule type="cellIs" dxfId="447" priority="1" operator="lessThan">
      <formula>0</formula>
    </cfRule>
  </conditionalFormatting>
  <conditionalFormatting sqref="C36">
    <cfRule type="duplicateValues" dxfId="446" priority="2"/>
  </conditionalFormatting>
  <conditionalFormatting sqref="C37:C79">
    <cfRule type="duplicateValues" dxfId="445" priority="574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Sheet367">
    <pageSetUpPr fitToPage="1"/>
  </sheetPr>
  <dimension ref="A1:N126"/>
  <sheetViews>
    <sheetView topLeftCell="A108" zoomScaleNormal="100" workbookViewId="0">
      <selection activeCell="A78" sqref="A78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85546875" style="14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1154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45108</v>
      </c>
      <c r="B5" s="9" t="s">
        <v>6</v>
      </c>
      <c r="C5" s="10" t="s">
        <v>7</v>
      </c>
      <c r="D5" s="11"/>
      <c r="E5" s="12">
        <v>152715.70000000019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152715.70000000019</v>
      </c>
      <c r="F6" s="16">
        <f>F5</f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+E6-F6</f>
        <v>152715.70000000019</v>
      </c>
      <c r="F7" s="22"/>
      <c r="G7" s="23"/>
      <c r="H7" s="112"/>
      <c r="I7" s="112"/>
      <c r="J7" s="13"/>
    </row>
    <row r="8" spans="1:10" ht="12.75" customHeight="1" x14ac:dyDescent="0.4">
      <c r="H8" s="112"/>
      <c r="I8" s="112"/>
    </row>
    <row r="9" spans="1:10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12"/>
    </row>
    <row r="10" spans="1:10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12"/>
    </row>
    <row r="11" spans="1:10" s="2" customFormat="1" ht="14.25" customHeight="1" x14ac:dyDescent="0.2">
      <c r="A11" s="127">
        <v>45108</v>
      </c>
      <c r="B11" s="9" t="s">
        <v>6</v>
      </c>
      <c r="C11" s="10" t="s">
        <v>7</v>
      </c>
      <c r="D11" s="11"/>
      <c r="F11" s="12">
        <v>27653471.839999996</v>
      </c>
      <c r="G11" s="1"/>
      <c r="H11" s="130" t="s">
        <v>396</v>
      </c>
      <c r="I11" s="130"/>
    </row>
    <row r="12" spans="1:10" s="2" customFormat="1" ht="14.25" customHeight="1" x14ac:dyDescent="0.2">
      <c r="A12" s="127">
        <v>45108</v>
      </c>
      <c r="B12" s="9" t="s">
        <v>6</v>
      </c>
      <c r="C12" s="76" t="s">
        <v>1155</v>
      </c>
      <c r="D12" s="125" t="s">
        <v>13</v>
      </c>
      <c r="E12" s="31">
        <v>75000000</v>
      </c>
      <c r="F12" s="12"/>
      <c r="G12" s="1"/>
      <c r="H12" s="130"/>
      <c r="I12" s="130"/>
    </row>
    <row r="13" spans="1:10" s="2" customFormat="1" ht="14.25" customHeight="1" x14ac:dyDescent="0.2">
      <c r="A13" s="127">
        <v>45108</v>
      </c>
      <c r="B13" s="9" t="s">
        <v>11</v>
      </c>
      <c r="C13" s="76" t="s">
        <v>57</v>
      </c>
      <c r="D13" s="11" t="s">
        <v>29</v>
      </c>
      <c r="F13" s="31">
        <v>42500000</v>
      </c>
      <c r="G13" s="1"/>
      <c r="H13" s="130"/>
      <c r="I13" s="130"/>
    </row>
    <row r="14" spans="1:10" s="2" customFormat="1" ht="14.25" customHeight="1" x14ac:dyDescent="0.2">
      <c r="A14" s="127">
        <v>45108</v>
      </c>
      <c r="B14" s="9" t="s">
        <v>11</v>
      </c>
      <c r="C14" s="76" t="s">
        <v>63</v>
      </c>
      <c r="D14" s="11" t="s">
        <v>29</v>
      </c>
      <c r="F14" s="31">
        <v>32500000</v>
      </c>
      <c r="G14" s="1"/>
      <c r="H14" s="130"/>
      <c r="I14" s="130"/>
    </row>
    <row r="15" spans="1:10" s="2" customFormat="1" ht="14.25" customHeight="1" x14ac:dyDescent="0.2">
      <c r="A15" s="127">
        <v>45108</v>
      </c>
      <c r="B15" s="9" t="s">
        <v>11</v>
      </c>
      <c r="C15" s="76" t="s">
        <v>1156</v>
      </c>
      <c r="D15" s="11" t="s">
        <v>29</v>
      </c>
      <c r="F15" s="31">
        <v>703385.4</v>
      </c>
      <c r="G15" s="1"/>
      <c r="H15" s="130"/>
      <c r="I15" s="130"/>
    </row>
    <row r="16" spans="1:10" s="2" customFormat="1" ht="14.25" customHeight="1" x14ac:dyDescent="0.2">
      <c r="A16" s="127">
        <v>45108</v>
      </c>
      <c r="B16" s="9" t="s">
        <v>11</v>
      </c>
      <c r="C16" s="76" t="s">
        <v>107</v>
      </c>
      <c r="D16" s="11" t="s">
        <v>29</v>
      </c>
      <c r="F16" s="31">
        <v>4792.05</v>
      </c>
      <c r="G16" s="1"/>
      <c r="H16" s="130"/>
      <c r="I16" s="130"/>
    </row>
    <row r="17" spans="1:10" s="2" customFormat="1" ht="14.25" customHeight="1" x14ac:dyDescent="0.2">
      <c r="A17" s="127">
        <v>45108</v>
      </c>
      <c r="B17" s="9" t="s">
        <v>11</v>
      </c>
      <c r="C17" s="76" t="s">
        <v>1157</v>
      </c>
      <c r="D17" s="11" t="s">
        <v>29</v>
      </c>
      <c r="F17" s="31">
        <v>67500</v>
      </c>
      <c r="G17" s="1"/>
      <c r="H17" s="130"/>
      <c r="I17" s="130"/>
    </row>
    <row r="18" spans="1:10" s="2" customFormat="1" ht="14.25" customHeight="1" x14ac:dyDescent="0.2">
      <c r="A18" s="127">
        <v>45108</v>
      </c>
      <c r="B18" s="9" t="s">
        <v>11</v>
      </c>
      <c r="C18" s="76" t="s">
        <v>492</v>
      </c>
      <c r="D18" s="11" t="s">
        <v>29</v>
      </c>
      <c r="F18" s="31">
        <v>39259</v>
      </c>
      <c r="G18" s="1"/>
      <c r="H18" s="130"/>
      <c r="I18" s="130"/>
    </row>
    <row r="19" spans="1:10" s="2" customFormat="1" ht="12.75" customHeight="1" x14ac:dyDescent="0.4">
      <c r="D19" s="15" t="s">
        <v>8</v>
      </c>
      <c r="E19" s="16">
        <f>SUM(E12:E18)</f>
        <v>75000000</v>
      </c>
      <c r="F19" s="16">
        <f>SUM(F11:F18)</f>
        <v>103468408.29000001</v>
      </c>
      <c r="G19" s="1"/>
      <c r="H19" s="112"/>
      <c r="I19" s="112"/>
    </row>
    <row r="20" spans="1:10" s="2" customFormat="1" ht="12.75" customHeight="1" x14ac:dyDescent="0.4">
      <c r="A20" s="17"/>
      <c r="B20" s="18"/>
      <c r="C20" s="96" t="s">
        <v>9</v>
      </c>
      <c r="D20" s="20"/>
      <c r="E20" s="21">
        <f>+F19-E19</f>
        <v>28468408.290000007</v>
      </c>
      <c r="G20" s="23"/>
      <c r="H20" s="112"/>
      <c r="I20" s="112"/>
      <c r="J20" s="13"/>
    </row>
    <row r="21" spans="1:10" s="2" customFormat="1" ht="12.75" customHeight="1" x14ac:dyDescent="0.4">
      <c r="A21" s="24"/>
      <c r="B21" s="1"/>
      <c r="C21" s="14"/>
      <c r="D21" s="25"/>
      <c r="G21" s="23"/>
      <c r="H21" s="112"/>
      <c r="I21" s="112"/>
      <c r="J21" s="13"/>
    </row>
    <row r="22" spans="1:10" s="2" customFormat="1" ht="21.75" customHeight="1" x14ac:dyDescent="0.4">
      <c r="A22" s="214" t="s">
        <v>10</v>
      </c>
      <c r="B22" s="214"/>
      <c r="C22" s="214"/>
      <c r="D22" s="214"/>
      <c r="E22" s="214"/>
      <c r="F22" s="214"/>
      <c r="G22" s="13"/>
      <c r="H22" s="112"/>
      <c r="I22" s="112"/>
      <c r="J22" s="13"/>
    </row>
    <row r="23" spans="1:10" s="2" customFormat="1" ht="12.75" customHeight="1" x14ac:dyDescent="0.4">
      <c r="A23" s="26" t="s">
        <v>1</v>
      </c>
      <c r="B23" s="27" t="s">
        <v>2</v>
      </c>
      <c r="C23" s="5"/>
      <c r="D23" s="6" t="s">
        <v>3</v>
      </c>
      <c r="E23" s="7" t="s">
        <v>4</v>
      </c>
      <c r="F23" s="7" t="s">
        <v>5</v>
      </c>
      <c r="G23" s="23"/>
      <c r="H23" s="112"/>
      <c r="I23" s="112"/>
      <c r="J23" s="13"/>
    </row>
    <row r="24" spans="1:10" s="2" customFormat="1" ht="12.75" customHeight="1" x14ac:dyDescent="0.2">
      <c r="A24" s="127">
        <v>45108</v>
      </c>
      <c r="B24" s="128" t="s">
        <v>11</v>
      </c>
      <c r="C24" s="29" t="s">
        <v>7</v>
      </c>
      <c r="D24" s="25"/>
      <c r="E24" s="31"/>
      <c r="F24" s="2">
        <v>282339755.81</v>
      </c>
      <c r="G24" s="30"/>
      <c r="I24" s="13"/>
      <c r="J24" s="13"/>
    </row>
    <row r="25" spans="1:10" s="70" customFormat="1" ht="12.75" customHeight="1" x14ac:dyDescent="0.2">
      <c r="A25" s="127">
        <v>45108</v>
      </c>
      <c r="B25" s="128" t="s">
        <v>6</v>
      </c>
      <c r="C25" s="76" t="s">
        <v>785</v>
      </c>
      <c r="D25" s="125" t="s">
        <v>13</v>
      </c>
      <c r="E25" s="31">
        <v>5985507</v>
      </c>
      <c r="G25" s="30"/>
      <c r="I25" s="69"/>
      <c r="J25" s="69"/>
    </row>
    <row r="26" spans="1:10" s="70" customFormat="1" ht="12.75" customHeight="1" x14ac:dyDescent="0.2">
      <c r="A26" s="127">
        <v>45108</v>
      </c>
      <c r="B26" s="128" t="s">
        <v>6</v>
      </c>
      <c r="C26" s="76" t="s">
        <v>1153</v>
      </c>
      <c r="D26" s="125" t="s">
        <v>13</v>
      </c>
      <c r="E26" s="31">
        <v>13454</v>
      </c>
      <c r="G26" s="30"/>
      <c r="I26" s="69"/>
      <c r="J26" s="69"/>
    </row>
    <row r="27" spans="1:10" s="70" customFormat="1" ht="12.75" customHeight="1" x14ac:dyDescent="0.2">
      <c r="A27" s="127">
        <v>45108</v>
      </c>
      <c r="B27" s="128" t="s">
        <v>6</v>
      </c>
      <c r="C27" s="76" t="s">
        <v>14</v>
      </c>
      <c r="D27" s="125" t="s">
        <v>13</v>
      </c>
      <c r="E27" s="31">
        <v>984519</v>
      </c>
      <c r="G27" s="30"/>
      <c r="I27" s="69"/>
      <c r="J27" s="69"/>
    </row>
    <row r="28" spans="1:10" s="70" customFormat="1" ht="12.75" customHeight="1" x14ac:dyDescent="0.2">
      <c r="A28" s="127">
        <v>45108</v>
      </c>
      <c r="B28" s="128" t="s">
        <v>6</v>
      </c>
      <c r="C28" s="76" t="s">
        <v>122</v>
      </c>
      <c r="D28" s="125" t="s">
        <v>13</v>
      </c>
      <c r="E28" s="31">
        <v>111715</v>
      </c>
      <c r="G28" s="30"/>
      <c r="I28" s="69"/>
      <c r="J28" s="69"/>
    </row>
    <row r="29" spans="1:10" s="70" customFormat="1" ht="12.75" customHeight="1" x14ac:dyDescent="0.2">
      <c r="A29" s="127">
        <v>45108</v>
      </c>
      <c r="B29" s="128" t="s">
        <v>6</v>
      </c>
      <c r="C29" s="76" t="s">
        <v>148</v>
      </c>
      <c r="D29" s="125" t="s">
        <v>13</v>
      </c>
      <c r="E29" s="31">
        <v>608886.4</v>
      </c>
      <c r="G29" s="30"/>
      <c r="I29" s="69"/>
      <c r="J29" s="69"/>
    </row>
    <row r="30" spans="1:10" s="70" customFormat="1" ht="12.75" customHeight="1" x14ac:dyDescent="0.2">
      <c r="A30" s="127">
        <v>45108</v>
      </c>
      <c r="B30" s="128" t="s">
        <v>6</v>
      </c>
      <c r="C30" s="76" t="s">
        <v>244</v>
      </c>
      <c r="D30" s="125" t="s">
        <v>13</v>
      </c>
      <c r="E30" s="31">
        <v>689030</v>
      </c>
      <c r="G30" s="30"/>
      <c r="I30" s="69"/>
      <c r="J30" s="69"/>
    </row>
    <row r="31" spans="1:10" s="70" customFormat="1" ht="12.75" customHeight="1" x14ac:dyDescent="0.2">
      <c r="A31" s="127">
        <v>45108</v>
      </c>
      <c r="B31" s="128" t="s">
        <v>6</v>
      </c>
      <c r="C31" s="76" t="s">
        <v>366</v>
      </c>
      <c r="D31" s="125" t="s">
        <v>13</v>
      </c>
      <c r="E31" s="31">
        <v>18211</v>
      </c>
      <c r="G31" s="30"/>
      <c r="I31" s="69"/>
      <c r="J31" s="69"/>
    </row>
    <row r="32" spans="1:10" s="70" customFormat="1" ht="12.75" customHeight="1" x14ac:dyDescent="0.2">
      <c r="A32" s="127">
        <v>45108</v>
      </c>
      <c r="B32" s="128" t="s">
        <v>6</v>
      </c>
      <c r="C32" s="76" t="s">
        <v>316</v>
      </c>
      <c r="D32" s="125" t="s">
        <v>13</v>
      </c>
      <c r="E32" s="31">
        <v>1573184</v>
      </c>
      <c r="G32" s="30"/>
      <c r="I32" s="69"/>
      <c r="J32" s="69"/>
    </row>
    <row r="33" spans="1:10" s="70" customFormat="1" ht="12.75" customHeight="1" x14ac:dyDescent="0.2">
      <c r="A33" s="127">
        <v>45108</v>
      </c>
      <c r="B33" s="128" t="s">
        <v>6</v>
      </c>
      <c r="C33" s="76" t="s">
        <v>993</v>
      </c>
      <c r="D33" s="125" t="s">
        <v>13</v>
      </c>
      <c r="E33" s="31">
        <v>487035</v>
      </c>
      <c r="G33" s="30"/>
      <c r="I33" s="69"/>
      <c r="J33" s="69"/>
    </row>
    <row r="34" spans="1:10" s="70" customFormat="1" ht="12.75" customHeight="1" x14ac:dyDescent="0.2">
      <c r="A34" s="127">
        <v>45108</v>
      </c>
      <c r="B34" s="128" t="s">
        <v>6</v>
      </c>
      <c r="C34" s="76" t="s">
        <v>93</v>
      </c>
      <c r="D34" s="125" t="s">
        <v>13</v>
      </c>
      <c r="E34" s="31">
        <v>300000</v>
      </c>
      <c r="G34" s="30"/>
      <c r="I34" s="69"/>
      <c r="J34" s="69"/>
    </row>
    <row r="35" spans="1:10" s="70" customFormat="1" ht="12.75" customHeight="1" x14ac:dyDescent="0.2">
      <c r="A35" s="127">
        <v>45108</v>
      </c>
      <c r="B35" s="128" t="s">
        <v>6</v>
      </c>
      <c r="C35" s="76" t="s">
        <v>669</v>
      </c>
      <c r="D35" s="125" t="s">
        <v>13</v>
      </c>
      <c r="E35" s="31">
        <v>126783</v>
      </c>
      <c r="G35" s="30"/>
      <c r="I35" s="69"/>
      <c r="J35" s="69"/>
    </row>
    <row r="36" spans="1:10" s="70" customFormat="1" ht="12.75" customHeight="1" x14ac:dyDescent="0.2">
      <c r="A36" s="127">
        <v>45108</v>
      </c>
      <c r="B36" s="128" t="s">
        <v>6</v>
      </c>
      <c r="C36" s="76" t="s">
        <v>1158</v>
      </c>
      <c r="D36" s="125" t="s">
        <v>13</v>
      </c>
      <c r="E36" s="31">
        <v>50400</v>
      </c>
      <c r="G36" s="30"/>
      <c r="I36" s="69"/>
      <c r="J36" s="69"/>
    </row>
    <row r="37" spans="1:10" s="70" customFormat="1" ht="12.75" customHeight="1" x14ac:dyDescent="0.2">
      <c r="A37" s="127">
        <v>45108</v>
      </c>
      <c r="B37" s="128" t="s">
        <v>6</v>
      </c>
      <c r="C37" s="76" t="s">
        <v>688</v>
      </c>
      <c r="D37" s="125" t="s">
        <v>13</v>
      </c>
      <c r="E37" s="31">
        <v>350000</v>
      </c>
      <c r="G37" s="30"/>
      <c r="I37" s="69"/>
      <c r="J37" s="69"/>
    </row>
    <row r="38" spans="1:10" s="70" customFormat="1" ht="12.75" customHeight="1" x14ac:dyDescent="0.2">
      <c r="A38" s="127">
        <v>45108</v>
      </c>
      <c r="B38" s="128" t="s">
        <v>6</v>
      </c>
      <c r="C38" s="76" t="s">
        <v>403</v>
      </c>
      <c r="D38" s="125" t="s">
        <v>13</v>
      </c>
      <c r="E38" s="31">
        <v>688016</v>
      </c>
      <c r="G38" s="30"/>
      <c r="I38" s="69"/>
      <c r="J38" s="69"/>
    </row>
    <row r="39" spans="1:10" s="70" customFormat="1" ht="12.75" customHeight="1" x14ac:dyDescent="0.2">
      <c r="A39" s="127">
        <v>45108</v>
      </c>
      <c r="B39" s="128" t="s">
        <v>6</v>
      </c>
      <c r="C39" s="76" t="s">
        <v>149</v>
      </c>
      <c r="D39" s="125" t="s">
        <v>13</v>
      </c>
      <c r="E39" s="31">
        <v>583525</v>
      </c>
      <c r="G39" s="30"/>
      <c r="I39" s="69"/>
      <c r="J39" s="69"/>
    </row>
    <row r="40" spans="1:10" s="70" customFormat="1" ht="12.75" customHeight="1" x14ac:dyDescent="0.2">
      <c r="A40" s="127">
        <v>45108</v>
      </c>
      <c r="B40" s="128" t="s">
        <v>6</v>
      </c>
      <c r="C40" s="76" t="s">
        <v>948</v>
      </c>
      <c r="D40" s="125" t="s">
        <v>13</v>
      </c>
      <c r="E40" s="31">
        <v>459035.5</v>
      </c>
      <c r="G40" s="30"/>
      <c r="I40" s="69"/>
      <c r="J40" s="69"/>
    </row>
    <row r="41" spans="1:10" s="70" customFormat="1" ht="12.75" customHeight="1" x14ac:dyDescent="0.2">
      <c r="A41" s="127">
        <v>45108</v>
      </c>
      <c r="B41" s="128" t="s">
        <v>6</v>
      </c>
      <c r="C41" s="76" t="s">
        <v>760</v>
      </c>
      <c r="D41" s="125" t="s">
        <v>13</v>
      </c>
      <c r="E41" s="31">
        <v>191422.8</v>
      </c>
      <c r="G41" s="30"/>
      <c r="I41" s="69"/>
      <c r="J41" s="69"/>
    </row>
    <row r="42" spans="1:10" s="70" customFormat="1" ht="12.75" customHeight="1" x14ac:dyDescent="0.2">
      <c r="A42" s="127">
        <v>45108</v>
      </c>
      <c r="B42" s="128" t="s">
        <v>6</v>
      </c>
      <c r="C42" s="76" t="s">
        <v>16</v>
      </c>
      <c r="D42" s="125" t="s">
        <v>13</v>
      </c>
      <c r="E42" s="31">
        <v>121219</v>
      </c>
      <c r="G42" s="30"/>
      <c r="I42" s="69"/>
      <c r="J42" s="69"/>
    </row>
    <row r="43" spans="1:10" s="70" customFormat="1" ht="12.75" customHeight="1" x14ac:dyDescent="0.2">
      <c r="A43" s="127">
        <v>45108</v>
      </c>
      <c r="B43" s="128" t="s">
        <v>6</v>
      </c>
      <c r="C43" s="76" t="s">
        <v>756</v>
      </c>
      <c r="D43" s="125" t="s">
        <v>13</v>
      </c>
      <c r="E43" s="31">
        <v>916560</v>
      </c>
      <c r="G43" s="30"/>
      <c r="I43" s="69"/>
      <c r="J43" s="69"/>
    </row>
    <row r="44" spans="1:10" s="70" customFormat="1" ht="12.75" customHeight="1" x14ac:dyDescent="0.2">
      <c r="A44" s="127">
        <v>45108</v>
      </c>
      <c r="B44" s="128" t="s">
        <v>6</v>
      </c>
      <c r="C44" s="76" t="s">
        <v>20</v>
      </c>
      <c r="D44" s="125" t="s">
        <v>13</v>
      </c>
      <c r="E44" s="31">
        <v>314944</v>
      </c>
      <c r="G44" s="30"/>
      <c r="I44" s="69"/>
      <c r="J44" s="69"/>
    </row>
    <row r="45" spans="1:10" s="70" customFormat="1" ht="12.75" customHeight="1" x14ac:dyDescent="0.2">
      <c r="A45" s="127">
        <v>45108</v>
      </c>
      <c r="B45" s="128" t="s">
        <v>6</v>
      </c>
      <c r="C45" s="76" t="s">
        <v>180</v>
      </c>
      <c r="D45" s="125" t="s">
        <v>13</v>
      </c>
      <c r="E45" s="31">
        <v>1544764</v>
      </c>
      <c r="G45" s="30"/>
      <c r="I45" s="69"/>
      <c r="J45" s="69"/>
    </row>
    <row r="46" spans="1:10" s="70" customFormat="1" ht="12.75" customHeight="1" x14ac:dyDescent="0.2">
      <c r="A46" s="127">
        <v>45108</v>
      </c>
      <c r="B46" s="128" t="s">
        <v>6</v>
      </c>
      <c r="C46" s="76" t="s">
        <v>450</v>
      </c>
      <c r="D46" s="125" t="s">
        <v>13</v>
      </c>
      <c r="E46" s="31">
        <v>7627</v>
      </c>
      <c r="G46" s="30"/>
      <c r="I46" s="69"/>
      <c r="J46" s="69"/>
    </row>
    <row r="47" spans="1:10" s="70" customFormat="1" ht="12.75" customHeight="1" x14ac:dyDescent="0.2">
      <c r="A47" s="127">
        <v>45108</v>
      </c>
      <c r="B47" s="128" t="s">
        <v>6</v>
      </c>
      <c r="C47" s="76" t="s">
        <v>15</v>
      </c>
      <c r="D47" s="125" t="s">
        <v>13</v>
      </c>
      <c r="E47" s="31">
        <v>7151.29</v>
      </c>
      <c r="G47" s="30"/>
      <c r="I47" s="69"/>
      <c r="J47" s="69"/>
    </row>
    <row r="48" spans="1:10" s="70" customFormat="1" ht="12.75" customHeight="1" x14ac:dyDescent="0.2">
      <c r="A48" s="127">
        <v>45108</v>
      </c>
      <c r="B48" s="128" t="s">
        <v>6</v>
      </c>
      <c r="C48" s="76" t="s">
        <v>1031</v>
      </c>
      <c r="D48" s="125" t="s">
        <v>13</v>
      </c>
      <c r="E48" s="31">
        <v>97670.650000000023</v>
      </c>
      <c r="G48" s="30"/>
      <c r="I48" s="69"/>
      <c r="J48" s="69"/>
    </row>
    <row r="49" spans="1:10" s="70" customFormat="1" ht="12.75" customHeight="1" x14ac:dyDescent="0.2">
      <c r="A49" s="127">
        <v>45108</v>
      </c>
      <c r="B49" s="128" t="s">
        <v>6</v>
      </c>
      <c r="C49" s="76" t="s">
        <v>27</v>
      </c>
      <c r="D49" s="125" t="s">
        <v>13</v>
      </c>
      <c r="E49" s="31">
        <v>6956859.5600000005</v>
      </c>
      <c r="G49" s="30"/>
      <c r="I49" s="69"/>
      <c r="J49" s="69"/>
    </row>
    <row r="50" spans="1:10" s="70" customFormat="1" ht="12.75" customHeight="1" x14ac:dyDescent="0.2">
      <c r="A50" s="127">
        <v>45108</v>
      </c>
      <c r="B50" s="128" t="s">
        <v>11</v>
      </c>
      <c r="C50" s="76" t="s">
        <v>15</v>
      </c>
      <c r="D50" s="125" t="s">
        <v>29</v>
      </c>
      <c r="E50" s="31"/>
      <c r="F50" s="70">
        <v>99008.03</v>
      </c>
      <c r="G50" s="30"/>
      <c r="I50" s="69"/>
      <c r="J50" s="69"/>
    </row>
    <row r="51" spans="1:10" s="70" customFormat="1" ht="12.75" customHeight="1" x14ac:dyDescent="0.2">
      <c r="A51" s="127">
        <v>45108</v>
      </c>
      <c r="B51" s="128" t="s">
        <v>11</v>
      </c>
      <c r="C51" s="76" t="s">
        <v>64</v>
      </c>
      <c r="D51" s="125" t="s">
        <v>29</v>
      </c>
      <c r="E51" s="31"/>
      <c r="F51" s="70">
        <f>29877.67-5</f>
        <v>29872.67</v>
      </c>
      <c r="G51" s="30"/>
      <c r="I51" s="69"/>
      <c r="J51" s="69"/>
    </row>
    <row r="52" spans="1:10" s="70" customFormat="1" ht="12.75" customHeight="1" x14ac:dyDescent="0.2">
      <c r="A52" s="127">
        <v>45108</v>
      </c>
      <c r="B52" s="128" t="s">
        <v>11</v>
      </c>
      <c r="C52" s="76" t="s">
        <v>1031</v>
      </c>
      <c r="D52" s="125" t="s">
        <v>29</v>
      </c>
      <c r="E52" s="31"/>
      <c r="F52" s="70">
        <v>437076.14</v>
      </c>
      <c r="G52" s="30"/>
      <c r="I52" s="69"/>
      <c r="J52" s="69"/>
    </row>
    <row r="53" spans="1:10" s="70" customFormat="1" ht="12.75" customHeight="1" x14ac:dyDescent="0.2">
      <c r="A53" s="127">
        <v>45108</v>
      </c>
      <c r="B53" s="128" t="s">
        <v>11</v>
      </c>
      <c r="C53" s="76" t="s">
        <v>156</v>
      </c>
      <c r="D53" s="125" t="s">
        <v>29</v>
      </c>
      <c r="E53" s="31"/>
      <c r="F53" s="70">
        <v>1.08</v>
      </c>
      <c r="G53" s="30"/>
      <c r="I53" s="69"/>
      <c r="J53" s="69"/>
    </row>
    <row r="54" spans="1:10" s="70" customFormat="1" ht="12.75" customHeight="1" x14ac:dyDescent="0.2">
      <c r="A54" s="127">
        <v>45108</v>
      </c>
      <c r="B54" s="128" t="s">
        <v>11</v>
      </c>
      <c r="C54" s="76" t="s">
        <v>102</v>
      </c>
      <c r="D54" s="125" t="s">
        <v>29</v>
      </c>
      <c r="E54" s="31"/>
      <c r="F54" s="70">
        <v>2155174</v>
      </c>
      <c r="G54" s="30"/>
      <c r="I54" s="69"/>
      <c r="J54" s="69"/>
    </row>
    <row r="55" spans="1:10" s="70" customFormat="1" ht="12.75" customHeight="1" x14ac:dyDescent="0.2">
      <c r="A55" s="127">
        <v>45108</v>
      </c>
      <c r="B55" s="128" t="s">
        <v>11</v>
      </c>
      <c r="C55" s="76" t="s">
        <v>284</v>
      </c>
      <c r="D55" s="125" t="s">
        <v>29</v>
      </c>
      <c r="E55" s="31"/>
      <c r="F55" s="70">
        <v>1027947</v>
      </c>
      <c r="G55" s="30"/>
      <c r="I55" s="69"/>
      <c r="J55" s="69"/>
    </row>
    <row r="56" spans="1:10" s="70" customFormat="1" ht="12.75" customHeight="1" x14ac:dyDescent="0.2">
      <c r="A56" s="127">
        <v>45108</v>
      </c>
      <c r="B56" s="128" t="s">
        <v>11</v>
      </c>
      <c r="C56" s="76" t="s">
        <v>92</v>
      </c>
      <c r="D56" s="125" t="s">
        <v>29</v>
      </c>
      <c r="E56" s="31"/>
      <c r="F56" s="70">
        <v>16615</v>
      </c>
      <c r="G56" s="30"/>
      <c r="I56" s="69"/>
      <c r="J56" s="69"/>
    </row>
    <row r="57" spans="1:10" s="70" customFormat="1" ht="12.75" customHeight="1" x14ac:dyDescent="0.2">
      <c r="A57" s="127">
        <v>45108</v>
      </c>
      <c r="B57" s="128" t="s">
        <v>11</v>
      </c>
      <c r="C57" s="76" t="s">
        <v>518</v>
      </c>
      <c r="D57" s="125" t="s">
        <v>29</v>
      </c>
      <c r="E57" s="31"/>
      <c r="F57" s="70">
        <v>20302</v>
      </c>
      <c r="G57" s="30"/>
      <c r="I57" s="69"/>
      <c r="J57" s="69"/>
    </row>
    <row r="58" spans="1:10" s="70" customFormat="1" ht="12.75" customHeight="1" x14ac:dyDescent="0.2">
      <c r="A58" s="127">
        <v>45108</v>
      </c>
      <c r="B58" s="128" t="s">
        <v>11</v>
      </c>
      <c r="C58" s="76" t="s">
        <v>324</v>
      </c>
      <c r="D58" s="125" t="s">
        <v>29</v>
      </c>
      <c r="E58" s="31"/>
      <c r="F58" s="70">
        <v>51840</v>
      </c>
      <c r="G58" s="30"/>
      <c r="I58" s="69"/>
      <c r="J58" s="69"/>
    </row>
    <row r="59" spans="1:10" s="70" customFormat="1" ht="12.75" customHeight="1" x14ac:dyDescent="0.2">
      <c r="A59" s="127">
        <v>45108</v>
      </c>
      <c r="B59" s="128" t="s">
        <v>11</v>
      </c>
      <c r="C59" s="76" t="s">
        <v>349</v>
      </c>
      <c r="D59" s="125" t="s">
        <v>29</v>
      </c>
      <c r="E59" s="31"/>
      <c r="F59" s="70">
        <v>8115</v>
      </c>
      <c r="G59" s="30"/>
      <c r="I59" s="69"/>
      <c r="J59" s="69"/>
    </row>
    <row r="60" spans="1:10" s="70" customFormat="1" ht="12.75" customHeight="1" x14ac:dyDescent="0.2">
      <c r="A60" s="127">
        <v>45108</v>
      </c>
      <c r="B60" s="128" t="s">
        <v>11</v>
      </c>
      <c r="C60" s="76" t="s">
        <v>811</v>
      </c>
      <c r="D60" s="125" t="s">
        <v>29</v>
      </c>
      <c r="E60" s="31"/>
      <c r="F60" s="70">
        <v>26000</v>
      </c>
      <c r="G60" s="30"/>
      <c r="I60" s="69"/>
      <c r="J60" s="69"/>
    </row>
    <row r="61" spans="1:10" s="70" customFormat="1" ht="12.75" customHeight="1" x14ac:dyDescent="0.2">
      <c r="A61" s="127">
        <v>45108</v>
      </c>
      <c r="B61" s="128" t="s">
        <v>11</v>
      </c>
      <c r="C61" s="76" t="s">
        <v>1121</v>
      </c>
      <c r="D61" s="125" t="s">
        <v>29</v>
      </c>
      <c r="E61" s="31"/>
      <c r="F61" s="70">
        <v>62996</v>
      </c>
      <c r="G61" s="30"/>
      <c r="I61" s="69"/>
      <c r="J61" s="69"/>
    </row>
    <row r="62" spans="1:10" s="70" customFormat="1" ht="12.75" customHeight="1" x14ac:dyDescent="0.2">
      <c r="A62" s="127">
        <v>45108</v>
      </c>
      <c r="B62" s="128" t="s">
        <v>11</v>
      </c>
      <c r="C62" s="76" t="s">
        <v>339</v>
      </c>
      <c r="D62" s="125" t="s">
        <v>29</v>
      </c>
      <c r="E62" s="31"/>
      <c r="F62" s="70">
        <v>63426.07</v>
      </c>
      <c r="G62" s="30"/>
      <c r="I62" s="69"/>
      <c r="J62" s="69"/>
    </row>
    <row r="63" spans="1:10" s="70" customFormat="1" ht="12.75" customHeight="1" x14ac:dyDescent="0.2">
      <c r="A63" s="127">
        <v>45108</v>
      </c>
      <c r="B63" s="128" t="s">
        <v>11</v>
      </c>
      <c r="C63" s="76" t="s">
        <v>740</v>
      </c>
      <c r="D63" s="125" t="s">
        <v>29</v>
      </c>
      <c r="E63" s="31"/>
      <c r="F63" s="70">
        <v>44098</v>
      </c>
      <c r="G63" s="30"/>
      <c r="I63" s="69"/>
      <c r="J63" s="69"/>
    </row>
    <row r="64" spans="1:10" s="70" customFormat="1" ht="12.75" customHeight="1" x14ac:dyDescent="0.2">
      <c r="A64" s="127">
        <v>45108</v>
      </c>
      <c r="B64" s="128" t="s">
        <v>11</v>
      </c>
      <c r="C64" s="76" t="s">
        <v>738</v>
      </c>
      <c r="D64" s="125" t="s">
        <v>29</v>
      </c>
      <c r="E64" s="31"/>
      <c r="F64" s="70">
        <v>150000</v>
      </c>
      <c r="G64" s="30"/>
      <c r="I64" s="69"/>
      <c r="J64" s="69"/>
    </row>
    <row r="65" spans="1:10" s="70" customFormat="1" ht="12.75" customHeight="1" x14ac:dyDescent="0.2">
      <c r="A65" s="127">
        <v>45108</v>
      </c>
      <c r="B65" s="128" t="s">
        <v>11</v>
      </c>
      <c r="C65" s="76" t="s">
        <v>34</v>
      </c>
      <c r="D65" s="125" t="s">
        <v>29</v>
      </c>
      <c r="E65" s="31"/>
      <c r="F65" s="70">
        <v>75000</v>
      </c>
      <c r="G65" s="30"/>
      <c r="I65" s="69"/>
      <c r="J65" s="69"/>
    </row>
    <row r="66" spans="1:10" s="70" customFormat="1" ht="12.75" customHeight="1" x14ac:dyDescent="0.2">
      <c r="A66" s="127">
        <v>45108</v>
      </c>
      <c r="B66" s="128" t="s">
        <v>11</v>
      </c>
      <c r="C66" s="76" t="s">
        <v>1112</v>
      </c>
      <c r="D66" s="125" t="s">
        <v>29</v>
      </c>
      <c r="E66" s="31"/>
      <c r="F66" s="70">
        <v>327460</v>
      </c>
      <c r="G66" s="30"/>
      <c r="I66" s="69"/>
      <c r="J66" s="69"/>
    </row>
    <row r="67" spans="1:10" s="70" customFormat="1" ht="12.75" customHeight="1" x14ac:dyDescent="0.2">
      <c r="A67" s="127">
        <v>45108</v>
      </c>
      <c r="B67" s="128" t="s">
        <v>11</v>
      </c>
      <c r="C67" s="76" t="s">
        <v>40</v>
      </c>
      <c r="D67" s="125" t="s">
        <v>29</v>
      </c>
      <c r="E67" s="31"/>
      <c r="F67" s="70">
        <v>65171</v>
      </c>
      <c r="G67" s="30"/>
      <c r="I67" s="69"/>
      <c r="J67" s="69"/>
    </row>
    <row r="68" spans="1:10" s="70" customFormat="1" ht="12.75" customHeight="1" x14ac:dyDescent="0.2">
      <c r="A68" s="127">
        <v>45108</v>
      </c>
      <c r="B68" s="128" t="s">
        <v>11</v>
      </c>
      <c r="C68" s="76" t="s">
        <v>38</v>
      </c>
      <c r="D68" s="125" t="s">
        <v>29</v>
      </c>
      <c r="E68" s="31"/>
      <c r="F68" s="70">
        <v>26529.5</v>
      </c>
      <c r="G68" s="30"/>
      <c r="I68" s="69"/>
      <c r="J68" s="69"/>
    </row>
    <row r="69" spans="1:10" s="70" customFormat="1" ht="12.75" customHeight="1" x14ac:dyDescent="0.2">
      <c r="A69" s="127">
        <v>45108</v>
      </c>
      <c r="B69" s="128" t="s">
        <v>11</v>
      </c>
      <c r="C69" s="76" t="s">
        <v>229</v>
      </c>
      <c r="D69" s="125" t="s">
        <v>29</v>
      </c>
      <c r="E69" s="31"/>
      <c r="F69" s="70">
        <v>46020</v>
      </c>
      <c r="G69" s="30"/>
      <c r="I69" s="69"/>
      <c r="J69" s="69"/>
    </row>
    <row r="70" spans="1:10" s="70" customFormat="1" ht="12.75" customHeight="1" x14ac:dyDescent="0.2">
      <c r="A70" s="127">
        <v>45108</v>
      </c>
      <c r="B70" s="128" t="s">
        <v>11</v>
      </c>
      <c r="C70" s="76" t="s">
        <v>392</v>
      </c>
      <c r="D70" s="125" t="s">
        <v>29</v>
      </c>
      <c r="E70" s="31"/>
      <c r="F70" s="70">
        <v>25816</v>
      </c>
      <c r="G70" s="30"/>
      <c r="I70" s="69"/>
      <c r="J70" s="69"/>
    </row>
    <row r="71" spans="1:10" s="70" customFormat="1" ht="12.75" customHeight="1" x14ac:dyDescent="0.2">
      <c r="A71" s="127">
        <v>45108</v>
      </c>
      <c r="B71" s="128" t="s">
        <v>11</v>
      </c>
      <c r="C71" s="76" t="s">
        <v>117</v>
      </c>
      <c r="D71" s="125" t="s">
        <v>29</v>
      </c>
      <c r="E71" s="31"/>
      <c r="F71" s="70">
        <v>23012</v>
      </c>
      <c r="G71" s="30"/>
      <c r="I71" s="69"/>
      <c r="J71" s="69"/>
    </row>
    <row r="72" spans="1:10" s="70" customFormat="1" ht="12.75" customHeight="1" x14ac:dyDescent="0.2">
      <c r="A72" s="127">
        <v>45108</v>
      </c>
      <c r="B72" s="128" t="s">
        <v>11</v>
      </c>
      <c r="C72" s="76" t="s">
        <v>809</v>
      </c>
      <c r="D72" s="125" t="s">
        <v>29</v>
      </c>
      <c r="E72" s="31"/>
      <c r="F72" s="70">
        <v>53100</v>
      </c>
      <c r="G72" s="30"/>
      <c r="I72" s="69"/>
      <c r="J72" s="69"/>
    </row>
    <row r="73" spans="1:10" s="70" customFormat="1" ht="12.75" customHeight="1" x14ac:dyDescent="0.2">
      <c r="A73" s="127">
        <v>45108</v>
      </c>
      <c r="B73" s="128" t="s">
        <v>11</v>
      </c>
      <c r="C73" s="76" t="s">
        <v>312</v>
      </c>
      <c r="D73" s="125" t="s">
        <v>29</v>
      </c>
      <c r="E73" s="31"/>
      <c r="F73" s="70">
        <v>24065</v>
      </c>
      <c r="G73" s="30"/>
      <c r="I73" s="69"/>
      <c r="J73" s="69"/>
    </row>
    <row r="74" spans="1:10" s="70" customFormat="1" ht="12.75" customHeight="1" x14ac:dyDescent="0.2">
      <c r="A74" s="127">
        <v>45108</v>
      </c>
      <c r="B74" s="128" t="s">
        <v>11</v>
      </c>
      <c r="C74" s="76" t="s">
        <v>36</v>
      </c>
      <c r="D74" s="125" t="s">
        <v>29</v>
      </c>
      <c r="E74" s="31"/>
      <c r="F74" s="70">
        <v>6230</v>
      </c>
      <c r="G74" s="30"/>
      <c r="I74" s="69"/>
      <c r="J74" s="69"/>
    </row>
    <row r="75" spans="1:10" s="70" customFormat="1" ht="12.75" customHeight="1" x14ac:dyDescent="0.2">
      <c r="A75" s="127">
        <v>45108</v>
      </c>
      <c r="B75" s="128" t="s">
        <v>11</v>
      </c>
      <c r="C75" s="76" t="s">
        <v>226</v>
      </c>
      <c r="D75" s="125" t="s">
        <v>29</v>
      </c>
      <c r="E75" s="31"/>
      <c r="F75" s="70">
        <v>17502</v>
      </c>
      <c r="G75" s="30"/>
      <c r="I75" s="69"/>
      <c r="J75" s="69"/>
    </row>
    <row r="76" spans="1:10" s="70" customFormat="1" ht="12.75" customHeight="1" x14ac:dyDescent="0.2">
      <c r="A76" s="127">
        <v>45108</v>
      </c>
      <c r="B76" s="128" t="s">
        <v>11</v>
      </c>
      <c r="C76" s="76" t="s">
        <v>753</v>
      </c>
      <c r="D76" s="125" t="s">
        <v>29</v>
      </c>
      <c r="E76" s="31"/>
      <c r="F76" s="70">
        <v>5357</v>
      </c>
      <c r="G76" s="30"/>
      <c r="I76" s="69"/>
      <c r="J76" s="69"/>
    </row>
    <row r="77" spans="1:10" s="70" customFormat="1" ht="12.75" customHeight="1" x14ac:dyDescent="0.2">
      <c r="A77" s="127">
        <v>45108</v>
      </c>
      <c r="B77" s="128" t="s">
        <v>11</v>
      </c>
      <c r="C77" s="76" t="s">
        <v>61</v>
      </c>
      <c r="D77" s="125" t="s">
        <v>29</v>
      </c>
      <c r="E77" s="31"/>
      <c r="F77" s="70">
        <v>58375</v>
      </c>
      <c r="G77" s="30"/>
      <c r="I77" s="69"/>
      <c r="J77" s="69"/>
    </row>
    <row r="78" spans="1:10" s="70" customFormat="1" ht="12.75" customHeight="1" x14ac:dyDescent="0.2">
      <c r="A78" s="127">
        <v>45108</v>
      </c>
      <c r="B78" s="128" t="s">
        <v>11</v>
      </c>
      <c r="C78" s="76" t="s">
        <v>210</v>
      </c>
      <c r="D78" s="125" t="s">
        <v>29</v>
      </c>
      <c r="E78" s="31"/>
      <c r="F78" s="70">
        <v>34102</v>
      </c>
      <c r="G78" s="30"/>
      <c r="I78" s="69"/>
      <c r="J78" s="69"/>
    </row>
    <row r="79" spans="1:10" s="70" customFormat="1" ht="12.75" customHeight="1" x14ac:dyDescent="0.2">
      <c r="A79" s="127">
        <v>45108</v>
      </c>
      <c r="B79" s="128" t="s">
        <v>11</v>
      </c>
      <c r="C79" s="76" t="s">
        <v>43</v>
      </c>
      <c r="D79" s="125" t="s">
        <v>29</v>
      </c>
      <c r="E79" s="31"/>
      <c r="F79" s="70">
        <v>2832</v>
      </c>
      <c r="G79" s="30"/>
      <c r="I79" s="69"/>
      <c r="J79" s="69"/>
    </row>
    <row r="80" spans="1:10" s="70" customFormat="1" ht="12.75" customHeight="1" x14ac:dyDescent="0.2">
      <c r="A80" s="127">
        <v>45108</v>
      </c>
      <c r="B80" s="128" t="s">
        <v>11</v>
      </c>
      <c r="C80" s="76" t="s">
        <v>277</v>
      </c>
      <c r="D80" s="125" t="s">
        <v>29</v>
      </c>
      <c r="E80" s="31"/>
      <c r="F80" s="70">
        <v>42840</v>
      </c>
      <c r="G80" s="30"/>
      <c r="I80" s="69"/>
      <c r="J80" s="69"/>
    </row>
    <row r="81" spans="1:14" s="70" customFormat="1" ht="12.75" customHeight="1" x14ac:dyDescent="0.2">
      <c r="A81" s="127">
        <v>45108</v>
      </c>
      <c r="B81" s="128" t="s">
        <v>11</v>
      </c>
      <c r="C81" s="76" t="s">
        <v>57</v>
      </c>
      <c r="D81" s="125" t="s">
        <v>29</v>
      </c>
      <c r="E81" s="31"/>
      <c r="F81" s="70">
        <v>3000000</v>
      </c>
      <c r="G81" s="30"/>
      <c r="I81" s="69"/>
      <c r="J81" s="69"/>
    </row>
    <row r="82" spans="1:14" s="70" customFormat="1" ht="12.75" customHeight="1" x14ac:dyDescent="0.2">
      <c r="A82" s="127">
        <v>45108</v>
      </c>
      <c r="B82" s="128" t="s">
        <v>11</v>
      </c>
      <c r="C82" s="76" t="s">
        <v>63</v>
      </c>
      <c r="D82" s="125" t="s">
        <v>29</v>
      </c>
      <c r="E82" s="31"/>
      <c r="F82" s="70">
        <v>6000000</v>
      </c>
      <c r="G82" s="30"/>
      <c r="I82" s="69"/>
      <c r="J82" s="69"/>
    </row>
    <row r="83" spans="1:14" s="70" customFormat="1" ht="12.75" customHeight="1" x14ac:dyDescent="0.2">
      <c r="A83" s="127">
        <v>45108</v>
      </c>
      <c r="B83" s="128" t="s">
        <v>11</v>
      </c>
      <c r="C83" s="76" t="s">
        <v>27</v>
      </c>
      <c r="D83" s="125" t="s">
        <v>29</v>
      </c>
      <c r="E83" s="31"/>
      <c r="F83" s="70">
        <v>606586.4</v>
      </c>
      <c r="G83" s="30"/>
      <c r="I83" s="69"/>
      <c r="J83" s="69"/>
    </row>
    <row r="84" spans="1:14" s="70" customFormat="1" ht="12.75" customHeight="1" x14ac:dyDescent="0.2">
      <c r="A84" s="127">
        <v>45108</v>
      </c>
      <c r="B84" s="128" t="s">
        <v>11</v>
      </c>
      <c r="C84" s="76" t="s">
        <v>746</v>
      </c>
      <c r="D84" s="137" t="s">
        <v>1159</v>
      </c>
      <c r="E84" s="129"/>
      <c r="F84" s="31">
        <v>468377</v>
      </c>
      <c r="G84" s="30"/>
      <c r="I84" s="69"/>
      <c r="J84" s="69"/>
    </row>
    <row r="85" spans="1:14" s="2" customFormat="1" ht="12.75" customHeight="1" x14ac:dyDescent="0.25">
      <c r="A85" s="32"/>
      <c r="B85" s="33"/>
      <c r="C85" s="14"/>
      <c r="D85" s="34"/>
      <c r="E85" s="16">
        <f>SUM(E24:E84)</f>
        <v>23187519.200000003</v>
      </c>
      <c r="F85" s="16">
        <f>SUM(F24:F84)</f>
        <v>297440601.69999993</v>
      </c>
      <c r="G85" s="30"/>
      <c r="H85" s="1"/>
      <c r="I85" s="39">
        <v>274253082.5</v>
      </c>
      <c r="K85" s="92">
        <f>E86-I85</f>
        <v>0</v>
      </c>
      <c r="L85" s="41"/>
      <c r="M85" s="42"/>
    </row>
    <row r="86" spans="1:14" s="2" customFormat="1" ht="12.75" customHeight="1" x14ac:dyDescent="0.2">
      <c r="A86" s="36"/>
      <c r="B86" s="28" t="s">
        <v>11</v>
      </c>
      <c r="C86" s="19" t="s">
        <v>65</v>
      </c>
      <c r="D86" s="37"/>
      <c r="E86" s="38">
        <f>F85-E85</f>
        <v>274253082.49999994</v>
      </c>
      <c r="F86" s="22"/>
      <c r="G86" s="1"/>
      <c r="H86" s="1"/>
      <c r="J86" s="1"/>
      <c r="K86" s="1"/>
      <c r="L86" s="1"/>
      <c r="M86" s="1"/>
    </row>
    <row r="87" spans="1:14" s="2" customFormat="1" ht="12.75" customHeight="1" x14ac:dyDescent="0.2">
      <c r="A87" s="36"/>
      <c r="B87" s="28" t="s">
        <v>66</v>
      </c>
      <c r="C87" s="43" t="s">
        <v>67</v>
      </c>
      <c r="D87" s="43"/>
      <c r="E87" s="12">
        <v>59416310</v>
      </c>
      <c r="F87" s="22"/>
      <c r="G87" s="1"/>
      <c r="H87" s="40"/>
      <c r="I87" s="45">
        <v>84.91</v>
      </c>
      <c r="J87" s="46"/>
      <c r="K87" s="46"/>
      <c r="L87" s="13"/>
    </row>
    <row r="88" spans="1:14" s="2" customFormat="1" ht="12.75" customHeight="1" x14ac:dyDescent="0.25">
      <c r="A88" s="36"/>
      <c r="B88" s="28"/>
      <c r="C88" s="44" t="s">
        <v>68</v>
      </c>
      <c r="D88" s="43"/>
      <c r="E88" s="7">
        <f>E86+E87</f>
        <v>333669392.49999994</v>
      </c>
      <c r="F88" s="22"/>
      <c r="G88" s="1"/>
      <c r="H88" s="103" t="s">
        <v>69</v>
      </c>
      <c r="I88" s="45">
        <v>-4.68</v>
      </c>
      <c r="J88" s="46"/>
      <c r="K88" s="46"/>
      <c r="N88" s="1"/>
    </row>
    <row r="89" spans="1:14" s="2" customFormat="1" x14ac:dyDescent="0.2">
      <c r="A89" s="24"/>
      <c r="B89" s="1"/>
      <c r="C89" s="14"/>
      <c r="D89" s="25"/>
      <c r="E89" s="1"/>
      <c r="H89" s="35" t="s">
        <v>70</v>
      </c>
      <c r="I89" s="45">
        <v>0</v>
      </c>
      <c r="J89" s="46">
        <f>+I90-D92</f>
        <v>-4.6800000000000068</v>
      </c>
      <c r="M89" s="2" t="s">
        <v>396</v>
      </c>
      <c r="N89" s="1"/>
    </row>
    <row r="90" spans="1:14" x14ac:dyDescent="0.2">
      <c r="C90" s="56"/>
      <c r="D90" s="56"/>
      <c r="E90" s="104"/>
      <c r="I90" s="49">
        <f>SUM(I87:I89)</f>
        <v>80.22999999999999</v>
      </c>
      <c r="J90" s="46"/>
      <c r="K90" s="46"/>
      <c r="L90" s="2"/>
      <c r="M90" s="2"/>
      <c r="N90" s="2"/>
    </row>
    <row r="91" spans="1:14" x14ac:dyDescent="0.2">
      <c r="C91" s="78" t="s">
        <v>575</v>
      </c>
      <c r="D91" s="48" t="s">
        <v>576</v>
      </c>
      <c r="E91" s="104"/>
      <c r="I91" s="2"/>
      <c r="J91" s="2"/>
      <c r="K91" s="2"/>
      <c r="L91" s="2"/>
      <c r="M91" s="2"/>
      <c r="N91" s="2"/>
    </row>
    <row r="92" spans="1:14" s="2" customFormat="1" x14ac:dyDescent="0.2">
      <c r="A92" s="24"/>
      <c r="B92" s="1"/>
      <c r="C92" s="47" t="s">
        <v>570</v>
      </c>
      <c r="D92" s="111">
        <v>84.91</v>
      </c>
      <c r="E92" s="104"/>
      <c r="G92" s="1"/>
      <c r="H92" s="110" t="s">
        <v>581</v>
      </c>
      <c r="N92" s="2" t="s">
        <v>535</v>
      </c>
    </row>
    <row r="93" spans="1:14" s="2" customFormat="1" x14ac:dyDescent="0.2">
      <c r="A93" s="24"/>
      <c r="B93" s="1"/>
      <c r="C93" s="47" t="s">
        <v>931</v>
      </c>
      <c r="D93" s="111">
        <v>0</v>
      </c>
      <c r="E93" s="104"/>
      <c r="G93" s="1"/>
      <c r="H93" s="110" t="s">
        <v>580</v>
      </c>
    </row>
    <row r="94" spans="1:14" s="2" customFormat="1" x14ac:dyDescent="0.2">
      <c r="A94" s="24"/>
      <c r="B94" s="1"/>
      <c r="C94" s="47" t="s">
        <v>572</v>
      </c>
      <c r="D94" s="111">
        <f>+D110/100000</f>
        <v>0</v>
      </c>
      <c r="E94" s="104"/>
      <c r="G94" s="1"/>
      <c r="H94" s="90" t="s">
        <v>587</v>
      </c>
    </row>
    <row r="95" spans="1:14" s="2" customFormat="1" x14ac:dyDescent="0.2">
      <c r="A95" s="24"/>
      <c r="B95" s="1"/>
      <c r="C95" s="108" t="s">
        <v>578</v>
      </c>
      <c r="D95" s="48">
        <f>SUM(D92:D94)</f>
        <v>84.91</v>
      </c>
      <c r="E95" s="104"/>
      <c r="G95" s="1"/>
    </row>
    <row r="96" spans="1:14" s="2" customFormat="1" x14ac:dyDescent="0.2">
      <c r="A96" s="24"/>
      <c r="B96" s="1"/>
      <c r="C96" s="47"/>
      <c r="D96" s="107"/>
      <c r="E96" s="104"/>
      <c r="G96" s="1"/>
    </row>
    <row r="97" spans="1:13" s="2" customFormat="1" x14ac:dyDescent="0.2">
      <c r="A97" s="24"/>
      <c r="B97" s="1"/>
      <c r="C97" s="47" t="s">
        <v>932</v>
      </c>
      <c r="D97" s="111">
        <v>0</v>
      </c>
      <c r="E97" s="104"/>
      <c r="G97" s="1"/>
      <c r="H97" s="110" t="s">
        <v>581</v>
      </c>
    </row>
    <row r="98" spans="1:13" s="2" customFormat="1" x14ac:dyDescent="0.2">
      <c r="A98" s="24"/>
      <c r="B98" s="1"/>
      <c r="C98" s="136" t="s">
        <v>1142</v>
      </c>
      <c r="D98" s="111">
        <f>73.06-6.07</f>
        <v>66.990000000000009</v>
      </c>
      <c r="E98" s="104"/>
      <c r="G98" s="1"/>
      <c r="H98" s="110" t="s">
        <v>581</v>
      </c>
      <c r="J98" s="114" t="s">
        <v>713</v>
      </c>
    </row>
    <row r="99" spans="1:13" s="2" customFormat="1" x14ac:dyDescent="0.2">
      <c r="A99" s="24"/>
      <c r="B99" s="1"/>
      <c r="C99" s="78" t="s">
        <v>579</v>
      </c>
      <c r="D99" s="109">
        <f>D97+D98</f>
        <v>66.990000000000009</v>
      </c>
      <c r="E99" s="104"/>
      <c r="G99" s="1"/>
      <c r="I99" s="113"/>
      <c r="J99" s="113" t="s">
        <v>709</v>
      </c>
      <c r="K99" s="113" t="s">
        <v>710</v>
      </c>
      <c r="L99" s="113" t="s">
        <v>711</v>
      </c>
      <c r="M99" s="113" t="s">
        <v>712</v>
      </c>
    </row>
    <row r="100" spans="1:13" s="2" customFormat="1" x14ac:dyDescent="0.2">
      <c r="A100" s="24"/>
      <c r="B100" s="1"/>
      <c r="C100" s="105"/>
      <c r="D100" s="106"/>
      <c r="E100" s="104"/>
      <c r="G100" s="1"/>
      <c r="I100" s="113" t="s">
        <v>706</v>
      </c>
      <c r="J100" s="115"/>
      <c r="K100" s="115">
        <v>968.99</v>
      </c>
      <c r="L100" s="115">
        <v>968.99</v>
      </c>
      <c r="M100" s="113">
        <f>+J100+L100-K100</f>
        <v>0</v>
      </c>
    </row>
    <row r="101" spans="1:13" s="2" customFormat="1" x14ac:dyDescent="0.2">
      <c r="A101" s="24"/>
      <c r="B101" s="1"/>
      <c r="C101" s="78" t="s">
        <v>577</v>
      </c>
      <c r="D101" s="109">
        <f>D92+D99</f>
        <v>151.9</v>
      </c>
      <c r="E101" s="104"/>
      <c r="G101" s="1"/>
      <c r="I101" s="113" t="s">
        <v>707</v>
      </c>
      <c r="J101" s="115">
        <v>183.1</v>
      </c>
      <c r="K101" s="115">
        <v>2486.27</v>
      </c>
      <c r="L101" s="115">
        <v>3236.97</v>
      </c>
      <c r="M101" s="113">
        <f>+J101+L101-K101</f>
        <v>933.79999999999973</v>
      </c>
    </row>
    <row r="102" spans="1:13" s="2" customFormat="1" x14ac:dyDescent="0.2">
      <c r="A102" s="24"/>
      <c r="B102" s="1"/>
      <c r="C102" s="56"/>
      <c r="D102" s="56"/>
      <c r="E102" s="104"/>
      <c r="G102" s="1"/>
      <c r="I102" s="113" t="s">
        <v>708</v>
      </c>
      <c r="J102" s="115">
        <v>1371.02</v>
      </c>
      <c r="K102" s="115">
        <v>12322</v>
      </c>
      <c r="L102" s="115">
        <v>12477.23</v>
      </c>
      <c r="M102" s="113">
        <f>+J102+L102-K102</f>
        <v>1526.25</v>
      </c>
    </row>
    <row r="103" spans="1:13" s="2" customFormat="1" ht="38.25" x14ac:dyDescent="0.2">
      <c r="A103" s="24"/>
      <c r="B103" s="1"/>
      <c r="C103" s="79" t="str">
        <f>"Particulars ( 01-04-2021 to "&amp;TEXT(A5,"dd-mm-yyyy")&amp;" )"</f>
        <v>Particulars ( 01-04-2021 to 01-07-2023 )</v>
      </c>
      <c r="D103" s="80" t="s">
        <v>73</v>
      </c>
      <c r="E103" s="80" t="s">
        <v>74</v>
      </c>
      <c r="F103" s="81" t="s">
        <v>75</v>
      </c>
      <c r="G103" s="80" t="s">
        <v>76</v>
      </c>
      <c r="J103" s="118">
        <f>SUM(J100:J102)</f>
        <v>1554.12</v>
      </c>
      <c r="K103" s="118">
        <f>SUM(K100:K102)</f>
        <v>15777.26</v>
      </c>
      <c r="L103" s="118">
        <f>SUM(L100:L102)</f>
        <v>16683.189999999999</v>
      </c>
      <c r="M103" s="118">
        <f>SUM(M100:M102)</f>
        <v>2460.0499999999997</v>
      </c>
    </row>
    <row r="104" spans="1:13" s="2" customFormat="1" x14ac:dyDescent="0.2">
      <c r="A104" s="24"/>
      <c r="B104" s="1"/>
      <c r="C104" s="50" t="s">
        <v>444</v>
      </c>
      <c r="D104" s="55">
        <f>+L100+L101+J101</f>
        <v>4389.0600000000004</v>
      </c>
      <c r="E104" s="55">
        <f>+K100+K101</f>
        <v>3455.26</v>
      </c>
      <c r="F104" s="55">
        <f>+D104-E104</f>
        <v>933.80000000000018</v>
      </c>
      <c r="G104" s="55">
        <f>1500-F104</f>
        <v>566.19999999999982</v>
      </c>
      <c r="H104" s="2" t="s">
        <v>396</v>
      </c>
    </row>
    <row r="105" spans="1:13" s="2" customFormat="1" x14ac:dyDescent="0.2">
      <c r="A105" s="24"/>
      <c r="B105" s="1"/>
      <c r="C105" s="50" t="s">
        <v>71</v>
      </c>
      <c r="D105" s="55">
        <f>+J102+L102</f>
        <v>13848.25</v>
      </c>
      <c r="E105" s="55">
        <f>+K102</f>
        <v>12322</v>
      </c>
      <c r="F105" s="55">
        <f>+D105-E105</f>
        <v>1526.25</v>
      </c>
      <c r="G105" s="55">
        <f>1500+700-F105</f>
        <v>673.75</v>
      </c>
      <c r="H105" s="2" t="s">
        <v>396</v>
      </c>
    </row>
    <row r="106" spans="1:13" s="2" customFormat="1" x14ac:dyDescent="0.2">
      <c r="A106" s="24"/>
      <c r="B106" s="1"/>
      <c r="C106" s="14"/>
      <c r="D106" s="56"/>
      <c r="E106" s="13"/>
      <c r="G106" s="1"/>
    </row>
    <row r="107" spans="1:13" s="2" customFormat="1" x14ac:dyDescent="0.2">
      <c r="A107" s="215" t="s">
        <v>80</v>
      </c>
      <c r="B107" s="216"/>
      <c r="C107" s="216"/>
      <c r="D107" s="217"/>
      <c r="E107" s="69"/>
      <c r="F107" s="70"/>
      <c r="G107" s="1"/>
      <c r="H107" s="53"/>
    </row>
    <row r="108" spans="1:13" s="2" customFormat="1" x14ac:dyDescent="0.2">
      <c r="A108" s="71" t="s">
        <v>81</v>
      </c>
      <c r="B108" s="71"/>
      <c r="C108" s="72" t="s">
        <v>82</v>
      </c>
      <c r="D108" s="73" t="s">
        <v>83</v>
      </c>
      <c r="E108" s="69"/>
      <c r="F108" s="70"/>
      <c r="H108" s="53"/>
    </row>
    <row r="109" spans="1:13" s="2" customFormat="1" x14ac:dyDescent="0.2">
      <c r="A109" s="87"/>
      <c r="B109" s="120"/>
      <c r="C109" s="75"/>
      <c r="D109" s="88"/>
      <c r="G109" s="1"/>
      <c r="L109" s="1"/>
      <c r="M109" s="1"/>
    </row>
    <row r="110" spans="1:13" s="2" customFormat="1" x14ac:dyDescent="0.2">
      <c r="A110" s="87"/>
      <c r="B110" s="74"/>
      <c r="C110" s="75"/>
      <c r="D110" s="51">
        <f>SUM(D109:D109)</f>
        <v>0</v>
      </c>
      <c r="F110" s="2" t="s">
        <v>396</v>
      </c>
      <c r="G110" s="1"/>
      <c r="L110" s="1"/>
      <c r="M110" s="1"/>
    </row>
    <row r="111" spans="1:13" s="2" customFormat="1" x14ac:dyDescent="0.2">
      <c r="A111" s="24"/>
      <c r="B111" s="1"/>
      <c r="C111" s="14"/>
      <c r="D111" s="56"/>
      <c r="E111" s="13"/>
      <c r="G111" s="1"/>
      <c r="L111" s="1"/>
      <c r="M111" s="1"/>
    </row>
    <row r="112" spans="1:13" s="2" customFormat="1" x14ac:dyDescent="0.2">
      <c r="A112" s="24"/>
      <c r="B112" s="1"/>
      <c r="C112" s="218" t="s">
        <v>77</v>
      </c>
      <c r="D112" s="219"/>
      <c r="E112" s="219"/>
      <c r="F112" s="220"/>
      <c r="G112" s="1"/>
      <c r="L112" s="1"/>
      <c r="M112" s="1"/>
    </row>
    <row r="113" spans="1:13" s="2" customFormat="1" x14ac:dyDescent="0.2">
      <c r="A113" s="24"/>
      <c r="B113" s="1"/>
      <c r="C113" s="50"/>
      <c r="D113" s="57" t="s">
        <v>78</v>
      </c>
      <c r="E113" s="58" t="s">
        <v>79</v>
      </c>
      <c r="F113" s="57" t="s">
        <v>72</v>
      </c>
      <c r="G113" s="1"/>
      <c r="I113" s="1"/>
      <c r="J113" s="1"/>
      <c r="K113" s="1"/>
      <c r="L113" s="1"/>
      <c r="M113" s="1"/>
    </row>
    <row r="114" spans="1:13" s="2" customFormat="1" x14ac:dyDescent="0.2">
      <c r="A114" s="24"/>
      <c r="B114" s="1"/>
      <c r="C114" s="59" t="str">
        <f>"01-06-2023 to "&amp;TEXT(A5-2,"dd-mm-yyyy")</f>
        <v>01-06-2023 to 29-06-2023</v>
      </c>
      <c r="D114" s="60">
        <v>5852.1</v>
      </c>
      <c r="E114" s="60">
        <v>196.18</v>
      </c>
      <c r="F114" s="61">
        <f>SUM(D114:E114)</f>
        <v>6048.2800000000007</v>
      </c>
      <c r="G114" s="1"/>
    </row>
    <row r="115" spans="1:13" s="2" customFormat="1" x14ac:dyDescent="0.2">
      <c r="A115" s="24"/>
      <c r="B115" s="1"/>
      <c r="C115" s="62" t="str">
        <f>TEXT(A5-1,"dd-mm-yyyy")</f>
        <v>30-06-2023</v>
      </c>
      <c r="D115" s="60">
        <v>375.3</v>
      </c>
      <c r="E115" s="60">
        <v>6.63</v>
      </c>
      <c r="F115" s="61">
        <f>SUM(D115:E115)</f>
        <v>381.93</v>
      </c>
      <c r="G115" s="54"/>
      <c r="I115" s="1"/>
      <c r="J115" s="1"/>
      <c r="K115" s="1"/>
      <c r="L115" s="1"/>
      <c r="M115" s="1"/>
    </row>
    <row r="116" spans="1:13" s="2" customFormat="1" ht="13.5" thickBot="1" x14ac:dyDescent="0.25">
      <c r="A116" s="24"/>
      <c r="B116" s="1"/>
      <c r="C116" s="63" t="str">
        <f>"01-06-2023 to "&amp;TEXT(A5-1,"dd-mm-yyyy")</f>
        <v>01-06-2023 to 30-06-2023</v>
      </c>
      <c r="D116" s="64">
        <f>SUM(D114:D115)</f>
        <v>6227.4000000000005</v>
      </c>
      <c r="E116" s="64">
        <f>SUM(E114:E115)</f>
        <v>202.81</v>
      </c>
      <c r="F116" s="64">
        <f>SUM(F114:F115)</f>
        <v>6430.2100000000009</v>
      </c>
      <c r="G116" s="54"/>
      <c r="I116" s="1"/>
      <c r="J116" s="1"/>
      <c r="K116" s="1"/>
      <c r="L116" s="1"/>
      <c r="M116" s="1"/>
    </row>
    <row r="117" spans="1:13" s="2" customFormat="1" ht="13.5" thickTop="1" x14ac:dyDescent="0.2">
      <c r="A117" s="24"/>
      <c r="B117" s="1"/>
      <c r="C117" s="62"/>
      <c r="D117" s="65"/>
      <c r="E117" s="66"/>
      <c r="F117" s="67"/>
      <c r="G117" s="54"/>
      <c r="I117" s="1"/>
      <c r="J117" s="1"/>
      <c r="K117" s="1"/>
      <c r="L117" s="1"/>
      <c r="M117" s="1"/>
    </row>
    <row r="118" spans="1:13" s="2" customFormat="1" x14ac:dyDescent="0.2">
      <c r="A118" s="24"/>
      <c r="B118" s="1"/>
      <c r="C118" s="62" t="str">
        <f>"01-04-2023 to " &amp;C115</f>
        <v>01-04-2023 to 30-06-2023</v>
      </c>
      <c r="D118" s="68">
        <f>+D116+9224.33</f>
        <v>15451.73</v>
      </c>
      <c r="E118" s="68">
        <f>+E116+906.58</f>
        <v>1109.3900000000001</v>
      </c>
      <c r="F118" s="68">
        <f>+F116+10130.9</f>
        <v>16561.11</v>
      </c>
      <c r="G118" s="54"/>
      <c r="I118" s="1"/>
      <c r="J118" s="1"/>
      <c r="K118" s="1"/>
      <c r="L118" s="1"/>
      <c r="M118" s="1"/>
    </row>
    <row r="119" spans="1:13" x14ac:dyDescent="0.2">
      <c r="C119" s="52"/>
      <c r="D119" s="85"/>
      <c r="E119" s="53"/>
      <c r="F119" s="53"/>
      <c r="G119" s="54"/>
      <c r="H119" s="2" t="s">
        <v>396</v>
      </c>
    </row>
    <row r="120" spans="1:13" s="2" customFormat="1" x14ac:dyDescent="0.2">
      <c r="A120" s="24"/>
      <c r="B120" s="1"/>
      <c r="C120" s="52"/>
      <c r="D120" s="85"/>
      <c r="E120" s="53"/>
      <c r="F120" s="53"/>
      <c r="G120" s="54"/>
      <c r="H120" s="53"/>
    </row>
    <row r="121" spans="1:13" x14ac:dyDescent="0.2">
      <c r="C121" s="52"/>
      <c r="D121" s="85"/>
      <c r="E121" s="53"/>
      <c r="F121" s="53"/>
      <c r="G121" s="54"/>
      <c r="H121" s="53" t="s">
        <v>396</v>
      </c>
    </row>
    <row r="122" spans="1:13" x14ac:dyDescent="0.2">
      <c r="C122" s="52"/>
      <c r="D122" s="85"/>
      <c r="E122" s="53"/>
      <c r="F122" s="53"/>
      <c r="G122" s="54"/>
      <c r="H122" s="53" t="s">
        <v>396</v>
      </c>
      <c r="J122" s="42"/>
    </row>
    <row r="123" spans="1:13" x14ac:dyDescent="0.2">
      <c r="G123" s="54"/>
      <c r="H123" s="53"/>
      <c r="I123" s="101"/>
    </row>
    <row r="124" spans="1:13" x14ac:dyDescent="0.2">
      <c r="G124" s="54"/>
      <c r="H124" s="53"/>
    </row>
    <row r="125" spans="1:13" x14ac:dyDescent="0.2">
      <c r="G125" s="54"/>
      <c r="H125" s="53"/>
    </row>
    <row r="126" spans="1:13" x14ac:dyDescent="0.2">
      <c r="H126" s="53"/>
    </row>
  </sheetData>
  <mergeCells count="6">
    <mergeCell ref="C112:F112"/>
    <mergeCell ref="A1:G1"/>
    <mergeCell ref="A3:F3"/>
    <mergeCell ref="A9:F9"/>
    <mergeCell ref="A22:F22"/>
    <mergeCell ref="A107:D107"/>
  </mergeCells>
  <conditionalFormatting sqref="G104:G105">
    <cfRule type="cellIs" dxfId="444" priority="1" operator="lessThan">
      <formula>0</formula>
    </cfRule>
  </conditionalFormatting>
  <conditionalFormatting sqref="C24">
    <cfRule type="duplicateValues" dxfId="443" priority="2"/>
  </conditionalFormatting>
  <conditionalFormatting sqref="C25:C84">
    <cfRule type="duplicateValues" dxfId="442" priority="3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sheetPr codeName="Sheet368">
    <pageSetUpPr fitToPage="1"/>
  </sheetPr>
  <dimension ref="A1:N111"/>
  <sheetViews>
    <sheetView topLeftCell="B94" zoomScaleNormal="100" workbookViewId="0">
      <selection activeCell="C46" sqref="C46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85546875" style="14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1160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45110</v>
      </c>
      <c r="B5" s="9" t="s">
        <v>6</v>
      </c>
      <c r="C5" s="10" t="s">
        <v>7</v>
      </c>
      <c r="D5" s="11"/>
      <c r="E5" s="12">
        <v>152715.70000000019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152715.70000000019</v>
      </c>
      <c r="F6" s="16">
        <f>F5</f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+E6-F6</f>
        <v>152715.70000000019</v>
      </c>
      <c r="F7" s="22"/>
      <c r="G7" s="23"/>
      <c r="H7" s="112"/>
      <c r="I7" s="112"/>
      <c r="J7" s="13"/>
    </row>
    <row r="8" spans="1:10" ht="12.75" customHeight="1" x14ac:dyDescent="0.4">
      <c r="H8" s="112"/>
      <c r="I8" s="112"/>
    </row>
    <row r="9" spans="1:10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12"/>
    </row>
    <row r="10" spans="1:10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12"/>
    </row>
    <row r="11" spans="1:10" s="2" customFormat="1" ht="14.25" customHeight="1" x14ac:dyDescent="0.2">
      <c r="A11" s="127">
        <v>45110</v>
      </c>
      <c r="B11" s="9" t="s">
        <v>6</v>
      </c>
      <c r="C11" s="10" t="s">
        <v>7</v>
      </c>
      <c r="D11" s="11"/>
      <c r="F11" s="12">
        <v>28468408.290000007</v>
      </c>
      <c r="G11" s="1"/>
      <c r="H11" s="130" t="s">
        <v>396</v>
      </c>
      <c r="I11" s="130"/>
    </row>
    <row r="12" spans="1:10" s="2" customFormat="1" ht="14.25" customHeight="1" x14ac:dyDescent="0.2">
      <c r="A12" s="127">
        <v>45110</v>
      </c>
      <c r="B12" s="9" t="s">
        <v>6</v>
      </c>
      <c r="C12" s="76" t="s">
        <v>298</v>
      </c>
      <c r="D12" s="125" t="s">
        <v>13</v>
      </c>
      <c r="E12" s="31">
        <v>703799.84</v>
      </c>
      <c r="F12" s="12"/>
      <c r="G12" s="1"/>
      <c r="H12" s="130"/>
      <c r="I12" s="130"/>
    </row>
    <row r="13" spans="1:10" s="2" customFormat="1" ht="14.25" customHeight="1" x14ac:dyDescent="0.2">
      <c r="A13" s="127">
        <v>45110</v>
      </c>
      <c r="B13" s="9" t="s">
        <v>6</v>
      </c>
      <c r="C13" s="76" t="s">
        <v>763</v>
      </c>
      <c r="D13" s="125" t="s">
        <v>13</v>
      </c>
      <c r="E13" s="2">
        <v>114649</v>
      </c>
      <c r="F13" s="31"/>
      <c r="G13" s="1"/>
      <c r="H13" s="130"/>
      <c r="I13" s="130"/>
    </row>
    <row r="14" spans="1:10" s="2" customFormat="1" ht="14.25" customHeight="1" x14ac:dyDescent="0.2">
      <c r="A14" s="127">
        <v>45110</v>
      </c>
      <c r="B14" s="9" t="s">
        <v>11</v>
      </c>
      <c r="C14" s="76" t="s">
        <v>156</v>
      </c>
      <c r="D14" s="125" t="s">
        <v>29</v>
      </c>
      <c r="F14" s="31">
        <v>723.04</v>
      </c>
      <c r="G14" s="1"/>
      <c r="H14" s="130"/>
      <c r="I14" s="130"/>
    </row>
    <row r="15" spans="1:10" s="2" customFormat="1" ht="14.25" customHeight="1" x14ac:dyDescent="0.2">
      <c r="A15" s="127">
        <v>45110</v>
      </c>
      <c r="B15" s="9" t="s">
        <v>11</v>
      </c>
      <c r="C15" s="76" t="s">
        <v>102</v>
      </c>
      <c r="D15" s="125" t="s">
        <v>29</v>
      </c>
      <c r="F15" s="31">
        <v>200202</v>
      </c>
      <c r="G15" s="1"/>
      <c r="H15" s="130"/>
      <c r="I15" s="130"/>
    </row>
    <row r="16" spans="1:10" s="2" customFormat="1" ht="14.25" customHeight="1" x14ac:dyDescent="0.2">
      <c r="A16" s="127">
        <v>45110</v>
      </c>
      <c r="B16" s="9" t="s">
        <v>11</v>
      </c>
      <c r="C16" s="76" t="s">
        <v>207</v>
      </c>
      <c r="D16" s="125" t="s">
        <v>29</v>
      </c>
      <c r="F16" s="31">
        <v>296400</v>
      </c>
      <c r="G16" s="1"/>
      <c r="H16" s="130"/>
      <c r="I16" s="130"/>
    </row>
    <row r="17" spans="1:10" s="2" customFormat="1" ht="14.25" customHeight="1" x14ac:dyDescent="0.2">
      <c r="A17" s="127">
        <v>45110</v>
      </c>
      <c r="B17" s="9" t="s">
        <v>11</v>
      </c>
      <c r="C17" s="76" t="s">
        <v>186</v>
      </c>
      <c r="D17" s="125" t="s">
        <v>29</v>
      </c>
      <c r="F17" s="31">
        <v>390374</v>
      </c>
      <c r="G17" s="1"/>
      <c r="H17" s="130"/>
      <c r="I17" s="130"/>
    </row>
    <row r="18" spans="1:10" s="2" customFormat="1" ht="14.25" customHeight="1" x14ac:dyDescent="0.2">
      <c r="A18" s="127">
        <v>45110</v>
      </c>
      <c r="B18" s="9" t="s">
        <v>11</v>
      </c>
      <c r="C18" s="76" t="s">
        <v>411</v>
      </c>
      <c r="D18" s="125" t="s">
        <v>29</v>
      </c>
      <c r="F18" s="31">
        <v>63720</v>
      </c>
      <c r="G18" s="1"/>
      <c r="H18" s="130"/>
      <c r="I18" s="130"/>
    </row>
    <row r="19" spans="1:10" s="2" customFormat="1" ht="14.25" customHeight="1" x14ac:dyDescent="0.2">
      <c r="A19" s="127">
        <v>45110</v>
      </c>
      <c r="B19" s="9" t="s">
        <v>11</v>
      </c>
      <c r="C19" s="76" t="s">
        <v>1146</v>
      </c>
      <c r="D19" s="125" t="s">
        <v>29</v>
      </c>
      <c r="F19" s="31">
        <v>384229</v>
      </c>
      <c r="G19" s="1"/>
      <c r="H19" s="130"/>
      <c r="I19" s="130"/>
    </row>
    <row r="20" spans="1:10" s="2" customFormat="1" ht="12.75" customHeight="1" x14ac:dyDescent="0.4">
      <c r="D20" s="15" t="s">
        <v>8</v>
      </c>
      <c r="E20" s="16">
        <f>SUM(E12:E19)</f>
        <v>818448.84</v>
      </c>
      <c r="F20" s="16">
        <f>SUM(F11:F19)</f>
        <v>29804056.330000006</v>
      </c>
      <c r="G20" s="1"/>
      <c r="H20" s="112"/>
      <c r="I20" s="112"/>
    </row>
    <row r="21" spans="1:10" s="2" customFormat="1" ht="12.75" customHeight="1" x14ac:dyDescent="0.4">
      <c r="A21" s="17"/>
      <c r="B21" s="18"/>
      <c r="C21" s="96" t="s">
        <v>9</v>
      </c>
      <c r="D21" s="20"/>
      <c r="E21" s="21">
        <f>+F20-E20</f>
        <v>28985607.490000006</v>
      </c>
      <c r="G21" s="23"/>
      <c r="H21" s="112"/>
      <c r="I21" s="112"/>
      <c r="J21" s="13"/>
    </row>
    <row r="22" spans="1:10" s="2" customFormat="1" ht="12.75" customHeight="1" x14ac:dyDescent="0.4">
      <c r="A22" s="24"/>
      <c r="B22" s="1"/>
      <c r="C22" s="14"/>
      <c r="D22" s="25"/>
      <c r="G22" s="23"/>
      <c r="H22" s="112"/>
      <c r="I22" s="112"/>
      <c r="J22" s="13"/>
    </row>
    <row r="23" spans="1:10" s="2" customFormat="1" ht="21.75" customHeight="1" x14ac:dyDescent="0.4">
      <c r="A23" s="214" t="s">
        <v>10</v>
      </c>
      <c r="B23" s="214"/>
      <c r="C23" s="214"/>
      <c r="D23" s="214"/>
      <c r="E23" s="214"/>
      <c r="F23" s="214"/>
      <c r="G23" s="13"/>
      <c r="H23" s="112"/>
      <c r="I23" s="112"/>
      <c r="J23" s="13"/>
    </row>
    <row r="24" spans="1:10" s="2" customFormat="1" ht="12.75" customHeight="1" x14ac:dyDescent="0.4">
      <c r="A24" s="26" t="s">
        <v>1</v>
      </c>
      <c r="B24" s="27" t="s">
        <v>2</v>
      </c>
      <c r="C24" s="5"/>
      <c r="D24" s="6" t="s">
        <v>3</v>
      </c>
      <c r="E24" s="7" t="s">
        <v>4</v>
      </c>
      <c r="F24" s="7" t="s">
        <v>5</v>
      </c>
      <c r="G24" s="23"/>
      <c r="H24" s="112"/>
      <c r="I24" s="112"/>
      <c r="J24" s="13"/>
    </row>
    <row r="25" spans="1:10" s="2" customFormat="1" ht="12.75" customHeight="1" x14ac:dyDescent="0.2">
      <c r="A25" s="127">
        <v>45110</v>
      </c>
      <c r="B25" s="128" t="s">
        <v>11</v>
      </c>
      <c r="C25" s="29" t="s">
        <v>7</v>
      </c>
      <c r="D25" s="25"/>
      <c r="E25" s="31"/>
      <c r="F25" s="2">
        <v>274253082.49999994</v>
      </c>
      <c r="G25" s="30"/>
      <c r="I25" s="13"/>
      <c r="J25" s="13"/>
    </row>
    <row r="26" spans="1:10" s="70" customFormat="1" ht="12.75" customHeight="1" x14ac:dyDescent="0.2">
      <c r="A26" s="127">
        <v>45110</v>
      </c>
      <c r="B26" s="128" t="s">
        <v>6</v>
      </c>
      <c r="C26" s="76" t="s">
        <v>1161</v>
      </c>
      <c r="D26" s="125" t="s">
        <v>13</v>
      </c>
      <c r="E26" s="31">
        <v>10500</v>
      </c>
      <c r="G26" s="30"/>
      <c r="I26" s="69"/>
      <c r="J26" s="69"/>
    </row>
    <row r="27" spans="1:10" s="70" customFormat="1" ht="12.75" customHeight="1" x14ac:dyDescent="0.2">
      <c r="A27" s="127">
        <v>45110</v>
      </c>
      <c r="B27" s="128" t="s">
        <v>6</v>
      </c>
      <c r="C27" s="76" t="s">
        <v>803</v>
      </c>
      <c r="D27" s="125" t="s">
        <v>13</v>
      </c>
      <c r="E27" s="31">
        <v>26775</v>
      </c>
      <c r="G27" s="30"/>
      <c r="I27" s="69"/>
      <c r="J27" s="69"/>
    </row>
    <row r="28" spans="1:10" s="70" customFormat="1" ht="12.75" customHeight="1" x14ac:dyDescent="0.2">
      <c r="A28" s="127">
        <v>45110</v>
      </c>
      <c r="B28" s="128" t="s">
        <v>6</v>
      </c>
      <c r="C28" s="76" t="s">
        <v>178</v>
      </c>
      <c r="D28" s="125" t="s">
        <v>13</v>
      </c>
      <c r="E28" s="31">
        <v>2000000</v>
      </c>
      <c r="G28" s="30"/>
      <c r="I28" s="69"/>
      <c r="J28" s="69"/>
    </row>
    <row r="29" spans="1:10" s="70" customFormat="1" ht="12.75" customHeight="1" x14ac:dyDescent="0.2">
      <c r="A29" s="127">
        <v>45110</v>
      </c>
      <c r="B29" s="128" t="s">
        <v>6</v>
      </c>
      <c r="C29" s="76" t="s">
        <v>947</v>
      </c>
      <c r="D29" s="125" t="s">
        <v>13</v>
      </c>
      <c r="E29" s="31">
        <v>1842830</v>
      </c>
      <c r="G29" s="30"/>
      <c r="I29" s="69"/>
      <c r="J29" s="69"/>
    </row>
    <row r="30" spans="1:10" s="70" customFormat="1" ht="12.75" customHeight="1" x14ac:dyDescent="0.2">
      <c r="A30" s="127">
        <v>45110</v>
      </c>
      <c r="B30" s="128" t="s">
        <v>6</v>
      </c>
      <c r="C30" s="76" t="s">
        <v>475</v>
      </c>
      <c r="D30" s="125" t="s">
        <v>13</v>
      </c>
      <c r="E30" s="31">
        <v>225000</v>
      </c>
      <c r="G30" s="30"/>
      <c r="I30" s="69"/>
      <c r="J30" s="69"/>
    </row>
    <row r="31" spans="1:10" s="70" customFormat="1" ht="12.75" customHeight="1" x14ac:dyDescent="0.2">
      <c r="A31" s="127">
        <v>45110</v>
      </c>
      <c r="B31" s="128" t="s">
        <v>6</v>
      </c>
      <c r="C31" s="76" t="s">
        <v>993</v>
      </c>
      <c r="D31" s="125" t="s">
        <v>13</v>
      </c>
      <c r="E31" s="31">
        <v>900000</v>
      </c>
      <c r="G31" s="30"/>
      <c r="I31" s="69"/>
      <c r="J31" s="69"/>
    </row>
    <row r="32" spans="1:10" s="70" customFormat="1" ht="12.75" customHeight="1" x14ac:dyDescent="0.2">
      <c r="A32" s="127">
        <v>45110</v>
      </c>
      <c r="B32" s="128" t="s">
        <v>6</v>
      </c>
      <c r="C32" s="76" t="s">
        <v>746</v>
      </c>
      <c r="D32" s="125" t="s">
        <v>13</v>
      </c>
      <c r="E32" s="31">
        <v>1082679</v>
      </c>
      <c r="G32" s="30"/>
      <c r="I32" s="69"/>
      <c r="J32" s="69"/>
    </row>
    <row r="33" spans="1:10" s="70" customFormat="1" ht="12.75" customHeight="1" x14ac:dyDescent="0.2">
      <c r="A33" s="127">
        <v>45110</v>
      </c>
      <c r="B33" s="128" t="s">
        <v>6</v>
      </c>
      <c r="C33" s="76" t="s">
        <v>334</v>
      </c>
      <c r="D33" s="125" t="s">
        <v>13</v>
      </c>
      <c r="E33" s="31">
        <v>2104963</v>
      </c>
      <c r="G33" s="30"/>
      <c r="I33" s="69"/>
      <c r="J33" s="69"/>
    </row>
    <row r="34" spans="1:10" s="70" customFormat="1" ht="12.75" customHeight="1" x14ac:dyDescent="0.2">
      <c r="A34" s="127">
        <v>45110</v>
      </c>
      <c r="B34" s="128" t="s">
        <v>6</v>
      </c>
      <c r="C34" s="76" t="s">
        <v>669</v>
      </c>
      <c r="D34" s="125" t="s">
        <v>13</v>
      </c>
      <c r="E34" s="31">
        <v>157353</v>
      </c>
      <c r="G34" s="30"/>
      <c r="I34" s="69"/>
      <c r="J34" s="69"/>
    </row>
    <row r="35" spans="1:10" s="70" customFormat="1" ht="12.75" customHeight="1" x14ac:dyDescent="0.2">
      <c r="A35" s="127">
        <v>45110</v>
      </c>
      <c r="B35" s="128" t="s">
        <v>6</v>
      </c>
      <c r="C35" s="76" t="s">
        <v>14</v>
      </c>
      <c r="D35" s="125" t="s">
        <v>13</v>
      </c>
      <c r="E35" s="31">
        <v>3719254</v>
      </c>
      <c r="G35" s="30"/>
      <c r="I35" s="69"/>
      <c r="J35" s="69"/>
    </row>
    <row r="36" spans="1:10" s="70" customFormat="1" ht="12.75" customHeight="1" x14ac:dyDescent="0.2">
      <c r="A36" s="127">
        <v>45110</v>
      </c>
      <c r="B36" s="128" t="s">
        <v>6</v>
      </c>
      <c r="C36" s="76" t="s">
        <v>819</v>
      </c>
      <c r="D36" s="125" t="s">
        <v>13</v>
      </c>
      <c r="E36" s="31">
        <v>100300</v>
      </c>
      <c r="G36" s="30"/>
      <c r="I36" s="69"/>
      <c r="J36" s="69"/>
    </row>
    <row r="37" spans="1:10" s="70" customFormat="1" ht="12.75" customHeight="1" x14ac:dyDescent="0.2">
      <c r="A37" s="127">
        <v>45110</v>
      </c>
      <c r="B37" s="128" t="s">
        <v>6</v>
      </c>
      <c r="C37" s="76" t="s">
        <v>435</v>
      </c>
      <c r="D37" s="125" t="s">
        <v>13</v>
      </c>
      <c r="E37" s="31">
        <v>752237.48</v>
      </c>
      <c r="G37" s="30"/>
      <c r="I37" s="69"/>
      <c r="J37" s="69"/>
    </row>
    <row r="38" spans="1:10" s="70" customFormat="1" ht="12.75" customHeight="1" x14ac:dyDescent="0.2">
      <c r="A38" s="127">
        <v>45110</v>
      </c>
      <c r="B38" s="128" t="s">
        <v>6</v>
      </c>
      <c r="C38" s="76" t="s">
        <v>465</v>
      </c>
      <c r="D38" s="125" t="s">
        <v>13</v>
      </c>
      <c r="E38" s="31">
        <v>1288670</v>
      </c>
      <c r="G38" s="30"/>
      <c r="I38" s="69"/>
      <c r="J38" s="69"/>
    </row>
    <row r="39" spans="1:10" s="70" customFormat="1" ht="12.75" customHeight="1" x14ac:dyDescent="0.2">
      <c r="A39" s="127">
        <v>45110</v>
      </c>
      <c r="B39" s="128" t="s">
        <v>6</v>
      </c>
      <c r="C39" s="76" t="s">
        <v>149</v>
      </c>
      <c r="D39" s="125" t="s">
        <v>13</v>
      </c>
      <c r="E39" s="31">
        <v>736</v>
      </c>
      <c r="G39" s="30"/>
      <c r="I39" s="69"/>
      <c r="J39" s="69"/>
    </row>
    <row r="40" spans="1:10" s="70" customFormat="1" ht="12.75" customHeight="1" x14ac:dyDescent="0.2">
      <c r="A40" s="127">
        <v>45110</v>
      </c>
      <c r="B40" s="128" t="s">
        <v>11</v>
      </c>
      <c r="C40" s="76" t="s">
        <v>715</v>
      </c>
      <c r="D40" s="125" t="s">
        <v>29</v>
      </c>
      <c r="E40" s="31"/>
      <c r="F40" s="70">
        <v>2899050</v>
      </c>
      <c r="G40" s="30"/>
      <c r="I40" s="69"/>
      <c r="J40" s="69"/>
    </row>
    <row r="41" spans="1:10" s="70" customFormat="1" ht="12.75" customHeight="1" x14ac:dyDescent="0.2">
      <c r="A41" s="127">
        <v>45110</v>
      </c>
      <c r="B41" s="128" t="s">
        <v>11</v>
      </c>
      <c r="C41" s="76" t="s">
        <v>107</v>
      </c>
      <c r="D41" s="125" t="s">
        <v>29</v>
      </c>
      <c r="E41" s="31"/>
      <c r="F41" s="70">
        <v>157512.39000000001</v>
      </c>
      <c r="G41" s="30"/>
      <c r="I41" s="69"/>
      <c r="J41" s="69"/>
    </row>
    <row r="42" spans="1:10" s="70" customFormat="1" ht="12.75" customHeight="1" x14ac:dyDescent="0.2">
      <c r="A42" s="127">
        <v>45110</v>
      </c>
      <c r="B42" s="128" t="s">
        <v>11</v>
      </c>
      <c r="C42" s="76" t="s">
        <v>108</v>
      </c>
      <c r="D42" s="125" t="s">
        <v>29</v>
      </c>
      <c r="E42" s="31"/>
      <c r="F42" s="70">
        <v>279074.61</v>
      </c>
      <c r="G42" s="30"/>
      <c r="I42" s="69"/>
      <c r="J42" s="69"/>
    </row>
    <row r="43" spans="1:10" s="70" customFormat="1" ht="12.75" customHeight="1" x14ac:dyDescent="0.2">
      <c r="A43" s="127">
        <v>45110</v>
      </c>
      <c r="B43" s="128" t="s">
        <v>11</v>
      </c>
      <c r="C43" s="76" t="s">
        <v>16</v>
      </c>
      <c r="D43" s="125" t="s">
        <v>29</v>
      </c>
      <c r="E43" s="31"/>
      <c r="F43" s="70">
        <v>19212.330000000002</v>
      </c>
      <c r="G43" s="30"/>
      <c r="I43" s="69"/>
      <c r="J43" s="69"/>
    </row>
    <row r="44" spans="1:10" s="70" customFormat="1" ht="12.75" customHeight="1" x14ac:dyDescent="0.2">
      <c r="A44" s="127">
        <v>45110</v>
      </c>
      <c r="B44" s="128" t="s">
        <v>11</v>
      </c>
      <c r="C44" s="76" t="s">
        <v>64</v>
      </c>
      <c r="D44" s="125" t="s">
        <v>29</v>
      </c>
      <c r="E44" s="31"/>
      <c r="F44" s="70">
        <f>13300.96+4720</f>
        <v>18020.96</v>
      </c>
      <c r="G44" s="30"/>
      <c r="I44" s="69"/>
      <c r="J44" s="69"/>
    </row>
    <row r="45" spans="1:10" s="70" customFormat="1" ht="12.75" customHeight="1" x14ac:dyDescent="0.2">
      <c r="A45" s="127">
        <v>45110</v>
      </c>
      <c r="B45" s="128" t="s">
        <v>11</v>
      </c>
      <c r="C45" s="76" t="s">
        <v>111</v>
      </c>
      <c r="D45" s="125" t="s">
        <v>29</v>
      </c>
      <c r="E45" s="31"/>
      <c r="F45" s="70">
        <v>4070099.8099999996</v>
      </c>
      <c r="G45" s="30"/>
      <c r="I45" s="69"/>
      <c r="J45" s="69"/>
    </row>
    <row r="46" spans="1:10" s="70" customFormat="1" ht="12.75" customHeight="1" x14ac:dyDescent="0.2">
      <c r="A46" s="127">
        <v>45110</v>
      </c>
      <c r="B46" s="128" t="s">
        <v>11</v>
      </c>
      <c r="C46" s="76" t="s">
        <v>729</v>
      </c>
      <c r="D46" s="125" t="s">
        <v>29</v>
      </c>
      <c r="E46" s="31"/>
      <c r="F46" s="70">
        <v>13424.55</v>
      </c>
      <c r="G46" s="30"/>
      <c r="I46" s="69"/>
      <c r="J46" s="69"/>
    </row>
    <row r="47" spans="1:10" s="70" customFormat="1" ht="12.75" customHeight="1" x14ac:dyDescent="0.2">
      <c r="A47" s="127">
        <v>45110</v>
      </c>
      <c r="B47" s="128" t="s">
        <v>11</v>
      </c>
      <c r="C47" s="76" t="s">
        <v>800</v>
      </c>
      <c r="D47" s="125" t="s">
        <v>29</v>
      </c>
      <c r="E47" s="31"/>
      <c r="F47" s="70">
        <v>6401</v>
      </c>
      <c r="G47" s="30"/>
      <c r="I47" s="69"/>
      <c r="J47" s="69"/>
    </row>
    <row r="48" spans="1:10" s="70" customFormat="1" ht="12.75" customHeight="1" x14ac:dyDescent="0.2">
      <c r="A48" s="127">
        <v>45110</v>
      </c>
      <c r="B48" s="128" t="s">
        <v>11</v>
      </c>
      <c r="C48" s="76" t="s">
        <v>184</v>
      </c>
      <c r="D48" s="125" t="s">
        <v>29</v>
      </c>
      <c r="E48" s="31"/>
      <c r="F48" s="70">
        <v>53856</v>
      </c>
      <c r="G48" s="30"/>
      <c r="I48" s="69"/>
      <c r="J48" s="69"/>
    </row>
    <row r="49" spans="1:10" s="70" customFormat="1" ht="12.75" customHeight="1" x14ac:dyDescent="0.2">
      <c r="A49" s="127">
        <v>45110</v>
      </c>
      <c r="B49" s="128" t="s">
        <v>11</v>
      </c>
      <c r="C49" s="76" t="s">
        <v>185</v>
      </c>
      <c r="D49" s="125" t="s">
        <v>29</v>
      </c>
      <c r="E49" s="31"/>
      <c r="F49" s="70">
        <v>897097</v>
      </c>
      <c r="G49" s="30"/>
      <c r="I49" s="69"/>
      <c r="J49" s="69"/>
    </row>
    <row r="50" spans="1:10" s="70" customFormat="1" ht="12.75" customHeight="1" x14ac:dyDescent="0.2">
      <c r="A50" s="127">
        <v>45110</v>
      </c>
      <c r="B50" s="128" t="s">
        <v>11</v>
      </c>
      <c r="C50" s="76" t="s">
        <v>187</v>
      </c>
      <c r="D50" s="125" t="s">
        <v>29</v>
      </c>
      <c r="E50" s="31"/>
      <c r="F50" s="70">
        <v>1171573</v>
      </c>
      <c r="G50" s="30"/>
      <c r="I50" s="69"/>
      <c r="J50" s="69"/>
    </row>
    <row r="51" spans="1:10" s="70" customFormat="1" ht="12.75" customHeight="1" x14ac:dyDescent="0.2">
      <c r="A51" s="127">
        <v>45110</v>
      </c>
      <c r="B51" s="128" t="s">
        <v>11</v>
      </c>
      <c r="C51" s="76" t="s">
        <v>188</v>
      </c>
      <c r="D51" s="125" t="s">
        <v>29</v>
      </c>
      <c r="E51" s="31"/>
      <c r="F51" s="70">
        <v>186403</v>
      </c>
      <c r="G51" s="30"/>
      <c r="I51" s="69"/>
      <c r="J51" s="69"/>
    </row>
    <row r="52" spans="1:10" s="70" customFormat="1" ht="12.75" customHeight="1" x14ac:dyDescent="0.2">
      <c r="A52" s="127">
        <v>45110</v>
      </c>
      <c r="B52" s="128" t="s">
        <v>11</v>
      </c>
      <c r="C52" s="76" t="s">
        <v>189</v>
      </c>
      <c r="D52" s="125" t="s">
        <v>29</v>
      </c>
      <c r="E52" s="31"/>
      <c r="F52" s="70">
        <v>477468</v>
      </c>
      <c r="G52" s="30"/>
      <c r="I52" s="69"/>
      <c r="J52" s="69"/>
    </row>
    <row r="53" spans="1:10" s="70" customFormat="1" ht="12.75" customHeight="1" x14ac:dyDescent="0.2">
      <c r="A53" s="127">
        <v>45110</v>
      </c>
      <c r="B53" s="128" t="s">
        <v>11</v>
      </c>
      <c r="C53" s="76" t="s">
        <v>190</v>
      </c>
      <c r="D53" s="125" t="s">
        <v>29</v>
      </c>
      <c r="E53" s="31"/>
      <c r="F53" s="70">
        <v>1276945</v>
      </c>
      <c r="G53" s="30"/>
      <c r="I53" s="69"/>
      <c r="J53" s="69"/>
    </row>
    <row r="54" spans="1:10" s="70" customFormat="1" ht="12.75" customHeight="1" x14ac:dyDescent="0.2">
      <c r="A54" s="127">
        <v>45110</v>
      </c>
      <c r="B54" s="128" t="s">
        <v>11</v>
      </c>
      <c r="C54" s="76" t="s">
        <v>191</v>
      </c>
      <c r="D54" s="125" t="s">
        <v>29</v>
      </c>
      <c r="E54" s="31"/>
      <c r="F54" s="70">
        <v>84339</v>
      </c>
      <c r="G54" s="30"/>
      <c r="I54" s="69"/>
      <c r="J54" s="69"/>
    </row>
    <row r="55" spans="1:10" s="70" customFormat="1" ht="12.75" customHeight="1" x14ac:dyDescent="0.2">
      <c r="A55" s="127">
        <v>45110</v>
      </c>
      <c r="B55" s="128" t="s">
        <v>11</v>
      </c>
      <c r="C55" s="76" t="s">
        <v>588</v>
      </c>
      <c r="D55" s="125" t="s">
        <v>29</v>
      </c>
      <c r="E55" s="31"/>
      <c r="F55" s="70">
        <v>229155</v>
      </c>
      <c r="G55" s="30"/>
      <c r="I55" s="69"/>
      <c r="J55" s="69"/>
    </row>
    <row r="56" spans="1:10" s="70" customFormat="1" ht="12.75" customHeight="1" x14ac:dyDescent="0.2">
      <c r="A56" s="127">
        <v>45110</v>
      </c>
      <c r="B56" s="128" t="s">
        <v>11</v>
      </c>
      <c r="C56" s="76" t="s">
        <v>206</v>
      </c>
      <c r="D56" s="125" t="s">
        <v>29</v>
      </c>
      <c r="E56" s="31"/>
      <c r="F56" s="70">
        <v>1347353</v>
      </c>
      <c r="G56" s="30"/>
      <c r="I56" s="69"/>
      <c r="J56" s="69"/>
    </row>
    <row r="57" spans="1:10" s="70" customFormat="1" ht="12.75" customHeight="1" x14ac:dyDescent="0.2">
      <c r="A57" s="127">
        <v>45110</v>
      </c>
      <c r="B57" s="128" t="s">
        <v>11</v>
      </c>
      <c r="C57" s="76" t="s">
        <v>192</v>
      </c>
      <c r="D57" s="125" t="s">
        <v>29</v>
      </c>
      <c r="E57" s="31"/>
      <c r="F57" s="70">
        <v>594119</v>
      </c>
      <c r="G57" s="30"/>
      <c r="I57" s="69"/>
      <c r="J57" s="69"/>
    </row>
    <row r="58" spans="1:10" s="70" customFormat="1" ht="12.75" customHeight="1" x14ac:dyDescent="0.2">
      <c r="A58" s="127">
        <v>45110</v>
      </c>
      <c r="B58" s="128" t="s">
        <v>11</v>
      </c>
      <c r="C58" s="76" t="s">
        <v>804</v>
      </c>
      <c r="D58" s="125" t="s">
        <v>29</v>
      </c>
      <c r="E58" s="31"/>
      <c r="F58" s="70">
        <v>425248</v>
      </c>
      <c r="G58" s="30"/>
      <c r="I58" s="69"/>
      <c r="J58" s="69"/>
    </row>
    <row r="59" spans="1:10" s="70" customFormat="1" ht="12.75" customHeight="1" x14ac:dyDescent="0.2">
      <c r="A59" s="127">
        <v>45110</v>
      </c>
      <c r="B59" s="128" t="s">
        <v>11</v>
      </c>
      <c r="C59" s="76" t="s">
        <v>664</v>
      </c>
      <c r="D59" s="125" t="s">
        <v>29</v>
      </c>
      <c r="E59" s="31"/>
      <c r="F59" s="70">
        <v>25473</v>
      </c>
      <c r="G59" s="30"/>
      <c r="I59" s="69"/>
      <c r="J59" s="69"/>
    </row>
    <row r="60" spans="1:10" s="70" customFormat="1" ht="12.75" customHeight="1" x14ac:dyDescent="0.2">
      <c r="A60" s="127">
        <v>45110</v>
      </c>
      <c r="B60" s="128" t="s">
        <v>11</v>
      </c>
      <c r="C60" s="76" t="s">
        <v>387</v>
      </c>
      <c r="D60" s="125" t="s">
        <v>29</v>
      </c>
      <c r="E60" s="31"/>
      <c r="F60" s="70">
        <v>25166</v>
      </c>
      <c r="G60" s="30"/>
      <c r="I60" s="69"/>
      <c r="J60" s="69"/>
    </row>
    <row r="61" spans="1:10" s="70" customFormat="1" ht="12.75" customHeight="1" x14ac:dyDescent="0.2">
      <c r="A61" s="127">
        <v>45110</v>
      </c>
      <c r="B61" s="128" t="s">
        <v>11</v>
      </c>
      <c r="C61" s="76" t="s">
        <v>181</v>
      </c>
      <c r="D61" s="125" t="s">
        <v>29</v>
      </c>
      <c r="E61" s="31"/>
      <c r="F61" s="70">
        <v>48600</v>
      </c>
      <c r="G61" s="30"/>
      <c r="I61" s="69"/>
      <c r="J61" s="69"/>
    </row>
    <row r="62" spans="1:10" s="70" customFormat="1" ht="12.75" customHeight="1" x14ac:dyDescent="0.2">
      <c r="A62" s="127">
        <v>45110</v>
      </c>
      <c r="B62" s="128" t="s">
        <v>11</v>
      </c>
      <c r="C62" s="76" t="s">
        <v>167</v>
      </c>
      <c r="D62" s="125" t="s">
        <v>29</v>
      </c>
      <c r="E62" s="31"/>
      <c r="F62" s="70">
        <v>65884</v>
      </c>
      <c r="G62" s="30"/>
      <c r="I62" s="69"/>
      <c r="J62" s="69"/>
    </row>
    <row r="63" spans="1:10" s="70" customFormat="1" ht="12.75" customHeight="1" x14ac:dyDescent="0.2">
      <c r="A63" s="127">
        <v>45110</v>
      </c>
      <c r="B63" s="128" t="s">
        <v>11</v>
      </c>
      <c r="C63" s="76" t="s">
        <v>170</v>
      </c>
      <c r="D63" s="125" t="s">
        <v>29</v>
      </c>
      <c r="E63" s="31"/>
      <c r="F63" s="70">
        <v>10000</v>
      </c>
      <c r="G63" s="30"/>
      <c r="I63" s="69"/>
      <c r="J63" s="69"/>
    </row>
    <row r="64" spans="1:10" s="70" customFormat="1" ht="12.75" customHeight="1" x14ac:dyDescent="0.2">
      <c r="A64" s="127">
        <v>45110</v>
      </c>
      <c r="B64" s="128" t="s">
        <v>11</v>
      </c>
      <c r="C64" s="76" t="s">
        <v>169</v>
      </c>
      <c r="D64" s="125" t="s">
        <v>29</v>
      </c>
      <c r="E64" s="31"/>
      <c r="F64" s="70">
        <v>8500</v>
      </c>
      <c r="G64" s="30"/>
      <c r="I64" s="69"/>
      <c r="J64" s="69"/>
    </row>
    <row r="65" spans="1:14" s="70" customFormat="1" ht="12.75" customHeight="1" x14ac:dyDescent="0.2">
      <c r="A65" s="127">
        <v>45110</v>
      </c>
      <c r="B65" s="128" t="s">
        <v>11</v>
      </c>
      <c r="C65" s="76" t="s">
        <v>168</v>
      </c>
      <c r="D65" s="125" t="s">
        <v>29</v>
      </c>
      <c r="E65" s="31"/>
      <c r="F65" s="70">
        <v>3600</v>
      </c>
      <c r="G65" s="30"/>
      <c r="I65" s="69"/>
      <c r="J65" s="69"/>
    </row>
    <row r="66" spans="1:14" s="2" customFormat="1" ht="12.75" customHeight="1" x14ac:dyDescent="0.25">
      <c r="A66" s="32"/>
      <c r="B66" s="33"/>
      <c r="C66" s="14"/>
      <c r="D66" s="34"/>
      <c r="E66" s="16">
        <f>SUM(E25:E65)</f>
        <v>14211297.48</v>
      </c>
      <c r="F66" s="16">
        <f>SUM(F25:F65)</f>
        <v>288646657.14999992</v>
      </c>
      <c r="G66" s="30"/>
      <c r="H66" s="1"/>
      <c r="I66" s="39">
        <v>274554925.67000002</v>
      </c>
      <c r="J66" s="2" t="s">
        <v>396</v>
      </c>
      <c r="K66" s="92">
        <f>E67-I66</f>
        <v>-119566.00000011921</v>
      </c>
      <c r="L66" s="41"/>
      <c r="M66" s="42"/>
    </row>
    <row r="67" spans="1:14" s="2" customFormat="1" ht="12.75" customHeight="1" x14ac:dyDescent="0.2">
      <c r="A67" s="36"/>
      <c r="B67" s="28" t="s">
        <v>11</v>
      </c>
      <c r="C67" s="19" t="s">
        <v>65</v>
      </c>
      <c r="D67" s="37"/>
      <c r="E67" s="38">
        <f>F66-E66</f>
        <v>274435359.6699999</v>
      </c>
      <c r="F67" s="22"/>
      <c r="G67" s="1"/>
      <c r="H67" s="1"/>
      <c r="J67" s="1"/>
      <c r="K67" s="1"/>
      <c r="L67" s="1"/>
      <c r="M67" s="1"/>
    </row>
    <row r="68" spans="1:14" s="2" customFormat="1" ht="12.75" customHeight="1" x14ac:dyDescent="0.2">
      <c r="A68" s="36"/>
      <c r="B68" s="28" t="s">
        <v>66</v>
      </c>
      <c r="C68" s="43" t="s">
        <v>67</v>
      </c>
      <c r="D68" s="43"/>
      <c r="E68" s="12">
        <v>59416310</v>
      </c>
      <c r="F68" s="22"/>
      <c r="G68" s="1"/>
      <c r="H68" s="40"/>
      <c r="I68" s="45">
        <v>235.2</v>
      </c>
      <c r="J68" s="46"/>
      <c r="K68" s="46"/>
      <c r="L68" s="13"/>
    </row>
    <row r="69" spans="1:14" s="2" customFormat="1" ht="12.75" customHeight="1" x14ac:dyDescent="0.25">
      <c r="A69" s="36"/>
      <c r="B69" s="28"/>
      <c r="C69" s="44" t="s">
        <v>68</v>
      </c>
      <c r="D69" s="43"/>
      <c r="E69" s="7">
        <f>E67+E68</f>
        <v>333851669.6699999</v>
      </c>
      <c r="F69" s="22"/>
      <c r="G69" s="1"/>
      <c r="H69" s="103" t="s">
        <v>69</v>
      </c>
      <c r="I69" s="45">
        <v>-4.88</v>
      </c>
      <c r="J69" s="46"/>
      <c r="K69" s="46"/>
      <c r="N69" s="1"/>
    </row>
    <row r="70" spans="1:14" s="2" customFormat="1" x14ac:dyDescent="0.2">
      <c r="A70" s="24"/>
      <c r="B70" s="1"/>
      <c r="C70" s="14"/>
      <c r="D70" s="25"/>
      <c r="E70" s="1"/>
      <c r="H70" s="35" t="s">
        <v>70</v>
      </c>
      <c r="I70" s="45">
        <v>0</v>
      </c>
      <c r="J70" s="46">
        <f>+I71-D73</f>
        <v>0</v>
      </c>
      <c r="M70" s="2" t="s">
        <v>396</v>
      </c>
      <c r="N70" s="1"/>
    </row>
    <row r="71" spans="1:14" x14ac:dyDescent="0.2">
      <c r="C71" s="56"/>
      <c r="D71" s="56"/>
      <c r="E71" s="104"/>
      <c r="I71" s="49">
        <f>SUM(I68:I70)</f>
        <v>230.32</v>
      </c>
      <c r="J71" s="46"/>
      <c r="K71" s="46"/>
      <c r="L71" s="2"/>
      <c r="M71" s="2"/>
      <c r="N71" s="2"/>
    </row>
    <row r="72" spans="1:14" x14ac:dyDescent="0.2">
      <c r="C72" s="78" t="s">
        <v>575</v>
      </c>
      <c r="D72" s="48" t="s">
        <v>576</v>
      </c>
      <c r="E72" s="104"/>
      <c r="I72" s="2"/>
      <c r="J72" s="2"/>
      <c r="K72" s="2"/>
      <c r="L72" s="2"/>
      <c r="M72" s="2"/>
      <c r="N72" s="2"/>
    </row>
    <row r="73" spans="1:14" s="2" customFormat="1" x14ac:dyDescent="0.2">
      <c r="A73" s="24"/>
      <c r="B73" s="1"/>
      <c r="C73" s="47" t="s">
        <v>570</v>
      </c>
      <c r="D73" s="111">
        <v>230.32</v>
      </c>
      <c r="E73" s="104"/>
      <c r="G73" s="1"/>
      <c r="H73" s="110" t="s">
        <v>581</v>
      </c>
      <c r="N73" s="2" t="s">
        <v>535</v>
      </c>
    </row>
    <row r="74" spans="1:14" s="2" customFormat="1" x14ac:dyDescent="0.2">
      <c r="A74" s="24"/>
      <c r="B74" s="1"/>
      <c r="C74" s="47" t="s">
        <v>931</v>
      </c>
      <c r="D74" s="111">
        <v>41.08</v>
      </c>
      <c r="E74" s="104"/>
      <c r="G74" s="1"/>
      <c r="H74" s="110" t="s">
        <v>580</v>
      </c>
    </row>
    <row r="75" spans="1:14" s="2" customFormat="1" x14ac:dyDescent="0.2">
      <c r="A75" s="24"/>
      <c r="B75" s="1"/>
      <c r="C75" s="47" t="s">
        <v>572</v>
      </c>
      <c r="D75" s="111">
        <f>+D95/100000</f>
        <v>97.761719999999997</v>
      </c>
      <c r="E75" s="104"/>
      <c r="G75" s="1"/>
      <c r="H75" s="90" t="s">
        <v>587</v>
      </c>
    </row>
    <row r="76" spans="1:14" s="2" customFormat="1" x14ac:dyDescent="0.2">
      <c r="A76" s="24"/>
      <c r="B76" s="1"/>
      <c r="C76" s="108" t="s">
        <v>578</v>
      </c>
      <c r="D76" s="48">
        <f>SUM(D73:D75)</f>
        <v>369.16171999999995</v>
      </c>
      <c r="E76" s="104"/>
      <c r="G76" s="1"/>
    </row>
    <row r="77" spans="1:14" s="2" customFormat="1" x14ac:dyDescent="0.2">
      <c r="A77" s="24"/>
      <c r="B77" s="1"/>
      <c r="C77" s="47"/>
      <c r="D77" s="107"/>
      <c r="E77" s="104"/>
      <c r="G77" s="1"/>
    </row>
    <row r="78" spans="1:14" s="2" customFormat="1" x14ac:dyDescent="0.2">
      <c r="A78" s="24"/>
      <c r="B78" s="1"/>
      <c r="C78" s="47" t="s">
        <v>932</v>
      </c>
      <c r="D78" s="111">
        <v>0</v>
      </c>
      <c r="E78" s="104"/>
      <c r="G78" s="1"/>
      <c r="H78" s="110" t="s">
        <v>581</v>
      </c>
    </row>
    <row r="79" spans="1:14" s="2" customFormat="1" x14ac:dyDescent="0.2">
      <c r="A79" s="24"/>
      <c r="B79" s="1"/>
      <c r="C79" s="136" t="s">
        <v>1142</v>
      </c>
      <c r="D79" s="111">
        <f>73.06-6.07</f>
        <v>66.990000000000009</v>
      </c>
      <c r="E79" s="104"/>
      <c r="G79" s="1"/>
      <c r="H79" s="110" t="s">
        <v>581</v>
      </c>
      <c r="J79" s="114" t="s">
        <v>713</v>
      </c>
    </row>
    <row r="80" spans="1:14" s="2" customFormat="1" x14ac:dyDescent="0.2">
      <c r="A80" s="24"/>
      <c r="B80" s="1"/>
      <c r="C80" s="78" t="s">
        <v>579</v>
      </c>
      <c r="D80" s="109">
        <f>D78+D79</f>
        <v>66.990000000000009</v>
      </c>
      <c r="E80" s="104"/>
      <c r="G80" s="1"/>
      <c r="I80" s="113"/>
      <c r="J80" s="113" t="s">
        <v>709</v>
      </c>
      <c r="K80" s="113" t="s">
        <v>710</v>
      </c>
      <c r="L80" s="113" t="s">
        <v>711</v>
      </c>
      <c r="M80" s="113" t="s">
        <v>712</v>
      </c>
    </row>
    <row r="81" spans="1:13" s="2" customFormat="1" x14ac:dyDescent="0.2">
      <c r="A81" s="24"/>
      <c r="B81" s="1"/>
      <c r="C81" s="105"/>
      <c r="D81" s="106"/>
      <c r="E81" s="104"/>
      <c r="G81" s="1"/>
      <c r="I81" s="113" t="s">
        <v>706</v>
      </c>
      <c r="J81" s="115"/>
      <c r="K81" s="115">
        <v>968.99</v>
      </c>
      <c r="L81" s="115">
        <v>968.99</v>
      </c>
      <c r="M81" s="113">
        <f>+J81+L81-K81</f>
        <v>0</v>
      </c>
    </row>
    <row r="82" spans="1:13" s="2" customFormat="1" x14ac:dyDescent="0.2">
      <c r="A82" s="24"/>
      <c r="B82" s="1"/>
      <c r="C82" s="78" t="s">
        <v>577</v>
      </c>
      <c r="D82" s="109">
        <f>D73+D80</f>
        <v>297.31</v>
      </c>
      <c r="E82" s="104"/>
      <c r="G82" s="1"/>
      <c r="I82" s="113" t="s">
        <v>707</v>
      </c>
      <c r="J82" s="115">
        <v>183.1</v>
      </c>
      <c r="K82" s="115">
        <v>2527.35</v>
      </c>
      <c r="L82" s="115">
        <v>3236.97</v>
      </c>
      <c r="M82" s="113">
        <f>+J82+L82-K82</f>
        <v>892.7199999999998</v>
      </c>
    </row>
    <row r="83" spans="1:13" s="2" customFormat="1" x14ac:dyDescent="0.2">
      <c r="A83" s="24"/>
      <c r="B83" s="1"/>
      <c r="C83" s="56"/>
      <c r="D83" s="56"/>
      <c r="E83" s="104"/>
      <c r="G83" s="1"/>
      <c r="I83" s="113" t="s">
        <v>708</v>
      </c>
      <c r="J83" s="115">
        <v>1371.02</v>
      </c>
      <c r="K83" s="115">
        <v>12419.76</v>
      </c>
      <c r="L83" s="115">
        <v>12477.23</v>
      </c>
      <c r="M83" s="113">
        <f>+J83+L83-K83</f>
        <v>1428.4899999999998</v>
      </c>
    </row>
    <row r="84" spans="1:13" s="2" customFormat="1" ht="38.25" x14ac:dyDescent="0.2">
      <c r="A84" s="24"/>
      <c r="B84" s="1"/>
      <c r="C84" s="79" t="str">
        <f>"Particulars ( 01-04-2021 to "&amp;TEXT(A5,"dd-mm-yyyy")&amp;" )"</f>
        <v>Particulars ( 01-04-2021 to 03-07-2023 )</v>
      </c>
      <c r="D84" s="80" t="s">
        <v>73</v>
      </c>
      <c r="E84" s="80" t="s">
        <v>74</v>
      </c>
      <c r="F84" s="81" t="s">
        <v>75</v>
      </c>
      <c r="G84" s="80" t="s">
        <v>76</v>
      </c>
      <c r="J84" s="118">
        <f>SUM(J81:J83)</f>
        <v>1554.12</v>
      </c>
      <c r="K84" s="118">
        <f>SUM(K81:K83)</f>
        <v>15916.1</v>
      </c>
      <c r="L84" s="118">
        <f>SUM(L81:L83)</f>
        <v>16683.189999999999</v>
      </c>
      <c r="M84" s="118">
        <f>SUM(M81:M83)</f>
        <v>2321.2099999999996</v>
      </c>
    </row>
    <row r="85" spans="1:13" s="2" customFormat="1" x14ac:dyDescent="0.2">
      <c r="A85" s="24"/>
      <c r="B85" s="1"/>
      <c r="C85" s="50" t="s">
        <v>444</v>
      </c>
      <c r="D85" s="55">
        <f>+L81+L82+J82</f>
        <v>4389.0600000000004</v>
      </c>
      <c r="E85" s="55">
        <f>+K81+K82</f>
        <v>3496.34</v>
      </c>
      <c r="F85" s="55">
        <f>+D85-E85</f>
        <v>892.72000000000025</v>
      </c>
      <c r="G85" s="55">
        <f>1500-F85</f>
        <v>607.27999999999975</v>
      </c>
      <c r="H85" s="2" t="s">
        <v>396</v>
      </c>
    </row>
    <row r="86" spans="1:13" s="2" customFormat="1" x14ac:dyDescent="0.2">
      <c r="A86" s="24"/>
      <c r="B86" s="1"/>
      <c r="C86" s="50" t="s">
        <v>71</v>
      </c>
      <c r="D86" s="55">
        <f>+J83+L83</f>
        <v>13848.25</v>
      </c>
      <c r="E86" s="55">
        <f>+K83</f>
        <v>12419.76</v>
      </c>
      <c r="F86" s="55">
        <f>+D86-E86</f>
        <v>1428.4899999999998</v>
      </c>
      <c r="G86" s="55">
        <f>1500+700-F86</f>
        <v>771.51000000000022</v>
      </c>
      <c r="H86" s="2" t="s">
        <v>396</v>
      </c>
    </row>
    <row r="87" spans="1:13" s="2" customFormat="1" x14ac:dyDescent="0.2">
      <c r="A87" s="24"/>
      <c r="B87" s="1"/>
      <c r="C87" s="14"/>
      <c r="D87" s="56"/>
      <c r="E87" s="13"/>
      <c r="G87" s="1"/>
    </row>
    <row r="88" spans="1:13" s="2" customFormat="1" x14ac:dyDescent="0.2">
      <c r="A88" s="215" t="s">
        <v>80</v>
      </c>
      <c r="B88" s="216"/>
      <c r="C88" s="216"/>
      <c r="D88" s="217"/>
      <c r="E88" s="69"/>
      <c r="F88" s="70"/>
      <c r="G88" s="1"/>
      <c r="H88" s="53"/>
    </row>
    <row r="89" spans="1:13" s="2" customFormat="1" x14ac:dyDescent="0.2">
      <c r="A89" s="71" t="s">
        <v>81</v>
      </c>
      <c r="B89" s="71"/>
      <c r="C89" s="72" t="s">
        <v>82</v>
      </c>
      <c r="D89" s="73" t="s">
        <v>83</v>
      </c>
      <c r="E89" s="69"/>
      <c r="F89" s="70"/>
      <c r="H89" s="53"/>
    </row>
    <row r="90" spans="1:13" s="2" customFormat="1" x14ac:dyDescent="0.2">
      <c r="A90" s="87">
        <v>45108</v>
      </c>
      <c r="B90" s="120" t="s">
        <v>1052</v>
      </c>
      <c r="C90" s="75" t="s">
        <v>84</v>
      </c>
      <c r="D90" s="88">
        <v>3000000</v>
      </c>
      <c r="G90" s="1"/>
      <c r="L90" s="1"/>
      <c r="M90" s="1"/>
    </row>
    <row r="91" spans="1:13" s="2" customFormat="1" x14ac:dyDescent="0.2">
      <c r="A91" s="87">
        <v>45108</v>
      </c>
      <c r="B91" s="120" t="s">
        <v>1052</v>
      </c>
      <c r="C91" s="75" t="s">
        <v>271</v>
      </c>
      <c r="D91" s="88">
        <v>2323148</v>
      </c>
      <c r="G91" s="1"/>
      <c r="L91" s="1"/>
      <c r="M91" s="1"/>
    </row>
    <row r="92" spans="1:13" s="2" customFormat="1" x14ac:dyDescent="0.2">
      <c r="A92" s="87">
        <v>45110</v>
      </c>
      <c r="B92" s="120" t="s">
        <v>1052</v>
      </c>
      <c r="C92" s="75" t="s">
        <v>85</v>
      </c>
      <c r="D92" s="88">
        <v>732575</v>
      </c>
      <c r="G92" s="1"/>
      <c r="L92" s="1"/>
      <c r="M92" s="1"/>
    </row>
    <row r="93" spans="1:13" s="2" customFormat="1" x14ac:dyDescent="0.2">
      <c r="A93" s="87">
        <v>45110</v>
      </c>
      <c r="B93" s="120" t="s">
        <v>1052</v>
      </c>
      <c r="C93" s="75" t="s">
        <v>86</v>
      </c>
      <c r="D93" s="88">
        <v>2676974</v>
      </c>
      <c r="G93" s="1"/>
      <c r="L93" s="1"/>
      <c r="M93" s="1"/>
    </row>
    <row r="94" spans="1:13" s="2" customFormat="1" x14ac:dyDescent="0.2">
      <c r="A94" s="87">
        <v>45110</v>
      </c>
      <c r="B94" s="120" t="s">
        <v>1052</v>
      </c>
      <c r="C94" s="75" t="s">
        <v>86</v>
      </c>
      <c r="D94" s="88">
        <v>1043475</v>
      </c>
      <c r="G94" s="1"/>
      <c r="L94" s="1"/>
      <c r="M94" s="1"/>
    </row>
    <row r="95" spans="1:13" s="2" customFormat="1" x14ac:dyDescent="0.2">
      <c r="A95" s="87"/>
      <c r="B95" s="74"/>
      <c r="C95" s="75"/>
      <c r="D95" s="51">
        <f>SUM(D90:D94)</f>
        <v>9776172</v>
      </c>
      <c r="F95" s="2" t="s">
        <v>396</v>
      </c>
      <c r="G95" s="1"/>
      <c r="L95" s="1"/>
      <c r="M95" s="1"/>
    </row>
    <row r="96" spans="1:13" s="2" customFormat="1" x14ac:dyDescent="0.2">
      <c r="A96" s="24"/>
      <c r="B96" s="1"/>
      <c r="C96" s="14"/>
      <c r="D96" s="56"/>
      <c r="E96" s="13"/>
      <c r="G96" s="1"/>
      <c r="L96" s="1"/>
      <c r="M96" s="1"/>
    </row>
    <row r="97" spans="1:13" s="2" customFormat="1" x14ac:dyDescent="0.2">
      <c r="A97" s="24"/>
      <c r="B97" s="1"/>
      <c r="C97" s="218" t="s">
        <v>77</v>
      </c>
      <c r="D97" s="219"/>
      <c r="E97" s="219"/>
      <c r="F97" s="220"/>
      <c r="G97" s="1"/>
      <c r="L97" s="1"/>
      <c r="M97" s="1"/>
    </row>
    <row r="98" spans="1:13" s="2" customFormat="1" x14ac:dyDescent="0.2">
      <c r="A98" s="24"/>
      <c r="B98" s="1"/>
      <c r="C98" s="50"/>
      <c r="D98" s="57" t="s">
        <v>78</v>
      </c>
      <c r="E98" s="58" t="s">
        <v>79</v>
      </c>
      <c r="F98" s="57" t="s">
        <v>72</v>
      </c>
      <c r="G98" s="1"/>
      <c r="I98" s="1"/>
      <c r="J98" s="1"/>
      <c r="K98" s="1"/>
      <c r="L98" s="1"/>
      <c r="M98" s="1"/>
    </row>
    <row r="99" spans="1:13" s="2" customFormat="1" x14ac:dyDescent="0.2">
      <c r="A99" s="24"/>
      <c r="B99" s="1"/>
      <c r="C99" s="59" t="str">
        <f>"01-07-2023 to "&amp;TEXT(A5-2,"dd-mm-yyyy")</f>
        <v>01-07-2023 to 01-07-2023</v>
      </c>
      <c r="D99" s="60">
        <v>149.57</v>
      </c>
      <c r="E99" s="60">
        <v>5.44</v>
      </c>
      <c r="F99" s="61">
        <f>SUM(D99:E99)</f>
        <v>155.01</v>
      </c>
      <c r="G99" s="1"/>
    </row>
    <row r="100" spans="1:13" s="2" customFormat="1" x14ac:dyDescent="0.2">
      <c r="A100" s="24"/>
      <c r="B100" s="1"/>
      <c r="C100" s="62" t="str">
        <f>TEXT(A5-1,"dd-mm-yyyy")</f>
        <v>02-07-2023</v>
      </c>
      <c r="D100" s="60">
        <v>189.42</v>
      </c>
      <c r="E100" s="60">
        <v>0</v>
      </c>
      <c r="F100" s="61">
        <f>SUM(D100:E100)</f>
        <v>189.42</v>
      </c>
      <c r="G100" s="54"/>
      <c r="I100" s="1"/>
      <c r="J100" s="1"/>
      <c r="K100" s="1"/>
      <c r="L100" s="1"/>
      <c r="M100" s="1"/>
    </row>
    <row r="101" spans="1:13" s="2" customFormat="1" ht="13.5" thickBot="1" x14ac:dyDescent="0.25">
      <c r="A101" s="24"/>
      <c r="B101" s="1"/>
      <c r="C101" s="63" t="str">
        <f>"01-07-2023 to "&amp;TEXT(A5-1,"dd-mm-yyyy")</f>
        <v>01-07-2023 to 02-07-2023</v>
      </c>
      <c r="D101" s="64">
        <f>SUM(D99:D100)</f>
        <v>338.99</v>
      </c>
      <c r="E101" s="64">
        <f>SUM(E99:E100)</f>
        <v>5.44</v>
      </c>
      <c r="F101" s="64">
        <f>SUM(F99:F100)</f>
        <v>344.42999999999995</v>
      </c>
      <c r="G101" s="54"/>
      <c r="I101" s="1"/>
      <c r="J101" s="1"/>
      <c r="K101" s="1"/>
      <c r="L101" s="1"/>
      <c r="M101" s="1"/>
    </row>
    <row r="102" spans="1:13" s="2" customFormat="1" ht="13.5" thickTop="1" x14ac:dyDescent="0.2">
      <c r="A102" s="24"/>
      <c r="B102" s="1"/>
      <c r="C102" s="62"/>
      <c r="D102" s="65"/>
      <c r="E102" s="66"/>
      <c r="F102" s="67"/>
      <c r="G102" s="54"/>
      <c r="I102" s="1"/>
      <c r="J102" s="1"/>
      <c r="K102" s="1"/>
      <c r="L102" s="1"/>
      <c r="M102" s="1"/>
    </row>
    <row r="103" spans="1:13" s="2" customFormat="1" x14ac:dyDescent="0.2">
      <c r="A103" s="24"/>
      <c r="B103" s="1"/>
      <c r="C103" s="62" t="str">
        <f>"01-04-2023 to " &amp;C100</f>
        <v>01-04-2023 to 02-07-2023</v>
      </c>
      <c r="D103" s="68">
        <f>+D101+15462.78</f>
        <v>15801.77</v>
      </c>
      <c r="E103" s="68">
        <f>+E101+1109.7</f>
        <v>1115.1400000000001</v>
      </c>
      <c r="F103" s="68">
        <f>+F101+16572.48</f>
        <v>16916.91</v>
      </c>
      <c r="G103" s="54"/>
      <c r="I103" s="1"/>
      <c r="J103" s="1"/>
      <c r="K103" s="1"/>
      <c r="L103" s="1"/>
      <c r="M103" s="1"/>
    </row>
    <row r="104" spans="1:13" x14ac:dyDescent="0.2">
      <c r="C104" s="52"/>
      <c r="D104" s="85"/>
      <c r="E104" s="53"/>
      <c r="F104" s="53"/>
      <c r="G104" s="54"/>
      <c r="H104" s="2" t="s">
        <v>396</v>
      </c>
    </row>
    <row r="105" spans="1:13" s="2" customFormat="1" x14ac:dyDescent="0.2">
      <c r="A105" s="24"/>
      <c r="B105" s="1"/>
      <c r="C105" s="52"/>
      <c r="D105" s="85"/>
      <c r="E105" s="53"/>
      <c r="F105" s="53"/>
      <c r="G105" s="54"/>
      <c r="H105" s="53"/>
    </row>
    <row r="106" spans="1:13" x14ac:dyDescent="0.2">
      <c r="C106" s="52"/>
      <c r="D106" s="85"/>
      <c r="E106" s="53"/>
      <c r="F106" s="53"/>
      <c r="G106" s="54"/>
      <c r="H106" s="53" t="s">
        <v>396</v>
      </c>
    </row>
    <row r="107" spans="1:13" x14ac:dyDescent="0.2">
      <c r="C107" s="52"/>
      <c r="D107" s="85"/>
      <c r="E107" s="53"/>
      <c r="F107" s="53"/>
      <c r="G107" s="54"/>
      <c r="H107" s="53" t="s">
        <v>396</v>
      </c>
      <c r="J107" s="42"/>
    </row>
    <row r="108" spans="1:13" x14ac:dyDescent="0.2">
      <c r="G108" s="54"/>
      <c r="H108" s="53"/>
      <c r="I108" s="101"/>
    </row>
    <row r="109" spans="1:13" x14ac:dyDescent="0.2">
      <c r="G109" s="54"/>
      <c r="H109" s="53"/>
    </row>
    <row r="110" spans="1:13" x14ac:dyDescent="0.2">
      <c r="G110" s="54"/>
      <c r="H110" s="53"/>
    </row>
    <row r="111" spans="1:13" x14ac:dyDescent="0.2">
      <c r="H111" s="53"/>
    </row>
  </sheetData>
  <mergeCells count="6">
    <mergeCell ref="C97:F97"/>
    <mergeCell ref="A1:G1"/>
    <mergeCell ref="A3:F3"/>
    <mergeCell ref="A9:F9"/>
    <mergeCell ref="A23:F23"/>
    <mergeCell ref="A88:D88"/>
  </mergeCells>
  <conditionalFormatting sqref="G85:G86">
    <cfRule type="cellIs" dxfId="441" priority="1" operator="lessThan">
      <formula>0</formula>
    </cfRule>
  </conditionalFormatting>
  <conditionalFormatting sqref="C25">
    <cfRule type="duplicateValues" dxfId="440" priority="2"/>
  </conditionalFormatting>
  <conditionalFormatting sqref="C26:C65">
    <cfRule type="duplicateValues" dxfId="439" priority="578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sheetPr codeName="Sheet369">
    <pageSetUpPr fitToPage="1"/>
  </sheetPr>
  <dimension ref="A1:N110"/>
  <sheetViews>
    <sheetView topLeftCell="A52" zoomScaleNormal="100" workbookViewId="0">
      <selection activeCell="C46" sqref="C46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85546875" style="14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1162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45111</v>
      </c>
      <c r="B5" s="9" t="s">
        <v>6</v>
      </c>
      <c r="C5" s="10" t="s">
        <v>7</v>
      </c>
      <c r="D5" s="11"/>
      <c r="E5" s="12">
        <v>152715.70000000019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152715.70000000019</v>
      </c>
      <c r="F6" s="16">
        <f>F5</f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+E6-F6</f>
        <v>152715.70000000019</v>
      </c>
      <c r="F7" s="22"/>
      <c r="G7" s="23"/>
      <c r="H7" s="112"/>
      <c r="I7" s="112"/>
      <c r="J7" s="13"/>
    </row>
    <row r="8" spans="1:10" ht="12.75" customHeight="1" x14ac:dyDescent="0.4">
      <c r="H8" s="112"/>
      <c r="I8" s="112"/>
    </row>
    <row r="9" spans="1:10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12"/>
    </row>
    <row r="10" spans="1:10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12"/>
    </row>
    <row r="11" spans="1:10" s="2" customFormat="1" ht="14.25" customHeight="1" x14ac:dyDescent="0.2">
      <c r="A11" s="127">
        <v>45111</v>
      </c>
      <c r="B11" s="9" t="s">
        <v>6</v>
      </c>
      <c r="C11" s="10" t="s">
        <v>7</v>
      </c>
      <c r="D11" s="11"/>
      <c r="F11" s="12">
        <v>28985607.490000006</v>
      </c>
      <c r="G11" s="1"/>
      <c r="H11" s="130" t="s">
        <v>396</v>
      </c>
      <c r="I11" s="130"/>
    </row>
    <row r="12" spans="1:10" s="2" customFormat="1" ht="14.25" customHeight="1" x14ac:dyDescent="0.2">
      <c r="A12" s="127">
        <v>45111</v>
      </c>
      <c r="B12" s="9" t="s">
        <v>6</v>
      </c>
      <c r="C12" s="76" t="s">
        <v>375</v>
      </c>
      <c r="D12" s="125" t="s">
        <v>13</v>
      </c>
      <c r="E12" s="31">
        <v>200843</v>
      </c>
      <c r="F12" s="12"/>
      <c r="G12" s="1"/>
      <c r="H12" s="130"/>
      <c r="I12" s="130"/>
    </row>
    <row r="13" spans="1:10" s="2" customFormat="1" ht="14.25" customHeight="1" x14ac:dyDescent="0.2">
      <c r="A13" s="127">
        <v>45111</v>
      </c>
      <c r="B13" s="9" t="s">
        <v>6</v>
      </c>
      <c r="C13" s="76" t="s">
        <v>142</v>
      </c>
      <c r="D13" s="125" t="s">
        <v>13</v>
      </c>
      <c r="E13" s="2">
        <v>124363.7</v>
      </c>
      <c r="F13" s="31"/>
      <c r="G13" s="1"/>
      <c r="H13" s="130"/>
      <c r="I13" s="130"/>
    </row>
    <row r="14" spans="1:10" s="2" customFormat="1" ht="12.75" customHeight="1" x14ac:dyDescent="0.4">
      <c r="D14" s="15" t="s">
        <v>8</v>
      </c>
      <c r="E14" s="16">
        <f>SUM(E12:E13)</f>
        <v>325206.7</v>
      </c>
      <c r="F14" s="16">
        <f>SUM(F11:F13)</f>
        <v>28985607.490000006</v>
      </c>
      <c r="G14" s="1"/>
      <c r="H14" s="112"/>
      <c r="I14" s="112"/>
    </row>
    <row r="15" spans="1:10" s="2" customFormat="1" ht="12.75" customHeight="1" x14ac:dyDescent="0.4">
      <c r="A15" s="17"/>
      <c r="B15" s="18"/>
      <c r="C15" s="96" t="s">
        <v>9</v>
      </c>
      <c r="D15" s="20"/>
      <c r="E15" s="21">
        <f>+F14-E14</f>
        <v>28660400.790000007</v>
      </c>
      <c r="G15" s="23"/>
      <c r="H15" s="112"/>
      <c r="I15" s="112"/>
      <c r="J15" s="13"/>
    </row>
    <row r="16" spans="1:10" s="2" customFormat="1" ht="12.75" customHeight="1" x14ac:dyDescent="0.4">
      <c r="A16" s="24"/>
      <c r="B16" s="1"/>
      <c r="C16" s="14"/>
      <c r="D16" s="25"/>
      <c r="G16" s="23"/>
      <c r="H16" s="112"/>
      <c r="I16" s="112"/>
      <c r="J16" s="13"/>
    </row>
    <row r="17" spans="1:10" s="2" customFormat="1" ht="21.75" customHeight="1" x14ac:dyDescent="0.4">
      <c r="A17" s="214" t="s">
        <v>10</v>
      </c>
      <c r="B17" s="214"/>
      <c r="C17" s="214"/>
      <c r="D17" s="214"/>
      <c r="E17" s="214"/>
      <c r="F17" s="214"/>
      <c r="G17" s="13"/>
      <c r="H17" s="112"/>
      <c r="I17" s="112"/>
      <c r="J17" s="13"/>
    </row>
    <row r="18" spans="1:10" s="2" customFormat="1" ht="12.75" customHeight="1" x14ac:dyDescent="0.4">
      <c r="A18" s="26" t="s">
        <v>1</v>
      </c>
      <c r="B18" s="27" t="s">
        <v>2</v>
      </c>
      <c r="C18" s="5"/>
      <c r="D18" s="6" t="s">
        <v>3</v>
      </c>
      <c r="E18" s="7" t="s">
        <v>4</v>
      </c>
      <c r="F18" s="7" t="s">
        <v>5</v>
      </c>
      <c r="G18" s="23"/>
      <c r="H18" s="112"/>
      <c r="I18" s="112"/>
      <c r="J18" s="13"/>
    </row>
    <row r="19" spans="1:10" s="2" customFormat="1" ht="12.75" customHeight="1" x14ac:dyDescent="0.2">
      <c r="A19" s="127">
        <v>45111</v>
      </c>
      <c r="B19" s="128" t="s">
        <v>11</v>
      </c>
      <c r="C19" s="29" t="s">
        <v>7</v>
      </c>
      <c r="D19" s="25"/>
      <c r="E19" s="31"/>
      <c r="F19" s="2">
        <v>274435359.6699999</v>
      </c>
      <c r="G19" s="30"/>
      <c r="I19" s="13"/>
      <c r="J19" s="13"/>
    </row>
    <row r="20" spans="1:10" s="70" customFormat="1" ht="12.75" customHeight="1" x14ac:dyDescent="0.2">
      <c r="A20" s="127">
        <v>45111</v>
      </c>
      <c r="B20" s="128" t="s">
        <v>6</v>
      </c>
      <c r="C20" s="76" t="s">
        <v>332</v>
      </c>
      <c r="D20" s="125" t="s">
        <v>13</v>
      </c>
      <c r="E20" s="31">
        <v>331038</v>
      </c>
      <c r="G20" s="30"/>
      <c r="I20" s="69"/>
      <c r="J20" s="69"/>
    </row>
    <row r="21" spans="1:10" s="70" customFormat="1" ht="12.75" customHeight="1" x14ac:dyDescent="0.2">
      <c r="A21" s="127">
        <v>45111</v>
      </c>
      <c r="B21" s="128" t="s">
        <v>6</v>
      </c>
      <c r="C21" s="76" t="s">
        <v>144</v>
      </c>
      <c r="D21" s="125" t="s">
        <v>13</v>
      </c>
      <c r="E21" s="31">
        <v>1847796</v>
      </c>
      <c r="G21" s="30"/>
      <c r="I21" s="69"/>
      <c r="J21" s="69"/>
    </row>
    <row r="22" spans="1:10" s="70" customFormat="1" ht="12.75" customHeight="1" x14ac:dyDescent="0.2">
      <c r="A22" s="127">
        <v>45111</v>
      </c>
      <c r="B22" s="128" t="s">
        <v>6</v>
      </c>
      <c r="C22" s="76" t="s">
        <v>1033</v>
      </c>
      <c r="D22" s="125" t="s">
        <v>13</v>
      </c>
      <c r="E22" s="31">
        <v>7570822</v>
      </c>
      <c r="G22" s="30"/>
      <c r="I22" s="69"/>
      <c r="J22" s="69"/>
    </row>
    <row r="23" spans="1:10" s="70" customFormat="1" ht="12.75" customHeight="1" x14ac:dyDescent="0.2">
      <c r="A23" s="127">
        <v>45111</v>
      </c>
      <c r="B23" s="128" t="s">
        <v>6</v>
      </c>
      <c r="C23" s="76" t="s">
        <v>695</v>
      </c>
      <c r="D23" s="125" t="s">
        <v>13</v>
      </c>
      <c r="E23" s="31">
        <v>940097</v>
      </c>
      <c r="G23" s="30"/>
      <c r="I23" s="69"/>
      <c r="J23" s="69"/>
    </row>
    <row r="24" spans="1:10" s="70" customFormat="1" ht="12.75" customHeight="1" x14ac:dyDescent="0.2">
      <c r="A24" s="127">
        <v>45111</v>
      </c>
      <c r="B24" s="128" t="s">
        <v>6</v>
      </c>
      <c r="C24" s="76" t="s">
        <v>450</v>
      </c>
      <c r="D24" s="125" t="s">
        <v>13</v>
      </c>
      <c r="E24" s="31">
        <v>482687</v>
      </c>
      <c r="G24" s="30"/>
      <c r="I24" s="69"/>
      <c r="J24" s="69"/>
    </row>
    <row r="25" spans="1:10" s="70" customFormat="1" ht="12.75" customHeight="1" x14ac:dyDescent="0.2">
      <c r="A25" s="127">
        <v>45111</v>
      </c>
      <c r="B25" s="128" t="s">
        <v>6</v>
      </c>
      <c r="C25" s="76" t="s">
        <v>390</v>
      </c>
      <c r="D25" s="125" t="s">
        <v>13</v>
      </c>
      <c r="E25" s="31">
        <v>5712</v>
      </c>
      <c r="G25" s="30"/>
      <c r="I25" s="69"/>
      <c r="J25" s="69"/>
    </row>
    <row r="26" spans="1:10" s="70" customFormat="1" ht="12.75" customHeight="1" x14ac:dyDescent="0.2">
      <c r="A26" s="127">
        <v>45111</v>
      </c>
      <c r="B26" s="128" t="s">
        <v>6</v>
      </c>
      <c r="C26" s="76" t="s">
        <v>276</v>
      </c>
      <c r="D26" s="125" t="s">
        <v>13</v>
      </c>
      <c r="E26" s="31">
        <v>8576</v>
      </c>
      <c r="G26" s="30"/>
      <c r="I26" s="69"/>
      <c r="J26" s="69"/>
    </row>
    <row r="27" spans="1:10" s="70" customFormat="1" ht="12.75" customHeight="1" x14ac:dyDescent="0.2">
      <c r="A27" s="127">
        <v>45111</v>
      </c>
      <c r="B27" s="128" t="s">
        <v>6</v>
      </c>
      <c r="C27" s="76" t="s">
        <v>435</v>
      </c>
      <c r="D27" s="125" t="s">
        <v>13</v>
      </c>
      <c r="E27" s="31">
        <v>10490</v>
      </c>
      <c r="G27" s="30"/>
      <c r="I27" s="69"/>
      <c r="J27" s="69"/>
    </row>
    <row r="28" spans="1:10" s="70" customFormat="1" ht="12.75" customHeight="1" x14ac:dyDescent="0.2">
      <c r="A28" s="127">
        <v>45111</v>
      </c>
      <c r="B28" s="128" t="s">
        <v>6</v>
      </c>
      <c r="C28" s="76" t="s">
        <v>179</v>
      </c>
      <c r="D28" s="125" t="s">
        <v>13</v>
      </c>
      <c r="E28" s="31">
        <v>155000</v>
      </c>
      <c r="G28" s="30"/>
      <c r="I28" s="69"/>
      <c r="J28" s="69"/>
    </row>
    <row r="29" spans="1:10" s="70" customFormat="1" ht="12.75" customHeight="1" x14ac:dyDescent="0.2">
      <c r="A29" s="127">
        <v>45111</v>
      </c>
      <c r="B29" s="128" t="s">
        <v>6</v>
      </c>
      <c r="C29" s="76" t="s">
        <v>557</v>
      </c>
      <c r="D29" s="125" t="s">
        <v>13</v>
      </c>
      <c r="E29" s="31">
        <v>19110</v>
      </c>
      <c r="G29" s="30"/>
      <c r="I29" s="69"/>
      <c r="J29" s="69"/>
    </row>
    <row r="30" spans="1:10" s="70" customFormat="1" ht="12.75" customHeight="1" x14ac:dyDescent="0.2">
      <c r="A30" s="127">
        <v>45111</v>
      </c>
      <c r="B30" s="128" t="s">
        <v>6</v>
      </c>
      <c r="C30" s="76" t="s">
        <v>141</v>
      </c>
      <c r="D30" s="125" t="s">
        <v>13</v>
      </c>
      <c r="E30" s="31">
        <v>102900</v>
      </c>
      <c r="G30" s="30"/>
      <c r="I30" s="69"/>
      <c r="J30" s="69"/>
    </row>
    <row r="31" spans="1:10" s="70" customFormat="1" ht="12.75" customHeight="1" x14ac:dyDescent="0.2">
      <c r="A31" s="127">
        <v>45111</v>
      </c>
      <c r="B31" s="128" t="s">
        <v>6</v>
      </c>
      <c r="C31" s="76" t="s">
        <v>320</v>
      </c>
      <c r="D31" s="125" t="s">
        <v>13</v>
      </c>
      <c r="E31" s="31">
        <v>87271</v>
      </c>
      <c r="G31" s="30"/>
      <c r="I31" s="69"/>
      <c r="J31" s="69"/>
    </row>
    <row r="32" spans="1:10" s="70" customFormat="1" ht="12.75" customHeight="1" x14ac:dyDescent="0.2">
      <c r="A32" s="127">
        <v>45111</v>
      </c>
      <c r="B32" s="128" t="s">
        <v>6</v>
      </c>
      <c r="C32" s="76" t="s">
        <v>234</v>
      </c>
      <c r="D32" s="125" t="s">
        <v>13</v>
      </c>
      <c r="E32" s="31">
        <v>8640</v>
      </c>
      <c r="G32" s="30"/>
      <c r="I32" s="69"/>
      <c r="J32" s="69"/>
    </row>
    <row r="33" spans="1:10" s="70" customFormat="1" ht="12.75" customHeight="1" x14ac:dyDescent="0.2">
      <c r="A33" s="127">
        <v>45111</v>
      </c>
      <c r="B33" s="128" t="s">
        <v>6</v>
      </c>
      <c r="C33" s="76" t="s">
        <v>1163</v>
      </c>
      <c r="D33" s="125" t="s">
        <v>13</v>
      </c>
      <c r="E33" s="31">
        <v>10742</v>
      </c>
      <c r="G33" s="30"/>
      <c r="I33" s="69"/>
      <c r="J33" s="69"/>
    </row>
    <row r="34" spans="1:10" s="70" customFormat="1" ht="12.75" customHeight="1" x14ac:dyDescent="0.2">
      <c r="A34" s="127">
        <v>45111</v>
      </c>
      <c r="B34" s="128" t="s">
        <v>6</v>
      </c>
      <c r="C34" s="76" t="s">
        <v>143</v>
      </c>
      <c r="D34" s="125" t="s">
        <v>13</v>
      </c>
      <c r="E34" s="31">
        <v>258431</v>
      </c>
      <c r="G34" s="30"/>
      <c r="I34" s="69"/>
      <c r="J34" s="69"/>
    </row>
    <row r="35" spans="1:10" s="70" customFormat="1" ht="12.75" customHeight="1" x14ac:dyDescent="0.2">
      <c r="A35" s="127">
        <v>45111</v>
      </c>
      <c r="B35" s="128" t="s">
        <v>6</v>
      </c>
      <c r="C35" s="76" t="s">
        <v>638</v>
      </c>
      <c r="D35" s="125" t="s">
        <v>13</v>
      </c>
      <c r="E35" s="31">
        <v>27942</v>
      </c>
      <c r="G35" s="30"/>
      <c r="I35" s="69"/>
      <c r="J35" s="69"/>
    </row>
    <row r="36" spans="1:10" s="70" customFormat="1" ht="12.75" customHeight="1" x14ac:dyDescent="0.2">
      <c r="A36" s="127">
        <v>45111</v>
      </c>
      <c r="B36" s="128" t="s">
        <v>6</v>
      </c>
      <c r="C36" s="76" t="s">
        <v>514</v>
      </c>
      <c r="D36" s="125" t="s">
        <v>13</v>
      </c>
      <c r="E36" s="31">
        <v>10183</v>
      </c>
      <c r="G36" s="30"/>
      <c r="I36" s="69"/>
      <c r="J36" s="69"/>
    </row>
    <row r="37" spans="1:10" s="70" customFormat="1" ht="12.75" customHeight="1" x14ac:dyDescent="0.2">
      <c r="A37" s="127">
        <v>45111</v>
      </c>
      <c r="B37" s="128" t="s">
        <v>6</v>
      </c>
      <c r="C37" s="76" t="s">
        <v>750</v>
      </c>
      <c r="D37" s="125" t="s">
        <v>13</v>
      </c>
      <c r="E37" s="31">
        <v>451307.2</v>
      </c>
      <c r="G37" s="30"/>
      <c r="I37" s="69"/>
      <c r="J37" s="69"/>
    </row>
    <row r="38" spans="1:10" s="70" customFormat="1" ht="12.75" customHeight="1" x14ac:dyDescent="0.2">
      <c r="A38" s="127">
        <v>45111</v>
      </c>
      <c r="B38" s="128" t="s">
        <v>6</v>
      </c>
      <c r="C38" s="76" t="s">
        <v>15</v>
      </c>
      <c r="D38" s="125" t="s">
        <v>13</v>
      </c>
      <c r="E38" s="31">
        <f>22255.44+1332.76</f>
        <v>23588.199999999997</v>
      </c>
      <c r="G38" s="30"/>
      <c r="I38" s="69"/>
      <c r="J38" s="69"/>
    </row>
    <row r="39" spans="1:10" s="70" customFormat="1" ht="12.75" customHeight="1" x14ac:dyDescent="0.2">
      <c r="A39" s="127">
        <v>45111</v>
      </c>
      <c r="B39" s="128" t="s">
        <v>6</v>
      </c>
      <c r="C39" s="76" t="s">
        <v>764</v>
      </c>
      <c r="D39" s="125" t="s">
        <v>13</v>
      </c>
      <c r="E39" s="31">
        <v>190453</v>
      </c>
      <c r="G39" s="30"/>
      <c r="I39" s="69"/>
      <c r="J39" s="69"/>
    </row>
    <row r="40" spans="1:10" s="70" customFormat="1" ht="12.75" customHeight="1" x14ac:dyDescent="0.2">
      <c r="A40" s="127">
        <v>45111</v>
      </c>
      <c r="B40" s="128" t="s">
        <v>6</v>
      </c>
      <c r="C40" s="76" t="s">
        <v>155</v>
      </c>
      <c r="D40" s="125" t="s">
        <v>13</v>
      </c>
      <c r="E40" s="31">
        <v>10070</v>
      </c>
      <c r="G40" s="30"/>
      <c r="I40" s="69"/>
      <c r="J40" s="69"/>
    </row>
    <row r="41" spans="1:10" s="70" customFormat="1" ht="12.75" customHeight="1" x14ac:dyDescent="0.2">
      <c r="A41" s="127">
        <v>45111</v>
      </c>
      <c r="B41" s="128" t="s">
        <v>6</v>
      </c>
      <c r="C41" s="76" t="s">
        <v>149</v>
      </c>
      <c r="D41" s="125" t="s">
        <v>13</v>
      </c>
      <c r="E41" s="31">
        <v>127510</v>
      </c>
      <c r="G41" s="30"/>
      <c r="I41" s="69"/>
      <c r="J41" s="69"/>
    </row>
    <row r="42" spans="1:10" s="70" customFormat="1" ht="12.75" customHeight="1" x14ac:dyDescent="0.2">
      <c r="A42" s="127">
        <v>45111</v>
      </c>
      <c r="B42" s="128" t="s">
        <v>6</v>
      </c>
      <c r="C42" s="76" t="s">
        <v>556</v>
      </c>
      <c r="D42" s="125" t="s">
        <v>13</v>
      </c>
      <c r="E42" s="31">
        <v>1972555</v>
      </c>
      <c r="G42" s="30"/>
      <c r="I42" s="69"/>
      <c r="J42" s="69"/>
    </row>
    <row r="43" spans="1:10" s="70" customFormat="1" ht="12.75" customHeight="1" x14ac:dyDescent="0.2">
      <c r="A43" s="127">
        <v>45111</v>
      </c>
      <c r="B43" s="128" t="s">
        <v>6</v>
      </c>
      <c r="C43" s="76" t="s">
        <v>177</v>
      </c>
      <c r="D43" s="125" t="s">
        <v>13</v>
      </c>
      <c r="E43" s="31">
        <v>735977</v>
      </c>
      <c r="G43" s="30"/>
      <c r="I43" s="69"/>
      <c r="J43" s="69"/>
    </row>
    <row r="44" spans="1:10" s="70" customFormat="1" ht="12.75" customHeight="1" x14ac:dyDescent="0.2">
      <c r="A44" s="127">
        <v>45111</v>
      </c>
      <c r="B44" s="128" t="s">
        <v>6</v>
      </c>
      <c r="C44" s="76" t="s">
        <v>1165</v>
      </c>
      <c r="D44" s="125" t="s">
        <v>13</v>
      </c>
      <c r="E44" s="31">
        <v>1940</v>
      </c>
      <c r="G44" s="30"/>
      <c r="I44" s="69"/>
      <c r="J44" s="69"/>
    </row>
    <row r="45" spans="1:10" s="70" customFormat="1" ht="12.75" customHeight="1" x14ac:dyDescent="0.2">
      <c r="A45" s="127">
        <v>45111</v>
      </c>
      <c r="B45" s="128" t="s">
        <v>6</v>
      </c>
      <c r="C45" s="76" t="s">
        <v>1083</v>
      </c>
      <c r="D45" s="125" t="s">
        <v>13</v>
      </c>
      <c r="E45" s="31">
        <v>222538</v>
      </c>
      <c r="G45" s="30"/>
      <c r="I45" s="69"/>
      <c r="J45" s="69"/>
    </row>
    <row r="46" spans="1:10" s="70" customFormat="1" ht="12.75" customHeight="1" x14ac:dyDescent="0.2">
      <c r="A46" s="127">
        <v>45111</v>
      </c>
      <c r="B46" s="128" t="s">
        <v>11</v>
      </c>
      <c r="C46" s="76" t="s">
        <v>680</v>
      </c>
      <c r="D46" s="125" t="s">
        <v>29</v>
      </c>
      <c r="E46" s="31"/>
      <c r="F46" s="70">
        <v>119566</v>
      </c>
      <c r="G46" s="30"/>
      <c r="I46" s="69"/>
      <c r="J46" s="69"/>
    </row>
    <row r="47" spans="1:10" s="70" customFormat="1" ht="12.75" customHeight="1" x14ac:dyDescent="0.2">
      <c r="A47" s="127">
        <v>45111</v>
      </c>
      <c r="B47" s="128" t="s">
        <v>11</v>
      </c>
      <c r="C47" s="76" t="s">
        <v>110</v>
      </c>
      <c r="D47" s="125" t="s">
        <v>29</v>
      </c>
      <c r="E47" s="31"/>
      <c r="F47" s="70">
        <v>176279.91999999998</v>
      </c>
      <c r="G47" s="30"/>
      <c r="I47" s="69"/>
      <c r="J47" s="69"/>
    </row>
    <row r="48" spans="1:10" s="70" customFormat="1" ht="12.75" customHeight="1" x14ac:dyDescent="0.2">
      <c r="A48" s="127">
        <v>45111</v>
      </c>
      <c r="B48" s="128" t="s">
        <v>11</v>
      </c>
      <c r="C48" s="76" t="s">
        <v>64</v>
      </c>
      <c r="D48" s="125" t="s">
        <v>29</v>
      </c>
      <c r="E48" s="31"/>
      <c r="F48" s="70">
        <v>2076823.6</v>
      </c>
      <c r="G48" s="30"/>
      <c r="I48" s="69"/>
      <c r="J48" s="69"/>
    </row>
    <row r="49" spans="1:14" s="70" customFormat="1" ht="12.75" customHeight="1" x14ac:dyDescent="0.2">
      <c r="A49" s="127">
        <v>45111</v>
      </c>
      <c r="B49" s="128" t="s">
        <v>11</v>
      </c>
      <c r="C49" s="76" t="s">
        <v>111</v>
      </c>
      <c r="D49" s="125" t="s">
        <v>29</v>
      </c>
      <c r="E49" s="31"/>
      <c r="F49" s="70">
        <v>2141225.48</v>
      </c>
      <c r="G49" s="30"/>
      <c r="I49" s="69"/>
      <c r="J49" s="69"/>
    </row>
    <row r="50" spans="1:14" s="70" customFormat="1" ht="12.75" customHeight="1" x14ac:dyDescent="0.2">
      <c r="A50" s="127">
        <v>45111</v>
      </c>
      <c r="B50" s="128" t="s">
        <v>11</v>
      </c>
      <c r="C50" s="76" t="s">
        <v>630</v>
      </c>
      <c r="D50" s="125" t="s">
        <v>29</v>
      </c>
      <c r="E50" s="31"/>
      <c r="F50" s="70">
        <v>22500</v>
      </c>
      <c r="G50" s="30"/>
      <c r="I50" s="69"/>
      <c r="J50" s="69"/>
    </row>
    <row r="51" spans="1:14" s="70" customFormat="1" ht="12.75" customHeight="1" x14ac:dyDescent="0.2">
      <c r="A51" s="127">
        <v>45111</v>
      </c>
      <c r="B51" s="128" t="s">
        <v>11</v>
      </c>
      <c r="C51" s="76" t="s">
        <v>787</v>
      </c>
      <c r="D51" s="125" t="s">
        <v>29</v>
      </c>
      <c r="E51" s="31"/>
      <c r="F51" s="70">
        <v>3526</v>
      </c>
      <c r="G51" s="30"/>
      <c r="I51" s="69"/>
      <c r="J51" s="69"/>
    </row>
    <row r="52" spans="1:14" s="70" customFormat="1" ht="12.75" customHeight="1" x14ac:dyDescent="0.2">
      <c r="A52" s="127">
        <v>45111</v>
      </c>
      <c r="B52" s="128" t="s">
        <v>11</v>
      </c>
      <c r="C52" s="76" t="s">
        <v>541</v>
      </c>
      <c r="D52" s="125" t="s">
        <v>29</v>
      </c>
      <c r="E52" s="31"/>
      <c r="F52" s="70">
        <v>204750</v>
      </c>
      <c r="G52" s="30"/>
      <c r="I52" s="69"/>
      <c r="J52" s="69"/>
    </row>
    <row r="53" spans="1:14" s="70" customFormat="1" ht="12.75" customHeight="1" x14ac:dyDescent="0.2">
      <c r="A53" s="127">
        <v>45111</v>
      </c>
      <c r="B53" s="128" t="s">
        <v>11</v>
      </c>
      <c r="C53" s="76" t="s">
        <v>805</v>
      </c>
      <c r="D53" s="125" t="s">
        <v>29</v>
      </c>
      <c r="E53" s="31"/>
      <c r="F53" s="70">
        <v>6367</v>
      </c>
      <c r="G53" s="30"/>
      <c r="I53" s="69"/>
      <c r="J53" s="69"/>
    </row>
    <row r="54" spans="1:14" s="70" customFormat="1" ht="12.75" customHeight="1" x14ac:dyDescent="0.2">
      <c r="A54" s="127">
        <v>45111</v>
      </c>
      <c r="B54" s="128" t="s">
        <v>11</v>
      </c>
      <c r="C54" s="76" t="s">
        <v>123</v>
      </c>
      <c r="D54" s="125" t="s">
        <v>29</v>
      </c>
      <c r="E54" s="31"/>
      <c r="F54" s="70">
        <v>2689751</v>
      </c>
      <c r="G54" s="30"/>
      <c r="I54" s="69"/>
      <c r="J54" s="69"/>
    </row>
    <row r="55" spans="1:14" s="70" customFormat="1" ht="12.75" customHeight="1" x14ac:dyDescent="0.2">
      <c r="A55" s="127">
        <v>45111</v>
      </c>
      <c r="B55" s="128" t="s">
        <v>11</v>
      </c>
      <c r="C55" s="76" t="s">
        <v>540</v>
      </c>
      <c r="D55" s="125" t="s">
        <v>29</v>
      </c>
      <c r="E55" s="31"/>
      <c r="F55" s="70">
        <v>89690</v>
      </c>
      <c r="G55" s="30"/>
      <c r="I55" s="69"/>
      <c r="J55" s="69"/>
    </row>
    <row r="56" spans="1:14" s="70" customFormat="1" ht="12.75" customHeight="1" x14ac:dyDescent="0.2">
      <c r="A56" s="127">
        <v>45111</v>
      </c>
      <c r="B56" s="128" t="s">
        <v>11</v>
      </c>
      <c r="C56" s="76" t="s">
        <v>1164</v>
      </c>
      <c r="D56" s="125" t="s">
        <v>29</v>
      </c>
      <c r="E56" s="31"/>
      <c r="F56" s="70">
        <v>50313.54</v>
      </c>
      <c r="G56" s="30"/>
      <c r="I56" s="69"/>
      <c r="J56" s="69"/>
    </row>
    <row r="57" spans="1:14" s="70" customFormat="1" ht="12.75" customHeight="1" x14ac:dyDescent="0.2">
      <c r="A57" s="127">
        <v>45111</v>
      </c>
      <c r="B57" s="128" t="s">
        <v>11</v>
      </c>
      <c r="C57" s="76" t="s">
        <v>801</v>
      </c>
      <c r="D57" s="125" t="s">
        <v>29</v>
      </c>
      <c r="E57" s="31"/>
      <c r="F57" s="70">
        <v>7773</v>
      </c>
      <c r="G57" s="30"/>
      <c r="I57" s="69"/>
      <c r="J57" s="69"/>
    </row>
    <row r="58" spans="1:14" s="70" customFormat="1" ht="12.75" customHeight="1" x14ac:dyDescent="0.2">
      <c r="A58" s="127">
        <v>45111</v>
      </c>
      <c r="B58" s="128" t="s">
        <v>11</v>
      </c>
      <c r="C58" s="76" t="s">
        <v>748</v>
      </c>
      <c r="D58" s="125" t="s">
        <v>29</v>
      </c>
      <c r="E58" s="31"/>
      <c r="F58" s="70">
        <v>642936.6</v>
      </c>
      <c r="G58" s="30"/>
      <c r="I58" s="69"/>
      <c r="J58" s="69"/>
    </row>
    <row r="59" spans="1:14" s="2" customFormat="1" ht="12.75" customHeight="1" x14ac:dyDescent="0.25">
      <c r="A59" s="32"/>
      <c r="B59" s="33"/>
      <c r="C59" s="14"/>
      <c r="D59" s="34"/>
      <c r="E59" s="16">
        <f>SUM(E19:E58)</f>
        <v>15613375.399999999</v>
      </c>
      <c r="F59" s="16">
        <f>SUM(F19:F58)</f>
        <v>282666861.81</v>
      </c>
      <c r="G59" s="30"/>
      <c r="H59" s="1"/>
      <c r="I59" s="39">
        <v>267053486.41</v>
      </c>
      <c r="J59" s="2" t="s">
        <v>396</v>
      </c>
      <c r="K59" s="92">
        <f>E60-I59</f>
        <v>0</v>
      </c>
      <c r="L59" s="41"/>
      <c r="M59" s="42"/>
    </row>
    <row r="60" spans="1:14" s="2" customFormat="1" ht="12.75" customHeight="1" x14ac:dyDescent="0.2">
      <c r="A60" s="36"/>
      <c r="B60" s="28" t="s">
        <v>11</v>
      </c>
      <c r="C60" s="19" t="s">
        <v>65</v>
      </c>
      <c r="D60" s="37"/>
      <c r="E60" s="38">
        <f>F59-E59</f>
        <v>267053486.41</v>
      </c>
      <c r="F60" s="22"/>
      <c r="G60" s="1"/>
      <c r="H60" s="1"/>
      <c r="J60" s="1"/>
      <c r="K60" s="1"/>
      <c r="L60" s="1"/>
      <c r="M60" s="1"/>
    </row>
    <row r="61" spans="1:14" s="2" customFormat="1" ht="12.75" customHeight="1" x14ac:dyDescent="0.2">
      <c r="A61" s="36"/>
      <c r="B61" s="28" t="s">
        <v>66</v>
      </c>
      <c r="C61" s="43" t="s">
        <v>67</v>
      </c>
      <c r="D61" s="43"/>
      <c r="E61" s="12">
        <v>59416310</v>
      </c>
      <c r="F61" s="22"/>
      <c r="G61" s="1"/>
      <c r="H61" s="40"/>
      <c r="I61" s="45">
        <v>396.66</v>
      </c>
      <c r="J61" s="46"/>
      <c r="K61" s="46"/>
      <c r="L61" s="13"/>
    </row>
    <row r="62" spans="1:14" s="2" customFormat="1" ht="12.75" customHeight="1" x14ac:dyDescent="0.25">
      <c r="A62" s="36"/>
      <c r="B62" s="28"/>
      <c r="C62" s="44" t="s">
        <v>68</v>
      </c>
      <c r="D62" s="43"/>
      <c r="E62" s="7">
        <f>E60+E61</f>
        <v>326469796.40999997</v>
      </c>
      <c r="F62" s="22"/>
      <c r="G62" s="1"/>
      <c r="H62" s="103" t="s">
        <v>69</v>
      </c>
      <c r="I62" s="45">
        <v>-4.88</v>
      </c>
      <c r="J62" s="46"/>
      <c r="K62" s="46"/>
      <c r="N62" s="1"/>
    </row>
    <row r="63" spans="1:14" s="2" customFormat="1" x14ac:dyDescent="0.2">
      <c r="A63" s="24"/>
      <c r="B63" s="1"/>
      <c r="C63" s="14"/>
      <c r="D63" s="25"/>
      <c r="E63" s="1"/>
      <c r="H63" s="35" t="s">
        <v>70</v>
      </c>
      <c r="I63" s="45">
        <v>0</v>
      </c>
      <c r="J63" s="46">
        <f>+I64-D66</f>
        <v>0</v>
      </c>
      <c r="M63" s="2" t="s">
        <v>396</v>
      </c>
      <c r="N63" s="1"/>
    </row>
    <row r="64" spans="1:14" x14ac:dyDescent="0.2">
      <c r="C64" s="56"/>
      <c r="D64" s="56"/>
      <c r="E64" s="104"/>
      <c r="I64" s="49">
        <f>SUM(I61:I63)</f>
        <v>391.78000000000003</v>
      </c>
      <c r="J64" s="46"/>
      <c r="K64" s="46"/>
      <c r="L64" s="2"/>
      <c r="M64" s="2"/>
      <c r="N64" s="2"/>
    </row>
    <row r="65" spans="1:14" x14ac:dyDescent="0.2">
      <c r="C65" s="78" t="s">
        <v>575</v>
      </c>
      <c r="D65" s="48" t="s">
        <v>576</v>
      </c>
      <c r="E65" s="104"/>
      <c r="I65" s="2"/>
      <c r="J65" s="2"/>
      <c r="K65" s="2"/>
      <c r="L65" s="2"/>
      <c r="M65" s="2"/>
      <c r="N65" s="2"/>
    </row>
    <row r="66" spans="1:14" s="2" customFormat="1" x14ac:dyDescent="0.2">
      <c r="A66" s="24"/>
      <c r="B66" s="1"/>
      <c r="C66" s="47" t="s">
        <v>570</v>
      </c>
      <c r="D66" s="111">
        <v>391.78</v>
      </c>
      <c r="E66" s="104"/>
      <c r="G66" s="1"/>
      <c r="H66" s="110" t="s">
        <v>581</v>
      </c>
      <c r="N66" s="2" t="s">
        <v>535</v>
      </c>
    </row>
    <row r="67" spans="1:14" s="2" customFormat="1" x14ac:dyDescent="0.2">
      <c r="A67" s="24"/>
      <c r="B67" s="1"/>
      <c r="C67" s="47" t="s">
        <v>931</v>
      </c>
      <c r="D67" s="111">
        <v>41.08</v>
      </c>
      <c r="E67" s="104"/>
      <c r="G67" s="1"/>
      <c r="H67" s="110" t="s">
        <v>580</v>
      </c>
    </row>
    <row r="68" spans="1:14" s="2" customFormat="1" x14ac:dyDescent="0.2">
      <c r="A68" s="24"/>
      <c r="B68" s="1"/>
      <c r="C68" s="47" t="s">
        <v>572</v>
      </c>
      <c r="D68" s="111">
        <f>+D94/100000</f>
        <v>138.3231692</v>
      </c>
      <c r="E68" s="104"/>
      <c r="G68" s="1"/>
      <c r="H68" s="90" t="s">
        <v>587</v>
      </c>
    </row>
    <row r="69" spans="1:14" s="2" customFormat="1" x14ac:dyDescent="0.2">
      <c r="A69" s="24"/>
      <c r="B69" s="1"/>
      <c r="C69" s="108" t="s">
        <v>578</v>
      </c>
      <c r="D69" s="48">
        <f>SUM(D66:D68)</f>
        <v>571.18316919999995</v>
      </c>
      <c r="E69" s="104"/>
      <c r="G69" s="1"/>
    </row>
    <row r="70" spans="1:14" s="2" customFormat="1" x14ac:dyDescent="0.2">
      <c r="A70" s="24"/>
      <c r="B70" s="1"/>
      <c r="C70" s="47"/>
      <c r="D70" s="107"/>
      <c r="E70" s="104"/>
      <c r="G70" s="1"/>
    </row>
    <row r="71" spans="1:14" s="2" customFormat="1" x14ac:dyDescent="0.2">
      <c r="A71" s="24"/>
      <c r="B71" s="1"/>
      <c r="C71" s="47" t="s">
        <v>932</v>
      </c>
      <c r="D71" s="111">
        <v>0</v>
      </c>
      <c r="E71" s="104"/>
      <c r="G71" s="1"/>
      <c r="H71" s="110" t="s">
        <v>581</v>
      </c>
    </row>
    <row r="72" spans="1:14" s="2" customFormat="1" x14ac:dyDescent="0.2">
      <c r="A72" s="24"/>
      <c r="B72" s="1"/>
      <c r="C72" s="136" t="s">
        <v>1142</v>
      </c>
      <c r="D72" s="111">
        <f>79.48-12.5</f>
        <v>66.98</v>
      </c>
      <c r="E72" s="104"/>
      <c r="G72" s="1"/>
      <c r="H72" s="110" t="s">
        <v>581</v>
      </c>
      <c r="J72" s="114" t="s">
        <v>713</v>
      </c>
    </row>
    <row r="73" spans="1:14" s="2" customFormat="1" x14ac:dyDescent="0.2">
      <c r="A73" s="24"/>
      <c r="B73" s="1"/>
      <c r="C73" s="78" t="s">
        <v>579</v>
      </c>
      <c r="D73" s="109">
        <f>D71+D72</f>
        <v>66.98</v>
      </c>
      <c r="E73" s="104"/>
      <c r="G73" s="1"/>
      <c r="I73" s="113"/>
      <c r="J73" s="113" t="s">
        <v>709</v>
      </c>
      <c r="K73" s="113" t="s">
        <v>710</v>
      </c>
      <c r="L73" s="113" t="s">
        <v>711</v>
      </c>
      <c r="M73" s="113" t="s">
        <v>712</v>
      </c>
    </row>
    <row r="74" spans="1:14" s="2" customFormat="1" x14ac:dyDescent="0.2">
      <c r="A74" s="24"/>
      <c r="B74" s="1"/>
      <c r="C74" s="105"/>
      <c r="D74" s="106"/>
      <c r="E74" s="104"/>
      <c r="G74" s="1"/>
      <c r="I74" s="113" t="s">
        <v>706</v>
      </c>
      <c r="J74" s="115"/>
      <c r="K74" s="115">
        <v>968.99</v>
      </c>
      <c r="L74" s="115">
        <v>968.99</v>
      </c>
      <c r="M74" s="113">
        <f>+J74+L74-K74</f>
        <v>0</v>
      </c>
    </row>
    <row r="75" spans="1:14" s="2" customFormat="1" x14ac:dyDescent="0.2">
      <c r="A75" s="24"/>
      <c r="B75" s="1"/>
      <c r="C75" s="78" t="s">
        <v>577</v>
      </c>
      <c r="D75" s="109">
        <f>D66+D73</f>
        <v>458.76</v>
      </c>
      <c r="E75" s="104"/>
      <c r="G75" s="1"/>
      <c r="I75" s="113" t="s">
        <v>707</v>
      </c>
      <c r="J75" s="115">
        <v>183.1</v>
      </c>
      <c r="K75" s="115">
        <v>2527.35</v>
      </c>
      <c r="L75" s="115">
        <v>3236.97</v>
      </c>
      <c r="M75" s="113">
        <f>+J75+L75-K75</f>
        <v>892.7199999999998</v>
      </c>
    </row>
    <row r="76" spans="1:14" s="2" customFormat="1" x14ac:dyDescent="0.2">
      <c r="A76" s="24"/>
      <c r="B76" s="1"/>
      <c r="C76" s="56"/>
      <c r="D76" s="56"/>
      <c r="E76" s="104"/>
      <c r="G76" s="1"/>
      <c r="I76" s="113" t="s">
        <v>708</v>
      </c>
      <c r="J76" s="115">
        <v>1371.02</v>
      </c>
      <c r="K76" s="115">
        <v>12466.75</v>
      </c>
      <c r="L76" s="115">
        <v>12483.65</v>
      </c>
      <c r="M76" s="113">
        <f>+J76+L76-K76</f>
        <v>1387.92</v>
      </c>
    </row>
    <row r="77" spans="1:14" s="2" customFormat="1" ht="38.25" x14ac:dyDescent="0.2">
      <c r="A77" s="24"/>
      <c r="B77" s="1"/>
      <c r="C77" s="79" t="str">
        <f>"Particulars ( 01-04-2021 to "&amp;TEXT(A5,"dd-mm-yyyy")&amp;" )"</f>
        <v>Particulars ( 01-04-2021 to 04-07-2023 )</v>
      </c>
      <c r="D77" s="80" t="s">
        <v>73</v>
      </c>
      <c r="E77" s="80" t="s">
        <v>74</v>
      </c>
      <c r="F77" s="81" t="s">
        <v>75</v>
      </c>
      <c r="G77" s="80" t="s">
        <v>76</v>
      </c>
      <c r="J77" s="118">
        <f>SUM(J74:J76)</f>
        <v>1554.12</v>
      </c>
      <c r="K77" s="118">
        <f>SUM(K74:K76)</f>
        <v>15963.09</v>
      </c>
      <c r="L77" s="118">
        <f>SUM(L74:L76)</f>
        <v>16689.61</v>
      </c>
      <c r="M77" s="118">
        <f>SUM(M74:M76)</f>
        <v>2280.64</v>
      </c>
    </row>
    <row r="78" spans="1:14" s="2" customFormat="1" x14ac:dyDescent="0.2">
      <c r="A78" s="24"/>
      <c r="B78" s="1"/>
      <c r="C78" s="50" t="s">
        <v>444</v>
      </c>
      <c r="D78" s="55">
        <f>+L74+L75+J75</f>
        <v>4389.0600000000004</v>
      </c>
      <c r="E78" s="55">
        <f>+K74+K75</f>
        <v>3496.34</v>
      </c>
      <c r="F78" s="55">
        <f>+D78-E78</f>
        <v>892.72000000000025</v>
      </c>
      <c r="G78" s="55">
        <f>1500-F78</f>
        <v>607.27999999999975</v>
      </c>
      <c r="H78" s="2" t="s">
        <v>396</v>
      </c>
    </row>
    <row r="79" spans="1:14" s="2" customFormat="1" x14ac:dyDescent="0.2">
      <c r="A79" s="24"/>
      <c r="B79" s="1"/>
      <c r="C79" s="50" t="s">
        <v>71</v>
      </c>
      <c r="D79" s="55">
        <f>+J76+L76</f>
        <v>13854.67</v>
      </c>
      <c r="E79" s="55">
        <f>+K76</f>
        <v>12466.75</v>
      </c>
      <c r="F79" s="55">
        <f>+D79-E79</f>
        <v>1387.92</v>
      </c>
      <c r="G79" s="55">
        <f>1500+700-F79</f>
        <v>812.07999999999993</v>
      </c>
      <c r="H79" s="2" t="s">
        <v>396</v>
      </c>
    </row>
    <row r="80" spans="1:14" s="2" customFormat="1" x14ac:dyDescent="0.2">
      <c r="A80" s="24"/>
      <c r="B80" s="1"/>
      <c r="C80" s="14"/>
      <c r="D80" s="56"/>
      <c r="E80" s="13"/>
      <c r="G80" s="1"/>
    </row>
    <row r="81" spans="1:13" s="2" customFormat="1" x14ac:dyDescent="0.2">
      <c r="A81" s="215" t="s">
        <v>80</v>
      </c>
      <c r="B81" s="216"/>
      <c r="C81" s="216"/>
      <c r="D81" s="217"/>
      <c r="E81" s="69"/>
      <c r="F81" s="70"/>
      <c r="G81" s="1"/>
      <c r="H81" s="53"/>
    </row>
    <row r="82" spans="1:13" s="2" customFormat="1" x14ac:dyDescent="0.2">
      <c r="A82" s="71" t="s">
        <v>81</v>
      </c>
      <c r="B82" s="71"/>
      <c r="C82" s="72" t="s">
        <v>82</v>
      </c>
      <c r="D82" s="73" t="s">
        <v>83</v>
      </c>
      <c r="E82" s="69"/>
      <c r="F82" s="70"/>
      <c r="H82" s="53"/>
    </row>
    <row r="83" spans="1:13" s="2" customFormat="1" x14ac:dyDescent="0.2">
      <c r="A83" s="87">
        <v>45108</v>
      </c>
      <c r="B83" s="120" t="s">
        <v>1052</v>
      </c>
      <c r="C83" s="75" t="s">
        <v>84</v>
      </c>
      <c r="D83" s="88">
        <v>3000000</v>
      </c>
      <c r="G83" s="1"/>
      <c r="L83" s="1"/>
      <c r="M83" s="1"/>
    </row>
    <row r="84" spans="1:13" s="2" customFormat="1" x14ac:dyDescent="0.2">
      <c r="A84" s="87">
        <v>45108</v>
      </c>
      <c r="B84" s="120" t="s">
        <v>1052</v>
      </c>
      <c r="C84" s="75" t="s">
        <v>271</v>
      </c>
      <c r="D84" s="88">
        <v>2323148</v>
      </c>
      <c r="G84" s="1"/>
      <c r="L84" s="1"/>
      <c r="M84" s="1"/>
    </row>
    <row r="85" spans="1:13" s="2" customFormat="1" x14ac:dyDescent="0.2">
      <c r="A85" s="87">
        <v>45110</v>
      </c>
      <c r="B85" s="120" t="s">
        <v>1052</v>
      </c>
      <c r="C85" s="75" t="s">
        <v>85</v>
      </c>
      <c r="D85" s="88">
        <v>732575</v>
      </c>
      <c r="G85" s="1"/>
      <c r="L85" s="1"/>
      <c r="M85" s="1"/>
    </row>
    <row r="86" spans="1:13" s="2" customFormat="1" x14ac:dyDescent="0.2">
      <c r="A86" s="87">
        <v>45110</v>
      </c>
      <c r="B86" s="120" t="s">
        <v>1052</v>
      </c>
      <c r="C86" s="75" t="s">
        <v>86</v>
      </c>
      <c r="D86" s="88">
        <v>2676974</v>
      </c>
      <c r="G86" s="1"/>
      <c r="L86" s="1"/>
      <c r="M86" s="1"/>
    </row>
    <row r="87" spans="1:13" s="2" customFormat="1" x14ac:dyDescent="0.2">
      <c r="A87" s="87">
        <v>45110</v>
      </c>
      <c r="B87" s="120" t="s">
        <v>1052</v>
      </c>
      <c r="C87" s="75" t="s">
        <v>86</v>
      </c>
      <c r="D87" s="88">
        <v>1043475</v>
      </c>
      <c r="G87" s="1"/>
      <c r="L87" s="1"/>
      <c r="M87" s="1"/>
    </row>
    <row r="88" spans="1:13" s="2" customFormat="1" x14ac:dyDescent="0.2">
      <c r="A88" s="87">
        <v>45111</v>
      </c>
      <c r="B88" s="120" t="s">
        <v>1052</v>
      </c>
      <c r="C88" s="75" t="s">
        <v>270</v>
      </c>
      <c r="D88" s="88">
        <v>106093</v>
      </c>
      <c r="G88" s="1"/>
      <c r="L88" s="1"/>
      <c r="M88" s="1"/>
    </row>
    <row r="89" spans="1:13" s="2" customFormat="1" x14ac:dyDescent="0.2">
      <c r="A89" s="87">
        <v>45111</v>
      </c>
      <c r="B89" s="120" t="s">
        <v>1052</v>
      </c>
      <c r="C89" s="75" t="s">
        <v>270</v>
      </c>
      <c r="D89" s="88">
        <v>102393</v>
      </c>
      <c r="G89" s="1"/>
      <c r="L89" s="1"/>
      <c r="M89" s="1"/>
    </row>
    <row r="90" spans="1:13" s="2" customFormat="1" x14ac:dyDescent="0.2">
      <c r="A90" s="87">
        <v>45111</v>
      </c>
      <c r="B90" s="120" t="s">
        <v>1052</v>
      </c>
      <c r="C90" s="75" t="s">
        <v>270</v>
      </c>
      <c r="D90" s="88">
        <v>716336</v>
      </c>
      <c r="G90" s="1"/>
      <c r="L90" s="1"/>
      <c r="M90" s="1"/>
    </row>
    <row r="91" spans="1:13" s="2" customFormat="1" x14ac:dyDescent="0.2">
      <c r="A91" s="87">
        <v>45111</v>
      </c>
      <c r="B91" s="120" t="s">
        <v>1052</v>
      </c>
      <c r="C91" s="75" t="s">
        <v>270</v>
      </c>
      <c r="D91" s="88">
        <v>2504631</v>
      </c>
      <c r="G91" s="1"/>
      <c r="L91" s="1"/>
      <c r="M91" s="1"/>
    </row>
    <row r="92" spans="1:13" s="2" customFormat="1" x14ac:dyDescent="0.2">
      <c r="A92" s="87">
        <v>45111</v>
      </c>
      <c r="B92" s="120" t="s">
        <v>1052</v>
      </c>
      <c r="C92" s="75" t="s">
        <v>270</v>
      </c>
      <c r="D92" s="88">
        <v>141433.92000000001</v>
      </c>
      <c r="G92" s="1"/>
      <c r="L92" s="1"/>
      <c r="M92" s="1"/>
    </row>
    <row r="93" spans="1:13" s="2" customFormat="1" x14ac:dyDescent="0.2">
      <c r="A93" s="87">
        <v>45111</v>
      </c>
      <c r="B93" s="120" t="s">
        <v>1052</v>
      </c>
      <c r="C93" s="75" t="s">
        <v>271</v>
      </c>
      <c r="D93" s="88">
        <v>485258</v>
      </c>
      <c r="G93" s="1"/>
      <c r="L93" s="1"/>
      <c r="M93" s="1"/>
    </row>
    <row r="94" spans="1:13" s="2" customFormat="1" x14ac:dyDescent="0.2">
      <c r="A94" s="87"/>
      <c r="B94" s="74"/>
      <c r="C94" s="75"/>
      <c r="D94" s="51">
        <f>SUM(D83:D93)</f>
        <v>13832316.92</v>
      </c>
      <c r="F94" s="2" t="s">
        <v>396</v>
      </c>
      <c r="G94" s="1"/>
      <c r="L94" s="1"/>
      <c r="M94" s="1"/>
    </row>
    <row r="95" spans="1:13" s="2" customFormat="1" x14ac:dyDescent="0.2">
      <c r="A95" s="24"/>
      <c r="B95" s="1"/>
      <c r="C95" s="14"/>
      <c r="D95" s="56"/>
      <c r="E95" s="13"/>
      <c r="G95" s="1"/>
      <c r="L95" s="1"/>
      <c r="M95" s="1"/>
    </row>
    <row r="96" spans="1:13" s="2" customFormat="1" x14ac:dyDescent="0.2">
      <c r="A96" s="24"/>
      <c r="B96" s="1"/>
      <c r="C96" s="218" t="s">
        <v>77</v>
      </c>
      <c r="D96" s="219"/>
      <c r="E96" s="219"/>
      <c r="F96" s="220"/>
      <c r="G96" s="1"/>
      <c r="L96" s="1"/>
      <c r="M96" s="1"/>
    </row>
    <row r="97" spans="1:13" s="2" customFormat="1" x14ac:dyDescent="0.2">
      <c r="A97" s="24"/>
      <c r="B97" s="1"/>
      <c r="C97" s="50"/>
      <c r="D97" s="57" t="s">
        <v>78</v>
      </c>
      <c r="E97" s="58" t="s">
        <v>79</v>
      </c>
      <c r="F97" s="57" t="s">
        <v>72</v>
      </c>
      <c r="G97" s="1"/>
      <c r="I97" s="1"/>
      <c r="J97" s="1"/>
      <c r="K97" s="1"/>
      <c r="L97" s="1"/>
      <c r="M97" s="1"/>
    </row>
    <row r="98" spans="1:13" s="2" customFormat="1" x14ac:dyDescent="0.2">
      <c r="A98" s="24"/>
      <c r="B98" s="1"/>
      <c r="C98" s="59" t="str">
        <f>"01-07-2023 to "&amp;TEXT(A5-2,"dd-mm-yyyy")</f>
        <v>01-07-2023 to 02-07-2023</v>
      </c>
      <c r="D98" s="60">
        <v>359.23</v>
      </c>
      <c r="E98" s="60">
        <v>5.44</v>
      </c>
      <c r="F98" s="61">
        <f>SUM(D98:E98)</f>
        <v>364.67</v>
      </c>
      <c r="G98" s="1"/>
    </row>
    <row r="99" spans="1:13" s="2" customFormat="1" x14ac:dyDescent="0.2">
      <c r="A99" s="24"/>
      <c r="B99" s="1"/>
      <c r="C99" s="62" t="str">
        <f>TEXT(A5-1,"dd-mm-yyyy")</f>
        <v>03-07-2023</v>
      </c>
      <c r="D99" s="60">
        <v>174.82</v>
      </c>
      <c r="E99" s="60">
        <v>2.4300000000000002</v>
      </c>
      <c r="F99" s="61">
        <f>SUM(D99:E99)</f>
        <v>177.25</v>
      </c>
      <c r="G99" s="54"/>
      <c r="I99" s="1"/>
      <c r="J99" s="1"/>
      <c r="K99" s="1"/>
      <c r="L99" s="1"/>
      <c r="M99" s="1"/>
    </row>
    <row r="100" spans="1:13" s="2" customFormat="1" ht="13.5" thickBot="1" x14ac:dyDescent="0.25">
      <c r="A100" s="24"/>
      <c r="B100" s="1"/>
      <c r="C100" s="63" t="str">
        <f>"01-07-2023 to "&amp;TEXT(A5-1,"dd-mm-yyyy")</f>
        <v>01-07-2023 to 03-07-2023</v>
      </c>
      <c r="D100" s="64">
        <f>SUM(D98:D99)</f>
        <v>534.04999999999995</v>
      </c>
      <c r="E100" s="64">
        <f>SUM(E98:E99)</f>
        <v>7.870000000000001</v>
      </c>
      <c r="F100" s="64">
        <f>SUM(F98:F99)</f>
        <v>541.92000000000007</v>
      </c>
      <c r="G100" s="54"/>
      <c r="I100" s="1"/>
      <c r="J100" s="1"/>
      <c r="K100" s="1"/>
      <c r="L100" s="1"/>
      <c r="M100" s="1"/>
    </row>
    <row r="101" spans="1:13" s="2" customFormat="1" ht="13.5" thickTop="1" x14ac:dyDescent="0.2">
      <c r="A101" s="24"/>
      <c r="B101" s="1"/>
      <c r="C101" s="62"/>
      <c r="D101" s="65"/>
      <c r="E101" s="66"/>
      <c r="F101" s="67"/>
      <c r="G101" s="54"/>
      <c r="I101" s="1"/>
      <c r="J101" s="1"/>
      <c r="K101" s="1"/>
      <c r="L101" s="1"/>
      <c r="M101" s="1"/>
    </row>
    <row r="102" spans="1:13" s="2" customFormat="1" x14ac:dyDescent="0.2">
      <c r="A102" s="24"/>
      <c r="B102" s="1"/>
      <c r="C102" s="62" t="str">
        <f>"01-04-2023 to " &amp;C99</f>
        <v>01-04-2023 to 03-07-2023</v>
      </c>
      <c r="D102" s="68">
        <f>+D100+15462.78</f>
        <v>15996.83</v>
      </c>
      <c r="E102" s="68">
        <f>+E100+1109.7</f>
        <v>1117.57</v>
      </c>
      <c r="F102" s="68">
        <f>+F100+16572.48</f>
        <v>17114.400000000001</v>
      </c>
      <c r="G102" s="54"/>
      <c r="I102" s="1"/>
      <c r="J102" s="1"/>
      <c r="K102" s="1"/>
      <c r="L102" s="1"/>
      <c r="M102" s="1"/>
    </row>
    <row r="103" spans="1:13" x14ac:dyDescent="0.2">
      <c r="C103" s="52"/>
      <c r="D103" s="85"/>
      <c r="E103" s="53"/>
      <c r="F103" s="53"/>
      <c r="G103" s="54"/>
      <c r="H103" s="2" t="s">
        <v>396</v>
      </c>
    </row>
    <row r="104" spans="1:13" s="2" customFormat="1" x14ac:dyDescent="0.2">
      <c r="A104" s="24"/>
      <c r="B104" s="1"/>
      <c r="C104" s="52"/>
      <c r="D104" s="85"/>
      <c r="E104" s="53"/>
      <c r="F104" s="53"/>
      <c r="G104" s="54"/>
      <c r="H104" s="53"/>
    </row>
    <row r="105" spans="1:13" x14ac:dyDescent="0.2">
      <c r="C105" s="52"/>
      <c r="D105" s="85"/>
      <c r="E105" s="53"/>
      <c r="F105" s="53"/>
      <c r="G105" s="54"/>
      <c r="H105" s="53" t="s">
        <v>396</v>
      </c>
    </row>
    <row r="106" spans="1:13" x14ac:dyDescent="0.2">
      <c r="C106" s="52"/>
      <c r="D106" s="85"/>
      <c r="E106" s="53"/>
      <c r="F106" s="53"/>
      <c r="G106" s="54"/>
      <c r="H106" s="53" t="s">
        <v>396</v>
      </c>
      <c r="J106" s="42"/>
    </row>
    <row r="107" spans="1:13" x14ac:dyDescent="0.2">
      <c r="G107" s="54"/>
      <c r="H107" s="53"/>
      <c r="I107" s="101"/>
    </row>
    <row r="108" spans="1:13" x14ac:dyDescent="0.2">
      <c r="G108" s="54"/>
      <c r="H108" s="53"/>
    </row>
    <row r="109" spans="1:13" x14ac:dyDescent="0.2">
      <c r="G109" s="54"/>
      <c r="H109" s="53"/>
    </row>
    <row r="110" spans="1:13" x14ac:dyDescent="0.2">
      <c r="H110" s="53"/>
    </row>
  </sheetData>
  <mergeCells count="6">
    <mergeCell ref="C96:F96"/>
    <mergeCell ref="A1:G1"/>
    <mergeCell ref="A3:F3"/>
    <mergeCell ref="A9:F9"/>
    <mergeCell ref="A17:F17"/>
    <mergeCell ref="A81:D81"/>
  </mergeCells>
  <conditionalFormatting sqref="G78:G79">
    <cfRule type="cellIs" dxfId="438" priority="1" operator="lessThan">
      <formula>0</formula>
    </cfRule>
  </conditionalFormatting>
  <conditionalFormatting sqref="C19">
    <cfRule type="duplicateValues" dxfId="437" priority="2"/>
  </conditionalFormatting>
  <conditionalFormatting sqref="C20:C58">
    <cfRule type="duplicateValues" dxfId="436" priority="580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sheetPr codeName="Sheet370">
    <pageSetUpPr fitToPage="1"/>
  </sheetPr>
  <dimension ref="A1:N106"/>
  <sheetViews>
    <sheetView topLeftCell="A10" zoomScaleNormal="100" workbookViewId="0">
      <selection activeCell="C29" sqref="C29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1166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45112</v>
      </c>
      <c r="B5" s="9" t="s">
        <v>6</v>
      </c>
      <c r="C5" s="10" t="s">
        <v>7</v>
      </c>
      <c r="D5" s="11"/>
      <c r="E5" s="12">
        <v>152715.70000000019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152715.70000000019</v>
      </c>
      <c r="F6" s="16">
        <f>F5</f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+E6-F6</f>
        <v>152715.70000000019</v>
      </c>
      <c r="F7" s="22"/>
      <c r="G7" s="23"/>
      <c r="H7" s="112"/>
      <c r="I7" s="112"/>
      <c r="J7" s="13"/>
    </row>
    <row r="8" spans="1:10" ht="12.75" customHeight="1" x14ac:dyDescent="0.4">
      <c r="H8" s="112"/>
      <c r="I8" s="112"/>
    </row>
    <row r="9" spans="1:10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12"/>
    </row>
    <row r="10" spans="1:10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12"/>
    </row>
    <row r="11" spans="1:10" s="2" customFormat="1" ht="14.25" customHeight="1" x14ac:dyDescent="0.2">
      <c r="A11" s="127">
        <v>45112</v>
      </c>
      <c r="B11" s="9" t="s">
        <v>6</v>
      </c>
      <c r="C11" s="10" t="s">
        <v>7</v>
      </c>
      <c r="D11" s="11"/>
      <c r="F11" s="12">
        <v>28660400.790000007</v>
      </c>
      <c r="G11" s="1"/>
      <c r="H11" s="130" t="s">
        <v>396</v>
      </c>
      <c r="I11" s="130"/>
    </row>
    <row r="12" spans="1:10" s="2" customFormat="1" ht="14.25" customHeight="1" x14ac:dyDescent="0.2">
      <c r="A12" s="127">
        <v>45112</v>
      </c>
      <c r="B12" s="9" t="s">
        <v>6</v>
      </c>
      <c r="C12" s="76" t="s">
        <v>763</v>
      </c>
      <c r="D12" s="125" t="s">
        <v>13</v>
      </c>
      <c r="E12" s="31">
        <v>84291</v>
      </c>
      <c r="F12" s="12"/>
      <c r="G12" s="1"/>
      <c r="H12" s="130"/>
      <c r="I12" s="130"/>
    </row>
    <row r="13" spans="1:10" s="2" customFormat="1" ht="14.25" customHeight="1" x14ac:dyDescent="0.2">
      <c r="A13" s="127">
        <v>45112</v>
      </c>
      <c r="B13" s="9" t="s">
        <v>6</v>
      </c>
      <c r="C13" s="76" t="s">
        <v>173</v>
      </c>
      <c r="D13" s="125" t="s">
        <v>13</v>
      </c>
      <c r="E13" s="31">
        <v>2500000</v>
      </c>
      <c r="F13" s="12"/>
      <c r="G13" s="1"/>
      <c r="H13" s="130"/>
      <c r="I13" s="130"/>
    </row>
    <row r="14" spans="1:10" s="2" customFormat="1" ht="14.25" customHeight="1" x14ac:dyDescent="0.2">
      <c r="A14" s="127">
        <v>45112</v>
      </c>
      <c r="B14" s="9" t="s">
        <v>6</v>
      </c>
      <c r="C14" s="76" t="s">
        <v>21</v>
      </c>
      <c r="D14" s="125" t="s">
        <v>13</v>
      </c>
      <c r="E14" s="31">
        <v>400000</v>
      </c>
      <c r="F14" s="12"/>
      <c r="G14" s="1"/>
      <c r="H14" s="130"/>
      <c r="I14" s="130"/>
    </row>
    <row r="15" spans="1:10" s="2" customFormat="1" ht="14.25" customHeight="1" x14ac:dyDescent="0.2">
      <c r="A15" s="127">
        <v>45112</v>
      </c>
      <c r="B15" s="9" t="s">
        <v>6</v>
      </c>
      <c r="C15" s="76" t="s">
        <v>420</v>
      </c>
      <c r="D15" s="125" t="s">
        <v>13</v>
      </c>
      <c r="E15" s="2">
        <v>122542</v>
      </c>
      <c r="F15" s="31"/>
      <c r="G15" s="1"/>
      <c r="H15" s="130"/>
      <c r="I15" s="130"/>
    </row>
    <row r="16" spans="1:10" s="2" customFormat="1" ht="12.75" customHeight="1" x14ac:dyDescent="0.4">
      <c r="D16" s="15" t="s">
        <v>8</v>
      </c>
      <c r="E16" s="16">
        <f>SUM(E12:E15)</f>
        <v>3106833</v>
      </c>
      <c r="F16" s="16">
        <f>SUM(F11:F15)</f>
        <v>28660400.790000007</v>
      </c>
      <c r="G16" s="1"/>
      <c r="H16" s="112"/>
      <c r="I16" s="112"/>
    </row>
    <row r="17" spans="1:10" s="2" customFormat="1" ht="12.75" customHeight="1" x14ac:dyDescent="0.4">
      <c r="A17" s="17"/>
      <c r="B17" s="18"/>
      <c r="C17" s="96" t="s">
        <v>9</v>
      </c>
      <c r="D17" s="20"/>
      <c r="E17" s="21">
        <f>+F16-E16</f>
        <v>25553567.790000007</v>
      </c>
      <c r="G17" s="23"/>
      <c r="H17" s="112"/>
      <c r="I17" s="112"/>
      <c r="J17" s="13"/>
    </row>
    <row r="18" spans="1:10" s="2" customFormat="1" ht="12.75" customHeight="1" x14ac:dyDescent="0.4">
      <c r="A18" s="24"/>
      <c r="B18" s="1"/>
      <c r="C18" s="14"/>
      <c r="D18" s="25"/>
      <c r="G18" s="23"/>
      <c r="H18" s="112"/>
      <c r="I18" s="112"/>
      <c r="J18" s="13"/>
    </row>
    <row r="19" spans="1:10" s="2" customFormat="1" ht="21.75" customHeight="1" x14ac:dyDescent="0.4">
      <c r="A19" s="214" t="s">
        <v>10</v>
      </c>
      <c r="B19" s="214"/>
      <c r="C19" s="214"/>
      <c r="D19" s="214"/>
      <c r="E19" s="214"/>
      <c r="F19" s="214"/>
      <c r="G19" s="13"/>
      <c r="H19" s="112"/>
      <c r="I19" s="112"/>
      <c r="J19" s="13"/>
    </row>
    <row r="20" spans="1:10" s="2" customFormat="1" ht="12.75" customHeight="1" x14ac:dyDescent="0.4">
      <c r="A20" s="26" t="s">
        <v>1</v>
      </c>
      <c r="B20" s="27" t="s">
        <v>2</v>
      </c>
      <c r="C20" s="5"/>
      <c r="D20" s="6" t="s">
        <v>3</v>
      </c>
      <c r="E20" s="7" t="s">
        <v>4</v>
      </c>
      <c r="F20" s="7" t="s">
        <v>5</v>
      </c>
      <c r="G20" s="23"/>
      <c r="H20" s="112"/>
      <c r="I20" s="112"/>
      <c r="J20" s="13"/>
    </row>
    <row r="21" spans="1:10" s="2" customFormat="1" ht="12.75" customHeight="1" x14ac:dyDescent="0.2">
      <c r="A21" s="127">
        <v>45112</v>
      </c>
      <c r="B21" s="128" t="s">
        <v>11</v>
      </c>
      <c r="C21" s="29" t="s">
        <v>7</v>
      </c>
      <c r="D21" s="25"/>
      <c r="E21" s="31"/>
      <c r="F21" s="2">
        <v>267053486.41</v>
      </c>
      <c r="G21" s="30"/>
      <c r="I21" s="13"/>
      <c r="J21" s="13"/>
    </row>
    <row r="22" spans="1:10" s="70" customFormat="1" ht="12.75" customHeight="1" x14ac:dyDescent="0.2">
      <c r="A22" s="127">
        <v>45112</v>
      </c>
      <c r="B22" s="128" t="s">
        <v>6</v>
      </c>
      <c r="C22" s="76" t="s">
        <v>103</v>
      </c>
      <c r="D22" s="125" t="s">
        <v>13</v>
      </c>
      <c r="E22" s="31">
        <v>310992</v>
      </c>
      <c r="G22" s="30"/>
      <c r="I22" s="69"/>
      <c r="J22" s="69"/>
    </row>
    <row r="23" spans="1:10" s="70" customFormat="1" ht="12.75" customHeight="1" x14ac:dyDescent="0.2">
      <c r="A23" s="127">
        <v>45112</v>
      </c>
      <c r="B23" s="128" t="s">
        <v>6</v>
      </c>
      <c r="C23" s="76" t="s">
        <v>332</v>
      </c>
      <c r="D23" s="125" t="s">
        <v>13</v>
      </c>
      <c r="E23" s="31">
        <v>7092984</v>
      </c>
      <c r="G23" s="30"/>
      <c r="I23" s="69"/>
      <c r="J23" s="69"/>
    </row>
    <row r="24" spans="1:10" s="70" customFormat="1" ht="12.75" customHeight="1" x14ac:dyDescent="0.2">
      <c r="A24" s="127">
        <v>45112</v>
      </c>
      <c r="B24" s="128" t="s">
        <v>6</v>
      </c>
      <c r="C24" s="76" t="s">
        <v>760</v>
      </c>
      <c r="D24" s="125" t="s">
        <v>13</v>
      </c>
      <c r="E24" s="31">
        <v>1078462.81</v>
      </c>
      <c r="G24" s="30"/>
      <c r="I24" s="69"/>
      <c r="J24" s="69"/>
    </row>
    <row r="25" spans="1:10" s="70" customFormat="1" ht="12.75" customHeight="1" x14ac:dyDescent="0.2">
      <c r="A25" s="127">
        <v>45112</v>
      </c>
      <c r="B25" s="128" t="s">
        <v>6</v>
      </c>
      <c r="C25" s="76" t="s">
        <v>750</v>
      </c>
      <c r="D25" s="125" t="s">
        <v>13</v>
      </c>
      <c r="E25" s="31">
        <v>483951.95</v>
      </c>
      <c r="G25" s="30"/>
      <c r="I25" s="69"/>
      <c r="J25" s="69"/>
    </row>
    <row r="26" spans="1:10" s="70" customFormat="1" ht="12.75" customHeight="1" x14ac:dyDescent="0.2">
      <c r="A26" s="127">
        <v>45112</v>
      </c>
      <c r="B26" s="128" t="s">
        <v>6</v>
      </c>
      <c r="C26" s="76" t="s">
        <v>764</v>
      </c>
      <c r="D26" s="125" t="s">
        <v>13</v>
      </c>
      <c r="E26" s="31">
        <v>2411038.21</v>
      </c>
      <c r="G26" s="30"/>
      <c r="I26" s="69"/>
      <c r="J26" s="69"/>
    </row>
    <row r="27" spans="1:10" s="70" customFormat="1" ht="12.75" customHeight="1" x14ac:dyDescent="0.2">
      <c r="A27" s="127">
        <v>45112</v>
      </c>
      <c r="B27" s="128" t="s">
        <v>6</v>
      </c>
      <c r="C27" s="76" t="s">
        <v>757</v>
      </c>
      <c r="D27" s="125" t="s">
        <v>13</v>
      </c>
      <c r="E27" s="31">
        <v>562273.52</v>
      </c>
      <c r="G27" s="30"/>
      <c r="I27" s="69"/>
      <c r="J27" s="69"/>
    </row>
    <row r="28" spans="1:10" s="70" customFormat="1" ht="12.75" customHeight="1" x14ac:dyDescent="0.2">
      <c r="A28" s="127">
        <v>45112</v>
      </c>
      <c r="B28" s="128" t="s">
        <v>6</v>
      </c>
      <c r="C28" s="76" t="s">
        <v>749</v>
      </c>
      <c r="D28" s="125" t="s">
        <v>13</v>
      </c>
      <c r="E28" s="31">
        <v>744211.68</v>
      </c>
      <c r="G28" s="30"/>
      <c r="I28" s="69"/>
      <c r="J28" s="69"/>
    </row>
    <row r="29" spans="1:10" s="70" customFormat="1" ht="12.75" customHeight="1" x14ac:dyDescent="0.2">
      <c r="A29" s="127">
        <v>45112</v>
      </c>
      <c r="B29" s="128" t="s">
        <v>6</v>
      </c>
      <c r="C29" s="76" t="s">
        <v>479</v>
      </c>
      <c r="D29" s="125" t="s">
        <v>13</v>
      </c>
      <c r="E29" s="31">
        <v>532572</v>
      </c>
      <c r="G29" s="30"/>
      <c r="I29" s="69"/>
      <c r="J29" s="69"/>
    </row>
    <row r="30" spans="1:10" s="70" customFormat="1" ht="12.75" customHeight="1" x14ac:dyDescent="0.2">
      <c r="A30" s="127">
        <v>45112</v>
      </c>
      <c r="B30" s="128" t="s">
        <v>6</v>
      </c>
      <c r="C30" s="76" t="s">
        <v>14</v>
      </c>
      <c r="D30" s="125" t="s">
        <v>13</v>
      </c>
      <c r="E30" s="31">
        <v>1894276</v>
      </c>
      <c r="G30" s="30"/>
      <c r="I30" s="69"/>
      <c r="J30" s="69"/>
    </row>
    <row r="31" spans="1:10" s="70" customFormat="1" ht="12.75" customHeight="1" x14ac:dyDescent="0.2">
      <c r="A31" s="127">
        <v>45112</v>
      </c>
      <c r="B31" s="128" t="s">
        <v>6</v>
      </c>
      <c r="C31" s="76" t="s">
        <v>15</v>
      </c>
      <c r="D31" s="125" t="s">
        <v>13</v>
      </c>
      <c r="E31" s="31">
        <v>68011.63</v>
      </c>
      <c r="G31" s="30"/>
      <c r="I31" s="69"/>
      <c r="J31" s="69"/>
    </row>
    <row r="32" spans="1:10" s="70" customFormat="1" ht="12.75" customHeight="1" x14ac:dyDescent="0.2">
      <c r="A32" s="127">
        <v>45112</v>
      </c>
      <c r="B32" s="128" t="s">
        <v>6</v>
      </c>
      <c r="C32" s="76" t="s">
        <v>647</v>
      </c>
      <c r="D32" s="125" t="s">
        <v>13</v>
      </c>
      <c r="E32" s="31">
        <v>1436598</v>
      </c>
      <c r="G32" s="30"/>
      <c r="I32" s="69"/>
      <c r="J32" s="69"/>
    </row>
    <row r="33" spans="1:10" s="70" customFormat="1" ht="12.75" customHeight="1" x14ac:dyDescent="0.2">
      <c r="A33" s="127">
        <v>45112</v>
      </c>
      <c r="B33" s="128" t="s">
        <v>6</v>
      </c>
      <c r="C33" s="76" t="s">
        <v>120</v>
      </c>
      <c r="D33" s="125" t="s">
        <v>13</v>
      </c>
      <c r="E33" s="31">
        <v>1158721</v>
      </c>
      <c r="G33" s="30"/>
      <c r="I33" s="69"/>
      <c r="J33" s="69"/>
    </row>
    <row r="34" spans="1:10" s="70" customFormat="1" ht="12.75" customHeight="1" x14ac:dyDescent="0.2">
      <c r="A34" s="127">
        <v>45112</v>
      </c>
      <c r="B34" s="128" t="s">
        <v>6</v>
      </c>
      <c r="C34" s="76" t="s">
        <v>1167</v>
      </c>
      <c r="D34" s="125" t="s">
        <v>13</v>
      </c>
      <c r="E34" s="31">
        <f>27038+5992</f>
        <v>33030</v>
      </c>
      <c r="G34" s="30"/>
      <c r="I34" s="69"/>
      <c r="J34" s="69"/>
    </row>
    <row r="35" spans="1:10" s="70" customFormat="1" ht="12.75" customHeight="1" x14ac:dyDescent="0.2">
      <c r="A35" s="127">
        <v>45112</v>
      </c>
      <c r="B35" s="128" t="s">
        <v>6</v>
      </c>
      <c r="C35" s="76" t="s">
        <v>1168</v>
      </c>
      <c r="D35" s="125" t="s">
        <v>13</v>
      </c>
      <c r="E35" s="31">
        <v>419430</v>
      </c>
      <c r="G35" s="30"/>
      <c r="I35" s="69"/>
      <c r="J35" s="69"/>
    </row>
    <row r="36" spans="1:10" s="70" customFormat="1" ht="12.75" customHeight="1" x14ac:dyDescent="0.2">
      <c r="A36" s="127">
        <v>45112</v>
      </c>
      <c r="B36" s="128" t="s">
        <v>11</v>
      </c>
      <c r="C36" s="76" t="s">
        <v>64</v>
      </c>
      <c r="D36" s="125" t="s">
        <v>29</v>
      </c>
      <c r="E36" s="31"/>
      <c r="F36" s="70">
        <f>18320.63+590+4342.23</f>
        <v>23252.86</v>
      </c>
      <c r="G36" s="30"/>
      <c r="I36" s="69"/>
      <c r="J36" s="69"/>
    </row>
    <row r="37" spans="1:10" s="70" customFormat="1" ht="12.75" customHeight="1" x14ac:dyDescent="0.2">
      <c r="A37" s="127">
        <v>45112</v>
      </c>
      <c r="B37" s="128" t="s">
        <v>11</v>
      </c>
      <c r="C37" s="76" t="s">
        <v>746</v>
      </c>
      <c r="D37" s="125" t="s">
        <v>29</v>
      </c>
      <c r="E37" s="31"/>
      <c r="F37" s="70">
        <v>551899</v>
      </c>
      <c r="G37" s="30"/>
      <c r="I37" s="69"/>
      <c r="J37" s="69"/>
    </row>
    <row r="38" spans="1:10" s="70" customFormat="1" ht="12.75" customHeight="1" x14ac:dyDescent="0.2">
      <c r="A38" s="127">
        <v>45112</v>
      </c>
      <c r="B38" s="128" t="s">
        <v>11</v>
      </c>
      <c r="C38" s="76" t="s">
        <v>993</v>
      </c>
      <c r="D38" s="125" t="s">
        <v>29</v>
      </c>
      <c r="E38" s="31"/>
      <c r="F38" s="70">
        <v>487035</v>
      </c>
      <c r="G38" s="30"/>
      <c r="I38" s="69"/>
      <c r="J38" s="69"/>
    </row>
    <row r="39" spans="1:10" s="70" customFormat="1" ht="12.75" customHeight="1" x14ac:dyDescent="0.2">
      <c r="A39" s="127">
        <v>45112</v>
      </c>
      <c r="B39" s="128" t="s">
        <v>11</v>
      </c>
      <c r="C39" s="76" t="s">
        <v>127</v>
      </c>
      <c r="D39" s="125" t="s">
        <v>29</v>
      </c>
      <c r="E39" s="31"/>
      <c r="F39" s="70">
        <v>9078294</v>
      </c>
      <c r="G39" s="30"/>
      <c r="I39" s="69"/>
      <c r="J39" s="69"/>
    </row>
    <row r="40" spans="1:10" s="70" customFormat="1" ht="12.75" customHeight="1" x14ac:dyDescent="0.2">
      <c r="A40" s="127">
        <v>45112</v>
      </c>
      <c r="B40" s="128" t="s">
        <v>11</v>
      </c>
      <c r="C40" s="76" t="s">
        <v>183</v>
      </c>
      <c r="D40" s="125" t="s">
        <v>29</v>
      </c>
      <c r="E40" s="31"/>
      <c r="F40" s="70">
        <v>20623</v>
      </c>
      <c r="G40" s="30"/>
      <c r="I40" s="69"/>
      <c r="J40" s="69"/>
    </row>
    <row r="41" spans="1:10" s="70" customFormat="1" ht="12.75" customHeight="1" x14ac:dyDescent="0.2">
      <c r="A41" s="127">
        <v>45112</v>
      </c>
      <c r="B41" s="128" t="s">
        <v>11</v>
      </c>
      <c r="C41" s="76" t="s">
        <v>182</v>
      </c>
      <c r="D41" s="125" t="s">
        <v>29</v>
      </c>
      <c r="E41" s="31"/>
      <c r="F41" s="70">
        <v>164557</v>
      </c>
      <c r="G41" s="30"/>
      <c r="I41" s="69"/>
      <c r="J41" s="69"/>
    </row>
    <row r="42" spans="1:10" s="70" customFormat="1" ht="12.75" customHeight="1" x14ac:dyDescent="0.2">
      <c r="A42" s="127">
        <v>45112</v>
      </c>
      <c r="B42" s="128" t="s">
        <v>11</v>
      </c>
      <c r="C42" s="76" t="s">
        <v>111</v>
      </c>
      <c r="D42" s="125" t="s">
        <v>29</v>
      </c>
      <c r="E42" s="31"/>
      <c r="F42" s="70">
        <v>421016.39</v>
      </c>
      <c r="G42" s="30"/>
      <c r="I42" s="69"/>
      <c r="J42" s="69"/>
    </row>
    <row r="43" spans="1:10" s="70" customFormat="1" ht="12.75" customHeight="1" x14ac:dyDescent="0.2">
      <c r="A43" s="127">
        <v>45112</v>
      </c>
      <c r="B43" s="128" t="s">
        <v>11</v>
      </c>
      <c r="C43" s="76" t="s">
        <v>125</v>
      </c>
      <c r="D43" s="125" t="s">
        <v>29</v>
      </c>
      <c r="E43" s="31"/>
      <c r="F43" s="70">
        <v>543759</v>
      </c>
      <c r="G43" s="30"/>
      <c r="I43" s="69"/>
      <c r="J43" s="69"/>
    </row>
    <row r="44" spans="1:10" s="70" customFormat="1" ht="12.75" customHeight="1" x14ac:dyDescent="0.2">
      <c r="A44" s="127">
        <v>45112</v>
      </c>
      <c r="B44" s="128" t="s">
        <v>11</v>
      </c>
      <c r="C44" s="76" t="s">
        <v>330</v>
      </c>
      <c r="D44" s="125" t="s">
        <v>29</v>
      </c>
      <c r="E44" s="31"/>
      <c r="F44" s="70">
        <v>1000000</v>
      </c>
      <c r="G44" s="30"/>
      <c r="I44" s="69"/>
      <c r="J44" s="69"/>
    </row>
    <row r="45" spans="1:10" s="70" customFormat="1" ht="12.75" customHeight="1" x14ac:dyDescent="0.2">
      <c r="A45" s="127">
        <v>45112</v>
      </c>
      <c r="B45" s="128" t="s">
        <v>11</v>
      </c>
      <c r="C45" s="76" t="s">
        <v>923</v>
      </c>
      <c r="D45" s="125" t="s">
        <v>29</v>
      </c>
      <c r="E45" s="31"/>
      <c r="F45" s="70">
        <v>300000</v>
      </c>
      <c r="G45" s="30"/>
      <c r="I45" s="69"/>
      <c r="J45" s="69"/>
    </row>
    <row r="46" spans="1:10" s="70" customFormat="1" ht="12.75" customHeight="1" x14ac:dyDescent="0.2">
      <c r="A46" s="127">
        <v>45112</v>
      </c>
      <c r="B46" s="128" t="s">
        <v>11</v>
      </c>
      <c r="C46" s="76" t="s">
        <v>591</v>
      </c>
      <c r="D46" s="125" t="s">
        <v>29</v>
      </c>
      <c r="E46" s="31"/>
      <c r="F46" s="70">
        <v>1886876</v>
      </c>
      <c r="G46" s="30"/>
      <c r="I46" s="69"/>
      <c r="J46" s="69"/>
    </row>
    <row r="47" spans="1:10" s="70" customFormat="1" ht="12.75" customHeight="1" x14ac:dyDescent="0.2">
      <c r="A47" s="127">
        <v>45112</v>
      </c>
      <c r="B47" s="128" t="s">
        <v>11</v>
      </c>
      <c r="C47" s="76" t="s">
        <v>223</v>
      </c>
      <c r="D47" s="125" t="s">
        <v>29</v>
      </c>
      <c r="E47" s="31"/>
      <c r="F47" s="70">
        <v>5293476</v>
      </c>
      <c r="G47" s="30"/>
      <c r="I47" s="69"/>
      <c r="J47" s="69"/>
    </row>
    <row r="48" spans="1:10" s="70" customFormat="1" ht="12.75" customHeight="1" x14ac:dyDescent="0.2">
      <c r="A48" s="127">
        <v>45112</v>
      </c>
      <c r="B48" s="128" t="s">
        <v>11</v>
      </c>
      <c r="C48" s="76" t="s">
        <v>823</v>
      </c>
      <c r="D48" s="125" t="s">
        <v>29</v>
      </c>
      <c r="E48" s="31"/>
      <c r="F48" s="70">
        <v>8970</v>
      </c>
      <c r="G48" s="30"/>
      <c r="I48" s="69"/>
      <c r="J48" s="69"/>
    </row>
    <row r="49" spans="1:14" s="70" customFormat="1" ht="12.75" customHeight="1" x14ac:dyDescent="0.2">
      <c r="A49" s="127">
        <v>45112</v>
      </c>
      <c r="B49" s="128" t="s">
        <v>11</v>
      </c>
      <c r="C49" s="76" t="s">
        <v>832</v>
      </c>
      <c r="D49" s="125" t="s">
        <v>29</v>
      </c>
      <c r="E49" s="31"/>
      <c r="F49" s="70">
        <v>1758200</v>
      </c>
      <c r="G49" s="30"/>
      <c r="I49" s="69"/>
      <c r="J49" s="69"/>
    </row>
    <row r="50" spans="1:14" s="70" customFormat="1" ht="12.75" customHeight="1" x14ac:dyDescent="0.2">
      <c r="A50" s="127">
        <v>45112</v>
      </c>
      <c r="B50" s="128" t="s">
        <v>11</v>
      </c>
      <c r="C50" s="76" t="s">
        <v>246</v>
      </c>
      <c r="D50" s="125" t="s">
        <v>29</v>
      </c>
      <c r="E50" s="31"/>
      <c r="F50" s="70">
        <v>2576833</v>
      </c>
      <c r="G50" s="30"/>
      <c r="I50" s="69"/>
      <c r="J50" s="69"/>
    </row>
    <row r="51" spans="1:14" s="70" customFormat="1" ht="12.75" customHeight="1" x14ac:dyDescent="0.2">
      <c r="A51" s="127">
        <v>45112</v>
      </c>
      <c r="B51" s="128" t="s">
        <v>11</v>
      </c>
      <c r="C51" s="76" t="s">
        <v>57</v>
      </c>
      <c r="D51" s="125" t="s">
        <v>29</v>
      </c>
      <c r="E51" s="31"/>
      <c r="F51" s="70">
        <v>6400000</v>
      </c>
      <c r="G51" s="30"/>
      <c r="I51" s="69"/>
      <c r="J51" s="69"/>
    </row>
    <row r="52" spans="1:14" s="70" customFormat="1" ht="12.75" customHeight="1" x14ac:dyDescent="0.2">
      <c r="A52" s="127">
        <v>45112</v>
      </c>
      <c r="B52" s="128" t="s">
        <v>11</v>
      </c>
      <c r="C52" s="76" t="s">
        <v>34</v>
      </c>
      <c r="D52" s="125" t="s">
        <v>29</v>
      </c>
      <c r="E52" s="31"/>
      <c r="F52" s="70">
        <f>175000+100000</f>
        <v>275000</v>
      </c>
      <c r="G52" s="30"/>
      <c r="I52" s="69"/>
      <c r="J52" s="69"/>
    </row>
    <row r="53" spans="1:14" s="70" customFormat="1" ht="12.75" customHeight="1" x14ac:dyDescent="0.2">
      <c r="A53" s="127">
        <v>45112</v>
      </c>
      <c r="B53" s="128" t="s">
        <v>11</v>
      </c>
      <c r="C53" s="76" t="s">
        <v>620</v>
      </c>
      <c r="D53" s="125" t="s">
        <v>29</v>
      </c>
      <c r="E53" s="31"/>
      <c r="F53" s="70">
        <v>239600</v>
      </c>
      <c r="G53" s="30"/>
      <c r="I53" s="69"/>
      <c r="J53" s="69"/>
    </row>
    <row r="54" spans="1:14" s="2" customFormat="1" ht="12.75" customHeight="1" x14ac:dyDescent="0.25">
      <c r="A54" s="32"/>
      <c r="B54" s="33"/>
      <c r="C54" s="14"/>
      <c r="D54" s="34"/>
      <c r="E54" s="16">
        <f>SUM(E21:E53)</f>
        <v>18226552.799999997</v>
      </c>
      <c r="F54" s="16">
        <f>SUM(F21:F53)</f>
        <v>298082877.65999997</v>
      </c>
      <c r="G54" s="30"/>
      <c r="H54" s="1"/>
      <c r="I54" s="39">
        <v>279856324.86000001</v>
      </c>
      <c r="J54" s="2" t="s">
        <v>396</v>
      </c>
      <c r="K54" s="92">
        <f>E55-I54</f>
        <v>0</v>
      </c>
      <c r="L54" s="41"/>
      <c r="M54" s="42"/>
    </row>
    <row r="55" spans="1:14" s="2" customFormat="1" ht="12.75" customHeight="1" x14ac:dyDescent="0.2">
      <c r="A55" s="36"/>
      <c r="B55" s="28" t="s">
        <v>11</v>
      </c>
      <c r="C55" s="19" t="s">
        <v>65</v>
      </c>
      <c r="D55" s="37"/>
      <c r="E55" s="38">
        <f>F54-E54</f>
        <v>279856324.85999995</v>
      </c>
      <c r="F55" s="22"/>
      <c r="G55" s="1"/>
      <c r="H55" s="1"/>
      <c r="J55" s="1"/>
      <c r="K55" s="1"/>
      <c r="L55" s="1"/>
      <c r="M55" s="1"/>
    </row>
    <row r="56" spans="1:14" s="2" customFormat="1" ht="12.75" customHeight="1" x14ac:dyDescent="0.2">
      <c r="A56" s="36"/>
      <c r="B56" s="28" t="s">
        <v>66</v>
      </c>
      <c r="C56" s="43" t="s">
        <v>67</v>
      </c>
      <c r="D56" s="43"/>
      <c r="E56" s="12">
        <v>59416310</v>
      </c>
      <c r="F56" s="22"/>
      <c r="G56" s="1"/>
      <c r="H56" s="40"/>
      <c r="I56" s="45">
        <v>567.04999999999995</v>
      </c>
      <c r="J56" s="46"/>
      <c r="K56" s="46"/>
      <c r="L56" s="13"/>
    </row>
    <row r="57" spans="1:14" s="2" customFormat="1" ht="12.75" customHeight="1" x14ac:dyDescent="0.25">
      <c r="A57" s="36"/>
      <c r="B57" s="28"/>
      <c r="C57" s="44" t="s">
        <v>68</v>
      </c>
      <c r="D57" s="43"/>
      <c r="E57" s="7">
        <f>E55+E56</f>
        <v>339272634.85999995</v>
      </c>
      <c r="F57" s="22"/>
      <c r="G57" s="1"/>
      <c r="H57" s="103" t="s">
        <v>69</v>
      </c>
      <c r="I57" s="45">
        <v>-15.27</v>
      </c>
      <c r="J57" s="46"/>
      <c r="K57" s="46"/>
      <c r="N57" s="1"/>
    </row>
    <row r="58" spans="1:14" s="2" customFormat="1" x14ac:dyDescent="0.2">
      <c r="A58" s="24"/>
      <c r="B58" s="1"/>
      <c r="C58" s="14"/>
      <c r="D58" s="25"/>
      <c r="E58" s="1"/>
      <c r="H58" s="35" t="s">
        <v>70</v>
      </c>
      <c r="I58" s="45">
        <v>0</v>
      </c>
      <c r="J58" s="46">
        <f>+I59-D61</f>
        <v>0</v>
      </c>
      <c r="M58" s="2" t="s">
        <v>396</v>
      </c>
      <c r="N58" s="1"/>
    </row>
    <row r="59" spans="1:14" x14ac:dyDescent="0.2">
      <c r="C59" s="56"/>
      <c r="D59" s="56"/>
      <c r="E59" s="104"/>
      <c r="I59" s="49">
        <f>SUM(I56:I58)</f>
        <v>551.78</v>
      </c>
      <c r="J59" s="46"/>
      <c r="K59" s="46"/>
      <c r="L59" s="2"/>
      <c r="M59" s="2"/>
      <c r="N59" s="2"/>
    </row>
    <row r="60" spans="1:14" x14ac:dyDescent="0.2">
      <c r="C60" s="78" t="s">
        <v>575</v>
      </c>
      <c r="D60" s="48" t="s">
        <v>576</v>
      </c>
      <c r="E60" s="104"/>
      <c r="I60" s="2"/>
      <c r="J60" s="2"/>
      <c r="K60" s="2"/>
      <c r="L60" s="2"/>
      <c r="M60" s="2"/>
      <c r="N60" s="2"/>
    </row>
    <row r="61" spans="1:14" s="2" customFormat="1" x14ac:dyDescent="0.2">
      <c r="A61" s="24"/>
      <c r="B61" s="1"/>
      <c r="C61" s="47" t="s">
        <v>570</v>
      </c>
      <c r="D61" s="111">
        <v>551.78</v>
      </c>
      <c r="E61" s="104"/>
      <c r="G61" s="1"/>
      <c r="H61" s="110" t="s">
        <v>581</v>
      </c>
      <c r="N61" s="2" t="s">
        <v>535</v>
      </c>
    </row>
    <row r="62" spans="1:14" s="2" customFormat="1" x14ac:dyDescent="0.2">
      <c r="A62" s="24"/>
      <c r="B62" s="1"/>
      <c r="C62" s="47" t="s">
        <v>931</v>
      </c>
      <c r="D62" s="111">
        <v>60.98</v>
      </c>
      <c r="E62" s="104"/>
      <c r="G62" s="1"/>
      <c r="H62" s="110" t="s">
        <v>580</v>
      </c>
    </row>
    <row r="63" spans="1:14" s="2" customFormat="1" x14ac:dyDescent="0.2">
      <c r="A63" s="24"/>
      <c r="B63" s="1"/>
      <c r="C63" s="47" t="s">
        <v>572</v>
      </c>
      <c r="D63" s="111">
        <f>+D90/100000</f>
        <v>140.4879492</v>
      </c>
      <c r="E63" s="104"/>
      <c r="G63" s="1"/>
      <c r="H63" s="90" t="s">
        <v>587</v>
      </c>
    </row>
    <row r="64" spans="1:14" s="2" customFormat="1" x14ac:dyDescent="0.2">
      <c r="A64" s="24"/>
      <c r="B64" s="1"/>
      <c r="C64" s="108" t="s">
        <v>578</v>
      </c>
      <c r="D64" s="48">
        <f>SUM(D61:D63)</f>
        <v>753.24794919999999</v>
      </c>
      <c r="E64" s="104"/>
      <c r="G64" s="1"/>
    </row>
    <row r="65" spans="1:13" s="2" customFormat="1" x14ac:dyDescent="0.2">
      <c r="A65" s="24"/>
      <c r="B65" s="1"/>
      <c r="C65" s="47"/>
      <c r="D65" s="107"/>
      <c r="E65" s="104"/>
      <c r="G65" s="1"/>
    </row>
    <row r="66" spans="1:13" s="2" customFormat="1" x14ac:dyDescent="0.2">
      <c r="A66" s="24"/>
      <c r="B66" s="1"/>
      <c r="C66" s="47" t="s">
        <v>932</v>
      </c>
      <c r="D66" s="111">
        <v>0</v>
      </c>
      <c r="E66" s="104"/>
      <c r="G66" s="1"/>
      <c r="H66" s="110" t="s">
        <v>581</v>
      </c>
    </row>
    <row r="67" spans="1:13" s="2" customFormat="1" x14ac:dyDescent="0.2">
      <c r="A67" s="24"/>
      <c r="B67" s="1"/>
      <c r="C67" s="136" t="s">
        <v>1142</v>
      </c>
      <c r="D67" s="111">
        <f>133.49-12.5</f>
        <v>120.99000000000001</v>
      </c>
      <c r="E67" s="104"/>
      <c r="G67" s="1"/>
      <c r="H67" s="110" t="s">
        <v>581</v>
      </c>
      <c r="J67" s="114" t="s">
        <v>713</v>
      </c>
    </row>
    <row r="68" spans="1:13" s="2" customFormat="1" x14ac:dyDescent="0.2">
      <c r="A68" s="24"/>
      <c r="B68" s="1"/>
      <c r="C68" s="78" t="s">
        <v>579</v>
      </c>
      <c r="D68" s="109">
        <f>D66+D67</f>
        <v>120.99000000000001</v>
      </c>
      <c r="E68" s="104"/>
      <c r="G68" s="1"/>
      <c r="I68" s="113"/>
      <c r="J68" s="113" t="s">
        <v>709</v>
      </c>
      <c r="K68" s="113" t="s">
        <v>710</v>
      </c>
      <c r="L68" s="113" t="s">
        <v>711</v>
      </c>
      <c r="M68" s="113" t="s">
        <v>712</v>
      </c>
    </row>
    <row r="69" spans="1:13" s="2" customFormat="1" x14ac:dyDescent="0.2">
      <c r="A69" s="24"/>
      <c r="B69" s="1"/>
      <c r="C69" s="105"/>
      <c r="D69" s="106"/>
      <c r="E69" s="104"/>
      <c r="G69" s="1"/>
      <c r="I69" s="113" t="s">
        <v>706</v>
      </c>
      <c r="J69" s="115"/>
      <c r="K69" s="115">
        <v>968.99</v>
      </c>
      <c r="L69" s="115">
        <v>968.99</v>
      </c>
      <c r="M69" s="113">
        <f>+J69+L69-K69</f>
        <v>0</v>
      </c>
    </row>
    <row r="70" spans="1:13" s="2" customFormat="1" x14ac:dyDescent="0.2">
      <c r="A70" s="24"/>
      <c r="B70" s="1"/>
      <c r="C70" s="78" t="s">
        <v>577</v>
      </c>
      <c r="D70" s="109">
        <f>D61+D68</f>
        <v>672.77</v>
      </c>
      <c r="E70" s="104"/>
      <c r="G70" s="1"/>
      <c r="I70" s="113" t="s">
        <v>707</v>
      </c>
      <c r="J70" s="115">
        <v>183.1</v>
      </c>
      <c r="K70" s="115">
        <v>2547.2399999999998</v>
      </c>
      <c r="L70" s="115">
        <v>3236.99</v>
      </c>
      <c r="M70" s="113">
        <f>+J70+L70-K70</f>
        <v>872.84999999999991</v>
      </c>
    </row>
    <row r="71" spans="1:13" s="2" customFormat="1" x14ac:dyDescent="0.2">
      <c r="A71" s="24"/>
      <c r="B71" s="1"/>
      <c r="C71" s="56"/>
      <c r="D71" s="56"/>
      <c r="E71" s="104"/>
      <c r="G71" s="1"/>
      <c r="I71" s="113" t="s">
        <v>708</v>
      </c>
      <c r="J71" s="115">
        <v>1371.02</v>
      </c>
      <c r="K71" s="115">
        <v>12468.92</v>
      </c>
      <c r="L71" s="115">
        <v>12537.67</v>
      </c>
      <c r="M71" s="113">
        <f>+J71+L71-K71</f>
        <v>1439.7700000000004</v>
      </c>
    </row>
    <row r="72" spans="1:13" s="2" customFormat="1" ht="38.25" x14ac:dyDescent="0.2">
      <c r="A72" s="24"/>
      <c r="B72" s="1"/>
      <c r="C72" s="79" t="str">
        <f>"Particulars ( 01-04-2021 to "&amp;TEXT(A5,"dd-mm-yyyy")&amp;" )"</f>
        <v>Particulars ( 01-04-2021 to 05-07-2023 )</v>
      </c>
      <c r="D72" s="80" t="s">
        <v>73</v>
      </c>
      <c r="E72" s="80" t="s">
        <v>74</v>
      </c>
      <c r="F72" s="81" t="s">
        <v>75</v>
      </c>
      <c r="G72" s="80" t="s">
        <v>76</v>
      </c>
      <c r="J72" s="118">
        <f>SUM(J69:J71)</f>
        <v>1554.12</v>
      </c>
      <c r="K72" s="118">
        <f>SUM(K69:K71)</f>
        <v>15985.15</v>
      </c>
      <c r="L72" s="118">
        <f>SUM(L69:L71)</f>
        <v>16743.650000000001</v>
      </c>
      <c r="M72" s="118">
        <f>SUM(M69:M71)</f>
        <v>2312.6200000000003</v>
      </c>
    </row>
    <row r="73" spans="1:13" s="2" customFormat="1" x14ac:dyDescent="0.2">
      <c r="A73" s="24"/>
      <c r="B73" s="1"/>
      <c r="C73" s="50" t="s">
        <v>444</v>
      </c>
      <c r="D73" s="55">
        <f>+L69+L70+J70</f>
        <v>4389.08</v>
      </c>
      <c r="E73" s="55">
        <f>+K69+K70</f>
        <v>3516.2299999999996</v>
      </c>
      <c r="F73" s="55">
        <f>+D73-E73</f>
        <v>872.85000000000036</v>
      </c>
      <c r="G73" s="55">
        <f>1500-F73</f>
        <v>627.14999999999964</v>
      </c>
      <c r="H73" s="2" t="s">
        <v>396</v>
      </c>
    </row>
    <row r="74" spans="1:13" s="2" customFormat="1" x14ac:dyDescent="0.2">
      <c r="A74" s="24"/>
      <c r="B74" s="1"/>
      <c r="C74" s="50" t="s">
        <v>71</v>
      </c>
      <c r="D74" s="55">
        <f>+J71+L71</f>
        <v>13908.69</v>
      </c>
      <c r="E74" s="55">
        <f>+K71</f>
        <v>12468.92</v>
      </c>
      <c r="F74" s="55">
        <f>+D74-E74</f>
        <v>1439.7700000000004</v>
      </c>
      <c r="G74" s="55">
        <f>1500+700-F74</f>
        <v>760.22999999999956</v>
      </c>
      <c r="H74" s="2" t="s">
        <v>396</v>
      </c>
    </row>
    <row r="75" spans="1:13" s="2" customFormat="1" x14ac:dyDescent="0.2">
      <c r="A75" s="24"/>
      <c r="B75" s="1"/>
      <c r="C75" s="14"/>
      <c r="D75" s="56"/>
      <c r="E75" s="13"/>
      <c r="G75" s="1"/>
    </row>
    <row r="76" spans="1:13" s="2" customFormat="1" x14ac:dyDescent="0.2">
      <c r="A76" s="215" t="s">
        <v>80</v>
      </c>
      <c r="B76" s="216"/>
      <c r="C76" s="216"/>
      <c r="D76" s="217"/>
      <c r="E76" s="69"/>
      <c r="F76" s="70"/>
      <c r="G76" s="1"/>
      <c r="H76" s="53"/>
    </row>
    <row r="77" spans="1:13" s="2" customFormat="1" x14ac:dyDescent="0.2">
      <c r="A77" s="71" t="s">
        <v>81</v>
      </c>
      <c r="B77" s="71"/>
      <c r="C77" s="72" t="s">
        <v>82</v>
      </c>
      <c r="D77" s="73" t="s">
        <v>83</v>
      </c>
      <c r="E77" s="69"/>
      <c r="F77" s="70"/>
      <c r="H77" s="53"/>
    </row>
    <row r="78" spans="1:13" s="2" customFormat="1" x14ac:dyDescent="0.2">
      <c r="A78" s="87">
        <v>45108</v>
      </c>
      <c r="B78" s="120" t="s">
        <v>1052</v>
      </c>
      <c r="C78" s="75" t="s">
        <v>84</v>
      </c>
      <c r="D78" s="88">
        <v>3000000</v>
      </c>
      <c r="G78" s="1"/>
      <c r="L78" s="1"/>
      <c r="M78" s="1"/>
    </row>
    <row r="79" spans="1:13" s="2" customFormat="1" x14ac:dyDescent="0.2">
      <c r="A79" s="87">
        <v>45108</v>
      </c>
      <c r="B79" s="120" t="s">
        <v>1052</v>
      </c>
      <c r="C79" s="75" t="s">
        <v>271</v>
      </c>
      <c r="D79" s="88">
        <v>2323148</v>
      </c>
      <c r="G79" s="1"/>
      <c r="L79" s="1"/>
      <c r="M79" s="1"/>
    </row>
    <row r="80" spans="1:13" s="2" customFormat="1" x14ac:dyDescent="0.2">
      <c r="A80" s="87">
        <v>45110</v>
      </c>
      <c r="B80" s="120" t="s">
        <v>1052</v>
      </c>
      <c r="C80" s="75" t="s">
        <v>85</v>
      </c>
      <c r="D80" s="88">
        <v>732575</v>
      </c>
      <c r="G80" s="1"/>
      <c r="L80" s="1"/>
      <c r="M80" s="1"/>
    </row>
    <row r="81" spans="1:13" s="2" customFormat="1" x14ac:dyDescent="0.2">
      <c r="A81" s="87">
        <v>45110</v>
      </c>
      <c r="B81" s="120" t="s">
        <v>1052</v>
      </c>
      <c r="C81" s="75" t="s">
        <v>86</v>
      </c>
      <c r="D81" s="88">
        <v>2676974</v>
      </c>
      <c r="G81" s="1"/>
      <c r="L81" s="1"/>
      <c r="M81" s="1"/>
    </row>
    <row r="82" spans="1:13" s="2" customFormat="1" x14ac:dyDescent="0.2">
      <c r="A82" s="87">
        <v>45110</v>
      </c>
      <c r="B82" s="120" t="s">
        <v>1052</v>
      </c>
      <c r="C82" s="75" t="s">
        <v>86</v>
      </c>
      <c r="D82" s="88">
        <v>1043475</v>
      </c>
      <c r="G82" s="1"/>
      <c r="L82" s="1"/>
      <c r="M82" s="1"/>
    </row>
    <row r="83" spans="1:13" s="2" customFormat="1" x14ac:dyDescent="0.2">
      <c r="A83" s="87">
        <v>45111</v>
      </c>
      <c r="B83" s="120" t="s">
        <v>1052</v>
      </c>
      <c r="C83" s="75" t="s">
        <v>270</v>
      </c>
      <c r="D83" s="88">
        <v>106093</v>
      </c>
      <c r="G83" s="1"/>
      <c r="L83" s="1"/>
      <c r="M83" s="1"/>
    </row>
    <row r="84" spans="1:13" s="2" customFormat="1" x14ac:dyDescent="0.2">
      <c r="A84" s="87">
        <v>45111</v>
      </c>
      <c r="B84" s="120" t="s">
        <v>1052</v>
      </c>
      <c r="C84" s="75" t="s">
        <v>270</v>
      </c>
      <c r="D84" s="88">
        <v>102393</v>
      </c>
      <c r="G84" s="1"/>
      <c r="L84" s="1"/>
      <c r="M84" s="1"/>
    </row>
    <row r="85" spans="1:13" s="2" customFormat="1" x14ac:dyDescent="0.2">
      <c r="A85" s="87">
        <v>45111</v>
      </c>
      <c r="B85" s="120" t="s">
        <v>1052</v>
      </c>
      <c r="C85" s="75" t="s">
        <v>270</v>
      </c>
      <c r="D85" s="88">
        <v>716336</v>
      </c>
      <c r="G85" s="1"/>
      <c r="L85" s="1"/>
      <c r="M85" s="1"/>
    </row>
    <row r="86" spans="1:13" s="2" customFormat="1" x14ac:dyDescent="0.2">
      <c r="A86" s="87">
        <v>45111</v>
      </c>
      <c r="B86" s="120" t="s">
        <v>1052</v>
      </c>
      <c r="C86" s="75" t="s">
        <v>270</v>
      </c>
      <c r="D86" s="88">
        <v>2504631</v>
      </c>
      <c r="G86" s="1"/>
      <c r="L86" s="1"/>
      <c r="M86" s="1"/>
    </row>
    <row r="87" spans="1:13" s="2" customFormat="1" x14ac:dyDescent="0.2">
      <c r="A87" s="87">
        <v>45111</v>
      </c>
      <c r="B87" s="120" t="s">
        <v>1052</v>
      </c>
      <c r="C87" s="75" t="s">
        <v>270</v>
      </c>
      <c r="D87" s="88">
        <v>141433.92000000001</v>
      </c>
      <c r="G87" s="1"/>
      <c r="L87" s="1"/>
      <c r="M87" s="1"/>
    </row>
    <row r="88" spans="1:13" s="2" customFormat="1" x14ac:dyDescent="0.2">
      <c r="A88" s="87">
        <v>45111</v>
      </c>
      <c r="B88" s="120" t="s">
        <v>1052</v>
      </c>
      <c r="C88" s="75" t="s">
        <v>271</v>
      </c>
      <c r="D88" s="88">
        <v>485258</v>
      </c>
      <c r="G88" s="1"/>
      <c r="L88" s="1"/>
      <c r="M88" s="1"/>
    </row>
    <row r="89" spans="1:13" s="2" customFormat="1" x14ac:dyDescent="0.2">
      <c r="A89" s="87">
        <v>45112</v>
      </c>
      <c r="B89" s="120" t="s">
        <v>1052</v>
      </c>
      <c r="C89" s="75" t="s">
        <v>85</v>
      </c>
      <c r="D89" s="88">
        <v>216478</v>
      </c>
      <c r="G89" s="1"/>
      <c r="L89" s="1"/>
      <c r="M89" s="1"/>
    </row>
    <row r="90" spans="1:13" s="2" customFormat="1" x14ac:dyDescent="0.2">
      <c r="A90" s="87"/>
      <c r="B90" s="74"/>
      <c r="C90" s="75"/>
      <c r="D90" s="51">
        <f>SUM(D78:D89)</f>
        <v>14048794.92</v>
      </c>
      <c r="F90" s="2" t="s">
        <v>396</v>
      </c>
      <c r="G90" s="1"/>
      <c r="L90" s="1"/>
      <c r="M90" s="1"/>
    </row>
    <row r="91" spans="1:13" s="2" customFormat="1" x14ac:dyDescent="0.2">
      <c r="A91" s="24"/>
      <c r="B91" s="1"/>
      <c r="C91" s="14"/>
      <c r="D91" s="56"/>
      <c r="E91" s="13"/>
      <c r="G91" s="1"/>
      <c r="L91" s="1"/>
      <c r="M91" s="1"/>
    </row>
    <row r="92" spans="1:13" s="2" customFormat="1" x14ac:dyDescent="0.2">
      <c r="A92" s="24"/>
      <c r="B92" s="1"/>
      <c r="C92" s="218" t="s">
        <v>77</v>
      </c>
      <c r="D92" s="219"/>
      <c r="E92" s="219"/>
      <c r="F92" s="220"/>
      <c r="G92" s="1"/>
      <c r="L92" s="1"/>
      <c r="M92" s="1"/>
    </row>
    <row r="93" spans="1:13" s="2" customFormat="1" x14ac:dyDescent="0.2">
      <c r="A93" s="24"/>
      <c r="B93" s="1"/>
      <c r="C93" s="50"/>
      <c r="D93" s="57" t="s">
        <v>78</v>
      </c>
      <c r="E93" s="58" t="s">
        <v>79</v>
      </c>
      <c r="F93" s="57" t="s">
        <v>72</v>
      </c>
      <c r="G93" s="1"/>
      <c r="I93" s="1"/>
      <c r="J93" s="1"/>
      <c r="K93" s="1"/>
      <c r="L93" s="1"/>
      <c r="M93" s="1"/>
    </row>
    <row r="94" spans="1:13" s="2" customFormat="1" x14ac:dyDescent="0.2">
      <c r="A94" s="24"/>
      <c r="B94" s="1"/>
      <c r="C94" s="59" t="str">
        <f>"01-07-2023 to "&amp;TEXT(A5-2,"dd-mm-yyyy")</f>
        <v>01-07-2023 to 03-07-2023</v>
      </c>
      <c r="D94" s="60">
        <v>610.21</v>
      </c>
      <c r="E94" s="60">
        <v>7.86</v>
      </c>
      <c r="F94" s="61">
        <f>SUM(D94:E94)</f>
        <v>618.07000000000005</v>
      </c>
      <c r="G94" s="1"/>
    </row>
    <row r="95" spans="1:13" s="2" customFormat="1" x14ac:dyDescent="0.2">
      <c r="A95" s="24"/>
      <c r="B95" s="1"/>
      <c r="C95" s="62" t="str">
        <f>TEXT(A5-1,"dd-mm-yyyy")</f>
        <v>04-07-2023</v>
      </c>
      <c r="D95" s="60">
        <v>383.55</v>
      </c>
      <c r="E95" s="60">
        <v>11.34</v>
      </c>
      <c r="F95" s="61">
        <f>SUM(D95:E95)</f>
        <v>394.89</v>
      </c>
      <c r="G95" s="54"/>
      <c r="I95" s="1"/>
      <c r="J95" s="1"/>
      <c r="K95" s="1"/>
      <c r="L95" s="1"/>
      <c r="M95" s="1"/>
    </row>
    <row r="96" spans="1:13" s="2" customFormat="1" ht="13.5" thickBot="1" x14ac:dyDescent="0.25">
      <c r="A96" s="24"/>
      <c r="B96" s="1"/>
      <c r="C96" s="63" t="str">
        <f>"01-07-2023 to "&amp;TEXT(A5-1,"dd-mm-yyyy")</f>
        <v>01-07-2023 to 04-07-2023</v>
      </c>
      <c r="D96" s="64">
        <f>SUM(D94:D95)</f>
        <v>993.76</v>
      </c>
      <c r="E96" s="64">
        <f>SUM(E94:E95)</f>
        <v>19.2</v>
      </c>
      <c r="F96" s="64">
        <f>SUM(F94:F95)</f>
        <v>1012.96</v>
      </c>
      <c r="G96" s="54"/>
      <c r="I96" s="1"/>
      <c r="J96" s="1"/>
      <c r="K96" s="1"/>
      <c r="L96" s="1"/>
      <c r="M96" s="1"/>
    </row>
    <row r="97" spans="1:13" s="2" customFormat="1" ht="13.5" thickTop="1" x14ac:dyDescent="0.2">
      <c r="A97" s="24"/>
      <c r="B97" s="1"/>
      <c r="C97" s="62"/>
      <c r="D97" s="65"/>
      <c r="E97" s="66"/>
      <c r="F97" s="67"/>
      <c r="G97" s="54"/>
      <c r="I97" s="1"/>
      <c r="J97" s="1"/>
      <c r="K97" s="1"/>
      <c r="L97" s="1"/>
      <c r="M97" s="1"/>
    </row>
    <row r="98" spans="1:13" s="2" customFormat="1" x14ac:dyDescent="0.2">
      <c r="A98" s="24"/>
      <c r="B98" s="1"/>
      <c r="C98" s="62" t="str">
        <f>"01-04-2023 to " &amp;C95</f>
        <v>01-04-2023 to 04-07-2023</v>
      </c>
      <c r="D98" s="68">
        <f>+D96+15483.67</f>
        <v>16477.43</v>
      </c>
      <c r="E98" s="68">
        <f>+E96+1115.53</f>
        <v>1134.73</v>
      </c>
      <c r="F98" s="68">
        <f>+F96+16599.19</f>
        <v>17612.149999999998</v>
      </c>
      <c r="G98" s="54"/>
      <c r="I98" s="1"/>
      <c r="J98" s="1"/>
      <c r="K98" s="1"/>
      <c r="L98" s="1"/>
      <c r="M98" s="1"/>
    </row>
    <row r="99" spans="1:13" x14ac:dyDescent="0.2">
      <c r="C99" s="52"/>
      <c r="D99" s="85"/>
      <c r="E99" s="53"/>
      <c r="F99" s="53"/>
      <c r="G99" s="54"/>
      <c r="H99" s="2" t="s">
        <v>396</v>
      </c>
    </row>
    <row r="100" spans="1:13" s="2" customFormat="1" x14ac:dyDescent="0.2">
      <c r="A100" s="24"/>
      <c r="B100" s="1"/>
      <c r="C100" s="52"/>
      <c r="D100" s="85"/>
      <c r="E100" s="53"/>
      <c r="F100" s="53"/>
      <c r="G100" s="54"/>
      <c r="H100" s="53"/>
    </row>
    <row r="101" spans="1:13" x14ac:dyDescent="0.2">
      <c r="C101" s="52"/>
      <c r="D101" s="85"/>
      <c r="E101" s="53"/>
      <c r="F101" s="53"/>
      <c r="G101" s="54"/>
      <c r="H101" s="53" t="s">
        <v>396</v>
      </c>
    </row>
    <row r="102" spans="1:13" x14ac:dyDescent="0.2">
      <c r="C102" s="52"/>
      <c r="D102" s="85"/>
      <c r="E102" s="53"/>
      <c r="F102" s="53"/>
      <c r="G102" s="54"/>
      <c r="H102" s="53" t="s">
        <v>396</v>
      </c>
      <c r="J102" s="42"/>
    </row>
    <row r="103" spans="1:13" x14ac:dyDescent="0.2">
      <c r="G103" s="54"/>
      <c r="H103" s="53"/>
      <c r="I103" s="101"/>
    </row>
    <row r="104" spans="1:13" x14ac:dyDescent="0.2">
      <c r="G104" s="54"/>
      <c r="H104" s="53"/>
    </row>
    <row r="105" spans="1:13" x14ac:dyDescent="0.2">
      <c r="G105" s="54"/>
      <c r="H105" s="53"/>
    </row>
    <row r="106" spans="1:13" x14ac:dyDescent="0.2">
      <c r="H106" s="53"/>
    </row>
  </sheetData>
  <mergeCells count="6">
    <mergeCell ref="C92:F92"/>
    <mergeCell ref="A1:G1"/>
    <mergeCell ref="A3:F3"/>
    <mergeCell ref="A9:F9"/>
    <mergeCell ref="A19:F19"/>
    <mergeCell ref="A76:D76"/>
  </mergeCells>
  <conditionalFormatting sqref="G73:G74">
    <cfRule type="cellIs" dxfId="435" priority="1" operator="lessThan">
      <formula>0</formula>
    </cfRule>
  </conditionalFormatting>
  <conditionalFormatting sqref="C21">
    <cfRule type="duplicateValues" dxfId="434" priority="2"/>
  </conditionalFormatting>
  <conditionalFormatting sqref="C22:C53">
    <cfRule type="duplicateValues" dxfId="433" priority="583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sheetPr codeName="Sheet371">
    <pageSetUpPr fitToPage="1"/>
  </sheetPr>
  <dimension ref="A1:N103"/>
  <sheetViews>
    <sheetView zoomScaleNormal="100" workbookViewId="0">
      <selection sqref="A1:G1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1169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45113</v>
      </c>
      <c r="B5" s="9" t="s">
        <v>6</v>
      </c>
      <c r="C5" s="10" t="s">
        <v>7</v>
      </c>
      <c r="D5" s="11"/>
      <c r="E5" s="12">
        <v>152715.70000000019</v>
      </c>
      <c r="F5" s="12"/>
      <c r="G5" s="1"/>
      <c r="H5" s="112"/>
      <c r="I5" s="112"/>
    </row>
    <row r="6" spans="1:10" s="2" customFormat="1" ht="14.25" customHeight="1" x14ac:dyDescent="0.4">
      <c r="A6" s="89">
        <v>45113</v>
      </c>
      <c r="B6" s="9" t="s">
        <v>6</v>
      </c>
      <c r="C6" s="10" t="s">
        <v>1170</v>
      </c>
      <c r="D6" s="135" t="s">
        <v>13</v>
      </c>
      <c r="E6" s="12">
        <v>3500000</v>
      </c>
      <c r="F6" s="12"/>
      <c r="G6" s="1"/>
      <c r="H6" s="112"/>
      <c r="I6" s="112"/>
    </row>
    <row r="7" spans="1:10" s="2" customFormat="1" ht="12.75" customHeight="1" x14ac:dyDescent="0.4">
      <c r="D7" s="15" t="s">
        <v>8</v>
      </c>
      <c r="E7" s="16">
        <f>SUM(E5:E6)</f>
        <v>3652715.7</v>
      </c>
      <c r="F7" s="16">
        <f>F5</f>
        <v>0</v>
      </c>
      <c r="G7" s="1"/>
      <c r="H7" s="112"/>
      <c r="I7" s="112"/>
    </row>
    <row r="8" spans="1:10" s="2" customFormat="1" ht="12.75" customHeight="1" x14ac:dyDescent="0.4">
      <c r="A8" s="17"/>
      <c r="B8" s="18"/>
      <c r="C8" s="19" t="s">
        <v>9</v>
      </c>
      <c r="D8" s="20"/>
      <c r="E8" s="21">
        <f>+E7-F7</f>
        <v>3652715.7</v>
      </c>
      <c r="F8" s="22"/>
      <c r="G8" s="23"/>
      <c r="H8" s="112"/>
      <c r="I8" s="112"/>
      <c r="J8" s="13"/>
    </row>
    <row r="9" spans="1:10" ht="12.75" customHeight="1" x14ac:dyDescent="0.4">
      <c r="H9" s="112"/>
      <c r="I9" s="112"/>
    </row>
    <row r="10" spans="1:10" ht="18" customHeight="1" x14ac:dyDescent="0.4">
      <c r="A10" s="213" t="s">
        <v>1037</v>
      </c>
      <c r="B10" s="213"/>
      <c r="C10" s="213"/>
      <c r="D10" s="213"/>
      <c r="E10" s="213"/>
      <c r="F10" s="213"/>
      <c r="H10" s="112"/>
      <c r="I10" s="112"/>
    </row>
    <row r="11" spans="1:10" ht="12.75" customHeight="1" x14ac:dyDescent="0.4">
      <c r="A11" s="3" t="s">
        <v>1</v>
      </c>
      <c r="B11" s="4" t="s">
        <v>2</v>
      </c>
      <c r="C11" s="5"/>
      <c r="D11" s="6" t="s">
        <v>3</v>
      </c>
      <c r="E11" s="7" t="s">
        <v>4</v>
      </c>
      <c r="F11" s="7" t="s">
        <v>5</v>
      </c>
      <c r="H11" s="112"/>
      <c r="I11" s="112"/>
    </row>
    <row r="12" spans="1:10" s="2" customFormat="1" ht="14.25" customHeight="1" x14ac:dyDescent="0.2">
      <c r="A12" s="127">
        <v>45113</v>
      </c>
      <c r="B12" s="9" t="s">
        <v>6</v>
      </c>
      <c r="C12" s="10" t="s">
        <v>7</v>
      </c>
      <c r="D12" s="11"/>
      <c r="F12" s="12">
        <v>25553567.790000007</v>
      </c>
      <c r="G12" s="1"/>
      <c r="H12" s="130" t="s">
        <v>396</v>
      </c>
      <c r="I12" s="130"/>
    </row>
    <row r="13" spans="1:10" s="2" customFormat="1" ht="12.75" customHeight="1" x14ac:dyDescent="0.4">
      <c r="D13" s="15" t="s">
        <v>8</v>
      </c>
      <c r="E13" s="16">
        <f>E12</f>
        <v>0</v>
      </c>
      <c r="F13" s="16">
        <f>SUM(F12:F12)</f>
        <v>25553567.790000007</v>
      </c>
      <c r="G13" s="1"/>
      <c r="H13" s="112"/>
      <c r="I13" s="112"/>
    </row>
    <row r="14" spans="1:10" s="2" customFormat="1" ht="12.75" customHeight="1" x14ac:dyDescent="0.4">
      <c r="A14" s="17"/>
      <c r="B14" s="18"/>
      <c r="C14" s="96" t="s">
        <v>9</v>
      </c>
      <c r="D14" s="20"/>
      <c r="E14" s="21">
        <f>+F13-E13</f>
        <v>25553567.790000007</v>
      </c>
      <c r="G14" s="23"/>
      <c r="H14" s="112"/>
      <c r="I14" s="112"/>
      <c r="J14" s="13"/>
    </row>
    <row r="15" spans="1:10" s="2" customFormat="1" ht="12.75" customHeight="1" x14ac:dyDescent="0.4">
      <c r="A15" s="24"/>
      <c r="B15" s="1"/>
      <c r="C15" s="14"/>
      <c r="D15" s="25"/>
      <c r="G15" s="23"/>
      <c r="H15" s="112"/>
      <c r="I15" s="112"/>
      <c r="J15" s="13"/>
    </row>
    <row r="16" spans="1:10" s="2" customFormat="1" ht="21.75" customHeight="1" x14ac:dyDescent="0.4">
      <c r="A16" s="214" t="s">
        <v>10</v>
      </c>
      <c r="B16" s="214"/>
      <c r="C16" s="214"/>
      <c r="D16" s="214"/>
      <c r="E16" s="214"/>
      <c r="F16" s="214"/>
      <c r="G16" s="13"/>
      <c r="H16" s="112"/>
      <c r="I16" s="112"/>
      <c r="J16" s="13"/>
    </row>
    <row r="17" spans="1:10" s="2" customFormat="1" ht="12.75" customHeight="1" x14ac:dyDescent="0.4">
      <c r="A17" s="26" t="s">
        <v>1</v>
      </c>
      <c r="B17" s="27" t="s">
        <v>2</v>
      </c>
      <c r="C17" s="5"/>
      <c r="D17" s="6" t="s">
        <v>3</v>
      </c>
      <c r="E17" s="7" t="s">
        <v>4</v>
      </c>
      <c r="F17" s="7" t="s">
        <v>5</v>
      </c>
      <c r="G17" s="23"/>
      <c r="H17" s="112"/>
      <c r="I17" s="112"/>
      <c r="J17" s="13"/>
    </row>
    <row r="18" spans="1:10" s="2" customFormat="1" ht="12.75" customHeight="1" x14ac:dyDescent="0.2">
      <c r="A18" s="127">
        <v>45113</v>
      </c>
      <c r="B18" s="128" t="s">
        <v>11</v>
      </c>
      <c r="C18" s="29" t="s">
        <v>7</v>
      </c>
      <c r="D18" s="25"/>
      <c r="E18" s="31"/>
      <c r="F18" s="2">
        <v>279856324.85999995</v>
      </c>
      <c r="G18" s="30"/>
      <c r="I18" s="13"/>
      <c r="J18" s="13"/>
    </row>
    <row r="19" spans="1:10" s="70" customFormat="1" ht="12.75" customHeight="1" x14ac:dyDescent="0.2">
      <c r="A19" s="127">
        <v>45113</v>
      </c>
      <c r="B19" s="128" t="s">
        <v>6</v>
      </c>
      <c r="C19" s="76" t="s">
        <v>240</v>
      </c>
      <c r="D19" s="125" t="s">
        <v>13</v>
      </c>
      <c r="E19" s="31">
        <v>106420</v>
      </c>
      <c r="G19" s="30"/>
      <c r="I19" s="69"/>
      <c r="J19" s="69"/>
    </row>
    <row r="20" spans="1:10" s="70" customFormat="1" ht="12.75" customHeight="1" x14ac:dyDescent="0.2">
      <c r="A20" s="127">
        <v>45113</v>
      </c>
      <c r="B20" s="128" t="s">
        <v>6</v>
      </c>
      <c r="C20" s="76" t="s">
        <v>19</v>
      </c>
      <c r="D20" s="125" t="s">
        <v>13</v>
      </c>
      <c r="E20" s="31">
        <v>341680</v>
      </c>
      <c r="G20" s="30"/>
      <c r="I20" s="69"/>
      <c r="J20" s="69"/>
    </row>
    <row r="21" spans="1:10" s="70" customFormat="1" ht="12.75" customHeight="1" x14ac:dyDescent="0.2">
      <c r="A21" s="127">
        <v>45113</v>
      </c>
      <c r="B21" s="128" t="s">
        <v>6</v>
      </c>
      <c r="C21" s="76" t="s">
        <v>62</v>
      </c>
      <c r="D21" s="125" t="s">
        <v>13</v>
      </c>
      <c r="E21" s="31">
        <v>9000</v>
      </c>
      <c r="G21" s="30"/>
      <c r="I21" s="69"/>
      <c r="J21" s="69"/>
    </row>
    <row r="22" spans="1:10" s="70" customFormat="1" ht="12.75" customHeight="1" x14ac:dyDescent="0.2">
      <c r="A22" s="127">
        <v>45113</v>
      </c>
      <c r="B22" s="128" t="s">
        <v>6</v>
      </c>
      <c r="C22" s="76" t="s">
        <v>239</v>
      </c>
      <c r="D22" s="125" t="s">
        <v>13</v>
      </c>
      <c r="E22" s="31">
        <v>4988</v>
      </c>
      <c r="G22" s="30"/>
      <c r="I22" s="69"/>
      <c r="J22" s="69"/>
    </row>
    <row r="23" spans="1:10" s="70" customFormat="1" ht="12.75" customHeight="1" x14ac:dyDescent="0.2">
      <c r="A23" s="127">
        <v>45113</v>
      </c>
      <c r="B23" s="128" t="s">
        <v>6</v>
      </c>
      <c r="C23" s="76" t="s">
        <v>504</v>
      </c>
      <c r="D23" s="125" t="s">
        <v>13</v>
      </c>
      <c r="E23" s="31">
        <v>32582</v>
      </c>
      <c r="G23" s="30"/>
      <c r="I23" s="69"/>
      <c r="J23" s="69"/>
    </row>
    <row r="24" spans="1:10" s="70" customFormat="1" ht="12.75" customHeight="1" x14ac:dyDescent="0.2">
      <c r="A24" s="127">
        <v>45113</v>
      </c>
      <c r="B24" s="128" t="s">
        <v>6</v>
      </c>
      <c r="C24" s="76" t="s">
        <v>434</v>
      </c>
      <c r="D24" s="125" t="s">
        <v>13</v>
      </c>
      <c r="E24" s="31">
        <v>4066</v>
      </c>
      <c r="G24" s="30"/>
      <c r="I24" s="69"/>
      <c r="J24" s="69"/>
    </row>
    <row r="25" spans="1:10" s="70" customFormat="1" ht="12.75" customHeight="1" x14ac:dyDescent="0.2">
      <c r="A25" s="127">
        <v>45113</v>
      </c>
      <c r="B25" s="128" t="s">
        <v>6</v>
      </c>
      <c r="C25" s="76" t="s">
        <v>122</v>
      </c>
      <c r="D25" s="125" t="s">
        <v>13</v>
      </c>
      <c r="E25" s="31">
        <v>1650</v>
      </c>
      <c r="G25" s="30"/>
      <c r="I25" s="69"/>
      <c r="J25" s="69"/>
    </row>
    <row r="26" spans="1:10" s="70" customFormat="1" ht="12.75" customHeight="1" x14ac:dyDescent="0.2">
      <c r="A26" s="127">
        <v>45113</v>
      </c>
      <c r="B26" s="128" t="s">
        <v>6</v>
      </c>
      <c r="C26" s="76" t="s">
        <v>15</v>
      </c>
      <c r="D26" s="125" t="s">
        <v>13</v>
      </c>
      <c r="E26" s="31">
        <v>1150.43</v>
      </c>
      <c r="G26" s="30"/>
      <c r="I26" s="69"/>
      <c r="J26" s="69"/>
    </row>
    <row r="27" spans="1:10" s="70" customFormat="1" ht="12.75" customHeight="1" x14ac:dyDescent="0.2">
      <c r="A27" s="127">
        <v>45113</v>
      </c>
      <c r="B27" s="128" t="s">
        <v>6</v>
      </c>
      <c r="C27" s="76" t="s">
        <v>727</v>
      </c>
      <c r="D27" s="125" t="s">
        <v>13</v>
      </c>
      <c r="E27" s="31">
        <v>148586</v>
      </c>
      <c r="G27" s="30"/>
      <c r="I27" s="69"/>
      <c r="J27" s="69"/>
    </row>
    <row r="28" spans="1:10" s="70" customFormat="1" ht="12.75" customHeight="1" x14ac:dyDescent="0.2">
      <c r="A28" s="127">
        <v>45113</v>
      </c>
      <c r="B28" s="128" t="s">
        <v>6</v>
      </c>
      <c r="C28" s="76" t="s">
        <v>552</v>
      </c>
      <c r="D28" s="125" t="s">
        <v>13</v>
      </c>
      <c r="E28" s="31">
        <v>14186035.09</v>
      </c>
      <c r="G28" s="30"/>
      <c r="I28" s="69"/>
      <c r="J28" s="69"/>
    </row>
    <row r="29" spans="1:10" s="70" customFormat="1" ht="12.75" customHeight="1" x14ac:dyDescent="0.2">
      <c r="A29" s="127">
        <v>45113</v>
      </c>
      <c r="B29" s="128" t="s">
        <v>6</v>
      </c>
      <c r="C29" s="76" t="s">
        <v>257</v>
      </c>
      <c r="D29" s="125" t="s">
        <v>13</v>
      </c>
      <c r="E29" s="31">
        <v>1745811.49</v>
      </c>
      <c r="G29" s="30"/>
      <c r="I29" s="69"/>
      <c r="J29" s="69"/>
    </row>
    <row r="30" spans="1:10" s="70" customFormat="1" ht="12.75" customHeight="1" x14ac:dyDescent="0.2">
      <c r="A30" s="127">
        <v>45113</v>
      </c>
      <c r="B30" s="128" t="s">
        <v>6</v>
      </c>
      <c r="C30" s="76" t="s">
        <v>1172</v>
      </c>
      <c r="D30" s="125" t="s">
        <v>13</v>
      </c>
      <c r="E30" s="31">
        <v>4481591.18</v>
      </c>
      <c r="G30" s="30"/>
      <c r="I30" s="69"/>
      <c r="J30" s="69"/>
    </row>
    <row r="31" spans="1:10" s="70" customFormat="1" ht="12.75" customHeight="1" x14ac:dyDescent="0.2">
      <c r="A31" s="127">
        <v>45113</v>
      </c>
      <c r="B31" s="128" t="s">
        <v>6</v>
      </c>
      <c r="C31" s="76" t="s">
        <v>455</v>
      </c>
      <c r="D31" s="125" t="s">
        <v>13</v>
      </c>
      <c r="E31" s="31">
        <v>19599</v>
      </c>
      <c r="G31" s="30"/>
      <c r="I31" s="69"/>
      <c r="J31" s="69"/>
    </row>
    <row r="32" spans="1:10" s="70" customFormat="1" ht="12.75" customHeight="1" x14ac:dyDescent="0.2">
      <c r="A32" s="127">
        <v>45113</v>
      </c>
      <c r="B32" s="128" t="s">
        <v>6</v>
      </c>
      <c r="C32" s="76" t="s">
        <v>547</v>
      </c>
      <c r="D32" s="125" t="s">
        <v>13</v>
      </c>
      <c r="E32" s="31">
        <v>61057</v>
      </c>
      <c r="G32" s="30"/>
      <c r="I32" s="69"/>
      <c r="J32" s="69"/>
    </row>
    <row r="33" spans="1:10" s="70" customFormat="1" ht="12.75" customHeight="1" x14ac:dyDescent="0.2">
      <c r="A33" s="127">
        <v>45113</v>
      </c>
      <c r="B33" s="128" t="s">
        <v>6</v>
      </c>
      <c r="C33" s="76" t="s">
        <v>1171</v>
      </c>
      <c r="D33" s="125" t="s">
        <v>13</v>
      </c>
      <c r="E33" s="31">
        <v>11025</v>
      </c>
      <c r="G33" s="30"/>
      <c r="I33" s="69"/>
      <c r="J33" s="69"/>
    </row>
    <row r="34" spans="1:10" s="70" customFormat="1" ht="12.75" customHeight="1" x14ac:dyDescent="0.2">
      <c r="A34" s="127">
        <v>45113</v>
      </c>
      <c r="B34" s="128" t="s">
        <v>11</v>
      </c>
      <c r="C34" s="76" t="s">
        <v>198</v>
      </c>
      <c r="D34" s="125" t="s">
        <v>29</v>
      </c>
      <c r="E34" s="31"/>
      <c r="F34" s="70">
        <v>700000</v>
      </c>
      <c r="G34" s="30"/>
      <c r="I34" s="69"/>
      <c r="J34" s="69"/>
    </row>
    <row r="35" spans="1:10" s="70" customFormat="1" ht="12.75" customHeight="1" x14ac:dyDescent="0.2">
      <c r="A35" s="127">
        <v>45113</v>
      </c>
      <c r="B35" s="128" t="s">
        <v>11</v>
      </c>
      <c r="C35" s="76" t="s">
        <v>443</v>
      </c>
      <c r="D35" s="125" t="s">
        <v>29</v>
      </c>
      <c r="E35" s="31"/>
      <c r="F35" s="70">
        <v>750000</v>
      </c>
      <c r="G35" s="30"/>
      <c r="I35" s="69"/>
      <c r="J35" s="69"/>
    </row>
    <row r="36" spans="1:10" s="70" customFormat="1" ht="12.75" customHeight="1" x14ac:dyDescent="0.2">
      <c r="A36" s="127">
        <v>45113</v>
      </c>
      <c r="B36" s="128" t="s">
        <v>11</v>
      </c>
      <c r="C36" s="76" t="s">
        <v>561</v>
      </c>
      <c r="D36" s="125" t="s">
        <v>29</v>
      </c>
      <c r="E36" s="31"/>
      <c r="F36" s="70">
        <v>322596</v>
      </c>
      <c r="G36" s="30"/>
      <c r="I36" s="69"/>
      <c r="J36" s="69"/>
    </row>
    <row r="37" spans="1:10" s="70" customFormat="1" ht="12.75" customHeight="1" x14ac:dyDescent="0.2">
      <c r="A37" s="127">
        <v>45113</v>
      </c>
      <c r="B37" s="128" t="s">
        <v>11</v>
      </c>
      <c r="C37" s="76" t="s">
        <v>64</v>
      </c>
      <c r="D37" s="125" t="s">
        <v>29</v>
      </c>
      <c r="E37" s="31"/>
      <c r="F37" s="70">
        <v>37565.910000000003</v>
      </c>
      <c r="G37" s="30"/>
      <c r="I37" s="69"/>
      <c r="J37" s="69"/>
    </row>
    <row r="38" spans="1:10" s="70" customFormat="1" ht="12.75" customHeight="1" x14ac:dyDescent="0.2">
      <c r="A38" s="127">
        <v>45113</v>
      </c>
      <c r="B38" s="128" t="s">
        <v>11</v>
      </c>
      <c r="C38" s="76" t="s">
        <v>110</v>
      </c>
      <c r="D38" s="125" t="s">
        <v>29</v>
      </c>
      <c r="E38" s="31"/>
      <c r="F38" s="70">
        <v>1238764.4099999999</v>
      </c>
      <c r="G38" s="30"/>
      <c r="I38" s="69"/>
      <c r="J38" s="69"/>
    </row>
    <row r="39" spans="1:10" s="70" customFormat="1" ht="12.75" customHeight="1" x14ac:dyDescent="0.2">
      <c r="A39" s="127">
        <v>45113</v>
      </c>
      <c r="B39" s="128" t="s">
        <v>11</v>
      </c>
      <c r="C39" s="76" t="s">
        <v>1058</v>
      </c>
      <c r="D39" s="125" t="s">
        <v>29</v>
      </c>
      <c r="E39" s="31"/>
      <c r="F39" s="70">
        <v>578060</v>
      </c>
      <c r="G39" s="30"/>
      <c r="I39" s="69"/>
      <c r="J39" s="69"/>
    </row>
    <row r="40" spans="1:10" s="70" customFormat="1" ht="12.75" customHeight="1" x14ac:dyDescent="0.2">
      <c r="A40" s="127">
        <v>45113</v>
      </c>
      <c r="B40" s="128" t="s">
        <v>11</v>
      </c>
      <c r="C40" s="76" t="s">
        <v>193</v>
      </c>
      <c r="D40" s="125" t="s">
        <v>29</v>
      </c>
      <c r="E40" s="31"/>
      <c r="F40" s="70">
        <v>719589.5</v>
      </c>
      <c r="G40" s="30"/>
      <c r="I40" s="69"/>
      <c r="J40" s="69"/>
    </row>
    <row r="41" spans="1:10" s="70" customFormat="1" ht="12.75" customHeight="1" x14ac:dyDescent="0.2">
      <c r="A41" s="127">
        <v>45113</v>
      </c>
      <c r="B41" s="128" t="s">
        <v>11</v>
      </c>
      <c r="C41" s="76" t="s">
        <v>745</v>
      </c>
      <c r="D41" s="125" t="s">
        <v>29</v>
      </c>
      <c r="E41" s="31"/>
      <c r="F41" s="70">
        <v>214214</v>
      </c>
      <c r="G41" s="30"/>
      <c r="I41" s="69"/>
      <c r="J41" s="69"/>
    </row>
    <row r="42" spans="1:10" s="70" customFormat="1" ht="12.75" customHeight="1" x14ac:dyDescent="0.2">
      <c r="A42" s="127">
        <v>45113</v>
      </c>
      <c r="B42" s="128" t="s">
        <v>11</v>
      </c>
      <c r="C42" s="76" t="s">
        <v>194</v>
      </c>
      <c r="D42" s="125" t="s">
        <v>29</v>
      </c>
      <c r="E42" s="31"/>
      <c r="F42" s="70">
        <v>712332</v>
      </c>
      <c r="G42" s="30"/>
      <c r="I42" s="69"/>
      <c r="J42" s="69"/>
    </row>
    <row r="43" spans="1:10" s="70" customFormat="1" ht="12.75" customHeight="1" x14ac:dyDescent="0.2">
      <c r="A43" s="127">
        <v>45113</v>
      </c>
      <c r="B43" s="128" t="s">
        <v>11</v>
      </c>
      <c r="C43" s="76" t="s">
        <v>849</v>
      </c>
      <c r="D43" s="125" t="s">
        <v>29</v>
      </c>
      <c r="E43" s="31"/>
      <c r="F43" s="70">
        <v>518391.5</v>
      </c>
      <c r="G43" s="30"/>
      <c r="I43" s="69"/>
      <c r="J43" s="69"/>
    </row>
    <row r="44" spans="1:10" s="70" customFormat="1" ht="12.75" customHeight="1" x14ac:dyDescent="0.2">
      <c r="A44" s="127">
        <v>45113</v>
      </c>
      <c r="B44" s="128" t="s">
        <v>11</v>
      </c>
      <c r="C44" s="76" t="s">
        <v>790</v>
      </c>
      <c r="D44" s="125" t="s">
        <v>29</v>
      </c>
      <c r="E44" s="31"/>
      <c r="F44" s="70">
        <v>842835</v>
      </c>
      <c r="G44" s="30"/>
      <c r="I44" s="69"/>
      <c r="J44" s="69"/>
    </row>
    <row r="45" spans="1:10" s="70" customFormat="1" ht="12.75" customHeight="1" x14ac:dyDescent="0.2">
      <c r="A45" s="127">
        <v>45113</v>
      </c>
      <c r="B45" s="128" t="s">
        <v>11</v>
      </c>
      <c r="C45" s="76" t="s">
        <v>34</v>
      </c>
      <c r="D45" s="125" t="s">
        <v>29</v>
      </c>
      <c r="E45" s="31"/>
      <c r="F45" s="70">
        <v>30000</v>
      </c>
      <c r="G45" s="30"/>
      <c r="I45" s="69"/>
      <c r="J45" s="69"/>
    </row>
    <row r="46" spans="1:10" s="70" customFormat="1" ht="12.75" customHeight="1" x14ac:dyDescent="0.2">
      <c r="A46" s="127">
        <v>45113</v>
      </c>
      <c r="B46" s="128" t="s">
        <v>11</v>
      </c>
      <c r="C46" s="76" t="s">
        <v>63</v>
      </c>
      <c r="D46" s="125" t="s">
        <v>29</v>
      </c>
      <c r="E46" s="31"/>
      <c r="F46" s="70">
        <v>1500000</v>
      </c>
      <c r="G46" s="30"/>
      <c r="I46" s="69"/>
      <c r="J46" s="69"/>
    </row>
    <row r="47" spans="1:10" s="70" customFormat="1" ht="12.75" customHeight="1" x14ac:dyDescent="0.2">
      <c r="A47" s="127">
        <v>45113</v>
      </c>
      <c r="B47" s="128" t="s">
        <v>11</v>
      </c>
      <c r="C47" s="76" t="s">
        <v>402</v>
      </c>
      <c r="D47" s="125" t="s">
        <v>29</v>
      </c>
      <c r="E47" s="31"/>
      <c r="F47" s="70">
        <v>3500000</v>
      </c>
      <c r="G47" s="30"/>
      <c r="I47" s="69"/>
      <c r="J47" s="69"/>
    </row>
    <row r="48" spans="1:10" s="70" customFormat="1" ht="12.75" customHeight="1" x14ac:dyDescent="0.2">
      <c r="A48" s="127">
        <v>45113</v>
      </c>
      <c r="B48" s="128" t="s">
        <v>11</v>
      </c>
      <c r="C48" s="76" t="s">
        <v>223</v>
      </c>
      <c r="D48" s="125" t="s">
        <v>29</v>
      </c>
      <c r="E48" s="31"/>
      <c r="F48" s="70">
        <v>59604</v>
      </c>
      <c r="G48" s="30"/>
      <c r="I48" s="69"/>
      <c r="J48" s="69"/>
    </row>
    <row r="49" spans="1:14" s="70" customFormat="1" ht="12.75" customHeight="1" x14ac:dyDescent="0.2">
      <c r="A49" s="127">
        <v>45113</v>
      </c>
      <c r="B49" s="128" t="s">
        <v>11</v>
      </c>
      <c r="C49" s="76" t="s">
        <v>57</v>
      </c>
      <c r="D49" s="125" t="s">
        <v>29</v>
      </c>
      <c r="E49" s="31"/>
      <c r="F49" s="70">
        <v>8500000</v>
      </c>
      <c r="G49" s="30"/>
      <c r="I49" s="69"/>
      <c r="J49" s="69"/>
    </row>
    <row r="50" spans="1:14" s="70" customFormat="1" ht="12.75" customHeight="1" x14ac:dyDescent="0.2">
      <c r="A50" s="127">
        <v>45113</v>
      </c>
      <c r="B50" s="128" t="s">
        <v>11</v>
      </c>
      <c r="C50" s="76" t="s">
        <v>250</v>
      </c>
      <c r="D50" s="125" t="s">
        <v>29</v>
      </c>
      <c r="E50" s="31"/>
      <c r="F50" s="70">
        <v>10151</v>
      </c>
      <c r="G50" s="30"/>
      <c r="I50" s="69"/>
      <c r="J50" s="69"/>
    </row>
    <row r="51" spans="1:14" s="2" customFormat="1" ht="12.75" customHeight="1" x14ac:dyDescent="0.25">
      <c r="A51" s="32"/>
      <c r="B51" s="33"/>
      <c r="C51" s="14"/>
      <c r="D51" s="34"/>
      <c r="E51" s="16">
        <f>SUM(E18:E50)</f>
        <v>21155241.189999998</v>
      </c>
      <c r="F51" s="16">
        <f>SUM(F18:F50)</f>
        <v>300090428.18000001</v>
      </c>
      <c r="G51" s="30"/>
      <c r="H51" s="1"/>
      <c r="I51" s="39">
        <v>278935186.99000001</v>
      </c>
      <c r="J51" s="2" t="s">
        <v>396</v>
      </c>
      <c r="K51" s="92">
        <f>E52-I51</f>
        <v>0</v>
      </c>
      <c r="L51" s="41"/>
      <c r="M51" s="42"/>
    </row>
    <row r="52" spans="1:14" s="2" customFormat="1" ht="12.75" customHeight="1" x14ac:dyDescent="0.2">
      <c r="A52" s="36"/>
      <c r="B52" s="28" t="s">
        <v>11</v>
      </c>
      <c r="C52" s="19" t="s">
        <v>65</v>
      </c>
      <c r="D52" s="37"/>
      <c r="E52" s="38">
        <f>F51-E51</f>
        <v>278935186.99000001</v>
      </c>
      <c r="F52" s="22"/>
      <c r="G52" s="1"/>
      <c r="H52" s="1"/>
      <c r="J52" s="1"/>
      <c r="K52" s="1"/>
      <c r="L52" s="1"/>
      <c r="M52" s="1"/>
    </row>
    <row r="53" spans="1:14" s="2" customFormat="1" ht="12.75" customHeight="1" x14ac:dyDescent="0.2">
      <c r="A53" s="36"/>
      <c r="B53" s="28" t="s">
        <v>66</v>
      </c>
      <c r="C53" s="43" t="s">
        <v>67</v>
      </c>
      <c r="D53" s="43"/>
      <c r="E53" s="12">
        <v>59416310</v>
      </c>
      <c r="F53" s="22"/>
      <c r="G53" s="1"/>
      <c r="H53" s="40"/>
      <c r="I53" s="45">
        <v>776.76</v>
      </c>
      <c r="J53" s="46"/>
      <c r="K53" s="46"/>
      <c r="L53" s="13"/>
    </row>
    <row r="54" spans="1:14" s="2" customFormat="1" ht="12.75" customHeight="1" x14ac:dyDescent="0.25">
      <c r="A54" s="36"/>
      <c r="B54" s="28"/>
      <c r="C54" s="44" t="s">
        <v>68</v>
      </c>
      <c r="D54" s="43"/>
      <c r="E54" s="7">
        <f>E52+E53</f>
        <v>338351496.99000001</v>
      </c>
      <c r="F54" s="22"/>
      <c r="G54" s="1"/>
      <c r="H54" s="103" t="s">
        <v>69</v>
      </c>
      <c r="I54" s="45">
        <v>-15.27</v>
      </c>
      <c r="J54" s="46"/>
      <c r="K54" s="46"/>
      <c r="N54" s="1"/>
    </row>
    <row r="55" spans="1:14" s="2" customFormat="1" x14ac:dyDescent="0.2">
      <c r="A55" s="24"/>
      <c r="B55" s="1"/>
      <c r="C55" s="14"/>
      <c r="D55" s="25"/>
      <c r="E55" s="1"/>
      <c r="H55" s="35" t="s">
        <v>70</v>
      </c>
      <c r="I55" s="45">
        <v>0</v>
      </c>
      <c r="J55" s="46">
        <f>+I56-D58</f>
        <v>0</v>
      </c>
      <c r="M55" s="2" t="s">
        <v>396</v>
      </c>
      <c r="N55" s="1"/>
    </row>
    <row r="56" spans="1:14" x14ac:dyDescent="0.2">
      <c r="C56" s="56"/>
      <c r="D56" s="56"/>
      <c r="E56" s="104"/>
      <c r="I56" s="49">
        <f>SUM(I53:I55)</f>
        <v>761.49</v>
      </c>
      <c r="J56" s="46"/>
      <c r="K56" s="46"/>
      <c r="L56" s="2"/>
      <c r="M56" s="2"/>
      <c r="N56" s="2"/>
    </row>
    <row r="57" spans="1:14" x14ac:dyDescent="0.2">
      <c r="C57" s="78" t="s">
        <v>575</v>
      </c>
      <c r="D57" s="48" t="s">
        <v>576</v>
      </c>
      <c r="E57" s="104"/>
      <c r="I57" s="2"/>
      <c r="J57" s="2"/>
      <c r="K57" s="2"/>
      <c r="L57" s="2"/>
      <c r="M57" s="2"/>
      <c r="N57" s="2"/>
    </row>
    <row r="58" spans="1:14" s="2" customFormat="1" x14ac:dyDescent="0.2">
      <c r="A58" s="24"/>
      <c r="B58" s="1"/>
      <c r="C58" s="47" t="s">
        <v>570</v>
      </c>
      <c r="D58" s="111">
        <v>761.49</v>
      </c>
      <c r="E58" s="104"/>
      <c r="G58" s="1"/>
      <c r="H58" s="110" t="s">
        <v>581</v>
      </c>
      <c r="N58" s="2" t="s">
        <v>535</v>
      </c>
    </row>
    <row r="59" spans="1:14" s="2" customFormat="1" x14ac:dyDescent="0.2">
      <c r="A59" s="24"/>
      <c r="B59" s="1"/>
      <c r="C59" s="47" t="s">
        <v>931</v>
      </c>
      <c r="D59" s="111">
        <v>78.260000000000005</v>
      </c>
      <c r="E59" s="104"/>
      <c r="G59" s="1"/>
      <c r="H59" s="110" t="s">
        <v>580</v>
      </c>
    </row>
    <row r="60" spans="1:14" s="2" customFormat="1" x14ac:dyDescent="0.2">
      <c r="A60" s="24"/>
      <c r="B60" s="1"/>
      <c r="C60" s="47" t="s">
        <v>572</v>
      </c>
      <c r="D60" s="111">
        <f>+D87/100000</f>
        <v>140.4879492</v>
      </c>
      <c r="E60" s="104"/>
      <c r="G60" s="1"/>
      <c r="H60" s="90" t="s">
        <v>587</v>
      </c>
    </row>
    <row r="61" spans="1:14" s="2" customFormat="1" x14ac:dyDescent="0.2">
      <c r="A61" s="24"/>
      <c r="B61" s="1"/>
      <c r="C61" s="108" t="s">
        <v>578</v>
      </c>
      <c r="D61" s="48">
        <f>SUM(D58:D60)</f>
        <v>980.2379492</v>
      </c>
      <c r="E61" s="104"/>
      <c r="G61" s="1"/>
    </row>
    <row r="62" spans="1:14" s="2" customFormat="1" x14ac:dyDescent="0.2">
      <c r="A62" s="24"/>
      <c r="B62" s="1"/>
      <c r="C62" s="47"/>
      <c r="D62" s="107"/>
      <c r="E62" s="104"/>
      <c r="G62" s="1"/>
    </row>
    <row r="63" spans="1:14" s="2" customFormat="1" x14ac:dyDescent="0.2">
      <c r="A63" s="24"/>
      <c r="B63" s="1"/>
      <c r="C63" s="47" t="s">
        <v>932</v>
      </c>
      <c r="D63" s="111">
        <v>0</v>
      </c>
      <c r="E63" s="104"/>
      <c r="G63" s="1"/>
      <c r="H63" s="110" t="s">
        <v>581</v>
      </c>
    </row>
    <row r="64" spans="1:14" s="2" customFormat="1" x14ac:dyDescent="0.2">
      <c r="A64" s="24"/>
      <c r="B64" s="1"/>
      <c r="C64" s="136" t="s">
        <v>1142</v>
      </c>
      <c r="D64" s="111">
        <f>133.49-12.5</f>
        <v>120.99000000000001</v>
      </c>
      <c r="E64" s="104"/>
      <c r="G64" s="1"/>
      <c r="H64" s="110" t="s">
        <v>581</v>
      </c>
      <c r="J64" s="114" t="s">
        <v>713</v>
      </c>
    </row>
    <row r="65" spans="1:13" s="2" customFormat="1" x14ac:dyDescent="0.2">
      <c r="A65" s="24"/>
      <c r="B65" s="1"/>
      <c r="C65" s="78" t="s">
        <v>579</v>
      </c>
      <c r="D65" s="109">
        <f>D63+D64</f>
        <v>120.99000000000001</v>
      </c>
      <c r="E65" s="104"/>
      <c r="G65" s="1"/>
      <c r="I65" s="113"/>
      <c r="J65" s="113" t="s">
        <v>709</v>
      </c>
      <c r="K65" s="113" t="s">
        <v>710</v>
      </c>
      <c r="L65" s="113" t="s">
        <v>711</v>
      </c>
      <c r="M65" s="113" t="s">
        <v>712</v>
      </c>
    </row>
    <row r="66" spans="1:13" s="2" customFormat="1" x14ac:dyDescent="0.2">
      <c r="A66" s="24"/>
      <c r="B66" s="1"/>
      <c r="C66" s="105"/>
      <c r="D66" s="106"/>
      <c r="E66" s="104"/>
      <c r="G66" s="1"/>
      <c r="I66" s="113" t="s">
        <v>706</v>
      </c>
      <c r="J66" s="115"/>
      <c r="K66" s="115">
        <v>968.99</v>
      </c>
      <c r="L66" s="115">
        <v>968.99</v>
      </c>
      <c r="M66" s="113">
        <f>+J66+L66-K66</f>
        <v>0</v>
      </c>
    </row>
    <row r="67" spans="1:13" s="2" customFormat="1" x14ac:dyDescent="0.2">
      <c r="A67" s="24"/>
      <c r="B67" s="1"/>
      <c r="C67" s="78" t="s">
        <v>577</v>
      </c>
      <c r="D67" s="109">
        <f>D58+D65</f>
        <v>882.48</v>
      </c>
      <c r="E67" s="104"/>
      <c r="G67" s="1"/>
      <c r="I67" s="113" t="s">
        <v>707</v>
      </c>
      <c r="J67" s="115">
        <v>183.1</v>
      </c>
      <c r="K67" s="115">
        <v>2564.52</v>
      </c>
      <c r="L67" s="115">
        <v>3236.97</v>
      </c>
      <c r="M67" s="113">
        <f>+J67+L67-K67</f>
        <v>855.54999999999973</v>
      </c>
    </row>
    <row r="68" spans="1:13" s="2" customFormat="1" x14ac:dyDescent="0.2">
      <c r="A68" s="24"/>
      <c r="B68" s="1"/>
      <c r="C68" s="56"/>
      <c r="D68" s="56"/>
      <c r="E68" s="104"/>
      <c r="G68" s="1"/>
      <c r="I68" s="113" t="s">
        <v>708</v>
      </c>
      <c r="J68" s="115">
        <v>1371.02</v>
      </c>
      <c r="K68" s="115">
        <v>12469.09</v>
      </c>
      <c r="L68" s="115">
        <v>12537.71</v>
      </c>
      <c r="M68" s="113">
        <f>+J68+L68-K68</f>
        <v>1439.6399999999994</v>
      </c>
    </row>
    <row r="69" spans="1:13" s="2" customFormat="1" ht="38.25" x14ac:dyDescent="0.2">
      <c r="A69" s="24"/>
      <c r="B69" s="1"/>
      <c r="C69" s="79" t="str">
        <f>"Particulars ( 01-04-2021 to "&amp;TEXT(A5,"dd-mm-yyyy")&amp;" )"</f>
        <v>Particulars ( 01-04-2021 to 06-07-2023 )</v>
      </c>
      <c r="D69" s="80" t="s">
        <v>73</v>
      </c>
      <c r="E69" s="80" t="s">
        <v>74</v>
      </c>
      <c r="F69" s="81" t="s">
        <v>75</v>
      </c>
      <c r="G69" s="80" t="s">
        <v>76</v>
      </c>
      <c r="J69" s="118">
        <f>SUM(J66:J68)</f>
        <v>1554.12</v>
      </c>
      <c r="K69" s="118">
        <f>SUM(K66:K68)</f>
        <v>16002.6</v>
      </c>
      <c r="L69" s="118">
        <f>SUM(L66:L68)</f>
        <v>16743.669999999998</v>
      </c>
      <c r="M69" s="118">
        <f>SUM(M66:M68)</f>
        <v>2295.1899999999991</v>
      </c>
    </row>
    <row r="70" spans="1:13" s="2" customFormat="1" x14ac:dyDescent="0.2">
      <c r="A70" s="24"/>
      <c r="B70" s="1"/>
      <c r="C70" s="50" t="s">
        <v>444</v>
      </c>
      <c r="D70" s="55">
        <f>+L66+L67+J67</f>
        <v>4389.0600000000004</v>
      </c>
      <c r="E70" s="55">
        <f>+K66+K67</f>
        <v>3533.51</v>
      </c>
      <c r="F70" s="55">
        <f>+D70-E70</f>
        <v>855.55000000000018</v>
      </c>
      <c r="G70" s="55">
        <f>1500-F70</f>
        <v>644.44999999999982</v>
      </c>
      <c r="H70" s="2" t="s">
        <v>396</v>
      </c>
    </row>
    <row r="71" spans="1:13" s="2" customFormat="1" x14ac:dyDescent="0.2">
      <c r="A71" s="24"/>
      <c r="B71" s="1"/>
      <c r="C71" s="50" t="s">
        <v>71</v>
      </c>
      <c r="D71" s="55">
        <f>+J68+L68</f>
        <v>13908.73</v>
      </c>
      <c r="E71" s="55">
        <f>+K68</f>
        <v>12469.09</v>
      </c>
      <c r="F71" s="55">
        <f>+D71-E71</f>
        <v>1439.6399999999994</v>
      </c>
      <c r="G71" s="55">
        <f>1500+700-F71</f>
        <v>760.36000000000058</v>
      </c>
      <c r="H71" s="2" t="s">
        <v>396</v>
      </c>
    </row>
    <row r="72" spans="1:13" s="2" customFormat="1" x14ac:dyDescent="0.2">
      <c r="A72" s="24"/>
      <c r="B72" s="1"/>
      <c r="C72" s="14"/>
      <c r="D72" s="56"/>
      <c r="E72" s="13"/>
      <c r="G72" s="1"/>
    </row>
    <row r="73" spans="1:13" s="2" customFormat="1" x14ac:dyDescent="0.2">
      <c r="A73" s="215" t="s">
        <v>80</v>
      </c>
      <c r="B73" s="216"/>
      <c r="C73" s="216"/>
      <c r="D73" s="217"/>
      <c r="E73" s="69"/>
      <c r="F73" s="70"/>
      <c r="G73" s="1"/>
      <c r="H73" s="53"/>
    </row>
    <row r="74" spans="1:13" s="2" customFormat="1" x14ac:dyDescent="0.2">
      <c r="A74" s="71" t="s">
        <v>81</v>
      </c>
      <c r="B74" s="71"/>
      <c r="C74" s="72" t="s">
        <v>82</v>
      </c>
      <c r="D74" s="73" t="s">
        <v>83</v>
      </c>
      <c r="E74" s="69"/>
      <c r="F74" s="70"/>
      <c r="H74" s="53"/>
    </row>
    <row r="75" spans="1:13" s="2" customFormat="1" x14ac:dyDescent="0.2">
      <c r="A75" s="87">
        <v>45108</v>
      </c>
      <c r="B75" s="120" t="s">
        <v>1052</v>
      </c>
      <c r="C75" s="75" t="s">
        <v>84</v>
      </c>
      <c r="D75" s="88">
        <v>3000000</v>
      </c>
      <c r="G75" s="1"/>
      <c r="L75" s="1"/>
      <c r="M75" s="1"/>
    </row>
    <row r="76" spans="1:13" s="2" customFormat="1" x14ac:dyDescent="0.2">
      <c r="A76" s="87">
        <v>45108</v>
      </c>
      <c r="B76" s="120" t="s">
        <v>1052</v>
      </c>
      <c r="C76" s="75" t="s">
        <v>271</v>
      </c>
      <c r="D76" s="88">
        <v>2323148</v>
      </c>
      <c r="G76" s="1"/>
      <c r="L76" s="1"/>
      <c r="M76" s="1"/>
    </row>
    <row r="77" spans="1:13" s="2" customFormat="1" x14ac:dyDescent="0.2">
      <c r="A77" s="87">
        <v>45110</v>
      </c>
      <c r="B77" s="120" t="s">
        <v>1052</v>
      </c>
      <c r="C77" s="75" t="s">
        <v>85</v>
      </c>
      <c r="D77" s="88">
        <v>732575</v>
      </c>
      <c r="G77" s="1"/>
      <c r="L77" s="1"/>
      <c r="M77" s="1"/>
    </row>
    <row r="78" spans="1:13" s="2" customFormat="1" x14ac:dyDescent="0.2">
      <c r="A78" s="87">
        <v>45110</v>
      </c>
      <c r="B78" s="120" t="s">
        <v>1052</v>
      </c>
      <c r="C78" s="75" t="s">
        <v>86</v>
      </c>
      <c r="D78" s="88">
        <v>2676974</v>
      </c>
      <c r="G78" s="1"/>
      <c r="L78" s="1"/>
      <c r="M78" s="1"/>
    </row>
    <row r="79" spans="1:13" s="2" customFormat="1" x14ac:dyDescent="0.2">
      <c r="A79" s="87">
        <v>45110</v>
      </c>
      <c r="B79" s="120" t="s">
        <v>1052</v>
      </c>
      <c r="C79" s="75" t="s">
        <v>86</v>
      </c>
      <c r="D79" s="88">
        <v>1043475</v>
      </c>
      <c r="G79" s="1"/>
      <c r="L79" s="1"/>
      <c r="M79" s="1"/>
    </row>
    <row r="80" spans="1:13" s="2" customFormat="1" x14ac:dyDescent="0.2">
      <c r="A80" s="87">
        <v>45111</v>
      </c>
      <c r="B80" s="120" t="s">
        <v>1052</v>
      </c>
      <c r="C80" s="75" t="s">
        <v>270</v>
      </c>
      <c r="D80" s="88">
        <v>106093</v>
      </c>
      <c r="G80" s="1"/>
      <c r="L80" s="1"/>
      <c r="M80" s="1"/>
    </row>
    <row r="81" spans="1:13" s="2" customFormat="1" x14ac:dyDescent="0.2">
      <c r="A81" s="87">
        <v>45111</v>
      </c>
      <c r="B81" s="120" t="s">
        <v>1052</v>
      </c>
      <c r="C81" s="75" t="s">
        <v>270</v>
      </c>
      <c r="D81" s="88">
        <v>102393</v>
      </c>
      <c r="G81" s="1"/>
      <c r="L81" s="1"/>
      <c r="M81" s="1"/>
    </row>
    <row r="82" spans="1:13" s="2" customFormat="1" x14ac:dyDescent="0.2">
      <c r="A82" s="87">
        <v>45111</v>
      </c>
      <c r="B82" s="120" t="s">
        <v>1052</v>
      </c>
      <c r="C82" s="75" t="s">
        <v>270</v>
      </c>
      <c r="D82" s="88">
        <v>716336</v>
      </c>
      <c r="G82" s="1"/>
      <c r="L82" s="1"/>
      <c r="M82" s="1"/>
    </row>
    <row r="83" spans="1:13" s="2" customFormat="1" x14ac:dyDescent="0.2">
      <c r="A83" s="87">
        <v>45111</v>
      </c>
      <c r="B83" s="120" t="s">
        <v>1052</v>
      </c>
      <c r="C83" s="75" t="s">
        <v>270</v>
      </c>
      <c r="D83" s="88">
        <v>2504631</v>
      </c>
      <c r="G83" s="1"/>
      <c r="L83" s="1"/>
      <c r="M83" s="1"/>
    </row>
    <row r="84" spans="1:13" s="2" customFormat="1" x14ac:dyDescent="0.2">
      <c r="A84" s="87">
        <v>45111</v>
      </c>
      <c r="B84" s="120" t="s">
        <v>1052</v>
      </c>
      <c r="C84" s="75" t="s">
        <v>270</v>
      </c>
      <c r="D84" s="88">
        <v>141433.92000000001</v>
      </c>
      <c r="G84" s="1"/>
      <c r="L84" s="1"/>
      <c r="M84" s="1"/>
    </row>
    <row r="85" spans="1:13" s="2" customFormat="1" x14ac:dyDescent="0.2">
      <c r="A85" s="87">
        <v>45111</v>
      </c>
      <c r="B85" s="120" t="s">
        <v>1052</v>
      </c>
      <c r="C85" s="75" t="s">
        <v>271</v>
      </c>
      <c r="D85" s="88">
        <v>485258</v>
      </c>
      <c r="G85" s="1"/>
      <c r="L85" s="1"/>
      <c r="M85" s="1"/>
    </row>
    <row r="86" spans="1:13" s="2" customFormat="1" x14ac:dyDescent="0.2">
      <c r="A86" s="87">
        <v>45112</v>
      </c>
      <c r="B86" s="120" t="s">
        <v>1052</v>
      </c>
      <c r="C86" s="75" t="s">
        <v>85</v>
      </c>
      <c r="D86" s="88">
        <v>216478</v>
      </c>
      <c r="G86" s="1"/>
      <c r="L86" s="1"/>
      <c r="M86" s="1"/>
    </row>
    <row r="87" spans="1:13" s="2" customFormat="1" x14ac:dyDescent="0.2">
      <c r="A87" s="87"/>
      <c r="B87" s="74"/>
      <c r="C87" s="75"/>
      <c r="D87" s="51">
        <f>SUM(D75:D86)</f>
        <v>14048794.92</v>
      </c>
      <c r="F87" s="2" t="s">
        <v>396</v>
      </c>
      <c r="G87" s="1"/>
      <c r="L87" s="1"/>
      <c r="M87" s="1"/>
    </row>
    <row r="88" spans="1:13" s="2" customFormat="1" x14ac:dyDescent="0.2">
      <c r="A88" s="24"/>
      <c r="B88" s="1"/>
      <c r="C88" s="14"/>
      <c r="D88" s="56"/>
      <c r="E88" s="13"/>
      <c r="G88" s="1"/>
      <c r="L88" s="1"/>
      <c r="M88" s="1"/>
    </row>
    <row r="89" spans="1:13" s="2" customFormat="1" x14ac:dyDescent="0.2">
      <c r="A89" s="24"/>
      <c r="B89" s="1"/>
      <c r="C89" s="218" t="s">
        <v>77</v>
      </c>
      <c r="D89" s="219"/>
      <c r="E89" s="219"/>
      <c r="F89" s="220"/>
      <c r="G89" s="1"/>
      <c r="L89" s="1"/>
      <c r="M89" s="1"/>
    </row>
    <row r="90" spans="1:13" s="2" customFormat="1" x14ac:dyDescent="0.2">
      <c r="A90" s="24"/>
      <c r="B90" s="1"/>
      <c r="C90" s="50"/>
      <c r="D90" s="57" t="s">
        <v>78</v>
      </c>
      <c r="E90" s="58" t="s">
        <v>79</v>
      </c>
      <c r="F90" s="57" t="s">
        <v>72</v>
      </c>
      <c r="G90" s="1"/>
      <c r="I90" s="1"/>
      <c r="J90" s="1"/>
      <c r="K90" s="1"/>
      <c r="L90" s="1"/>
      <c r="M90" s="1"/>
    </row>
    <row r="91" spans="1:13" s="2" customFormat="1" x14ac:dyDescent="0.2">
      <c r="A91" s="24"/>
      <c r="B91" s="1"/>
      <c r="C91" s="59" t="str">
        <f>"01-07-2023 to "&amp;TEXT(A5-2,"dd-mm-yyyy")</f>
        <v>01-07-2023 to 04-07-2023</v>
      </c>
      <c r="D91" s="60">
        <v>1065.48</v>
      </c>
      <c r="E91" s="60">
        <v>19.2</v>
      </c>
      <c r="F91" s="61">
        <f>SUM(D91:E91)</f>
        <v>1084.68</v>
      </c>
      <c r="G91" s="1"/>
    </row>
    <row r="92" spans="1:13" s="2" customFormat="1" x14ac:dyDescent="0.2">
      <c r="A92" s="24"/>
      <c r="B92" s="1"/>
      <c r="C92" s="62" t="str">
        <f>TEXT(A5-1,"dd-mm-yyyy")</f>
        <v>05-07-2023</v>
      </c>
      <c r="D92" s="60">
        <v>147.65</v>
      </c>
      <c r="E92" s="60">
        <v>18.29</v>
      </c>
      <c r="F92" s="61">
        <f>SUM(D92:E92)</f>
        <v>165.94</v>
      </c>
      <c r="G92" s="54"/>
      <c r="I92" s="1"/>
      <c r="J92" s="1"/>
      <c r="K92" s="1"/>
      <c r="L92" s="1"/>
      <c r="M92" s="1"/>
    </row>
    <row r="93" spans="1:13" s="2" customFormat="1" ht="13.5" thickBot="1" x14ac:dyDescent="0.25">
      <c r="A93" s="24"/>
      <c r="B93" s="1"/>
      <c r="C93" s="63" t="str">
        <f>"01-07-2023 to "&amp;TEXT(A5-1,"dd-mm-yyyy")</f>
        <v>01-07-2023 to 05-07-2023</v>
      </c>
      <c r="D93" s="64">
        <f>SUM(D91:D92)</f>
        <v>1213.1300000000001</v>
      </c>
      <c r="E93" s="64">
        <f>SUM(E91:E92)</f>
        <v>37.489999999999995</v>
      </c>
      <c r="F93" s="64">
        <f>SUM(F91:F92)</f>
        <v>1250.6200000000001</v>
      </c>
      <c r="G93" s="54"/>
      <c r="I93" s="1"/>
      <c r="J93" s="1"/>
      <c r="K93" s="1"/>
      <c r="L93" s="1"/>
      <c r="M93" s="1"/>
    </row>
    <row r="94" spans="1:13" s="2" customFormat="1" ht="13.5" thickTop="1" x14ac:dyDescent="0.2">
      <c r="A94" s="24"/>
      <c r="B94" s="1"/>
      <c r="C94" s="62"/>
      <c r="D94" s="65"/>
      <c r="E94" s="66"/>
      <c r="F94" s="67"/>
      <c r="G94" s="54"/>
      <c r="I94" s="1"/>
      <c r="J94" s="1"/>
      <c r="K94" s="1"/>
      <c r="L94" s="1"/>
      <c r="M94" s="1"/>
    </row>
    <row r="95" spans="1:13" s="2" customFormat="1" x14ac:dyDescent="0.2">
      <c r="A95" s="24"/>
      <c r="B95" s="1"/>
      <c r="C95" s="62" t="str">
        <f>"01-04-2023 to " &amp;C92</f>
        <v>01-04-2023 to 05-07-2023</v>
      </c>
      <c r="D95" s="68">
        <f>+D93+15483.67</f>
        <v>16696.8</v>
      </c>
      <c r="E95" s="68">
        <f>+E93+1115.53</f>
        <v>1153.02</v>
      </c>
      <c r="F95" s="68">
        <f>+F93+16599.19</f>
        <v>17849.809999999998</v>
      </c>
      <c r="G95" s="54"/>
      <c r="I95" s="1"/>
      <c r="J95" s="1"/>
      <c r="K95" s="1"/>
      <c r="L95" s="1"/>
      <c r="M95" s="1"/>
    </row>
    <row r="96" spans="1:13" x14ac:dyDescent="0.2">
      <c r="C96" s="52"/>
      <c r="D96" s="85"/>
      <c r="E96" s="53"/>
      <c r="F96" s="53"/>
      <c r="G96" s="54"/>
      <c r="H96" s="2" t="s">
        <v>396</v>
      </c>
    </row>
    <row r="97" spans="1:10" s="2" customFormat="1" x14ac:dyDescent="0.2">
      <c r="A97" s="24"/>
      <c r="B97" s="1"/>
      <c r="C97" s="52"/>
      <c r="D97" s="85"/>
      <c r="E97" s="53"/>
      <c r="F97" s="53"/>
      <c r="G97" s="54"/>
      <c r="H97" s="53"/>
    </row>
    <row r="98" spans="1:10" x14ac:dyDescent="0.2">
      <c r="C98" s="52"/>
      <c r="D98" s="85"/>
      <c r="E98" s="53"/>
      <c r="F98" s="53"/>
      <c r="G98" s="54"/>
      <c r="H98" s="53" t="s">
        <v>396</v>
      </c>
    </row>
    <row r="99" spans="1:10" x14ac:dyDescent="0.2">
      <c r="C99" s="52"/>
      <c r="D99" s="85"/>
      <c r="E99" s="53"/>
      <c r="F99" s="53"/>
      <c r="G99" s="54"/>
      <c r="H99" s="53" t="s">
        <v>396</v>
      </c>
      <c r="J99" s="42"/>
    </row>
    <row r="100" spans="1:10" x14ac:dyDescent="0.2">
      <c r="G100" s="54"/>
      <c r="H100" s="53"/>
      <c r="I100" s="101"/>
    </row>
    <row r="101" spans="1:10" x14ac:dyDescent="0.2">
      <c r="G101" s="54"/>
      <c r="H101" s="53"/>
    </row>
    <row r="102" spans="1:10" x14ac:dyDescent="0.2">
      <c r="G102" s="54"/>
      <c r="H102" s="53"/>
    </row>
    <row r="103" spans="1:10" x14ac:dyDescent="0.2">
      <c r="H103" s="53"/>
    </row>
  </sheetData>
  <mergeCells count="6">
    <mergeCell ref="C89:F89"/>
    <mergeCell ref="A1:G1"/>
    <mergeCell ref="A3:F3"/>
    <mergeCell ref="A10:F10"/>
    <mergeCell ref="A16:F16"/>
    <mergeCell ref="A73:D73"/>
  </mergeCells>
  <conditionalFormatting sqref="G70:G71">
    <cfRule type="cellIs" dxfId="432" priority="1" operator="lessThan">
      <formula>0</formula>
    </cfRule>
  </conditionalFormatting>
  <conditionalFormatting sqref="C18">
    <cfRule type="duplicateValues" dxfId="431" priority="2"/>
  </conditionalFormatting>
  <conditionalFormatting sqref="C19:C50">
    <cfRule type="duplicateValues" dxfId="430" priority="586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sheetPr codeName="Sheet372">
    <pageSetUpPr fitToPage="1"/>
  </sheetPr>
  <dimension ref="A1:N125"/>
  <sheetViews>
    <sheetView topLeftCell="A7" zoomScaleNormal="100" workbookViewId="0">
      <selection activeCell="C46" sqref="C46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1176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45114</v>
      </c>
      <c r="B5" s="9" t="s">
        <v>6</v>
      </c>
      <c r="C5" s="10" t="s">
        <v>7</v>
      </c>
      <c r="D5" s="11"/>
      <c r="E5" s="12">
        <v>3652715.7</v>
      </c>
      <c r="F5" s="12"/>
      <c r="G5" s="1"/>
      <c r="H5" s="112"/>
      <c r="I5" s="112"/>
    </row>
    <row r="6" spans="1:10" s="2" customFormat="1" ht="14.25" customHeight="1" x14ac:dyDescent="0.4">
      <c r="A6" s="89">
        <v>45114</v>
      </c>
      <c r="B6" s="9" t="s">
        <v>11</v>
      </c>
      <c r="C6" s="10" t="s">
        <v>380</v>
      </c>
      <c r="D6" s="135" t="s">
        <v>29</v>
      </c>
      <c r="E6" s="12"/>
      <c r="F6" s="12">
        <v>3280466</v>
      </c>
      <c r="G6" s="1"/>
      <c r="H6" s="112"/>
      <c r="I6" s="112"/>
    </row>
    <row r="7" spans="1:10" s="2" customFormat="1" ht="12.75" customHeight="1" x14ac:dyDescent="0.4">
      <c r="D7" s="15" t="s">
        <v>8</v>
      </c>
      <c r="E7" s="16">
        <f>SUM(E5:E6)</f>
        <v>3652715.7</v>
      </c>
      <c r="F7" s="16">
        <f>SUM(F6)</f>
        <v>3280466</v>
      </c>
      <c r="G7" s="1"/>
      <c r="H7" s="112"/>
      <c r="I7" s="112"/>
    </row>
    <row r="8" spans="1:10" s="2" customFormat="1" ht="12.75" customHeight="1" x14ac:dyDescent="0.4">
      <c r="A8" s="17"/>
      <c r="B8" s="18"/>
      <c r="C8" s="19" t="s">
        <v>9</v>
      </c>
      <c r="D8" s="20"/>
      <c r="E8" s="21">
        <f>+E7-F7</f>
        <v>372249.70000000019</v>
      </c>
      <c r="F8" s="22"/>
      <c r="G8" s="23"/>
      <c r="H8" s="112"/>
      <c r="I8" s="112"/>
      <c r="J8" s="13"/>
    </row>
    <row r="9" spans="1:10" ht="12.75" customHeight="1" x14ac:dyDescent="0.4">
      <c r="H9" s="112"/>
      <c r="I9" s="112"/>
    </row>
    <row r="10" spans="1:10" ht="18" customHeight="1" x14ac:dyDescent="0.4">
      <c r="A10" s="213" t="s">
        <v>1037</v>
      </c>
      <c r="B10" s="213"/>
      <c r="C10" s="213"/>
      <c r="D10" s="213"/>
      <c r="E10" s="213"/>
      <c r="F10" s="213"/>
      <c r="H10" s="112"/>
      <c r="I10" s="112"/>
    </row>
    <row r="11" spans="1:10" ht="12.75" customHeight="1" x14ac:dyDescent="0.4">
      <c r="A11" s="3" t="s">
        <v>1</v>
      </c>
      <c r="B11" s="4" t="s">
        <v>2</v>
      </c>
      <c r="C11" s="5"/>
      <c r="D11" s="6" t="s">
        <v>3</v>
      </c>
      <c r="E11" s="7" t="s">
        <v>4</v>
      </c>
      <c r="F11" s="7" t="s">
        <v>5</v>
      </c>
      <c r="H11" s="112"/>
      <c r="I11" s="112"/>
    </row>
    <row r="12" spans="1:10" s="2" customFormat="1" ht="14.25" customHeight="1" x14ac:dyDescent="0.2">
      <c r="A12" s="127">
        <v>45114</v>
      </c>
      <c r="B12" s="9" t="s">
        <v>6</v>
      </c>
      <c r="C12" s="10" t="s">
        <v>7</v>
      </c>
      <c r="D12" s="11"/>
      <c r="F12" s="12">
        <v>25553567.790000007</v>
      </c>
      <c r="G12" s="1"/>
      <c r="H12" s="130" t="s">
        <v>396</v>
      </c>
      <c r="I12" s="130"/>
    </row>
    <row r="13" spans="1:10" s="2" customFormat="1" ht="14.25" customHeight="1" x14ac:dyDescent="0.2">
      <c r="A13" s="127">
        <v>45114</v>
      </c>
      <c r="B13" s="9" t="s">
        <v>6</v>
      </c>
      <c r="C13" s="76" t="s">
        <v>142</v>
      </c>
      <c r="D13" s="125" t="s">
        <v>13</v>
      </c>
      <c r="E13" s="2">
        <v>1624409.3</v>
      </c>
      <c r="F13" s="12"/>
      <c r="G13" s="1"/>
      <c r="H13" s="130"/>
      <c r="I13" s="130"/>
    </row>
    <row r="14" spans="1:10" s="2" customFormat="1" ht="14.25" customHeight="1" x14ac:dyDescent="0.2">
      <c r="A14" s="127">
        <v>45114</v>
      </c>
      <c r="B14" s="9" t="s">
        <v>11</v>
      </c>
      <c r="C14" s="76" t="s">
        <v>339</v>
      </c>
      <c r="D14" s="135" t="s">
        <v>29</v>
      </c>
      <c r="F14" s="31">
        <v>613980</v>
      </c>
      <c r="G14" s="1"/>
      <c r="H14" s="130"/>
      <c r="I14" s="130"/>
    </row>
    <row r="15" spans="1:10" s="2" customFormat="1" ht="14.25" customHeight="1" x14ac:dyDescent="0.2">
      <c r="A15" s="127">
        <v>45114</v>
      </c>
      <c r="B15" s="9" t="s">
        <v>11</v>
      </c>
      <c r="C15" s="76" t="s">
        <v>775</v>
      </c>
      <c r="D15" s="135" t="s">
        <v>29</v>
      </c>
      <c r="F15" s="31">
        <v>2950</v>
      </c>
      <c r="G15" s="1"/>
      <c r="H15" s="130"/>
      <c r="I15" s="130"/>
    </row>
    <row r="16" spans="1:10" s="2" customFormat="1" ht="14.25" customHeight="1" x14ac:dyDescent="0.2">
      <c r="A16" s="127">
        <v>45114</v>
      </c>
      <c r="B16" s="9" t="s">
        <v>11</v>
      </c>
      <c r="C16" s="76" t="s">
        <v>645</v>
      </c>
      <c r="D16" s="135" t="s">
        <v>29</v>
      </c>
      <c r="F16" s="31">
        <v>20828</v>
      </c>
      <c r="G16" s="1"/>
      <c r="H16" s="130"/>
      <c r="I16" s="130"/>
    </row>
    <row r="17" spans="1:10" s="2" customFormat="1" ht="14.25" customHeight="1" x14ac:dyDescent="0.2">
      <c r="A17" s="127">
        <v>45114</v>
      </c>
      <c r="B17" s="9" t="s">
        <v>11</v>
      </c>
      <c r="C17" s="76" t="s">
        <v>512</v>
      </c>
      <c r="D17" s="135" t="s">
        <v>29</v>
      </c>
      <c r="F17" s="31">
        <v>155406</v>
      </c>
      <c r="G17" s="1"/>
      <c r="H17" s="130"/>
      <c r="I17" s="130"/>
    </row>
    <row r="18" spans="1:10" s="2" customFormat="1" ht="14.25" customHeight="1" x14ac:dyDescent="0.2">
      <c r="A18" s="127">
        <v>45114</v>
      </c>
      <c r="B18" s="9" t="s">
        <v>11</v>
      </c>
      <c r="C18" s="76" t="s">
        <v>94</v>
      </c>
      <c r="D18" s="135" t="s">
        <v>29</v>
      </c>
      <c r="F18" s="31">
        <v>682823</v>
      </c>
      <c r="G18" s="1"/>
      <c r="H18" s="130"/>
      <c r="I18" s="130"/>
    </row>
    <row r="19" spans="1:10" s="2" customFormat="1" ht="14.25" customHeight="1" x14ac:dyDescent="0.2">
      <c r="A19" s="127">
        <v>45114</v>
      </c>
      <c r="B19" s="9" t="s">
        <v>11</v>
      </c>
      <c r="C19" s="76" t="s">
        <v>369</v>
      </c>
      <c r="D19" s="135" t="s">
        <v>29</v>
      </c>
      <c r="F19" s="31">
        <v>182976.7</v>
      </c>
      <c r="G19" s="1"/>
      <c r="H19" s="130"/>
      <c r="I19" s="130"/>
    </row>
    <row r="20" spans="1:10" s="2" customFormat="1" ht="14.25" customHeight="1" x14ac:dyDescent="0.2">
      <c r="A20" s="127">
        <v>45114</v>
      </c>
      <c r="B20" s="9" t="s">
        <v>11</v>
      </c>
      <c r="C20" s="76" t="s">
        <v>549</v>
      </c>
      <c r="D20" s="135" t="s">
        <v>29</v>
      </c>
      <c r="F20" s="31">
        <v>502802.33</v>
      </c>
      <c r="G20" s="1"/>
      <c r="H20" s="130"/>
      <c r="I20" s="130"/>
    </row>
    <row r="21" spans="1:10" s="2" customFormat="1" ht="14.25" customHeight="1" x14ac:dyDescent="0.2">
      <c r="A21" s="127">
        <v>45114</v>
      </c>
      <c r="B21" s="9" t="s">
        <v>11</v>
      </c>
      <c r="C21" s="76" t="s">
        <v>769</v>
      </c>
      <c r="D21" s="135" t="s">
        <v>29</v>
      </c>
      <c r="F21" s="31">
        <v>340853</v>
      </c>
      <c r="G21" s="1"/>
      <c r="H21" s="130"/>
      <c r="I21" s="130"/>
    </row>
    <row r="22" spans="1:10" s="2" customFormat="1" ht="14.25" customHeight="1" x14ac:dyDescent="0.2">
      <c r="A22" s="127">
        <v>45114</v>
      </c>
      <c r="B22" s="9" t="s">
        <v>11</v>
      </c>
      <c r="C22" s="76" t="s">
        <v>368</v>
      </c>
      <c r="D22" s="135" t="s">
        <v>29</v>
      </c>
      <c r="F22" s="31">
        <v>749329</v>
      </c>
      <c r="G22" s="1"/>
      <c r="H22" s="130"/>
      <c r="I22" s="130"/>
    </row>
    <row r="23" spans="1:10" s="2" customFormat="1" ht="14.25" customHeight="1" x14ac:dyDescent="0.2">
      <c r="A23" s="127">
        <v>45114</v>
      </c>
      <c r="B23" s="9" t="s">
        <v>11</v>
      </c>
      <c r="C23" s="76" t="s">
        <v>124</v>
      </c>
      <c r="D23" s="135" t="s">
        <v>29</v>
      </c>
      <c r="F23" s="31">
        <v>16160</v>
      </c>
      <c r="G23" s="1"/>
      <c r="H23" s="130"/>
      <c r="I23" s="130"/>
    </row>
    <row r="24" spans="1:10" s="2" customFormat="1" ht="14.25" customHeight="1" x14ac:dyDescent="0.2">
      <c r="A24" s="127">
        <v>45114</v>
      </c>
      <c r="B24" s="9" t="s">
        <v>11</v>
      </c>
      <c r="C24" s="76" t="s">
        <v>1173</v>
      </c>
      <c r="D24" s="135" t="s">
        <v>29</v>
      </c>
      <c r="F24" s="31">
        <v>16512</v>
      </c>
      <c r="G24" s="1"/>
      <c r="H24" s="130"/>
      <c r="I24" s="130"/>
    </row>
    <row r="25" spans="1:10" s="2" customFormat="1" ht="14.25" customHeight="1" x14ac:dyDescent="0.2">
      <c r="A25" s="127">
        <v>45114</v>
      </c>
      <c r="B25" s="9" t="s">
        <v>11</v>
      </c>
      <c r="C25" s="76" t="s">
        <v>1174</v>
      </c>
      <c r="D25" s="135" t="s">
        <v>29</v>
      </c>
      <c r="F25" s="31">
        <v>300000</v>
      </c>
      <c r="G25" s="1"/>
      <c r="H25" s="130"/>
      <c r="I25" s="130"/>
    </row>
    <row r="26" spans="1:10" s="2" customFormat="1" ht="12.75" customHeight="1" x14ac:dyDescent="0.4">
      <c r="D26" s="15" t="s">
        <v>8</v>
      </c>
      <c r="E26" s="16">
        <f>SUM(E13:E25)</f>
        <v>1624409.3</v>
      </c>
      <c r="F26" s="16">
        <f>SUM(F12:F25)</f>
        <v>29138187.820000004</v>
      </c>
      <c r="G26" s="1"/>
      <c r="H26" s="112"/>
      <c r="I26" s="112"/>
    </row>
    <row r="27" spans="1:10" s="2" customFormat="1" ht="12.75" customHeight="1" x14ac:dyDescent="0.4">
      <c r="A27" s="17"/>
      <c r="B27" s="18"/>
      <c r="C27" s="96" t="s">
        <v>9</v>
      </c>
      <c r="D27" s="20"/>
      <c r="E27" s="21">
        <f>+F26-E26</f>
        <v>27513778.520000003</v>
      </c>
      <c r="G27" s="23"/>
      <c r="H27" s="112"/>
      <c r="I27" s="112"/>
      <c r="J27" s="13"/>
    </row>
    <row r="28" spans="1:10" s="2" customFormat="1" ht="12.75" customHeight="1" x14ac:dyDescent="0.4">
      <c r="A28" s="24"/>
      <c r="B28" s="1"/>
      <c r="C28" s="14"/>
      <c r="D28" s="25"/>
      <c r="G28" s="23"/>
      <c r="H28" s="112"/>
      <c r="I28" s="112"/>
      <c r="J28" s="13"/>
    </row>
    <row r="29" spans="1:10" s="2" customFormat="1" ht="21.75" customHeight="1" x14ac:dyDescent="0.4">
      <c r="A29" s="214" t="s">
        <v>10</v>
      </c>
      <c r="B29" s="214"/>
      <c r="C29" s="214"/>
      <c r="D29" s="214"/>
      <c r="E29" s="214"/>
      <c r="F29" s="214"/>
      <c r="G29" s="13"/>
      <c r="H29" s="112"/>
      <c r="I29" s="112"/>
      <c r="J29" s="13"/>
    </row>
    <row r="30" spans="1:10" s="2" customFormat="1" ht="12.75" customHeight="1" x14ac:dyDescent="0.4">
      <c r="A30" s="26" t="s">
        <v>1</v>
      </c>
      <c r="B30" s="27" t="s">
        <v>2</v>
      </c>
      <c r="C30" s="5"/>
      <c r="D30" s="6" t="s">
        <v>3</v>
      </c>
      <c r="E30" s="7" t="s">
        <v>4</v>
      </c>
      <c r="F30" s="7" t="s">
        <v>5</v>
      </c>
      <c r="G30" s="23"/>
      <c r="H30" s="112"/>
      <c r="I30" s="112"/>
      <c r="J30" s="13"/>
    </row>
    <row r="31" spans="1:10" s="2" customFormat="1" ht="12.75" customHeight="1" x14ac:dyDescent="0.2">
      <c r="A31" s="127">
        <v>45114</v>
      </c>
      <c r="B31" s="128" t="s">
        <v>11</v>
      </c>
      <c r="C31" s="29" t="s">
        <v>7</v>
      </c>
      <c r="D31" s="25"/>
      <c r="E31" s="31"/>
      <c r="F31" s="2">
        <v>278935186.99000001</v>
      </c>
      <c r="G31" s="30"/>
      <c r="I31" s="13"/>
      <c r="J31" s="13"/>
    </row>
    <row r="32" spans="1:10" s="70" customFormat="1" ht="12.75" customHeight="1" x14ac:dyDescent="0.2">
      <c r="A32" s="127">
        <v>45114</v>
      </c>
      <c r="B32" s="128" t="s">
        <v>6</v>
      </c>
      <c r="C32" s="76" t="s">
        <v>15</v>
      </c>
      <c r="D32" s="125" t="s">
        <v>13</v>
      </c>
      <c r="E32" s="31">
        <f>20035.12+520.61</f>
        <v>20555.73</v>
      </c>
      <c r="G32" s="30"/>
      <c r="I32" s="69"/>
      <c r="J32" s="69"/>
    </row>
    <row r="33" spans="1:10" s="70" customFormat="1" ht="12.75" customHeight="1" x14ac:dyDescent="0.2">
      <c r="A33" s="127">
        <v>45114</v>
      </c>
      <c r="B33" s="128" t="s">
        <v>6</v>
      </c>
      <c r="C33" s="76" t="s">
        <v>62</v>
      </c>
      <c r="D33" s="125" t="s">
        <v>13</v>
      </c>
      <c r="E33" s="31">
        <v>5000</v>
      </c>
      <c r="G33" s="30"/>
      <c r="I33" s="69"/>
      <c r="J33" s="69"/>
    </row>
    <row r="34" spans="1:10" s="70" customFormat="1" ht="12.75" customHeight="1" x14ac:dyDescent="0.2">
      <c r="A34" s="127">
        <v>45114</v>
      </c>
      <c r="B34" s="128" t="s">
        <v>6</v>
      </c>
      <c r="C34" s="76" t="s">
        <v>695</v>
      </c>
      <c r="D34" s="125" t="s">
        <v>13</v>
      </c>
      <c r="E34" s="31">
        <v>576359</v>
      </c>
      <c r="G34" s="30"/>
      <c r="I34" s="69"/>
      <c r="J34" s="69"/>
    </row>
    <row r="35" spans="1:10" s="70" customFormat="1" ht="12.75" customHeight="1" x14ac:dyDescent="0.2">
      <c r="A35" s="127">
        <v>45114</v>
      </c>
      <c r="B35" s="128" t="s">
        <v>6</v>
      </c>
      <c r="C35" s="76" t="s">
        <v>1033</v>
      </c>
      <c r="D35" s="125" t="s">
        <v>13</v>
      </c>
      <c r="E35" s="31">
        <v>9156343</v>
      </c>
      <c r="G35" s="30"/>
      <c r="I35" s="69"/>
      <c r="J35" s="69"/>
    </row>
    <row r="36" spans="1:10" s="70" customFormat="1" ht="12.75" customHeight="1" x14ac:dyDescent="0.2">
      <c r="A36" s="127">
        <v>45114</v>
      </c>
      <c r="B36" s="128" t="s">
        <v>6</v>
      </c>
      <c r="C36" s="76" t="s">
        <v>450</v>
      </c>
      <c r="D36" s="125" t="s">
        <v>13</v>
      </c>
      <c r="E36" s="31">
        <v>2313176</v>
      </c>
      <c r="G36" s="30"/>
      <c r="I36" s="69"/>
      <c r="J36" s="69"/>
    </row>
    <row r="37" spans="1:10" s="70" customFormat="1" ht="12.75" customHeight="1" x14ac:dyDescent="0.2">
      <c r="A37" s="127">
        <v>45114</v>
      </c>
      <c r="B37" s="128" t="s">
        <v>6</v>
      </c>
      <c r="C37" s="76" t="s">
        <v>688</v>
      </c>
      <c r="D37" s="125" t="s">
        <v>13</v>
      </c>
      <c r="E37" s="31">
        <v>291380</v>
      </c>
      <c r="G37" s="30"/>
      <c r="I37" s="69"/>
      <c r="J37" s="69"/>
    </row>
    <row r="38" spans="1:10" s="70" customFormat="1" ht="12.75" customHeight="1" x14ac:dyDescent="0.2">
      <c r="A38" s="127">
        <v>45114</v>
      </c>
      <c r="B38" s="128" t="s">
        <v>6</v>
      </c>
      <c r="C38" s="76" t="s">
        <v>27</v>
      </c>
      <c r="D38" s="125" t="s">
        <v>13</v>
      </c>
      <c r="E38" s="31">
        <v>250701.9</v>
      </c>
      <c r="G38" s="30"/>
      <c r="I38" s="69"/>
      <c r="J38" s="69"/>
    </row>
    <row r="39" spans="1:10" s="70" customFormat="1" ht="12.75" customHeight="1" x14ac:dyDescent="0.2">
      <c r="A39" s="127">
        <v>45114</v>
      </c>
      <c r="B39" s="128" t="s">
        <v>6</v>
      </c>
      <c r="C39" s="76" t="s">
        <v>993</v>
      </c>
      <c r="D39" s="125" t="s">
        <v>13</v>
      </c>
      <c r="E39" s="31">
        <v>487035</v>
      </c>
      <c r="G39" s="30"/>
      <c r="I39" s="69"/>
      <c r="J39" s="69"/>
    </row>
    <row r="40" spans="1:10" s="70" customFormat="1" ht="12.75" customHeight="1" x14ac:dyDescent="0.2">
      <c r="A40" s="127">
        <v>45114</v>
      </c>
      <c r="B40" s="128" t="s">
        <v>6</v>
      </c>
      <c r="C40" s="76" t="s">
        <v>389</v>
      </c>
      <c r="D40" s="125" t="s">
        <v>13</v>
      </c>
      <c r="E40" s="31">
        <v>3696146.2</v>
      </c>
      <c r="G40" s="30"/>
      <c r="I40" s="69"/>
      <c r="J40" s="69"/>
    </row>
    <row r="41" spans="1:10" s="70" customFormat="1" ht="12.75" customHeight="1" x14ac:dyDescent="0.2">
      <c r="A41" s="127">
        <v>45114</v>
      </c>
      <c r="B41" s="128" t="s">
        <v>6</v>
      </c>
      <c r="C41" s="76" t="s">
        <v>426</v>
      </c>
      <c r="D41" s="125" t="s">
        <v>13</v>
      </c>
      <c r="E41" s="31">
        <v>2307392.19</v>
      </c>
      <c r="G41" s="30"/>
      <c r="I41" s="69"/>
      <c r="J41" s="69"/>
    </row>
    <row r="42" spans="1:10" s="70" customFormat="1" ht="12.75" customHeight="1" x14ac:dyDescent="0.2">
      <c r="A42" s="127">
        <v>45114</v>
      </c>
      <c r="B42" s="128" t="s">
        <v>6</v>
      </c>
      <c r="C42" s="76" t="s">
        <v>379</v>
      </c>
      <c r="D42" s="125" t="s">
        <v>13</v>
      </c>
      <c r="E42" s="31">
        <v>4080982.12</v>
      </c>
      <c r="G42" s="30"/>
      <c r="I42" s="69"/>
      <c r="J42" s="69"/>
    </row>
    <row r="43" spans="1:10" s="70" customFormat="1" ht="12.75" customHeight="1" x14ac:dyDescent="0.2">
      <c r="A43" s="127">
        <v>45114</v>
      </c>
      <c r="B43" s="128" t="s">
        <v>6</v>
      </c>
      <c r="C43" s="76" t="s">
        <v>830</v>
      </c>
      <c r="D43" s="125" t="s">
        <v>13</v>
      </c>
      <c r="E43" s="31">
        <v>192876.28</v>
      </c>
      <c r="G43" s="30"/>
      <c r="I43" s="69"/>
      <c r="J43" s="69"/>
    </row>
    <row r="44" spans="1:10" s="70" customFormat="1" ht="12.75" customHeight="1" x14ac:dyDescent="0.2">
      <c r="A44" s="127">
        <v>45114</v>
      </c>
      <c r="B44" s="128" t="s">
        <v>6</v>
      </c>
      <c r="C44" s="76" t="s">
        <v>1175</v>
      </c>
      <c r="D44" s="125" t="s">
        <v>13</v>
      </c>
      <c r="E44" s="31">
        <v>260</v>
      </c>
      <c r="G44" s="30"/>
      <c r="I44" s="69"/>
      <c r="J44" s="69"/>
    </row>
    <row r="45" spans="1:10" s="70" customFormat="1" ht="12.75" customHeight="1" x14ac:dyDescent="0.2">
      <c r="A45" s="127">
        <v>45114</v>
      </c>
      <c r="B45" s="128" t="s">
        <v>6</v>
      </c>
      <c r="C45" s="76" t="s">
        <v>556</v>
      </c>
      <c r="D45" s="125" t="s">
        <v>13</v>
      </c>
      <c r="E45" s="31">
        <v>2114705</v>
      </c>
      <c r="G45" s="30"/>
      <c r="I45" s="69"/>
      <c r="J45" s="69"/>
    </row>
    <row r="46" spans="1:10" s="70" customFormat="1" ht="12.75" customHeight="1" x14ac:dyDescent="0.2">
      <c r="A46" s="127">
        <v>45114</v>
      </c>
      <c r="B46" s="128" t="s">
        <v>6</v>
      </c>
      <c r="C46" s="76" t="s">
        <v>283</v>
      </c>
      <c r="D46" s="125" t="s">
        <v>13</v>
      </c>
      <c r="E46" s="31">
        <v>4052021</v>
      </c>
      <c r="G46" s="30"/>
      <c r="I46" s="69"/>
      <c r="J46" s="69"/>
    </row>
    <row r="47" spans="1:10" s="70" customFormat="1" ht="12.75" customHeight="1" x14ac:dyDescent="0.2">
      <c r="A47" s="127">
        <v>45114</v>
      </c>
      <c r="B47" s="128" t="s">
        <v>6</v>
      </c>
      <c r="C47" s="76" t="s">
        <v>24</v>
      </c>
      <c r="D47" s="125" t="s">
        <v>13</v>
      </c>
      <c r="E47" s="31">
        <v>30945</v>
      </c>
      <c r="G47" s="30"/>
      <c r="I47" s="69"/>
      <c r="J47" s="69"/>
    </row>
    <row r="48" spans="1:10" s="70" customFormat="1" ht="12.75" customHeight="1" x14ac:dyDescent="0.2">
      <c r="A48" s="127">
        <v>45114</v>
      </c>
      <c r="B48" s="128" t="s">
        <v>6</v>
      </c>
      <c r="C48" s="76" t="s">
        <v>947</v>
      </c>
      <c r="D48" s="125" t="s">
        <v>13</v>
      </c>
      <c r="E48" s="31">
        <v>2407408</v>
      </c>
      <c r="G48" s="30"/>
      <c r="I48" s="69"/>
      <c r="J48" s="69"/>
    </row>
    <row r="49" spans="1:10" s="70" customFormat="1" ht="12.75" customHeight="1" x14ac:dyDescent="0.2">
      <c r="A49" s="127">
        <v>45114</v>
      </c>
      <c r="B49" s="128" t="s">
        <v>6</v>
      </c>
      <c r="C49" s="76" t="s">
        <v>120</v>
      </c>
      <c r="D49" s="125" t="s">
        <v>13</v>
      </c>
      <c r="E49" s="31">
        <f>1553547.08+98202</f>
        <v>1651749.08</v>
      </c>
      <c r="G49" s="30"/>
      <c r="I49" s="69"/>
      <c r="J49" s="69"/>
    </row>
    <row r="50" spans="1:10" s="70" customFormat="1" ht="12.75" customHeight="1" x14ac:dyDescent="0.2">
      <c r="A50" s="127">
        <v>45114</v>
      </c>
      <c r="B50" s="128" t="s">
        <v>6</v>
      </c>
      <c r="C50" s="76" t="s">
        <v>19</v>
      </c>
      <c r="D50" s="125" t="s">
        <v>13</v>
      </c>
      <c r="E50" s="31">
        <v>420075</v>
      </c>
      <c r="G50" s="30"/>
      <c r="I50" s="69"/>
      <c r="J50" s="69"/>
    </row>
    <row r="51" spans="1:10" s="70" customFormat="1" ht="12.75" customHeight="1" x14ac:dyDescent="0.2">
      <c r="A51" s="127">
        <v>45114</v>
      </c>
      <c r="B51" s="128" t="s">
        <v>6</v>
      </c>
      <c r="C51" s="76" t="s">
        <v>12</v>
      </c>
      <c r="D51" s="125" t="s">
        <v>13</v>
      </c>
      <c r="E51" s="31">
        <v>199166.81</v>
      </c>
      <c r="G51" s="30"/>
      <c r="I51" s="69"/>
      <c r="J51" s="69"/>
    </row>
    <row r="52" spans="1:10" s="70" customFormat="1" ht="12.75" customHeight="1" x14ac:dyDescent="0.2">
      <c r="A52" s="127">
        <v>45114</v>
      </c>
      <c r="B52" s="128" t="s">
        <v>6</v>
      </c>
      <c r="C52" s="76" t="s">
        <v>14</v>
      </c>
      <c r="D52" s="125" t="s">
        <v>13</v>
      </c>
      <c r="E52" s="31">
        <v>93004</v>
      </c>
      <c r="G52" s="30"/>
      <c r="I52" s="69"/>
      <c r="J52" s="69"/>
    </row>
    <row r="53" spans="1:10" s="70" customFormat="1" ht="12.75" customHeight="1" x14ac:dyDescent="0.2">
      <c r="A53" s="127">
        <v>45114</v>
      </c>
      <c r="B53" s="128" t="s">
        <v>11</v>
      </c>
      <c r="C53" s="76" t="s">
        <v>15</v>
      </c>
      <c r="D53" s="125" t="s">
        <v>29</v>
      </c>
      <c r="E53" s="31" t="s">
        <v>396</v>
      </c>
      <c r="F53" s="31">
        <v>62593.45</v>
      </c>
      <c r="G53" s="30"/>
      <c r="I53" s="69"/>
      <c r="J53" s="69"/>
    </row>
    <row r="54" spans="1:10" s="70" customFormat="1" ht="12.75" customHeight="1" x14ac:dyDescent="0.2">
      <c r="A54" s="127">
        <v>45114</v>
      </c>
      <c r="B54" s="128" t="s">
        <v>11</v>
      </c>
      <c r="C54" s="76" t="s">
        <v>64</v>
      </c>
      <c r="D54" s="125" t="s">
        <v>29</v>
      </c>
      <c r="E54" s="31"/>
      <c r="F54" s="70">
        <f>34839.04+4366.3+25</f>
        <v>39230.340000000004</v>
      </c>
      <c r="G54" s="30"/>
      <c r="I54" s="69"/>
      <c r="J54" s="69"/>
    </row>
    <row r="55" spans="1:10" s="70" customFormat="1" ht="12.75" customHeight="1" x14ac:dyDescent="0.2">
      <c r="A55" s="127">
        <v>45114</v>
      </c>
      <c r="B55" s="128" t="s">
        <v>11</v>
      </c>
      <c r="C55" s="76" t="s">
        <v>748</v>
      </c>
      <c r="D55" s="125" t="s">
        <v>29</v>
      </c>
      <c r="E55" s="31"/>
      <c r="F55" s="70">
        <v>2203294.5</v>
      </c>
      <c r="G55" s="30"/>
      <c r="I55" s="69"/>
      <c r="J55" s="69"/>
    </row>
    <row r="56" spans="1:10" s="70" customFormat="1" ht="12.75" customHeight="1" x14ac:dyDescent="0.2">
      <c r="A56" s="127">
        <v>45114</v>
      </c>
      <c r="B56" s="128" t="s">
        <v>11</v>
      </c>
      <c r="C56" s="76" t="s">
        <v>109</v>
      </c>
      <c r="D56" s="125" t="s">
        <v>29</v>
      </c>
      <c r="E56" s="31"/>
      <c r="F56" s="70">
        <v>1017058</v>
      </c>
      <c r="G56" s="30"/>
      <c r="I56" s="69"/>
      <c r="J56" s="69"/>
    </row>
    <row r="57" spans="1:10" s="70" customFormat="1" ht="12.75" customHeight="1" x14ac:dyDescent="0.2">
      <c r="A57" s="127">
        <v>45114</v>
      </c>
      <c r="B57" s="128" t="s">
        <v>11</v>
      </c>
      <c r="C57" s="76" t="s">
        <v>506</v>
      </c>
      <c r="D57" s="125" t="s">
        <v>29</v>
      </c>
      <c r="E57" s="31"/>
      <c r="F57" s="70">
        <v>275347</v>
      </c>
      <c r="G57" s="30"/>
      <c r="I57" s="69"/>
      <c r="J57" s="69"/>
    </row>
    <row r="58" spans="1:10" s="70" customFormat="1" ht="12.75" customHeight="1" x14ac:dyDescent="0.2">
      <c r="A58" s="127">
        <v>45114</v>
      </c>
      <c r="B58" s="128" t="s">
        <v>11</v>
      </c>
      <c r="C58" s="76" t="s">
        <v>63</v>
      </c>
      <c r="D58" s="125" t="s">
        <v>29</v>
      </c>
      <c r="E58" s="31"/>
      <c r="F58" s="70">
        <v>3000000</v>
      </c>
      <c r="G58" s="30"/>
      <c r="I58" s="69"/>
      <c r="J58" s="69"/>
    </row>
    <row r="59" spans="1:10" s="70" customFormat="1" ht="12.75" customHeight="1" x14ac:dyDescent="0.2">
      <c r="A59" s="127">
        <v>45114</v>
      </c>
      <c r="B59" s="128" t="s">
        <v>11</v>
      </c>
      <c r="C59" s="76" t="s">
        <v>870</v>
      </c>
      <c r="D59" s="125" t="s">
        <v>29</v>
      </c>
      <c r="E59" s="31"/>
      <c r="F59" s="70">
        <v>14155</v>
      </c>
      <c r="G59" s="30"/>
      <c r="I59" s="69"/>
      <c r="J59" s="69"/>
    </row>
    <row r="60" spans="1:10" s="70" customFormat="1" ht="12.75" customHeight="1" x14ac:dyDescent="0.2">
      <c r="A60" s="127">
        <v>45114</v>
      </c>
      <c r="B60" s="128" t="s">
        <v>11</v>
      </c>
      <c r="C60" s="76" t="s">
        <v>57</v>
      </c>
      <c r="D60" s="125" t="s">
        <v>29</v>
      </c>
      <c r="E60" s="31"/>
      <c r="F60" s="70">
        <v>5000000</v>
      </c>
      <c r="G60" s="30"/>
      <c r="I60" s="69"/>
      <c r="J60" s="69"/>
    </row>
    <row r="61" spans="1:10" s="70" customFormat="1" ht="12.75" customHeight="1" x14ac:dyDescent="0.2">
      <c r="A61" s="127">
        <v>45114</v>
      </c>
      <c r="B61" s="128" t="s">
        <v>11</v>
      </c>
      <c r="C61" s="76" t="s">
        <v>954</v>
      </c>
      <c r="D61" s="125" t="s">
        <v>29</v>
      </c>
      <c r="E61" s="31"/>
      <c r="F61" s="70">
        <v>150182</v>
      </c>
      <c r="G61" s="30"/>
      <c r="I61" s="69"/>
      <c r="J61" s="69"/>
    </row>
    <row r="62" spans="1:10" s="70" customFormat="1" ht="12.75" customHeight="1" x14ac:dyDescent="0.2">
      <c r="A62" s="127">
        <v>45114</v>
      </c>
      <c r="B62" s="128" t="s">
        <v>11</v>
      </c>
      <c r="C62" s="76" t="s">
        <v>33</v>
      </c>
      <c r="D62" s="125" t="s">
        <v>29</v>
      </c>
      <c r="E62" s="31"/>
      <c r="F62" s="70">
        <v>2443595</v>
      </c>
      <c r="G62" s="30"/>
      <c r="I62" s="69"/>
      <c r="J62" s="69"/>
    </row>
    <row r="63" spans="1:10" s="70" customFormat="1" ht="12.75" customHeight="1" x14ac:dyDescent="0.2">
      <c r="A63" s="127">
        <v>45114</v>
      </c>
      <c r="B63" s="128" t="s">
        <v>11</v>
      </c>
      <c r="C63" s="76" t="s">
        <v>394</v>
      </c>
      <c r="D63" s="125" t="s">
        <v>29</v>
      </c>
      <c r="E63" s="31"/>
      <c r="F63" s="70">
        <v>6756</v>
      </c>
      <c r="G63" s="30"/>
      <c r="I63" s="69"/>
      <c r="J63" s="69"/>
    </row>
    <row r="64" spans="1:10" s="70" customFormat="1" ht="12.75" customHeight="1" x14ac:dyDescent="0.2">
      <c r="A64" s="127">
        <v>45114</v>
      </c>
      <c r="B64" s="128" t="s">
        <v>11</v>
      </c>
      <c r="C64" s="76" t="s">
        <v>32</v>
      </c>
      <c r="D64" s="125" t="s">
        <v>29</v>
      </c>
      <c r="E64" s="31"/>
      <c r="F64" s="70">
        <v>1236064</v>
      </c>
      <c r="G64" s="30"/>
      <c r="I64" s="69"/>
      <c r="J64" s="69"/>
    </row>
    <row r="65" spans="1:14" s="70" customFormat="1" ht="12.75" customHeight="1" x14ac:dyDescent="0.2">
      <c r="A65" s="127">
        <v>45114</v>
      </c>
      <c r="B65" s="128" t="s">
        <v>11</v>
      </c>
      <c r="C65" s="76" t="s">
        <v>696</v>
      </c>
      <c r="D65" s="125" t="s">
        <v>29</v>
      </c>
      <c r="E65" s="31"/>
      <c r="F65" s="70">
        <v>1413357</v>
      </c>
      <c r="G65" s="30"/>
      <c r="I65" s="69"/>
      <c r="J65" s="69"/>
    </row>
    <row r="66" spans="1:14" s="70" customFormat="1" ht="12.75" customHeight="1" x14ac:dyDescent="0.2">
      <c r="A66" s="127">
        <v>45114</v>
      </c>
      <c r="B66" s="128" t="s">
        <v>11</v>
      </c>
      <c r="C66" s="76" t="s">
        <v>301</v>
      </c>
      <c r="D66" s="125" t="s">
        <v>29</v>
      </c>
      <c r="E66" s="31"/>
      <c r="F66" s="70">
        <v>1283205</v>
      </c>
      <c r="G66" s="30"/>
      <c r="I66" s="69"/>
      <c r="J66" s="69"/>
    </row>
    <row r="67" spans="1:14" s="2" customFormat="1" ht="12.75" customHeight="1" x14ac:dyDescent="0.25">
      <c r="A67" s="32"/>
      <c r="B67" s="33"/>
      <c r="C67" s="14"/>
      <c r="D67" s="34"/>
      <c r="E67" s="16">
        <f>SUM(E31:E66)</f>
        <v>34347281.31000001</v>
      </c>
      <c r="F67" s="16">
        <f>SUM(F31:F66)</f>
        <v>297080024.27999997</v>
      </c>
      <c r="G67" s="30"/>
      <c r="H67" s="1"/>
      <c r="I67" s="39">
        <v>262732742.97</v>
      </c>
      <c r="J67" s="2" t="s">
        <v>396</v>
      </c>
      <c r="K67" s="92">
        <f>E68-I67</f>
        <v>0</v>
      </c>
      <c r="L67" s="41"/>
      <c r="M67" s="42"/>
    </row>
    <row r="68" spans="1:14" s="2" customFormat="1" ht="12.75" customHeight="1" x14ac:dyDescent="0.2">
      <c r="A68" s="36"/>
      <c r="B68" s="28" t="s">
        <v>11</v>
      </c>
      <c r="C68" s="19" t="s">
        <v>65</v>
      </c>
      <c r="D68" s="37"/>
      <c r="E68" s="38">
        <f>F67-E67</f>
        <v>262732742.96999997</v>
      </c>
      <c r="F68" s="22"/>
      <c r="G68" s="1"/>
      <c r="H68" s="1"/>
      <c r="J68" s="1"/>
      <c r="K68" s="1"/>
      <c r="L68" s="1"/>
      <c r="M68" s="1"/>
    </row>
    <row r="69" spans="1:14" s="2" customFormat="1" ht="12.75" customHeight="1" x14ac:dyDescent="0.2">
      <c r="A69" s="36"/>
      <c r="B69" s="28" t="s">
        <v>66</v>
      </c>
      <c r="C69" s="43" t="s">
        <v>67</v>
      </c>
      <c r="D69" s="43"/>
      <c r="E69" s="12">
        <v>59416310</v>
      </c>
      <c r="F69" s="22"/>
      <c r="G69" s="1"/>
      <c r="H69" s="40"/>
      <c r="I69" s="45">
        <v>1091.5899999999999</v>
      </c>
      <c r="J69" s="46"/>
      <c r="K69" s="46"/>
      <c r="L69" s="13"/>
    </row>
    <row r="70" spans="1:14" s="2" customFormat="1" ht="12.75" customHeight="1" x14ac:dyDescent="0.25">
      <c r="A70" s="36"/>
      <c r="B70" s="28"/>
      <c r="C70" s="44" t="s">
        <v>68</v>
      </c>
      <c r="D70" s="43"/>
      <c r="E70" s="7">
        <f>E68+E69</f>
        <v>322149052.96999997</v>
      </c>
      <c r="F70" s="22"/>
      <c r="G70" s="1"/>
      <c r="H70" s="103" t="s">
        <v>69</v>
      </c>
      <c r="I70" s="45">
        <v>-15.27</v>
      </c>
      <c r="J70" s="46"/>
      <c r="K70" s="46"/>
      <c r="N70" s="1"/>
    </row>
    <row r="71" spans="1:14" s="2" customFormat="1" x14ac:dyDescent="0.2">
      <c r="A71" s="24"/>
      <c r="B71" s="1"/>
      <c r="C71" s="14"/>
      <c r="D71" s="25"/>
      <c r="E71" s="1"/>
      <c r="H71" s="35" t="s">
        <v>70</v>
      </c>
      <c r="I71" s="45">
        <v>0</v>
      </c>
      <c r="J71" s="46">
        <f>+I72-D74</f>
        <v>0</v>
      </c>
      <c r="M71" s="2" t="s">
        <v>396</v>
      </c>
      <c r="N71" s="1"/>
    </row>
    <row r="72" spans="1:14" x14ac:dyDescent="0.2">
      <c r="C72" s="56"/>
      <c r="D72" s="56"/>
      <c r="E72" s="104"/>
      <c r="I72" s="49">
        <f>SUM(I69:I71)</f>
        <v>1076.32</v>
      </c>
      <c r="J72" s="46"/>
      <c r="K72" s="46"/>
      <c r="L72" s="2"/>
      <c r="M72" s="2"/>
      <c r="N72" s="2"/>
    </row>
    <row r="73" spans="1:14" x14ac:dyDescent="0.2">
      <c r="C73" s="78" t="s">
        <v>575</v>
      </c>
      <c r="D73" s="48" t="s">
        <v>576</v>
      </c>
      <c r="E73" s="104"/>
      <c r="I73" s="2"/>
      <c r="J73" s="2"/>
      <c r="K73" s="2"/>
      <c r="L73" s="2"/>
      <c r="M73" s="2"/>
      <c r="N73" s="2"/>
    </row>
    <row r="74" spans="1:14" s="2" customFormat="1" x14ac:dyDescent="0.2">
      <c r="A74" s="24"/>
      <c r="B74" s="1"/>
      <c r="C74" s="47" t="s">
        <v>570</v>
      </c>
      <c r="D74" s="111">
        <v>1076.32</v>
      </c>
      <c r="E74" s="104"/>
      <c r="G74" s="1"/>
      <c r="H74" s="110" t="s">
        <v>581</v>
      </c>
      <c r="N74" s="2" t="s">
        <v>535</v>
      </c>
    </row>
    <row r="75" spans="1:14" s="2" customFormat="1" x14ac:dyDescent="0.2">
      <c r="A75" s="24"/>
      <c r="B75" s="1"/>
      <c r="C75" s="47" t="s">
        <v>931</v>
      </c>
      <c r="D75" s="111">
        <v>78.260000000000005</v>
      </c>
      <c r="E75" s="104"/>
      <c r="G75" s="1"/>
      <c r="H75" s="110" t="s">
        <v>580</v>
      </c>
    </row>
    <row r="76" spans="1:14" s="2" customFormat="1" x14ac:dyDescent="0.2">
      <c r="A76" s="24"/>
      <c r="B76" s="1"/>
      <c r="C76" s="47" t="s">
        <v>572</v>
      </c>
      <c r="D76" s="111">
        <f>+D109/100000</f>
        <v>209.32512920000002</v>
      </c>
      <c r="E76" s="104"/>
      <c r="G76" s="1"/>
      <c r="H76" s="90" t="s">
        <v>587</v>
      </c>
    </row>
    <row r="77" spans="1:14" s="2" customFormat="1" x14ac:dyDescent="0.2">
      <c r="A77" s="24"/>
      <c r="B77" s="1"/>
      <c r="C77" s="108" t="s">
        <v>578</v>
      </c>
      <c r="D77" s="48">
        <f>SUM(D74:D76)</f>
        <v>1363.9051291999999</v>
      </c>
      <c r="E77" s="104"/>
      <c r="G77" s="1"/>
    </row>
    <row r="78" spans="1:14" s="2" customFormat="1" x14ac:dyDescent="0.2">
      <c r="A78" s="24"/>
      <c r="B78" s="1"/>
      <c r="C78" s="47"/>
      <c r="D78" s="107"/>
      <c r="E78" s="104"/>
      <c r="G78" s="1"/>
    </row>
    <row r="79" spans="1:14" s="2" customFormat="1" x14ac:dyDescent="0.2">
      <c r="A79" s="24"/>
      <c r="B79" s="1"/>
      <c r="C79" s="47" t="s">
        <v>932</v>
      </c>
      <c r="D79" s="111">
        <v>40.520000000000003</v>
      </c>
      <c r="E79" s="104"/>
      <c r="G79" s="1"/>
      <c r="H79" s="110" t="s">
        <v>581</v>
      </c>
    </row>
    <row r="80" spans="1:14" s="2" customFormat="1" x14ac:dyDescent="0.2">
      <c r="A80" s="24"/>
      <c r="B80" s="1"/>
      <c r="C80" s="136" t="s">
        <v>1142</v>
      </c>
      <c r="D80" s="111">
        <f>136-34.53</f>
        <v>101.47</v>
      </c>
      <c r="E80" s="104"/>
      <c r="G80" s="1"/>
      <c r="H80" s="110" t="s">
        <v>581</v>
      </c>
      <c r="J80" s="114" t="s">
        <v>713</v>
      </c>
    </row>
    <row r="81" spans="1:13" s="2" customFormat="1" x14ac:dyDescent="0.2">
      <c r="A81" s="24"/>
      <c r="B81" s="1"/>
      <c r="C81" s="78" t="s">
        <v>579</v>
      </c>
      <c r="D81" s="109">
        <f>D79+D80</f>
        <v>141.99</v>
      </c>
      <c r="E81" s="104"/>
      <c r="G81" s="1"/>
      <c r="I81" s="113"/>
      <c r="J81" s="113" t="s">
        <v>709</v>
      </c>
      <c r="K81" s="113" t="s">
        <v>710</v>
      </c>
      <c r="L81" s="113" t="s">
        <v>711</v>
      </c>
      <c r="M81" s="113" t="s">
        <v>712</v>
      </c>
    </row>
    <row r="82" spans="1:13" s="2" customFormat="1" x14ac:dyDescent="0.2">
      <c r="A82" s="24"/>
      <c r="B82" s="1"/>
      <c r="C82" s="105"/>
      <c r="D82" s="106"/>
      <c r="E82" s="104"/>
      <c r="G82" s="1"/>
      <c r="I82" s="113" t="s">
        <v>706</v>
      </c>
      <c r="J82" s="115"/>
      <c r="K82" s="115">
        <v>968.99</v>
      </c>
      <c r="L82" s="115">
        <v>968.99</v>
      </c>
      <c r="M82" s="113">
        <f>+J82+L82-K82</f>
        <v>0</v>
      </c>
    </row>
    <row r="83" spans="1:13" s="2" customFormat="1" x14ac:dyDescent="0.2">
      <c r="A83" s="24"/>
      <c r="B83" s="1"/>
      <c r="C83" s="78" t="s">
        <v>577</v>
      </c>
      <c r="D83" s="109">
        <f>D74+D81</f>
        <v>1218.31</v>
      </c>
      <c r="E83" s="104"/>
      <c r="G83" s="1"/>
      <c r="I83" s="113" t="s">
        <v>707</v>
      </c>
      <c r="J83" s="115">
        <v>183.1</v>
      </c>
      <c r="K83" s="115">
        <v>2564.52</v>
      </c>
      <c r="L83" s="115">
        <v>3277.49</v>
      </c>
      <c r="M83" s="113">
        <f>+J83+L83-K83</f>
        <v>896.06999999999971</v>
      </c>
    </row>
    <row r="84" spans="1:13" s="2" customFormat="1" x14ac:dyDescent="0.2">
      <c r="A84" s="24"/>
      <c r="B84" s="1"/>
      <c r="C84" s="56"/>
      <c r="D84" s="56"/>
      <c r="E84" s="104"/>
      <c r="G84" s="1"/>
      <c r="I84" s="113" t="s">
        <v>708</v>
      </c>
      <c r="J84" s="115">
        <v>1371.02</v>
      </c>
      <c r="K84" s="115">
        <v>12559.96</v>
      </c>
      <c r="L84" s="115">
        <v>12540.22</v>
      </c>
      <c r="M84" s="113">
        <f>+J84+L84-K84</f>
        <v>1351.2800000000007</v>
      </c>
    </row>
    <row r="85" spans="1:13" s="2" customFormat="1" ht="38.25" x14ac:dyDescent="0.2">
      <c r="A85" s="24"/>
      <c r="B85" s="1"/>
      <c r="C85" s="79" t="str">
        <f>"Particulars ( 01-04-2021 to "&amp;TEXT(A5,"dd-mm-yyyy")&amp;" )"</f>
        <v>Particulars ( 01-04-2021 to 07-07-2023 )</v>
      </c>
      <c r="D85" s="80" t="s">
        <v>73</v>
      </c>
      <c r="E85" s="80" t="s">
        <v>74</v>
      </c>
      <c r="F85" s="81" t="s">
        <v>75</v>
      </c>
      <c r="G85" s="80" t="s">
        <v>76</v>
      </c>
      <c r="J85" s="118">
        <f>SUM(J82:J84)</f>
        <v>1554.12</v>
      </c>
      <c r="K85" s="118">
        <f>SUM(K82:K84)</f>
        <v>16093.47</v>
      </c>
      <c r="L85" s="118">
        <f>SUM(L82:L84)</f>
        <v>16786.699999999997</v>
      </c>
      <c r="M85" s="118">
        <f>SUM(M82:M84)</f>
        <v>2247.3500000000004</v>
      </c>
    </row>
    <row r="86" spans="1:13" s="2" customFormat="1" x14ac:dyDescent="0.2">
      <c r="A86" s="24"/>
      <c r="B86" s="1"/>
      <c r="C86" s="50" t="s">
        <v>444</v>
      </c>
      <c r="D86" s="55">
        <f>+L82+L83+J83</f>
        <v>4429.58</v>
      </c>
      <c r="E86" s="55">
        <f>+K82+K83</f>
        <v>3533.51</v>
      </c>
      <c r="F86" s="55">
        <f>+D86-E86</f>
        <v>896.06999999999971</v>
      </c>
      <c r="G86" s="55">
        <f>1500-F86</f>
        <v>603.93000000000029</v>
      </c>
      <c r="H86" s="2" t="s">
        <v>396</v>
      </c>
    </row>
    <row r="87" spans="1:13" s="2" customFormat="1" x14ac:dyDescent="0.2">
      <c r="A87" s="24"/>
      <c r="B87" s="1"/>
      <c r="C87" s="50" t="s">
        <v>71</v>
      </c>
      <c r="D87" s="55">
        <f>+J84+L84</f>
        <v>13911.24</v>
      </c>
      <c r="E87" s="55">
        <f>+K84</f>
        <v>12559.96</v>
      </c>
      <c r="F87" s="55">
        <f>+D87-E87</f>
        <v>1351.2800000000007</v>
      </c>
      <c r="G87" s="55">
        <f>1500+700-F87</f>
        <v>848.71999999999935</v>
      </c>
      <c r="H87" s="2" t="s">
        <v>396</v>
      </c>
    </row>
    <row r="88" spans="1:13" s="2" customFormat="1" x14ac:dyDescent="0.2">
      <c r="A88" s="24"/>
      <c r="B88" s="1"/>
      <c r="C88" s="14"/>
      <c r="D88" s="56"/>
      <c r="E88" s="13"/>
      <c r="G88" s="1"/>
    </row>
    <row r="89" spans="1:13" s="2" customFormat="1" x14ac:dyDescent="0.2">
      <c r="A89" s="215" t="s">
        <v>80</v>
      </c>
      <c r="B89" s="216"/>
      <c r="C89" s="216"/>
      <c r="D89" s="217"/>
      <c r="E89" s="69"/>
      <c r="F89" s="70"/>
      <c r="G89" s="1"/>
      <c r="H89" s="53"/>
    </row>
    <row r="90" spans="1:13" s="2" customFormat="1" x14ac:dyDescent="0.2">
      <c r="A90" s="71" t="s">
        <v>81</v>
      </c>
      <c r="B90" s="71"/>
      <c r="C90" s="72" t="s">
        <v>82</v>
      </c>
      <c r="D90" s="73" t="s">
        <v>83</v>
      </c>
      <c r="E90" s="69"/>
      <c r="F90" s="70"/>
      <c r="H90" s="53"/>
    </row>
    <row r="91" spans="1:13" s="2" customFormat="1" x14ac:dyDescent="0.2">
      <c r="A91" s="87">
        <v>45108</v>
      </c>
      <c r="B91" s="120" t="s">
        <v>1052</v>
      </c>
      <c r="C91" s="75" t="s">
        <v>84</v>
      </c>
      <c r="D91" s="88">
        <v>3000000</v>
      </c>
      <c r="G91" s="1"/>
      <c r="L91" s="1"/>
      <c r="M91" s="1"/>
    </row>
    <row r="92" spans="1:13" s="2" customFormat="1" x14ac:dyDescent="0.2">
      <c r="A92" s="87">
        <v>45108</v>
      </c>
      <c r="B92" s="120" t="s">
        <v>1052</v>
      </c>
      <c r="C92" s="75" t="s">
        <v>271</v>
      </c>
      <c r="D92" s="88">
        <v>2323148</v>
      </c>
      <c r="G92" s="1"/>
      <c r="L92" s="1"/>
      <c r="M92" s="1"/>
    </row>
    <row r="93" spans="1:13" s="2" customFormat="1" x14ac:dyDescent="0.2">
      <c r="A93" s="87">
        <v>45110</v>
      </c>
      <c r="B93" s="120" t="s">
        <v>1052</v>
      </c>
      <c r="C93" s="75" t="s">
        <v>85</v>
      </c>
      <c r="D93" s="88">
        <v>732575</v>
      </c>
      <c r="G93" s="1"/>
      <c r="L93" s="1"/>
      <c r="M93" s="1"/>
    </row>
    <row r="94" spans="1:13" s="2" customFormat="1" x14ac:dyDescent="0.2">
      <c r="A94" s="87">
        <v>45110</v>
      </c>
      <c r="B94" s="120" t="s">
        <v>1052</v>
      </c>
      <c r="C94" s="75" t="s">
        <v>86</v>
      </c>
      <c r="D94" s="88">
        <v>2676974</v>
      </c>
      <c r="G94" s="1"/>
      <c r="L94" s="1"/>
      <c r="M94" s="1"/>
    </row>
    <row r="95" spans="1:13" s="2" customFormat="1" x14ac:dyDescent="0.2">
      <c r="A95" s="87">
        <v>45110</v>
      </c>
      <c r="B95" s="120" t="s">
        <v>1052</v>
      </c>
      <c r="C95" s="75" t="s">
        <v>86</v>
      </c>
      <c r="D95" s="88">
        <v>1043475</v>
      </c>
      <c r="G95" s="1"/>
      <c r="L95" s="1"/>
      <c r="M95" s="1"/>
    </row>
    <row r="96" spans="1:13" s="2" customFormat="1" x14ac:dyDescent="0.2">
      <c r="A96" s="87">
        <v>45111</v>
      </c>
      <c r="B96" s="120" t="s">
        <v>1052</v>
      </c>
      <c r="C96" s="75" t="s">
        <v>270</v>
      </c>
      <c r="D96" s="88">
        <v>106093</v>
      </c>
      <c r="G96" s="1"/>
      <c r="L96" s="1"/>
      <c r="M96" s="1"/>
    </row>
    <row r="97" spans="1:13" s="2" customFormat="1" x14ac:dyDescent="0.2">
      <c r="A97" s="87">
        <v>45111</v>
      </c>
      <c r="B97" s="120" t="s">
        <v>1052</v>
      </c>
      <c r="C97" s="75" t="s">
        <v>270</v>
      </c>
      <c r="D97" s="88">
        <v>102393</v>
      </c>
      <c r="G97" s="1"/>
      <c r="L97" s="1"/>
      <c r="M97" s="1"/>
    </row>
    <row r="98" spans="1:13" s="2" customFormat="1" x14ac:dyDescent="0.2">
      <c r="A98" s="87">
        <v>45111</v>
      </c>
      <c r="B98" s="120" t="s">
        <v>1052</v>
      </c>
      <c r="C98" s="75" t="s">
        <v>270</v>
      </c>
      <c r="D98" s="88">
        <v>716336</v>
      </c>
      <c r="G98" s="1"/>
      <c r="L98" s="1"/>
      <c r="M98" s="1"/>
    </row>
    <row r="99" spans="1:13" s="2" customFormat="1" x14ac:dyDescent="0.2">
      <c r="A99" s="87">
        <v>45111</v>
      </c>
      <c r="B99" s="120" t="s">
        <v>1052</v>
      </c>
      <c r="C99" s="75" t="s">
        <v>270</v>
      </c>
      <c r="D99" s="88">
        <v>2504631</v>
      </c>
      <c r="G99" s="1"/>
      <c r="L99" s="1"/>
      <c r="M99" s="1"/>
    </row>
    <row r="100" spans="1:13" s="2" customFormat="1" x14ac:dyDescent="0.2">
      <c r="A100" s="87">
        <v>45111</v>
      </c>
      <c r="B100" s="120" t="s">
        <v>1052</v>
      </c>
      <c r="C100" s="75" t="s">
        <v>270</v>
      </c>
      <c r="D100" s="88">
        <v>141433.92000000001</v>
      </c>
      <c r="G100" s="1"/>
      <c r="L100" s="1"/>
      <c r="M100" s="1"/>
    </row>
    <row r="101" spans="1:13" s="2" customFormat="1" x14ac:dyDescent="0.2">
      <c r="A101" s="87">
        <v>45111</v>
      </c>
      <c r="B101" s="120" t="s">
        <v>1052</v>
      </c>
      <c r="C101" s="75" t="s">
        <v>271</v>
      </c>
      <c r="D101" s="88">
        <v>485258</v>
      </c>
      <c r="G101" s="1"/>
      <c r="L101" s="1"/>
      <c r="M101" s="1"/>
    </row>
    <row r="102" spans="1:13" s="2" customFormat="1" x14ac:dyDescent="0.2">
      <c r="A102" s="87">
        <v>45112</v>
      </c>
      <c r="B102" s="120" t="s">
        <v>1052</v>
      </c>
      <c r="C102" s="75" t="s">
        <v>85</v>
      </c>
      <c r="D102" s="88">
        <v>216478</v>
      </c>
      <c r="G102" s="1"/>
      <c r="L102" s="1"/>
      <c r="M102" s="1"/>
    </row>
    <row r="103" spans="1:13" s="2" customFormat="1" x14ac:dyDescent="0.2">
      <c r="A103" s="87">
        <v>45114</v>
      </c>
      <c r="B103" s="120" t="s">
        <v>1052</v>
      </c>
      <c r="C103" s="75" t="s">
        <v>270</v>
      </c>
      <c r="D103" s="88">
        <v>886333</v>
      </c>
      <c r="G103" s="1"/>
      <c r="L103" s="1"/>
      <c r="M103" s="1"/>
    </row>
    <row r="104" spans="1:13" s="2" customFormat="1" x14ac:dyDescent="0.2">
      <c r="A104" s="87">
        <v>45114</v>
      </c>
      <c r="B104" s="120" t="s">
        <v>1052</v>
      </c>
      <c r="C104" s="75" t="s">
        <v>270</v>
      </c>
      <c r="D104" s="88">
        <v>3119806</v>
      </c>
      <c r="G104" s="1"/>
      <c r="L104" s="1"/>
      <c r="M104" s="1"/>
    </row>
    <row r="105" spans="1:13" s="2" customFormat="1" x14ac:dyDescent="0.2">
      <c r="A105" s="87">
        <v>45114</v>
      </c>
      <c r="B105" s="120" t="s">
        <v>1052</v>
      </c>
      <c r="C105" s="75" t="s">
        <v>271</v>
      </c>
      <c r="D105" s="88">
        <v>151160</v>
      </c>
      <c r="G105" s="1"/>
      <c r="L105" s="1"/>
      <c r="M105" s="1"/>
    </row>
    <row r="106" spans="1:13" s="2" customFormat="1" x14ac:dyDescent="0.2">
      <c r="A106" s="87">
        <v>45114</v>
      </c>
      <c r="B106" s="120" t="s">
        <v>1052</v>
      </c>
      <c r="C106" s="75" t="s">
        <v>271</v>
      </c>
      <c r="D106" s="88">
        <v>285195</v>
      </c>
      <c r="G106" s="1"/>
      <c r="L106" s="1"/>
      <c r="M106" s="1"/>
    </row>
    <row r="107" spans="1:13" s="2" customFormat="1" x14ac:dyDescent="0.2">
      <c r="A107" s="87">
        <v>45114</v>
      </c>
      <c r="B107" s="120" t="s">
        <v>1052</v>
      </c>
      <c r="C107" s="75" t="s">
        <v>201</v>
      </c>
      <c r="D107" s="88">
        <v>128135</v>
      </c>
      <c r="G107" s="1"/>
      <c r="L107" s="1"/>
      <c r="M107" s="1"/>
    </row>
    <row r="108" spans="1:13" s="2" customFormat="1" x14ac:dyDescent="0.2">
      <c r="A108" s="87">
        <v>45114</v>
      </c>
      <c r="B108" s="120" t="s">
        <v>1052</v>
      </c>
      <c r="C108" s="75" t="s">
        <v>323</v>
      </c>
      <c r="D108" s="88">
        <v>2313089</v>
      </c>
      <c r="G108" s="1"/>
      <c r="L108" s="1"/>
      <c r="M108" s="1"/>
    </row>
    <row r="109" spans="1:13" s="2" customFormat="1" x14ac:dyDescent="0.2">
      <c r="A109" s="87"/>
      <c r="B109" s="74"/>
      <c r="C109" s="75"/>
      <c r="D109" s="51">
        <f>SUM(D91:D108)</f>
        <v>20932512.920000002</v>
      </c>
      <c r="F109" s="2" t="s">
        <v>396</v>
      </c>
      <c r="G109" s="1"/>
      <c r="L109" s="1"/>
      <c r="M109" s="1"/>
    </row>
    <row r="110" spans="1:13" s="2" customFormat="1" x14ac:dyDescent="0.2">
      <c r="A110" s="24"/>
      <c r="B110" s="1"/>
      <c r="C110" s="14"/>
      <c r="D110" s="56"/>
      <c r="E110" s="13"/>
      <c r="G110" s="1"/>
      <c r="L110" s="1"/>
      <c r="M110" s="1"/>
    </row>
    <row r="111" spans="1:13" s="2" customFormat="1" x14ac:dyDescent="0.2">
      <c r="A111" s="24"/>
      <c r="B111" s="1"/>
      <c r="C111" s="218" t="s">
        <v>77</v>
      </c>
      <c r="D111" s="219"/>
      <c r="E111" s="219"/>
      <c r="F111" s="220"/>
      <c r="G111" s="1"/>
      <c r="L111" s="1"/>
      <c r="M111" s="1"/>
    </row>
    <row r="112" spans="1:13" s="2" customFormat="1" x14ac:dyDescent="0.2">
      <c r="A112" s="24"/>
      <c r="B112" s="1"/>
      <c r="C112" s="50"/>
      <c r="D112" s="57" t="s">
        <v>78</v>
      </c>
      <c r="E112" s="58" t="s">
        <v>79</v>
      </c>
      <c r="F112" s="57" t="s">
        <v>72</v>
      </c>
      <c r="G112" s="1"/>
      <c r="I112" s="1"/>
      <c r="J112" s="1"/>
      <c r="K112" s="1"/>
      <c r="L112" s="1"/>
      <c r="M112" s="1"/>
    </row>
    <row r="113" spans="1:13" s="2" customFormat="1" x14ac:dyDescent="0.2">
      <c r="A113" s="24"/>
      <c r="B113" s="1"/>
      <c r="C113" s="59" t="str">
        <f>"01-07-2023 to "&amp;TEXT(A5-2,"dd-mm-yyyy")</f>
        <v>01-07-2023 to 05-07-2023</v>
      </c>
      <c r="D113" s="60">
        <v>1213.22</v>
      </c>
      <c r="E113" s="60">
        <v>43.29</v>
      </c>
      <c r="F113" s="61">
        <f>SUM(D113:E113)</f>
        <v>1256.51</v>
      </c>
      <c r="G113" s="1"/>
    </row>
    <row r="114" spans="1:13" s="2" customFormat="1" x14ac:dyDescent="0.2">
      <c r="A114" s="24"/>
      <c r="B114" s="1"/>
      <c r="C114" s="62" t="str">
        <f>TEXT(A5-1,"dd-mm-yyyy")</f>
        <v>06-07-2023</v>
      </c>
      <c r="D114" s="60">
        <v>238.49</v>
      </c>
      <c r="E114" s="60">
        <v>9.4</v>
      </c>
      <c r="F114" s="61">
        <f>SUM(D114:E114)</f>
        <v>247.89000000000001</v>
      </c>
      <c r="G114" s="54"/>
      <c r="I114" s="1"/>
      <c r="J114" s="1"/>
      <c r="K114" s="1"/>
      <c r="L114" s="1"/>
      <c r="M114" s="1"/>
    </row>
    <row r="115" spans="1:13" s="2" customFormat="1" ht="13.5" thickBot="1" x14ac:dyDescent="0.25">
      <c r="A115" s="24"/>
      <c r="B115" s="1"/>
      <c r="C115" s="63" t="str">
        <f>"01-07-2023 to "&amp;TEXT(A5-1,"dd-mm-yyyy")</f>
        <v>01-07-2023 to 06-07-2023</v>
      </c>
      <c r="D115" s="64">
        <f>SUM(D113:D114)</f>
        <v>1451.71</v>
      </c>
      <c r="E115" s="64">
        <f>SUM(E113:E114)</f>
        <v>52.69</v>
      </c>
      <c r="F115" s="64">
        <f>SUM(F113:F114)</f>
        <v>1504.4</v>
      </c>
      <c r="G115" s="54"/>
      <c r="I115" s="1"/>
      <c r="J115" s="1"/>
      <c r="K115" s="1"/>
      <c r="L115" s="1"/>
      <c r="M115" s="1"/>
    </row>
    <row r="116" spans="1:13" s="2" customFormat="1" ht="13.5" thickTop="1" x14ac:dyDescent="0.2">
      <c r="A116" s="24"/>
      <c r="B116" s="1"/>
      <c r="C116" s="62"/>
      <c r="D116" s="65"/>
      <c r="E116" s="66"/>
      <c r="F116" s="67"/>
      <c r="G116" s="54"/>
      <c r="I116" s="1"/>
      <c r="J116" s="1"/>
      <c r="K116" s="1"/>
      <c r="L116" s="1"/>
      <c r="M116" s="1"/>
    </row>
    <row r="117" spans="1:13" s="2" customFormat="1" x14ac:dyDescent="0.2">
      <c r="A117" s="24"/>
      <c r="B117" s="1"/>
      <c r="C117" s="62" t="str">
        <f>"01-04-2023 to " &amp;C114</f>
        <v>01-04-2023 to 06-07-2023</v>
      </c>
      <c r="D117" s="68">
        <f>+D115+15483.67</f>
        <v>16935.38</v>
      </c>
      <c r="E117" s="68">
        <f>+E115+1115.53</f>
        <v>1168.22</v>
      </c>
      <c r="F117" s="68">
        <f>+F115+16599.19</f>
        <v>18103.59</v>
      </c>
      <c r="G117" s="54"/>
      <c r="I117" s="1"/>
      <c r="J117" s="1"/>
      <c r="K117" s="1"/>
      <c r="L117" s="1"/>
      <c r="M117" s="1"/>
    </row>
    <row r="118" spans="1:13" x14ac:dyDescent="0.2">
      <c r="C118" s="52"/>
      <c r="D118" s="85"/>
      <c r="E118" s="53"/>
      <c r="F118" s="53"/>
      <c r="G118" s="54"/>
      <c r="H118" s="2" t="s">
        <v>396</v>
      </c>
    </row>
    <row r="119" spans="1:13" s="2" customFormat="1" x14ac:dyDescent="0.2">
      <c r="A119" s="24"/>
      <c r="B119" s="1"/>
      <c r="C119" s="52"/>
      <c r="D119" s="85"/>
      <c r="E119" s="53"/>
      <c r="F119" s="53"/>
      <c r="G119" s="54"/>
      <c r="H119" s="53"/>
    </row>
    <row r="120" spans="1:13" x14ac:dyDescent="0.2">
      <c r="C120" s="52"/>
      <c r="D120" s="85"/>
      <c r="E120" s="53"/>
      <c r="F120" s="53"/>
      <c r="G120" s="54"/>
      <c r="H120" s="53" t="s">
        <v>396</v>
      </c>
    </row>
    <row r="121" spans="1:13" x14ac:dyDescent="0.2">
      <c r="C121" s="52"/>
      <c r="D121" s="85"/>
      <c r="E121" s="53"/>
      <c r="F121" s="53"/>
      <c r="G121" s="54"/>
      <c r="H121" s="53" t="s">
        <v>396</v>
      </c>
      <c r="J121" s="42"/>
    </row>
    <row r="122" spans="1:13" x14ac:dyDescent="0.2">
      <c r="G122" s="54"/>
      <c r="H122" s="53"/>
      <c r="I122" s="101"/>
    </row>
    <row r="123" spans="1:13" x14ac:dyDescent="0.2">
      <c r="G123" s="54"/>
      <c r="H123" s="53"/>
    </row>
    <row r="124" spans="1:13" x14ac:dyDescent="0.2">
      <c r="G124" s="54"/>
      <c r="H124" s="53"/>
    </row>
    <row r="125" spans="1:13" x14ac:dyDescent="0.2">
      <c r="H125" s="53"/>
    </row>
  </sheetData>
  <mergeCells count="6">
    <mergeCell ref="C111:F111"/>
    <mergeCell ref="A1:G1"/>
    <mergeCell ref="A3:F3"/>
    <mergeCell ref="A10:F10"/>
    <mergeCell ref="A29:F29"/>
    <mergeCell ref="A89:D89"/>
  </mergeCells>
  <conditionalFormatting sqref="G86:G87">
    <cfRule type="cellIs" dxfId="429" priority="1" operator="lessThan">
      <formula>0</formula>
    </cfRule>
  </conditionalFormatting>
  <conditionalFormatting sqref="C31">
    <cfRule type="duplicateValues" dxfId="428" priority="2"/>
  </conditionalFormatting>
  <conditionalFormatting sqref="C55:C66">
    <cfRule type="duplicateValues" dxfId="427" priority="589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sheetPr codeName="Sheet373">
    <pageSetUpPr fitToPage="1"/>
  </sheetPr>
  <dimension ref="A1:N115"/>
  <sheetViews>
    <sheetView topLeftCell="A2" zoomScaleNormal="100" workbookViewId="0">
      <selection activeCell="C13" sqref="C13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1177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45115</v>
      </c>
      <c r="B5" s="9" t="s">
        <v>6</v>
      </c>
      <c r="C5" s="10" t="s">
        <v>7</v>
      </c>
      <c r="D5" s="11"/>
      <c r="E5" s="12">
        <v>372249.70000000019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372249.70000000019</v>
      </c>
      <c r="F6" s="16">
        <f>F5</f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+E6-F6</f>
        <v>372249.70000000019</v>
      </c>
      <c r="F7" s="22"/>
      <c r="G7" s="23"/>
      <c r="H7" s="112"/>
      <c r="I7" s="112"/>
      <c r="J7" s="13"/>
    </row>
    <row r="8" spans="1:10" ht="12.75" customHeight="1" x14ac:dyDescent="0.4">
      <c r="H8" s="112"/>
      <c r="I8" s="112"/>
    </row>
    <row r="9" spans="1:10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12"/>
    </row>
    <row r="10" spans="1:10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12"/>
    </row>
    <row r="11" spans="1:10" s="2" customFormat="1" ht="14.25" customHeight="1" x14ac:dyDescent="0.2">
      <c r="A11" s="127">
        <v>45115</v>
      </c>
      <c r="B11" s="9" t="s">
        <v>6</v>
      </c>
      <c r="C11" s="10" t="s">
        <v>7</v>
      </c>
      <c r="D11" s="11"/>
      <c r="F11" s="12">
        <v>27513778.520000003</v>
      </c>
      <c r="G11" s="1"/>
      <c r="H11" s="130" t="s">
        <v>396</v>
      </c>
      <c r="I11" s="130"/>
    </row>
    <row r="12" spans="1:10" s="2" customFormat="1" ht="14.25" customHeight="1" x14ac:dyDescent="0.2">
      <c r="A12" s="127">
        <v>45115</v>
      </c>
      <c r="B12" s="9" t="s">
        <v>6</v>
      </c>
      <c r="C12" s="76" t="s">
        <v>158</v>
      </c>
      <c r="D12" s="135" t="s">
        <v>13</v>
      </c>
      <c r="E12" s="2">
        <v>91718</v>
      </c>
      <c r="F12" s="31"/>
      <c r="G12" s="1"/>
      <c r="H12" s="130"/>
      <c r="I12" s="130"/>
    </row>
    <row r="13" spans="1:10" s="2" customFormat="1" ht="14.25" customHeight="1" x14ac:dyDescent="0.2">
      <c r="A13" s="127">
        <v>45115</v>
      </c>
      <c r="B13" s="9" t="s">
        <v>6</v>
      </c>
      <c r="C13" s="76" t="s">
        <v>1137</v>
      </c>
      <c r="D13" s="125" t="s">
        <v>13</v>
      </c>
      <c r="E13" s="2">
        <v>9348715.8699999992</v>
      </c>
      <c r="F13" s="12"/>
      <c r="G13" s="1"/>
      <c r="H13" s="130"/>
      <c r="I13" s="130"/>
    </row>
    <row r="14" spans="1:10" s="2" customFormat="1" ht="14.25" customHeight="1" x14ac:dyDescent="0.2">
      <c r="A14" s="127">
        <v>45115</v>
      </c>
      <c r="B14" s="9" t="s">
        <v>6</v>
      </c>
      <c r="C14" s="76" t="s">
        <v>1137</v>
      </c>
      <c r="D14" s="135" t="s">
        <v>13</v>
      </c>
      <c r="E14" s="2">
        <v>5285.96</v>
      </c>
      <c r="F14" s="31"/>
      <c r="G14" s="1"/>
      <c r="H14" s="130"/>
      <c r="I14" s="130"/>
    </row>
    <row r="15" spans="1:10" s="2" customFormat="1" ht="14.25" customHeight="1" x14ac:dyDescent="0.2">
      <c r="A15" s="127">
        <v>45115</v>
      </c>
      <c r="B15" s="9" t="s">
        <v>11</v>
      </c>
      <c r="C15" s="76" t="s">
        <v>1137</v>
      </c>
      <c r="D15" s="135" t="s">
        <v>29</v>
      </c>
      <c r="F15" s="31">
        <v>237172.71</v>
      </c>
      <c r="G15" s="1"/>
      <c r="H15" s="130"/>
      <c r="I15" s="130"/>
    </row>
    <row r="16" spans="1:10" s="2" customFormat="1" ht="14.25" customHeight="1" x14ac:dyDescent="0.2">
      <c r="A16" s="127">
        <v>45115</v>
      </c>
      <c r="B16" s="9" t="s">
        <v>11</v>
      </c>
      <c r="C16" s="76" t="s">
        <v>1111</v>
      </c>
      <c r="D16" s="135" t="s">
        <v>29</v>
      </c>
      <c r="F16" s="31">
        <v>59180</v>
      </c>
      <c r="G16" s="1"/>
      <c r="H16" s="130"/>
      <c r="I16" s="130"/>
    </row>
    <row r="17" spans="1:10" s="2" customFormat="1" ht="14.25" customHeight="1" x14ac:dyDescent="0.2">
      <c r="A17" s="127">
        <v>45115</v>
      </c>
      <c r="B17" s="9" t="s">
        <v>11</v>
      </c>
      <c r="C17" s="76" t="s">
        <v>222</v>
      </c>
      <c r="D17" s="135" t="s">
        <v>29</v>
      </c>
      <c r="F17" s="31">
        <v>1000</v>
      </c>
      <c r="G17" s="1"/>
      <c r="H17" s="130"/>
      <c r="I17" s="130"/>
    </row>
    <row r="18" spans="1:10" s="2" customFormat="1" ht="14.25" customHeight="1" x14ac:dyDescent="0.2">
      <c r="A18" s="127">
        <v>45115</v>
      </c>
      <c r="B18" s="9" t="s">
        <v>11</v>
      </c>
      <c r="C18" s="76" t="s">
        <v>482</v>
      </c>
      <c r="D18" s="135" t="s">
        <v>29</v>
      </c>
      <c r="F18" s="31">
        <v>73458</v>
      </c>
      <c r="G18" s="1"/>
      <c r="H18" s="130"/>
      <c r="I18" s="130"/>
    </row>
    <row r="19" spans="1:10" s="2" customFormat="1" ht="14.25" customHeight="1" x14ac:dyDescent="0.2">
      <c r="A19" s="127">
        <v>45115</v>
      </c>
      <c r="B19" s="9" t="s">
        <v>11</v>
      </c>
      <c r="C19" s="76" t="s">
        <v>1146</v>
      </c>
      <c r="D19" s="135" t="s">
        <v>29</v>
      </c>
      <c r="F19" s="31">
        <v>538560</v>
      </c>
      <c r="G19" s="1"/>
      <c r="H19" s="130"/>
      <c r="I19" s="130"/>
    </row>
    <row r="20" spans="1:10" s="2" customFormat="1" ht="14.25" customHeight="1" x14ac:dyDescent="0.2">
      <c r="A20" s="127">
        <v>45115</v>
      </c>
      <c r="B20" s="9" t="s">
        <v>11</v>
      </c>
      <c r="C20" s="76" t="s">
        <v>57</v>
      </c>
      <c r="D20" s="135" t="s">
        <v>29</v>
      </c>
      <c r="F20" s="31">
        <v>9000000</v>
      </c>
      <c r="G20" s="1"/>
      <c r="H20" s="130"/>
      <c r="I20" s="130"/>
    </row>
    <row r="21" spans="1:10" s="2" customFormat="1" ht="14.25" customHeight="1" x14ac:dyDescent="0.2">
      <c r="A21" s="127">
        <v>45115</v>
      </c>
      <c r="B21" s="9" t="s">
        <v>11</v>
      </c>
      <c r="C21" s="76" t="s">
        <v>584</v>
      </c>
      <c r="D21" s="135" t="s">
        <v>29</v>
      </c>
      <c r="F21" s="31">
        <v>8149</v>
      </c>
      <c r="G21" s="1"/>
      <c r="H21" s="130"/>
      <c r="I21" s="130"/>
    </row>
    <row r="22" spans="1:10" s="2" customFormat="1" ht="14.25" customHeight="1" x14ac:dyDescent="0.2">
      <c r="A22" s="127">
        <v>45115</v>
      </c>
      <c r="B22" s="9" t="s">
        <v>11</v>
      </c>
      <c r="C22" s="76" t="s">
        <v>52</v>
      </c>
      <c r="D22" s="135" t="s">
        <v>29</v>
      </c>
      <c r="F22" s="31">
        <v>59050</v>
      </c>
      <c r="G22" s="1"/>
      <c r="H22" s="130"/>
      <c r="I22" s="130"/>
    </row>
    <row r="23" spans="1:10" s="2" customFormat="1" ht="14.25" customHeight="1" x14ac:dyDescent="0.2">
      <c r="A23" s="127">
        <v>45115</v>
      </c>
      <c r="B23" s="9" t="s">
        <v>11</v>
      </c>
      <c r="C23" s="76" t="s">
        <v>704</v>
      </c>
      <c r="D23" s="135" t="s">
        <v>29</v>
      </c>
      <c r="F23" s="31">
        <v>1000</v>
      </c>
      <c r="G23" s="1"/>
      <c r="H23" s="130"/>
      <c r="I23" s="130"/>
    </row>
    <row r="24" spans="1:10" s="2" customFormat="1" ht="14.25" customHeight="1" x14ac:dyDescent="0.2">
      <c r="A24" s="127">
        <v>45115</v>
      </c>
      <c r="B24" s="9" t="s">
        <v>11</v>
      </c>
      <c r="C24" s="76" t="s">
        <v>610</v>
      </c>
      <c r="D24" s="135" t="s">
        <v>29</v>
      </c>
      <c r="F24" s="31">
        <v>12673</v>
      </c>
      <c r="G24" s="1"/>
      <c r="H24" s="130"/>
      <c r="I24" s="130"/>
    </row>
    <row r="25" spans="1:10" s="2" customFormat="1" ht="12.75" customHeight="1" x14ac:dyDescent="0.4">
      <c r="D25" s="15" t="s">
        <v>8</v>
      </c>
      <c r="E25" s="16">
        <f>SUM(E12:E24)</f>
        <v>9445719.8300000001</v>
      </c>
      <c r="F25" s="16">
        <f>SUM(F11:F24)</f>
        <v>37504021.230000004</v>
      </c>
      <c r="G25" s="1"/>
      <c r="H25" s="112"/>
      <c r="I25" s="112"/>
    </row>
    <row r="26" spans="1:10" s="2" customFormat="1" ht="12.75" customHeight="1" x14ac:dyDescent="0.4">
      <c r="A26" s="17"/>
      <c r="B26" s="18"/>
      <c r="C26" s="96" t="s">
        <v>9</v>
      </c>
      <c r="D26" s="20"/>
      <c r="E26" s="21">
        <f>+F25-E25</f>
        <v>28058301.400000006</v>
      </c>
      <c r="G26" s="23"/>
      <c r="H26" s="112"/>
      <c r="I26" s="112"/>
      <c r="J26" s="13"/>
    </row>
    <row r="27" spans="1:10" s="2" customFormat="1" ht="12.75" customHeight="1" x14ac:dyDescent="0.4">
      <c r="A27" s="24"/>
      <c r="B27" s="1"/>
      <c r="C27" s="14"/>
      <c r="D27" s="25"/>
      <c r="G27" s="23"/>
      <c r="H27" s="112"/>
      <c r="I27" s="112"/>
      <c r="J27" s="13"/>
    </row>
    <row r="28" spans="1:10" s="2" customFormat="1" ht="21.75" customHeight="1" x14ac:dyDescent="0.4">
      <c r="A28" s="214" t="s">
        <v>10</v>
      </c>
      <c r="B28" s="214"/>
      <c r="C28" s="214"/>
      <c r="D28" s="214"/>
      <c r="E28" s="214"/>
      <c r="F28" s="214"/>
      <c r="G28" s="13"/>
      <c r="H28" s="112"/>
      <c r="I28" s="112"/>
      <c r="J28" s="13"/>
    </row>
    <row r="29" spans="1:10" s="2" customFormat="1" ht="12.75" customHeight="1" x14ac:dyDescent="0.4">
      <c r="A29" s="26" t="s">
        <v>1</v>
      </c>
      <c r="B29" s="27" t="s">
        <v>2</v>
      </c>
      <c r="C29" s="5"/>
      <c r="D29" s="6" t="s">
        <v>3</v>
      </c>
      <c r="E29" s="7" t="s">
        <v>4</v>
      </c>
      <c r="F29" s="7" t="s">
        <v>5</v>
      </c>
      <c r="G29" s="23"/>
      <c r="H29" s="112"/>
      <c r="I29" s="112"/>
      <c r="J29" s="13"/>
    </row>
    <row r="30" spans="1:10" s="2" customFormat="1" ht="12.75" customHeight="1" x14ac:dyDescent="0.2">
      <c r="A30" s="127">
        <v>45115</v>
      </c>
      <c r="B30" s="128" t="s">
        <v>11</v>
      </c>
      <c r="C30" s="29" t="s">
        <v>7</v>
      </c>
      <c r="D30" s="25"/>
      <c r="E30" s="31"/>
      <c r="F30" s="2">
        <v>262732742.96999997</v>
      </c>
      <c r="G30" s="30"/>
      <c r="I30" s="13"/>
      <c r="J30" s="13"/>
    </row>
    <row r="31" spans="1:10" s="70" customFormat="1" ht="12.75" customHeight="1" x14ac:dyDescent="0.2">
      <c r="A31" s="127">
        <v>45115</v>
      </c>
      <c r="B31" s="128" t="s">
        <v>6</v>
      </c>
      <c r="C31" s="76" t="s">
        <v>474</v>
      </c>
      <c r="D31" s="125" t="s">
        <v>13</v>
      </c>
      <c r="E31" s="31">
        <v>216801</v>
      </c>
      <c r="G31" s="30"/>
      <c r="I31" s="69"/>
      <c r="J31" s="69"/>
    </row>
    <row r="32" spans="1:10" s="70" customFormat="1" ht="12.75" customHeight="1" x14ac:dyDescent="0.2">
      <c r="A32" s="127">
        <v>45115</v>
      </c>
      <c r="B32" s="128" t="s">
        <v>6</v>
      </c>
      <c r="C32" s="76" t="s">
        <v>785</v>
      </c>
      <c r="D32" s="125" t="s">
        <v>13</v>
      </c>
      <c r="E32" s="31">
        <v>2830242</v>
      </c>
      <c r="G32" s="30"/>
      <c r="I32" s="69"/>
      <c r="J32" s="69"/>
    </row>
    <row r="33" spans="1:10" s="70" customFormat="1" ht="12.75" customHeight="1" x14ac:dyDescent="0.2">
      <c r="A33" s="127">
        <v>45115</v>
      </c>
      <c r="B33" s="128" t="s">
        <v>6</v>
      </c>
      <c r="C33" s="76" t="s">
        <v>364</v>
      </c>
      <c r="D33" s="125" t="s">
        <v>13</v>
      </c>
      <c r="E33" s="31">
        <v>1245809</v>
      </c>
      <c r="G33" s="30"/>
      <c r="I33" s="69"/>
      <c r="J33" s="69"/>
    </row>
    <row r="34" spans="1:10" s="70" customFormat="1" ht="12.75" customHeight="1" x14ac:dyDescent="0.2">
      <c r="A34" s="127">
        <v>45115</v>
      </c>
      <c r="B34" s="128" t="s">
        <v>6</v>
      </c>
      <c r="C34" s="76" t="s">
        <v>26</v>
      </c>
      <c r="D34" s="125" t="s">
        <v>13</v>
      </c>
      <c r="E34" s="31">
        <v>1623532.55</v>
      </c>
      <c r="G34" s="30"/>
      <c r="I34" s="69"/>
      <c r="J34" s="69"/>
    </row>
    <row r="35" spans="1:10" s="70" customFormat="1" ht="12.75" customHeight="1" x14ac:dyDescent="0.2">
      <c r="A35" s="127">
        <v>45115</v>
      </c>
      <c r="B35" s="128" t="s">
        <v>6</v>
      </c>
      <c r="C35" s="76" t="s">
        <v>756</v>
      </c>
      <c r="D35" s="125" t="s">
        <v>13</v>
      </c>
      <c r="E35" s="31">
        <v>240529</v>
      </c>
      <c r="G35" s="30"/>
      <c r="I35" s="69"/>
      <c r="J35" s="69"/>
    </row>
    <row r="36" spans="1:10" s="70" customFormat="1" ht="12.75" customHeight="1" x14ac:dyDescent="0.2">
      <c r="A36" s="127">
        <v>45115</v>
      </c>
      <c r="B36" s="128" t="s">
        <v>6</v>
      </c>
      <c r="C36" s="76" t="s">
        <v>332</v>
      </c>
      <c r="D36" s="125" t="s">
        <v>13</v>
      </c>
      <c r="E36" s="31">
        <v>426826</v>
      </c>
      <c r="G36" s="30"/>
      <c r="I36" s="69"/>
      <c r="J36" s="69"/>
    </row>
    <row r="37" spans="1:10" s="70" customFormat="1" ht="12.75" customHeight="1" x14ac:dyDescent="0.2">
      <c r="A37" s="127">
        <v>45115</v>
      </c>
      <c r="B37" s="128" t="s">
        <v>6</v>
      </c>
      <c r="C37" s="76" t="s">
        <v>62</v>
      </c>
      <c r="D37" s="125" t="s">
        <v>13</v>
      </c>
      <c r="E37" s="31">
        <v>4000</v>
      </c>
      <c r="G37" s="30"/>
      <c r="I37" s="69"/>
      <c r="J37" s="69"/>
    </row>
    <row r="38" spans="1:10" s="70" customFormat="1" ht="12.75" customHeight="1" x14ac:dyDescent="0.2">
      <c r="A38" s="127">
        <v>45115</v>
      </c>
      <c r="B38" s="128" t="s">
        <v>6</v>
      </c>
      <c r="C38" s="76" t="s">
        <v>1178</v>
      </c>
      <c r="D38" s="125" t="s">
        <v>13</v>
      </c>
      <c r="E38" s="31">
        <v>1680</v>
      </c>
      <c r="G38" s="30"/>
      <c r="I38" s="69"/>
      <c r="J38" s="69"/>
    </row>
    <row r="39" spans="1:10" s="70" customFormat="1" ht="12.75" customHeight="1" x14ac:dyDescent="0.2">
      <c r="A39" s="127">
        <v>45115</v>
      </c>
      <c r="B39" s="128" t="s">
        <v>6</v>
      </c>
      <c r="C39" s="76" t="s">
        <v>145</v>
      </c>
      <c r="D39" s="125" t="s">
        <v>13</v>
      </c>
      <c r="E39" s="31">
        <v>1959413</v>
      </c>
      <c r="G39" s="30"/>
      <c r="I39" s="69"/>
      <c r="J39" s="69"/>
    </row>
    <row r="40" spans="1:10" s="70" customFormat="1" ht="12.75" customHeight="1" x14ac:dyDescent="0.2">
      <c r="A40" s="127">
        <v>45115</v>
      </c>
      <c r="B40" s="128" t="s">
        <v>11</v>
      </c>
      <c r="C40" s="76" t="s">
        <v>15</v>
      </c>
      <c r="D40" s="125" t="s">
        <v>29</v>
      </c>
      <c r="E40" s="31"/>
      <c r="F40" s="70">
        <v>43613.899999999994</v>
      </c>
      <c r="G40" s="30"/>
      <c r="I40" s="69"/>
      <c r="J40" s="69"/>
    </row>
    <row r="41" spans="1:10" s="70" customFormat="1" ht="12.75" customHeight="1" x14ac:dyDescent="0.2">
      <c r="A41" s="127">
        <v>45115</v>
      </c>
      <c r="B41" s="128" t="s">
        <v>11</v>
      </c>
      <c r="C41" s="76" t="s">
        <v>64</v>
      </c>
      <c r="D41" s="125" t="s">
        <v>29</v>
      </c>
      <c r="E41" s="31"/>
      <c r="F41" s="70">
        <v>13128.02</v>
      </c>
      <c r="G41" s="30"/>
      <c r="I41" s="69"/>
      <c r="J41" s="69"/>
    </row>
    <row r="42" spans="1:10" s="70" customFormat="1" ht="12.75" customHeight="1" x14ac:dyDescent="0.2">
      <c r="A42" s="127">
        <v>45115</v>
      </c>
      <c r="B42" s="128" t="s">
        <v>11</v>
      </c>
      <c r="C42" s="76" t="s">
        <v>111</v>
      </c>
      <c r="D42" s="125" t="s">
        <v>29</v>
      </c>
      <c r="E42" s="31"/>
      <c r="F42" s="70">
        <v>123686.45</v>
      </c>
      <c r="G42" s="30"/>
      <c r="I42" s="69"/>
      <c r="J42" s="69"/>
    </row>
    <row r="43" spans="1:10" s="70" customFormat="1" ht="12.75" customHeight="1" x14ac:dyDescent="0.2">
      <c r="A43" s="127">
        <v>45115</v>
      </c>
      <c r="B43" s="128" t="s">
        <v>11</v>
      </c>
      <c r="C43" s="76" t="s">
        <v>204</v>
      </c>
      <c r="D43" s="125" t="s">
        <v>29</v>
      </c>
      <c r="E43" s="31"/>
      <c r="F43" s="70">
        <v>647723</v>
      </c>
      <c r="G43" s="30"/>
      <c r="I43" s="69"/>
      <c r="J43" s="69"/>
    </row>
    <row r="44" spans="1:10" s="70" customFormat="1" ht="12.75" customHeight="1" x14ac:dyDescent="0.2">
      <c r="A44" s="127">
        <v>45115</v>
      </c>
      <c r="B44" s="128" t="s">
        <v>11</v>
      </c>
      <c r="C44" s="76" t="s">
        <v>414</v>
      </c>
      <c r="D44" s="125" t="s">
        <v>29</v>
      </c>
      <c r="E44" s="31"/>
      <c r="F44" s="70">
        <v>27900</v>
      </c>
      <c r="G44" s="30"/>
      <c r="I44" s="69"/>
      <c r="J44" s="69"/>
    </row>
    <row r="45" spans="1:10" s="70" customFormat="1" ht="12.75" customHeight="1" x14ac:dyDescent="0.2">
      <c r="A45" s="127">
        <v>45115</v>
      </c>
      <c r="B45" s="128" t="s">
        <v>11</v>
      </c>
      <c r="C45" s="76" t="s">
        <v>35</v>
      </c>
      <c r="D45" s="125" t="s">
        <v>29</v>
      </c>
      <c r="E45" s="31"/>
      <c r="F45" s="70">
        <v>154419.94</v>
      </c>
      <c r="G45" s="30"/>
      <c r="I45" s="69"/>
      <c r="J45" s="69"/>
    </row>
    <row r="46" spans="1:10" s="70" customFormat="1" ht="12.75" customHeight="1" x14ac:dyDescent="0.2">
      <c r="A46" s="127">
        <v>45115</v>
      </c>
      <c r="B46" s="128" t="s">
        <v>11</v>
      </c>
      <c r="C46" s="76" t="s">
        <v>279</v>
      </c>
      <c r="D46" s="125" t="s">
        <v>29</v>
      </c>
      <c r="E46" s="31"/>
      <c r="F46" s="70">
        <v>4697667</v>
      </c>
      <c r="G46" s="30"/>
      <c r="I46" s="69"/>
      <c r="J46" s="69"/>
    </row>
    <row r="47" spans="1:10" s="70" customFormat="1" ht="12.75" customHeight="1" x14ac:dyDescent="0.2">
      <c r="A47" s="127">
        <v>45115</v>
      </c>
      <c r="B47" s="128" t="s">
        <v>11</v>
      </c>
      <c r="C47" s="76" t="s">
        <v>140</v>
      </c>
      <c r="D47" s="125" t="s">
        <v>29</v>
      </c>
      <c r="E47" s="31"/>
      <c r="F47" s="70">
        <v>1862654</v>
      </c>
      <c r="G47" s="30"/>
      <c r="I47" s="69"/>
      <c r="J47" s="69"/>
    </row>
    <row r="48" spans="1:10" s="70" customFormat="1" ht="12.75" customHeight="1" x14ac:dyDescent="0.2">
      <c r="A48" s="127">
        <v>45115</v>
      </c>
      <c r="B48" s="128" t="s">
        <v>11</v>
      </c>
      <c r="C48" s="76" t="s">
        <v>349</v>
      </c>
      <c r="D48" s="125" t="s">
        <v>29</v>
      </c>
      <c r="E48" s="31"/>
      <c r="F48" s="70">
        <v>6604</v>
      </c>
      <c r="G48" s="30"/>
      <c r="I48" s="69"/>
      <c r="J48" s="69"/>
    </row>
    <row r="49" spans="1:14" s="70" customFormat="1" ht="12.75" customHeight="1" x14ac:dyDescent="0.2">
      <c r="A49" s="127">
        <v>45115</v>
      </c>
      <c r="B49" s="128" t="s">
        <v>11</v>
      </c>
      <c r="C49" s="76" t="s">
        <v>338</v>
      </c>
      <c r="D49" s="125" t="s">
        <v>29</v>
      </c>
      <c r="E49" s="31"/>
      <c r="F49" s="70">
        <v>13489.22</v>
      </c>
      <c r="G49" s="30"/>
      <c r="I49" s="69"/>
      <c r="J49" s="69"/>
    </row>
    <row r="50" spans="1:14" s="70" customFormat="1" ht="12.75" customHeight="1" x14ac:dyDescent="0.2">
      <c r="A50" s="127">
        <v>45115</v>
      </c>
      <c r="B50" s="128" t="s">
        <v>11</v>
      </c>
      <c r="C50" s="76" t="s">
        <v>437</v>
      </c>
      <c r="D50" s="125" t="s">
        <v>29</v>
      </c>
      <c r="E50" s="31"/>
      <c r="F50" s="70">
        <v>31665</v>
      </c>
      <c r="G50" s="30"/>
      <c r="I50" s="69"/>
      <c r="J50" s="69"/>
    </row>
    <row r="51" spans="1:14" s="70" customFormat="1" ht="12.75" customHeight="1" x14ac:dyDescent="0.2">
      <c r="A51" s="127">
        <v>45115</v>
      </c>
      <c r="B51" s="128" t="s">
        <v>11</v>
      </c>
      <c r="C51" s="76" t="s">
        <v>431</v>
      </c>
      <c r="D51" s="125" t="s">
        <v>29</v>
      </c>
      <c r="E51" s="31"/>
      <c r="F51" s="70">
        <v>56228</v>
      </c>
      <c r="G51" s="30"/>
      <c r="I51" s="69"/>
      <c r="J51" s="69"/>
    </row>
    <row r="52" spans="1:14" s="70" customFormat="1" ht="12.75" customHeight="1" x14ac:dyDescent="0.2">
      <c r="A52" s="127">
        <v>45115</v>
      </c>
      <c r="B52" s="128" t="s">
        <v>11</v>
      </c>
      <c r="C52" s="76" t="s">
        <v>441</v>
      </c>
      <c r="D52" s="125" t="s">
        <v>29</v>
      </c>
      <c r="E52" s="31"/>
      <c r="F52" s="31">
        <v>356.44</v>
      </c>
      <c r="G52" s="30"/>
      <c r="I52" s="69"/>
      <c r="J52" s="69"/>
    </row>
    <row r="53" spans="1:14" s="70" customFormat="1" ht="12.75" customHeight="1" x14ac:dyDescent="0.2">
      <c r="A53" s="127">
        <v>45115</v>
      </c>
      <c r="B53" s="128" t="s">
        <v>11</v>
      </c>
      <c r="C53" s="76" t="s">
        <v>392</v>
      </c>
      <c r="D53" s="125" t="s">
        <v>29</v>
      </c>
      <c r="E53" s="31"/>
      <c r="F53" s="70">
        <v>12331</v>
      </c>
      <c r="G53" s="30"/>
      <c r="I53" s="69"/>
      <c r="J53" s="69"/>
    </row>
    <row r="54" spans="1:14" s="70" customFormat="1" ht="12.75" customHeight="1" x14ac:dyDescent="0.2">
      <c r="A54" s="127">
        <v>45115</v>
      </c>
      <c r="B54" s="128" t="s">
        <v>11</v>
      </c>
      <c r="C54" s="76" t="s">
        <v>28</v>
      </c>
      <c r="D54" s="125" t="s">
        <v>29</v>
      </c>
      <c r="E54" s="31"/>
      <c r="F54" s="70">
        <v>1841.28</v>
      </c>
      <c r="G54" s="30"/>
      <c r="I54" s="69"/>
      <c r="J54" s="69"/>
    </row>
    <row r="55" spans="1:14" s="70" customFormat="1" ht="12.75" customHeight="1" x14ac:dyDescent="0.2">
      <c r="A55" s="127">
        <v>45115</v>
      </c>
      <c r="B55" s="128" t="s">
        <v>11</v>
      </c>
      <c r="C55" s="76" t="s">
        <v>113</v>
      </c>
      <c r="D55" s="125" t="s">
        <v>29</v>
      </c>
      <c r="E55" s="31"/>
      <c r="F55" s="70">
        <v>11677</v>
      </c>
      <c r="G55" s="30"/>
      <c r="I55" s="69"/>
      <c r="J55" s="69"/>
    </row>
    <row r="56" spans="1:14" s="70" customFormat="1" ht="12.75" customHeight="1" x14ac:dyDescent="0.2">
      <c r="A56" s="127">
        <v>45115</v>
      </c>
      <c r="B56" s="128" t="s">
        <v>11</v>
      </c>
      <c r="C56" s="76" t="s">
        <v>57</v>
      </c>
      <c r="D56" s="125" t="s">
        <v>29</v>
      </c>
      <c r="E56" s="31"/>
      <c r="F56" s="70">
        <v>7000000</v>
      </c>
      <c r="G56" s="30"/>
      <c r="I56" s="69"/>
      <c r="J56" s="69"/>
    </row>
    <row r="57" spans="1:14" s="2" customFormat="1" ht="12.75" customHeight="1" x14ac:dyDescent="0.25">
      <c r="A57" s="32"/>
      <c r="B57" s="33"/>
      <c r="C57" s="14"/>
      <c r="D57" s="34"/>
      <c r="E57" s="16">
        <f>SUM(E30:E56)</f>
        <v>8548832.5500000007</v>
      </c>
      <c r="F57" s="16">
        <f>SUM(F30:F56)</f>
        <v>277437727.21999997</v>
      </c>
      <c r="G57" s="30"/>
      <c r="H57" s="1"/>
      <c r="I57" s="39">
        <v>268888894.67000002</v>
      </c>
      <c r="J57" s="2" t="s">
        <v>396</v>
      </c>
      <c r="K57" s="92">
        <f>E58-I57</f>
        <v>0</v>
      </c>
      <c r="L57" s="41"/>
      <c r="M57" s="42"/>
    </row>
    <row r="58" spans="1:14" s="2" customFormat="1" ht="12.75" customHeight="1" x14ac:dyDescent="0.2">
      <c r="A58" s="36"/>
      <c r="B58" s="28" t="s">
        <v>11</v>
      </c>
      <c r="C58" s="19" t="s">
        <v>65</v>
      </c>
      <c r="D58" s="37"/>
      <c r="E58" s="38">
        <f>F57-E57</f>
        <v>268888894.66999996</v>
      </c>
      <c r="F58" s="22"/>
      <c r="G58" s="1"/>
      <c r="H58" s="1"/>
      <c r="J58" s="1"/>
      <c r="K58" s="1"/>
      <c r="L58" s="1"/>
      <c r="M58" s="1"/>
    </row>
    <row r="59" spans="1:14" s="2" customFormat="1" ht="12.75" customHeight="1" x14ac:dyDescent="0.2">
      <c r="A59" s="36"/>
      <c r="B59" s="28" t="s">
        <v>66</v>
      </c>
      <c r="C59" s="43" t="s">
        <v>67</v>
      </c>
      <c r="D59" s="43"/>
      <c r="E59" s="12">
        <v>59416310</v>
      </c>
      <c r="F59" s="22"/>
      <c r="G59" s="1"/>
      <c r="H59" s="40"/>
      <c r="I59" s="45">
        <v>1243.31</v>
      </c>
      <c r="J59" s="46"/>
      <c r="K59" s="46"/>
      <c r="L59" s="13"/>
    </row>
    <row r="60" spans="1:14" s="2" customFormat="1" ht="12.75" customHeight="1" x14ac:dyDescent="0.25">
      <c r="A60" s="36"/>
      <c r="B60" s="28"/>
      <c r="C60" s="44" t="s">
        <v>68</v>
      </c>
      <c r="D60" s="43"/>
      <c r="E60" s="7">
        <f>E58+E59</f>
        <v>328305204.66999996</v>
      </c>
      <c r="F60" s="22"/>
      <c r="G60" s="1"/>
      <c r="H60" s="103" t="s">
        <v>69</v>
      </c>
      <c r="I60" s="45">
        <v>-15.27</v>
      </c>
      <c r="J60" s="46"/>
      <c r="K60" s="46"/>
      <c r="N60" s="1"/>
    </row>
    <row r="61" spans="1:14" s="2" customFormat="1" x14ac:dyDescent="0.2">
      <c r="A61" s="24"/>
      <c r="B61" s="1"/>
      <c r="C61" s="14"/>
      <c r="D61" s="25"/>
      <c r="E61" s="1"/>
      <c r="H61" s="35" t="s">
        <v>70</v>
      </c>
      <c r="I61" s="45">
        <v>0</v>
      </c>
      <c r="J61" s="46">
        <f>+I62-D64</f>
        <v>0</v>
      </c>
      <c r="M61" s="2" t="s">
        <v>396</v>
      </c>
      <c r="N61" s="1"/>
    </row>
    <row r="62" spans="1:14" x14ac:dyDescent="0.2">
      <c r="C62" s="56"/>
      <c r="D62" s="56"/>
      <c r="E62" s="104"/>
      <c r="I62" s="49">
        <f>SUM(I59:I61)</f>
        <v>1228.04</v>
      </c>
      <c r="J62" s="46"/>
      <c r="K62" s="46"/>
      <c r="L62" s="2"/>
      <c r="M62" s="2"/>
      <c r="N62" s="2"/>
    </row>
    <row r="63" spans="1:14" x14ac:dyDescent="0.2">
      <c r="C63" s="78" t="s">
        <v>575</v>
      </c>
      <c r="D63" s="48" t="s">
        <v>576</v>
      </c>
      <c r="E63" s="104"/>
      <c r="I63" s="2"/>
      <c r="J63" s="2"/>
      <c r="K63" s="2"/>
      <c r="L63" s="2"/>
      <c r="M63" s="2"/>
      <c r="N63" s="2"/>
    </row>
    <row r="64" spans="1:14" s="2" customFormat="1" x14ac:dyDescent="0.2">
      <c r="A64" s="24"/>
      <c r="B64" s="1"/>
      <c r="C64" s="47" t="s">
        <v>570</v>
      </c>
      <c r="D64" s="111">
        <v>1228.04</v>
      </c>
      <c r="E64" s="104"/>
      <c r="G64" s="1"/>
      <c r="H64" s="110" t="s">
        <v>581</v>
      </c>
      <c r="N64" s="2" t="s">
        <v>535</v>
      </c>
    </row>
    <row r="65" spans="1:13" s="2" customFormat="1" x14ac:dyDescent="0.2">
      <c r="A65" s="24"/>
      <c r="B65" s="1"/>
      <c r="C65" s="47" t="s">
        <v>931</v>
      </c>
      <c r="D65" s="111">
        <v>78.260000000000005</v>
      </c>
      <c r="E65" s="104"/>
      <c r="G65" s="1"/>
      <c r="H65" s="110" t="s">
        <v>580</v>
      </c>
    </row>
    <row r="66" spans="1:13" s="2" customFormat="1" x14ac:dyDescent="0.2">
      <c r="A66" s="24"/>
      <c r="B66" s="1"/>
      <c r="C66" s="47" t="s">
        <v>572</v>
      </c>
      <c r="D66" s="111">
        <f>+D99/100000</f>
        <v>209.32512920000002</v>
      </c>
      <c r="E66" s="104"/>
      <c r="G66" s="1"/>
      <c r="H66" s="90" t="s">
        <v>587</v>
      </c>
    </row>
    <row r="67" spans="1:13" s="2" customFormat="1" x14ac:dyDescent="0.2">
      <c r="A67" s="24"/>
      <c r="B67" s="1"/>
      <c r="C67" s="108" t="s">
        <v>578</v>
      </c>
      <c r="D67" s="48">
        <f>SUM(D64:D66)</f>
        <v>1515.6251291999999</v>
      </c>
      <c r="E67" s="104"/>
      <c r="G67" s="1"/>
    </row>
    <row r="68" spans="1:13" s="2" customFormat="1" x14ac:dyDescent="0.2">
      <c r="A68" s="24"/>
      <c r="B68" s="1"/>
      <c r="C68" s="47"/>
      <c r="D68" s="107"/>
      <c r="E68" s="104"/>
      <c r="G68" s="1"/>
    </row>
    <row r="69" spans="1:13" s="2" customFormat="1" x14ac:dyDescent="0.2">
      <c r="A69" s="24"/>
      <c r="B69" s="1"/>
      <c r="C69" s="47" t="s">
        <v>932</v>
      </c>
      <c r="D69" s="111">
        <v>68.819999999999993</v>
      </c>
      <c r="E69" s="104"/>
      <c r="G69" s="1"/>
      <c r="H69" s="110" t="s">
        <v>581</v>
      </c>
    </row>
    <row r="70" spans="1:13" s="2" customFormat="1" x14ac:dyDescent="0.2">
      <c r="A70" s="24"/>
      <c r="B70" s="1"/>
      <c r="C70" s="136" t="s">
        <v>1142</v>
      </c>
      <c r="D70" s="111">
        <f>136-34.53</f>
        <v>101.47</v>
      </c>
      <c r="E70" s="104"/>
      <c r="G70" s="1"/>
      <c r="H70" s="110" t="s">
        <v>581</v>
      </c>
      <c r="J70" s="114" t="s">
        <v>713</v>
      </c>
    </row>
    <row r="71" spans="1:13" s="2" customFormat="1" x14ac:dyDescent="0.2">
      <c r="A71" s="24"/>
      <c r="B71" s="1"/>
      <c r="C71" s="78" t="s">
        <v>579</v>
      </c>
      <c r="D71" s="109">
        <f>D69+D70</f>
        <v>170.29</v>
      </c>
      <c r="E71" s="104"/>
      <c r="G71" s="1"/>
      <c r="I71" s="113"/>
      <c r="J71" s="113" t="s">
        <v>709</v>
      </c>
      <c r="K71" s="113" t="s">
        <v>710</v>
      </c>
      <c r="L71" s="113" t="s">
        <v>711</v>
      </c>
      <c r="M71" s="113" t="s">
        <v>712</v>
      </c>
    </row>
    <row r="72" spans="1:13" s="2" customFormat="1" x14ac:dyDescent="0.2">
      <c r="A72" s="24"/>
      <c r="B72" s="1"/>
      <c r="C72" s="105"/>
      <c r="D72" s="106"/>
      <c r="E72" s="104"/>
      <c r="G72" s="1"/>
      <c r="I72" s="113" t="s">
        <v>706</v>
      </c>
      <c r="J72" s="115"/>
      <c r="K72" s="115">
        <v>968.99</v>
      </c>
      <c r="L72" s="115">
        <v>968.99</v>
      </c>
      <c r="M72" s="113">
        <f>+J72+L72-K72</f>
        <v>0</v>
      </c>
    </row>
    <row r="73" spans="1:13" s="2" customFormat="1" x14ac:dyDescent="0.2">
      <c r="A73" s="24"/>
      <c r="B73" s="1"/>
      <c r="C73" s="78" t="s">
        <v>577</v>
      </c>
      <c r="D73" s="109">
        <f>D64+D71</f>
        <v>1398.33</v>
      </c>
      <c r="E73" s="104"/>
      <c r="G73" s="1"/>
      <c r="I73" s="113" t="s">
        <v>707</v>
      </c>
      <c r="J73" s="115">
        <v>183.1</v>
      </c>
      <c r="K73" s="115">
        <v>2564.52</v>
      </c>
      <c r="L73" s="115">
        <v>3305.8</v>
      </c>
      <c r="M73" s="113">
        <f>+J73+L73-K73</f>
        <v>924.38000000000011</v>
      </c>
    </row>
    <row r="74" spans="1:13" s="2" customFormat="1" x14ac:dyDescent="0.2">
      <c r="A74" s="24"/>
      <c r="B74" s="1"/>
      <c r="C74" s="56"/>
      <c r="D74" s="56"/>
      <c r="E74" s="104"/>
      <c r="G74" s="1"/>
      <c r="I74" s="113" t="s">
        <v>708</v>
      </c>
      <c r="J74" s="115">
        <v>1371.02</v>
      </c>
      <c r="K74" s="115">
        <v>12559.96</v>
      </c>
      <c r="L74" s="115">
        <v>12540.22</v>
      </c>
      <c r="M74" s="113">
        <f>+J74+L74-K74</f>
        <v>1351.2800000000007</v>
      </c>
    </row>
    <row r="75" spans="1:13" s="2" customFormat="1" ht="38.25" x14ac:dyDescent="0.2">
      <c r="A75" s="24"/>
      <c r="B75" s="1"/>
      <c r="C75" s="79" t="str">
        <f>"Particulars ( 01-04-2021 to "&amp;TEXT(A5,"dd-mm-yyyy")&amp;" )"</f>
        <v>Particulars ( 01-04-2021 to 08-07-2023 )</v>
      </c>
      <c r="D75" s="80" t="s">
        <v>73</v>
      </c>
      <c r="E75" s="80" t="s">
        <v>74</v>
      </c>
      <c r="F75" s="81" t="s">
        <v>75</v>
      </c>
      <c r="G75" s="80" t="s">
        <v>76</v>
      </c>
      <c r="J75" s="118">
        <f>SUM(J72:J74)</f>
        <v>1554.12</v>
      </c>
      <c r="K75" s="118">
        <f>SUM(K72:K74)</f>
        <v>16093.47</v>
      </c>
      <c r="L75" s="118">
        <f>SUM(L72:L74)</f>
        <v>16815.009999999998</v>
      </c>
      <c r="M75" s="118">
        <f>SUM(M72:M74)</f>
        <v>2275.6600000000008</v>
      </c>
    </row>
    <row r="76" spans="1:13" s="2" customFormat="1" x14ac:dyDescent="0.2">
      <c r="A76" s="24"/>
      <c r="B76" s="1"/>
      <c r="C76" s="50" t="s">
        <v>444</v>
      </c>
      <c r="D76" s="55">
        <f>+L72+L73+J73</f>
        <v>4457.8900000000003</v>
      </c>
      <c r="E76" s="55">
        <f>+K72+K73</f>
        <v>3533.51</v>
      </c>
      <c r="F76" s="55">
        <f>+D76-E76</f>
        <v>924.38000000000011</v>
      </c>
      <c r="G76" s="55">
        <f>1500-F76</f>
        <v>575.61999999999989</v>
      </c>
      <c r="H76" s="2" t="s">
        <v>396</v>
      </c>
    </row>
    <row r="77" spans="1:13" s="2" customFormat="1" x14ac:dyDescent="0.2">
      <c r="A77" s="24"/>
      <c r="B77" s="1"/>
      <c r="C77" s="50" t="s">
        <v>71</v>
      </c>
      <c r="D77" s="55">
        <f>+J74+L74</f>
        <v>13911.24</v>
      </c>
      <c r="E77" s="55">
        <f>+K74</f>
        <v>12559.96</v>
      </c>
      <c r="F77" s="55">
        <f>+D77-E77</f>
        <v>1351.2800000000007</v>
      </c>
      <c r="G77" s="55">
        <f>1500+700-F77</f>
        <v>848.71999999999935</v>
      </c>
      <c r="H77" s="2" t="s">
        <v>396</v>
      </c>
    </row>
    <row r="78" spans="1:13" s="2" customFormat="1" x14ac:dyDescent="0.2">
      <c r="A78" s="24"/>
      <c r="B78" s="1"/>
      <c r="C78" s="14"/>
      <c r="D78" s="56"/>
      <c r="E78" s="13"/>
      <c r="G78" s="1"/>
    </row>
    <row r="79" spans="1:13" s="2" customFormat="1" x14ac:dyDescent="0.2">
      <c r="A79" s="215" t="s">
        <v>80</v>
      </c>
      <c r="B79" s="216"/>
      <c r="C79" s="216"/>
      <c r="D79" s="217"/>
      <c r="E79" s="69"/>
      <c r="F79" s="70"/>
      <c r="G79" s="1"/>
      <c r="H79" s="53"/>
    </row>
    <row r="80" spans="1:13" s="2" customFormat="1" x14ac:dyDescent="0.2">
      <c r="A80" s="71" t="s">
        <v>81</v>
      </c>
      <c r="B80" s="71"/>
      <c r="C80" s="72" t="s">
        <v>82</v>
      </c>
      <c r="D80" s="73" t="s">
        <v>83</v>
      </c>
      <c r="E80" s="69"/>
      <c r="F80" s="70"/>
      <c r="H80" s="53"/>
    </row>
    <row r="81" spans="1:13" s="2" customFormat="1" x14ac:dyDescent="0.2">
      <c r="A81" s="87">
        <v>45108</v>
      </c>
      <c r="B81" s="120" t="s">
        <v>1052</v>
      </c>
      <c r="C81" s="75" t="s">
        <v>84</v>
      </c>
      <c r="D81" s="88">
        <v>3000000</v>
      </c>
      <c r="G81" s="1"/>
      <c r="L81" s="1"/>
      <c r="M81" s="1"/>
    </row>
    <row r="82" spans="1:13" s="2" customFormat="1" x14ac:dyDescent="0.2">
      <c r="A82" s="87">
        <v>45108</v>
      </c>
      <c r="B82" s="120" t="s">
        <v>1052</v>
      </c>
      <c r="C82" s="75" t="s">
        <v>271</v>
      </c>
      <c r="D82" s="88">
        <v>2323148</v>
      </c>
      <c r="G82" s="1"/>
      <c r="L82" s="1"/>
      <c r="M82" s="1"/>
    </row>
    <row r="83" spans="1:13" s="2" customFormat="1" x14ac:dyDescent="0.2">
      <c r="A83" s="87">
        <v>45110</v>
      </c>
      <c r="B83" s="120" t="s">
        <v>1052</v>
      </c>
      <c r="C83" s="75" t="s">
        <v>85</v>
      </c>
      <c r="D83" s="88">
        <v>732575</v>
      </c>
      <c r="G83" s="1"/>
      <c r="L83" s="1"/>
      <c r="M83" s="1"/>
    </row>
    <row r="84" spans="1:13" s="2" customFormat="1" x14ac:dyDescent="0.2">
      <c r="A84" s="87">
        <v>45110</v>
      </c>
      <c r="B84" s="120" t="s">
        <v>1052</v>
      </c>
      <c r="C84" s="75" t="s">
        <v>86</v>
      </c>
      <c r="D84" s="88">
        <v>2676974</v>
      </c>
      <c r="G84" s="1"/>
      <c r="L84" s="1"/>
      <c r="M84" s="1"/>
    </row>
    <row r="85" spans="1:13" s="2" customFormat="1" x14ac:dyDescent="0.2">
      <c r="A85" s="87">
        <v>45110</v>
      </c>
      <c r="B85" s="120" t="s">
        <v>1052</v>
      </c>
      <c r="C85" s="75" t="s">
        <v>86</v>
      </c>
      <c r="D85" s="88">
        <v>1043475</v>
      </c>
      <c r="G85" s="1"/>
      <c r="L85" s="1"/>
      <c r="M85" s="1"/>
    </row>
    <row r="86" spans="1:13" s="2" customFormat="1" x14ac:dyDescent="0.2">
      <c r="A86" s="87">
        <v>45111</v>
      </c>
      <c r="B86" s="120" t="s">
        <v>1052</v>
      </c>
      <c r="C86" s="75" t="s">
        <v>270</v>
      </c>
      <c r="D86" s="88">
        <v>106093</v>
      </c>
      <c r="G86" s="1"/>
      <c r="L86" s="1"/>
      <c r="M86" s="1"/>
    </row>
    <row r="87" spans="1:13" s="2" customFormat="1" x14ac:dyDescent="0.2">
      <c r="A87" s="87">
        <v>45111</v>
      </c>
      <c r="B87" s="120" t="s">
        <v>1052</v>
      </c>
      <c r="C87" s="75" t="s">
        <v>270</v>
      </c>
      <c r="D87" s="88">
        <v>102393</v>
      </c>
      <c r="G87" s="1"/>
      <c r="L87" s="1"/>
      <c r="M87" s="1"/>
    </row>
    <row r="88" spans="1:13" s="2" customFormat="1" x14ac:dyDescent="0.2">
      <c r="A88" s="87">
        <v>45111</v>
      </c>
      <c r="B88" s="120" t="s">
        <v>1052</v>
      </c>
      <c r="C88" s="75" t="s">
        <v>270</v>
      </c>
      <c r="D88" s="88">
        <v>716336</v>
      </c>
      <c r="G88" s="1"/>
      <c r="L88" s="1"/>
      <c r="M88" s="1"/>
    </row>
    <row r="89" spans="1:13" s="2" customFormat="1" x14ac:dyDescent="0.2">
      <c r="A89" s="87">
        <v>45111</v>
      </c>
      <c r="B89" s="120" t="s">
        <v>1052</v>
      </c>
      <c r="C89" s="75" t="s">
        <v>270</v>
      </c>
      <c r="D89" s="88">
        <v>2504631</v>
      </c>
      <c r="G89" s="1"/>
      <c r="L89" s="1"/>
      <c r="M89" s="1"/>
    </row>
    <row r="90" spans="1:13" s="2" customFormat="1" x14ac:dyDescent="0.2">
      <c r="A90" s="87">
        <v>45111</v>
      </c>
      <c r="B90" s="120" t="s">
        <v>1052</v>
      </c>
      <c r="C90" s="75" t="s">
        <v>270</v>
      </c>
      <c r="D90" s="88">
        <v>141433.92000000001</v>
      </c>
      <c r="G90" s="1"/>
      <c r="L90" s="1"/>
      <c r="M90" s="1"/>
    </row>
    <row r="91" spans="1:13" s="2" customFormat="1" x14ac:dyDescent="0.2">
      <c r="A91" s="87">
        <v>45111</v>
      </c>
      <c r="B91" s="120" t="s">
        <v>1052</v>
      </c>
      <c r="C91" s="75" t="s">
        <v>271</v>
      </c>
      <c r="D91" s="88">
        <v>485258</v>
      </c>
      <c r="G91" s="1"/>
      <c r="L91" s="1"/>
      <c r="M91" s="1"/>
    </row>
    <row r="92" spans="1:13" s="2" customFormat="1" x14ac:dyDescent="0.2">
      <c r="A92" s="87">
        <v>45112</v>
      </c>
      <c r="B92" s="120" t="s">
        <v>1052</v>
      </c>
      <c r="C92" s="75" t="s">
        <v>85</v>
      </c>
      <c r="D92" s="88">
        <v>216478</v>
      </c>
      <c r="G92" s="1"/>
      <c r="L92" s="1"/>
      <c r="M92" s="1"/>
    </row>
    <row r="93" spans="1:13" s="2" customFormat="1" x14ac:dyDescent="0.2">
      <c r="A93" s="87">
        <v>45114</v>
      </c>
      <c r="B93" s="120" t="s">
        <v>1052</v>
      </c>
      <c r="C93" s="75" t="s">
        <v>270</v>
      </c>
      <c r="D93" s="88">
        <v>886333</v>
      </c>
      <c r="G93" s="1"/>
      <c r="L93" s="1"/>
      <c r="M93" s="1"/>
    </row>
    <row r="94" spans="1:13" s="2" customFormat="1" x14ac:dyDescent="0.2">
      <c r="A94" s="87">
        <v>45114</v>
      </c>
      <c r="B94" s="120" t="s">
        <v>1052</v>
      </c>
      <c r="C94" s="75" t="s">
        <v>270</v>
      </c>
      <c r="D94" s="88">
        <v>3119806</v>
      </c>
      <c r="G94" s="1"/>
      <c r="L94" s="1"/>
      <c r="M94" s="1"/>
    </row>
    <row r="95" spans="1:13" s="2" customFormat="1" x14ac:dyDescent="0.2">
      <c r="A95" s="87">
        <v>45114</v>
      </c>
      <c r="B95" s="120" t="s">
        <v>1052</v>
      </c>
      <c r="C95" s="75" t="s">
        <v>271</v>
      </c>
      <c r="D95" s="88">
        <v>151160</v>
      </c>
      <c r="G95" s="1"/>
      <c r="L95" s="1"/>
      <c r="M95" s="1"/>
    </row>
    <row r="96" spans="1:13" s="2" customFormat="1" x14ac:dyDescent="0.2">
      <c r="A96" s="87">
        <v>45114</v>
      </c>
      <c r="B96" s="120" t="s">
        <v>1052</v>
      </c>
      <c r="C96" s="75" t="s">
        <v>271</v>
      </c>
      <c r="D96" s="88">
        <v>285195</v>
      </c>
      <c r="G96" s="1"/>
      <c r="L96" s="1"/>
      <c r="M96" s="1"/>
    </row>
    <row r="97" spans="1:13" s="2" customFormat="1" x14ac:dyDescent="0.2">
      <c r="A97" s="87">
        <v>45114</v>
      </c>
      <c r="B97" s="120" t="s">
        <v>1052</v>
      </c>
      <c r="C97" s="75" t="s">
        <v>201</v>
      </c>
      <c r="D97" s="88">
        <v>128135</v>
      </c>
      <c r="G97" s="1"/>
      <c r="L97" s="1"/>
      <c r="M97" s="1"/>
    </row>
    <row r="98" spans="1:13" s="2" customFormat="1" x14ac:dyDescent="0.2">
      <c r="A98" s="87">
        <v>45114</v>
      </c>
      <c r="B98" s="120" t="s">
        <v>1052</v>
      </c>
      <c r="C98" s="75" t="s">
        <v>323</v>
      </c>
      <c r="D98" s="88">
        <v>2313089</v>
      </c>
      <c r="G98" s="1"/>
      <c r="L98" s="1"/>
      <c r="M98" s="1"/>
    </row>
    <row r="99" spans="1:13" s="2" customFormat="1" x14ac:dyDescent="0.2">
      <c r="A99" s="87"/>
      <c r="B99" s="74"/>
      <c r="C99" s="75"/>
      <c r="D99" s="51">
        <f>SUM(D81:D98)</f>
        <v>20932512.920000002</v>
      </c>
      <c r="F99" s="2" t="s">
        <v>396</v>
      </c>
      <c r="G99" s="1"/>
      <c r="L99" s="1"/>
      <c r="M99" s="1"/>
    </row>
    <row r="100" spans="1:13" s="2" customFormat="1" x14ac:dyDescent="0.2">
      <c r="A100" s="24"/>
      <c r="B100" s="1"/>
      <c r="C100" s="14"/>
      <c r="D100" s="56"/>
      <c r="E100" s="13"/>
      <c r="G100" s="1"/>
      <c r="L100" s="1"/>
      <c r="M100" s="1"/>
    </row>
    <row r="101" spans="1:13" s="2" customFormat="1" x14ac:dyDescent="0.2">
      <c r="A101" s="24"/>
      <c r="B101" s="1"/>
      <c r="C101" s="218" t="s">
        <v>77</v>
      </c>
      <c r="D101" s="219"/>
      <c r="E101" s="219"/>
      <c r="F101" s="220"/>
      <c r="G101" s="1"/>
      <c r="L101" s="1"/>
      <c r="M101" s="1"/>
    </row>
    <row r="102" spans="1:13" s="2" customFormat="1" x14ac:dyDescent="0.2">
      <c r="A102" s="24"/>
      <c r="B102" s="1"/>
      <c r="C102" s="50"/>
      <c r="D102" s="57" t="s">
        <v>78</v>
      </c>
      <c r="E102" s="58" t="s">
        <v>79</v>
      </c>
      <c r="F102" s="57" t="s">
        <v>72</v>
      </c>
      <c r="G102" s="1"/>
      <c r="I102" s="1"/>
      <c r="J102" s="1"/>
      <c r="K102" s="1"/>
      <c r="L102" s="1"/>
      <c r="M102" s="1"/>
    </row>
    <row r="103" spans="1:13" s="2" customFormat="1" x14ac:dyDescent="0.2">
      <c r="A103" s="24"/>
      <c r="B103" s="1"/>
      <c r="C103" s="59" t="str">
        <f>"01-07-2023 to "&amp;TEXT(A5-2,"dd-mm-yyyy")</f>
        <v>01-07-2023 to 06-07-2023</v>
      </c>
      <c r="D103" s="60">
        <v>1479.94</v>
      </c>
      <c r="E103" s="60">
        <v>52.69</v>
      </c>
      <c r="F103" s="61">
        <f>SUM(D103:E103)</f>
        <v>1532.63</v>
      </c>
      <c r="G103" s="1"/>
    </row>
    <row r="104" spans="1:13" s="2" customFormat="1" x14ac:dyDescent="0.2">
      <c r="A104" s="24"/>
      <c r="B104" s="1"/>
      <c r="C104" s="62" t="str">
        <f>TEXT(A5-1,"dd-mm-yyyy")</f>
        <v>07-07-2023</v>
      </c>
      <c r="D104" s="60">
        <v>83.85</v>
      </c>
      <c r="E104" s="60">
        <v>11.18</v>
      </c>
      <c r="F104" s="61">
        <f>SUM(D104:E104)</f>
        <v>95.03</v>
      </c>
      <c r="G104" s="54"/>
      <c r="I104" s="1"/>
      <c r="J104" s="1"/>
      <c r="K104" s="1"/>
      <c r="L104" s="1"/>
      <c r="M104" s="1"/>
    </row>
    <row r="105" spans="1:13" s="2" customFormat="1" ht="13.5" thickBot="1" x14ac:dyDescent="0.25">
      <c r="A105" s="24"/>
      <c r="B105" s="1"/>
      <c r="C105" s="63" t="str">
        <f>"01-07-2023 to "&amp;TEXT(A5-1,"dd-mm-yyyy")</f>
        <v>01-07-2023 to 07-07-2023</v>
      </c>
      <c r="D105" s="64">
        <f>SUM(D103:D104)</f>
        <v>1563.79</v>
      </c>
      <c r="E105" s="64">
        <f>SUM(E103:E104)</f>
        <v>63.87</v>
      </c>
      <c r="F105" s="64">
        <f>SUM(F103:F104)</f>
        <v>1627.66</v>
      </c>
      <c r="G105" s="54"/>
      <c r="I105" s="1"/>
      <c r="J105" s="1"/>
      <c r="K105" s="1"/>
      <c r="L105" s="1"/>
      <c r="M105" s="1"/>
    </row>
    <row r="106" spans="1:13" s="2" customFormat="1" ht="13.5" thickTop="1" x14ac:dyDescent="0.2">
      <c r="A106" s="24"/>
      <c r="B106" s="1"/>
      <c r="C106" s="62"/>
      <c r="D106" s="65"/>
      <c r="E106" s="66"/>
      <c r="F106" s="67"/>
      <c r="G106" s="54"/>
      <c r="I106" s="1"/>
      <c r="J106" s="1"/>
      <c r="K106" s="1"/>
      <c r="L106" s="1"/>
      <c r="M106" s="1"/>
    </row>
    <row r="107" spans="1:13" s="2" customFormat="1" x14ac:dyDescent="0.2">
      <c r="A107" s="24"/>
      <c r="B107" s="1"/>
      <c r="C107" s="62" t="str">
        <f>"01-04-2023 to " &amp;C104</f>
        <v>01-04-2023 to 07-07-2023</v>
      </c>
      <c r="D107" s="68">
        <f>+D105+15483.67</f>
        <v>17047.46</v>
      </c>
      <c r="E107" s="68">
        <f>+E105+1115.53</f>
        <v>1179.3999999999999</v>
      </c>
      <c r="F107" s="68">
        <f>+F105+16599.19</f>
        <v>18226.849999999999</v>
      </c>
      <c r="G107" s="54"/>
      <c r="I107" s="1"/>
      <c r="J107" s="1"/>
      <c r="K107" s="1"/>
      <c r="L107" s="1"/>
      <c r="M107" s="1"/>
    </row>
    <row r="108" spans="1:13" x14ac:dyDescent="0.2">
      <c r="C108" s="52"/>
      <c r="D108" s="85"/>
      <c r="E108" s="53"/>
      <c r="F108" s="53"/>
      <c r="G108" s="54"/>
      <c r="H108" s="2" t="s">
        <v>396</v>
      </c>
    </row>
    <row r="109" spans="1:13" s="2" customFormat="1" x14ac:dyDescent="0.2">
      <c r="A109" s="24"/>
      <c r="B109" s="1"/>
      <c r="C109" s="52"/>
      <c r="D109" s="85"/>
      <c r="E109" s="53"/>
      <c r="F109" s="53"/>
      <c r="G109" s="54"/>
      <c r="H109" s="53"/>
    </row>
    <row r="110" spans="1:13" x14ac:dyDescent="0.2">
      <c r="C110" s="52"/>
      <c r="D110" s="85"/>
      <c r="E110" s="53"/>
      <c r="F110" s="53"/>
      <c r="G110" s="54"/>
      <c r="H110" s="53" t="s">
        <v>396</v>
      </c>
    </row>
    <row r="111" spans="1:13" x14ac:dyDescent="0.2">
      <c r="C111" s="52"/>
      <c r="D111" s="85"/>
      <c r="E111" s="53"/>
      <c r="F111" s="53"/>
      <c r="G111" s="54"/>
      <c r="H111" s="53" t="s">
        <v>396</v>
      </c>
      <c r="J111" s="42"/>
    </row>
    <row r="112" spans="1:13" x14ac:dyDescent="0.2">
      <c r="G112" s="54"/>
      <c r="H112" s="53"/>
      <c r="I112" s="101"/>
    </row>
    <row r="113" spans="7:8" x14ac:dyDescent="0.2">
      <c r="G113" s="54"/>
      <c r="H113" s="53"/>
    </row>
    <row r="114" spans="7:8" x14ac:dyDescent="0.2">
      <c r="G114" s="54"/>
      <c r="H114" s="53"/>
    </row>
    <row r="115" spans="7:8" x14ac:dyDescent="0.2">
      <c r="H115" s="53"/>
    </row>
  </sheetData>
  <mergeCells count="6">
    <mergeCell ref="C101:F101"/>
    <mergeCell ref="A1:G1"/>
    <mergeCell ref="A3:F3"/>
    <mergeCell ref="A9:F9"/>
    <mergeCell ref="A28:F28"/>
    <mergeCell ref="A79:D79"/>
  </mergeCells>
  <conditionalFormatting sqref="G76:G77">
    <cfRule type="cellIs" dxfId="426" priority="1" operator="lessThan">
      <formula>0</formula>
    </cfRule>
  </conditionalFormatting>
  <conditionalFormatting sqref="C30">
    <cfRule type="duplicateValues" dxfId="425" priority="2"/>
  </conditionalFormatting>
  <conditionalFormatting sqref="C54:C56">
    <cfRule type="duplicateValues" dxfId="424" priority="590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sheetPr codeName="Sheet374">
    <pageSetUpPr fitToPage="1"/>
  </sheetPr>
  <dimension ref="A1:N109"/>
  <sheetViews>
    <sheetView zoomScaleNormal="100" workbookViewId="0">
      <selection sqref="A1:G1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1179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45117</v>
      </c>
      <c r="B5" s="9" t="s">
        <v>6</v>
      </c>
      <c r="C5" s="10" t="s">
        <v>7</v>
      </c>
      <c r="D5" s="11"/>
      <c r="E5" s="12">
        <v>372249.70000000019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372249.70000000019</v>
      </c>
      <c r="F6" s="16">
        <f>F5</f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+E6-F6</f>
        <v>372249.70000000019</v>
      </c>
      <c r="F7" s="22"/>
      <c r="G7" s="23"/>
      <c r="H7" s="112"/>
      <c r="I7" s="112"/>
      <c r="J7" s="13"/>
    </row>
    <row r="8" spans="1:10" ht="12.75" customHeight="1" x14ac:dyDescent="0.4">
      <c r="H8" s="112"/>
      <c r="I8" s="112"/>
    </row>
    <row r="9" spans="1:10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12"/>
    </row>
    <row r="10" spans="1:10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12"/>
    </row>
    <row r="11" spans="1:10" s="2" customFormat="1" ht="14.25" customHeight="1" x14ac:dyDescent="0.2">
      <c r="A11" s="127">
        <v>45117</v>
      </c>
      <c r="B11" s="9" t="s">
        <v>6</v>
      </c>
      <c r="C11" s="10" t="s">
        <v>7</v>
      </c>
      <c r="D11" s="11"/>
      <c r="F11" s="12">
        <v>28058301.400000006</v>
      </c>
      <c r="G11" s="1"/>
      <c r="H11" s="130" t="s">
        <v>396</v>
      </c>
      <c r="I11" s="130"/>
    </row>
    <row r="12" spans="1:10" s="2" customFormat="1" ht="14.25" customHeight="1" x14ac:dyDescent="0.2">
      <c r="A12" s="127">
        <v>45117</v>
      </c>
      <c r="B12" s="9" t="s">
        <v>6</v>
      </c>
      <c r="C12" s="76" t="s">
        <v>405</v>
      </c>
      <c r="D12" s="135" t="s">
        <v>13</v>
      </c>
      <c r="E12" s="2">
        <v>1519699</v>
      </c>
      <c r="F12" s="31"/>
      <c r="G12" s="1"/>
      <c r="H12" s="130"/>
      <c r="I12" s="130"/>
    </row>
    <row r="13" spans="1:10" s="2" customFormat="1" ht="12.75" customHeight="1" x14ac:dyDescent="0.4">
      <c r="D13" s="15" t="s">
        <v>8</v>
      </c>
      <c r="E13" s="16">
        <f>SUM(E12:E12)</f>
        <v>1519699</v>
      </c>
      <c r="F13" s="16">
        <f>SUM(F11:F12)</f>
        <v>28058301.400000006</v>
      </c>
      <c r="G13" s="1"/>
      <c r="H13" s="112"/>
      <c r="I13" s="112"/>
    </row>
    <row r="14" spans="1:10" s="2" customFormat="1" ht="12.75" customHeight="1" x14ac:dyDescent="0.4">
      <c r="A14" s="17"/>
      <c r="B14" s="18"/>
      <c r="C14" s="96" t="s">
        <v>9</v>
      </c>
      <c r="D14" s="20"/>
      <c r="E14" s="21">
        <f>+F13-E13</f>
        <v>26538602.400000006</v>
      </c>
      <c r="G14" s="23"/>
      <c r="H14" s="112"/>
      <c r="I14" s="112"/>
      <c r="J14" s="13"/>
    </row>
    <row r="15" spans="1:10" s="2" customFormat="1" ht="12.75" customHeight="1" x14ac:dyDescent="0.4">
      <c r="A15" s="24"/>
      <c r="B15" s="1"/>
      <c r="C15" s="14"/>
      <c r="D15" s="25"/>
      <c r="G15" s="23"/>
      <c r="H15" s="112"/>
      <c r="I15" s="112"/>
      <c r="J15" s="13"/>
    </row>
    <row r="16" spans="1:10" s="2" customFormat="1" ht="21.75" customHeight="1" x14ac:dyDescent="0.4">
      <c r="A16" s="214" t="s">
        <v>10</v>
      </c>
      <c r="B16" s="214"/>
      <c r="C16" s="214"/>
      <c r="D16" s="214"/>
      <c r="E16" s="214"/>
      <c r="F16" s="214"/>
      <c r="G16" s="13"/>
      <c r="H16" s="112"/>
      <c r="I16" s="112"/>
      <c r="J16" s="13"/>
    </row>
    <row r="17" spans="1:10" s="2" customFormat="1" ht="12.75" customHeight="1" x14ac:dyDescent="0.4">
      <c r="A17" s="26" t="s">
        <v>1</v>
      </c>
      <c r="B17" s="27" t="s">
        <v>2</v>
      </c>
      <c r="C17" s="5"/>
      <c r="D17" s="6" t="s">
        <v>3</v>
      </c>
      <c r="E17" s="7" t="s">
        <v>4</v>
      </c>
      <c r="F17" s="7" t="s">
        <v>5</v>
      </c>
      <c r="G17" s="23"/>
      <c r="H17" s="112"/>
      <c r="I17" s="112"/>
      <c r="J17" s="13"/>
    </row>
    <row r="18" spans="1:10" s="2" customFormat="1" ht="12.75" customHeight="1" x14ac:dyDescent="0.2">
      <c r="A18" s="127">
        <v>45117</v>
      </c>
      <c r="B18" s="128" t="s">
        <v>11</v>
      </c>
      <c r="C18" s="29" t="s">
        <v>7</v>
      </c>
      <c r="D18" s="25"/>
      <c r="E18" s="31"/>
      <c r="F18" s="2">
        <v>268888894.66999996</v>
      </c>
      <c r="G18" s="30"/>
      <c r="I18" s="13"/>
      <c r="J18" s="13"/>
    </row>
    <row r="19" spans="1:10" s="70" customFormat="1" ht="12.75" customHeight="1" x14ac:dyDescent="0.2">
      <c r="A19" s="127">
        <v>45117</v>
      </c>
      <c r="B19" s="128" t="s">
        <v>6</v>
      </c>
      <c r="C19" s="76" t="s">
        <v>543</v>
      </c>
      <c r="D19" s="125" t="s">
        <v>13</v>
      </c>
      <c r="E19" s="31">
        <v>275000</v>
      </c>
      <c r="G19" s="30"/>
      <c r="I19" s="69"/>
      <c r="J19" s="69"/>
    </row>
    <row r="20" spans="1:10" s="70" customFormat="1" ht="12.75" customHeight="1" x14ac:dyDescent="0.2">
      <c r="A20" s="127">
        <v>45117</v>
      </c>
      <c r="B20" s="128" t="s">
        <v>6</v>
      </c>
      <c r="C20" s="76" t="s">
        <v>624</v>
      </c>
      <c r="D20" s="125" t="s">
        <v>13</v>
      </c>
      <c r="E20" s="31">
        <v>9045</v>
      </c>
      <c r="G20" s="30"/>
      <c r="I20" s="69"/>
      <c r="J20" s="69"/>
    </row>
    <row r="21" spans="1:10" s="70" customFormat="1" ht="12.75" customHeight="1" x14ac:dyDescent="0.2">
      <c r="A21" s="127">
        <v>45117</v>
      </c>
      <c r="B21" s="128" t="s">
        <v>6</v>
      </c>
      <c r="C21" s="76" t="s">
        <v>788</v>
      </c>
      <c r="D21" s="125" t="s">
        <v>13</v>
      </c>
      <c r="E21" s="31">
        <v>378538</v>
      </c>
      <c r="G21" s="30"/>
      <c r="I21" s="69"/>
      <c r="J21" s="69"/>
    </row>
    <row r="22" spans="1:10" s="70" customFormat="1" ht="12.75" customHeight="1" x14ac:dyDescent="0.2">
      <c r="A22" s="127">
        <v>45117</v>
      </c>
      <c r="B22" s="128" t="s">
        <v>6</v>
      </c>
      <c r="C22" s="76" t="s">
        <v>161</v>
      </c>
      <c r="D22" s="125" t="s">
        <v>13</v>
      </c>
      <c r="E22" s="31">
        <v>14123</v>
      </c>
      <c r="G22" s="30"/>
      <c r="I22" s="69"/>
      <c r="J22" s="69"/>
    </row>
    <row r="23" spans="1:10" s="70" customFormat="1" ht="12.75" customHeight="1" x14ac:dyDescent="0.2">
      <c r="A23" s="127">
        <v>45117</v>
      </c>
      <c r="B23" s="128" t="s">
        <v>6</v>
      </c>
      <c r="C23" s="76" t="s">
        <v>1180</v>
      </c>
      <c r="D23" s="125" t="s">
        <v>13</v>
      </c>
      <c r="E23" s="31">
        <v>5880</v>
      </c>
      <c r="G23" s="30"/>
      <c r="I23" s="69"/>
      <c r="J23" s="69"/>
    </row>
    <row r="24" spans="1:10" s="70" customFormat="1" ht="12.75" customHeight="1" x14ac:dyDescent="0.2">
      <c r="A24" s="127">
        <v>45117</v>
      </c>
      <c r="B24" s="128" t="s">
        <v>6</v>
      </c>
      <c r="C24" s="76" t="s">
        <v>20</v>
      </c>
      <c r="D24" s="125" t="s">
        <v>13</v>
      </c>
      <c r="E24" s="31">
        <v>1029030</v>
      </c>
      <c r="G24" s="30"/>
      <c r="I24" s="69"/>
      <c r="J24" s="69"/>
    </row>
    <row r="25" spans="1:10" s="70" customFormat="1" ht="12.75" customHeight="1" x14ac:dyDescent="0.2">
      <c r="A25" s="127">
        <v>45117</v>
      </c>
      <c r="B25" s="128" t="s">
        <v>6</v>
      </c>
      <c r="C25" s="76" t="s">
        <v>15</v>
      </c>
      <c r="D25" s="125" t="s">
        <v>13</v>
      </c>
      <c r="E25" s="31">
        <v>432.59</v>
      </c>
      <c r="G25" s="30"/>
      <c r="I25" s="69"/>
      <c r="J25" s="69"/>
    </row>
    <row r="26" spans="1:10" s="70" customFormat="1" ht="12.75" customHeight="1" x14ac:dyDescent="0.2">
      <c r="A26" s="127">
        <v>45117</v>
      </c>
      <c r="B26" s="128" t="s">
        <v>6</v>
      </c>
      <c r="C26" s="76" t="s">
        <v>667</v>
      </c>
      <c r="D26" s="125" t="s">
        <v>13</v>
      </c>
      <c r="E26" s="31">
        <v>9450</v>
      </c>
      <c r="G26" s="30"/>
      <c r="I26" s="69"/>
      <c r="J26" s="69"/>
    </row>
    <row r="27" spans="1:10" s="70" customFormat="1" ht="12.75" customHeight="1" x14ac:dyDescent="0.2">
      <c r="A27" s="127">
        <v>45117</v>
      </c>
      <c r="B27" s="128" t="s">
        <v>6</v>
      </c>
      <c r="C27" s="76" t="s">
        <v>948</v>
      </c>
      <c r="D27" s="125" t="s">
        <v>13</v>
      </c>
      <c r="E27" s="31">
        <v>114755.72</v>
      </c>
      <c r="G27" s="30"/>
      <c r="I27" s="69"/>
      <c r="J27" s="69"/>
    </row>
    <row r="28" spans="1:10" s="70" customFormat="1" ht="12.75" customHeight="1" x14ac:dyDescent="0.2">
      <c r="A28" s="127">
        <v>45117</v>
      </c>
      <c r="B28" s="128" t="s">
        <v>6</v>
      </c>
      <c r="C28" s="76" t="s">
        <v>560</v>
      </c>
      <c r="D28" s="125" t="s">
        <v>13</v>
      </c>
      <c r="E28" s="31">
        <v>38134.589999999997</v>
      </c>
      <c r="G28" s="30"/>
      <c r="I28" s="69"/>
      <c r="J28" s="69"/>
    </row>
    <row r="29" spans="1:10" s="70" customFormat="1" ht="12.75" customHeight="1" x14ac:dyDescent="0.2">
      <c r="A29" s="127">
        <v>45117</v>
      </c>
      <c r="B29" s="128" t="s">
        <v>6</v>
      </c>
      <c r="C29" s="76" t="s">
        <v>389</v>
      </c>
      <c r="D29" s="125" t="s">
        <v>13</v>
      </c>
      <c r="E29" s="31">
        <v>422773.13</v>
      </c>
      <c r="G29" s="30"/>
      <c r="I29" s="69"/>
      <c r="J29" s="69"/>
    </row>
    <row r="30" spans="1:10" s="70" customFormat="1" ht="12.75" customHeight="1" x14ac:dyDescent="0.2">
      <c r="A30" s="127">
        <v>45117</v>
      </c>
      <c r="B30" s="128" t="s">
        <v>11</v>
      </c>
      <c r="C30" s="76" t="s">
        <v>111</v>
      </c>
      <c r="D30" s="125" t="s">
        <v>29</v>
      </c>
      <c r="E30" s="31"/>
      <c r="F30" s="70">
        <v>4455957.21</v>
      </c>
      <c r="G30" s="30"/>
      <c r="I30" s="69"/>
      <c r="J30" s="69"/>
    </row>
    <row r="31" spans="1:10" s="70" customFormat="1" ht="12.75" customHeight="1" x14ac:dyDescent="0.2">
      <c r="A31" s="127">
        <v>45117</v>
      </c>
      <c r="B31" s="128" t="s">
        <v>11</v>
      </c>
      <c r="C31" s="76" t="s">
        <v>64</v>
      </c>
      <c r="D31" s="125" t="s">
        <v>29</v>
      </c>
      <c r="E31" s="31"/>
      <c r="F31" s="70">
        <v>6663.26</v>
      </c>
      <c r="G31" s="30"/>
      <c r="I31" s="69"/>
      <c r="J31" s="69"/>
    </row>
    <row r="32" spans="1:10" s="70" customFormat="1" ht="12.75" customHeight="1" x14ac:dyDescent="0.2">
      <c r="A32" s="127">
        <v>45117</v>
      </c>
      <c r="B32" s="128" t="s">
        <v>11</v>
      </c>
      <c r="C32" s="76" t="s">
        <v>216</v>
      </c>
      <c r="D32" s="125" t="s">
        <v>29</v>
      </c>
      <c r="E32" s="31"/>
      <c r="F32" s="70">
        <v>201889</v>
      </c>
      <c r="G32" s="30"/>
      <c r="I32" s="69"/>
      <c r="J32" s="69"/>
    </row>
    <row r="33" spans="1:10" s="70" customFormat="1" ht="12.75" customHeight="1" x14ac:dyDescent="0.2">
      <c r="A33" s="127">
        <v>45117</v>
      </c>
      <c r="B33" s="128" t="s">
        <v>11</v>
      </c>
      <c r="C33" s="76" t="s">
        <v>218</v>
      </c>
      <c r="D33" s="125" t="s">
        <v>29</v>
      </c>
      <c r="E33" s="31"/>
      <c r="F33" s="70">
        <v>53355</v>
      </c>
      <c r="G33" s="30"/>
      <c r="I33" s="69"/>
      <c r="J33" s="69"/>
    </row>
    <row r="34" spans="1:10" s="70" customFormat="1" ht="12.75" customHeight="1" x14ac:dyDescent="0.2">
      <c r="A34" s="127">
        <v>45117</v>
      </c>
      <c r="B34" s="128" t="s">
        <v>11</v>
      </c>
      <c r="C34" s="76" t="s">
        <v>110</v>
      </c>
      <c r="D34" s="125" t="s">
        <v>29</v>
      </c>
      <c r="E34" s="31"/>
      <c r="F34" s="70">
        <v>993924.39</v>
      </c>
      <c r="G34" s="30"/>
      <c r="I34" s="69"/>
      <c r="J34" s="69"/>
    </row>
    <row r="35" spans="1:10" s="70" customFormat="1" ht="12.75" customHeight="1" x14ac:dyDescent="0.2">
      <c r="A35" s="127">
        <v>45117</v>
      </c>
      <c r="B35" s="128" t="s">
        <v>11</v>
      </c>
      <c r="C35" s="76" t="s">
        <v>107</v>
      </c>
      <c r="D35" s="125" t="s">
        <v>29</v>
      </c>
      <c r="E35" s="31"/>
      <c r="F35" s="70">
        <v>342359.61</v>
      </c>
      <c r="G35" s="30"/>
      <c r="I35" s="69"/>
      <c r="J35" s="69"/>
    </row>
    <row r="36" spans="1:10" s="70" customFormat="1" ht="12.75" customHeight="1" x14ac:dyDescent="0.2">
      <c r="A36" s="127">
        <v>45117</v>
      </c>
      <c r="B36" s="128" t="s">
        <v>11</v>
      </c>
      <c r="C36" s="76" t="s">
        <v>723</v>
      </c>
      <c r="D36" s="125" t="s">
        <v>29</v>
      </c>
      <c r="E36" s="31"/>
      <c r="F36" s="70">
        <v>2936138.1</v>
      </c>
      <c r="G36" s="30"/>
      <c r="I36" s="69"/>
      <c r="J36" s="69"/>
    </row>
    <row r="37" spans="1:10" s="70" customFormat="1" ht="12.75" customHeight="1" x14ac:dyDescent="0.2">
      <c r="A37" s="127">
        <v>45117</v>
      </c>
      <c r="B37" s="128" t="s">
        <v>11</v>
      </c>
      <c r="C37" s="76" t="s">
        <v>745</v>
      </c>
      <c r="D37" s="125" t="s">
        <v>29</v>
      </c>
      <c r="E37" s="31"/>
      <c r="F37" s="70">
        <v>281744</v>
      </c>
      <c r="G37" s="30"/>
      <c r="I37" s="69"/>
      <c r="J37" s="69"/>
    </row>
    <row r="38" spans="1:10" s="70" customFormat="1" ht="12.75" customHeight="1" x14ac:dyDescent="0.2">
      <c r="A38" s="127">
        <v>45117</v>
      </c>
      <c r="B38" s="128" t="s">
        <v>11</v>
      </c>
      <c r="C38" s="76" t="s">
        <v>849</v>
      </c>
      <c r="D38" s="125" t="s">
        <v>29</v>
      </c>
      <c r="E38" s="31"/>
      <c r="F38" s="70">
        <v>422226</v>
      </c>
      <c r="G38" s="30"/>
      <c r="I38" s="69"/>
      <c r="J38" s="69"/>
    </row>
    <row r="39" spans="1:10" s="70" customFormat="1" ht="12.75" customHeight="1" x14ac:dyDescent="0.2">
      <c r="A39" s="127">
        <v>45117</v>
      </c>
      <c r="B39" s="128" t="s">
        <v>11</v>
      </c>
      <c r="C39" s="76" t="s">
        <v>790</v>
      </c>
      <c r="D39" s="125" t="s">
        <v>29</v>
      </c>
      <c r="E39" s="31"/>
      <c r="F39" s="70">
        <v>1158875</v>
      </c>
      <c r="G39" s="30"/>
      <c r="I39" s="69"/>
      <c r="J39" s="69"/>
    </row>
    <row r="40" spans="1:10" s="70" customFormat="1" ht="12.75" customHeight="1" x14ac:dyDescent="0.2">
      <c r="A40" s="127">
        <v>45117</v>
      </c>
      <c r="B40" s="128" t="s">
        <v>11</v>
      </c>
      <c r="C40" s="76" t="s">
        <v>193</v>
      </c>
      <c r="D40" s="125" t="s">
        <v>29</v>
      </c>
      <c r="E40" s="31"/>
      <c r="F40" s="70">
        <v>746314</v>
      </c>
      <c r="G40" s="30"/>
      <c r="I40" s="69"/>
      <c r="J40" s="69"/>
    </row>
    <row r="41" spans="1:10" s="70" customFormat="1" ht="12.75" customHeight="1" x14ac:dyDescent="0.2">
      <c r="A41" s="127">
        <v>45117</v>
      </c>
      <c r="B41" s="128" t="s">
        <v>11</v>
      </c>
      <c r="C41" s="76" t="s">
        <v>194</v>
      </c>
      <c r="D41" s="125" t="s">
        <v>29</v>
      </c>
      <c r="E41" s="31"/>
      <c r="F41" s="70">
        <v>700618</v>
      </c>
      <c r="G41" s="30"/>
      <c r="I41" s="69"/>
      <c r="J41" s="69"/>
    </row>
    <row r="42" spans="1:10" s="70" customFormat="1" ht="12.75" customHeight="1" x14ac:dyDescent="0.2">
      <c r="A42" s="127">
        <v>45117</v>
      </c>
      <c r="B42" s="128" t="s">
        <v>11</v>
      </c>
      <c r="C42" s="76" t="s">
        <v>300</v>
      </c>
      <c r="D42" s="125" t="s">
        <v>29</v>
      </c>
      <c r="E42" s="31"/>
      <c r="F42" s="70">
        <v>91089.5</v>
      </c>
      <c r="G42" s="30"/>
      <c r="I42" s="69"/>
      <c r="J42" s="69"/>
    </row>
    <row r="43" spans="1:10" s="70" customFormat="1" ht="12.75" customHeight="1" x14ac:dyDescent="0.2">
      <c r="A43" s="127">
        <v>45117</v>
      </c>
      <c r="B43" s="128" t="s">
        <v>11</v>
      </c>
      <c r="C43" s="76" t="s">
        <v>139</v>
      </c>
      <c r="D43" s="125" t="s">
        <v>29</v>
      </c>
      <c r="E43" s="31"/>
      <c r="F43" s="70">
        <v>564553</v>
      </c>
      <c r="G43" s="30"/>
      <c r="I43" s="69"/>
      <c r="J43" s="69"/>
    </row>
    <row r="44" spans="1:10" s="70" customFormat="1" ht="12.75" customHeight="1" x14ac:dyDescent="0.2">
      <c r="A44" s="127">
        <v>45117</v>
      </c>
      <c r="B44" s="128" t="s">
        <v>11</v>
      </c>
      <c r="C44" s="76" t="s">
        <v>232</v>
      </c>
      <c r="D44" s="125" t="s">
        <v>29</v>
      </c>
      <c r="E44" s="31"/>
      <c r="F44" s="70">
        <v>16833</v>
      </c>
      <c r="G44" s="30"/>
      <c r="I44" s="69"/>
      <c r="J44" s="69"/>
    </row>
    <row r="45" spans="1:10" s="70" customFormat="1" ht="12.75" customHeight="1" x14ac:dyDescent="0.2">
      <c r="A45" s="127">
        <v>45117</v>
      </c>
      <c r="B45" s="128" t="s">
        <v>11</v>
      </c>
      <c r="C45" s="76" t="s">
        <v>57</v>
      </c>
      <c r="D45" s="125" t="s">
        <v>29</v>
      </c>
      <c r="E45" s="31"/>
      <c r="F45" s="70">
        <v>1000000</v>
      </c>
      <c r="G45" s="30"/>
      <c r="I45" s="69"/>
      <c r="J45" s="69"/>
    </row>
    <row r="46" spans="1:10" s="70" customFormat="1" ht="12.75" customHeight="1" x14ac:dyDescent="0.2">
      <c r="A46" s="127">
        <v>45117</v>
      </c>
      <c r="B46" s="128" t="s">
        <v>11</v>
      </c>
      <c r="C46" s="76" t="s">
        <v>60</v>
      </c>
      <c r="D46" s="125" t="s">
        <v>29</v>
      </c>
      <c r="E46" s="31"/>
      <c r="F46" s="70">
        <v>109227</v>
      </c>
      <c r="G46" s="30"/>
      <c r="I46" s="69"/>
      <c r="J46" s="69"/>
    </row>
    <row r="47" spans="1:10" s="70" customFormat="1" ht="12.75" customHeight="1" x14ac:dyDescent="0.2">
      <c r="A47" s="127">
        <v>45117</v>
      </c>
      <c r="B47" s="128" t="s">
        <v>11</v>
      </c>
      <c r="C47" s="76" t="s">
        <v>25</v>
      </c>
      <c r="D47" s="125" t="s">
        <v>29</v>
      </c>
      <c r="E47" s="31"/>
      <c r="F47" s="70">
        <v>1000000</v>
      </c>
      <c r="G47" s="30"/>
      <c r="I47" s="69"/>
      <c r="J47" s="69"/>
    </row>
    <row r="48" spans="1:10" s="70" customFormat="1" ht="12.75" customHeight="1" x14ac:dyDescent="0.2">
      <c r="A48" s="127">
        <v>45117</v>
      </c>
      <c r="B48" s="128" t="s">
        <v>11</v>
      </c>
      <c r="C48" s="76" t="s">
        <v>217</v>
      </c>
      <c r="D48" s="125" t="s">
        <v>29</v>
      </c>
      <c r="E48" s="31"/>
      <c r="F48" s="70">
        <v>51995</v>
      </c>
      <c r="G48" s="30"/>
      <c r="I48" s="69"/>
      <c r="J48" s="69"/>
    </row>
    <row r="49" spans="1:14" s="70" customFormat="1" ht="12.75" customHeight="1" x14ac:dyDescent="0.2">
      <c r="A49" s="127">
        <v>45117</v>
      </c>
      <c r="B49" s="128" t="s">
        <v>11</v>
      </c>
      <c r="C49" s="76" t="s">
        <v>1181</v>
      </c>
      <c r="D49" s="125" t="s">
        <v>29</v>
      </c>
      <c r="E49" s="31"/>
      <c r="F49" s="31">
        <v>55480</v>
      </c>
      <c r="G49" s="30"/>
      <c r="I49" s="69"/>
      <c r="J49" s="69"/>
    </row>
    <row r="50" spans="1:14" s="2" customFormat="1" ht="12.75" customHeight="1" x14ac:dyDescent="0.25">
      <c r="A50" s="32"/>
      <c r="B50" s="33"/>
      <c r="C50" s="14"/>
      <c r="D50" s="34"/>
      <c r="E50" s="16">
        <f>SUM(E18:E49)</f>
        <v>2297162.0300000003</v>
      </c>
      <c r="F50" s="16">
        <f>SUM(F18:F49)</f>
        <v>284078135.73999995</v>
      </c>
      <c r="G50" s="30"/>
      <c r="H50" s="1"/>
      <c r="I50" s="39">
        <v>281780973.70999998</v>
      </c>
      <c r="J50" s="2" t="s">
        <v>396</v>
      </c>
      <c r="K50" s="92">
        <f>E51-I50</f>
        <v>0</v>
      </c>
      <c r="L50" s="41"/>
      <c r="M50" s="42"/>
    </row>
    <row r="51" spans="1:14" s="2" customFormat="1" ht="12.75" customHeight="1" x14ac:dyDescent="0.2">
      <c r="A51" s="36"/>
      <c r="B51" s="28" t="s">
        <v>11</v>
      </c>
      <c r="C51" s="19" t="s">
        <v>65</v>
      </c>
      <c r="D51" s="37"/>
      <c r="E51" s="38">
        <f>F50-E50</f>
        <v>281780973.70999998</v>
      </c>
      <c r="F51" s="22"/>
      <c r="G51" s="1"/>
      <c r="H51" s="1"/>
      <c r="J51" s="1"/>
      <c r="K51" s="1"/>
      <c r="L51" s="1"/>
      <c r="M51" s="1"/>
    </row>
    <row r="52" spans="1:14" s="2" customFormat="1" ht="12.75" customHeight="1" x14ac:dyDescent="0.2">
      <c r="A52" s="36"/>
      <c r="B52" s="28" t="s">
        <v>66</v>
      </c>
      <c r="C52" s="43" t="s">
        <v>67</v>
      </c>
      <c r="D52" s="43"/>
      <c r="E52" s="12">
        <v>59416310</v>
      </c>
      <c r="F52" s="22"/>
      <c r="G52" s="1"/>
      <c r="H52" s="40"/>
      <c r="I52" s="45">
        <v>1281.52</v>
      </c>
      <c r="J52" s="46"/>
      <c r="K52" s="46"/>
      <c r="L52" s="13"/>
    </row>
    <row r="53" spans="1:14" s="2" customFormat="1" ht="12.75" customHeight="1" x14ac:dyDescent="0.25">
      <c r="A53" s="36"/>
      <c r="B53" s="28"/>
      <c r="C53" s="44" t="s">
        <v>68</v>
      </c>
      <c r="D53" s="43"/>
      <c r="E53" s="7">
        <f>E51+E52</f>
        <v>341197283.70999998</v>
      </c>
      <c r="F53" s="22"/>
      <c r="G53" s="1"/>
      <c r="H53" s="103" t="s">
        <v>69</v>
      </c>
      <c r="I53" s="45">
        <v>-15.27</v>
      </c>
      <c r="J53" s="46"/>
      <c r="K53" s="46"/>
      <c r="N53" s="1"/>
    </row>
    <row r="54" spans="1:14" s="2" customFormat="1" x14ac:dyDescent="0.2">
      <c r="A54" s="24"/>
      <c r="B54" s="1"/>
      <c r="C54" s="14"/>
      <c r="D54" s="25"/>
      <c r="E54" s="1"/>
      <c r="H54" s="35" t="s">
        <v>70</v>
      </c>
      <c r="I54" s="45">
        <v>0</v>
      </c>
      <c r="J54" s="46">
        <f>+I55-D57</f>
        <v>0</v>
      </c>
      <c r="M54" s="2" t="s">
        <v>396</v>
      </c>
      <c r="N54" s="1"/>
    </row>
    <row r="55" spans="1:14" x14ac:dyDescent="0.2">
      <c r="C55" s="56"/>
      <c r="D55" s="56"/>
      <c r="E55" s="104"/>
      <c r="I55" s="49">
        <f>SUM(I52:I54)</f>
        <v>1266.25</v>
      </c>
      <c r="J55" s="46"/>
      <c r="K55" s="46"/>
      <c r="L55" s="2"/>
      <c r="M55" s="2"/>
      <c r="N55" s="2"/>
    </row>
    <row r="56" spans="1:14" x14ac:dyDescent="0.2">
      <c r="C56" s="78" t="s">
        <v>575</v>
      </c>
      <c r="D56" s="48" t="s">
        <v>576</v>
      </c>
      <c r="E56" s="104"/>
      <c r="I56" s="2"/>
      <c r="J56" s="2"/>
      <c r="K56" s="2"/>
      <c r="L56" s="2"/>
      <c r="M56" s="2"/>
      <c r="N56" s="2"/>
    </row>
    <row r="57" spans="1:14" s="2" customFormat="1" x14ac:dyDescent="0.2">
      <c r="A57" s="24"/>
      <c r="B57" s="1"/>
      <c r="C57" s="47" t="s">
        <v>570</v>
      </c>
      <c r="D57" s="111">
        <v>1266.25</v>
      </c>
      <c r="E57" s="104"/>
      <c r="G57" s="1"/>
      <c r="H57" s="110" t="s">
        <v>581</v>
      </c>
      <c r="N57" s="2" t="s">
        <v>535</v>
      </c>
    </row>
    <row r="58" spans="1:14" s="2" customFormat="1" x14ac:dyDescent="0.2">
      <c r="A58" s="24"/>
      <c r="B58" s="1"/>
      <c r="C58" s="47" t="s">
        <v>931</v>
      </c>
      <c r="D58" s="111">
        <v>90.62</v>
      </c>
      <c r="E58" s="104"/>
      <c r="G58" s="1"/>
      <c r="H58" s="110" t="s">
        <v>580</v>
      </c>
    </row>
    <row r="59" spans="1:14" s="2" customFormat="1" x14ac:dyDescent="0.2">
      <c r="A59" s="24"/>
      <c r="B59" s="1"/>
      <c r="C59" s="47" t="s">
        <v>572</v>
      </c>
      <c r="D59" s="111">
        <f>+D93/100000</f>
        <v>213.43547920000003</v>
      </c>
      <c r="E59" s="104"/>
      <c r="G59" s="1"/>
      <c r="H59" s="90" t="s">
        <v>587</v>
      </c>
    </row>
    <row r="60" spans="1:14" s="2" customFormat="1" x14ac:dyDescent="0.2">
      <c r="A60" s="24"/>
      <c r="B60" s="1"/>
      <c r="C60" s="108" t="s">
        <v>578</v>
      </c>
      <c r="D60" s="48">
        <f>SUM(D57:D59)</f>
        <v>1570.3054791999998</v>
      </c>
      <c r="E60" s="104"/>
      <c r="G60" s="1"/>
    </row>
    <row r="61" spans="1:14" s="2" customFormat="1" x14ac:dyDescent="0.2">
      <c r="A61" s="24"/>
      <c r="B61" s="1"/>
      <c r="C61" s="47"/>
      <c r="D61" s="107"/>
      <c r="E61" s="104"/>
      <c r="G61" s="1"/>
    </row>
    <row r="62" spans="1:14" s="2" customFormat="1" x14ac:dyDescent="0.2">
      <c r="A62" s="24"/>
      <c r="B62" s="1"/>
      <c r="C62" s="47" t="s">
        <v>932</v>
      </c>
      <c r="D62" s="111">
        <v>68.819999999999993</v>
      </c>
      <c r="E62" s="104"/>
      <c r="G62" s="1"/>
      <c r="H62" s="110" t="s">
        <v>581</v>
      </c>
    </row>
    <row r="63" spans="1:14" s="2" customFormat="1" x14ac:dyDescent="0.2">
      <c r="A63" s="24"/>
      <c r="B63" s="1"/>
      <c r="C63" s="136" t="s">
        <v>1142</v>
      </c>
      <c r="D63" s="111">
        <f>136-34.53</f>
        <v>101.47</v>
      </c>
      <c r="E63" s="104"/>
      <c r="G63" s="1"/>
      <c r="H63" s="110" t="s">
        <v>581</v>
      </c>
      <c r="J63" s="114" t="s">
        <v>713</v>
      </c>
    </row>
    <row r="64" spans="1:14" s="2" customFormat="1" x14ac:dyDescent="0.2">
      <c r="A64" s="24"/>
      <c r="B64" s="1"/>
      <c r="C64" s="78" t="s">
        <v>579</v>
      </c>
      <c r="D64" s="109">
        <f>D62+D63</f>
        <v>170.29</v>
      </c>
      <c r="E64" s="104"/>
      <c r="G64" s="1"/>
      <c r="I64" s="113"/>
      <c r="J64" s="113" t="s">
        <v>709</v>
      </c>
      <c r="K64" s="113" t="s">
        <v>710</v>
      </c>
      <c r="L64" s="113" t="s">
        <v>711</v>
      </c>
      <c r="M64" s="113" t="s">
        <v>712</v>
      </c>
    </row>
    <row r="65" spans="1:13" s="2" customFormat="1" x14ac:dyDescent="0.2">
      <c r="A65" s="24"/>
      <c r="B65" s="1"/>
      <c r="C65" s="105"/>
      <c r="D65" s="106"/>
      <c r="E65" s="104"/>
      <c r="G65" s="1"/>
      <c r="I65" s="113" t="s">
        <v>706</v>
      </c>
      <c r="J65" s="115"/>
      <c r="K65" s="115">
        <v>968.99</v>
      </c>
      <c r="L65" s="115">
        <v>968.99</v>
      </c>
      <c r="M65" s="113">
        <f>+J65+L65-K65</f>
        <v>0</v>
      </c>
    </row>
    <row r="66" spans="1:13" s="2" customFormat="1" x14ac:dyDescent="0.2">
      <c r="A66" s="24"/>
      <c r="B66" s="1"/>
      <c r="C66" s="78" t="s">
        <v>577</v>
      </c>
      <c r="D66" s="109">
        <f>D57+D64</f>
        <v>1436.54</v>
      </c>
      <c r="E66" s="104"/>
      <c r="G66" s="1"/>
      <c r="I66" s="113" t="s">
        <v>707</v>
      </c>
      <c r="J66" s="115">
        <v>183.1</v>
      </c>
      <c r="K66" s="115">
        <v>2576.89</v>
      </c>
      <c r="L66" s="115">
        <v>3305.8</v>
      </c>
      <c r="M66" s="113">
        <f>+J66+L66-K66</f>
        <v>912.01000000000022</v>
      </c>
    </row>
    <row r="67" spans="1:13" s="2" customFormat="1" x14ac:dyDescent="0.2">
      <c r="A67" s="24"/>
      <c r="B67" s="1"/>
      <c r="C67" s="56"/>
      <c r="D67" s="56"/>
      <c r="E67" s="104"/>
      <c r="G67" s="1"/>
      <c r="I67" s="113" t="s">
        <v>708</v>
      </c>
      <c r="J67" s="115">
        <v>1371.02</v>
      </c>
      <c r="K67" s="115">
        <v>12564.07</v>
      </c>
      <c r="L67" s="115">
        <v>12540.22</v>
      </c>
      <c r="M67" s="113">
        <f>+J67+L67-K67</f>
        <v>1347.17</v>
      </c>
    </row>
    <row r="68" spans="1:13" s="2" customFormat="1" ht="38.25" x14ac:dyDescent="0.2">
      <c r="A68" s="24"/>
      <c r="B68" s="1"/>
      <c r="C68" s="79" t="str">
        <f>"Particulars ( 01-04-2021 to "&amp;TEXT(A5,"dd-mm-yyyy")&amp;" )"</f>
        <v>Particulars ( 01-04-2021 to 10-07-2023 )</v>
      </c>
      <c r="D68" s="80" t="s">
        <v>73</v>
      </c>
      <c r="E68" s="80" t="s">
        <v>74</v>
      </c>
      <c r="F68" s="81" t="s">
        <v>75</v>
      </c>
      <c r="G68" s="80" t="s">
        <v>76</v>
      </c>
      <c r="J68" s="118">
        <f>SUM(J65:J67)</f>
        <v>1554.12</v>
      </c>
      <c r="K68" s="118">
        <f>SUM(K65:K67)</f>
        <v>16109.95</v>
      </c>
      <c r="L68" s="118">
        <f>SUM(L65:L67)</f>
        <v>16815.009999999998</v>
      </c>
      <c r="M68" s="118">
        <f>SUM(M65:M67)</f>
        <v>2259.1800000000003</v>
      </c>
    </row>
    <row r="69" spans="1:13" s="2" customFormat="1" x14ac:dyDescent="0.2">
      <c r="A69" s="24"/>
      <c r="B69" s="1"/>
      <c r="C69" s="50" t="s">
        <v>444</v>
      </c>
      <c r="D69" s="55">
        <f>+L65+L66+J66</f>
        <v>4457.8900000000003</v>
      </c>
      <c r="E69" s="55">
        <f>+K65+K66</f>
        <v>3545.88</v>
      </c>
      <c r="F69" s="55">
        <f>+D69-E69</f>
        <v>912.01000000000022</v>
      </c>
      <c r="G69" s="55">
        <f>1500-F69</f>
        <v>587.98999999999978</v>
      </c>
      <c r="H69" s="2" t="s">
        <v>396</v>
      </c>
    </row>
    <row r="70" spans="1:13" s="2" customFormat="1" x14ac:dyDescent="0.2">
      <c r="A70" s="24"/>
      <c r="B70" s="1"/>
      <c r="C70" s="50" t="s">
        <v>71</v>
      </c>
      <c r="D70" s="55">
        <f>+J67+L67</f>
        <v>13911.24</v>
      </c>
      <c r="E70" s="55">
        <f>+K67</f>
        <v>12564.07</v>
      </c>
      <c r="F70" s="55">
        <f>+D70-E70</f>
        <v>1347.17</v>
      </c>
      <c r="G70" s="55">
        <f>1500+700-F70</f>
        <v>852.82999999999993</v>
      </c>
      <c r="H70" s="2" t="s">
        <v>396</v>
      </c>
    </row>
    <row r="71" spans="1:13" s="2" customFormat="1" x14ac:dyDescent="0.2">
      <c r="A71" s="24"/>
      <c r="B71" s="1"/>
      <c r="C71" s="14"/>
      <c r="D71" s="56"/>
      <c r="E71" s="13"/>
      <c r="G71" s="1"/>
    </row>
    <row r="72" spans="1:13" s="2" customFormat="1" x14ac:dyDescent="0.2">
      <c r="A72" s="215" t="s">
        <v>80</v>
      </c>
      <c r="B72" s="216"/>
      <c r="C72" s="216"/>
      <c r="D72" s="217"/>
      <c r="E72" s="69"/>
      <c r="F72" s="70"/>
      <c r="G72" s="1"/>
      <c r="H72" s="53"/>
    </row>
    <row r="73" spans="1:13" s="2" customFormat="1" x14ac:dyDescent="0.2">
      <c r="A73" s="71" t="s">
        <v>81</v>
      </c>
      <c r="B73" s="71"/>
      <c r="C73" s="72" t="s">
        <v>82</v>
      </c>
      <c r="D73" s="73" t="s">
        <v>83</v>
      </c>
      <c r="E73" s="69"/>
      <c r="F73" s="70"/>
      <c r="H73" s="53"/>
    </row>
    <row r="74" spans="1:13" s="2" customFormat="1" x14ac:dyDescent="0.2">
      <c r="A74" s="87">
        <v>45108</v>
      </c>
      <c r="B74" s="120" t="s">
        <v>1052</v>
      </c>
      <c r="C74" s="75" t="s">
        <v>84</v>
      </c>
      <c r="D74" s="88">
        <v>3000000</v>
      </c>
      <c r="G74" s="1"/>
      <c r="L74" s="1"/>
      <c r="M74" s="1"/>
    </row>
    <row r="75" spans="1:13" s="2" customFormat="1" x14ac:dyDescent="0.2">
      <c r="A75" s="87">
        <v>45108</v>
      </c>
      <c r="B75" s="120" t="s">
        <v>1052</v>
      </c>
      <c r="C75" s="75" t="s">
        <v>271</v>
      </c>
      <c r="D75" s="88">
        <v>2323148</v>
      </c>
      <c r="G75" s="1"/>
      <c r="L75" s="1"/>
      <c r="M75" s="1"/>
    </row>
    <row r="76" spans="1:13" s="2" customFormat="1" x14ac:dyDescent="0.2">
      <c r="A76" s="87">
        <v>45110</v>
      </c>
      <c r="B76" s="120" t="s">
        <v>1052</v>
      </c>
      <c r="C76" s="75" t="s">
        <v>85</v>
      </c>
      <c r="D76" s="88">
        <v>732575</v>
      </c>
      <c r="G76" s="1"/>
      <c r="L76" s="1"/>
      <c r="M76" s="1"/>
    </row>
    <row r="77" spans="1:13" s="2" customFormat="1" x14ac:dyDescent="0.2">
      <c r="A77" s="87">
        <v>45110</v>
      </c>
      <c r="B77" s="120" t="s">
        <v>1052</v>
      </c>
      <c r="C77" s="75" t="s">
        <v>86</v>
      </c>
      <c r="D77" s="88">
        <v>2676974</v>
      </c>
      <c r="G77" s="1"/>
      <c r="L77" s="1"/>
      <c r="M77" s="1"/>
    </row>
    <row r="78" spans="1:13" s="2" customFormat="1" x14ac:dyDescent="0.2">
      <c r="A78" s="87">
        <v>45110</v>
      </c>
      <c r="B78" s="120" t="s">
        <v>1052</v>
      </c>
      <c r="C78" s="75" t="s">
        <v>86</v>
      </c>
      <c r="D78" s="88">
        <v>1043475</v>
      </c>
      <c r="G78" s="1"/>
      <c r="L78" s="1"/>
      <c r="M78" s="1"/>
    </row>
    <row r="79" spans="1:13" s="2" customFormat="1" x14ac:dyDescent="0.2">
      <c r="A79" s="87">
        <v>45111</v>
      </c>
      <c r="B79" s="120" t="s">
        <v>1052</v>
      </c>
      <c r="C79" s="75" t="s">
        <v>270</v>
      </c>
      <c r="D79" s="88">
        <v>106093</v>
      </c>
      <c r="G79" s="1"/>
      <c r="L79" s="1"/>
      <c r="M79" s="1"/>
    </row>
    <row r="80" spans="1:13" s="2" customFormat="1" x14ac:dyDescent="0.2">
      <c r="A80" s="87">
        <v>45111</v>
      </c>
      <c r="B80" s="120" t="s">
        <v>1052</v>
      </c>
      <c r="C80" s="75" t="s">
        <v>270</v>
      </c>
      <c r="D80" s="88">
        <v>102393</v>
      </c>
      <c r="G80" s="1"/>
      <c r="L80" s="1"/>
      <c r="M80" s="1"/>
    </row>
    <row r="81" spans="1:13" s="2" customFormat="1" x14ac:dyDescent="0.2">
      <c r="A81" s="87">
        <v>45111</v>
      </c>
      <c r="B81" s="120" t="s">
        <v>1052</v>
      </c>
      <c r="C81" s="75" t="s">
        <v>270</v>
      </c>
      <c r="D81" s="88">
        <v>716336</v>
      </c>
      <c r="G81" s="1"/>
      <c r="L81" s="1"/>
      <c r="M81" s="1"/>
    </row>
    <row r="82" spans="1:13" s="2" customFormat="1" x14ac:dyDescent="0.2">
      <c r="A82" s="87">
        <v>45111</v>
      </c>
      <c r="B82" s="120" t="s">
        <v>1052</v>
      </c>
      <c r="C82" s="75" t="s">
        <v>270</v>
      </c>
      <c r="D82" s="88">
        <v>2504631</v>
      </c>
      <c r="G82" s="1"/>
      <c r="L82" s="1"/>
      <c r="M82" s="1"/>
    </row>
    <row r="83" spans="1:13" s="2" customFormat="1" x14ac:dyDescent="0.2">
      <c r="A83" s="87">
        <v>45111</v>
      </c>
      <c r="B83" s="120" t="s">
        <v>1052</v>
      </c>
      <c r="C83" s="75" t="s">
        <v>270</v>
      </c>
      <c r="D83" s="88">
        <v>141433.92000000001</v>
      </c>
      <c r="G83" s="1"/>
      <c r="L83" s="1"/>
      <c r="M83" s="1"/>
    </row>
    <row r="84" spans="1:13" s="2" customFormat="1" x14ac:dyDescent="0.2">
      <c r="A84" s="87">
        <v>45111</v>
      </c>
      <c r="B84" s="120" t="s">
        <v>1052</v>
      </c>
      <c r="C84" s="75" t="s">
        <v>271</v>
      </c>
      <c r="D84" s="88">
        <v>485258</v>
      </c>
      <c r="G84" s="1"/>
      <c r="L84" s="1"/>
      <c r="M84" s="1"/>
    </row>
    <row r="85" spans="1:13" s="2" customFormat="1" x14ac:dyDescent="0.2">
      <c r="A85" s="87">
        <v>45112</v>
      </c>
      <c r="B85" s="120" t="s">
        <v>1052</v>
      </c>
      <c r="C85" s="75" t="s">
        <v>85</v>
      </c>
      <c r="D85" s="88">
        <v>216478</v>
      </c>
      <c r="G85" s="1"/>
      <c r="L85" s="1"/>
      <c r="M85" s="1"/>
    </row>
    <row r="86" spans="1:13" s="2" customFormat="1" x14ac:dyDescent="0.2">
      <c r="A86" s="87">
        <v>45114</v>
      </c>
      <c r="B86" s="120" t="s">
        <v>1052</v>
      </c>
      <c r="C86" s="75" t="s">
        <v>270</v>
      </c>
      <c r="D86" s="88">
        <v>886333</v>
      </c>
      <c r="G86" s="1"/>
      <c r="L86" s="1"/>
      <c r="M86" s="1"/>
    </row>
    <row r="87" spans="1:13" s="2" customFormat="1" x14ac:dyDescent="0.2">
      <c r="A87" s="87">
        <v>45114</v>
      </c>
      <c r="B87" s="120" t="s">
        <v>1052</v>
      </c>
      <c r="C87" s="75" t="s">
        <v>270</v>
      </c>
      <c r="D87" s="88">
        <v>3119806</v>
      </c>
      <c r="G87" s="1"/>
      <c r="L87" s="1"/>
      <c r="M87" s="1"/>
    </row>
    <row r="88" spans="1:13" s="2" customFormat="1" x14ac:dyDescent="0.2">
      <c r="A88" s="87">
        <v>45114</v>
      </c>
      <c r="B88" s="120" t="s">
        <v>1052</v>
      </c>
      <c r="C88" s="75" t="s">
        <v>271</v>
      </c>
      <c r="D88" s="88">
        <v>151160</v>
      </c>
      <c r="G88" s="1"/>
      <c r="L88" s="1"/>
      <c r="M88" s="1"/>
    </row>
    <row r="89" spans="1:13" s="2" customFormat="1" x14ac:dyDescent="0.2">
      <c r="A89" s="87">
        <v>45114</v>
      </c>
      <c r="B89" s="120" t="s">
        <v>1052</v>
      </c>
      <c r="C89" s="75" t="s">
        <v>271</v>
      </c>
      <c r="D89" s="88">
        <v>285195</v>
      </c>
      <c r="G89" s="1"/>
      <c r="L89" s="1"/>
      <c r="M89" s="1"/>
    </row>
    <row r="90" spans="1:13" s="2" customFormat="1" x14ac:dyDescent="0.2">
      <c r="A90" s="87">
        <v>45114</v>
      </c>
      <c r="B90" s="120" t="s">
        <v>1052</v>
      </c>
      <c r="C90" s="75" t="s">
        <v>201</v>
      </c>
      <c r="D90" s="88">
        <v>128135</v>
      </c>
      <c r="G90" s="1"/>
      <c r="L90" s="1"/>
      <c r="M90" s="1"/>
    </row>
    <row r="91" spans="1:13" s="2" customFormat="1" x14ac:dyDescent="0.2">
      <c r="A91" s="87">
        <v>45114</v>
      </c>
      <c r="B91" s="120" t="s">
        <v>1052</v>
      </c>
      <c r="C91" s="75" t="s">
        <v>323</v>
      </c>
      <c r="D91" s="88">
        <v>2313089</v>
      </c>
      <c r="G91" s="1"/>
      <c r="L91" s="1"/>
      <c r="M91" s="1"/>
    </row>
    <row r="92" spans="1:13" s="2" customFormat="1" x14ac:dyDescent="0.2">
      <c r="A92" s="87">
        <v>45115</v>
      </c>
      <c r="B92" s="120" t="s">
        <v>1052</v>
      </c>
      <c r="C92" s="75" t="s">
        <v>767</v>
      </c>
      <c r="D92" s="88">
        <v>411035</v>
      </c>
      <c r="G92" s="1"/>
      <c r="L92" s="1"/>
      <c r="M92" s="1"/>
    </row>
    <row r="93" spans="1:13" s="2" customFormat="1" x14ac:dyDescent="0.2">
      <c r="A93" s="87"/>
      <c r="B93" s="74"/>
      <c r="C93" s="75"/>
      <c r="D93" s="51">
        <f>SUM(D74:D92)</f>
        <v>21343547.920000002</v>
      </c>
      <c r="F93" s="2" t="s">
        <v>396</v>
      </c>
      <c r="G93" s="1"/>
      <c r="L93" s="1"/>
      <c r="M93" s="1"/>
    </row>
    <row r="94" spans="1:13" s="2" customFormat="1" x14ac:dyDescent="0.2">
      <c r="A94" s="24"/>
      <c r="B94" s="1"/>
      <c r="C94" s="14"/>
      <c r="D94" s="56"/>
      <c r="E94" s="13"/>
      <c r="G94" s="1"/>
      <c r="L94" s="1"/>
      <c r="M94" s="1"/>
    </row>
    <row r="95" spans="1:13" s="2" customFormat="1" x14ac:dyDescent="0.2">
      <c r="A95" s="24"/>
      <c r="B95" s="1"/>
      <c r="C95" s="218" t="s">
        <v>77</v>
      </c>
      <c r="D95" s="219"/>
      <c r="E95" s="219"/>
      <c r="F95" s="220"/>
      <c r="G95" s="1"/>
      <c r="L95" s="1"/>
      <c r="M95" s="1"/>
    </row>
    <row r="96" spans="1:13" s="2" customFormat="1" x14ac:dyDescent="0.2">
      <c r="A96" s="24"/>
      <c r="B96" s="1"/>
      <c r="C96" s="50"/>
      <c r="D96" s="57" t="s">
        <v>78</v>
      </c>
      <c r="E96" s="58" t="s">
        <v>79</v>
      </c>
      <c r="F96" s="57" t="s">
        <v>72</v>
      </c>
      <c r="G96" s="1"/>
      <c r="I96" s="1"/>
      <c r="J96" s="1"/>
      <c r="K96" s="1"/>
      <c r="L96" s="1"/>
      <c r="M96" s="1"/>
    </row>
    <row r="97" spans="1:13" s="2" customFormat="1" x14ac:dyDescent="0.2">
      <c r="A97" s="24"/>
      <c r="B97" s="1"/>
      <c r="C97" s="59" t="str">
        <f>"01-07-2023 to "&amp;TEXT(A5-2,"dd-mm-yyyy")</f>
        <v>01-07-2023 to 08-07-2023</v>
      </c>
      <c r="D97" s="60">
        <v>1842</v>
      </c>
      <c r="E97" s="60">
        <v>67.28</v>
      </c>
      <c r="F97" s="61">
        <f>SUM(D97:E97)</f>
        <v>1909.28</v>
      </c>
      <c r="G97" s="1"/>
    </row>
    <row r="98" spans="1:13" s="2" customFormat="1" x14ac:dyDescent="0.2">
      <c r="A98" s="24"/>
      <c r="B98" s="1"/>
      <c r="C98" s="62" t="str">
        <f>TEXT(A5-1,"dd-mm-yyyy")</f>
        <v>09-07-2023</v>
      </c>
      <c r="D98" s="60">
        <v>9.82</v>
      </c>
      <c r="E98" s="60">
        <v>0.5</v>
      </c>
      <c r="F98" s="61">
        <f>SUM(D98:E98)</f>
        <v>10.32</v>
      </c>
      <c r="G98" s="54"/>
      <c r="I98" s="1"/>
      <c r="J98" s="1"/>
      <c r="K98" s="1"/>
      <c r="L98" s="1"/>
      <c r="M98" s="1"/>
    </row>
    <row r="99" spans="1:13" s="2" customFormat="1" ht="13.5" thickBot="1" x14ac:dyDescent="0.25">
      <c r="A99" s="24"/>
      <c r="B99" s="1"/>
      <c r="C99" s="63" t="str">
        <f>"01-07-2023 to "&amp;TEXT(A5-1,"dd-mm-yyyy")</f>
        <v>01-07-2023 to 09-07-2023</v>
      </c>
      <c r="D99" s="64">
        <f>SUM(D97:D98)</f>
        <v>1851.82</v>
      </c>
      <c r="E99" s="64">
        <f>SUM(E97:E98)</f>
        <v>67.78</v>
      </c>
      <c r="F99" s="64">
        <f>SUM(F97:F98)</f>
        <v>1919.6</v>
      </c>
      <c r="G99" s="54"/>
      <c r="I99" s="1"/>
      <c r="J99" s="1"/>
      <c r="K99" s="1"/>
      <c r="L99" s="1"/>
      <c r="M99" s="1"/>
    </row>
    <row r="100" spans="1:13" s="2" customFormat="1" ht="13.5" thickTop="1" x14ac:dyDescent="0.2">
      <c r="A100" s="24"/>
      <c r="B100" s="1"/>
      <c r="C100" s="62"/>
      <c r="D100" s="65"/>
      <c r="E100" s="66"/>
      <c r="F100" s="67"/>
      <c r="G100" s="54"/>
      <c r="I100" s="1"/>
      <c r="J100" s="1"/>
      <c r="K100" s="1"/>
      <c r="L100" s="1"/>
      <c r="M100" s="1"/>
    </row>
    <row r="101" spans="1:13" s="2" customFormat="1" x14ac:dyDescent="0.2">
      <c r="A101" s="24"/>
      <c r="B101" s="1"/>
      <c r="C101" s="62" t="str">
        <f>"01-04-2023 to " &amp;C98</f>
        <v>01-04-2023 to 09-07-2023</v>
      </c>
      <c r="D101" s="68">
        <f>+D99+15483.67</f>
        <v>17335.490000000002</v>
      </c>
      <c r="E101" s="68">
        <f>+E99+1115.53</f>
        <v>1183.31</v>
      </c>
      <c r="F101" s="68">
        <f>+F99+16599.19</f>
        <v>18518.789999999997</v>
      </c>
      <c r="G101" s="54"/>
      <c r="I101" s="1"/>
      <c r="J101" s="1"/>
      <c r="K101" s="1"/>
      <c r="L101" s="1"/>
      <c r="M101" s="1"/>
    </row>
    <row r="102" spans="1:13" x14ac:dyDescent="0.2">
      <c r="C102" s="52"/>
      <c r="D102" s="85"/>
      <c r="E102" s="53"/>
      <c r="F102" s="53"/>
      <c r="G102" s="54"/>
      <c r="H102" s="2" t="s">
        <v>396</v>
      </c>
    </row>
    <row r="103" spans="1:13" s="2" customFormat="1" x14ac:dyDescent="0.2">
      <c r="A103" s="24"/>
      <c r="B103" s="1"/>
      <c r="C103" s="52"/>
      <c r="D103" s="85"/>
      <c r="E103" s="53"/>
      <c r="F103" s="53"/>
      <c r="G103" s="54"/>
      <c r="H103" s="53"/>
    </row>
    <row r="104" spans="1:13" x14ac:dyDescent="0.2">
      <c r="C104" s="52"/>
      <c r="D104" s="85"/>
      <c r="E104" s="53"/>
      <c r="F104" s="53"/>
      <c r="G104" s="54"/>
      <c r="H104" s="53" t="s">
        <v>396</v>
      </c>
    </row>
    <row r="105" spans="1:13" x14ac:dyDescent="0.2">
      <c r="C105" s="52"/>
      <c r="D105" s="85"/>
      <c r="E105" s="53"/>
      <c r="F105" s="53"/>
      <c r="G105" s="54"/>
      <c r="H105" s="53" t="s">
        <v>396</v>
      </c>
      <c r="J105" s="42"/>
    </row>
    <row r="106" spans="1:13" x14ac:dyDescent="0.2">
      <c r="G106" s="54"/>
      <c r="H106" s="53"/>
      <c r="I106" s="101"/>
    </row>
    <row r="107" spans="1:13" x14ac:dyDescent="0.2">
      <c r="G107" s="54"/>
      <c r="H107" s="53"/>
    </row>
    <row r="108" spans="1:13" x14ac:dyDescent="0.2">
      <c r="G108" s="54"/>
      <c r="H108" s="53"/>
    </row>
    <row r="109" spans="1:13" x14ac:dyDescent="0.2">
      <c r="H109" s="53"/>
    </row>
  </sheetData>
  <mergeCells count="6">
    <mergeCell ref="C95:F95"/>
    <mergeCell ref="A1:G1"/>
    <mergeCell ref="A3:F3"/>
    <mergeCell ref="A9:F9"/>
    <mergeCell ref="A16:F16"/>
    <mergeCell ref="A72:D72"/>
  </mergeCells>
  <conditionalFormatting sqref="G69:G70">
    <cfRule type="cellIs" dxfId="423" priority="1" operator="lessThan">
      <formula>0</formula>
    </cfRule>
  </conditionalFormatting>
  <conditionalFormatting sqref="C18">
    <cfRule type="duplicateValues" dxfId="422" priority="2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sheetPr codeName="Sheet375">
    <pageSetUpPr fitToPage="1"/>
  </sheetPr>
  <dimension ref="A1:N157"/>
  <sheetViews>
    <sheetView zoomScaleNormal="100" workbookViewId="0">
      <selection sqref="A1:G1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1182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45118</v>
      </c>
      <c r="B5" s="9" t="s">
        <v>6</v>
      </c>
      <c r="C5" s="10" t="s">
        <v>7</v>
      </c>
      <c r="D5" s="11"/>
      <c r="E5" s="12">
        <v>372249.70000000019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372249.70000000019</v>
      </c>
      <c r="F6" s="16">
        <f>F5</f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+E6-F6</f>
        <v>372249.70000000019</v>
      </c>
      <c r="F7" s="22"/>
      <c r="G7" s="23"/>
      <c r="H7" s="112"/>
      <c r="I7" s="112"/>
      <c r="J7" s="13"/>
    </row>
    <row r="8" spans="1:10" ht="12.75" customHeight="1" x14ac:dyDescent="0.4">
      <c r="H8" s="112"/>
      <c r="I8" s="112"/>
    </row>
    <row r="9" spans="1:10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12"/>
    </row>
    <row r="10" spans="1:10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12"/>
    </row>
    <row r="11" spans="1:10" s="2" customFormat="1" ht="14.25" customHeight="1" x14ac:dyDescent="0.2">
      <c r="A11" s="127">
        <v>45118</v>
      </c>
      <c r="B11" s="9" t="s">
        <v>6</v>
      </c>
      <c r="C11" s="10" t="s">
        <v>7</v>
      </c>
      <c r="D11" s="11"/>
      <c r="F11" s="12">
        <v>26538602.400000006</v>
      </c>
      <c r="G11" s="1"/>
      <c r="H11" s="130" t="s">
        <v>396</v>
      </c>
      <c r="I11" s="130"/>
    </row>
    <row r="12" spans="1:10" s="2" customFormat="1" ht="14.25" customHeight="1" x14ac:dyDescent="0.2">
      <c r="A12" s="127">
        <v>45118</v>
      </c>
      <c r="B12" s="9" t="s">
        <v>6</v>
      </c>
      <c r="C12" s="10" t="s">
        <v>681</v>
      </c>
      <c r="D12" s="125" t="s">
        <v>13</v>
      </c>
      <c r="E12" s="2">
        <f>5197304.19+17641.86</f>
        <v>5214946.0500000007</v>
      </c>
      <c r="F12" s="12"/>
      <c r="G12" s="1"/>
      <c r="H12" s="130"/>
      <c r="I12" s="130"/>
    </row>
    <row r="13" spans="1:10" s="2" customFormat="1" ht="14.25" customHeight="1" x14ac:dyDescent="0.2">
      <c r="A13" s="127">
        <v>45118</v>
      </c>
      <c r="B13" s="9" t="s">
        <v>11</v>
      </c>
      <c r="C13" s="10" t="s">
        <v>156</v>
      </c>
      <c r="D13" s="125" t="s">
        <v>29</v>
      </c>
      <c r="F13" s="12">
        <v>1180</v>
      </c>
      <c r="G13" s="1"/>
      <c r="H13" s="130"/>
      <c r="I13" s="130"/>
    </row>
    <row r="14" spans="1:10" s="2" customFormat="1" ht="14.25" customHeight="1" x14ac:dyDescent="0.2">
      <c r="A14" s="127">
        <v>45118</v>
      </c>
      <c r="B14" s="9" t="s">
        <v>11</v>
      </c>
      <c r="C14" s="10" t="s">
        <v>459</v>
      </c>
      <c r="D14" s="125" t="s">
        <v>29</v>
      </c>
      <c r="F14" s="12">
        <v>54233</v>
      </c>
      <c r="G14" s="1"/>
      <c r="H14" s="130"/>
      <c r="I14" s="130"/>
    </row>
    <row r="15" spans="1:10" s="2" customFormat="1" ht="14.25" customHeight="1" x14ac:dyDescent="0.2">
      <c r="A15" s="127">
        <v>45118</v>
      </c>
      <c r="B15" s="9" t="s">
        <v>11</v>
      </c>
      <c r="C15" s="10" t="s">
        <v>610</v>
      </c>
      <c r="D15" s="125" t="s">
        <v>29</v>
      </c>
      <c r="F15" s="12">
        <v>21240</v>
      </c>
      <c r="G15" s="1"/>
      <c r="H15" s="130"/>
      <c r="I15" s="130"/>
    </row>
    <row r="16" spans="1:10" s="2" customFormat="1" ht="14.25" customHeight="1" x14ac:dyDescent="0.2">
      <c r="A16" s="127">
        <v>45118</v>
      </c>
      <c r="B16" s="9" t="s">
        <v>11</v>
      </c>
      <c r="C16" s="10" t="s">
        <v>49</v>
      </c>
      <c r="D16" s="125" t="s">
        <v>29</v>
      </c>
      <c r="F16" s="12">
        <v>362395</v>
      </c>
      <c r="G16" s="1"/>
      <c r="H16" s="130"/>
      <c r="I16" s="130"/>
    </row>
    <row r="17" spans="1:10" s="2" customFormat="1" ht="14.25" customHeight="1" x14ac:dyDescent="0.2">
      <c r="A17" s="127">
        <v>45118</v>
      </c>
      <c r="B17" s="9" t="s">
        <v>11</v>
      </c>
      <c r="C17" s="10" t="s">
        <v>397</v>
      </c>
      <c r="D17" s="125" t="s">
        <v>29</v>
      </c>
      <c r="F17" s="12">
        <v>111046</v>
      </c>
      <c r="G17" s="1"/>
      <c r="H17" s="130"/>
      <c r="I17" s="130"/>
    </row>
    <row r="18" spans="1:10" s="2" customFormat="1" ht="14.25" customHeight="1" x14ac:dyDescent="0.2">
      <c r="A18" s="127">
        <v>45118</v>
      </c>
      <c r="B18" s="9" t="s">
        <v>11</v>
      </c>
      <c r="C18" s="10" t="s">
        <v>256</v>
      </c>
      <c r="D18" s="125" t="s">
        <v>29</v>
      </c>
      <c r="F18" s="12">
        <v>184788</v>
      </c>
      <c r="G18" s="1"/>
      <c r="H18" s="130"/>
      <c r="I18" s="130"/>
    </row>
    <row r="19" spans="1:10" s="2" customFormat="1" ht="14.25" customHeight="1" x14ac:dyDescent="0.2">
      <c r="A19" s="127">
        <v>45118</v>
      </c>
      <c r="B19" s="9" t="s">
        <v>11</v>
      </c>
      <c r="C19" s="10" t="s">
        <v>650</v>
      </c>
      <c r="D19" s="125" t="s">
        <v>29</v>
      </c>
      <c r="F19" s="12">
        <v>567061</v>
      </c>
      <c r="G19" s="1"/>
      <c r="H19" s="130"/>
      <c r="I19" s="130"/>
    </row>
    <row r="20" spans="1:10" s="2" customFormat="1" ht="14.25" customHeight="1" x14ac:dyDescent="0.2">
      <c r="A20" s="127">
        <v>45118</v>
      </c>
      <c r="B20" s="9" t="s">
        <v>11</v>
      </c>
      <c r="C20" s="10" t="s">
        <v>236</v>
      </c>
      <c r="D20" s="125" t="s">
        <v>29</v>
      </c>
      <c r="F20" s="12">
        <v>1250000</v>
      </c>
      <c r="G20" s="1"/>
      <c r="H20" s="130"/>
      <c r="I20" s="130"/>
    </row>
    <row r="21" spans="1:10" s="2" customFormat="1" ht="14.25" customHeight="1" x14ac:dyDescent="0.2">
      <c r="A21" s="127">
        <v>45118</v>
      </c>
      <c r="B21" s="9" t="s">
        <v>11</v>
      </c>
      <c r="C21" s="10" t="s">
        <v>486</v>
      </c>
      <c r="D21" s="125" t="s">
        <v>29</v>
      </c>
      <c r="F21" s="12">
        <v>1250000</v>
      </c>
      <c r="G21" s="1"/>
      <c r="H21" s="130"/>
      <c r="I21" s="130"/>
    </row>
    <row r="22" spans="1:10" s="2" customFormat="1" ht="14.25" customHeight="1" x14ac:dyDescent="0.2">
      <c r="A22" s="127">
        <v>45118</v>
      </c>
      <c r="B22" s="9" t="s">
        <v>11</v>
      </c>
      <c r="C22" s="10" t="s">
        <v>57</v>
      </c>
      <c r="D22" s="125" t="s">
        <v>29</v>
      </c>
      <c r="F22" s="12">
        <v>3000000</v>
      </c>
      <c r="G22" s="1"/>
      <c r="H22" s="130"/>
      <c r="I22" s="130"/>
    </row>
    <row r="23" spans="1:10" s="2" customFormat="1" ht="14.25" customHeight="1" x14ac:dyDescent="0.2">
      <c r="A23" s="127">
        <v>45118</v>
      </c>
      <c r="B23" s="9" t="s">
        <v>11</v>
      </c>
      <c r="C23" s="10" t="s">
        <v>623</v>
      </c>
      <c r="D23" s="125" t="s">
        <v>29</v>
      </c>
      <c r="F23" s="12">
        <v>13718</v>
      </c>
      <c r="G23" s="1"/>
      <c r="H23" s="130"/>
      <c r="I23" s="130"/>
    </row>
    <row r="24" spans="1:10" s="2" customFormat="1" ht="14.25" customHeight="1" x14ac:dyDescent="0.2">
      <c r="A24" s="127">
        <v>45118</v>
      </c>
      <c r="B24" s="9" t="s">
        <v>11</v>
      </c>
      <c r="C24" s="10" t="s">
        <v>1184</v>
      </c>
      <c r="D24" s="125" t="s">
        <v>29</v>
      </c>
      <c r="F24" s="12">
        <v>15120</v>
      </c>
      <c r="G24" s="1"/>
      <c r="H24" s="130"/>
      <c r="I24" s="130"/>
    </row>
    <row r="25" spans="1:10" s="2" customFormat="1" ht="14.25" customHeight="1" x14ac:dyDescent="0.2">
      <c r="A25" s="127">
        <v>45118</v>
      </c>
      <c r="B25" s="9" t="s">
        <v>11</v>
      </c>
      <c r="C25" s="10" t="s">
        <v>747</v>
      </c>
      <c r="D25" s="125" t="s">
        <v>29</v>
      </c>
      <c r="F25" s="12">
        <v>41760</v>
      </c>
      <c r="G25" s="1"/>
      <c r="H25" s="130"/>
      <c r="I25" s="130"/>
    </row>
    <row r="26" spans="1:10" s="2" customFormat="1" ht="14.25" customHeight="1" x14ac:dyDescent="0.2">
      <c r="A26" s="127">
        <v>45118</v>
      </c>
      <c r="B26" s="9" t="s">
        <v>11</v>
      </c>
      <c r="C26" s="10" t="s">
        <v>1183</v>
      </c>
      <c r="D26" s="125" t="s">
        <v>29</v>
      </c>
      <c r="F26" s="12">
        <v>5521.51</v>
      </c>
      <c r="G26" s="1"/>
      <c r="H26" s="130"/>
      <c r="I26" s="130"/>
    </row>
    <row r="27" spans="1:10" s="2" customFormat="1" ht="12.75" customHeight="1" x14ac:dyDescent="0.4">
      <c r="D27" s="15" t="s">
        <v>8</v>
      </c>
      <c r="E27" s="16">
        <f>SUM(E12:E26)</f>
        <v>5214946.0500000007</v>
      </c>
      <c r="F27" s="16">
        <f>SUM(F11:F26)</f>
        <v>33416664.910000008</v>
      </c>
      <c r="G27" s="1"/>
      <c r="H27" s="112"/>
      <c r="I27" s="112"/>
    </row>
    <row r="28" spans="1:10" s="2" customFormat="1" ht="12.75" customHeight="1" x14ac:dyDescent="0.4">
      <c r="A28" s="17"/>
      <c r="B28" s="18"/>
      <c r="C28" s="96" t="s">
        <v>9</v>
      </c>
      <c r="D28" s="20"/>
      <c r="E28" s="21">
        <f>+F27-E27</f>
        <v>28201718.860000007</v>
      </c>
      <c r="G28" s="23"/>
      <c r="H28" s="112"/>
      <c r="I28" s="112"/>
      <c r="J28" s="13"/>
    </row>
    <row r="29" spans="1:10" s="2" customFormat="1" ht="12.75" customHeight="1" x14ac:dyDescent="0.4">
      <c r="A29" s="24"/>
      <c r="B29" s="1"/>
      <c r="C29" s="14"/>
      <c r="D29" s="25"/>
      <c r="G29" s="23"/>
      <c r="H29" s="112"/>
      <c r="I29" s="112"/>
      <c r="J29" s="13"/>
    </row>
    <row r="30" spans="1:10" s="2" customFormat="1" ht="21.75" customHeight="1" x14ac:dyDescent="0.4">
      <c r="A30" s="214" t="s">
        <v>10</v>
      </c>
      <c r="B30" s="214"/>
      <c r="C30" s="214"/>
      <c r="D30" s="214"/>
      <c r="E30" s="214"/>
      <c r="F30" s="214"/>
      <c r="G30" s="13"/>
      <c r="H30" s="112"/>
      <c r="I30" s="112"/>
      <c r="J30" s="13"/>
    </row>
    <row r="31" spans="1:10" s="2" customFormat="1" ht="12.75" customHeight="1" x14ac:dyDescent="0.4">
      <c r="A31" s="26" t="s">
        <v>1</v>
      </c>
      <c r="B31" s="27" t="s">
        <v>2</v>
      </c>
      <c r="C31" s="5"/>
      <c r="D31" s="6" t="s">
        <v>3</v>
      </c>
      <c r="E31" s="7" t="s">
        <v>4</v>
      </c>
      <c r="F31" s="7" t="s">
        <v>5</v>
      </c>
      <c r="G31" s="23"/>
      <c r="H31" s="112"/>
      <c r="I31" s="112"/>
      <c r="J31" s="13"/>
    </row>
    <row r="32" spans="1:10" s="2" customFormat="1" ht="12.75" customHeight="1" x14ac:dyDescent="0.2">
      <c r="A32" s="127">
        <v>45118</v>
      </c>
      <c r="B32" s="128" t="s">
        <v>11</v>
      </c>
      <c r="C32" s="29" t="s">
        <v>7</v>
      </c>
      <c r="D32" s="25"/>
      <c r="E32" s="31"/>
      <c r="F32" s="2">
        <v>281780973.70999998</v>
      </c>
      <c r="G32" s="30"/>
      <c r="I32" s="13"/>
      <c r="J32" s="13"/>
    </row>
    <row r="33" spans="1:10" s="70" customFormat="1" ht="12.75" customHeight="1" x14ac:dyDescent="0.2">
      <c r="A33" s="127">
        <v>45118</v>
      </c>
      <c r="B33" s="128" t="s">
        <v>6</v>
      </c>
      <c r="C33" s="76" t="s">
        <v>15</v>
      </c>
      <c r="D33" s="125" t="s">
        <v>13</v>
      </c>
      <c r="E33" s="31">
        <v>3350.75</v>
      </c>
      <c r="G33" s="30"/>
      <c r="I33" s="69"/>
      <c r="J33" s="69"/>
    </row>
    <row r="34" spans="1:10" s="70" customFormat="1" ht="12.75" customHeight="1" x14ac:dyDescent="0.2">
      <c r="A34" s="127">
        <v>45118</v>
      </c>
      <c r="B34" s="128" t="s">
        <v>6</v>
      </c>
      <c r="C34" s="76" t="s">
        <v>426</v>
      </c>
      <c r="D34" s="125" t="s">
        <v>13</v>
      </c>
      <c r="E34" s="31">
        <v>1668182.84</v>
      </c>
      <c r="G34" s="30"/>
      <c r="I34" s="69"/>
      <c r="J34" s="69"/>
    </row>
    <row r="35" spans="1:10" s="70" customFormat="1" ht="12.75" customHeight="1" x14ac:dyDescent="0.2">
      <c r="A35" s="127">
        <v>45118</v>
      </c>
      <c r="B35" s="128" t="s">
        <v>6</v>
      </c>
      <c r="C35" s="76" t="s">
        <v>1185</v>
      </c>
      <c r="D35" s="125" t="s">
        <v>13</v>
      </c>
      <c r="E35" s="31">
        <v>6028</v>
      </c>
      <c r="G35" s="30"/>
      <c r="I35" s="69"/>
      <c r="J35" s="69"/>
    </row>
    <row r="36" spans="1:10" s="70" customFormat="1" ht="12.75" customHeight="1" x14ac:dyDescent="0.2">
      <c r="A36" s="127">
        <v>45118</v>
      </c>
      <c r="B36" s="128" t="s">
        <v>6</v>
      </c>
      <c r="C36" s="76" t="s">
        <v>316</v>
      </c>
      <c r="D36" s="125" t="s">
        <v>13</v>
      </c>
      <c r="E36" s="31">
        <v>493156</v>
      </c>
      <c r="G36" s="30"/>
      <c r="I36" s="69"/>
      <c r="J36" s="69"/>
    </row>
    <row r="37" spans="1:10" s="70" customFormat="1" ht="12.75" customHeight="1" x14ac:dyDescent="0.2">
      <c r="A37" s="127">
        <v>45118</v>
      </c>
      <c r="B37" s="128" t="s">
        <v>6</v>
      </c>
      <c r="C37" s="76" t="s">
        <v>386</v>
      </c>
      <c r="D37" s="125" t="s">
        <v>13</v>
      </c>
      <c r="E37" s="31">
        <v>300000</v>
      </c>
      <c r="G37" s="30"/>
      <c r="I37" s="69"/>
      <c r="J37" s="69"/>
    </row>
    <row r="38" spans="1:10" s="70" customFormat="1" ht="12.75" customHeight="1" x14ac:dyDescent="0.2">
      <c r="A38" s="127">
        <v>45118</v>
      </c>
      <c r="B38" s="128" t="s">
        <v>6</v>
      </c>
      <c r="C38" s="76" t="s">
        <v>320</v>
      </c>
      <c r="D38" s="125" t="s">
        <v>13</v>
      </c>
      <c r="E38" s="31">
        <v>4743070</v>
      </c>
      <c r="G38" s="30"/>
      <c r="I38" s="69"/>
      <c r="J38" s="69"/>
    </row>
    <row r="39" spans="1:10" s="70" customFormat="1" ht="12.75" customHeight="1" x14ac:dyDescent="0.2">
      <c r="A39" s="127">
        <v>45118</v>
      </c>
      <c r="B39" s="128" t="s">
        <v>6</v>
      </c>
      <c r="C39" s="76" t="s">
        <v>332</v>
      </c>
      <c r="D39" s="125" t="s">
        <v>13</v>
      </c>
      <c r="E39" s="31">
        <v>1002506</v>
      </c>
      <c r="G39" s="30"/>
      <c r="I39" s="69"/>
      <c r="J39" s="69"/>
    </row>
    <row r="40" spans="1:10" s="70" customFormat="1" ht="12.75" customHeight="1" x14ac:dyDescent="0.2">
      <c r="A40" s="127">
        <v>45118</v>
      </c>
      <c r="B40" s="128" t="s">
        <v>6</v>
      </c>
      <c r="C40" s="76" t="s">
        <v>1033</v>
      </c>
      <c r="D40" s="125" t="s">
        <v>13</v>
      </c>
      <c r="E40" s="31">
        <v>16506385</v>
      </c>
      <c r="G40" s="30"/>
      <c r="I40" s="69"/>
      <c r="J40" s="69"/>
    </row>
    <row r="41" spans="1:10" s="70" customFormat="1" ht="12.75" customHeight="1" x14ac:dyDescent="0.2">
      <c r="A41" s="127">
        <v>45118</v>
      </c>
      <c r="B41" s="128" t="s">
        <v>6</v>
      </c>
      <c r="C41" s="76" t="s">
        <v>103</v>
      </c>
      <c r="D41" s="125" t="s">
        <v>13</v>
      </c>
      <c r="E41" s="31">
        <v>1063685</v>
      </c>
      <c r="G41" s="30"/>
      <c r="I41" s="69"/>
      <c r="J41" s="69"/>
    </row>
    <row r="42" spans="1:10" s="70" customFormat="1" ht="12.75" customHeight="1" x14ac:dyDescent="0.2">
      <c r="A42" s="127">
        <v>45118</v>
      </c>
      <c r="B42" s="128" t="s">
        <v>6</v>
      </c>
      <c r="C42" s="76" t="s">
        <v>381</v>
      </c>
      <c r="D42" s="125" t="s">
        <v>13</v>
      </c>
      <c r="E42" s="31">
        <v>733049</v>
      </c>
      <c r="G42" s="30"/>
      <c r="I42" s="69"/>
      <c r="J42" s="69"/>
    </row>
    <row r="43" spans="1:10" s="70" customFormat="1" ht="12.75" customHeight="1" x14ac:dyDescent="0.2">
      <c r="A43" s="127">
        <v>45118</v>
      </c>
      <c r="B43" s="128" t="s">
        <v>6</v>
      </c>
      <c r="C43" s="76" t="s">
        <v>143</v>
      </c>
      <c r="D43" s="125" t="s">
        <v>13</v>
      </c>
      <c r="E43" s="31">
        <v>437463</v>
      </c>
      <c r="G43" s="30"/>
      <c r="I43" s="69"/>
      <c r="J43" s="69"/>
    </row>
    <row r="44" spans="1:10" s="70" customFormat="1" ht="12.75" customHeight="1" x14ac:dyDescent="0.2">
      <c r="A44" s="127">
        <v>45118</v>
      </c>
      <c r="B44" s="128" t="s">
        <v>6</v>
      </c>
      <c r="C44" s="76" t="s">
        <v>450</v>
      </c>
      <c r="D44" s="125" t="s">
        <v>13</v>
      </c>
      <c r="E44" s="31">
        <v>1053263</v>
      </c>
      <c r="G44" s="30"/>
      <c r="I44" s="69"/>
      <c r="J44" s="69"/>
    </row>
    <row r="45" spans="1:10" s="70" customFormat="1" ht="12.75" customHeight="1" x14ac:dyDescent="0.2">
      <c r="A45" s="127">
        <v>45118</v>
      </c>
      <c r="B45" s="128" t="s">
        <v>6</v>
      </c>
      <c r="C45" s="76" t="s">
        <v>633</v>
      </c>
      <c r="D45" s="125" t="s">
        <v>13</v>
      </c>
      <c r="E45" s="31">
        <v>4905278</v>
      </c>
      <c r="G45" s="30"/>
      <c r="I45" s="69"/>
      <c r="J45" s="69"/>
    </row>
    <row r="46" spans="1:10" s="70" customFormat="1" ht="12.75" customHeight="1" x14ac:dyDescent="0.2">
      <c r="A46" s="127">
        <v>45118</v>
      </c>
      <c r="B46" s="128" t="s">
        <v>6</v>
      </c>
      <c r="C46" s="76" t="s">
        <v>556</v>
      </c>
      <c r="D46" s="125" t="s">
        <v>13</v>
      </c>
      <c r="E46" s="31">
        <v>3360</v>
      </c>
      <c r="G46" s="30"/>
      <c r="I46" s="69"/>
      <c r="J46" s="69"/>
    </row>
    <row r="47" spans="1:10" s="70" customFormat="1" ht="12.75" customHeight="1" x14ac:dyDescent="0.2">
      <c r="A47" s="127">
        <v>45118</v>
      </c>
      <c r="B47" s="128" t="s">
        <v>6</v>
      </c>
      <c r="C47" s="76" t="s">
        <v>503</v>
      </c>
      <c r="D47" s="125" t="s">
        <v>13</v>
      </c>
      <c r="E47" s="31">
        <v>3402.96</v>
      </c>
      <c r="G47" s="30"/>
      <c r="I47" s="69"/>
      <c r="J47" s="69"/>
    </row>
    <row r="48" spans="1:10" s="70" customFormat="1" ht="12.75" customHeight="1" x14ac:dyDescent="0.2">
      <c r="A48" s="127">
        <v>45118</v>
      </c>
      <c r="B48" s="128" t="s">
        <v>6</v>
      </c>
      <c r="C48" s="76" t="s">
        <v>276</v>
      </c>
      <c r="D48" s="125" t="s">
        <v>13</v>
      </c>
      <c r="E48" s="31">
        <v>700754</v>
      </c>
      <c r="G48" s="30"/>
      <c r="I48" s="69"/>
      <c r="J48" s="69"/>
    </row>
    <row r="49" spans="1:10" s="70" customFormat="1" ht="12.75" customHeight="1" x14ac:dyDescent="0.2">
      <c r="A49" s="127">
        <v>45118</v>
      </c>
      <c r="B49" s="128" t="s">
        <v>6</v>
      </c>
      <c r="C49" s="76" t="s">
        <v>14</v>
      </c>
      <c r="D49" s="125" t="s">
        <v>13</v>
      </c>
      <c r="E49" s="31">
        <v>1302612</v>
      </c>
      <c r="G49" s="30"/>
      <c r="I49" s="69"/>
      <c r="J49" s="69"/>
    </row>
    <row r="50" spans="1:10" s="70" customFormat="1" ht="12.75" customHeight="1" x14ac:dyDescent="0.2">
      <c r="A50" s="127">
        <v>45118</v>
      </c>
      <c r="B50" s="128" t="s">
        <v>6</v>
      </c>
      <c r="C50" s="76" t="s">
        <v>912</v>
      </c>
      <c r="D50" s="125" t="s">
        <v>13</v>
      </c>
      <c r="E50" s="31">
        <v>228101</v>
      </c>
      <c r="G50" s="30"/>
      <c r="I50" s="69"/>
      <c r="J50" s="69"/>
    </row>
    <row r="51" spans="1:10" s="70" customFormat="1" ht="12.75" customHeight="1" x14ac:dyDescent="0.2">
      <c r="A51" s="127">
        <v>45118</v>
      </c>
      <c r="B51" s="128" t="s">
        <v>6</v>
      </c>
      <c r="C51" s="76" t="s">
        <v>149</v>
      </c>
      <c r="D51" s="125" t="s">
        <v>13</v>
      </c>
      <c r="E51" s="31">
        <f>326360+10313</f>
        <v>336673</v>
      </c>
      <c r="G51" s="30"/>
      <c r="I51" s="69"/>
      <c r="J51" s="69"/>
    </row>
    <row r="52" spans="1:10" s="70" customFormat="1" ht="12.75" customHeight="1" x14ac:dyDescent="0.2">
      <c r="A52" s="127">
        <v>45118</v>
      </c>
      <c r="B52" s="128" t="s">
        <v>6</v>
      </c>
      <c r="C52" s="76" t="s">
        <v>177</v>
      </c>
      <c r="D52" s="125" t="s">
        <v>13</v>
      </c>
      <c r="E52" s="31">
        <v>1343478</v>
      </c>
      <c r="G52" s="30"/>
      <c r="I52" s="69"/>
      <c r="J52" s="69"/>
    </row>
    <row r="53" spans="1:10" s="70" customFormat="1" ht="12.75" customHeight="1" x14ac:dyDescent="0.2">
      <c r="A53" s="127">
        <v>45118</v>
      </c>
      <c r="B53" s="128" t="s">
        <v>6</v>
      </c>
      <c r="C53" s="76" t="s">
        <v>797</v>
      </c>
      <c r="D53" s="125" t="s">
        <v>13</v>
      </c>
      <c r="E53" s="31">
        <v>235976</v>
      </c>
      <c r="G53" s="30"/>
      <c r="I53" s="69"/>
      <c r="J53" s="69"/>
    </row>
    <row r="54" spans="1:10" s="70" customFormat="1" ht="12.75" customHeight="1" x14ac:dyDescent="0.2">
      <c r="A54" s="127">
        <v>45118</v>
      </c>
      <c r="B54" s="128" t="s">
        <v>6</v>
      </c>
      <c r="C54" s="76" t="s">
        <v>220</v>
      </c>
      <c r="D54" s="125" t="s">
        <v>13</v>
      </c>
      <c r="E54" s="31">
        <v>2000708</v>
      </c>
      <c r="G54" s="30"/>
      <c r="I54" s="69"/>
      <c r="J54" s="69"/>
    </row>
    <row r="55" spans="1:10" s="70" customFormat="1" ht="12.75" customHeight="1" x14ac:dyDescent="0.2">
      <c r="A55" s="127">
        <v>45118</v>
      </c>
      <c r="B55" s="128" t="s">
        <v>6</v>
      </c>
      <c r="C55" s="76" t="s">
        <v>947</v>
      </c>
      <c r="D55" s="125" t="s">
        <v>13</v>
      </c>
      <c r="E55" s="31">
        <v>912877</v>
      </c>
      <c r="G55" s="30"/>
      <c r="I55" s="69"/>
      <c r="J55" s="69"/>
    </row>
    <row r="56" spans="1:10" s="70" customFormat="1" ht="12.75" customHeight="1" x14ac:dyDescent="0.2">
      <c r="A56" s="127">
        <v>45118</v>
      </c>
      <c r="B56" s="128" t="s">
        <v>11</v>
      </c>
      <c r="C56" s="76" t="s">
        <v>593</v>
      </c>
      <c r="D56" s="125" t="s">
        <v>29</v>
      </c>
      <c r="E56" s="31"/>
      <c r="F56" s="70">
        <v>625000</v>
      </c>
      <c r="G56" s="30"/>
      <c r="I56" s="69"/>
      <c r="J56" s="69"/>
    </row>
    <row r="57" spans="1:10" s="70" customFormat="1" ht="12.75" customHeight="1" x14ac:dyDescent="0.2">
      <c r="A57" s="127">
        <v>45118</v>
      </c>
      <c r="B57" s="128" t="s">
        <v>11</v>
      </c>
      <c r="C57" s="76" t="s">
        <v>764</v>
      </c>
      <c r="D57" s="125" t="s">
        <v>29</v>
      </c>
      <c r="E57" s="31"/>
      <c r="F57" s="70">
        <v>629844.6</v>
      </c>
      <c r="G57" s="30"/>
      <c r="I57" s="69"/>
      <c r="J57" s="69"/>
    </row>
    <row r="58" spans="1:10" s="70" customFormat="1" ht="12.75" customHeight="1" x14ac:dyDescent="0.2">
      <c r="A58" s="127">
        <v>45118</v>
      </c>
      <c r="B58" s="128" t="s">
        <v>11</v>
      </c>
      <c r="C58" s="76" t="s">
        <v>748</v>
      </c>
      <c r="D58" s="125" t="s">
        <v>29</v>
      </c>
      <c r="E58" s="31"/>
      <c r="F58" s="70">
        <v>556785</v>
      </c>
      <c r="G58" s="30"/>
      <c r="I58" s="69"/>
      <c r="J58" s="69"/>
    </row>
    <row r="59" spans="1:10" s="70" customFormat="1" ht="12.75" customHeight="1" x14ac:dyDescent="0.2">
      <c r="A59" s="127">
        <v>45118</v>
      </c>
      <c r="B59" s="128" t="s">
        <v>11</v>
      </c>
      <c r="C59" s="76" t="s">
        <v>64</v>
      </c>
      <c r="D59" s="125" t="s">
        <v>29</v>
      </c>
      <c r="E59" s="31"/>
      <c r="F59" s="70">
        <f>7298.3-90</f>
        <v>7208.3</v>
      </c>
      <c r="G59" s="30"/>
      <c r="I59" s="69"/>
      <c r="J59" s="69"/>
    </row>
    <row r="60" spans="1:10" s="70" customFormat="1" ht="12.75" customHeight="1" x14ac:dyDescent="0.2">
      <c r="A60" s="127">
        <v>45118</v>
      </c>
      <c r="B60" s="128" t="s">
        <v>11</v>
      </c>
      <c r="C60" s="76" t="s">
        <v>812</v>
      </c>
      <c r="D60" s="125" t="s">
        <v>29</v>
      </c>
      <c r="E60" s="31"/>
      <c r="F60" s="70">
        <v>61102.18</v>
      </c>
      <c r="G60" s="30"/>
      <c r="I60" s="69"/>
      <c r="J60" s="69"/>
    </row>
    <row r="61" spans="1:10" s="70" customFormat="1" ht="12.75" customHeight="1" x14ac:dyDescent="0.2">
      <c r="A61" s="127">
        <v>45118</v>
      </c>
      <c r="B61" s="128" t="s">
        <v>11</v>
      </c>
      <c r="C61" s="76" t="s">
        <v>156</v>
      </c>
      <c r="D61" s="125" t="s">
        <v>29</v>
      </c>
      <c r="E61" s="31"/>
      <c r="F61" s="70">
        <v>8601.2999999999993</v>
      </c>
      <c r="G61" s="30"/>
      <c r="I61" s="69"/>
      <c r="J61" s="69"/>
    </row>
    <row r="62" spans="1:10" s="70" customFormat="1" ht="12.75" customHeight="1" x14ac:dyDescent="0.2">
      <c r="A62" s="127">
        <v>45118</v>
      </c>
      <c r="B62" s="128" t="s">
        <v>11</v>
      </c>
      <c r="C62" s="76" t="s">
        <v>109</v>
      </c>
      <c r="D62" s="125" t="s">
        <v>29</v>
      </c>
      <c r="E62" s="31"/>
      <c r="F62" s="70">
        <v>1016373</v>
      </c>
      <c r="G62" s="30"/>
      <c r="I62" s="69"/>
      <c r="J62" s="69"/>
    </row>
    <row r="63" spans="1:10" s="70" customFormat="1" ht="12.75" customHeight="1" x14ac:dyDescent="0.2">
      <c r="A63" s="127">
        <v>45118</v>
      </c>
      <c r="B63" s="128" t="s">
        <v>11</v>
      </c>
      <c r="C63" s="76" t="s">
        <v>111</v>
      </c>
      <c r="D63" s="125" t="s">
        <v>29</v>
      </c>
      <c r="E63" s="31"/>
      <c r="F63" s="70">
        <v>87872.35</v>
      </c>
      <c r="G63" s="30"/>
      <c r="I63" s="69"/>
      <c r="J63" s="69"/>
    </row>
    <row r="64" spans="1:10" s="70" customFormat="1" ht="12.75" customHeight="1" x14ac:dyDescent="0.2">
      <c r="A64" s="127">
        <v>45118</v>
      </c>
      <c r="B64" s="128" t="s">
        <v>11</v>
      </c>
      <c r="C64" s="76" t="s">
        <v>368</v>
      </c>
      <c r="D64" s="125" t="s">
        <v>29</v>
      </c>
      <c r="E64" s="31"/>
      <c r="F64" s="70">
        <v>1189000</v>
      </c>
      <c r="G64" s="30"/>
      <c r="I64" s="69"/>
      <c r="J64" s="69"/>
    </row>
    <row r="65" spans="1:10" s="70" customFormat="1" ht="12.75" customHeight="1" x14ac:dyDescent="0.2">
      <c r="A65" s="127">
        <v>45118</v>
      </c>
      <c r="B65" s="128" t="s">
        <v>11</v>
      </c>
      <c r="C65" s="76" t="s">
        <v>562</v>
      </c>
      <c r="D65" s="125" t="s">
        <v>29</v>
      </c>
      <c r="E65" s="31"/>
      <c r="F65" s="70">
        <v>1280143</v>
      </c>
      <c r="G65" s="30"/>
      <c r="I65" s="69"/>
      <c r="J65" s="69"/>
    </row>
    <row r="66" spans="1:10" s="70" customFormat="1" ht="12.75" customHeight="1" x14ac:dyDescent="0.2">
      <c r="A66" s="127">
        <v>45118</v>
      </c>
      <c r="B66" s="128" t="s">
        <v>11</v>
      </c>
      <c r="C66" s="76" t="s">
        <v>365</v>
      </c>
      <c r="D66" s="125" t="s">
        <v>29</v>
      </c>
      <c r="E66" s="31"/>
      <c r="F66" s="70">
        <v>208860</v>
      </c>
      <c r="G66" s="30"/>
      <c r="I66" s="69"/>
      <c r="J66" s="69"/>
    </row>
    <row r="67" spans="1:10" s="70" customFormat="1" ht="12.75" customHeight="1" x14ac:dyDescent="0.2">
      <c r="A67" s="127">
        <v>45118</v>
      </c>
      <c r="B67" s="128" t="s">
        <v>11</v>
      </c>
      <c r="C67" s="76" t="s">
        <v>563</v>
      </c>
      <c r="D67" s="125" t="s">
        <v>29</v>
      </c>
      <c r="E67" s="31"/>
      <c r="F67" s="70">
        <v>60274</v>
      </c>
      <c r="G67" s="30"/>
      <c r="I67" s="69"/>
      <c r="J67" s="69"/>
    </row>
    <row r="68" spans="1:10" s="70" customFormat="1" ht="12.75" customHeight="1" x14ac:dyDescent="0.2">
      <c r="A68" s="127">
        <v>45118</v>
      </c>
      <c r="B68" s="128" t="s">
        <v>11</v>
      </c>
      <c r="C68" s="76" t="s">
        <v>701</v>
      </c>
      <c r="D68" s="125" t="s">
        <v>29</v>
      </c>
      <c r="E68" s="31"/>
      <c r="F68" s="70">
        <v>138060</v>
      </c>
      <c r="G68" s="30"/>
      <c r="I68" s="69"/>
      <c r="J68" s="69"/>
    </row>
    <row r="69" spans="1:10" s="70" customFormat="1" ht="12.75" customHeight="1" x14ac:dyDescent="0.2">
      <c r="A69" s="127">
        <v>45118</v>
      </c>
      <c r="B69" s="128" t="s">
        <v>11</v>
      </c>
      <c r="C69" s="76" t="s">
        <v>48</v>
      </c>
      <c r="D69" s="125" t="s">
        <v>29</v>
      </c>
      <c r="E69" s="31"/>
      <c r="F69" s="70">
        <v>320548</v>
      </c>
      <c r="G69" s="30"/>
      <c r="I69" s="69"/>
      <c r="J69" s="69"/>
    </row>
    <row r="70" spans="1:10" s="70" customFormat="1" ht="12.75" customHeight="1" x14ac:dyDescent="0.2">
      <c r="A70" s="127">
        <v>45118</v>
      </c>
      <c r="B70" s="128" t="s">
        <v>11</v>
      </c>
      <c r="C70" s="76" t="s">
        <v>798</v>
      </c>
      <c r="D70" s="125" t="s">
        <v>29</v>
      </c>
      <c r="E70" s="31"/>
      <c r="F70" s="70">
        <v>368640</v>
      </c>
      <c r="G70" s="30"/>
      <c r="I70" s="69"/>
      <c r="J70" s="69"/>
    </row>
    <row r="71" spans="1:10" s="70" customFormat="1" ht="12.75" customHeight="1" x14ac:dyDescent="0.2">
      <c r="A71" s="127">
        <v>45118</v>
      </c>
      <c r="B71" s="128" t="s">
        <v>11</v>
      </c>
      <c r="C71" s="76" t="s">
        <v>40</v>
      </c>
      <c r="D71" s="125" t="s">
        <v>29</v>
      </c>
      <c r="E71" s="31"/>
      <c r="F71" s="70">
        <v>35136</v>
      </c>
      <c r="G71" s="30"/>
      <c r="I71" s="69"/>
      <c r="J71" s="69"/>
    </row>
    <row r="72" spans="1:10" s="70" customFormat="1" ht="12.75" customHeight="1" x14ac:dyDescent="0.2">
      <c r="A72" s="127">
        <v>45118</v>
      </c>
      <c r="B72" s="128" t="s">
        <v>11</v>
      </c>
      <c r="C72" s="76" t="s">
        <v>41</v>
      </c>
      <c r="D72" s="125" t="s">
        <v>29</v>
      </c>
      <c r="E72" s="31"/>
      <c r="F72" s="70">
        <v>83520</v>
      </c>
      <c r="G72" s="30"/>
      <c r="I72" s="69"/>
      <c r="J72" s="69"/>
    </row>
    <row r="73" spans="1:10" s="70" customFormat="1" ht="12.75" customHeight="1" x14ac:dyDescent="0.2">
      <c r="A73" s="127">
        <v>45118</v>
      </c>
      <c r="B73" s="128" t="s">
        <v>11</v>
      </c>
      <c r="C73" s="76" t="s">
        <v>28</v>
      </c>
      <c r="D73" s="125" t="s">
        <v>29</v>
      </c>
      <c r="E73" s="31"/>
      <c r="F73" s="70">
        <v>238950</v>
      </c>
      <c r="G73" s="30"/>
      <c r="I73" s="69"/>
      <c r="J73" s="69"/>
    </row>
    <row r="74" spans="1:10" s="70" customFormat="1" ht="12.75" customHeight="1" x14ac:dyDescent="0.2">
      <c r="A74" s="127">
        <v>45118</v>
      </c>
      <c r="B74" s="128" t="s">
        <v>11</v>
      </c>
      <c r="C74" s="76" t="s">
        <v>138</v>
      </c>
      <c r="D74" s="125" t="s">
        <v>29</v>
      </c>
      <c r="E74" s="31"/>
      <c r="F74" s="70">
        <v>1672343</v>
      </c>
      <c r="G74" s="30"/>
      <c r="I74" s="69"/>
      <c r="J74" s="69"/>
    </row>
    <row r="75" spans="1:10" s="70" customFormat="1" ht="12.75" customHeight="1" x14ac:dyDescent="0.2">
      <c r="A75" s="127">
        <v>45118</v>
      </c>
      <c r="B75" s="128" t="s">
        <v>11</v>
      </c>
      <c r="C75" s="76" t="s">
        <v>789</v>
      </c>
      <c r="D75" s="125" t="s">
        <v>29</v>
      </c>
      <c r="E75" s="31"/>
      <c r="F75" s="70">
        <v>313935</v>
      </c>
      <c r="G75" s="30"/>
      <c r="I75" s="69"/>
      <c r="J75" s="69"/>
    </row>
    <row r="76" spans="1:10" s="70" customFormat="1" ht="12.75" customHeight="1" x14ac:dyDescent="0.2">
      <c r="A76" s="127">
        <v>45118</v>
      </c>
      <c r="B76" s="128" t="s">
        <v>11</v>
      </c>
      <c r="C76" s="76" t="s">
        <v>45</v>
      </c>
      <c r="D76" s="125" t="s">
        <v>29</v>
      </c>
      <c r="E76" s="31"/>
      <c r="F76" s="70">
        <v>354771</v>
      </c>
      <c r="G76" s="30"/>
      <c r="I76" s="69"/>
      <c r="J76" s="69"/>
    </row>
    <row r="77" spans="1:10" s="70" customFormat="1" ht="12.75" customHeight="1" x14ac:dyDescent="0.2">
      <c r="A77" s="127">
        <v>45118</v>
      </c>
      <c r="B77" s="128" t="s">
        <v>11</v>
      </c>
      <c r="C77" s="76" t="s">
        <v>628</v>
      </c>
      <c r="D77" s="125" t="s">
        <v>29</v>
      </c>
      <c r="E77" s="31"/>
      <c r="F77" s="70">
        <v>46133</v>
      </c>
      <c r="G77" s="30"/>
      <c r="I77" s="69"/>
      <c r="J77" s="69"/>
    </row>
    <row r="78" spans="1:10" s="70" customFormat="1" ht="12.75" customHeight="1" x14ac:dyDescent="0.2">
      <c r="A78" s="127">
        <v>45118</v>
      </c>
      <c r="B78" s="128" t="s">
        <v>11</v>
      </c>
      <c r="C78" s="76" t="s">
        <v>290</v>
      </c>
      <c r="D78" s="125" t="s">
        <v>29</v>
      </c>
      <c r="E78" s="31"/>
      <c r="F78" s="70">
        <v>22648</v>
      </c>
      <c r="G78" s="30"/>
      <c r="I78" s="69"/>
      <c r="J78" s="69"/>
    </row>
    <row r="79" spans="1:10" s="70" customFormat="1" ht="12.75" customHeight="1" x14ac:dyDescent="0.2">
      <c r="A79" s="127">
        <v>45118</v>
      </c>
      <c r="B79" s="128" t="s">
        <v>11</v>
      </c>
      <c r="C79" s="76" t="s">
        <v>925</v>
      </c>
      <c r="D79" s="125" t="s">
        <v>29</v>
      </c>
      <c r="E79" s="31"/>
      <c r="F79" s="70">
        <v>265081</v>
      </c>
      <c r="G79" s="30"/>
      <c r="I79" s="69"/>
      <c r="J79" s="69"/>
    </row>
    <row r="80" spans="1:10" s="70" customFormat="1" ht="12.75" customHeight="1" x14ac:dyDescent="0.2">
      <c r="A80" s="127">
        <v>45118</v>
      </c>
      <c r="B80" s="128" t="s">
        <v>11</v>
      </c>
      <c r="C80" s="76" t="s">
        <v>134</v>
      </c>
      <c r="D80" s="125" t="s">
        <v>29</v>
      </c>
      <c r="E80" s="31"/>
      <c r="F80" s="70">
        <v>2000000</v>
      </c>
      <c r="G80" s="30"/>
      <c r="I80" s="69"/>
      <c r="J80" s="69"/>
    </row>
    <row r="81" spans="1:14" s="70" customFormat="1" ht="12.75" customHeight="1" x14ac:dyDescent="0.2">
      <c r="A81" s="127">
        <v>45118</v>
      </c>
      <c r="B81" s="128" t="s">
        <v>11</v>
      </c>
      <c r="C81" s="76" t="s">
        <v>427</v>
      </c>
      <c r="D81" s="125" t="s">
        <v>29</v>
      </c>
      <c r="E81" s="31"/>
      <c r="F81" s="70">
        <v>149256</v>
      </c>
      <c r="G81" s="30"/>
      <c r="I81" s="69"/>
      <c r="J81" s="69"/>
    </row>
    <row r="82" spans="1:14" s="70" customFormat="1" ht="12.75" customHeight="1" x14ac:dyDescent="0.2">
      <c r="A82" s="127">
        <v>45118</v>
      </c>
      <c r="B82" s="128" t="s">
        <v>11</v>
      </c>
      <c r="C82" s="76" t="s">
        <v>95</v>
      </c>
      <c r="D82" s="125" t="s">
        <v>29</v>
      </c>
      <c r="E82" s="31"/>
      <c r="F82" s="70">
        <v>49500</v>
      </c>
      <c r="G82" s="30"/>
      <c r="I82" s="69"/>
      <c r="J82" s="69"/>
    </row>
    <row r="83" spans="1:14" s="70" customFormat="1" ht="12.75" customHeight="1" x14ac:dyDescent="0.2">
      <c r="A83" s="127">
        <v>45118</v>
      </c>
      <c r="B83" s="128" t="s">
        <v>11</v>
      </c>
      <c r="C83" s="76" t="s">
        <v>858</v>
      </c>
      <c r="D83" s="125" t="s">
        <v>29</v>
      </c>
      <c r="E83" s="31"/>
      <c r="F83" s="70">
        <v>43500</v>
      </c>
      <c r="G83" s="30"/>
      <c r="I83" s="69"/>
      <c r="J83" s="69"/>
    </row>
    <row r="84" spans="1:14" s="70" customFormat="1" ht="12.75" customHeight="1" x14ac:dyDescent="0.2">
      <c r="A84" s="127">
        <v>45118</v>
      </c>
      <c r="B84" s="128" t="s">
        <v>11</v>
      </c>
      <c r="C84" s="76" t="s">
        <v>344</v>
      </c>
      <c r="D84" s="125" t="s">
        <v>29</v>
      </c>
      <c r="E84" s="31"/>
      <c r="F84" s="70">
        <v>4550</v>
      </c>
      <c r="G84" s="30"/>
      <c r="I84" s="69"/>
      <c r="J84" s="69"/>
    </row>
    <row r="85" spans="1:14" s="70" customFormat="1" ht="12.75" customHeight="1" x14ac:dyDescent="0.2">
      <c r="A85" s="127">
        <v>45118</v>
      </c>
      <c r="B85" s="128" t="s">
        <v>11</v>
      </c>
      <c r="C85" s="76" t="s">
        <v>734</v>
      </c>
      <c r="D85" s="125" t="s">
        <v>29</v>
      </c>
      <c r="E85" s="31"/>
      <c r="F85" s="70">
        <v>127304</v>
      </c>
      <c r="G85" s="30"/>
      <c r="I85" s="69"/>
      <c r="J85" s="69"/>
    </row>
    <row r="86" spans="1:14" s="70" customFormat="1" ht="12.75" customHeight="1" x14ac:dyDescent="0.2">
      <c r="A86" s="127">
        <v>45118</v>
      </c>
      <c r="B86" s="128" t="s">
        <v>11</v>
      </c>
      <c r="C86" s="76" t="s">
        <v>118</v>
      </c>
      <c r="D86" s="125" t="s">
        <v>29</v>
      </c>
      <c r="E86" s="31"/>
      <c r="F86" s="70">
        <v>400000</v>
      </c>
      <c r="G86" s="30"/>
      <c r="I86" s="69"/>
      <c r="J86" s="69"/>
    </row>
    <row r="87" spans="1:14" s="70" customFormat="1" ht="12.75" customHeight="1" x14ac:dyDescent="0.2">
      <c r="A87" s="127">
        <v>45118</v>
      </c>
      <c r="B87" s="128" t="s">
        <v>11</v>
      </c>
      <c r="C87" s="76" t="s">
        <v>525</v>
      </c>
      <c r="D87" s="125" t="s">
        <v>29</v>
      </c>
      <c r="E87" s="31"/>
      <c r="F87" s="70">
        <v>1500000</v>
      </c>
      <c r="G87" s="30"/>
      <c r="I87" s="69"/>
      <c r="J87" s="69"/>
    </row>
    <row r="88" spans="1:14" s="70" customFormat="1" ht="12.75" customHeight="1" x14ac:dyDescent="0.2">
      <c r="A88" s="127">
        <v>45118</v>
      </c>
      <c r="B88" s="128" t="s">
        <v>11</v>
      </c>
      <c r="C88" s="76" t="s">
        <v>57</v>
      </c>
      <c r="D88" s="125" t="s">
        <v>29</v>
      </c>
      <c r="E88" s="31"/>
      <c r="F88" s="70">
        <v>500000</v>
      </c>
      <c r="G88" s="30"/>
      <c r="I88" s="69"/>
      <c r="J88" s="69"/>
    </row>
    <row r="89" spans="1:14" s="70" customFormat="1" ht="12.75" customHeight="1" x14ac:dyDescent="0.2">
      <c r="A89" s="127">
        <v>45118</v>
      </c>
      <c r="B89" s="128" t="s">
        <v>11</v>
      </c>
      <c r="C89" s="76" t="s">
        <v>600</v>
      </c>
      <c r="D89" s="125" t="s">
        <v>29</v>
      </c>
      <c r="E89" s="31"/>
      <c r="F89" s="70">
        <v>1000000</v>
      </c>
      <c r="G89" s="30"/>
      <c r="I89" s="69"/>
      <c r="J89" s="69"/>
    </row>
    <row r="90" spans="1:14" s="2" customFormat="1" ht="12.75" customHeight="1" x14ac:dyDescent="0.25">
      <c r="A90" s="32"/>
      <c r="B90" s="33"/>
      <c r="C90" s="14"/>
      <c r="D90" s="34"/>
      <c r="E90" s="16">
        <f>SUM(E32:E89)</f>
        <v>39983358.549999997</v>
      </c>
      <c r="F90" s="16">
        <f>SUM(F32:F89)</f>
        <v>297145912.44000006</v>
      </c>
      <c r="G90" s="30"/>
      <c r="H90" s="1"/>
      <c r="I90" s="39">
        <v>260086451.88999999</v>
      </c>
      <c r="J90" s="2" t="s">
        <v>396</v>
      </c>
      <c r="K90" s="92">
        <f>E91-I90</f>
        <v>-2923897.9999999404</v>
      </c>
      <c r="L90" s="41"/>
      <c r="M90" s="42"/>
    </row>
    <row r="91" spans="1:14" s="2" customFormat="1" ht="12.75" customHeight="1" x14ac:dyDescent="0.2">
      <c r="A91" s="36"/>
      <c r="B91" s="28" t="s">
        <v>11</v>
      </c>
      <c r="C91" s="19" t="s">
        <v>65</v>
      </c>
      <c r="D91" s="37"/>
      <c r="E91" s="38">
        <f>F90-E90</f>
        <v>257162553.89000005</v>
      </c>
      <c r="F91" s="22"/>
      <c r="G91" s="1"/>
      <c r="H91" s="1"/>
      <c r="J91" s="1"/>
      <c r="K91" s="1"/>
      <c r="L91" s="1"/>
      <c r="M91" s="1"/>
    </row>
    <row r="92" spans="1:14" s="2" customFormat="1" ht="12.75" customHeight="1" x14ac:dyDescent="0.2">
      <c r="A92" s="36"/>
      <c r="B92" s="28" t="s">
        <v>66</v>
      </c>
      <c r="C92" s="43" t="s">
        <v>67</v>
      </c>
      <c r="D92" s="43"/>
      <c r="E92" s="12">
        <v>59416310</v>
      </c>
      <c r="F92" s="22"/>
      <c r="G92" s="1"/>
      <c r="H92" s="40"/>
      <c r="I92" s="45">
        <v>1724.94</v>
      </c>
      <c r="J92" s="46"/>
      <c r="K92" s="46"/>
      <c r="L92" s="13"/>
    </row>
    <row r="93" spans="1:14" s="2" customFormat="1" ht="12.75" customHeight="1" x14ac:dyDescent="0.25">
      <c r="A93" s="36"/>
      <c r="B93" s="28"/>
      <c r="C93" s="44" t="s">
        <v>68</v>
      </c>
      <c r="D93" s="43"/>
      <c r="E93" s="7">
        <f>E91+E92</f>
        <v>316578863.89000005</v>
      </c>
      <c r="F93" s="22"/>
      <c r="G93" s="1"/>
      <c r="H93" s="103" t="s">
        <v>69</v>
      </c>
      <c r="I93" s="45">
        <v>-15.27</v>
      </c>
      <c r="J93" s="46"/>
      <c r="K93" s="46"/>
      <c r="N93" s="1"/>
    </row>
    <row r="94" spans="1:14" s="2" customFormat="1" x14ac:dyDescent="0.2">
      <c r="A94" s="24"/>
      <c r="B94" s="1"/>
      <c r="C94" s="14"/>
      <c r="D94" s="25"/>
      <c r="E94" s="1"/>
      <c r="H94" s="35" t="s">
        <v>70</v>
      </c>
      <c r="I94" s="45">
        <v>0</v>
      </c>
      <c r="J94" s="46">
        <f>+I95-D97</f>
        <v>0</v>
      </c>
      <c r="M94" s="2" t="s">
        <v>396</v>
      </c>
      <c r="N94" s="1"/>
    </row>
    <row r="95" spans="1:14" x14ac:dyDescent="0.2">
      <c r="C95" s="56"/>
      <c r="D95" s="56"/>
      <c r="E95" s="104"/>
      <c r="I95" s="49">
        <f>SUM(I92:I94)</f>
        <v>1709.67</v>
      </c>
      <c r="J95" s="46"/>
      <c r="K95" s="46"/>
      <c r="L95" s="2"/>
      <c r="M95" s="2"/>
      <c r="N95" s="2"/>
    </row>
    <row r="96" spans="1:14" x14ac:dyDescent="0.2">
      <c r="C96" s="78" t="s">
        <v>575</v>
      </c>
      <c r="D96" s="48" t="s">
        <v>576</v>
      </c>
      <c r="E96" s="104"/>
      <c r="I96" s="2"/>
      <c r="J96" s="2"/>
      <c r="K96" s="2"/>
      <c r="L96" s="2"/>
      <c r="M96" s="2"/>
      <c r="N96" s="2"/>
    </row>
    <row r="97" spans="1:14" s="2" customFormat="1" x14ac:dyDescent="0.2">
      <c r="A97" s="24"/>
      <c r="B97" s="1"/>
      <c r="C97" s="47" t="s">
        <v>570</v>
      </c>
      <c r="D97" s="111">
        <v>1709.67</v>
      </c>
      <c r="E97" s="104"/>
      <c r="G97" s="1"/>
      <c r="H97" s="110" t="s">
        <v>581</v>
      </c>
      <c r="N97" s="2" t="s">
        <v>535</v>
      </c>
    </row>
    <row r="98" spans="1:14" s="2" customFormat="1" x14ac:dyDescent="0.2">
      <c r="A98" s="24"/>
      <c r="B98" s="1"/>
      <c r="C98" s="47" t="s">
        <v>931</v>
      </c>
      <c r="D98" s="111">
        <v>120.38</v>
      </c>
      <c r="E98" s="104"/>
      <c r="G98" s="1"/>
      <c r="H98" s="110" t="s">
        <v>580</v>
      </c>
    </row>
    <row r="99" spans="1:14" s="2" customFormat="1" x14ac:dyDescent="0.2">
      <c r="A99" s="24"/>
      <c r="B99" s="1"/>
      <c r="C99" s="47" t="s">
        <v>572</v>
      </c>
      <c r="D99" s="111">
        <f>+D141/100000</f>
        <v>292.25641920000004</v>
      </c>
      <c r="E99" s="104"/>
      <c r="G99" s="1"/>
      <c r="H99" s="90" t="s">
        <v>587</v>
      </c>
    </row>
    <row r="100" spans="1:14" s="2" customFormat="1" x14ac:dyDescent="0.2">
      <c r="A100" s="24"/>
      <c r="B100" s="1"/>
      <c r="C100" s="108" t="s">
        <v>578</v>
      </c>
      <c r="D100" s="48">
        <f>SUM(D97:D99)</f>
        <v>2122.3064192000002</v>
      </c>
      <c r="E100" s="104"/>
      <c r="G100" s="1"/>
    </row>
    <row r="101" spans="1:14" s="2" customFormat="1" x14ac:dyDescent="0.2">
      <c r="A101" s="24"/>
      <c r="B101" s="1"/>
      <c r="C101" s="47"/>
      <c r="D101" s="107"/>
      <c r="E101" s="104"/>
      <c r="G101" s="1"/>
    </row>
    <row r="102" spans="1:14" s="2" customFormat="1" x14ac:dyDescent="0.2">
      <c r="A102" s="24"/>
      <c r="B102" s="1"/>
      <c r="C102" s="47" t="s">
        <v>932</v>
      </c>
      <c r="D102" s="111">
        <v>68.819999999999993</v>
      </c>
      <c r="E102" s="104"/>
      <c r="G102" s="1"/>
      <c r="H102" s="110" t="s">
        <v>581</v>
      </c>
    </row>
    <row r="103" spans="1:14" s="2" customFormat="1" x14ac:dyDescent="0.2">
      <c r="A103" s="24"/>
      <c r="B103" s="1"/>
      <c r="C103" s="136" t="s">
        <v>1142</v>
      </c>
      <c r="D103" s="111">
        <f>136-46.39</f>
        <v>89.61</v>
      </c>
      <c r="E103" s="104"/>
      <c r="G103" s="1"/>
      <c r="H103" s="110" t="s">
        <v>581</v>
      </c>
      <c r="J103" s="114" t="s">
        <v>713</v>
      </c>
    </row>
    <row r="104" spans="1:14" s="2" customFormat="1" x14ac:dyDescent="0.2">
      <c r="A104" s="24"/>
      <c r="B104" s="1"/>
      <c r="C104" s="78" t="s">
        <v>579</v>
      </c>
      <c r="D104" s="109">
        <f>D102+D103</f>
        <v>158.43</v>
      </c>
      <c r="E104" s="104"/>
      <c r="G104" s="1"/>
      <c r="I104" s="113"/>
      <c r="J104" s="113" t="s">
        <v>709</v>
      </c>
      <c r="K104" s="113" t="s">
        <v>710</v>
      </c>
      <c r="L104" s="113" t="s">
        <v>711</v>
      </c>
      <c r="M104" s="113" t="s">
        <v>712</v>
      </c>
    </row>
    <row r="105" spans="1:14" s="2" customFormat="1" x14ac:dyDescent="0.2">
      <c r="A105" s="24"/>
      <c r="B105" s="1"/>
      <c r="C105" s="105"/>
      <c r="D105" s="106"/>
      <c r="E105" s="104"/>
      <c r="G105" s="1"/>
      <c r="I105" s="113" t="s">
        <v>706</v>
      </c>
      <c r="J105" s="115"/>
      <c r="K105" s="115">
        <v>968.99</v>
      </c>
      <c r="L105" s="115">
        <v>968.99</v>
      </c>
      <c r="M105" s="113">
        <f>+J105+L105-K105</f>
        <v>0</v>
      </c>
    </row>
    <row r="106" spans="1:14" s="2" customFormat="1" x14ac:dyDescent="0.2">
      <c r="A106" s="24"/>
      <c r="B106" s="1"/>
      <c r="C106" s="78" t="s">
        <v>577</v>
      </c>
      <c r="D106" s="109">
        <f>D97+D104</f>
        <v>1868.1000000000001</v>
      </c>
      <c r="E106" s="104"/>
      <c r="G106" s="1"/>
      <c r="I106" s="113" t="s">
        <v>707</v>
      </c>
      <c r="J106" s="115">
        <v>183.1</v>
      </c>
      <c r="K106" s="115">
        <v>2606.65</v>
      </c>
      <c r="L106" s="115">
        <v>3305.8</v>
      </c>
      <c r="M106" s="113">
        <f>+J106+L106-K106</f>
        <v>882.25</v>
      </c>
    </row>
    <row r="107" spans="1:14" s="2" customFormat="1" x14ac:dyDescent="0.2">
      <c r="A107" s="24"/>
      <c r="B107" s="1"/>
      <c r="C107" s="56"/>
      <c r="D107" s="56"/>
      <c r="E107" s="104"/>
      <c r="G107" s="1"/>
      <c r="I107" s="113" t="s">
        <v>708</v>
      </c>
      <c r="J107" s="115">
        <v>1371.02</v>
      </c>
      <c r="K107" s="115">
        <v>12654.76</v>
      </c>
      <c r="L107" s="115">
        <v>12540.22</v>
      </c>
      <c r="M107" s="113">
        <f>+J107+L107-K107</f>
        <v>1256.4799999999996</v>
      </c>
    </row>
    <row r="108" spans="1:14" s="2" customFormat="1" ht="38.25" x14ac:dyDescent="0.2">
      <c r="A108" s="24"/>
      <c r="B108" s="1"/>
      <c r="C108" s="79" t="str">
        <f>"Particulars ( 01-04-2021 to "&amp;TEXT(A5,"dd-mm-yyyy")&amp;" )"</f>
        <v>Particulars ( 01-04-2021 to 11-07-2023 )</v>
      </c>
      <c r="D108" s="80" t="s">
        <v>73</v>
      </c>
      <c r="E108" s="80" t="s">
        <v>74</v>
      </c>
      <c r="F108" s="81" t="s">
        <v>75</v>
      </c>
      <c r="G108" s="80" t="s">
        <v>76</v>
      </c>
      <c r="J108" s="118">
        <f>SUM(J105:J107)</f>
        <v>1554.12</v>
      </c>
      <c r="K108" s="118">
        <f>SUM(K105:K107)</f>
        <v>16230.400000000001</v>
      </c>
      <c r="L108" s="118">
        <f>SUM(L105:L107)</f>
        <v>16815.009999999998</v>
      </c>
      <c r="M108" s="118">
        <f>SUM(M105:M107)</f>
        <v>2138.7299999999996</v>
      </c>
    </row>
    <row r="109" spans="1:14" s="2" customFormat="1" x14ac:dyDescent="0.2">
      <c r="A109" s="24"/>
      <c r="B109" s="1"/>
      <c r="C109" s="50" t="s">
        <v>444</v>
      </c>
      <c r="D109" s="55">
        <f>+L105+L106+J106</f>
        <v>4457.8900000000003</v>
      </c>
      <c r="E109" s="55">
        <f>+K105+K106</f>
        <v>3575.6400000000003</v>
      </c>
      <c r="F109" s="55">
        <f>+D109-E109</f>
        <v>882.25</v>
      </c>
      <c r="G109" s="55">
        <f>1500-F109</f>
        <v>617.75</v>
      </c>
      <c r="H109" s="2" t="s">
        <v>396</v>
      </c>
    </row>
    <row r="110" spans="1:14" s="2" customFormat="1" x14ac:dyDescent="0.2">
      <c r="A110" s="24"/>
      <c r="B110" s="1"/>
      <c r="C110" s="50" t="s">
        <v>71</v>
      </c>
      <c r="D110" s="55">
        <f>+J107+L107</f>
        <v>13911.24</v>
      </c>
      <c r="E110" s="55">
        <f>+K107</f>
        <v>12654.76</v>
      </c>
      <c r="F110" s="55">
        <f>+D110-E110</f>
        <v>1256.4799999999996</v>
      </c>
      <c r="G110" s="55">
        <f>1500+700-F110</f>
        <v>943.52000000000044</v>
      </c>
      <c r="H110" s="2" t="s">
        <v>396</v>
      </c>
    </row>
    <row r="111" spans="1:14" s="2" customFormat="1" x14ac:dyDescent="0.2">
      <c r="A111" s="24"/>
      <c r="B111" s="1"/>
      <c r="C111" s="14"/>
      <c r="D111" s="56"/>
      <c r="E111" s="13"/>
      <c r="G111" s="1"/>
    </row>
    <row r="112" spans="1:14" s="2" customFormat="1" x14ac:dyDescent="0.2">
      <c r="A112" s="215" t="s">
        <v>80</v>
      </c>
      <c r="B112" s="216"/>
      <c r="C112" s="216"/>
      <c r="D112" s="217"/>
      <c r="E112" s="69"/>
      <c r="F112" s="70"/>
      <c r="G112" s="1"/>
      <c r="H112" s="53"/>
    </row>
    <row r="113" spans="1:13" s="2" customFormat="1" x14ac:dyDescent="0.2">
      <c r="A113" s="71" t="s">
        <v>81</v>
      </c>
      <c r="B113" s="71"/>
      <c r="C113" s="72" t="s">
        <v>82</v>
      </c>
      <c r="D113" s="73" t="s">
        <v>83</v>
      </c>
      <c r="E113" s="69"/>
      <c r="F113" s="70"/>
      <c r="H113" s="53"/>
    </row>
    <row r="114" spans="1:13" s="2" customFormat="1" x14ac:dyDescent="0.2">
      <c r="A114" s="87">
        <v>45108</v>
      </c>
      <c r="B114" s="120" t="s">
        <v>1052</v>
      </c>
      <c r="C114" s="75" t="s">
        <v>84</v>
      </c>
      <c r="D114" s="88">
        <v>3000000</v>
      </c>
      <c r="G114" s="1"/>
      <c r="L114" s="1"/>
      <c r="M114" s="1"/>
    </row>
    <row r="115" spans="1:13" s="2" customFormat="1" x14ac:dyDescent="0.2">
      <c r="A115" s="87">
        <v>45108</v>
      </c>
      <c r="B115" s="120" t="s">
        <v>1052</v>
      </c>
      <c r="C115" s="75" t="s">
        <v>271</v>
      </c>
      <c r="D115" s="88">
        <v>2323148</v>
      </c>
      <c r="G115" s="1"/>
      <c r="L115" s="1"/>
      <c r="M115" s="1"/>
    </row>
    <row r="116" spans="1:13" s="2" customFormat="1" x14ac:dyDescent="0.2">
      <c r="A116" s="87">
        <v>45110</v>
      </c>
      <c r="B116" s="120" t="s">
        <v>1052</v>
      </c>
      <c r="C116" s="75" t="s">
        <v>85</v>
      </c>
      <c r="D116" s="88">
        <v>732575</v>
      </c>
      <c r="G116" s="1"/>
      <c r="L116" s="1"/>
      <c r="M116" s="1"/>
    </row>
    <row r="117" spans="1:13" s="2" customFormat="1" x14ac:dyDescent="0.2">
      <c r="A117" s="87">
        <v>45110</v>
      </c>
      <c r="B117" s="120" t="s">
        <v>1052</v>
      </c>
      <c r="C117" s="75" t="s">
        <v>86</v>
      </c>
      <c r="D117" s="88">
        <v>2676974</v>
      </c>
      <c r="G117" s="1"/>
      <c r="L117" s="1"/>
      <c r="M117" s="1"/>
    </row>
    <row r="118" spans="1:13" s="2" customFormat="1" x14ac:dyDescent="0.2">
      <c r="A118" s="87">
        <v>45110</v>
      </c>
      <c r="B118" s="120" t="s">
        <v>1052</v>
      </c>
      <c r="C118" s="75" t="s">
        <v>86</v>
      </c>
      <c r="D118" s="88">
        <v>1043475</v>
      </c>
      <c r="G118" s="1"/>
      <c r="L118" s="1"/>
      <c r="M118" s="1"/>
    </row>
    <row r="119" spans="1:13" s="2" customFormat="1" x14ac:dyDescent="0.2">
      <c r="A119" s="87">
        <v>45111</v>
      </c>
      <c r="B119" s="120" t="s">
        <v>1052</v>
      </c>
      <c r="C119" s="75" t="s">
        <v>270</v>
      </c>
      <c r="D119" s="88">
        <v>106093</v>
      </c>
      <c r="G119" s="1"/>
      <c r="L119" s="1"/>
      <c r="M119" s="1"/>
    </row>
    <row r="120" spans="1:13" s="2" customFormat="1" x14ac:dyDescent="0.2">
      <c r="A120" s="87">
        <v>45111</v>
      </c>
      <c r="B120" s="120" t="s">
        <v>1052</v>
      </c>
      <c r="C120" s="75" t="s">
        <v>270</v>
      </c>
      <c r="D120" s="88">
        <v>102393</v>
      </c>
      <c r="G120" s="1"/>
      <c r="L120" s="1"/>
      <c r="M120" s="1"/>
    </row>
    <row r="121" spans="1:13" s="2" customFormat="1" x14ac:dyDescent="0.2">
      <c r="A121" s="87">
        <v>45111</v>
      </c>
      <c r="B121" s="120" t="s">
        <v>1052</v>
      </c>
      <c r="C121" s="75" t="s">
        <v>270</v>
      </c>
      <c r="D121" s="88">
        <v>716336</v>
      </c>
      <c r="G121" s="1"/>
      <c r="L121" s="1"/>
      <c r="M121" s="1"/>
    </row>
    <row r="122" spans="1:13" s="2" customFormat="1" x14ac:dyDescent="0.2">
      <c r="A122" s="87">
        <v>45111</v>
      </c>
      <c r="B122" s="120" t="s">
        <v>1052</v>
      </c>
      <c r="C122" s="75" t="s">
        <v>270</v>
      </c>
      <c r="D122" s="88">
        <v>2504631</v>
      </c>
      <c r="G122" s="1"/>
      <c r="L122" s="1"/>
      <c r="M122" s="1"/>
    </row>
    <row r="123" spans="1:13" s="2" customFormat="1" x14ac:dyDescent="0.2">
      <c r="A123" s="87">
        <v>45111</v>
      </c>
      <c r="B123" s="120" t="s">
        <v>1052</v>
      </c>
      <c r="C123" s="75" t="s">
        <v>270</v>
      </c>
      <c r="D123" s="88">
        <v>141433.92000000001</v>
      </c>
      <c r="G123" s="1"/>
      <c r="L123" s="1"/>
      <c r="M123" s="1"/>
    </row>
    <row r="124" spans="1:13" s="2" customFormat="1" x14ac:dyDescent="0.2">
      <c r="A124" s="87">
        <v>45111</v>
      </c>
      <c r="B124" s="120" t="s">
        <v>1052</v>
      </c>
      <c r="C124" s="75" t="s">
        <v>271</v>
      </c>
      <c r="D124" s="88">
        <v>485258</v>
      </c>
      <c r="G124" s="1"/>
      <c r="L124" s="1"/>
      <c r="M124" s="1"/>
    </row>
    <row r="125" spans="1:13" s="2" customFormat="1" x14ac:dyDescent="0.2">
      <c r="A125" s="87">
        <v>45112</v>
      </c>
      <c r="B125" s="120" t="s">
        <v>1052</v>
      </c>
      <c r="C125" s="75" t="s">
        <v>85</v>
      </c>
      <c r="D125" s="88">
        <v>216478</v>
      </c>
      <c r="G125" s="1"/>
      <c r="L125" s="1"/>
      <c r="M125" s="1"/>
    </row>
    <row r="126" spans="1:13" s="2" customFormat="1" x14ac:dyDescent="0.2">
      <c r="A126" s="87">
        <v>45114</v>
      </c>
      <c r="B126" s="120" t="s">
        <v>1052</v>
      </c>
      <c r="C126" s="75" t="s">
        <v>270</v>
      </c>
      <c r="D126" s="88">
        <v>886333</v>
      </c>
      <c r="G126" s="1"/>
      <c r="L126" s="1"/>
      <c r="M126" s="1"/>
    </row>
    <row r="127" spans="1:13" s="2" customFormat="1" x14ac:dyDescent="0.2">
      <c r="A127" s="87">
        <v>45114</v>
      </c>
      <c r="B127" s="120" t="s">
        <v>1052</v>
      </c>
      <c r="C127" s="75" t="s">
        <v>270</v>
      </c>
      <c r="D127" s="88">
        <v>3119806</v>
      </c>
      <c r="G127" s="1"/>
      <c r="L127" s="1"/>
      <c r="M127" s="1"/>
    </row>
    <row r="128" spans="1:13" s="2" customFormat="1" x14ac:dyDescent="0.2">
      <c r="A128" s="87">
        <v>45114</v>
      </c>
      <c r="B128" s="120" t="s">
        <v>1052</v>
      </c>
      <c r="C128" s="75" t="s">
        <v>271</v>
      </c>
      <c r="D128" s="88">
        <v>151160</v>
      </c>
      <c r="G128" s="1"/>
      <c r="L128" s="1"/>
      <c r="M128" s="1"/>
    </row>
    <row r="129" spans="1:13" s="2" customFormat="1" x14ac:dyDescent="0.2">
      <c r="A129" s="87">
        <v>45114</v>
      </c>
      <c r="B129" s="120" t="s">
        <v>1052</v>
      </c>
      <c r="C129" s="75" t="s">
        <v>271</v>
      </c>
      <c r="D129" s="88">
        <v>285195</v>
      </c>
      <c r="G129" s="1"/>
      <c r="L129" s="1"/>
      <c r="M129" s="1"/>
    </row>
    <row r="130" spans="1:13" s="2" customFormat="1" x14ac:dyDescent="0.2">
      <c r="A130" s="87">
        <v>45114</v>
      </c>
      <c r="B130" s="120" t="s">
        <v>1052</v>
      </c>
      <c r="C130" s="75" t="s">
        <v>201</v>
      </c>
      <c r="D130" s="88">
        <v>128135</v>
      </c>
      <c r="G130" s="1"/>
      <c r="L130" s="1"/>
      <c r="M130" s="1"/>
    </row>
    <row r="131" spans="1:13" s="2" customFormat="1" x14ac:dyDescent="0.2">
      <c r="A131" s="87">
        <v>45114</v>
      </c>
      <c r="B131" s="120" t="s">
        <v>1052</v>
      </c>
      <c r="C131" s="75" t="s">
        <v>323</v>
      </c>
      <c r="D131" s="88">
        <v>2313089</v>
      </c>
      <c r="G131" s="1"/>
      <c r="L131" s="1"/>
      <c r="M131" s="1"/>
    </row>
    <row r="132" spans="1:13" s="2" customFormat="1" x14ac:dyDescent="0.2">
      <c r="A132" s="87">
        <v>45115</v>
      </c>
      <c r="B132" s="120" t="s">
        <v>1052</v>
      </c>
      <c r="C132" s="75" t="s">
        <v>767</v>
      </c>
      <c r="D132" s="88">
        <v>411035</v>
      </c>
      <c r="G132" s="1"/>
      <c r="L132" s="1"/>
      <c r="M132" s="1"/>
    </row>
    <row r="133" spans="1:13" s="2" customFormat="1" x14ac:dyDescent="0.2">
      <c r="A133" s="87">
        <v>45118</v>
      </c>
      <c r="B133" s="120" t="s">
        <v>1052</v>
      </c>
      <c r="C133" s="75" t="s">
        <v>270</v>
      </c>
      <c r="D133" s="88">
        <v>34696</v>
      </c>
      <c r="G133" s="1"/>
      <c r="L133" s="1"/>
      <c r="M133" s="1"/>
    </row>
    <row r="134" spans="1:13" s="2" customFormat="1" x14ac:dyDescent="0.2">
      <c r="A134" s="87">
        <v>45118</v>
      </c>
      <c r="B134" s="120" t="s">
        <v>1052</v>
      </c>
      <c r="C134" s="75" t="s">
        <v>270</v>
      </c>
      <c r="D134" s="88">
        <v>1128922</v>
      </c>
      <c r="G134" s="1"/>
      <c r="L134" s="1"/>
      <c r="M134" s="1"/>
    </row>
    <row r="135" spans="1:13" s="2" customFormat="1" x14ac:dyDescent="0.2">
      <c r="A135" s="87">
        <v>45118</v>
      </c>
      <c r="B135" s="120" t="s">
        <v>1052</v>
      </c>
      <c r="C135" s="75" t="s">
        <v>270</v>
      </c>
      <c r="D135" s="88">
        <v>2865343</v>
      </c>
      <c r="G135" s="1"/>
      <c r="L135" s="1"/>
      <c r="M135" s="1"/>
    </row>
    <row r="136" spans="1:13" s="2" customFormat="1" x14ac:dyDescent="0.2">
      <c r="A136" s="87">
        <v>45118</v>
      </c>
      <c r="B136" s="120" t="s">
        <v>1052</v>
      </c>
      <c r="C136" s="75" t="s">
        <v>270</v>
      </c>
      <c r="D136" s="88">
        <v>1090852</v>
      </c>
      <c r="G136" s="1"/>
      <c r="L136" s="1"/>
      <c r="M136" s="1"/>
    </row>
    <row r="137" spans="1:13" s="2" customFormat="1" x14ac:dyDescent="0.2">
      <c r="A137" s="87">
        <v>45118</v>
      </c>
      <c r="B137" s="120" t="s">
        <v>1052</v>
      </c>
      <c r="C137" s="75" t="s">
        <v>270</v>
      </c>
      <c r="D137" s="88">
        <v>359348</v>
      </c>
      <c r="G137" s="1"/>
      <c r="L137" s="1"/>
      <c r="M137" s="1"/>
    </row>
    <row r="138" spans="1:13" s="2" customFormat="1" x14ac:dyDescent="0.2">
      <c r="A138" s="87">
        <v>45118</v>
      </c>
      <c r="B138" s="120" t="s">
        <v>1052</v>
      </c>
      <c r="C138" s="75" t="s">
        <v>271</v>
      </c>
      <c r="D138" s="88">
        <v>323487</v>
      </c>
      <c r="G138" s="1"/>
      <c r="L138" s="1"/>
      <c r="M138" s="1"/>
    </row>
    <row r="139" spans="1:13" s="2" customFormat="1" x14ac:dyDescent="0.2">
      <c r="A139" s="87">
        <v>45118</v>
      </c>
      <c r="B139" s="120" t="s">
        <v>1052</v>
      </c>
      <c r="C139" s="75" t="s">
        <v>271</v>
      </c>
      <c r="D139" s="88">
        <v>44394</v>
      </c>
      <c r="G139" s="1"/>
      <c r="L139" s="1"/>
      <c r="M139" s="1"/>
    </row>
    <row r="140" spans="1:13" s="2" customFormat="1" x14ac:dyDescent="0.2">
      <c r="A140" s="87">
        <v>45118</v>
      </c>
      <c r="B140" s="120" t="s">
        <v>1052</v>
      </c>
      <c r="C140" s="75" t="s">
        <v>271</v>
      </c>
      <c r="D140" s="88">
        <v>2035052</v>
      </c>
      <c r="G140" s="1"/>
      <c r="L140" s="1"/>
      <c r="M140" s="1"/>
    </row>
    <row r="141" spans="1:13" s="2" customFormat="1" x14ac:dyDescent="0.2">
      <c r="A141" s="87"/>
      <c r="B141" s="74"/>
      <c r="C141" s="75"/>
      <c r="D141" s="51">
        <f>SUM(D114:D140)</f>
        <v>29225641.920000002</v>
      </c>
      <c r="F141" s="2" t="s">
        <v>396</v>
      </c>
      <c r="G141" s="1"/>
      <c r="L141" s="1"/>
      <c r="M141" s="1"/>
    </row>
    <row r="142" spans="1:13" s="2" customFormat="1" x14ac:dyDescent="0.2">
      <c r="A142" s="24"/>
      <c r="B142" s="1"/>
      <c r="C142" s="14"/>
      <c r="D142" s="56"/>
      <c r="E142" s="13"/>
      <c r="G142" s="1"/>
      <c r="L142" s="1"/>
      <c r="M142" s="1"/>
    </row>
    <row r="143" spans="1:13" s="2" customFormat="1" x14ac:dyDescent="0.2">
      <c r="A143" s="24"/>
      <c r="B143" s="1"/>
      <c r="C143" s="218" t="s">
        <v>77</v>
      </c>
      <c r="D143" s="219"/>
      <c r="E143" s="219"/>
      <c r="F143" s="220"/>
      <c r="G143" s="1"/>
      <c r="L143" s="1"/>
      <c r="M143" s="1"/>
    </row>
    <row r="144" spans="1:13" s="2" customFormat="1" x14ac:dyDescent="0.2">
      <c r="A144" s="24"/>
      <c r="B144" s="1"/>
      <c r="C144" s="50"/>
      <c r="D144" s="57" t="s">
        <v>78</v>
      </c>
      <c r="E144" s="58" t="s">
        <v>79</v>
      </c>
      <c r="F144" s="57" t="s">
        <v>72</v>
      </c>
      <c r="G144" s="1"/>
      <c r="I144" s="1"/>
      <c r="J144" s="1"/>
      <c r="K144" s="1"/>
      <c r="L144" s="1"/>
      <c r="M144" s="1"/>
    </row>
    <row r="145" spans="1:13" s="2" customFormat="1" x14ac:dyDescent="0.2">
      <c r="A145" s="24"/>
      <c r="B145" s="1"/>
      <c r="C145" s="59" t="str">
        <f>"01-07-2023 to "&amp;TEXT(A5-2,"dd-mm-yyyy")</f>
        <v>01-07-2023 to 09-07-2023</v>
      </c>
      <c r="D145" s="60">
        <v>1851.82</v>
      </c>
      <c r="E145" s="60">
        <v>67.78</v>
      </c>
      <c r="F145" s="61">
        <f>SUM(D145:E145)</f>
        <v>1919.6</v>
      </c>
      <c r="G145" s="1"/>
    </row>
    <row r="146" spans="1:13" s="2" customFormat="1" x14ac:dyDescent="0.2">
      <c r="A146" s="24"/>
      <c r="B146" s="1"/>
      <c r="C146" s="62" t="str">
        <f>TEXT(A5-1,"dd-mm-yyyy")</f>
        <v>10-07-2023</v>
      </c>
      <c r="D146" s="60">
        <v>160.22999999999999</v>
      </c>
      <c r="E146" s="60">
        <v>17.3</v>
      </c>
      <c r="F146" s="61">
        <f>SUM(D146:E146)</f>
        <v>177.53</v>
      </c>
      <c r="G146" s="54"/>
      <c r="I146" s="1"/>
      <c r="J146" s="1"/>
      <c r="K146" s="1"/>
      <c r="L146" s="1"/>
      <c r="M146" s="1"/>
    </row>
    <row r="147" spans="1:13" s="2" customFormat="1" ht="13.5" thickBot="1" x14ac:dyDescent="0.25">
      <c r="A147" s="24"/>
      <c r="B147" s="1"/>
      <c r="C147" s="63" t="str">
        <f>"01-07-2023 to "&amp;TEXT(A5-1,"dd-mm-yyyy")</f>
        <v>01-07-2023 to 10-07-2023</v>
      </c>
      <c r="D147" s="64">
        <f>SUM(D145:D146)</f>
        <v>2012.05</v>
      </c>
      <c r="E147" s="64">
        <f>SUM(E145:E146)</f>
        <v>85.08</v>
      </c>
      <c r="F147" s="64">
        <f>SUM(F145:F146)</f>
        <v>2097.13</v>
      </c>
      <c r="G147" s="54"/>
      <c r="I147" s="1"/>
      <c r="J147" s="1"/>
      <c r="K147" s="1"/>
      <c r="L147" s="1"/>
      <c r="M147" s="1"/>
    </row>
    <row r="148" spans="1:13" s="2" customFormat="1" ht="13.5" thickTop="1" x14ac:dyDescent="0.2">
      <c r="A148" s="24"/>
      <c r="B148" s="1"/>
      <c r="C148" s="62"/>
      <c r="D148" s="65"/>
      <c r="E148" s="66"/>
      <c r="F148" s="67"/>
      <c r="G148" s="54"/>
      <c r="I148" s="1"/>
      <c r="J148" s="1"/>
      <c r="K148" s="1"/>
      <c r="L148" s="1"/>
      <c r="M148" s="1"/>
    </row>
    <row r="149" spans="1:13" s="2" customFormat="1" x14ac:dyDescent="0.2">
      <c r="A149" s="24"/>
      <c r="B149" s="1"/>
      <c r="C149" s="62" t="str">
        <f>"01-04-2023 to " &amp;C146</f>
        <v>01-04-2023 to 10-07-2023</v>
      </c>
      <c r="D149" s="68">
        <f>+D147+15505.53</f>
        <v>17517.580000000002</v>
      </c>
      <c r="E149" s="68">
        <f>+E147+1109.72</f>
        <v>1194.8</v>
      </c>
      <c r="F149" s="68">
        <f>+F147+16615.25</f>
        <v>18712.38</v>
      </c>
      <c r="G149" s="54"/>
      <c r="I149" s="1"/>
      <c r="J149" s="1"/>
      <c r="K149" s="1"/>
      <c r="L149" s="1"/>
      <c r="M149" s="1"/>
    </row>
    <row r="150" spans="1:13" x14ac:dyDescent="0.2">
      <c r="C150" s="52"/>
      <c r="D150" s="85"/>
      <c r="E150" s="53"/>
      <c r="F150" s="53"/>
      <c r="G150" s="54"/>
      <c r="H150" s="2" t="s">
        <v>396</v>
      </c>
    </row>
    <row r="151" spans="1:13" s="2" customFormat="1" x14ac:dyDescent="0.2">
      <c r="A151" s="24"/>
      <c r="B151" s="1"/>
      <c r="C151" s="52"/>
      <c r="D151" s="85"/>
      <c r="E151" s="53"/>
      <c r="F151" s="53"/>
      <c r="G151" s="54"/>
      <c r="H151" s="53"/>
    </row>
    <row r="152" spans="1:13" x14ac:dyDescent="0.2">
      <c r="C152" s="52"/>
      <c r="D152" s="85"/>
      <c r="E152" s="53"/>
      <c r="F152" s="53"/>
      <c r="G152" s="54"/>
      <c r="H152" s="53" t="s">
        <v>396</v>
      </c>
    </row>
    <row r="153" spans="1:13" x14ac:dyDescent="0.2">
      <c r="C153" s="52"/>
      <c r="D153" s="85"/>
      <c r="E153" s="53"/>
      <c r="F153" s="53"/>
      <c r="G153" s="54"/>
      <c r="H153" s="53" t="s">
        <v>396</v>
      </c>
      <c r="J153" s="42"/>
    </row>
    <row r="154" spans="1:13" x14ac:dyDescent="0.2">
      <c r="G154" s="54"/>
      <c r="H154" s="53"/>
      <c r="I154" s="101"/>
    </row>
    <row r="155" spans="1:13" x14ac:dyDescent="0.2">
      <c r="G155" s="54"/>
      <c r="H155" s="53"/>
    </row>
    <row r="156" spans="1:13" x14ac:dyDescent="0.2">
      <c r="G156" s="54"/>
      <c r="H156" s="53"/>
    </row>
    <row r="157" spans="1:13" x14ac:dyDescent="0.2">
      <c r="H157" s="53"/>
    </row>
  </sheetData>
  <mergeCells count="6">
    <mergeCell ref="C143:F143"/>
    <mergeCell ref="A1:G1"/>
    <mergeCell ref="A3:F3"/>
    <mergeCell ref="A9:F9"/>
    <mergeCell ref="A30:F30"/>
    <mergeCell ref="A112:D112"/>
  </mergeCells>
  <conditionalFormatting sqref="G109:G110">
    <cfRule type="cellIs" dxfId="421" priority="1" operator="lessThan">
      <formula>0</formula>
    </cfRule>
  </conditionalFormatting>
  <conditionalFormatting sqref="C32">
    <cfRule type="duplicateValues" dxfId="420" priority="2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sheetPr codeName="Sheet376">
    <pageSetUpPr fitToPage="1"/>
  </sheetPr>
  <dimension ref="A1:N127"/>
  <sheetViews>
    <sheetView topLeftCell="A7" zoomScaleNormal="100" workbookViewId="0">
      <selection activeCell="E18" sqref="E18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1186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45119</v>
      </c>
      <c r="B5" s="9" t="s">
        <v>6</v>
      </c>
      <c r="C5" s="10" t="s">
        <v>7</v>
      </c>
      <c r="D5" s="11"/>
      <c r="E5" s="12">
        <v>372249.70000000019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372249.70000000019</v>
      </c>
      <c r="F6" s="16">
        <f>F5</f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+E6-F6</f>
        <v>372249.70000000019</v>
      </c>
      <c r="F7" s="22"/>
      <c r="G7" s="23"/>
      <c r="H7" s="112"/>
      <c r="I7" s="112"/>
      <c r="J7" s="13"/>
    </row>
    <row r="8" spans="1:10" ht="12.75" customHeight="1" x14ac:dyDescent="0.4">
      <c r="H8" s="112"/>
      <c r="I8" s="112"/>
    </row>
    <row r="9" spans="1:10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12"/>
    </row>
    <row r="10" spans="1:10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12"/>
    </row>
    <row r="11" spans="1:10" s="2" customFormat="1" ht="14.25" customHeight="1" x14ac:dyDescent="0.2">
      <c r="A11" s="127">
        <v>45119</v>
      </c>
      <c r="B11" s="9" t="s">
        <v>6</v>
      </c>
      <c r="C11" s="10" t="s">
        <v>7</v>
      </c>
      <c r="D11" s="11"/>
      <c r="F11" s="12">
        <v>28201718.860000007</v>
      </c>
      <c r="G11" s="1"/>
      <c r="H11" s="130" t="s">
        <v>396</v>
      </c>
      <c r="I11" s="130"/>
    </row>
    <row r="12" spans="1:10" s="2" customFormat="1" ht="14.25" customHeight="1" x14ac:dyDescent="0.2">
      <c r="A12" s="127">
        <v>45119</v>
      </c>
      <c r="B12" s="9" t="s">
        <v>6</v>
      </c>
      <c r="C12" s="76" t="s">
        <v>1189</v>
      </c>
      <c r="D12" s="125" t="s">
        <v>13</v>
      </c>
      <c r="E12" s="31">
        <v>5165902.67</v>
      </c>
      <c r="F12" s="31"/>
      <c r="G12" s="1"/>
      <c r="H12" s="130"/>
      <c r="I12" s="130"/>
    </row>
    <row r="13" spans="1:10" s="2" customFormat="1" ht="14.25" customHeight="1" x14ac:dyDescent="0.2">
      <c r="A13" s="127">
        <v>45119</v>
      </c>
      <c r="B13" s="9" t="s">
        <v>11</v>
      </c>
      <c r="C13" s="76" t="s">
        <v>1137</v>
      </c>
      <c r="D13" s="125" t="s">
        <v>29</v>
      </c>
      <c r="E13" s="31"/>
      <c r="F13" s="31">
        <v>63661.86</v>
      </c>
      <c r="G13" s="1"/>
      <c r="H13" s="130"/>
      <c r="I13" s="130"/>
    </row>
    <row r="14" spans="1:10" s="2" customFormat="1" ht="14.25" customHeight="1" x14ac:dyDescent="0.2">
      <c r="A14" s="127">
        <v>45119</v>
      </c>
      <c r="B14" s="9" t="s">
        <v>11</v>
      </c>
      <c r="C14" s="76" t="s">
        <v>1187</v>
      </c>
      <c r="D14" s="125" t="s">
        <v>29</v>
      </c>
      <c r="E14" s="31"/>
      <c r="F14" s="31">
        <v>196000</v>
      </c>
      <c r="G14" s="1"/>
      <c r="H14" s="130"/>
      <c r="I14" s="130"/>
    </row>
    <row r="15" spans="1:10" s="2" customFormat="1" ht="14.25" customHeight="1" x14ac:dyDescent="0.2">
      <c r="A15" s="127">
        <v>45119</v>
      </c>
      <c r="B15" s="9" t="s">
        <v>11</v>
      </c>
      <c r="C15" s="76" t="s">
        <v>63</v>
      </c>
      <c r="D15" s="125" t="s">
        <v>29</v>
      </c>
      <c r="E15" s="31"/>
      <c r="F15" s="31">
        <v>4000000</v>
      </c>
      <c r="G15" s="1"/>
      <c r="H15" s="130"/>
      <c r="I15" s="130"/>
    </row>
    <row r="16" spans="1:10" s="2" customFormat="1" ht="14.25" customHeight="1" x14ac:dyDescent="0.2">
      <c r="A16" s="127">
        <v>45119</v>
      </c>
      <c r="B16" s="9" t="s">
        <v>11</v>
      </c>
      <c r="C16" s="76" t="s">
        <v>537</v>
      </c>
      <c r="D16" s="125" t="s">
        <v>29</v>
      </c>
      <c r="E16" s="31"/>
      <c r="F16" s="31">
        <v>622733</v>
      </c>
      <c r="G16" s="1"/>
      <c r="H16" s="130"/>
      <c r="I16" s="130"/>
    </row>
    <row r="17" spans="1:10" s="2" customFormat="1" ht="12.75" customHeight="1" x14ac:dyDescent="0.4">
      <c r="D17" s="15" t="s">
        <v>8</v>
      </c>
      <c r="E17" s="16">
        <f>SUM(E12:E16)</f>
        <v>5165902.67</v>
      </c>
      <c r="F17" s="16">
        <f>SUM(F11:F16)</f>
        <v>33084113.720000006</v>
      </c>
      <c r="G17" s="1"/>
      <c r="H17" s="112"/>
      <c r="I17" s="112"/>
    </row>
    <row r="18" spans="1:10" s="2" customFormat="1" ht="12.75" customHeight="1" x14ac:dyDescent="0.4">
      <c r="A18" s="17"/>
      <c r="B18" s="18"/>
      <c r="C18" s="96" t="s">
        <v>9</v>
      </c>
      <c r="D18" s="20"/>
      <c r="E18" s="21">
        <f>+F17-E17</f>
        <v>27918211.050000004</v>
      </c>
      <c r="G18" s="23"/>
      <c r="H18" s="112"/>
      <c r="I18" s="112"/>
      <c r="J18" s="13"/>
    </row>
    <row r="19" spans="1:10" s="2" customFormat="1" ht="12.75" customHeight="1" x14ac:dyDescent="0.4">
      <c r="A19" s="24"/>
      <c r="B19" s="1"/>
      <c r="C19" s="14"/>
      <c r="D19" s="25"/>
      <c r="G19" s="23"/>
      <c r="H19" s="112"/>
      <c r="I19" s="112"/>
      <c r="J19" s="13"/>
    </row>
    <row r="20" spans="1:10" s="2" customFormat="1" ht="21.75" customHeight="1" x14ac:dyDescent="0.4">
      <c r="A20" s="214" t="s">
        <v>10</v>
      </c>
      <c r="B20" s="214"/>
      <c r="C20" s="214"/>
      <c r="D20" s="214"/>
      <c r="E20" s="214"/>
      <c r="F20" s="214"/>
      <c r="G20" s="13"/>
      <c r="H20" s="112"/>
      <c r="I20" s="112"/>
      <c r="J20" s="13"/>
    </row>
    <row r="21" spans="1:10" s="2" customFormat="1" ht="12.75" customHeight="1" x14ac:dyDescent="0.4">
      <c r="A21" s="26" t="s">
        <v>1</v>
      </c>
      <c r="B21" s="27" t="s">
        <v>2</v>
      </c>
      <c r="C21" s="5"/>
      <c r="D21" s="6" t="s">
        <v>3</v>
      </c>
      <c r="E21" s="7" t="s">
        <v>4</v>
      </c>
      <c r="F21" s="7" t="s">
        <v>5</v>
      </c>
      <c r="G21" s="23"/>
      <c r="H21" s="112"/>
      <c r="I21" s="112"/>
      <c r="J21" s="13"/>
    </row>
    <row r="22" spans="1:10" s="2" customFormat="1" ht="12.75" customHeight="1" x14ac:dyDescent="0.2">
      <c r="A22" s="127">
        <v>45119</v>
      </c>
      <c r="B22" s="128" t="s">
        <v>11</v>
      </c>
      <c r="C22" s="29" t="s">
        <v>7</v>
      </c>
      <c r="D22" s="25"/>
      <c r="E22" s="31"/>
      <c r="F22" s="2">
        <v>257162553.89000005</v>
      </c>
      <c r="G22" s="30"/>
      <c r="I22" s="13"/>
      <c r="J22" s="13"/>
    </row>
    <row r="23" spans="1:10" s="70" customFormat="1" ht="12.75" customHeight="1" x14ac:dyDescent="0.2">
      <c r="A23" s="127">
        <v>45119</v>
      </c>
      <c r="B23" s="128" t="s">
        <v>6</v>
      </c>
      <c r="C23" s="76" t="s">
        <v>947</v>
      </c>
      <c r="D23" s="125" t="s">
        <v>13</v>
      </c>
      <c r="E23" s="31">
        <v>959429</v>
      </c>
      <c r="G23" s="30"/>
      <c r="I23" s="69"/>
      <c r="J23" s="69"/>
    </row>
    <row r="24" spans="1:10" s="70" customFormat="1" ht="12.75" customHeight="1" x14ac:dyDescent="0.2">
      <c r="A24" s="127">
        <v>45119</v>
      </c>
      <c r="B24" s="128" t="s">
        <v>6</v>
      </c>
      <c r="C24" s="76" t="s">
        <v>120</v>
      </c>
      <c r="D24" s="125" t="s">
        <v>13</v>
      </c>
      <c r="E24" s="31">
        <v>518769</v>
      </c>
      <c r="G24" s="30"/>
      <c r="I24" s="69"/>
      <c r="J24" s="69"/>
    </row>
    <row r="25" spans="1:10" s="70" customFormat="1" ht="12.75" customHeight="1" x14ac:dyDescent="0.2">
      <c r="A25" s="127">
        <v>45119</v>
      </c>
      <c r="B25" s="128" t="s">
        <v>6</v>
      </c>
      <c r="C25" s="76" t="s">
        <v>19</v>
      </c>
      <c r="D25" s="125" t="s">
        <v>13</v>
      </c>
      <c r="E25" s="31">
        <v>426861</v>
      </c>
      <c r="G25" s="30"/>
      <c r="I25" s="69"/>
      <c r="J25" s="69"/>
    </row>
    <row r="26" spans="1:10" s="70" customFormat="1" ht="12.75" customHeight="1" x14ac:dyDescent="0.2">
      <c r="A26" s="127">
        <v>45119</v>
      </c>
      <c r="B26" s="128" t="s">
        <v>6</v>
      </c>
      <c r="C26" s="76" t="s">
        <v>12</v>
      </c>
      <c r="D26" s="125" t="s">
        <v>13</v>
      </c>
      <c r="E26" s="31">
        <v>873536.91</v>
      </c>
      <c r="G26" s="30"/>
      <c r="I26" s="69"/>
      <c r="J26" s="69"/>
    </row>
    <row r="27" spans="1:10" s="70" customFormat="1" ht="12.75" customHeight="1" x14ac:dyDescent="0.2">
      <c r="A27" s="127">
        <v>45119</v>
      </c>
      <c r="B27" s="128" t="s">
        <v>6</v>
      </c>
      <c r="C27" s="76" t="s">
        <v>543</v>
      </c>
      <c r="D27" s="125" t="s">
        <v>13</v>
      </c>
      <c r="E27" s="31">
        <v>275000</v>
      </c>
      <c r="G27" s="30"/>
      <c r="I27" s="69"/>
      <c r="J27" s="69"/>
    </row>
    <row r="28" spans="1:10" s="70" customFormat="1" ht="12.75" customHeight="1" x14ac:dyDescent="0.2">
      <c r="A28" s="127">
        <v>45119</v>
      </c>
      <c r="B28" s="128" t="s">
        <v>6</v>
      </c>
      <c r="C28" s="76" t="s">
        <v>1178</v>
      </c>
      <c r="D28" s="125" t="s">
        <v>13</v>
      </c>
      <c r="E28" s="31">
        <v>48930</v>
      </c>
      <c r="G28" s="30"/>
      <c r="I28" s="69"/>
      <c r="J28" s="69"/>
    </row>
    <row r="29" spans="1:10" s="70" customFormat="1" ht="12.75" customHeight="1" x14ac:dyDescent="0.2">
      <c r="A29" s="127">
        <v>45119</v>
      </c>
      <c r="B29" s="128" t="s">
        <v>6</v>
      </c>
      <c r="C29" s="76" t="s">
        <v>378</v>
      </c>
      <c r="D29" s="125" t="s">
        <v>13</v>
      </c>
      <c r="E29" s="31">
        <v>1104170</v>
      </c>
      <c r="G29" s="30"/>
      <c r="I29" s="69"/>
      <c r="J29" s="69"/>
    </row>
    <row r="30" spans="1:10" s="70" customFormat="1" ht="12.75" customHeight="1" x14ac:dyDescent="0.2">
      <c r="A30" s="127">
        <v>45119</v>
      </c>
      <c r="B30" s="128" t="s">
        <v>6</v>
      </c>
      <c r="C30" s="76" t="s">
        <v>316</v>
      </c>
      <c r="D30" s="125" t="s">
        <v>13</v>
      </c>
      <c r="E30" s="31">
        <v>85891</v>
      </c>
      <c r="G30" s="30"/>
      <c r="I30" s="69"/>
      <c r="J30" s="69"/>
    </row>
    <row r="31" spans="1:10" s="70" customFormat="1" ht="12.75" customHeight="1" x14ac:dyDescent="0.2">
      <c r="A31" s="127">
        <v>45119</v>
      </c>
      <c r="B31" s="128" t="s">
        <v>6</v>
      </c>
      <c r="C31" s="76" t="s">
        <v>149</v>
      </c>
      <c r="D31" s="125" t="s">
        <v>13</v>
      </c>
      <c r="E31" s="31">
        <v>50907</v>
      </c>
      <c r="G31" s="30"/>
      <c r="I31" s="69"/>
      <c r="J31" s="69"/>
    </row>
    <row r="32" spans="1:10" s="70" customFormat="1" ht="12.75" customHeight="1" x14ac:dyDescent="0.2">
      <c r="A32" s="127">
        <v>45119</v>
      </c>
      <c r="B32" s="128" t="s">
        <v>6</v>
      </c>
      <c r="C32" s="76" t="s">
        <v>283</v>
      </c>
      <c r="D32" s="125" t="s">
        <v>13</v>
      </c>
      <c r="E32" s="31">
        <v>5287249</v>
      </c>
      <c r="G32" s="30"/>
      <c r="I32" s="69"/>
      <c r="J32" s="69"/>
    </row>
    <row r="33" spans="1:10" s="70" customFormat="1" ht="12.75" customHeight="1" x14ac:dyDescent="0.2">
      <c r="A33" s="127">
        <v>45119</v>
      </c>
      <c r="B33" s="128" t="s">
        <v>6</v>
      </c>
      <c r="C33" s="76" t="s">
        <v>180</v>
      </c>
      <c r="D33" s="125" t="s">
        <v>13</v>
      </c>
      <c r="E33" s="31">
        <v>97416</v>
      </c>
      <c r="G33" s="30"/>
      <c r="I33" s="69"/>
      <c r="J33" s="69"/>
    </row>
    <row r="34" spans="1:10" s="70" customFormat="1" ht="12.75" customHeight="1" x14ac:dyDescent="0.2">
      <c r="A34" s="127">
        <v>45119</v>
      </c>
      <c r="B34" s="128" t="s">
        <v>6</v>
      </c>
      <c r="C34" s="76" t="s">
        <v>27</v>
      </c>
      <c r="D34" s="125" t="s">
        <v>13</v>
      </c>
      <c r="E34" s="31">
        <v>9513076.2799999993</v>
      </c>
      <c r="G34" s="30"/>
      <c r="I34" s="69"/>
      <c r="J34" s="69"/>
    </row>
    <row r="35" spans="1:10" s="70" customFormat="1" ht="12.75" customHeight="1" x14ac:dyDescent="0.2">
      <c r="A35" s="127">
        <v>45119</v>
      </c>
      <c r="B35" s="128" t="s">
        <v>6</v>
      </c>
      <c r="C35" s="76" t="s">
        <v>200</v>
      </c>
      <c r="D35" s="125" t="s">
        <v>13</v>
      </c>
      <c r="E35" s="31">
        <v>106041</v>
      </c>
      <c r="G35" s="30"/>
      <c r="I35" s="69"/>
      <c r="J35" s="69"/>
    </row>
    <row r="36" spans="1:10" s="70" customFormat="1" ht="12.75" customHeight="1" x14ac:dyDescent="0.2">
      <c r="A36" s="127">
        <v>45119</v>
      </c>
      <c r="B36" s="128" t="s">
        <v>6</v>
      </c>
      <c r="C36" s="76" t="s">
        <v>15</v>
      </c>
      <c r="D36" s="125" t="s">
        <v>13</v>
      </c>
      <c r="E36" s="31">
        <v>276.13</v>
      </c>
      <c r="G36" s="30"/>
      <c r="I36" s="69"/>
      <c r="J36" s="69"/>
    </row>
    <row r="37" spans="1:10" s="70" customFormat="1" ht="12.75" customHeight="1" x14ac:dyDescent="0.2">
      <c r="A37" s="127">
        <v>45119</v>
      </c>
      <c r="B37" s="128" t="s">
        <v>11</v>
      </c>
      <c r="C37" s="76" t="s">
        <v>64</v>
      </c>
      <c r="D37" s="125" t="s">
        <v>29</v>
      </c>
      <c r="E37" s="31"/>
      <c r="F37" s="70">
        <f>19019.76+90</f>
        <v>19109.759999999998</v>
      </c>
      <c r="G37" s="30"/>
      <c r="I37" s="69"/>
      <c r="J37" s="69"/>
    </row>
    <row r="38" spans="1:10" s="70" customFormat="1" ht="12.75" customHeight="1" x14ac:dyDescent="0.2">
      <c r="A38" s="127">
        <v>45119</v>
      </c>
      <c r="B38" s="128" t="s">
        <v>11</v>
      </c>
      <c r="C38" s="76" t="s">
        <v>15</v>
      </c>
      <c r="D38" s="125" t="s">
        <v>29</v>
      </c>
      <c r="E38" s="31"/>
      <c r="F38" s="70">
        <v>82571.75</v>
      </c>
      <c r="G38" s="30"/>
      <c r="I38" s="69"/>
      <c r="J38" s="69"/>
    </row>
    <row r="39" spans="1:10" s="70" customFormat="1" ht="12.75" customHeight="1" x14ac:dyDescent="0.2">
      <c r="A39" s="127">
        <v>45119</v>
      </c>
      <c r="B39" s="128" t="s">
        <v>11</v>
      </c>
      <c r="C39" s="76" t="s">
        <v>649</v>
      </c>
      <c r="D39" s="125" t="s">
        <v>29</v>
      </c>
      <c r="E39" s="31"/>
      <c r="F39" s="70">
        <v>690104.28</v>
      </c>
      <c r="G39" s="30"/>
      <c r="I39" s="69"/>
      <c r="J39" s="69"/>
    </row>
    <row r="40" spans="1:10" s="70" customFormat="1" ht="12.75" customHeight="1" x14ac:dyDescent="0.2">
      <c r="A40" s="127">
        <v>45119</v>
      </c>
      <c r="B40" s="128" t="s">
        <v>11</v>
      </c>
      <c r="C40" s="76" t="s">
        <v>278</v>
      </c>
      <c r="D40" s="125" t="s">
        <v>29</v>
      </c>
      <c r="E40" s="31"/>
      <c r="F40" s="70">
        <v>106786</v>
      </c>
      <c r="G40" s="30"/>
      <c r="I40" s="69"/>
      <c r="J40" s="69"/>
    </row>
    <row r="41" spans="1:10" s="70" customFormat="1" ht="12.75" customHeight="1" x14ac:dyDescent="0.2">
      <c r="A41" s="127">
        <v>45119</v>
      </c>
      <c r="B41" s="128" t="s">
        <v>11</v>
      </c>
      <c r="C41" s="76" t="s">
        <v>42</v>
      </c>
      <c r="D41" s="125" t="s">
        <v>29</v>
      </c>
      <c r="E41" s="31"/>
      <c r="F41" s="70">
        <v>12450</v>
      </c>
      <c r="G41" s="30"/>
      <c r="I41" s="69"/>
      <c r="J41" s="69"/>
    </row>
    <row r="42" spans="1:10" s="70" customFormat="1" ht="12.75" customHeight="1" x14ac:dyDescent="0.2">
      <c r="A42" s="127">
        <v>45119</v>
      </c>
      <c r="B42" s="128" t="s">
        <v>11</v>
      </c>
      <c r="C42" s="76" t="s">
        <v>43</v>
      </c>
      <c r="D42" s="125" t="s">
        <v>29</v>
      </c>
      <c r="E42" s="31"/>
      <c r="F42" s="70">
        <v>5664</v>
      </c>
      <c r="G42" s="30"/>
      <c r="I42" s="69"/>
      <c r="J42" s="69"/>
    </row>
    <row r="43" spans="1:10" s="70" customFormat="1" ht="12.75" customHeight="1" x14ac:dyDescent="0.2">
      <c r="A43" s="127">
        <v>45119</v>
      </c>
      <c r="B43" s="128" t="s">
        <v>11</v>
      </c>
      <c r="C43" s="76" t="s">
        <v>44</v>
      </c>
      <c r="D43" s="125" t="s">
        <v>29</v>
      </c>
      <c r="E43" s="31"/>
      <c r="F43" s="70">
        <v>63119</v>
      </c>
      <c r="G43" s="30"/>
      <c r="I43" s="69"/>
      <c r="J43" s="69"/>
    </row>
    <row r="44" spans="1:10" s="70" customFormat="1" ht="12.75" customHeight="1" x14ac:dyDescent="0.2">
      <c r="A44" s="127">
        <v>45119</v>
      </c>
      <c r="B44" s="128" t="s">
        <v>11</v>
      </c>
      <c r="C44" s="76" t="s">
        <v>61</v>
      </c>
      <c r="D44" s="125" t="s">
        <v>29</v>
      </c>
      <c r="E44" s="31"/>
      <c r="F44" s="70">
        <v>128608</v>
      </c>
      <c r="G44" s="30"/>
      <c r="I44" s="69"/>
      <c r="J44" s="69"/>
    </row>
    <row r="45" spans="1:10" s="70" customFormat="1" ht="12.75" customHeight="1" x14ac:dyDescent="0.2">
      <c r="A45" s="127">
        <v>45119</v>
      </c>
      <c r="B45" s="128" t="s">
        <v>11</v>
      </c>
      <c r="C45" s="76" t="s">
        <v>753</v>
      </c>
      <c r="D45" s="125" t="s">
        <v>29</v>
      </c>
      <c r="E45" s="31"/>
      <c r="F45" s="70">
        <v>5947</v>
      </c>
      <c r="G45" s="30"/>
      <c r="I45" s="69"/>
      <c r="J45" s="69"/>
    </row>
    <row r="46" spans="1:10" s="70" customFormat="1" ht="12.75" customHeight="1" x14ac:dyDescent="0.2">
      <c r="A46" s="127">
        <v>45119</v>
      </c>
      <c r="B46" s="128" t="s">
        <v>11</v>
      </c>
      <c r="C46" s="76" t="s">
        <v>226</v>
      </c>
      <c r="D46" s="125" t="s">
        <v>29</v>
      </c>
      <c r="E46" s="31"/>
      <c r="F46" s="70">
        <v>93099</v>
      </c>
      <c r="G46" s="30"/>
      <c r="I46" s="69"/>
      <c r="J46" s="69"/>
    </row>
    <row r="47" spans="1:10" s="70" customFormat="1" ht="12.75" customHeight="1" x14ac:dyDescent="0.2">
      <c r="A47" s="127">
        <v>45119</v>
      </c>
      <c r="B47" s="128" t="s">
        <v>11</v>
      </c>
      <c r="C47" s="76" t="s">
        <v>462</v>
      </c>
      <c r="D47" s="125" t="s">
        <v>29</v>
      </c>
      <c r="E47" s="31"/>
      <c r="F47" s="70">
        <v>63694.6</v>
      </c>
      <c r="G47" s="30"/>
      <c r="I47" s="69"/>
      <c r="J47" s="69"/>
    </row>
    <row r="48" spans="1:10" s="70" customFormat="1" ht="12.75" customHeight="1" x14ac:dyDescent="0.2">
      <c r="A48" s="127">
        <v>45119</v>
      </c>
      <c r="B48" s="128" t="s">
        <v>11</v>
      </c>
      <c r="C48" s="76" t="s">
        <v>227</v>
      </c>
      <c r="D48" s="125" t="s">
        <v>29</v>
      </c>
      <c r="E48" s="31"/>
      <c r="F48" s="70">
        <v>94188</v>
      </c>
      <c r="G48" s="30"/>
      <c r="I48" s="69"/>
      <c r="J48" s="69"/>
    </row>
    <row r="49" spans="1:14" s="70" customFormat="1" ht="12.75" customHeight="1" x14ac:dyDescent="0.2">
      <c r="A49" s="127">
        <v>45119</v>
      </c>
      <c r="B49" s="128" t="s">
        <v>11</v>
      </c>
      <c r="C49" s="76" t="s">
        <v>409</v>
      </c>
      <c r="D49" s="125" t="s">
        <v>29</v>
      </c>
      <c r="E49" s="31"/>
      <c r="F49" s="70">
        <v>3552</v>
      </c>
      <c r="G49" s="30"/>
      <c r="I49" s="69"/>
      <c r="J49" s="69"/>
    </row>
    <row r="50" spans="1:14" s="70" customFormat="1" ht="12.75" customHeight="1" x14ac:dyDescent="0.2">
      <c r="A50" s="127">
        <v>45119</v>
      </c>
      <c r="B50" s="128" t="s">
        <v>11</v>
      </c>
      <c r="C50" s="76" t="s">
        <v>1188</v>
      </c>
      <c r="D50" s="125" t="s">
        <v>29</v>
      </c>
      <c r="E50" s="31"/>
      <c r="F50" s="70">
        <v>17700</v>
      </c>
      <c r="G50" s="30"/>
      <c r="I50" s="69"/>
      <c r="J50" s="69"/>
    </row>
    <row r="51" spans="1:14" s="70" customFormat="1" ht="12.75" customHeight="1" x14ac:dyDescent="0.2">
      <c r="A51" s="127">
        <v>45119</v>
      </c>
      <c r="B51" s="128" t="s">
        <v>11</v>
      </c>
      <c r="C51" s="76" t="s">
        <v>481</v>
      </c>
      <c r="D51" s="125" t="s">
        <v>29</v>
      </c>
      <c r="E51" s="31"/>
      <c r="F51" s="70">
        <v>114283</v>
      </c>
      <c r="G51" s="30"/>
      <c r="I51" s="69"/>
      <c r="J51" s="69"/>
    </row>
    <row r="52" spans="1:14" s="70" customFormat="1" ht="12.75" customHeight="1" x14ac:dyDescent="0.2">
      <c r="A52" s="127">
        <v>45119</v>
      </c>
      <c r="B52" s="128" t="s">
        <v>11</v>
      </c>
      <c r="C52" s="76" t="s">
        <v>117</v>
      </c>
      <c r="D52" s="125" t="s">
        <v>29</v>
      </c>
      <c r="E52" s="31"/>
      <c r="F52" s="70">
        <v>166131</v>
      </c>
      <c r="G52" s="30"/>
      <c r="I52" s="69"/>
      <c r="J52" s="69"/>
    </row>
    <row r="53" spans="1:14" s="70" customFormat="1" ht="12.75" customHeight="1" x14ac:dyDescent="0.2">
      <c r="A53" s="127">
        <v>45119</v>
      </c>
      <c r="B53" s="128" t="s">
        <v>11</v>
      </c>
      <c r="C53" s="76" t="s">
        <v>392</v>
      </c>
      <c r="D53" s="125" t="s">
        <v>29</v>
      </c>
      <c r="E53" s="31"/>
      <c r="F53" s="70">
        <v>129501.6</v>
      </c>
      <c r="G53" s="30"/>
      <c r="I53" s="69"/>
      <c r="J53" s="69"/>
    </row>
    <row r="54" spans="1:14" s="70" customFormat="1" ht="12.75" customHeight="1" x14ac:dyDescent="0.2">
      <c r="A54" s="127">
        <v>45119</v>
      </c>
      <c r="B54" s="128" t="s">
        <v>11</v>
      </c>
      <c r="C54" s="76" t="s">
        <v>561</v>
      </c>
      <c r="D54" s="125" t="s">
        <v>29</v>
      </c>
      <c r="E54" s="31"/>
      <c r="F54" s="70">
        <v>322596</v>
      </c>
      <c r="G54" s="30"/>
      <c r="I54" s="69"/>
      <c r="J54" s="69"/>
    </row>
    <row r="55" spans="1:14" s="70" customFormat="1" ht="12.75" customHeight="1" x14ac:dyDescent="0.2">
      <c r="A55" s="127">
        <v>45119</v>
      </c>
      <c r="B55" s="128" t="s">
        <v>11</v>
      </c>
      <c r="C55" s="76" t="s">
        <v>57</v>
      </c>
      <c r="D55" s="125" t="s">
        <v>29</v>
      </c>
      <c r="E55" s="31"/>
      <c r="F55" s="70">
        <v>3000000</v>
      </c>
      <c r="G55" s="30"/>
      <c r="I55" s="69"/>
      <c r="J55" s="69"/>
    </row>
    <row r="56" spans="1:14" s="70" customFormat="1" ht="12.75" customHeight="1" x14ac:dyDescent="0.2">
      <c r="A56" s="127">
        <v>45119</v>
      </c>
      <c r="B56" s="128" t="s">
        <v>11</v>
      </c>
      <c r="C56" s="76" t="s">
        <v>199</v>
      </c>
      <c r="D56" s="125" t="s">
        <v>29</v>
      </c>
      <c r="E56" s="31"/>
      <c r="F56" s="70">
        <v>176313</v>
      </c>
      <c r="G56" s="30"/>
      <c r="I56" s="69"/>
      <c r="J56" s="69"/>
    </row>
    <row r="57" spans="1:14" s="2" customFormat="1" ht="12.75" customHeight="1" x14ac:dyDescent="0.25">
      <c r="A57" s="32"/>
      <c r="B57" s="33"/>
      <c r="C57" s="14"/>
      <c r="D57" s="34"/>
      <c r="E57" s="16">
        <f>SUM(E22:E56)</f>
        <v>19347552.319999997</v>
      </c>
      <c r="F57" s="16">
        <f>SUM(F22:F56)</f>
        <v>262457971.88000003</v>
      </c>
      <c r="G57" s="30"/>
      <c r="H57" s="1"/>
      <c r="I57" s="39">
        <v>243110419.56</v>
      </c>
      <c r="J57" s="2" t="s">
        <v>396</v>
      </c>
      <c r="K57" s="92">
        <f>E58-I57</f>
        <v>0</v>
      </c>
      <c r="L57" s="41"/>
      <c r="M57" s="42"/>
    </row>
    <row r="58" spans="1:14" s="2" customFormat="1" ht="12.75" customHeight="1" x14ac:dyDescent="0.2">
      <c r="A58" s="36"/>
      <c r="B58" s="28" t="s">
        <v>11</v>
      </c>
      <c r="C58" s="19" t="s">
        <v>65</v>
      </c>
      <c r="D58" s="37"/>
      <c r="E58" s="38">
        <f>F57-E57</f>
        <v>243110419.56000003</v>
      </c>
      <c r="F58" s="22"/>
      <c r="G58" s="1"/>
      <c r="H58" s="1"/>
      <c r="J58" s="1"/>
      <c r="K58" s="1"/>
      <c r="L58" s="1"/>
      <c r="M58" s="1"/>
    </row>
    <row r="59" spans="1:14" s="2" customFormat="1" ht="12.75" customHeight="1" x14ac:dyDescent="0.2">
      <c r="A59" s="36"/>
      <c r="B59" s="28" t="s">
        <v>66</v>
      </c>
      <c r="C59" s="43" t="s">
        <v>67</v>
      </c>
      <c r="D59" s="43"/>
      <c r="E59" s="12">
        <v>59416310</v>
      </c>
      <c r="F59" s="22"/>
      <c r="G59" s="1"/>
      <c r="H59" s="40"/>
      <c r="I59" s="45">
        <v>1820.7</v>
      </c>
      <c r="J59" s="46"/>
      <c r="K59" s="46"/>
      <c r="L59" s="13"/>
    </row>
    <row r="60" spans="1:14" s="2" customFormat="1" ht="12.75" customHeight="1" x14ac:dyDescent="0.25">
      <c r="A60" s="36"/>
      <c r="B60" s="28"/>
      <c r="C60" s="44" t="s">
        <v>68</v>
      </c>
      <c r="D60" s="43"/>
      <c r="E60" s="7">
        <f>E58+E59</f>
        <v>302526729.56000006</v>
      </c>
      <c r="F60" s="22"/>
      <c r="G60" s="1"/>
      <c r="H60" s="103" t="s">
        <v>69</v>
      </c>
      <c r="I60" s="45">
        <v>-15.27</v>
      </c>
      <c r="J60" s="46"/>
      <c r="K60" s="46"/>
      <c r="N60" s="1"/>
    </row>
    <row r="61" spans="1:14" s="2" customFormat="1" x14ac:dyDescent="0.2">
      <c r="A61" s="24"/>
      <c r="B61" s="1"/>
      <c r="C61" s="14"/>
      <c r="D61" s="25"/>
      <c r="E61" s="1"/>
      <c r="H61" s="35" t="s">
        <v>70</v>
      </c>
      <c r="I61" s="45">
        <v>0</v>
      </c>
      <c r="J61" s="46">
        <f>+I62-D64</f>
        <v>0</v>
      </c>
      <c r="M61" s="2" t="s">
        <v>396</v>
      </c>
      <c r="N61" s="1"/>
    </row>
    <row r="62" spans="1:14" x14ac:dyDescent="0.2">
      <c r="C62" s="56"/>
      <c r="D62" s="56"/>
      <c r="E62" s="104"/>
      <c r="I62" s="49">
        <f>SUM(I59:I61)</f>
        <v>1805.43</v>
      </c>
      <c r="J62" s="46"/>
      <c r="K62" s="46"/>
      <c r="L62" s="2"/>
      <c r="M62" s="2"/>
      <c r="N62" s="2"/>
    </row>
    <row r="63" spans="1:14" x14ac:dyDescent="0.2">
      <c r="C63" s="78" t="s">
        <v>575</v>
      </c>
      <c r="D63" s="48" t="s">
        <v>576</v>
      </c>
      <c r="E63" s="104"/>
      <c r="I63" s="2"/>
      <c r="J63" s="2"/>
      <c r="K63" s="2"/>
      <c r="L63" s="2"/>
      <c r="M63" s="2"/>
      <c r="N63" s="2"/>
    </row>
    <row r="64" spans="1:14" s="2" customFormat="1" x14ac:dyDescent="0.2">
      <c r="A64" s="24"/>
      <c r="B64" s="1"/>
      <c r="C64" s="47" t="s">
        <v>570</v>
      </c>
      <c r="D64" s="111">
        <v>1805.43</v>
      </c>
      <c r="E64" s="104"/>
      <c r="G64" s="1"/>
      <c r="H64" s="110" t="s">
        <v>581</v>
      </c>
      <c r="N64" s="2" t="s">
        <v>535</v>
      </c>
    </row>
    <row r="65" spans="1:13" s="2" customFormat="1" x14ac:dyDescent="0.2">
      <c r="A65" s="24"/>
      <c r="B65" s="1"/>
      <c r="C65" s="47" t="s">
        <v>931</v>
      </c>
      <c r="D65" s="111">
        <v>124.56</v>
      </c>
      <c r="E65" s="104"/>
      <c r="G65" s="1"/>
      <c r="H65" s="110" t="s">
        <v>580</v>
      </c>
    </row>
    <row r="66" spans="1:13" s="2" customFormat="1" x14ac:dyDescent="0.2">
      <c r="A66" s="24"/>
      <c r="B66" s="1"/>
      <c r="C66" s="47" t="s">
        <v>572</v>
      </c>
      <c r="D66" s="111">
        <f>+D111/100000</f>
        <v>344.25922919999999</v>
      </c>
      <c r="E66" s="104"/>
      <c r="G66" s="1"/>
      <c r="H66" s="90" t="s">
        <v>587</v>
      </c>
    </row>
    <row r="67" spans="1:13" s="2" customFormat="1" x14ac:dyDescent="0.2">
      <c r="A67" s="24"/>
      <c r="B67" s="1"/>
      <c r="C67" s="108" t="s">
        <v>578</v>
      </c>
      <c r="D67" s="48">
        <f>SUM(D64:D66)</f>
        <v>2274.2492292000002</v>
      </c>
      <c r="E67" s="104"/>
      <c r="G67" s="1"/>
    </row>
    <row r="68" spans="1:13" s="2" customFormat="1" x14ac:dyDescent="0.2">
      <c r="A68" s="24"/>
      <c r="B68" s="1"/>
      <c r="C68" s="47"/>
      <c r="D68" s="107"/>
      <c r="E68" s="104"/>
      <c r="G68" s="1"/>
    </row>
    <row r="69" spans="1:13" s="2" customFormat="1" x14ac:dyDescent="0.2">
      <c r="A69" s="24"/>
      <c r="B69" s="1"/>
      <c r="C69" s="47" t="s">
        <v>932</v>
      </c>
      <c r="D69" s="111">
        <v>121.7</v>
      </c>
      <c r="E69" s="104"/>
      <c r="G69" s="1"/>
      <c r="H69" s="110" t="s">
        <v>581</v>
      </c>
    </row>
    <row r="70" spans="1:13" s="2" customFormat="1" x14ac:dyDescent="0.2">
      <c r="A70" s="24"/>
      <c r="B70" s="1"/>
      <c r="C70" s="136" t="s">
        <v>1142</v>
      </c>
      <c r="D70" s="111">
        <f>233.34-46.39</f>
        <v>186.95</v>
      </c>
      <c r="E70" s="104"/>
      <c r="G70" s="1"/>
      <c r="H70" s="110" t="s">
        <v>581</v>
      </c>
      <c r="J70" s="114" t="s">
        <v>713</v>
      </c>
    </row>
    <row r="71" spans="1:13" s="2" customFormat="1" x14ac:dyDescent="0.2">
      <c r="A71" s="24"/>
      <c r="B71" s="1"/>
      <c r="C71" s="78" t="s">
        <v>579</v>
      </c>
      <c r="D71" s="109">
        <f>D69+D70</f>
        <v>308.64999999999998</v>
      </c>
      <c r="E71" s="104"/>
      <c r="G71" s="1"/>
      <c r="I71" s="113"/>
      <c r="J71" s="113" t="s">
        <v>709</v>
      </c>
      <c r="K71" s="113" t="s">
        <v>710</v>
      </c>
      <c r="L71" s="113" t="s">
        <v>711</v>
      </c>
      <c r="M71" s="113" t="s">
        <v>712</v>
      </c>
    </row>
    <row r="72" spans="1:13" s="2" customFormat="1" x14ac:dyDescent="0.2">
      <c r="A72" s="24"/>
      <c r="B72" s="1"/>
      <c r="C72" s="105"/>
      <c r="D72" s="106"/>
      <c r="E72" s="104"/>
      <c r="G72" s="1"/>
      <c r="I72" s="113" t="s">
        <v>706</v>
      </c>
      <c r="J72" s="115"/>
      <c r="K72" s="115">
        <v>968.99</v>
      </c>
      <c r="L72" s="115">
        <v>968.99</v>
      </c>
      <c r="M72" s="113">
        <f>+J72+L72-K72</f>
        <v>0</v>
      </c>
    </row>
    <row r="73" spans="1:13" s="2" customFormat="1" x14ac:dyDescent="0.2">
      <c r="A73" s="24"/>
      <c r="B73" s="1"/>
      <c r="C73" s="78" t="s">
        <v>577</v>
      </c>
      <c r="D73" s="109">
        <f>D64+D71</f>
        <v>2114.08</v>
      </c>
      <c r="E73" s="104"/>
      <c r="G73" s="1"/>
      <c r="I73" s="113" t="s">
        <v>707</v>
      </c>
      <c r="J73" s="115">
        <v>183.1</v>
      </c>
      <c r="K73" s="115">
        <v>2610.83</v>
      </c>
      <c r="L73" s="115">
        <v>3358.8</v>
      </c>
      <c r="M73" s="113">
        <f>+J73+L73-K73</f>
        <v>931.07000000000016</v>
      </c>
    </row>
    <row r="74" spans="1:13" s="2" customFormat="1" x14ac:dyDescent="0.2">
      <c r="A74" s="24"/>
      <c r="B74" s="1"/>
      <c r="C74" s="56"/>
      <c r="D74" s="56"/>
      <c r="E74" s="104"/>
      <c r="G74" s="1"/>
      <c r="I74" s="113" t="s">
        <v>708</v>
      </c>
      <c r="J74" s="115">
        <v>1371.02</v>
      </c>
      <c r="K74" s="115">
        <v>12706.76</v>
      </c>
      <c r="L74" s="115">
        <v>12637.56</v>
      </c>
      <c r="M74" s="113">
        <f>+J74+L74-K74</f>
        <v>1301.8199999999997</v>
      </c>
    </row>
    <row r="75" spans="1:13" s="2" customFormat="1" ht="38.25" x14ac:dyDescent="0.2">
      <c r="A75" s="24"/>
      <c r="B75" s="1"/>
      <c r="C75" s="79" t="str">
        <f>"Particulars ( 01-04-2021 to "&amp;TEXT(A5,"dd-mm-yyyy")&amp;" )"</f>
        <v>Particulars ( 01-04-2021 to 12-07-2023 )</v>
      </c>
      <c r="D75" s="80" t="s">
        <v>73</v>
      </c>
      <c r="E75" s="80" t="s">
        <v>74</v>
      </c>
      <c r="F75" s="81" t="s">
        <v>75</v>
      </c>
      <c r="G75" s="80" t="s">
        <v>76</v>
      </c>
      <c r="J75" s="118">
        <f>SUM(J72:J74)</f>
        <v>1554.12</v>
      </c>
      <c r="K75" s="118">
        <f>SUM(K72:K74)</f>
        <v>16286.58</v>
      </c>
      <c r="L75" s="118">
        <f>SUM(L72:L74)</f>
        <v>16965.349999999999</v>
      </c>
      <c r="M75" s="118">
        <f>SUM(M72:M74)</f>
        <v>2232.89</v>
      </c>
    </row>
    <row r="76" spans="1:13" s="2" customFormat="1" x14ac:dyDescent="0.2">
      <c r="A76" s="24"/>
      <c r="B76" s="1"/>
      <c r="C76" s="50" t="s">
        <v>444</v>
      </c>
      <c r="D76" s="55">
        <f>+L72+L73+J73</f>
        <v>4510.8900000000003</v>
      </c>
      <c r="E76" s="55">
        <f>+K72+K73</f>
        <v>3579.8199999999997</v>
      </c>
      <c r="F76" s="55">
        <f>+D76-E76</f>
        <v>931.07000000000062</v>
      </c>
      <c r="G76" s="55">
        <f>1500-F76</f>
        <v>568.92999999999938</v>
      </c>
      <c r="H76" s="2" t="s">
        <v>396</v>
      </c>
    </row>
    <row r="77" spans="1:13" s="2" customFormat="1" x14ac:dyDescent="0.2">
      <c r="A77" s="24"/>
      <c r="B77" s="1"/>
      <c r="C77" s="50" t="s">
        <v>71</v>
      </c>
      <c r="D77" s="55">
        <f>+J74+L74</f>
        <v>14008.58</v>
      </c>
      <c r="E77" s="55">
        <f>+K74</f>
        <v>12706.76</v>
      </c>
      <c r="F77" s="55">
        <f>+D77-E77</f>
        <v>1301.8199999999997</v>
      </c>
      <c r="G77" s="55">
        <f>1500+700-F77</f>
        <v>898.18000000000029</v>
      </c>
      <c r="H77" s="2" t="s">
        <v>396</v>
      </c>
    </row>
    <row r="78" spans="1:13" s="2" customFormat="1" x14ac:dyDescent="0.2">
      <c r="A78" s="24"/>
      <c r="B78" s="1"/>
      <c r="C78" s="14"/>
      <c r="D78" s="56"/>
      <c r="E78" s="13"/>
      <c r="G78" s="1"/>
    </row>
    <row r="79" spans="1:13" s="2" customFormat="1" x14ac:dyDescent="0.2">
      <c r="A79" s="215" t="s">
        <v>80</v>
      </c>
      <c r="B79" s="216"/>
      <c r="C79" s="216"/>
      <c r="D79" s="217"/>
      <c r="E79" s="69"/>
      <c r="F79" s="70"/>
      <c r="G79" s="1"/>
      <c r="H79" s="53"/>
    </row>
    <row r="80" spans="1:13" s="2" customFormat="1" x14ac:dyDescent="0.2">
      <c r="A80" s="71" t="s">
        <v>81</v>
      </c>
      <c r="B80" s="71"/>
      <c r="C80" s="72" t="s">
        <v>82</v>
      </c>
      <c r="D80" s="73" t="s">
        <v>83</v>
      </c>
      <c r="E80" s="69"/>
      <c r="F80" s="70"/>
      <c r="H80" s="53"/>
    </row>
    <row r="81" spans="1:13" s="2" customFormat="1" x14ac:dyDescent="0.2">
      <c r="A81" s="87">
        <v>45108</v>
      </c>
      <c r="B81" s="120" t="s">
        <v>1052</v>
      </c>
      <c r="C81" s="75" t="s">
        <v>84</v>
      </c>
      <c r="D81" s="88">
        <v>3000000</v>
      </c>
      <c r="G81" s="1"/>
      <c r="L81" s="1"/>
      <c r="M81" s="1"/>
    </row>
    <row r="82" spans="1:13" s="2" customFormat="1" x14ac:dyDescent="0.2">
      <c r="A82" s="87">
        <v>45108</v>
      </c>
      <c r="B82" s="120" t="s">
        <v>1052</v>
      </c>
      <c r="C82" s="75" t="s">
        <v>271</v>
      </c>
      <c r="D82" s="88">
        <v>2323148</v>
      </c>
      <c r="G82" s="1"/>
      <c r="L82" s="1"/>
      <c r="M82" s="1"/>
    </row>
    <row r="83" spans="1:13" s="2" customFormat="1" x14ac:dyDescent="0.2">
      <c r="A83" s="87">
        <v>45110</v>
      </c>
      <c r="B83" s="120" t="s">
        <v>1052</v>
      </c>
      <c r="C83" s="75" t="s">
        <v>85</v>
      </c>
      <c r="D83" s="88">
        <v>732575</v>
      </c>
      <c r="G83" s="1"/>
      <c r="L83" s="1"/>
      <c r="M83" s="1"/>
    </row>
    <row r="84" spans="1:13" s="2" customFormat="1" x14ac:dyDescent="0.2">
      <c r="A84" s="87">
        <v>45110</v>
      </c>
      <c r="B84" s="120" t="s">
        <v>1052</v>
      </c>
      <c r="C84" s="75" t="s">
        <v>86</v>
      </c>
      <c r="D84" s="88">
        <v>2676974</v>
      </c>
      <c r="G84" s="1"/>
      <c r="L84" s="1"/>
      <c r="M84" s="1"/>
    </row>
    <row r="85" spans="1:13" s="2" customFormat="1" x14ac:dyDescent="0.2">
      <c r="A85" s="87">
        <v>45110</v>
      </c>
      <c r="B85" s="120" t="s">
        <v>1052</v>
      </c>
      <c r="C85" s="75" t="s">
        <v>86</v>
      </c>
      <c r="D85" s="88">
        <v>1043475</v>
      </c>
      <c r="G85" s="1"/>
      <c r="L85" s="1"/>
      <c r="M85" s="1"/>
    </row>
    <row r="86" spans="1:13" s="2" customFormat="1" x14ac:dyDescent="0.2">
      <c r="A86" s="87">
        <v>45111</v>
      </c>
      <c r="B86" s="120" t="s">
        <v>1052</v>
      </c>
      <c r="C86" s="75" t="s">
        <v>270</v>
      </c>
      <c r="D86" s="88">
        <v>106093</v>
      </c>
      <c r="G86" s="1"/>
      <c r="L86" s="1"/>
      <c r="M86" s="1"/>
    </row>
    <row r="87" spans="1:13" s="2" customFormat="1" x14ac:dyDescent="0.2">
      <c r="A87" s="87">
        <v>45111</v>
      </c>
      <c r="B87" s="120" t="s">
        <v>1052</v>
      </c>
      <c r="C87" s="75" t="s">
        <v>270</v>
      </c>
      <c r="D87" s="88">
        <v>102393</v>
      </c>
      <c r="G87" s="1"/>
      <c r="L87" s="1"/>
      <c r="M87" s="1"/>
    </row>
    <row r="88" spans="1:13" s="2" customFormat="1" x14ac:dyDescent="0.2">
      <c r="A88" s="87">
        <v>45111</v>
      </c>
      <c r="B88" s="120" t="s">
        <v>1052</v>
      </c>
      <c r="C88" s="75" t="s">
        <v>270</v>
      </c>
      <c r="D88" s="88">
        <v>716336</v>
      </c>
      <c r="G88" s="1"/>
      <c r="L88" s="1"/>
      <c r="M88" s="1"/>
    </row>
    <row r="89" spans="1:13" s="2" customFormat="1" x14ac:dyDescent="0.2">
      <c r="A89" s="87">
        <v>45111</v>
      </c>
      <c r="B89" s="120" t="s">
        <v>1052</v>
      </c>
      <c r="C89" s="75" t="s">
        <v>270</v>
      </c>
      <c r="D89" s="88">
        <v>2504631</v>
      </c>
      <c r="G89" s="1"/>
      <c r="L89" s="1"/>
      <c r="M89" s="1"/>
    </row>
    <row r="90" spans="1:13" s="2" customFormat="1" x14ac:dyDescent="0.2">
      <c r="A90" s="87">
        <v>45111</v>
      </c>
      <c r="B90" s="120" t="s">
        <v>1052</v>
      </c>
      <c r="C90" s="75" t="s">
        <v>270</v>
      </c>
      <c r="D90" s="88">
        <v>141433.92000000001</v>
      </c>
      <c r="G90" s="1"/>
      <c r="L90" s="1"/>
      <c r="M90" s="1"/>
    </row>
    <row r="91" spans="1:13" s="2" customFormat="1" x14ac:dyDescent="0.2">
      <c r="A91" s="87">
        <v>45111</v>
      </c>
      <c r="B91" s="120" t="s">
        <v>1052</v>
      </c>
      <c r="C91" s="75" t="s">
        <v>271</v>
      </c>
      <c r="D91" s="88">
        <v>485258</v>
      </c>
      <c r="G91" s="1"/>
      <c r="L91" s="1"/>
      <c r="M91" s="1"/>
    </row>
    <row r="92" spans="1:13" s="2" customFormat="1" x14ac:dyDescent="0.2">
      <c r="A92" s="87">
        <v>45112</v>
      </c>
      <c r="B92" s="120" t="s">
        <v>1052</v>
      </c>
      <c r="C92" s="75" t="s">
        <v>85</v>
      </c>
      <c r="D92" s="88">
        <v>216478</v>
      </c>
      <c r="G92" s="1"/>
      <c r="L92" s="1"/>
      <c r="M92" s="1"/>
    </row>
    <row r="93" spans="1:13" s="2" customFormat="1" x14ac:dyDescent="0.2">
      <c r="A93" s="87">
        <v>45114</v>
      </c>
      <c r="B93" s="120" t="s">
        <v>1052</v>
      </c>
      <c r="C93" s="75" t="s">
        <v>270</v>
      </c>
      <c r="D93" s="88">
        <v>886333</v>
      </c>
      <c r="G93" s="1"/>
      <c r="L93" s="1"/>
      <c r="M93" s="1"/>
    </row>
    <row r="94" spans="1:13" s="2" customFormat="1" x14ac:dyDescent="0.2">
      <c r="A94" s="87">
        <v>45114</v>
      </c>
      <c r="B94" s="120" t="s">
        <v>1052</v>
      </c>
      <c r="C94" s="75" t="s">
        <v>270</v>
      </c>
      <c r="D94" s="88">
        <v>3119806</v>
      </c>
      <c r="G94" s="1"/>
      <c r="L94" s="1"/>
      <c r="M94" s="1"/>
    </row>
    <row r="95" spans="1:13" s="2" customFormat="1" x14ac:dyDescent="0.2">
      <c r="A95" s="87">
        <v>45114</v>
      </c>
      <c r="B95" s="120" t="s">
        <v>1052</v>
      </c>
      <c r="C95" s="75" t="s">
        <v>271</v>
      </c>
      <c r="D95" s="88">
        <v>151160</v>
      </c>
      <c r="G95" s="1"/>
      <c r="L95" s="1"/>
      <c r="M95" s="1"/>
    </row>
    <row r="96" spans="1:13" s="2" customFormat="1" x14ac:dyDescent="0.2">
      <c r="A96" s="87">
        <v>45114</v>
      </c>
      <c r="B96" s="120" t="s">
        <v>1052</v>
      </c>
      <c r="C96" s="75" t="s">
        <v>271</v>
      </c>
      <c r="D96" s="88">
        <v>285195</v>
      </c>
      <c r="G96" s="1"/>
      <c r="L96" s="1"/>
      <c r="M96" s="1"/>
    </row>
    <row r="97" spans="1:13" s="2" customFormat="1" x14ac:dyDescent="0.2">
      <c r="A97" s="87">
        <v>45114</v>
      </c>
      <c r="B97" s="120" t="s">
        <v>1052</v>
      </c>
      <c r="C97" s="75" t="s">
        <v>201</v>
      </c>
      <c r="D97" s="88">
        <v>128135</v>
      </c>
      <c r="G97" s="1"/>
      <c r="L97" s="1"/>
      <c r="M97" s="1"/>
    </row>
    <row r="98" spans="1:13" s="2" customFormat="1" x14ac:dyDescent="0.2">
      <c r="A98" s="87">
        <v>45114</v>
      </c>
      <c r="B98" s="120" t="s">
        <v>1052</v>
      </c>
      <c r="C98" s="75" t="s">
        <v>323</v>
      </c>
      <c r="D98" s="88">
        <v>2313089</v>
      </c>
      <c r="G98" s="1"/>
      <c r="L98" s="1"/>
      <c r="M98" s="1"/>
    </row>
    <row r="99" spans="1:13" s="2" customFormat="1" x14ac:dyDescent="0.2">
      <c r="A99" s="87">
        <v>45115</v>
      </c>
      <c r="B99" s="120" t="s">
        <v>1052</v>
      </c>
      <c r="C99" s="75" t="s">
        <v>767</v>
      </c>
      <c r="D99" s="88">
        <v>411035</v>
      </c>
      <c r="G99" s="1"/>
      <c r="L99" s="1"/>
      <c r="M99" s="1"/>
    </row>
    <row r="100" spans="1:13" s="2" customFormat="1" x14ac:dyDescent="0.2">
      <c r="A100" s="87">
        <v>45118</v>
      </c>
      <c r="B100" s="120" t="s">
        <v>1052</v>
      </c>
      <c r="C100" s="75" t="s">
        <v>270</v>
      </c>
      <c r="D100" s="88">
        <v>34696</v>
      </c>
      <c r="G100" s="1"/>
      <c r="L100" s="1"/>
      <c r="M100" s="1"/>
    </row>
    <row r="101" spans="1:13" s="2" customFormat="1" x14ac:dyDescent="0.2">
      <c r="A101" s="87">
        <v>45118</v>
      </c>
      <c r="B101" s="120" t="s">
        <v>1052</v>
      </c>
      <c r="C101" s="75" t="s">
        <v>270</v>
      </c>
      <c r="D101" s="88">
        <v>1128922</v>
      </c>
      <c r="G101" s="1"/>
      <c r="L101" s="1"/>
      <c r="M101" s="1"/>
    </row>
    <row r="102" spans="1:13" s="2" customFormat="1" x14ac:dyDescent="0.2">
      <c r="A102" s="87">
        <v>45118</v>
      </c>
      <c r="B102" s="120" t="s">
        <v>1052</v>
      </c>
      <c r="C102" s="75" t="s">
        <v>270</v>
      </c>
      <c r="D102" s="88">
        <v>2865343</v>
      </c>
      <c r="G102" s="1"/>
      <c r="L102" s="1"/>
      <c r="M102" s="1"/>
    </row>
    <row r="103" spans="1:13" s="2" customFormat="1" x14ac:dyDescent="0.2">
      <c r="A103" s="87">
        <v>45118</v>
      </c>
      <c r="B103" s="120" t="s">
        <v>1052</v>
      </c>
      <c r="C103" s="75" t="s">
        <v>270</v>
      </c>
      <c r="D103" s="88">
        <v>1090852</v>
      </c>
      <c r="G103" s="1"/>
      <c r="L103" s="1"/>
      <c r="M103" s="1"/>
    </row>
    <row r="104" spans="1:13" s="2" customFormat="1" x14ac:dyDescent="0.2">
      <c r="A104" s="87">
        <v>45118</v>
      </c>
      <c r="B104" s="120" t="s">
        <v>1052</v>
      </c>
      <c r="C104" s="75" t="s">
        <v>270</v>
      </c>
      <c r="D104" s="88">
        <v>359348</v>
      </c>
      <c r="G104" s="1"/>
      <c r="L104" s="1"/>
      <c r="M104" s="1"/>
    </row>
    <row r="105" spans="1:13" s="2" customFormat="1" x14ac:dyDescent="0.2">
      <c r="A105" s="87">
        <v>45118</v>
      </c>
      <c r="B105" s="120" t="s">
        <v>1052</v>
      </c>
      <c r="C105" s="75" t="s">
        <v>271</v>
      </c>
      <c r="D105" s="88">
        <v>323487</v>
      </c>
      <c r="G105" s="1"/>
      <c r="L105" s="1"/>
      <c r="M105" s="1"/>
    </row>
    <row r="106" spans="1:13" s="2" customFormat="1" x14ac:dyDescent="0.2">
      <c r="A106" s="87">
        <v>45118</v>
      </c>
      <c r="B106" s="120" t="s">
        <v>1052</v>
      </c>
      <c r="C106" s="75" t="s">
        <v>271</v>
      </c>
      <c r="D106" s="88">
        <v>44394</v>
      </c>
      <c r="G106" s="1"/>
      <c r="L106" s="1"/>
      <c r="M106" s="1"/>
    </row>
    <row r="107" spans="1:13" s="2" customFormat="1" x14ac:dyDescent="0.2">
      <c r="A107" s="87">
        <v>45118</v>
      </c>
      <c r="B107" s="120" t="s">
        <v>1052</v>
      </c>
      <c r="C107" s="75" t="s">
        <v>271</v>
      </c>
      <c r="D107" s="88">
        <v>2035052</v>
      </c>
      <c r="G107" s="1"/>
      <c r="L107" s="1"/>
      <c r="M107" s="1"/>
    </row>
    <row r="108" spans="1:13" s="2" customFormat="1" x14ac:dyDescent="0.2">
      <c r="A108" s="87">
        <v>45119</v>
      </c>
      <c r="B108" s="120" t="s">
        <v>1052</v>
      </c>
      <c r="C108" s="75" t="s">
        <v>85</v>
      </c>
      <c r="D108" s="88">
        <v>569516</v>
      </c>
      <c r="G108" s="1"/>
      <c r="L108" s="1"/>
      <c r="M108" s="1"/>
    </row>
    <row r="109" spans="1:13" s="2" customFormat="1" x14ac:dyDescent="0.2">
      <c r="A109" s="87">
        <v>45119</v>
      </c>
      <c r="B109" s="120" t="s">
        <v>1052</v>
      </c>
      <c r="C109" s="75" t="s">
        <v>271</v>
      </c>
      <c r="D109" s="88">
        <v>3074492</v>
      </c>
      <c r="G109" s="1"/>
      <c r="L109" s="1"/>
      <c r="M109" s="1"/>
    </row>
    <row r="110" spans="1:13" s="2" customFormat="1" x14ac:dyDescent="0.2">
      <c r="A110" s="87">
        <v>45119</v>
      </c>
      <c r="B110" s="120" t="s">
        <v>1052</v>
      </c>
      <c r="C110" s="75" t="s">
        <v>270</v>
      </c>
      <c r="D110" s="88">
        <v>1556273</v>
      </c>
      <c r="G110" s="1"/>
      <c r="L110" s="1"/>
      <c r="M110" s="1"/>
    </row>
    <row r="111" spans="1:13" s="2" customFormat="1" x14ac:dyDescent="0.2">
      <c r="A111" s="87"/>
      <c r="B111" s="74"/>
      <c r="C111" s="75"/>
      <c r="D111" s="51">
        <f>SUM(D81:D110)</f>
        <v>34425922.920000002</v>
      </c>
      <c r="F111" s="2" t="s">
        <v>396</v>
      </c>
      <c r="G111" s="1"/>
      <c r="L111" s="1"/>
      <c r="M111" s="1"/>
    </row>
    <row r="112" spans="1:13" s="2" customFormat="1" x14ac:dyDescent="0.2">
      <c r="A112" s="24"/>
      <c r="B112" s="1"/>
      <c r="C112" s="14"/>
      <c r="D112" s="56"/>
      <c r="E112" s="13"/>
      <c r="G112" s="1"/>
      <c r="L112" s="1"/>
      <c r="M112" s="1"/>
    </row>
    <row r="113" spans="1:13" s="2" customFormat="1" x14ac:dyDescent="0.2">
      <c r="A113" s="24"/>
      <c r="B113" s="1"/>
      <c r="C113" s="218" t="s">
        <v>77</v>
      </c>
      <c r="D113" s="219"/>
      <c r="E113" s="219"/>
      <c r="F113" s="220"/>
      <c r="G113" s="1"/>
      <c r="L113" s="1"/>
      <c r="M113" s="1"/>
    </row>
    <row r="114" spans="1:13" s="2" customFormat="1" x14ac:dyDescent="0.2">
      <c r="A114" s="24"/>
      <c r="B114" s="1"/>
      <c r="C114" s="50"/>
      <c r="D114" s="57" t="s">
        <v>78</v>
      </c>
      <c r="E114" s="58" t="s">
        <v>79</v>
      </c>
      <c r="F114" s="57" t="s">
        <v>72</v>
      </c>
      <c r="G114" s="1"/>
      <c r="I114" s="1"/>
      <c r="J114" s="1"/>
      <c r="K114" s="1"/>
      <c r="L114" s="1"/>
      <c r="M114" s="1"/>
    </row>
    <row r="115" spans="1:13" s="2" customFormat="1" x14ac:dyDescent="0.2">
      <c r="A115" s="24"/>
      <c r="B115" s="1"/>
      <c r="C115" s="59" t="str">
        <f>"01-07-2023 to "&amp;TEXT(A5-2,"dd-mm-yyyy")</f>
        <v>01-07-2023 to 10-07-2023</v>
      </c>
      <c r="D115" s="60">
        <v>1999.05</v>
      </c>
      <c r="E115" s="60">
        <v>85.08</v>
      </c>
      <c r="F115" s="61">
        <f>SUM(D115:E115)</f>
        <v>2084.13</v>
      </c>
      <c r="G115" s="1"/>
    </row>
    <row r="116" spans="1:13" s="2" customFormat="1" x14ac:dyDescent="0.2">
      <c r="A116" s="24"/>
      <c r="B116" s="1"/>
      <c r="C116" s="62" t="str">
        <f>TEXT(A5-1,"dd-mm-yyyy")</f>
        <v>11-07-2023</v>
      </c>
      <c r="D116" s="60">
        <v>167.21</v>
      </c>
      <c r="E116" s="60">
        <v>9.14</v>
      </c>
      <c r="F116" s="61">
        <f>SUM(D116:E116)</f>
        <v>176.35000000000002</v>
      </c>
      <c r="G116" s="54"/>
      <c r="I116" s="1"/>
      <c r="J116" s="1"/>
      <c r="K116" s="1"/>
      <c r="L116" s="1"/>
      <c r="M116" s="1"/>
    </row>
    <row r="117" spans="1:13" s="2" customFormat="1" ht="13.5" thickBot="1" x14ac:dyDescent="0.25">
      <c r="A117" s="24"/>
      <c r="B117" s="1"/>
      <c r="C117" s="63" t="str">
        <f>"01-07-2023 to "&amp;TEXT(A5-1,"dd-mm-yyyy")</f>
        <v>01-07-2023 to 11-07-2023</v>
      </c>
      <c r="D117" s="64">
        <f>SUM(D115:D116)</f>
        <v>2166.2599999999998</v>
      </c>
      <c r="E117" s="64">
        <f>SUM(E115:E116)</f>
        <v>94.22</v>
      </c>
      <c r="F117" s="64">
        <f>SUM(F115:F116)</f>
        <v>2260.48</v>
      </c>
      <c r="G117" s="54"/>
      <c r="I117" s="1"/>
      <c r="J117" s="1"/>
      <c r="K117" s="1"/>
      <c r="L117" s="1"/>
      <c r="M117" s="1"/>
    </row>
    <row r="118" spans="1:13" s="2" customFormat="1" ht="13.5" thickTop="1" x14ac:dyDescent="0.2">
      <c r="A118" s="24"/>
      <c r="B118" s="1"/>
      <c r="C118" s="62"/>
      <c r="D118" s="65"/>
      <c r="E118" s="66"/>
      <c r="F118" s="67"/>
      <c r="G118" s="54"/>
      <c r="I118" s="1"/>
      <c r="J118" s="1"/>
      <c r="K118" s="1"/>
      <c r="L118" s="1"/>
      <c r="M118" s="1"/>
    </row>
    <row r="119" spans="1:13" s="2" customFormat="1" x14ac:dyDescent="0.2">
      <c r="A119" s="24"/>
      <c r="B119" s="1"/>
      <c r="C119" s="62" t="str">
        <f>"01-04-2023 to " &amp;C116</f>
        <v>01-04-2023 to 11-07-2023</v>
      </c>
      <c r="D119" s="68">
        <f>+D117+15505.53</f>
        <v>17671.79</v>
      </c>
      <c r="E119" s="68">
        <f>+E117+1109.72</f>
        <v>1203.94</v>
      </c>
      <c r="F119" s="68">
        <f>+F117+16615.25</f>
        <v>18875.73</v>
      </c>
      <c r="G119" s="54"/>
      <c r="I119" s="1"/>
      <c r="J119" s="1"/>
      <c r="K119" s="1"/>
      <c r="L119" s="1"/>
      <c r="M119" s="1"/>
    </row>
    <row r="120" spans="1:13" x14ac:dyDescent="0.2">
      <c r="C120" s="52"/>
      <c r="D120" s="85"/>
      <c r="E120" s="53"/>
      <c r="F120" s="53"/>
      <c r="G120" s="54"/>
      <c r="H120" s="2" t="s">
        <v>396</v>
      </c>
    </row>
    <row r="121" spans="1:13" s="2" customFormat="1" x14ac:dyDescent="0.2">
      <c r="A121" s="24"/>
      <c r="B121" s="1"/>
      <c r="C121" s="52"/>
      <c r="D121" s="85"/>
      <c r="E121" s="53"/>
      <c r="F121" s="53"/>
      <c r="G121" s="54"/>
      <c r="H121" s="53"/>
    </row>
    <row r="122" spans="1:13" x14ac:dyDescent="0.2">
      <c r="C122" s="52"/>
      <c r="D122" s="85"/>
      <c r="E122" s="53"/>
      <c r="F122" s="53"/>
      <c r="G122" s="54"/>
      <c r="H122" s="53" t="s">
        <v>396</v>
      </c>
    </row>
    <row r="123" spans="1:13" x14ac:dyDescent="0.2">
      <c r="C123" s="52"/>
      <c r="D123" s="85"/>
      <c r="E123" s="53"/>
      <c r="F123" s="53"/>
      <c r="G123" s="54"/>
      <c r="H123" s="53" t="s">
        <v>396</v>
      </c>
      <c r="J123" s="42"/>
    </row>
    <row r="124" spans="1:13" x14ac:dyDescent="0.2">
      <c r="G124" s="54"/>
      <c r="H124" s="53"/>
      <c r="I124" s="101"/>
    </row>
    <row r="125" spans="1:13" x14ac:dyDescent="0.2">
      <c r="G125" s="54"/>
      <c r="H125" s="53"/>
    </row>
    <row r="126" spans="1:13" x14ac:dyDescent="0.2">
      <c r="G126" s="54"/>
      <c r="H126" s="53"/>
    </row>
    <row r="127" spans="1:13" x14ac:dyDescent="0.2">
      <c r="H127" s="53"/>
    </row>
  </sheetData>
  <mergeCells count="6">
    <mergeCell ref="C113:F113"/>
    <mergeCell ref="A1:G1"/>
    <mergeCell ref="A3:F3"/>
    <mergeCell ref="A9:F9"/>
    <mergeCell ref="A20:F20"/>
    <mergeCell ref="A79:D79"/>
  </mergeCells>
  <conditionalFormatting sqref="G76:G77">
    <cfRule type="cellIs" dxfId="419" priority="1" operator="lessThan">
      <formula>0</formula>
    </cfRule>
  </conditionalFormatting>
  <conditionalFormatting sqref="C22">
    <cfRule type="duplicateValues" dxfId="418" priority="2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sheetPr codeName="Sheet377">
    <pageSetUpPr fitToPage="1"/>
  </sheetPr>
  <dimension ref="A1:N127"/>
  <sheetViews>
    <sheetView zoomScaleNormal="100" workbookViewId="0">
      <selection activeCell="C14" sqref="C14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1190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45120</v>
      </c>
      <c r="B5" s="9" t="s">
        <v>6</v>
      </c>
      <c r="C5" s="10" t="s">
        <v>7</v>
      </c>
      <c r="D5" s="11"/>
      <c r="E5" s="12">
        <v>372249.70000000019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372249.70000000019</v>
      </c>
      <c r="F6" s="16">
        <f>F5</f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+E6-F6</f>
        <v>372249.70000000019</v>
      </c>
      <c r="F7" s="22"/>
      <c r="G7" s="23"/>
      <c r="H7" s="112"/>
      <c r="I7" s="112"/>
      <c r="J7" s="13"/>
    </row>
    <row r="8" spans="1:10" ht="12.75" customHeight="1" x14ac:dyDescent="0.4">
      <c r="H8" s="112"/>
      <c r="I8" s="112"/>
    </row>
    <row r="9" spans="1:10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12"/>
    </row>
    <row r="10" spans="1:10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12"/>
    </row>
    <row r="11" spans="1:10" s="2" customFormat="1" ht="14.25" customHeight="1" x14ac:dyDescent="0.2">
      <c r="A11" s="127">
        <v>45120</v>
      </c>
      <c r="B11" s="9" t="s">
        <v>6</v>
      </c>
      <c r="C11" s="10" t="s">
        <v>7</v>
      </c>
      <c r="D11" s="11"/>
      <c r="F11" s="12">
        <v>27918211.050000004</v>
      </c>
      <c r="G11" s="1"/>
      <c r="H11" s="130" t="s">
        <v>396</v>
      </c>
      <c r="I11" s="130"/>
    </row>
    <row r="12" spans="1:10" s="2" customFormat="1" ht="14.25" customHeight="1" x14ac:dyDescent="0.2">
      <c r="A12" s="127">
        <v>45120</v>
      </c>
      <c r="B12" s="9" t="s">
        <v>6</v>
      </c>
      <c r="C12" s="76" t="s">
        <v>405</v>
      </c>
      <c r="D12" s="125" t="s">
        <v>13</v>
      </c>
      <c r="E12" s="31">
        <v>1729824</v>
      </c>
      <c r="F12" s="31"/>
      <c r="G12" s="1"/>
      <c r="H12" s="130"/>
      <c r="I12" s="130"/>
    </row>
    <row r="13" spans="1:10" s="2" customFormat="1" ht="14.25" customHeight="1" x14ac:dyDescent="0.2">
      <c r="A13" s="127">
        <v>45120</v>
      </c>
      <c r="B13" s="9" t="s">
        <v>6</v>
      </c>
      <c r="C13" s="76" t="s">
        <v>142</v>
      </c>
      <c r="D13" s="125" t="s">
        <v>13</v>
      </c>
      <c r="E13" s="31">
        <v>63515</v>
      </c>
      <c r="F13" s="31"/>
      <c r="G13" s="1"/>
      <c r="H13" s="130"/>
      <c r="I13" s="130"/>
    </row>
    <row r="14" spans="1:10" s="2" customFormat="1" ht="14.25" customHeight="1" x14ac:dyDescent="0.2">
      <c r="A14" s="127">
        <v>45120</v>
      </c>
      <c r="B14" s="9" t="s">
        <v>6</v>
      </c>
      <c r="C14" s="76" t="s">
        <v>1011</v>
      </c>
      <c r="D14" s="125" t="s">
        <v>13</v>
      </c>
      <c r="E14" s="31">
        <v>2873794.54</v>
      </c>
      <c r="F14" s="31"/>
      <c r="G14" s="1"/>
      <c r="H14" s="130"/>
      <c r="I14" s="130"/>
    </row>
    <row r="15" spans="1:10" s="2" customFormat="1" ht="14.25" customHeight="1" x14ac:dyDescent="0.2">
      <c r="A15" s="127">
        <v>45120</v>
      </c>
      <c r="B15" s="9" t="s">
        <v>11</v>
      </c>
      <c r="C15" s="76" t="s">
        <v>1137</v>
      </c>
      <c r="D15" s="125" t="s">
        <v>29</v>
      </c>
      <c r="E15" s="31"/>
      <c r="F15" s="31">
        <v>87101.75</v>
      </c>
      <c r="G15" s="1"/>
      <c r="H15" s="130"/>
      <c r="I15" s="130"/>
    </row>
    <row r="16" spans="1:10" s="2" customFormat="1" ht="14.25" customHeight="1" x14ac:dyDescent="0.2">
      <c r="A16" s="127">
        <v>45120</v>
      </c>
      <c r="B16" s="9" t="s">
        <v>11</v>
      </c>
      <c r="C16" s="76" t="s">
        <v>1197</v>
      </c>
      <c r="D16" s="125" t="s">
        <v>29</v>
      </c>
      <c r="E16" s="31"/>
      <c r="F16" s="31">
        <v>8680.91</v>
      </c>
      <c r="G16" s="1"/>
      <c r="H16" s="130"/>
      <c r="I16" s="130"/>
    </row>
    <row r="17" spans="1:10" s="2" customFormat="1" ht="14.25" customHeight="1" x14ac:dyDescent="0.2">
      <c r="A17" s="127">
        <v>45120</v>
      </c>
      <c r="B17" s="9" t="s">
        <v>11</v>
      </c>
      <c r="C17" s="76" t="s">
        <v>1191</v>
      </c>
      <c r="D17" s="125" t="s">
        <v>29</v>
      </c>
      <c r="E17" s="31"/>
      <c r="F17" s="31">
        <v>9145</v>
      </c>
      <c r="G17" s="1"/>
      <c r="H17" s="130"/>
      <c r="I17" s="130"/>
    </row>
    <row r="18" spans="1:10" s="2" customFormat="1" ht="14.25" customHeight="1" x14ac:dyDescent="0.2">
      <c r="A18" s="127">
        <v>45120</v>
      </c>
      <c r="B18" s="9" t="s">
        <v>11</v>
      </c>
      <c r="C18" s="76" t="s">
        <v>63</v>
      </c>
      <c r="D18" s="125" t="s">
        <v>29</v>
      </c>
      <c r="E18" s="31"/>
      <c r="F18" s="31">
        <v>2300000</v>
      </c>
      <c r="G18" s="1"/>
      <c r="H18" s="130"/>
      <c r="I18" s="130"/>
    </row>
    <row r="19" spans="1:10" s="2" customFormat="1" ht="14.25" customHeight="1" x14ac:dyDescent="0.2">
      <c r="A19" s="127">
        <v>45120</v>
      </c>
      <c r="B19" s="9" t="s">
        <v>11</v>
      </c>
      <c r="C19" s="76" t="s">
        <v>1013</v>
      </c>
      <c r="D19" s="125" t="s">
        <v>29</v>
      </c>
      <c r="E19" s="31"/>
      <c r="F19" s="31">
        <v>56640</v>
      </c>
      <c r="G19" s="1"/>
      <c r="H19" s="130"/>
      <c r="I19" s="130"/>
    </row>
    <row r="20" spans="1:10" s="2" customFormat="1" ht="14.25" customHeight="1" x14ac:dyDescent="0.2">
      <c r="A20" s="127">
        <v>45120</v>
      </c>
      <c r="B20" s="9" t="s">
        <v>11</v>
      </c>
      <c r="C20" s="76" t="s">
        <v>225</v>
      </c>
      <c r="D20" s="125" t="s">
        <v>29</v>
      </c>
      <c r="E20" s="31"/>
      <c r="F20" s="31">
        <v>87768</v>
      </c>
      <c r="G20" s="1"/>
      <c r="H20" s="130"/>
      <c r="I20" s="130"/>
    </row>
    <row r="21" spans="1:10" s="2" customFormat="1" ht="14.25" customHeight="1" x14ac:dyDescent="0.2">
      <c r="A21" s="127">
        <v>45120</v>
      </c>
      <c r="B21" s="9" t="s">
        <v>11</v>
      </c>
      <c r="C21" s="76" t="s">
        <v>57</v>
      </c>
      <c r="D21" s="125" t="s">
        <v>29</v>
      </c>
      <c r="E21" s="31"/>
      <c r="F21" s="31">
        <v>2000000</v>
      </c>
      <c r="G21" s="1"/>
      <c r="H21" s="130"/>
      <c r="I21" s="130"/>
    </row>
    <row r="22" spans="1:10" s="2" customFormat="1" ht="12.75" customHeight="1" x14ac:dyDescent="0.4">
      <c r="D22" s="15" t="s">
        <v>8</v>
      </c>
      <c r="E22" s="16">
        <f>SUM(E12:E21)</f>
        <v>4667133.54</v>
      </c>
      <c r="F22" s="16">
        <f>SUM(F11:F21)</f>
        <v>32467546.710000005</v>
      </c>
      <c r="G22" s="1"/>
      <c r="H22" s="112"/>
      <c r="I22" s="112"/>
    </row>
    <row r="23" spans="1:10" s="2" customFormat="1" ht="12.75" customHeight="1" x14ac:dyDescent="0.4">
      <c r="A23" s="17"/>
      <c r="B23" s="18"/>
      <c r="C23" s="96" t="s">
        <v>9</v>
      </c>
      <c r="D23" s="20"/>
      <c r="E23" s="21">
        <f>+F22-E22</f>
        <v>27800413.170000006</v>
      </c>
      <c r="G23" s="23"/>
      <c r="H23" s="112"/>
      <c r="I23" s="112"/>
      <c r="J23" s="13"/>
    </row>
    <row r="24" spans="1:10" s="2" customFormat="1" ht="12.75" customHeight="1" x14ac:dyDescent="0.4">
      <c r="A24" s="24"/>
      <c r="B24" s="1"/>
      <c r="C24" s="14"/>
      <c r="D24" s="25"/>
      <c r="G24" s="23"/>
      <c r="H24" s="112"/>
      <c r="I24" s="112"/>
      <c r="J24" s="13"/>
    </row>
    <row r="25" spans="1:10" s="2" customFormat="1" ht="21.75" customHeight="1" x14ac:dyDescent="0.4">
      <c r="A25" s="214" t="s">
        <v>10</v>
      </c>
      <c r="B25" s="214"/>
      <c r="C25" s="214"/>
      <c r="D25" s="214"/>
      <c r="E25" s="214"/>
      <c r="F25" s="214"/>
      <c r="G25" s="13"/>
      <c r="H25" s="112"/>
      <c r="I25" s="112"/>
      <c r="J25" s="13"/>
    </row>
    <row r="26" spans="1:10" s="2" customFormat="1" ht="12.75" customHeight="1" x14ac:dyDescent="0.4">
      <c r="A26" s="26" t="s">
        <v>1</v>
      </c>
      <c r="B26" s="27" t="s">
        <v>2</v>
      </c>
      <c r="C26" s="5"/>
      <c r="D26" s="6" t="s">
        <v>3</v>
      </c>
      <c r="E26" s="7" t="s">
        <v>4</v>
      </c>
      <c r="F26" s="7" t="s">
        <v>5</v>
      </c>
      <c r="G26" s="23"/>
      <c r="H26" s="112"/>
      <c r="I26" s="112"/>
      <c r="J26" s="13"/>
    </row>
    <row r="27" spans="1:10" s="2" customFormat="1" ht="12.75" customHeight="1" x14ac:dyDescent="0.2">
      <c r="A27" s="127">
        <v>45120</v>
      </c>
      <c r="B27" s="128" t="s">
        <v>11</v>
      </c>
      <c r="C27" s="29" t="s">
        <v>7</v>
      </c>
      <c r="D27" s="25"/>
      <c r="E27" s="31"/>
      <c r="F27" s="2">
        <v>243110419.56000003</v>
      </c>
      <c r="G27" s="30"/>
      <c r="I27" s="13"/>
      <c r="J27" s="13"/>
    </row>
    <row r="28" spans="1:10" s="70" customFormat="1" ht="12.75" customHeight="1" x14ac:dyDescent="0.2">
      <c r="A28" s="127">
        <v>45120</v>
      </c>
      <c r="B28" s="128" t="s">
        <v>6</v>
      </c>
      <c r="C28" s="76" t="s">
        <v>1192</v>
      </c>
      <c r="D28" s="125" t="s">
        <v>13</v>
      </c>
      <c r="E28" s="31">
        <v>19530</v>
      </c>
      <c r="G28" s="30"/>
      <c r="I28" s="69"/>
      <c r="J28" s="69"/>
    </row>
    <row r="29" spans="1:10" s="70" customFormat="1" ht="12.75" customHeight="1" x14ac:dyDescent="0.2">
      <c r="A29" s="127">
        <v>45120</v>
      </c>
      <c r="B29" s="128" t="s">
        <v>6</v>
      </c>
      <c r="C29" s="76" t="s">
        <v>503</v>
      </c>
      <c r="D29" s="125" t="s">
        <v>13</v>
      </c>
      <c r="E29" s="31">
        <v>196035.02</v>
      </c>
      <c r="G29" s="30"/>
      <c r="I29" s="69"/>
      <c r="J29" s="69"/>
    </row>
    <row r="30" spans="1:10" s="70" customFormat="1" ht="12.75" customHeight="1" x14ac:dyDescent="0.2">
      <c r="A30" s="127">
        <v>45120</v>
      </c>
      <c r="B30" s="128" t="s">
        <v>6</v>
      </c>
      <c r="C30" s="76" t="s">
        <v>103</v>
      </c>
      <c r="D30" s="125" t="s">
        <v>13</v>
      </c>
      <c r="E30" s="31">
        <v>424755</v>
      </c>
      <c r="G30" s="30"/>
      <c r="I30" s="69"/>
      <c r="J30" s="69"/>
    </row>
    <row r="31" spans="1:10" s="70" customFormat="1" ht="12.75" customHeight="1" x14ac:dyDescent="0.2">
      <c r="A31" s="127">
        <v>45120</v>
      </c>
      <c r="B31" s="128" t="s">
        <v>6</v>
      </c>
      <c r="C31" s="76" t="s">
        <v>381</v>
      </c>
      <c r="D31" s="125" t="s">
        <v>13</v>
      </c>
      <c r="E31" s="31">
        <v>676812</v>
      </c>
      <c r="G31" s="30"/>
      <c r="I31" s="69"/>
      <c r="J31" s="69"/>
    </row>
    <row r="32" spans="1:10" s="70" customFormat="1" ht="12.75" customHeight="1" x14ac:dyDescent="0.2">
      <c r="A32" s="127">
        <v>45120</v>
      </c>
      <c r="B32" s="128" t="s">
        <v>6</v>
      </c>
      <c r="C32" s="76" t="s">
        <v>160</v>
      </c>
      <c r="D32" s="125" t="s">
        <v>13</v>
      </c>
      <c r="E32" s="31">
        <v>444346</v>
      </c>
      <c r="G32" s="30"/>
      <c r="I32" s="69"/>
      <c r="J32" s="69"/>
    </row>
    <row r="33" spans="1:10" s="70" customFormat="1" ht="12.75" customHeight="1" x14ac:dyDescent="0.2">
      <c r="A33" s="127">
        <v>45120</v>
      </c>
      <c r="B33" s="128" t="s">
        <v>6</v>
      </c>
      <c r="C33" s="76" t="s">
        <v>149</v>
      </c>
      <c r="D33" s="125" t="s">
        <v>13</v>
      </c>
      <c r="E33" s="31">
        <v>3771</v>
      </c>
      <c r="G33" s="30"/>
      <c r="I33" s="69"/>
      <c r="J33" s="69"/>
    </row>
    <row r="34" spans="1:10" s="70" customFormat="1" ht="12.75" customHeight="1" x14ac:dyDescent="0.2">
      <c r="A34" s="127">
        <v>45120</v>
      </c>
      <c r="B34" s="128" t="s">
        <v>6</v>
      </c>
      <c r="C34" s="76" t="s">
        <v>1193</v>
      </c>
      <c r="D34" s="125" t="s">
        <v>13</v>
      </c>
      <c r="E34" s="31">
        <v>324571</v>
      </c>
      <c r="G34" s="30"/>
      <c r="I34" s="69"/>
      <c r="J34" s="69"/>
    </row>
    <row r="35" spans="1:10" s="70" customFormat="1" ht="12.75" customHeight="1" x14ac:dyDescent="0.2">
      <c r="A35" s="127">
        <v>45120</v>
      </c>
      <c r="B35" s="128" t="s">
        <v>6</v>
      </c>
      <c r="C35" s="76" t="s">
        <v>1194</v>
      </c>
      <c r="D35" s="125" t="s">
        <v>13</v>
      </c>
      <c r="E35" s="31">
        <v>361793</v>
      </c>
      <c r="G35" s="30"/>
      <c r="I35" s="69"/>
      <c r="J35" s="69"/>
    </row>
    <row r="36" spans="1:10" s="70" customFormat="1" ht="12.75" customHeight="1" x14ac:dyDescent="0.2">
      <c r="A36" s="127">
        <v>45120</v>
      </c>
      <c r="B36" s="128" t="s">
        <v>6</v>
      </c>
      <c r="C36" s="76" t="s">
        <v>237</v>
      </c>
      <c r="D36" s="125" t="s">
        <v>13</v>
      </c>
      <c r="E36" s="31">
        <v>180130</v>
      </c>
      <c r="G36" s="30"/>
      <c r="I36" s="69"/>
      <c r="J36" s="69"/>
    </row>
    <row r="37" spans="1:10" s="70" customFormat="1" ht="12.75" customHeight="1" x14ac:dyDescent="0.2">
      <c r="A37" s="127">
        <v>45120</v>
      </c>
      <c r="B37" s="128" t="s">
        <v>11</v>
      </c>
      <c r="C37" s="76" t="s">
        <v>64</v>
      </c>
      <c r="D37" s="125" t="s">
        <v>29</v>
      </c>
      <c r="E37" s="31"/>
      <c r="F37" s="70">
        <v>4445.0599999999995</v>
      </c>
      <c r="G37" s="30"/>
      <c r="I37" s="69"/>
      <c r="J37" s="69"/>
    </row>
    <row r="38" spans="1:10" s="70" customFormat="1" ht="12.75" customHeight="1" x14ac:dyDescent="0.2">
      <c r="A38" s="127">
        <v>45120</v>
      </c>
      <c r="B38" s="128" t="s">
        <v>11</v>
      </c>
      <c r="C38" s="76" t="s">
        <v>111</v>
      </c>
      <c r="D38" s="125" t="s">
        <v>29</v>
      </c>
      <c r="E38" s="31"/>
      <c r="F38" s="70">
        <v>2643708.2199999997</v>
      </c>
      <c r="G38" s="30"/>
      <c r="I38" s="69"/>
      <c r="J38" s="69"/>
    </row>
    <row r="39" spans="1:10" s="70" customFormat="1" ht="12.75" customHeight="1" x14ac:dyDescent="0.2">
      <c r="A39" s="127">
        <v>45120</v>
      </c>
      <c r="B39" s="128" t="s">
        <v>11</v>
      </c>
      <c r="C39" s="76" t="s">
        <v>1141</v>
      </c>
      <c r="D39" s="125" t="s">
        <v>29</v>
      </c>
      <c r="E39" s="31"/>
      <c r="F39" s="70">
        <v>147825</v>
      </c>
      <c r="G39" s="30"/>
      <c r="I39" s="69"/>
      <c r="J39" s="69"/>
    </row>
    <row r="40" spans="1:10" s="70" customFormat="1" ht="12.75" customHeight="1" x14ac:dyDescent="0.2">
      <c r="A40" s="127">
        <v>45120</v>
      </c>
      <c r="B40" s="128" t="s">
        <v>11</v>
      </c>
      <c r="C40" s="76" t="s">
        <v>248</v>
      </c>
      <c r="D40" s="125" t="s">
        <v>29</v>
      </c>
      <c r="E40" s="31"/>
      <c r="F40" s="70">
        <v>46183</v>
      </c>
      <c r="G40" s="30"/>
      <c r="I40" s="69"/>
      <c r="J40" s="69"/>
    </row>
    <row r="41" spans="1:10" s="70" customFormat="1" ht="12.75" customHeight="1" x14ac:dyDescent="0.2">
      <c r="A41" s="127">
        <v>45120</v>
      </c>
      <c r="B41" s="128" t="s">
        <v>11</v>
      </c>
      <c r="C41" s="76" t="s">
        <v>799</v>
      </c>
      <c r="D41" s="125" t="s">
        <v>29</v>
      </c>
      <c r="E41" s="31"/>
      <c r="F41" s="70">
        <v>868244</v>
      </c>
      <c r="G41" s="30"/>
      <c r="I41" s="69"/>
      <c r="J41" s="69"/>
    </row>
    <row r="42" spans="1:10" s="70" customFormat="1" ht="12.75" customHeight="1" x14ac:dyDescent="0.2">
      <c r="A42" s="127">
        <v>45120</v>
      </c>
      <c r="B42" s="128" t="s">
        <v>11</v>
      </c>
      <c r="C42" s="76" t="s">
        <v>1195</v>
      </c>
      <c r="D42" s="125" t="s">
        <v>29</v>
      </c>
      <c r="E42" s="31"/>
      <c r="F42" s="70">
        <v>1182</v>
      </c>
      <c r="G42" s="30"/>
      <c r="I42" s="69"/>
      <c r="J42" s="69"/>
    </row>
    <row r="43" spans="1:10" s="70" customFormat="1" ht="12.75" customHeight="1" x14ac:dyDescent="0.2">
      <c r="A43" s="127">
        <v>45120</v>
      </c>
      <c r="B43" s="128" t="s">
        <v>11</v>
      </c>
      <c r="C43" s="76" t="s">
        <v>315</v>
      </c>
      <c r="D43" s="125" t="s">
        <v>29</v>
      </c>
      <c r="E43" s="31"/>
      <c r="F43" s="70">
        <v>14750</v>
      </c>
      <c r="G43" s="30"/>
      <c r="I43" s="69"/>
      <c r="J43" s="69"/>
    </row>
    <row r="44" spans="1:10" s="70" customFormat="1" ht="12.75" customHeight="1" x14ac:dyDescent="0.2">
      <c r="A44" s="127">
        <v>45120</v>
      </c>
      <c r="B44" s="128" t="s">
        <v>11</v>
      </c>
      <c r="C44" s="76" t="s">
        <v>38</v>
      </c>
      <c r="D44" s="125" t="s">
        <v>29</v>
      </c>
      <c r="E44" s="31"/>
      <c r="F44" s="70">
        <v>36971</v>
      </c>
      <c r="G44" s="30"/>
      <c r="I44" s="69"/>
      <c r="J44" s="69"/>
    </row>
    <row r="45" spans="1:10" s="70" customFormat="1" ht="12.75" customHeight="1" x14ac:dyDescent="0.2">
      <c r="A45" s="127">
        <v>45120</v>
      </c>
      <c r="B45" s="128" t="s">
        <v>11</v>
      </c>
      <c r="C45" s="76" t="s">
        <v>1196</v>
      </c>
      <c r="D45" s="125" t="s">
        <v>29</v>
      </c>
      <c r="E45" s="31"/>
      <c r="F45" s="70">
        <v>6030</v>
      </c>
      <c r="G45" s="30"/>
      <c r="I45" s="69"/>
      <c r="J45" s="69"/>
    </row>
    <row r="46" spans="1:10" s="70" customFormat="1" ht="12.75" customHeight="1" x14ac:dyDescent="0.2">
      <c r="A46" s="127">
        <v>45120</v>
      </c>
      <c r="B46" s="128" t="s">
        <v>11</v>
      </c>
      <c r="C46" s="76" t="s">
        <v>724</v>
      </c>
      <c r="D46" s="125" t="s">
        <v>29</v>
      </c>
      <c r="E46" s="31"/>
      <c r="F46" s="70">
        <v>18890</v>
      </c>
      <c r="G46" s="30"/>
      <c r="I46" s="69"/>
      <c r="J46" s="69"/>
    </row>
    <row r="47" spans="1:10" s="70" customFormat="1" ht="12.75" customHeight="1" x14ac:dyDescent="0.2">
      <c r="A47" s="127">
        <v>45120</v>
      </c>
      <c r="B47" s="128" t="s">
        <v>11</v>
      </c>
      <c r="C47" s="76" t="s">
        <v>228</v>
      </c>
      <c r="D47" s="125" t="s">
        <v>29</v>
      </c>
      <c r="E47" s="31"/>
      <c r="F47" s="70">
        <v>77781</v>
      </c>
      <c r="G47" s="30"/>
      <c r="I47" s="69"/>
      <c r="J47" s="69"/>
    </row>
    <row r="48" spans="1:10" s="70" customFormat="1" ht="12.75" customHeight="1" x14ac:dyDescent="0.2">
      <c r="A48" s="127">
        <v>45120</v>
      </c>
      <c r="B48" s="128" t="s">
        <v>11</v>
      </c>
      <c r="C48" s="76" t="s">
        <v>309</v>
      </c>
      <c r="D48" s="125" t="s">
        <v>29</v>
      </c>
      <c r="E48" s="31"/>
      <c r="F48" s="70">
        <v>490000</v>
      </c>
      <c r="G48" s="30"/>
      <c r="I48" s="69"/>
      <c r="J48" s="69"/>
    </row>
    <row r="49" spans="1:14" s="70" customFormat="1" ht="12.75" customHeight="1" x14ac:dyDescent="0.2">
      <c r="A49" s="127">
        <v>45120</v>
      </c>
      <c r="B49" s="128" t="s">
        <v>11</v>
      </c>
      <c r="C49" s="76" t="s">
        <v>597</v>
      </c>
      <c r="D49" s="125" t="s">
        <v>29</v>
      </c>
      <c r="E49" s="31"/>
      <c r="F49" s="70">
        <v>784000</v>
      </c>
      <c r="G49" s="30"/>
      <c r="I49" s="69"/>
      <c r="J49" s="69"/>
    </row>
    <row r="50" spans="1:14" s="70" customFormat="1" ht="12.75" customHeight="1" x14ac:dyDescent="0.2">
      <c r="A50" s="127">
        <v>45120</v>
      </c>
      <c r="B50" s="128" t="s">
        <v>11</v>
      </c>
      <c r="C50" s="76" t="s">
        <v>57</v>
      </c>
      <c r="D50" s="125" t="s">
        <v>29</v>
      </c>
      <c r="E50" s="31"/>
      <c r="F50" s="70">
        <v>17000000</v>
      </c>
      <c r="G50" s="30"/>
      <c r="I50" s="69"/>
      <c r="J50" s="69"/>
    </row>
    <row r="51" spans="1:14" s="70" customFormat="1" ht="12.75" customHeight="1" x14ac:dyDescent="0.2">
      <c r="A51" s="127">
        <v>45120</v>
      </c>
      <c r="B51" s="128" t="s">
        <v>11</v>
      </c>
      <c r="C51" s="76" t="s">
        <v>126</v>
      </c>
      <c r="D51" s="125" t="s">
        <v>29</v>
      </c>
      <c r="E51" s="31"/>
      <c r="F51" s="70">
        <v>1500000</v>
      </c>
      <c r="G51" s="30"/>
      <c r="I51" s="69"/>
      <c r="J51" s="69"/>
    </row>
    <row r="52" spans="1:14" s="70" customFormat="1" ht="12.75" customHeight="1" x14ac:dyDescent="0.2">
      <c r="A52" s="127">
        <v>45120</v>
      </c>
      <c r="B52" s="128" t="s">
        <v>11</v>
      </c>
      <c r="C52" s="76" t="s">
        <v>460</v>
      </c>
      <c r="D52" s="125" t="s">
        <v>29</v>
      </c>
      <c r="E52" s="31"/>
      <c r="F52" s="70">
        <v>1601429</v>
      </c>
      <c r="G52" s="30"/>
      <c r="I52" s="69"/>
      <c r="J52" s="69"/>
    </row>
    <row r="53" spans="1:14" s="70" customFormat="1" ht="12.75" customHeight="1" x14ac:dyDescent="0.2">
      <c r="A53" s="127">
        <v>45120</v>
      </c>
      <c r="B53" s="128" t="s">
        <v>11</v>
      </c>
      <c r="C53" s="76" t="s">
        <v>338</v>
      </c>
      <c r="D53" s="125" t="s">
        <v>29</v>
      </c>
      <c r="E53" s="31"/>
      <c r="F53" s="70">
        <v>122500</v>
      </c>
      <c r="G53" s="30"/>
      <c r="I53" s="69"/>
      <c r="J53" s="69"/>
    </row>
    <row r="54" spans="1:14" s="70" customFormat="1" ht="12.75" customHeight="1" x14ac:dyDescent="0.2">
      <c r="A54" s="127">
        <v>45120</v>
      </c>
      <c r="B54" s="128" t="s">
        <v>11</v>
      </c>
      <c r="C54" s="76" t="s">
        <v>127</v>
      </c>
      <c r="D54" s="125" t="s">
        <v>29</v>
      </c>
      <c r="E54" s="31"/>
      <c r="F54" s="70">
        <v>558388</v>
      </c>
      <c r="G54" s="30"/>
      <c r="I54" s="69"/>
      <c r="J54" s="69"/>
    </row>
    <row r="55" spans="1:14" s="70" customFormat="1" ht="12.75" customHeight="1" x14ac:dyDescent="0.2">
      <c r="A55" s="127">
        <v>45120</v>
      </c>
      <c r="B55" s="128" t="s">
        <v>11</v>
      </c>
      <c r="C55" s="76" t="s">
        <v>123</v>
      </c>
      <c r="D55" s="125" t="s">
        <v>29</v>
      </c>
      <c r="E55" s="31"/>
      <c r="F55" s="70">
        <v>212653</v>
      </c>
      <c r="G55" s="30"/>
      <c r="I55" s="69"/>
      <c r="J55" s="69"/>
    </row>
    <row r="56" spans="1:14" s="2" customFormat="1" ht="12.75" customHeight="1" x14ac:dyDescent="0.25">
      <c r="A56" s="32"/>
      <c r="B56" s="33"/>
      <c r="C56" s="14"/>
      <c r="D56" s="34"/>
      <c r="E56" s="16">
        <f>SUM(E27:E55)</f>
        <v>2631743.02</v>
      </c>
      <c r="F56" s="16">
        <f>SUM(F27:F55)</f>
        <v>269245398.84000003</v>
      </c>
      <c r="G56" s="30"/>
      <c r="H56" s="1"/>
      <c r="I56" s="39">
        <v>266613655.81999999</v>
      </c>
      <c r="J56" s="2" t="s">
        <v>396</v>
      </c>
      <c r="K56" s="92">
        <f>E57-I56</f>
        <v>0</v>
      </c>
      <c r="L56" s="41"/>
      <c r="M56" s="42"/>
    </row>
    <row r="57" spans="1:14" s="2" customFormat="1" ht="12.75" customHeight="1" x14ac:dyDescent="0.2">
      <c r="A57" s="36"/>
      <c r="B57" s="28" t="s">
        <v>11</v>
      </c>
      <c r="C57" s="19" t="s">
        <v>65</v>
      </c>
      <c r="D57" s="37"/>
      <c r="E57" s="38">
        <f>F56-E56</f>
        <v>266613655.82000002</v>
      </c>
      <c r="F57" s="22"/>
      <c r="G57" s="1"/>
      <c r="H57" s="1"/>
      <c r="J57" s="1"/>
      <c r="K57" s="1"/>
      <c r="L57" s="1"/>
      <c r="M57" s="1"/>
    </row>
    <row r="58" spans="1:14" s="2" customFormat="1" ht="12.75" customHeight="1" x14ac:dyDescent="0.2">
      <c r="A58" s="36"/>
      <c r="B58" s="28" t="s">
        <v>66</v>
      </c>
      <c r="C58" s="43" t="s">
        <v>67</v>
      </c>
      <c r="D58" s="43"/>
      <c r="E58" s="12">
        <v>59416310</v>
      </c>
      <c r="F58" s="22"/>
      <c r="G58" s="1"/>
      <c r="H58" s="40"/>
      <c r="I58" s="45">
        <v>1894.6</v>
      </c>
      <c r="J58" s="46"/>
      <c r="K58" s="46"/>
      <c r="L58" s="13"/>
    </row>
    <row r="59" spans="1:14" s="2" customFormat="1" ht="12.75" customHeight="1" x14ac:dyDescent="0.25">
      <c r="A59" s="36"/>
      <c r="B59" s="28"/>
      <c r="C59" s="44" t="s">
        <v>68</v>
      </c>
      <c r="D59" s="43"/>
      <c r="E59" s="7">
        <f>E57+E58</f>
        <v>326029965.82000005</v>
      </c>
      <c r="F59" s="22"/>
      <c r="G59" s="1"/>
      <c r="H59" s="103" t="s">
        <v>69</v>
      </c>
      <c r="I59" s="45">
        <v>-15.27</v>
      </c>
      <c r="J59" s="46"/>
      <c r="K59" s="46"/>
      <c r="N59" s="1"/>
    </row>
    <row r="60" spans="1:14" s="2" customFormat="1" x14ac:dyDescent="0.2">
      <c r="A60" s="24"/>
      <c r="B60" s="1"/>
      <c r="C60" s="14"/>
      <c r="D60" s="25"/>
      <c r="E60" s="1"/>
      <c r="H60" s="35" t="s">
        <v>70</v>
      </c>
      <c r="I60" s="45">
        <v>0</v>
      </c>
      <c r="J60" s="46">
        <f>+I61-D63</f>
        <v>73.899999999999864</v>
      </c>
      <c r="M60" s="2" t="s">
        <v>396</v>
      </c>
      <c r="N60" s="1"/>
    </row>
    <row r="61" spans="1:14" x14ac:dyDescent="0.2">
      <c r="C61" s="56"/>
      <c r="D61" s="56"/>
      <c r="E61" s="104"/>
      <c r="I61" s="49">
        <f>SUM(I58:I60)</f>
        <v>1879.33</v>
      </c>
      <c r="J61" s="46"/>
      <c r="K61" s="46"/>
      <c r="L61" s="2"/>
      <c r="M61" s="2"/>
      <c r="N61" s="2"/>
    </row>
    <row r="62" spans="1:14" x14ac:dyDescent="0.2">
      <c r="C62" s="78" t="s">
        <v>575</v>
      </c>
      <c r="D62" s="48" t="s">
        <v>576</v>
      </c>
      <c r="E62" s="104"/>
      <c r="I62" s="2"/>
      <c r="J62" s="2"/>
      <c r="K62" s="2"/>
      <c r="L62" s="2"/>
      <c r="M62" s="2"/>
      <c r="N62" s="2"/>
    </row>
    <row r="63" spans="1:14" s="2" customFormat="1" x14ac:dyDescent="0.2">
      <c r="A63" s="24"/>
      <c r="B63" s="1"/>
      <c r="C63" s="47" t="s">
        <v>570</v>
      </c>
      <c r="D63" s="111">
        <v>1805.43</v>
      </c>
      <c r="E63" s="104"/>
      <c r="G63" s="1"/>
      <c r="H63" s="110" t="s">
        <v>581</v>
      </c>
      <c r="N63" s="2" t="s">
        <v>535</v>
      </c>
    </row>
    <row r="64" spans="1:14" s="2" customFormat="1" x14ac:dyDescent="0.2">
      <c r="A64" s="24"/>
      <c r="B64" s="1"/>
      <c r="C64" s="47" t="s">
        <v>931</v>
      </c>
      <c r="D64" s="111">
        <v>124.56</v>
      </c>
      <c r="E64" s="104" t="s">
        <v>1198</v>
      </c>
      <c r="G64" s="1"/>
      <c r="H64" s="110" t="s">
        <v>580</v>
      </c>
    </row>
    <row r="65" spans="1:13" s="2" customFormat="1" x14ac:dyDescent="0.2">
      <c r="A65" s="24"/>
      <c r="B65" s="1"/>
      <c r="C65" s="47" t="s">
        <v>572</v>
      </c>
      <c r="D65" s="111">
        <f>+D111/100000</f>
        <v>369.25922919999999</v>
      </c>
      <c r="E65" s="104" t="s">
        <v>1198</v>
      </c>
      <c r="G65" s="1"/>
      <c r="H65" s="90" t="s">
        <v>587</v>
      </c>
    </row>
    <row r="66" spans="1:13" s="2" customFormat="1" x14ac:dyDescent="0.2">
      <c r="A66" s="24"/>
      <c r="B66" s="1"/>
      <c r="C66" s="108" t="s">
        <v>578</v>
      </c>
      <c r="D66" s="48">
        <f>SUM(D63:D65)</f>
        <v>2299.2492292000002</v>
      </c>
      <c r="E66" s="104"/>
      <c r="G66" s="1"/>
    </row>
    <row r="67" spans="1:13" s="2" customFormat="1" x14ac:dyDescent="0.2">
      <c r="A67" s="24"/>
      <c r="B67" s="1"/>
      <c r="C67" s="47"/>
      <c r="D67" s="107"/>
      <c r="E67" s="104"/>
      <c r="G67" s="1"/>
    </row>
    <row r="68" spans="1:13" s="2" customFormat="1" x14ac:dyDescent="0.2">
      <c r="A68" s="24"/>
      <c r="B68" s="1"/>
      <c r="C68" s="47" t="s">
        <v>932</v>
      </c>
      <c r="D68" s="111">
        <v>121.7</v>
      </c>
      <c r="E68" s="104" t="s">
        <v>1198</v>
      </c>
      <c r="G68" s="1"/>
      <c r="H68" s="110" t="s">
        <v>581</v>
      </c>
    </row>
    <row r="69" spans="1:13" s="2" customFormat="1" x14ac:dyDescent="0.2">
      <c r="A69" s="24"/>
      <c r="B69" s="1"/>
      <c r="C69" s="136" t="s">
        <v>1142</v>
      </c>
      <c r="D69" s="111">
        <f>233.34-46.39</f>
        <v>186.95</v>
      </c>
      <c r="E69" s="104" t="s">
        <v>1198</v>
      </c>
      <c r="G69" s="1"/>
      <c r="H69" s="110" t="s">
        <v>581</v>
      </c>
      <c r="J69" s="114" t="s">
        <v>713</v>
      </c>
    </row>
    <row r="70" spans="1:13" s="2" customFormat="1" x14ac:dyDescent="0.2">
      <c r="A70" s="24"/>
      <c r="B70" s="1"/>
      <c r="C70" s="78" t="s">
        <v>579</v>
      </c>
      <c r="D70" s="109">
        <f>D68+D69</f>
        <v>308.64999999999998</v>
      </c>
      <c r="E70" s="104"/>
      <c r="G70" s="1"/>
      <c r="I70" s="113"/>
      <c r="J70" s="113" t="s">
        <v>709</v>
      </c>
      <c r="K70" s="113" t="s">
        <v>710</v>
      </c>
      <c r="L70" s="113" t="s">
        <v>711</v>
      </c>
      <c r="M70" s="113" t="s">
        <v>712</v>
      </c>
    </row>
    <row r="71" spans="1:13" s="2" customFormat="1" x14ac:dyDescent="0.2">
      <c r="A71" s="24"/>
      <c r="B71" s="1"/>
      <c r="C71" s="105"/>
      <c r="D71" s="106"/>
      <c r="E71" s="104"/>
      <c r="G71" s="1"/>
      <c r="I71" s="113" t="s">
        <v>706</v>
      </c>
      <c r="J71" s="115"/>
      <c r="K71" s="115">
        <v>968.99</v>
      </c>
      <c r="L71" s="115">
        <v>968.99</v>
      </c>
      <c r="M71" s="113">
        <f>+J71+L71-K71</f>
        <v>0</v>
      </c>
    </row>
    <row r="72" spans="1:13" s="2" customFormat="1" x14ac:dyDescent="0.2">
      <c r="A72" s="24"/>
      <c r="B72" s="1"/>
      <c r="C72" s="78" t="s">
        <v>577</v>
      </c>
      <c r="D72" s="109">
        <f>D63+D70</f>
        <v>2114.08</v>
      </c>
      <c r="E72" s="104"/>
      <c r="G72" s="1"/>
      <c r="I72" s="113" t="s">
        <v>707</v>
      </c>
      <c r="J72" s="115">
        <v>183.1</v>
      </c>
      <c r="K72" s="115">
        <v>2610.83</v>
      </c>
      <c r="L72" s="115">
        <v>3358.8</v>
      </c>
      <c r="M72" s="113">
        <f>+J72+L72-K72</f>
        <v>931.07000000000016</v>
      </c>
    </row>
    <row r="73" spans="1:13" s="2" customFormat="1" x14ac:dyDescent="0.2">
      <c r="A73" s="24"/>
      <c r="B73" s="1"/>
      <c r="C73" s="56"/>
      <c r="D73" s="56"/>
      <c r="E73" s="104"/>
      <c r="G73" s="1"/>
      <c r="I73" s="113" t="s">
        <v>708</v>
      </c>
      <c r="J73" s="115">
        <v>1371.02</v>
      </c>
      <c r="K73" s="115">
        <v>12732</v>
      </c>
      <c r="L73" s="115">
        <v>12637.8</v>
      </c>
      <c r="M73" s="113">
        <f>+J73+L73-K73</f>
        <v>1276.8199999999997</v>
      </c>
    </row>
    <row r="74" spans="1:13" s="2" customFormat="1" ht="38.25" x14ac:dyDescent="0.2">
      <c r="A74" s="24"/>
      <c r="B74" s="1"/>
      <c r="C74" s="79" t="str">
        <f>"Particulars ( 01-04-2021 to "&amp;TEXT(A5,"dd-mm-yyyy")&amp;" )"</f>
        <v>Particulars ( 01-04-2021 to 13-07-2023 )</v>
      </c>
      <c r="D74" s="80" t="s">
        <v>73</v>
      </c>
      <c r="E74" s="80" t="s">
        <v>74</v>
      </c>
      <c r="F74" s="81" t="s">
        <v>75</v>
      </c>
      <c r="G74" s="80" t="s">
        <v>76</v>
      </c>
      <c r="J74" s="118">
        <f>SUM(J71:J73)</f>
        <v>1554.12</v>
      </c>
      <c r="K74" s="118">
        <f>SUM(K71:K73)</f>
        <v>16311.82</v>
      </c>
      <c r="L74" s="118">
        <f>SUM(L71:L73)</f>
        <v>16965.59</v>
      </c>
      <c r="M74" s="118">
        <f>SUM(M71:M73)</f>
        <v>2207.89</v>
      </c>
    </row>
    <row r="75" spans="1:13" s="2" customFormat="1" x14ac:dyDescent="0.2">
      <c r="A75" s="24"/>
      <c r="B75" s="1"/>
      <c r="C75" s="50" t="s">
        <v>444</v>
      </c>
      <c r="D75" s="55">
        <f>+L71+L72+J72</f>
        <v>4510.8900000000003</v>
      </c>
      <c r="E75" s="55">
        <f>+K71+K72</f>
        <v>3579.8199999999997</v>
      </c>
      <c r="F75" s="55">
        <f>+D75-E75</f>
        <v>931.07000000000062</v>
      </c>
      <c r="G75" s="55">
        <f>1500-F75</f>
        <v>568.92999999999938</v>
      </c>
      <c r="H75" s="2" t="s">
        <v>396</v>
      </c>
    </row>
    <row r="76" spans="1:13" s="2" customFormat="1" x14ac:dyDescent="0.2">
      <c r="A76" s="24"/>
      <c r="B76" s="1"/>
      <c r="C76" s="50" t="s">
        <v>71</v>
      </c>
      <c r="D76" s="55">
        <f>+J73+L73</f>
        <v>14008.82</v>
      </c>
      <c r="E76" s="55">
        <f>+K73</f>
        <v>12732</v>
      </c>
      <c r="F76" s="55">
        <f>+D76-E76</f>
        <v>1276.8199999999997</v>
      </c>
      <c r="G76" s="55">
        <f>1500+700-F76</f>
        <v>923.18000000000029</v>
      </c>
      <c r="H76" s="2" t="s">
        <v>396</v>
      </c>
    </row>
    <row r="77" spans="1:13" s="2" customFormat="1" x14ac:dyDescent="0.2">
      <c r="A77" s="24"/>
      <c r="B77" s="1"/>
      <c r="C77" s="14"/>
      <c r="D77" s="56"/>
      <c r="E77" s="13"/>
      <c r="G77" s="1"/>
    </row>
    <row r="78" spans="1:13" s="2" customFormat="1" x14ac:dyDescent="0.2">
      <c r="A78" s="215" t="s">
        <v>80</v>
      </c>
      <c r="B78" s="216"/>
      <c r="C78" s="216"/>
      <c r="D78" s="217"/>
      <c r="E78" s="69"/>
      <c r="F78" s="70"/>
      <c r="G78" s="1"/>
      <c r="H78" s="53"/>
    </row>
    <row r="79" spans="1:13" s="2" customFormat="1" x14ac:dyDescent="0.2">
      <c r="A79" s="71" t="s">
        <v>81</v>
      </c>
      <c r="B79" s="71"/>
      <c r="C79" s="72" t="s">
        <v>82</v>
      </c>
      <c r="D79" s="73" t="s">
        <v>83</v>
      </c>
      <c r="E79" s="69"/>
      <c r="F79" s="70"/>
      <c r="H79" s="53"/>
    </row>
    <row r="80" spans="1:13" s="2" customFormat="1" x14ac:dyDescent="0.2">
      <c r="A80" s="87">
        <v>45108</v>
      </c>
      <c r="B80" s="120" t="s">
        <v>1052</v>
      </c>
      <c r="C80" s="75" t="s">
        <v>84</v>
      </c>
      <c r="D80" s="88">
        <v>3000000</v>
      </c>
      <c r="G80" s="1"/>
      <c r="L80" s="1"/>
      <c r="M80" s="1"/>
    </row>
    <row r="81" spans="1:13" s="2" customFormat="1" x14ac:dyDescent="0.2">
      <c r="A81" s="87">
        <v>45108</v>
      </c>
      <c r="B81" s="120" t="s">
        <v>1052</v>
      </c>
      <c r="C81" s="75" t="s">
        <v>271</v>
      </c>
      <c r="D81" s="88">
        <v>2323148</v>
      </c>
      <c r="G81" s="1"/>
      <c r="L81" s="1"/>
      <c r="M81" s="1"/>
    </row>
    <row r="82" spans="1:13" s="2" customFormat="1" x14ac:dyDescent="0.2">
      <c r="A82" s="87">
        <v>45110</v>
      </c>
      <c r="B82" s="120" t="s">
        <v>1052</v>
      </c>
      <c r="C82" s="75" t="s">
        <v>85</v>
      </c>
      <c r="D82" s="88">
        <v>732575</v>
      </c>
      <c r="G82" s="1"/>
      <c r="L82" s="1"/>
      <c r="M82" s="1"/>
    </row>
    <row r="83" spans="1:13" s="2" customFormat="1" x14ac:dyDescent="0.2">
      <c r="A83" s="87">
        <v>45110</v>
      </c>
      <c r="B83" s="120" t="s">
        <v>1052</v>
      </c>
      <c r="C83" s="75" t="s">
        <v>86</v>
      </c>
      <c r="D83" s="88">
        <v>2676974</v>
      </c>
      <c r="G83" s="1"/>
      <c r="L83" s="1"/>
      <c r="M83" s="1"/>
    </row>
    <row r="84" spans="1:13" s="2" customFormat="1" x14ac:dyDescent="0.2">
      <c r="A84" s="87">
        <v>45110</v>
      </c>
      <c r="B84" s="120" t="s">
        <v>1052</v>
      </c>
      <c r="C84" s="75" t="s">
        <v>86</v>
      </c>
      <c r="D84" s="88">
        <v>1043475</v>
      </c>
      <c r="G84" s="1"/>
      <c r="L84" s="1"/>
      <c r="M84" s="1"/>
    </row>
    <row r="85" spans="1:13" s="2" customFormat="1" x14ac:dyDescent="0.2">
      <c r="A85" s="87">
        <v>45111</v>
      </c>
      <c r="B85" s="120" t="s">
        <v>1052</v>
      </c>
      <c r="C85" s="75" t="s">
        <v>270</v>
      </c>
      <c r="D85" s="88">
        <v>106093</v>
      </c>
      <c r="G85" s="1"/>
      <c r="L85" s="1"/>
      <c r="M85" s="1"/>
    </row>
    <row r="86" spans="1:13" s="2" customFormat="1" x14ac:dyDescent="0.2">
      <c r="A86" s="87">
        <v>45111</v>
      </c>
      <c r="B86" s="120" t="s">
        <v>1052</v>
      </c>
      <c r="C86" s="75" t="s">
        <v>270</v>
      </c>
      <c r="D86" s="88">
        <v>102393</v>
      </c>
      <c r="G86" s="1"/>
      <c r="L86" s="1"/>
      <c r="M86" s="1"/>
    </row>
    <row r="87" spans="1:13" s="2" customFormat="1" x14ac:dyDescent="0.2">
      <c r="A87" s="87">
        <v>45111</v>
      </c>
      <c r="B87" s="120" t="s">
        <v>1052</v>
      </c>
      <c r="C87" s="75" t="s">
        <v>270</v>
      </c>
      <c r="D87" s="88">
        <v>716336</v>
      </c>
      <c r="G87" s="1"/>
      <c r="L87" s="1"/>
      <c r="M87" s="1"/>
    </row>
    <row r="88" spans="1:13" s="2" customFormat="1" x14ac:dyDescent="0.2">
      <c r="A88" s="87">
        <v>45111</v>
      </c>
      <c r="B88" s="120" t="s">
        <v>1052</v>
      </c>
      <c r="C88" s="75" t="s">
        <v>270</v>
      </c>
      <c r="D88" s="88">
        <v>2504631</v>
      </c>
      <c r="G88" s="1"/>
      <c r="L88" s="1"/>
      <c r="M88" s="1"/>
    </row>
    <row r="89" spans="1:13" s="2" customFormat="1" x14ac:dyDescent="0.2">
      <c r="A89" s="87">
        <v>45111</v>
      </c>
      <c r="B89" s="120" t="s">
        <v>1052</v>
      </c>
      <c r="C89" s="75" t="s">
        <v>270</v>
      </c>
      <c r="D89" s="88">
        <v>141433.92000000001</v>
      </c>
      <c r="G89" s="1"/>
      <c r="L89" s="1"/>
      <c r="M89" s="1"/>
    </row>
    <row r="90" spans="1:13" s="2" customFormat="1" x14ac:dyDescent="0.2">
      <c r="A90" s="87">
        <v>45111</v>
      </c>
      <c r="B90" s="120" t="s">
        <v>1052</v>
      </c>
      <c r="C90" s="75" t="s">
        <v>271</v>
      </c>
      <c r="D90" s="88">
        <v>485258</v>
      </c>
      <c r="G90" s="1"/>
      <c r="L90" s="1"/>
      <c r="M90" s="1"/>
    </row>
    <row r="91" spans="1:13" s="2" customFormat="1" x14ac:dyDescent="0.2">
      <c r="A91" s="87">
        <v>45112</v>
      </c>
      <c r="B91" s="120" t="s">
        <v>1052</v>
      </c>
      <c r="C91" s="75" t="s">
        <v>85</v>
      </c>
      <c r="D91" s="88">
        <v>216478</v>
      </c>
      <c r="G91" s="1"/>
      <c r="L91" s="1"/>
      <c r="M91" s="1"/>
    </row>
    <row r="92" spans="1:13" s="2" customFormat="1" x14ac:dyDescent="0.2">
      <c r="A92" s="87">
        <v>45114</v>
      </c>
      <c r="B92" s="120" t="s">
        <v>1052</v>
      </c>
      <c r="C92" s="75" t="s">
        <v>270</v>
      </c>
      <c r="D92" s="88">
        <v>886333</v>
      </c>
      <c r="G92" s="1"/>
      <c r="L92" s="1"/>
      <c r="M92" s="1"/>
    </row>
    <row r="93" spans="1:13" s="2" customFormat="1" x14ac:dyDescent="0.2">
      <c r="A93" s="87">
        <v>45114</v>
      </c>
      <c r="B93" s="120" t="s">
        <v>1052</v>
      </c>
      <c r="C93" s="75" t="s">
        <v>270</v>
      </c>
      <c r="D93" s="88">
        <v>3119806</v>
      </c>
      <c r="G93" s="1"/>
      <c r="L93" s="1"/>
      <c r="M93" s="1"/>
    </row>
    <row r="94" spans="1:13" s="2" customFormat="1" x14ac:dyDescent="0.2">
      <c r="A94" s="87">
        <v>45114</v>
      </c>
      <c r="B94" s="120" t="s">
        <v>1052</v>
      </c>
      <c r="C94" s="75" t="s">
        <v>271</v>
      </c>
      <c r="D94" s="88">
        <v>151160</v>
      </c>
      <c r="G94" s="1"/>
      <c r="L94" s="1"/>
      <c r="M94" s="1"/>
    </row>
    <row r="95" spans="1:13" s="2" customFormat="1" x14ac:dyDescent="0.2">
      <c r="A95" s="87">
        <v>45114</v>
      </c>
      <c r="B95" s="120" t="s">
        <v>1052</v>
      </c>
      <c r="C95" s="75" t="s">
        <v>271</v>
      </c>
      <c r="D95" s="88">
        <v>285195</v>
      </c>
      <c r="G95" s="1"/>
      <c r="L95" s="1"/>
      <c r="M95" s="1"/>
    </row>
    <row r="96" spans="1:13" s="2" customFormat="1" x14ac:dyDescent="0.2">
      <c r="A96" s="87">
        <v>45114</v>
      </c>
      <c r="B96" s="120" t="s">
        <v>1052</v>
      </c>
      <c r="C96" s="75" t="s">
        <v>201</v>
      </c>
      <c r="D96" s="88">
        <v>128135</v>
      </c>
      <c r="G96" s="1"/>
      <c r="L96" s="1"/>
      <c r="M96" s="1"/>
    </row>
    <row r="97" spans="1:13" s="2" customFormat="1" x14ac:dyDescent="0.2">
      <c r="A97" s="87">
        <v>45114</v>
      </c>
      <c r="B97" s="120" t="s">
        <v>1052</v>
      </c>
      <c r="C97" s="75" t="s">
        <v>323</v>
      </c>
      <c r="D97" s="88">
        <v>2313089</v>
      </c>
      <c r="G97" s="1"/>
      <c r="L97" s="1"/>
      <c r="M97" s="1"/>
    </row>
    <row r="98" spans="1:13" s="2" customFormat="1" x14ac:dyDescent="0.2">
      <c r="A98" s="87">
        <v>45115</v>
      </c>
      <c r="B98" s="120" t="s">
        <v>1052</v>
      </c>
      <c r="C98" s="75" t="s">
        <v>767</v>
      </c>
      <c r="D98" s="88">
        <v>411035</v>
      </c>
      <c r="G98" s="1"/>
      <c r="L98" s="1"/>
      <c r="M98" s="1"/>
    </row>
    <row r="99" spans="1:13" s="2" customFormat="1" x14ac:dyDescent="0.2">
      <c r="A99" s="87">
        <v>45118</v>
      </c>
      <c r="B99" s="120" t="s">
        <v>1052</v>
      </c>
      <c r="C99" s="75" t="s">
        <v>270</v>
      </c>
      <c r="D99" s="88">
        <v>34696</v>
      </c>
      <c r="G99" s="1"/>
      <c r="L99" s="1"/>
      <c r="M99" s="1"/>
    </row>
    <row r="100" spans="1:13" s="2" customFormat="1" x14ac:dyDescent="0.2">
      <c r="A100" s="87">
        <v>45118</v>
      </c>
      <c r="B100" s="120" t="s">
        <v>1052</v>
      </c>
      <c r="C100" s="75" t="s">
        <v>270</v>
      </c>
      <c r="D100" s="88">
        <v>1128922</v>
      </c>
      <c r="G100" s="1"/>
      <c r="L100" s="1"/>
      <c r="M100" s="1"/>
    </row>
    <row r="101" spans="1:13" s="2" customFormat="1" x14ac:dyDescent="0.2">
      <c r="A101" s="87">
        <v>45118</v>
      </c>
      <c r="B101" s="120" t="s">
        <v>1052</v>
      </c>
      <c r="C101" s="75" t="s">
        <v>270</v>
      </c>
      <c r="D101" s="88">
        <v>2865343</v>
      </c>
      <c r="G101" s="1"/>
      <c r="L101" s="1"/>
      <c r="M101" s="1"/>
    </row>
    <row r="102" spans="1:13" s="2" customFormat="1" x14ac:dyDescent="0.2">
      <c r="A102" s="87">
        <v>45118</v>
      </c>
      <c r="B102" s="120" t="s">
        <v>1052</v>
      </c>
      <c r="C102" s="75" t="s">
        <v>270</v>
      </c>
      <c r="D102" s="88">
        <v>1090852</v>
      </c>
      <c r="G102" s="1"/>
      <c r="L102" s="1"/>
      <c r="M102" s="1"/>
    </row>
    <row r="103" spans="1:13" s="2" customFormat="1" x14ac:dyDescent="0.2">
      <c r="A103" s="87">
        <v>45118</v>
      </c>
      <c r="B103" s="120" t="s">
        <v>1052</v>
      </c>
      <c r="C103" s="75" t="s">
        <v>270</v>
      </c>
      <c r="D103" s="88">
        <v>359348</v>
      </c>
      <c r="G103" s="1"/>
      <c r="L103" s="1"/>
      <c r="M103" s="1"/>
    </row>
    <row r="104" spans="1:13" s="2" customFormat="1" x14ac:dyDescent="0.2">
      <c r="A104" s="87">
        <v>45118</v>
      </c>
      <c r="B104" s="120" t="s">
        <v>1052</v>
      </c>
      <c r="C104" s="75" t="s">
        <v>271</v>
      </c>
      <c r="D104" s="88">
        <v>323487</v>
      </c>
      <c r="G104" s="1"/>
      <c r="L104" s="1"/>
      <c r="M104" s="1"/>
    </row>
    <row r="105" spans="1:13" s="2" customFormat="1" x14ac:dyDescent="0.2">
      <c r="A105" s="87">
        <v>45118</v>
      </c>
      <c r="B105" s="120" t="s">
        <v>1052</v>
      </c>
      <c r="C105" s="75" t="s">
        <v>271</v>
      </c>
      <c r="D105" s="88">
        <v>44394</v>
      </c>
      <c r="G105" s="1"/>
      <c r="L105" s="1"/>
      <c r="M105" s="1"/>
    </row>
    <row r="106" spans="1:13" s="2" customFormat="1" x14ac:dyDescent="0.2">
      <c r="A106" s="87">
        <v>45118</v>
      </c>
      <c r="B106" s="120" t="s">
        <v>1052</v>
      </c>
      <c r="C106" s="75" t="s">
        <v>271</v>
      </c>
      <c r="D106" s="88">
        <v>2035052</v>
      </c>
      <c r="G106" s="1"/>
      <c r="L106" s="1"/>
      <c r="M106" s="1"/>
    </row>
    <row r="107" spans="1:13" s="2" customFormat="1" x14ac:dyDescent="0.2">
      <c r="A107" s="87">
        <v>45119</v>
      </c>
      <c r="B107" s="120" t="s">
        <v>1052</v>
      </c>
      <c r="C107" s="75" t="s">
        <v>85</v>
      </c>
      <c r="D107" s="88">
        <v>569516</v>
      </c>
      <c r="G107" s="1"/>
      <c r="L107" s="1"/>
      <c r="M107" s="1"/>
    </row>
    <row r="108" spans="1:13" s="2" customFormat="1" x14ac:dyDescent="0.2">
      <c r="A108" s="87">
        <v>45119</v>
      </c>
      <c r="B108" s="120" t="s">
        <v>1052</v>
      </c>
      <c r="C108" s="75" t="s">
        <v>271</v>
      </c>
      <c r="D108" s="88">
        <v>3074492</v>
      </c>
      <c r="G108" s="1"/>
      <c r="L108" s="1"/>
      <c r="M108" s="1"/>
    </row>
    <row r="109" spans="1:13" s="2" customFormat="1" x14ac:dyDescent="0.2">
      <c r="A109" s="87">
        <v>45119</v>
      </c>
      <c r="B109" s="120" t="s">
        <v>1052</v>
      </c>
      <c r="C109" s="75" t="s">
        <v>270</v>
      </c>
      <c r="D109" s="88">
        <v>1556273</v>
      </c>
      <c r="G109" s="1"/>
      <c r="L109" s="1"/>
      <c r="M109" s="1"/>
    </row>
    <row r="110" spans="1:13" s="2" customFormat="1" x14ac:dyDescent="0.2">
      <c r="A110" s="87">
        <v>45119</v>
      </c>
      <c r="B110" s="120" t="s">
        <v>1052</v>
      </c>
      <c r="C110" s="75" t="s">
        <v>84</v>
      </c>
      <c r="D110" s="88">
        <v>2500000</v>
      </c>
      <c r="G110" s="1"/>
      <c r="L110" s="1"/>
      <c r="M110" s="1"/>
    </row>
    <row r="111" spans="1:13" s="2" customFormat="1" x14ac:dyDescent="0.2">
      <c r="A111" s="87"/>
      <c r="B111" s="74"/>
      <c r="C111" s="75"/>
      <c r="D111" s="51">
        <f>SUM(D80:D110)</f>
        <v>36925922.920000002</v>
      </c>
      <c r="F111" s="2" t="s">
        <v>396</v>
      </c>
      <c r="G111" s="1"/>
      <c r="L111" s="1"/>
      <c r="M111" s="1"/>
    </row>
    <row r="112" spans="1:13" s="2" customFormat="1" x14ac:dyDescent="0.2">
      <c r="A112" s="24"/>
      <c r="B112" s="1"/>
      <c r="C112" s="14"/>
      <c r="D112" s="56"/>
      <c r="E112" s="13"/>
      <c r="G112" s="1"/>
      <c r="L112" s="1"/>
      <c r="M112" s="1"/>
    </row>
    <row r="113" spans="1:13" s="2" customFormat="1" x14ac:dyDescent="0.2">
      <c r="A113" s="24"/>
      <c r="B113" s="1"/>
      <c r="C113" s="218" t="s">
        <v>77</v>
      </c>
      <c r="D113" s="219"/>
      <c r="E113" s="219"/>
      <c r="F113" s="220"/>
      <c r="G113" s="1"/>
      <c r="L113" s="1"/>
      <c r="M113" s="1"/>
    </row>
    <row r="114" spans="1:13" s="2" customFormat="1" x14ac:dyDescent="0.2">
      <c r="A114" s="24"/>
      <c r="B114" s="1"/>
      <c r="C114" s="50"/>
      <c r="D114" s="57" t="s">
        <v>78</v>
      </c>
      <c r="E114" s="58" t="s">
        <v>79</v>
      </c>
      <c r="F114" s="57" t="s">
        <v>72</v>
      </c>
      <c r="G114" s="1"/>
      <c r="I114" s="1"/>
      <c r="J114" s="1"/>
      <c r="K114" s="1"/>
      <c r="L114" s="1"/>
      <c r="M114" s="1"/>
    </row>
    <row r="115" spans="1:13" s="2" customFormat="1" x14ac:dyDescent="0.2">
      <c r="A115" s="24"/>
      <c r="B115" s="1"/>
      <c r="C115" s="59" t="str">
        <f>"01-07-2023 to "&amp;TEXT(A5-2,"dd-mm-yyyy")</f>
        <v>01-07-2023 to 11-07-2023</v>
      </c>
      <c r="D115" s="60">
        <v>2166.09</v>
      </c>
      <c r="E115" s="60">
        <v>90.63</v>
      </c>
      <c r="F115" s="61">
        <f>SUM(D115:E115)</f>
        <v>2256.7200000000003</v>
      </c>
      <c r="G115" s="1"/>
    </row>
    <row r="116" spans="1:13" s="2" customFormat="1" x14ac:dyDescent="0.2">
      <c r="A116" s="24"/>
      <c r="B116" s="1"/>
      <c r="C116" s="62" t="str">
        <f>TEXT(A5-1,"dd-mm-yyyy")</f>
        <v>12-07-2023</v>
      </c>
      <c r="D116" s="60">
        <v>235.68</v>
      </c>
      <c r="E116" s="60">
        <v>4.82</v>
      </c>
      <c r="F116" s="61">
        <f>SUM(D116:E116)</f>
        <v>240.5</v>
      </c>
      <c r="G116" s="54"/>
      <c r="I116" s="1"/>
      <c r="J116" s="1"/>
      <c r="K116" s="1"/>
      <c r="L116" s="1"/>
      <c r="M116" s="1"/>
    </row>
    <row r="117" spans="1:13" s="2" customFormat="1" ht="13.5" thickBot="1" x14ac:dyDescent="0.25">
      <c r="A117" s="24"/>
      <c r="B117" s="1"/>
      <c r="C117" s="63" t="str">
        <f>"01-07-2023 to "&amp;TEXT(A5-1,"dd-mm-yyyy")</f>
        <v>01-07-2023 to 12-07-2023</v>
      </c>
      <c r="D117" s="64">
        <f>SUM(D115:D116)</f>
        <v>2401.77</v>
      </c>
      <c r="E117" s="64">
        <f>SUM(E115:E116)</f>
        <v>95.449999999999989</v>
      </c>
      <c r="F117" s="64">
        <f>SUM(F115:F116)</f>
        <v>2497.2200000000003</v>
      </c>
      <c r="G117" s="54"/>
      <c r="I117" s="1"/>
      <c r="J117" s="1"/>
      <c r="K117" s="1"/>
      <c r="L117" s="1"/>
      <c r="M117" s="1"/>
    </row>
    <row r="118" spans="1:13" s="2" customFormat="1" ht="13.5" thickTop="1" x14ac:dyDescent="0.2">
      <c r="A118" s="24"/>
      <c r="B118" s="1"/>
      <c r="C118" s="62"/>
      <c r="D118" s="65"/>
      <c r="E118" s="66"/>
      <c r="F118" s="67"/>
      <c r="G118" s="54"/>
      <c r="I118" s="1"/>
      <c r="J118" s="1"/>
      <c r="K118" s="1"/>
      <c r="L118" s="1"/>
      <c r="M118" s="1"/>
    </row>
    <row r="119" spans="1:13" s="2" customFormat="1" x14ac:dyDescent="0.2">
      <c r="A119" s="24"/>
      <c r="B119" s="1"/>
      <c r="C119" s="62" t="str">
        <f>"01-04-2023 to " &amp;C116</f>
        <v>01-04-2023 to 12-07-2023</v>
      </c>
      <c r="D119" s="68">
        <f>+D117+15505.53</f>
        <v>17907.3</v>
      </c>
      <c r="E119" s="68">
        <f>+E117+1109.72</f>
        <v>1205.17</v>
      </c>
      <c r="F119" s="68">
        <f>+F117+16615.25</f>
        <v>19112.47</v>
      </c>
      <c r="G119" s="54"/>
      <c r="I119" s="1"/>
      <c r="J119" s="1"/>
      <c r="K119" s="1"/>
      <c r="L119" s="1"/>
      <c r="M119" s="1"/>
    </row>
    <row r="120" spans="1:13" x14ac:dyDescent="0.2">
      <c r="C120" s="52"/>
      <c r="D120" s="85"/>
      <c r="E120" s="53"/>
      <c r="F120" s="53"/>
      <c r="G120" s="54"/>
      <c r="H120" s="2" t="s">
        <v>396</v>
      </c>
    </row>
    <row r="121" spans="1:13" s="2" customFormat="1" x14ac:dyDescent="0.2">
      <c r="A121" s="24"/>
      <c r="B121" s="1"/>
      <c r="C121" s="52"/>
      <c r="D121" s="85"/>
      <c r="E121" s="53"/>
      <c r="F121" s="53"/>
      <c r="G121" s="54"/>
      <c r="H121" s="53"/>
    </row>
    <row r="122" spans="1:13" x14ac:dyDescent="0.2">
      <c r="C122" s="52"/>
      <c r="D122" s="85"/>
      <c r="E122" s="53"/>
      <c r="F122" s="53"/>
      <c r="G122" s="54"/>
      <c r="H122" s="53" t="s">
        <v>396</v>
      </c>
    </row>
    <row r="123" spans="1:13" x14ac:dyDescent="0.2">
      <c r="C123" s="52"/>
      <c r="D123" s="85"/>
      <c r="E123" s="53"/>
      <c r="F123" s="53"/>
      <c r="G123" s="54"/>
      <c r="H123" s="53" t="s">
        <v>396</v>
      </c>
      <c r="J123" s="42"/>
    </row>
    <row r="124" spans="1:13" x14ac:dyDescent="0.2">
      <c r="G124" s="54"/>
      <c r="H124" s="53"/>
      <c r="I124" s="101"/>
    </row>
    <row r="125" spans="1:13" x14ac:dyDescent="0.2">
      <c r="G125" s="54"/>
      <c r="H125" s="53"/>
    </row>
    <row r="126" spans="1:13" x14ac:dyDescent="0.2">
      <c r="G126" s="54"/>
      <c r="H126" s="53"/>
    </row>
    <row r="127" spans="1:13" x14ac:dyDescent="0.2">
      <c r="H127" s="53"/>
    </row>
  </sheetData>
  <mergeCells count="6">
    <mergeCell ref="C113:F113"/>
    <mergeCell ref="A1:G1"/>
    <mergeCell ref="A3:F3"/>
    <mergeCell ref="A9:F9"/>
    <mergeCell ref="A25:F25"/>
    <mergeCell ref="A78:D78"/>
  </mergeCells>
  <conditionalFormatting sqref="G75:G76">
    <cfRule type="cellIs" dxfId="417" priority="1" operator="lessThan">
      <formula>0</formula>
    </cfRule>
  </conditionalFormatting>
  <conditionalFormatting sqref="C27">
    <cfRule type="duplicateValues" dxfId="416" priority="2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sheetPr codeName="Sheet378">
    <pageSetUpPr fitToPage="1"/>
  </sheetPr>
  <dimension ref="A1:N150"/>
  <sheetViews>
    <sheetView topLeftCell="A22" zoomScaleNormal="100" workbookViewId="0">
      <selection activeCell="C52" sqref="C52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1206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45121</v>
      </c>
      <c r="B5" s="9" t="s">
        <v>6</v>
      </c>
      <c r="C5" s="10" t="s">
        <v>7</v>
      </c>
      <c r="D5" s="11"/>
      <c r="E5" s="12">
        <v>372249.70000000019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372249.70000000019</v>
      </c>
      <c r="F6" s="16">
        <f>F5</f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+E6-F6</f>
        <v>372249.70000000019</v>
      </c>
      <c r="F7" s="22"/>
      <c r="G7" s="23"/>
      <c r="H7" s="112"/>
      <c r="I7" s="112"/>
      <c r="J7" s="13"/>
    </row>
    <row r="8" spans="1:10" ht="12.75" customHeight="1" x14ac:dyDescent="0.4">
      <c r="H8" s="112"/>
      <c r="I8" s="112"/>
    </row>
    <row r="9" spans="1:10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12"/>
    </row>
    <row r="10" spans="1:10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12"/>
    </row>
    <row r="11" spans="1:10" s="2" customFormat="1" ht="14.25" customHeight="1" x14ac:dyDescent="0.2">
      <c r="A11" s="127">
        <v>45121</v>
      </c>
      <c r="B11" s="9" t="s">
        <v>6</v>
      </c>
      <c r="C11" s="10" t="s">
        <v>7</v>
      </c>
      <c r="D11" s="11"/>
      <c r="F11" s="12">
        <v>27800413.170000006</v>
      </c>
      <c r="G11" s="1"/>
      <c r="H11" s="130" t="s">
        <v>396</v>
      </c>
      <c r="I11" s="130"/>
    </row>
    <row r="12" spans="1:10" s="2" customFormat="1" ht="14.25" customHeight="1" x14ac:dyDescent="0.2">
      <c r="A12" s="127">
        <v>45121</v>
      </c>
      <c r="B12" s="9" t="s">
        <v>6</v>
      </c>
      <c r="C12" s="76" t="s">
        <v>1011</v>
      </c>
      <c r="D12" s="125" t="s">
        <v>13</v>
      </c>
      <c r="E12" s="31">
        <v>545959.73</v>
      </c>
      <c r="F12" s="31"/>
      <c r="G12" s="1"/>
      <c r="H12" s="130"/>
      <c r="I12" s="130"/>
    </row>
    <row r="13" spans="1:10" s="2" customFormat="1" ht="14.25" customHeight="1" x14ac:dyDescent="0.2">
      <c r="A13" s="127">
        <v>45121</v>
      </c>
      <c r="B13" s="9" t="s">
        <v>11</v>
      </c>
      <c r="C13" s="76" t="s">
        <v>1137</v>
      </c>
      <c r="D13" s="125" t="s">
        <v>29</v>
      </c>
      <c r="E13" s="31"/>
      <c r="F13" s="31">
        <v>11895.52</v>
      </c>
      <c r="G13" s="1"/>
      <c r="H13" s="130"/>
      <c r="I13" s="130"/>
    </row>
    <row r="14" spans="1:10" s="2" customFormat="1" ht="14.25" customHeight="1" x14ac:dyDescent="0.2">
      <c r="A14" s="127">
        <v>45121</v>
      </c>
      <c r="B14" s="9" t="s">
        <v>11</v>
      </c>
      <c r="C14" s="76" t="s">
        <v>1199</v>
      </c>
      <c r="D14" s="125" t="s">
        <v>29</v>
      </c>
      <c r="E14" s="31"/>
      <c r="F14" s="31">
        <v>3344</v>
      </c>
      <c r="G14" s="1"/>
      <c r="H14" s="130"/>
      <c r="I14" s="130"/>
    </row>
    <row r="15" spans="1:10" s="2" customFormat="1" ht="14.25" customHeight="1" x14ac:dyDescent="0.2">
      <c r="A15" s="127">
        <v>45121</v>
      </c>
      <c r="B15" s="9" t="s">
        <v>11</v>
      </c>
      <c r="C15" s="76" t="s">
        <v>609</v>
      </c>
      <c r="D15" s="125" t="s">
        <v>29</v>
      </c>
      <c r="E15" s="31"/>
      <c r="F15" s="31">
        <v>16180</v>
      </c>
      <c r="G15" s="1"/>
      <c r="H15" s="130"/>
      <c r="I15" s="130"/>
    </row>
    <row r="16" spans="1:10" s="2" customFormat="1" ht="14.25" customHeight="1" x14ac:dyDescent="0.2">
      <c r="A16" s="127">
        <v>45121</v>
      </c>
      <c r="B16" s="9" t="s">
        <v>11</v>
      </c>
      <c r="C16" s="76" t="s">
        <v>1200</v>
      </c>
      <c r="D16" s="125" t="s">
        <v>29</v>
      </c>
      <c r="E16" s="31"/>
      <c r="F16" s="31">
        <v>11800</v>
      </c>
      <c r="G16" s="1"/>
      <c r="H16" s="130"/>
      <c r="I16" s="130"/>
    </row>
    <row r="17" spans="1:10" s="2" customFormat="1" ht="14.25" customHeight="1" x14ac:dyDescent="0.2">
      <c r="A17" s="127">
        <v>45121</v>
      </c>
      <c r="B17" s="9" t="s">
        <v>11</v>
      </c>
      <c r="C17" s="76" t="s">
        <v>1201</v>
      </c>
      <c r="D17" s="125" t="s">
        <v>29</v>
      </c>
      <c r="E17" s="31"/>
      <c r="F17" s="31">
        <v>70000</v>
      </c>
      <c r="G17" s="1"/>
      <c r="H17" s="130"/>
      <c r="I17" s="130"/>
    </row>
    <row r="18" spans="1:10" s="2" customFormat="1" ht="14.25" customHeight="1" x14ac:dyDescent="0.2">
      <c r="A18" s="127">
        <v>45121</v>
      </c>
      <c r="B18" s="9" t="s">
        <v>11</v>
      </c>
      <c r="C18" s="76" t="s">
        <v>46</v>
      </c>
      <c r="D18" s="125" t="s">
        <v>29</v>
      </c>
      <c r="E18" s="31"/>
      <c r="F18" s="31">
        <v>108137</v>
      </c>
      <c r="G18" s="1"/>
      <c r="H18" s="130"/>
      <c r="I18" s="130"/>
    </row>
    <row r="19" spans="1:10" s="2" customFormat="1" ht="14.25" customHeight="1" x14ac:dyDescent="0.2">
      <c r="A19" s="127">
        <v>45121</v>
      </c>
      <c r="B19" s="9" t="s">
        <v>11</v>
      </c>
      <c r="C19" s="76" t="s">
        <v>251</v>
      </c>
      <c r="D19" s="125" t="s">
        <v>29</v>
      </c>
      <c r="E19" s="31"/>
      <c r="F19" s="31">
        <v>26836.639999999999</v>
      </c>
      <c r="G19" s="1"/>
      <c r="H19" s="130"/>
      <c r="I19" s="130"/>
    </row>
    <row r="20" spans="1:10" s="2" customFormat="1" ht="14.25" customHeight="1" x14ac:dyDescent="0.2">
      <c r="A20" s="127">
        <v>45121</v>
      </c>
      <c r="B20" s="9" t="s">
        <v>11</v>
      </c>
      <c r="C20" s="76" t="s">
        <v>221</v>
      </c>
      <c r="D20" s="125" t="s">
        <v>29</v>
      </c>
      <c r="E20" s="31"/>
      <c r="F20" s="31">
        <v>1000</v>
      </c>
      <c r="G20" s="1"/>
      <c r="H20" s="130"/>
      <c r="I20" s="130"/>
    </row>
    <row r="21" spans="1:10" s="2" customFormat="1" ht="14.25" customHeight="1" x14ac:dyDescent="0.2">
      <c r="A21" s="127">
        <v>45121</v>
      </c>
      <c r="B21" s="9" t="s">
        <v>11</v>
      </c>
      <c r="C21" s="76" t="s">
        <v>235</v>
      </c>
      <c r="D21" s="125" t="s">
        <v>29</v>
      </c>
      <c r="E21" s="31"/>
      <c r="F21" s="31">
        <v>6254</v>
      </c>
      <c r="G21" s="1"/>
      <c r="H21" s="130"/>
      <c r="I21" s="130"/>
    </row>
    <row r="22" spans="1:10" s="2" customFormat="1" ht="14.25" customHeight="1" x14ac:dyDescent="0.2">
      <c r="A22" s="127">
        <v>45121</v>
      </c>
      <c r="B22" s="9" t="s">
        <v>11</v>
      </c>
      <c r="C22" s="76" t="s">
        <v>1202</v>
      </c>
      <c r="D22" s="125" t="s">
        <v>29</v>
      </c>
      <c r="E22" s="31"/>
      <c r="F22" s="31">
        <v>81900</v>
      </c>
      <c r="G22" s="1"/>
      <c r="H22" s="130"/>
      <c r="I22" s="130"/>
    </row>
    <row r="23" spans="1:10" s="2" customFormat="1" ht="14.25" customHeight="1" x14ac:dyDescent="0.2">
      <c r="A23" s="127">
        <v>45121</v>
      </c>
      <c r="B23" s="9" t="s">
        <v>11</v>
      </c>
      <c r="C23" s="76" t="s">
        <v>894</v>
      </c>
      <c r="D23" s="125" t="s">
        <v>29</v>
      </c>
      <c r="E23" s="31"/>
      <c r="F23" s="31">
        <v>500000</v>
      </c>
      <c r="G23" s="1"/>
      <c r="H23" s="130"/>
      <c r="I23" s="130"/>
    </row>
    <row r="24" spans="1:10" s="2" customFormat="1" ht="12.75" customHeight="1" x14ac:dyDescent="0.4">
      <c r="D24" s="15" t="s">
        <v>8</v>
      </c>
      <c r="E24" s="16">
        <f>SUM(E12:E23)</f>
        <v>545959.73</v>
      </c>
      <c r="F24" s="16">
        <f>SUM(F11:F23)</f>
        <v>28637760.330000006</v>
      </c>
      <c r="G24" s="1"/>
      <c r="H24" s="112"/>
      <c r="I24" s="112"/>
    </row>
    <row r="25" spans="1:10" s="2" customFormat="1" ht="12.75" customHeight="1" x14ac:dyDescent="0.4">
      <c r="A25" s="17"/>
      <c r="B25" s="18"/>
      <c r="C25" s="96" t="s">
        <v>9</v>
      </c>
      <c r="D25" s="20"/>
      <c r="E25" s="21">
        <f>+F24-E24</f>
        <v>28091800.600000005</v>
      </c>
      <c r="G25" s="23"/>
      <c r="H25" s="112"/>
      <c r="I25" s="112"/>
      <c r="J25" s="13"/>
    </row>
    <row r="26" spans="1:10" s="2" customFormat="1" ht="12.75" customHeight="1" x14ac:dyDescent="0.4">
      <c r="A26" s="24"/>
      <c r="B26" s="1"/>
      <c r="C26" s="14"/>
      <c r="D26" s="25"/>
      <c r="G26" s="23"/>
      <c r="H26" s="112"/>
      <c r="I26" s="112"/>
      <c r="J26" s="13"/>
    </row>
    <row r="27" spans="1:10" s="2" customFormat="1" ht="21.75" customHeight="1" x14ac:dyDescent="0.4">
      <c r="A27" s="214" t="s">
        <v>10</v>
      </c>
      <c r="B27" s="214"/>
      <c r="C27" s="214"/>
      <c r="D27" s="214"/>
      <c r="E27" s="214"/>
      <c r="F27" s="214"/>
      <c r="G27" s="13"/>
      <c r="H27" s="112"/>
      <c r="I27" s="112"/>
      <c r="J27" s="13"/>
    </row>
    <row r="28" spans="1:10" s="2" customFormat="1" ht="12.75" customHeight="1" x14ac:dyDescent="0.4">
      <c r="A28" s="26" t="s">
        <v>1</v>
      </c>
      <c r="B28" s="27" t="s">
        <v>2</v>
      </c>
      <c r="C28" s="5"/>
      <c r="D28" s="6" t="s">
        <v>3</v>
      </c>
      <c r="E28" s="7" t="s">
        <v>4</v>
      </c>
      <c r="F28" s="7" t="s">
        <v>5</v>
      </c>
      <c r="G28" s="23"/>
      <c r="H28" s="112"/>
      <c r="I28" s="112"/>
      <c r="J28" s="13"/>
    </row>
    <row r="29" spans="1:10" s="2" customFormat="1" ht="12.75" customHeight="1" x14ac:dyDescent="0.2">
      <c r="A29" s="127">
        <v>45121</v>
      </c>
      <c r="B29" s="128" t="s">
        <v>11</v>
      </c>
      <c r="C29" s="29" t="s">
        <v>7</v>
      </c>
      <c r="D29" s="25"/>
      <c r="E29" s="31"/>
      <c r="F29" s="2">
        <v>266613655.82000002</v>
      </c>
      <c r="G29" s="30"/>
      <c r="I29" s="13"/>
      <c r="J29" s="13"/>
    </row>
    <row r="30" spans="1:10" s="70" customFormat="1" ht="12.75" customHeight="1" x14ac:dyDescent="0.2">
      <c r="A30" s="127">
        <v>45121</v>
      </c>
      <c r="B30" s="128" t="s">
        <v>6</v>
      </c>
      <c r="C30" s="76" t="s">
        <v>545</v>
      </c>
      <c r="D30" s="125" t="s">
        <v>13</v>
      </c>
      <c r="E30" s="31">
        <v>100000</v>
      </c>
      <c r="G30" s="30"/>
      <c r="I30" s="69"/>
      <c r="J30" s="69"/>
    </row>
    <row r="31" spans="1:10" s="70" customFormat="1" ht="12.75" customHeight="1" x14ac:dyDescent="0.2">
      <c r="A31" s="127">
        <v>45121</v>
      </c>
      <c r="B31" s="128" t="s">
        <v>6</v>
      </c>
      <c r="C31" s="76" t="s">
        <v>281</v>
      </c>
      <c r="D31" s="125" t="s">
        <v>13</v>
      </c>
      <c r="E31" s="31">
        <v>1032072</v>
      </c>
      <c r="G31" s="30"/>
      <c r="I31" s="69"/>
      <c r="J31" s="69"/>
    </row>
    <row r="32" spans="1:10" s="70" customFormat="1" ht="12.75" customHeight="1" x14ac:dyDescent="0.2">
      <c r="A32" s="127">
        <v>45121</v>
      </c>
      <c r="B32" s="128" t="s">
        <v>6</v>
      </c>
      <c r="C32" s="76" t="s">
        <v>744</v>
      </c>
      <c r="D32" s="125" t="s">
        <v>13</v>
      </c>
      <c r="E32" s="31">
        <v>722503</v>
      </c>
      <c r="G32" s="30"/>
      <c r="I32" s="69"/>
      <c r="J32" s="69"/>
    </row>
    <row r="33" spans="1:10" s="70" customFormat="1" ht="12.75" customHeight="1" x14ac:dyDescent="0.2">
      <c r="A33" s="127">
        <v>45121</v>
      </c>
      <c r="B33" s="128" t="s">
        <v>6</v>
      </c>
      <c r="C33" s="76" t="s">
        <v>543</v>
      </c>
      <c r="D33" s="125" t="s">
        <v>13</v>
      </c>
      <c r="E33" s="31">
        <v>252809</v>
      </c>
      <c r="G33" s="30"/>
      <c r="I33" s="69"/>
      <c r="J33" s="69"/>
    </row>
    <row r="34" spans="1:10" s="70" customFormat="1" ht="12.75" customHeight="1" x14ac:dyDescent="0.2">
      <c r="A34" s="127">
        <v>45121</v>
      </c>
      <c r="B34" s="128" t="s">
        <v>6</v>
      </c>
      <c r="C34" s="76" t="s">
        <v>122</v>
      </c>
      <c r="D34" s="125" t="s">
        <v>13</v>
      </c>
      <c r="E34" s="31">
        <v>60840</v>
      </c>
      <c r="G34" s="30"/>
      <c r="I34" s="69"/>
      <c r="J34" s="69"/>
    </row>
    <row r="35" spans="1:10" s="70" customFormat="1" ht="12.75" customHeight="1" x14ac:dyDescent="0.2">
      <c r="A35" s="127">
        <v>45121</v>
      </c>
      <c r="B35" s="128" t="s">
        <v>6</v>
      </c>
      <c r="C35" s="76" t="s">
        <v>1203</v>
      </c>
      <c r="D35" s="125" t="s">
        <v>13</v>
      </c>
      <c r="E35" s="31">
        <v>214586</v>
      </c>
      <c r="G35" s="30"/>
      <c r="I35" s="69"/>
      <c r="J35" s="69"/>
    </row>
    <row r="36" spans="1:10" s="70" customFormat="1" ht="12.75" customHeight="1" x14ac:dyDescent="0.2">
      <c r="A36" s="127">
        <v>45121</v>
      </c>
      <c r="B36" s="128" t="s">
        <v>6</v>
      </c>
      <c r="C36" s="76" t="s">
        <v>14</v>
      </c>
      <c r="D36" s="125" t="s">
        <v>13</v>
      </c>
      <c r="E36" s="31">
        <v>395613</v>
      </c>
      <c r="G36" s="30"/>
      <c r="I36" s="69"/>
      <c r="J36" s="69"/>
    </row>
    <row r="37" spans="1:10" s="70" customFormat="1" ht="12.75" customHeight="1" x14ac:dyDescent="0.2">
      <c r="A37" s="127">
        <v>45121</v>
      </c>
      <c r="B37" s="128" t="s">
        <v>6</v>
      </c>
      <c r="C37" s="76" t="s">
        <v>149</v>
      </c>
      <c r="D37" s="125" t="s">
        <v>13</v>
      </c>
      <c r="E37" s="31">
        <v>169543</v>
      </c>
      <c r="G37" s="30"/>
      <c r="I37" s="69"/>
      <c r="J37" s="69"/>
    </row>
    <row r="38" spans="1:10" s="70" customFormat="1" ht="12.75" customHeight="1" x14ac:dyDescent="0.2">
      <c r="A38" s="127">
        <v>45121</v>
      </c>
      <c r="B38" s="128" t="s">
        <v>6</v>
      </c>
      <c r="C38" s="76" t="s">
        <v>583</v>
      </c>
      <c r="D38" s="125" t="s">
        <v>13</v>
      </c>
      <c r="E38" s="31">
        <v>790338</v>
      </c>
      <c r="G38" s="30"/>
      <c r="I38" s="69"/>
      <c r="J38" s="69"/>
    </row>
    <row r="39" spans="1:10" s="70" customFormat="1" ht="12.75" customHeight="1" x14ac:dyDescent="0.2">
      <c r="A39" s="127">
        <v>45121</v>
      </c>
      <c r="B39" s="128" t="s">
        <v>6</v>
      </c>
      <c r="C39" s="76" t="s">
        <v>20</v>
      </c>
      <c r="D39" s="125" t="s">
        <v>13</v>
      </c>
      <c r="E39" s="31">
        <v>384728</v>
      </c>
      <c r="G39" s="30"/>
      <c r="I39" s="69"/>
      <c r="J39" s="69"/>
    </row>
    <row r="40" spans="1:10" s="70" customFormat="1" ht="12.75" customHeight="1" x14ac:dyDescent="0.2">
      <c r="A40" s="127">
        <v>45121</v>
      </c>
      <c r="B40" s="128" t="s">
        <v>6</v>
      </c>
      <c r="C40" s="76" t="s">
        <v>773</v>
      </c>
      <c r="D40" s="125" t="s">
        <v>13</v>
      </c>
      <c r="E40" s="31">
        <v>222609.91999999998</v>
      </c>
      <c r="G40" s="30"/>
      <c r="I40" s="69"/>
      <c r="J40" s="69"/>
    </row>
    <row r="41" spans="1:10" s="70" customFormat="1" ht="12.75" customHeight="1" x14ac:dyDescent="0.2">
      <c r="A41" s="127">
        <v>45121</v>
      </c>
      <c r="B41" s="128" t="s">
        <v>6</v>
      </c>
      <c r="C41" s="76" t="s">
        <v>15</v>
      </c>
      <c r="D41" s="125" t="s">
        <v>13</v>
      </c>
      <c r="E41" s="31">
        <v>14887.100000000002</v>
      </c>
      <c r="G41" s="30"/>
      <c r="I41" s="69"/>
      <c r="J41" s="69"/>
    </row>
    <row r="42" spans="1:10" s="70" customFormat="1" ht="12.75" customHeight="1" x14ac:dyDescent="0.2">
      <c r="A42" s="127">
        <v>45121</v>
      </c>
      <c r="B42" s="128" t="s">
        <v>6</v>
      </c>
      <c r="C42" s="76" t="s">
        <v>1204</v>
      </c>
      <c r="D42" s="125" t="s">
        <v>13</v>
      </c>
      <c r="E42" s="31">
        <v>94500</v>
      </c>
      <c r="G42" s="30"/>
      <c r="I42" s="69"/>
      <c r="J42" s="69"/>
    </row>
    <row r="43" spans="1:10" s="70" customFormat="1" ht="12.75" customHeight="1" x14ac:dyDescent="0.2">
      <c r="A43" s="127">
        <v>45121</v>
      </c>
      <c r="B43" s="128" t="s">
        <v>6</v>
      </c>
      <c r="C43" s="76" t="s">
        <v>180</v>
      </c>
      <c r="D43" s="125" t="s">
        <v>13</v>
      </c>
      <c r="E43" s="31">
        <v>304084</v>
      </c>
      <c r="G43" s="30"/>
      <c r="I43" s="69"/>
      <c r="J43" s="69"/>
    </row>
    <row r="44" spans="1:10" s="70" customFormat="1" ht="12.75" customHeight="1" x14ac:dyDescent="0.2">
      <c r="A44" s="127">
        <v>45121</v>
      </c>
      <c r="B44" s="128" t="s">
        <v>6</v>
      </c>
      <c r="C44" s="76" t="s">
        <v>15</v>
      </c>
      <c r="D44" s="125" t="s">
        <v>13</v>
      </c>
      <c r="E44" s="31">
        <v>2732.71</v>
      </c>
      <c r="G44" s="30"/>
      <c r="I44" s="69"/>
      <c r="J44" s="69"/>
    </row>
    <row r="45" spans="1:10" s="70" customFormat="1" ht="12.75" customHeight="1" x14ac:dyDescent="0.2">
      <c r="A45" s="127">
        <v>45121</v>
      </c>
      <c r="B45" s="128" t="s">
        <v>6</v>
      </c>
      <c r="C45" s="76" t="s">
        <v>266</v>
      </c>
      <c r="D45" s="125" t="s">
        <v>13</v>
      </c>
      <c r="E45" s="31">
        <v>400000</v>
      </c>
      <c r="G45" s="30"/>
      <c r="I45" s="69"/>
      <c r="J45" s="69"/>
    </row>
    <row r="46" spans="1:10" s="70" customFormat="1" ht="12.75" customHeight="1" x14ac:dyDescent="0.2">
      <c r="A46" s="127">
        <v>45121</v>
      </c>
      <c r="B46" s="128" t="s">
        <v>6</v>
      </c>
      <c r="C46" s="76" t="s">
        <v>257</v>
      </c>
      <c r="D46" s="125" t="s">
        <v>13</v>
      </c>
      <c r="E46" s="31">
        <v>6050.5</v>
      </c>
      <c r="G46" s="30"/>
      <c r="I46" s="69"/>
      <c r="J46" s="69"/>
    </row>
    <row r="47" spans="1:10" s="70" customFormat="1" ht="12.75" customHeight="1" x14ac:dyDescent="0.2">
      <c r="A47" s="127">
        <v>45121</v>
      </c>
      <c r="B47" s="128" t="s">
        <v>6</v>
      </c>
      <c r="C47" s="76" t="s">
        <v>19</v>
      </c>
      <c r="D47" s="125" t="s">
        <v>13</v>
      </c>
      <c r="E47" s="31">
        <v>1984666</v>
      </c>
      <c r="G47" s="30"/>
      <c r="I47" s="69"/>
      <c r="J47" s="69"/>
    </row>
    <row r="48" spans="1:10" s="70" customFormat="1" ht="12.75" customHeight="1" x14ac:dyDescent="0.2">
      <c r="A48" s="127">
        <v>45121</v>
      </c>
      <c r="B48" s="128" t="s">
        <v>6</v>
      </c>
      <c r="C48" s="76" t="s">
        <v>947</v>
      </c>
      <c r="D48" s="125" t="s">
        <v>13</v>
      </c>
      <c r="E48" s="31">
        <v>1511439</v>
      </c>
      <c r="G48" s="30"/>
      <c r="I48" s="69"/>
      <c r="J48" s="69"/>
    </row>
    <row r="49" spans="1:10" s="70" customFormat="1" ht="12.75" customHeight="1" x14ac:dyDescent="0.2">
      <c r="A49" s="127">
        <v>45121</v>
      </c>
      <c r="B49" s="128" t="s">
        <v>6</v>
      </c>
      <c r="C49" s="76" t="s">
        <v>947</v>
      </c>
      <c r="D49" s="125" t="s">
        <v>13</v>
      </c>
      <c r="E49" s="31">
        <v>2454333</v>
      </c>
      <c r="G49" s="30"/>
      <c r="I49" s="69"/>
      <c r="J49" s="69"/>
    </row>
    <row r="50" spans="1:10" s="70" customFormat="1" ht="12.75" customHeight="1" x14ac:dyDescent="0.2">
      <c r="A50" s="127">
        <v>45121</v>
      </c>
      <c r="B50" s="128" t="s">
        <v>6</v>
      </c>
      <c r="C50" s="76" t="s">
        <v>947</v>
      </c>
      <c r="D50" s="125" t="s">
        <v>13</v>
      </c>
      <c r="E50" s="31">
        <v>1243427</v>
      </c>
      <c r="G50" s="30"/>
      <c r="I50" s="69"/>
      <c r="J50" s="69"/>
    </row>
    <row r="51" spans="1:10" s="70" customFormat="1" ht="12.75" customHeight="1" x14ac:dyDescent="0.2">
      <c r="A51" s="127">
        <v>45121</v>
      </c>
      <c r="B51" s="128" t="s">
        <v>6</v>
      </c>
      <c r="C51" s="76" t="s">
        <v>947</v>
      </c>
      <c r="D51" s="125" t="s">
        <v>13</v>
      </c>
      <c r="E51" s="31">
        <v>1034778</v>
      </c>
      <c r="G51" s="30"/>
      <c r="I51" s="69"/>
      <c r="J51" s="69"/>
    </row>
    <row r="52" spans="1:10" s="70" customFormat="1" ht="12.75" customHeight="1" x14ac:dyDescent="0.2">
      <c r="A52" s="127">
        <v>45121</v>
      </c>
      <c r="B52" s="128" t="s">
        <v>6</v>
      </c>
      <c r="C52" s="76" t="s">
        <v>19</v>
      </c>
      <c r="D52" s="125" t="s">
        <v>13</v>
      </c>
      <c r="E52" s="31">
        <v>3214398</v>
      </c>
      <c r="G52" s="30"/>
      <c r="I52" s="69"/>
      <c r="J52" s="69"/>
    </row>
    <row r="53" spans="1:10" s="70" customFormat="1" ht="12.75" customHeight="1" x14ac:dyDescent="0.2">
      <c r="A53" s="127">
        <v>45121</v>
      </c>
      <c r="B53" s="128" t="s">
        <v>11</v>
      </c>
      <c r="C53" s="76" t="s">
        <v>156</v>
      </c>
      <c r="D53" s="125" t="s">
        <v>29</v>
      </c>
      <c r="E53" s="31"/>
      <c r="F53" s="70">
        <v>234.82</v>
      </c>
      <c r="G53" s="30"/>
      <c r="I53" s="69"/>
      <c r="J53" s="69"/>
    </row>
    <row r="54" spans="1:10" s="70" customFormat="1" ht="12.75" customHeight="1" x14ac:dyDescent="0.2">
      <c r="A54" s="127">
        <v>45121</v>
      </c>
      <c r="B54" s="128" t="s">
        <v>11</v>
      </c>
      <c r="C54" s="76" t="s">
        <v>64</v>
      </c>
      <c r="D54" s="125" t="s">
        <v>29</v>
      </c>
      <c r="E54" s="31"/>
      <c r="F54" s="70">
        <f>14.16+590+66460.83</f>
        <v>67064.990000000005</v>
      </c>
      <c r="G54" s="30"/>
      <c r="I54" s="69"/>
      <c r="J54" s="69"/>
    </row>
    <row r="55" spans="1:10" s="70" customFormat="1" ht="12.75" customHeight="1" x14ac:dyDescent="0.2">
      <c r="A55" s="127">
        <v>45121</v>
      </c>
      <c r="B55" s="128" t="s">
        <v>11</v>
      </c>
      <c r="C55" s="76" t="s">
        <v>110</v>
      </c>
      <c r="D55" s="125" t="s">
        <v>29</v>
      </c>
      <c r="E55" s="31"/>
      <c r="F55" s="70">
        <v>418850.31</v>
      </c>
      <c r="G55" s="30"/>
      <c r="I55" s="69"/>
      <c r="J55" s="69"/>
    </row>
    <row r="56" spans="1:10" s="70" customFormat="1" ht="12.75" customHeight="1" x14ac:dyDescent="0.2">
      <c r="A56" s="127">
        <v>45121</v>
      </c>
      <c r="B56" s="128" t="s">
        <v>11</v>
      </c>
      <c r="C56" s="76" t="s">
        <v>1205</v>
      </c>
      <c r="D56" s="125" t="s">
        <v>29</v>
      </c>
      <c r="E56" s="31"/>
      <c r="F56" s="70">
        <v>245420</v>
      </c>
      <c r="G56" s="30"/>
      <c r="I56" s="69"/>
      <c r="J56" s="69"/>
    </row>
    <row r="57" spans="1:10" s="70" customFormat="1" ht="12.75" customHeight="1" x14ac:dyDescent="0.2">
      <c r="A57" s="127">
        <v>45121</v>
      </c>
      <c r="B57" s="128" t="s">
        <v>11</v>
      </c>
      <c r="C57" s="76" t="s">
        <v>348</v>
      </c>
      <c r="D57" s="125" t="s">
        <v>29</v>
      </c>
      <c r="E57" s="31"/>
      <c r="F57" s="70">
        <v>81180</v>
      </c>
      <c r="G57" s="30"/>
      <c r="I57" s="69"/>
      <c r="J57" s="69"/>
    </row>
    <row r="58" spans="1:10" s="70" customFormat="1" ht="12.75" customHeight="1" x14ac:dyDescent="0.2">
      <c r="A58" s="127">
        <v>45121</v>
      </c>
      <c r="B58" s="128" t="s">
        <v>11</v>
      </c>
      <c r="C58" s="76" t="s">
        <v>1207</v>
      </c>
      <c r="D58" s="125" t="s">
        <v>29</v>
      </c>
      <c r="E58" s="138"/>
      <c r="F58" s="139">
        <v>4860000</v>
      </c>
      <c r="G58" s="30"/>
      <c r="I58" s="69"/>
      <c r="J58" s="69"/>
    </row>
    <row r="59" spans="1:10" s="70" customFormat="1" ht="12.75" customHeight="1" x14ac:dyDescent="0.2">
      <c r="A59" s="127">
        <v>45121</v>
      </c>
      <c r="B59" s="128" t="s">
        <v>11</v>
      </c>
      <c r="C59" s="76" t="s">
        <v>476</v>
      </c>
      <c r="D59" s="125" t="s">
        <v>29</v>
      </c>
      <c r="E59" s="31"/>
      <c r="F59" s="70">
        <v>4950</v>
      </c>
      <c r="G59" s="30"/>
      <c r="I59" s="69"/>
      <c r="J59" s="69"/>
    </row>
    <row r="60" spans="1:10" s="70" customFormat="1" ht="12.75" customHeight="1" x14ac:dyDescent="0.2">
      <c r="A60" s="127">
        <v>45121</v>
      </c>
      <c r="B60" s="128" t="s">
        <v>11</v>
      </c>
      <c r="C60" s="76" t="s">
        <v>39</v>
      </c>
      <c r="D60" s="125" t="s">
        <v>29</v>
      </c>
      <c r="E60" s="31"/>
      <c r="F60" s="70">
        <v>100156</v>
      </c>
      <c r="G60" s="30"/>
      <c r="I60" s="69"/>
      <c r="J60" s="69"/>
    </row>
    <row r="61" spans="1:10" s="70" customFormat="1" ht="12.75" customHeight="1" x14ac:dyDescent="0.2">
      <c r="A61" s="127">
        <v>45121</v>
      </c>
      <c r="B61" s="128" t="s">
        <v>11</v>
      </c>
      <c r="C61" s="76" t="s">
        <v>663</v>
      </c>
      <c r="D61" s="125" t="s">
        <v>29</v>
      </c>
      <c r="E61" s="31"/>
      <c r="F61" s="70">
        <v>55440</v>
      </c>
      <c r="G61" s="30"/>
      <c r="I61" s="69"/>
      <c r="J61" s="69"/>
    </row>
    <row r="62" spans="1:10" s="70" customFormat="1" ht="12.75" customHeight="1" x14ac:dyDescent="0.2">
      <c r="A62" s="127">
        <v>45121</v>
      </c>
      <c r="B62" s="128" t="s">
        <v>11</v>
      </c>
      <c r="C62" s="76" t="s">
        <v>327</v>
      </c>
      <c r="D62" s="125" t="s">
        <v>29</v>
      </c>
      <c r="E62" s="31"/>
      <c r="F62" s="70">
        <v>7375</v>
      </c>
      <c r="G62" s="30"/>
      <c r="I62" s="69"/>
      <c r="J62" s="69"/>
    </row>
    <row r="63" spans="1:10" s="70" customFormat="1" ht="12.75" customHeight="1" x14ac:dyDescent="0.2">
      <c r="A63" s="127">
        <v>45121</v>
      </c>
      <c r="B63" s="128" t="s">
        <v>11</v>
      </c>
      <c r="C63" s="76" t="s">
        <v>823</v>
      </c>
      <c r="D63" s="125" t="s">
        <v>29</v>
      </c>
      <c r="E63" s="31"/>
      <c r="F63" s="70">
        <v>12797</v>
      </c>
      <c r="G63" s="30"/>
      <c r="I63" s="69"/>
      <c r="J63" s="69"/>
    </row>
    <row r="64" spans="1:10" s="70" customFormat="1" ht="12.75" customHeight="1" x14ac:dyDescent="0.2">
      <c r="A64" s="127">
        <v>45121</v>
      </c>
      <c r="B64" s="128" t="s">
        <v>11</v>
      </c>
      <c r="C64" s="76" t="s">
        <v>447</v>
      </c>
      <c r="D64" s="125" t="s">
        <v>29</v>
      </c>
      <c r="E64" s="31"/>
      <c r="F64" s="70">
        <v>387930</v>
      </c>
      <c r="G64" s="30"/>
      <c r="I64" s="69"/>
      <c r="J64" s="69"/>
    </row>
    <row r="65" spans="1:13" s="70" customFormat="1" ht="12.75" customHeight="1" x14ac:dyDescent="0.2">
      <c r="A65" s="127">
        <v>45121</v>
      </c>
      <c r="B65" s="128" t="s">
        <v>11</v>
      </c>
      <c r="C65" s="76" t="s">
        <v>91</v>
      </c>
      <c r="D65" s="125" t="s">
        <v>29</v>
      </c>
      <c r="E65" s="31"/>
      <c r="F65" s="70">
        <v>97100</v>
      </c>
      <c r="G65" s="30"/>
      <c r="I65" s="69"/>
      <c r="J65" s="69"/>
    </row>
    <row r="66" spans="1:13" s="70" customFormat="1" ht="12.75" customHeight="1" x14ac:dyDescent="0.2">
      <c r="A66" s="127">
        <v>45121</v>
      </c>
      <c r="B66" s="128" t="s">
        <v>11</v>
      </c>
      <c r="C66" s="76" t="s">
        <v>269</v>
      </c>
      <c r="D66" s="125" t="s">
        <v>29</v>
      </c>
      <c r="E66" s="31"/>
      <c r="F66" s="70">
        <v>3053106</v>
      </c>
      <c r="G66" s="30"/>
      <c r="I66" s="69"/>
      <c r="J66" s="69"/>
    </row>
    <row r="67" spans="1:13" s="70" customFormat="1" ht="12.75" customHeight="1" x14ac:dyDescent="0.2">
      <c r="A67" s="127">
        <v>45121</v>
      </c>
      <c r="B67" s="128" t="s">
        <v>11</v>
      </c>
      <c r="C67" s="76" t="s">
        <v>199</v>
      </c>
      <c r="D67" s="125" t="s">
        <v>29</v>
      </c>
      <c r="E67" s="31"/>
      <c r="F67" s="70">
        <v>24231</v>
      </c>
      <c r="G67" s="30"/>
      <c r="I67" s="69"/>
      <c r="J67" s="69"/>
    </row>
    <row r="68" spans="1:13" s="70" customFormat="1" ht="12.75" customHeight="1" x14ac:dyDescent="0.2">
      <c r="A68" s="127">
        <v>45121</v>
      </c>
      <c r="B68" s="128" t="s">
        <v>11</v>
      </c>
      <c r="C68" s="76" t="s">
        <v>600</v>
      </c>
      <c r="D68" s="125" t="s">
        <v>29</v>
      </c>
      <c r="E68" s="31"/>
      <c r="F68" s="70">
        <v>2500000</v>
      </c>
      <c r="G68" s="30"/>
      <c r="I68" s="69"/>
      <c r="J68" s="69"/>
    </row>
    <row r="69" spans="1:13" s="70" customFormat="1" ht="12.75" customHeight="1" x14ac:dyDescent="0.2">
      <c r="A69" s="127">
        <v>45121</v>
      </c>
      <c r="B69" s="128" t="s">
        <v>11</v>
      </c>
      <c r="C69" s="76" t="s">
        <v>96</v>
      </c>
      <c r="D69" s="125" t="s">
        <v>29</v>
      </c>
      <c r="E69" s="31"/>
      <c r="F69" s="70">
        <v>6918</v>
      </c>
      <c r="G69" s="30"/>
      <c r="I69" s="69"/>
      <c r="J69" s="69"/>
    </row>
    <row r="70" spans="1:13" s="70" customFormat="1" ht="12.75" customHeight="1" x14ac:dyDescent="0.2">
      <c r="A70" s="127">
        <v>45121</v>
      </c>
      <c r="B70" s="128" t="s">
        <v>11</v>
      </c>
      <c r="C70" s="76" t="s">
        <v>57</v>
      </c>
      <c r="D70" s="125" t="s">
        <v>29</v>
      </c>
      <c r="E70" s="31"/>
      <c r="F70" s="70">
        <v>6500000</v>
      </c>
      <c r="G70" s="30"/>
      <c r="I70" s="69"/>
      <c r="J70" s="69"/>
    </row>
    <row r="71" spans="1:13" s="70" customFormat="1" ht="12.75" customHeight="1" x14ac:dyDescent="0.2">
      <c r="A71" s="127">
        <v>45121</v>
      </c>
      <c r="B71" s="128" t="s">
        <v>11</v>
      </c>
      <c r="C71" s="76" t="s">
        <v>246</v>
      </c>
      <c r="D71" s="125" t="s">
        <v>29</v>
      </c>
      <c r="E71" s="31"/>
      <c r="F71" s="70">
        <v>3647601</v>
      </c>
      <c r="G71" s="30"/>
      <c r="I71" s="69"/>
      <c r="J71" s="69"/>
    </row>
    <row r="72" spans="1:13" s="70" customFormat="1" ht="12.75" customHeight="1" x14ac:dyDescent="0.2">
      <c r="A72" s="127">
        <v>45121</v>
      </c>
      <c r="B72" s="128" t="s">
        <v>11</v>
      </c>
      <c r="C72" s="76" t="s">
        <v>302</v>
      </c>
      <c r="D72" s="125" t="s">
        <v>29</v>
      </c>
      <c r="E72" s="31"/>
      <c r="F72" s="70">
        <v>7708</v>
      </c>
      <c r="G72" s="30"/>
      <c r="I72" s="69"/>
      <c r="J72" s="69"/>
    </row>
    <row r="73" spans="1:13" s="70" customFormat="1" ht="12.75" customHeight="1" x14ac:dyDescent="0.2">
      <c r="A73" s="127">
        <v>45121</v>
      </c>
      <c r="B73" s="128" t="s">
        <v>11</v>
      </c>
      <c r="C73" s="76" t="s">
        <v>171</v>
      </c>
      <c r="D73" s="125" t="s">
        <v>29</v>
      </c>
      <c r="E73" s="31"/>
      <c r="F73" s="70">
        <v>6064</v>
      </c>
      <c r="G73" s="30"/>
      <c r="I73" s="69"/>
      <c r="J73" s="69"/>
    </row>
    <row r="74" spans="1:13" s="70" customFormat="1" ht="12.75" customHeight="1" x14ac:dyDescent="0.2">
      <c r="A74" s="127">
        <v>45121</v>
      </c>
      <c r="B74" s="128" t="s">
        <v>11</v>
      </c>
      <c r="C74" s="76" t="s">
        <v>243</v>
      </c>
      <c r="D74" s="125" t="s">
        <v>29</v>
      </c>
      <c r="E74" s="31"/>
      <c r="F74" s="70">
        <v>10481.379999999999</v>
      </c>
      <c r="G74" s="30"/>
      <c r="I74" s="69"/>
      <c r="J74" s="69"/>
    </row>
    <row r="75" spans="1:13" s="70" customFormat="1" ht="12.75" customHeight="1" x14ac:dyDescent="0.2">
      <c r="A75" s="127">
        <v>45121</v>
      </c>
      <c r="B75" s="128" t="s">
        <v>11</v>
      </c>
      <c r="C75" s="76" t="s">
        <v>370</v>
      </c>
      <c r="D75" s="125" t="s">
        <v>29</v>
      </c>
      <c r="E75" s="31"/>
      <c r="F75" s="70">
        <v>147301.01999999999</v>
      </c>
      <c r="G75" s="30"/>
      <c r="I75" s="69"/>
      <c r="J75" s="69"/>
    </row>
    <row r="76" spans="1:13" s="70" customFormat="1" ht="12.75" customHeight="1" x14ac:dyDescent="0.2">
      <c r="A76" s="127">
        <v>45121</v>
      </c>
      <c r="B76" s="128" t="s">
        <v>11</v>
      </c>
      <c r="C76" s="76" t="s">
        <v>242</v>
      </c>
      <c r="D76" s="125" t="s">
        <v>29</v>
      </c>
      <c r="E76" s="31"/>
      <c r="F76" s="70">
        <v>176057</v>
      </c>
      <c r="G76" s="30"/>
      <c r="I76" s="69"/>
      <c r="J76" s="69"/>
    </row>
    <row r="77" spans="1:13" s="70" customFormat="1" ht="12.75" customHeight="1" x14ac:dyDescent="0.2">
      <c r="A77" s="127">
        <v>45121</v>
      </c>
      <c r="B77" s="128" t="s">
        <v>11</v>
      </c>
      <c r="C77" s="76" t="s">
        <v>971</v>
      </c>
      <c r="D77" s="125" t="s">
        <v>29</v>
      </c>
      <c r="E77" s="31"/>
      <c r="F77" s="70">
        <v>101545</v>
      </c>
      <c r="G77" s="30"/>
      <c r="I77" s="69"/>
      <c r="J77" s="69"/>
    </row>
    <row r="78" spans="1:13" s="2" customFormat="1" ht="12.75" customHeight="1" x14ac:dyDescent="0.25">
      <c r="A78" s="32"/>
      <c r="B78" s="33"/>
      <c r="C78" s="14"/>
      <c r="D78" s="34"/>
      <c r="E78" s="16">
        <f>SUM(E29:E77)</f>
        <v>16610937.23</v>
      </c>
      <c r="F78" s="16">
        <f>SUM(F29:F77)</f>
        <v>289133166.34000003</v>
      </c>
      <c r="G78" s="30"/>
      <c r="H78" s="1"/>
      <c r="I78" s="39">
        <v>272522229.11000001</v>
      </c>
      <c r="J78" s="2" t="s">
        <v>396</v>
      </c>
      <c r="K78" s="92">
        <f>E79-I78</f>
        <v>0</v>
      </c>
      <c r="L78" s="41"/>
      <c r="M78" s="42"/>
    </row>
    <row r="79" spans="1:13" s="2" customFormat="1" ht="12.75" customHeight="1" x14ac:dyDescent="0.2">
      <c r="A79" s="36"/>
      <c r="B79" s="28" t="s">
        <v>11</v>
      </c>
      <c r="C79" s="19" t="s">
        <v>65</v>
      </c>
      <c r="D79" s="37"/>
      <c r="E79" s="38">
        <f>F78-E78</f>
        <v>272522229.11000001</v>
      </c>
      <c r="F79" s="22"/>
      <c r="G79" s="1"/>
      <c r="H79" s="1"/>
      <c r="J79" s="1"/>
      <c r="K79" s="1"/>
      <c r="L79" s="1"/>
      <c r="M79" s="1"/>
    </row>
    <row r="80" spans="1:13" s="2" customFormat="1" ht="12.75" customHeight="1" x14ac:dyDescent="0.2">
      <c r="A80" s="36"/>
      <c r="B80" s="28" t="s">
        <v>66</v>
      </c>
      <c r="C80" s="43" t="s">
        <v>67</v>
      </c>
      <c r="D80" s="43"/>
      <c r="E80" s="12">
        <v>59416310</v>
      </c>
      <c r="F80" s="22"/>
      <c r="G80" s="1"/>
      <c r="H80" s="40"/>
      <c r="I80" s="45">
        <v>2062.12</v>
      </c>
      <c r="J80" s="46"/>
      <c r="K80" s="46"/>
      <c r="L80" s="13"/>
    </row>
    <row r="81" spans="1:14" s="2" customFormat="1" ht="12.75" customHeight="1" x14ac:dyDescent="0.25">
      <c r="A81" s="36"/>
      <c r="B81" s="28"/>
      <c r="C81" s="44" t="s">
        <v>68</v>
      </c>
      <c r="D81" s="43"/>
      <c r="E81" s="7">
        <f>E79+E80</f>
        <v>331938539.11000001</v>
      </c>
      <c r="F81" s="22"/>
      <c r="G81" s="1"/>
      <c r="H81" s="103" t="s">
        <v>69</v>
      </c>
      <c r="I81" s="45">
        <v>-63.27</v>
      </c>
      <c r="J81" s="46"/>
      <c r="K81" s="46"/>
      <c r="N81" s="1"/>
    </row>
    <row r="82" spans="1:14" s="2" customFormat="1" x14ac:dyDescent="0.2">
      <c r="A82" s="24"/>
      <c r="B82" s="1"/>
      <c r="C82" s="14"/>
      <c r="D82" s="25"/>
      <c r="E82" s="1"/>
      <c r="H82" s="35" t="s">
        <v>70</v>
      </c>
      <c r="I82" s="45">
        <v>48.79</v>
      </c>
      <c r="J82" s="46">
        <f>+I83-D85</f>
        <v>0</v>
      </c>
      <c r="M82" s="2" t="s">
        <v>396</v>
      </c>
      <c r="N82" s="1"/>
    </row>
    <row r="83" spans="1:14" x14ac:dyDescent="0.2">
      <c r="C83" s="56"/>
      <c r="D83" s="56"/>
      <c r="E83" s="104"/>
      <c r="I83" s="49">
        <f>SUM(I80:I82)</f>
        <v>2047.6399999999999</v>
      </c>
      <c r="J83" s="46"/>
      <c r="K83" s="46"/>
      <c r="L83" s="2"/>
      <c r="M83" s="2"/>
      <c r="N83" s="2"/>
    </row>
    <row r="84" spans="1:14" x14ac:dyDescent="0.2">
      <c r="C84" s="78" t="s">
        <v>575</v>
      </c>
      <c r="D84" s="48" t="s">
        <v>576</v>
      </c>
      <c r="E84" s="104"/>
      <c r="I84" s="2"/>
      <c r="J84" s="2"/>
      <c r="K84" s="2"/>
      <c r="L84" s="2"/>
      <c r="M84" s="2"/>
      <c r="N84" s="2"/>
    </row>
    <row r="85" spans="1:14" s="2" customFormat="1" x14ac:dyDescent="0.2">
      <c r="A85" s="24"/>
      <c r="B85" s="1"/>
      <c r="C85" s="47" t="s">
        <v>570</v>
      </c>
      <c r="D85" s="111">
        <v>2047.64</v>
      </c>
      <c r="E85" s="104"/>
      <c r="G85" s="1"/>
      <c r="H85" s="110" t="s">
        <v>581</v>
      </c>
      <c r="N85" s="2" t="s">
        <v>535</v>
      </c>
    </row>
    <row r="86" spans="1:14" s="2" customFormat="1" x14ac:dyDescent="0.2">
      <c r="A86" s="24"/>
      <c r="B86" s="1"/>
      <c r="C86" s="47" t="s">
        <v>931</v>
      </c>
      <c r="D86" s="111">
        <v>124.56</v>
      </c>
      <c r="E86" s="104"/>
      <c r="G86" s="1"/>
      <c r="H86" s="110" t="s">
        <v>580</v>
      </c>
    </row>
    <row r="87" spans="1:14" s="2" customFormat="1" x14ac:dyDescent="0.2">
      <c r="A87" s="24"/>
      <c r="B87" s="1"/>
      <c r="C87" s="47" t="s">
        <v>572</v>
      </c>
      <c r="D87" s="111">
        <f>+D134/100000</f>
        <v>419.25922919999999</v>
      </c>
      <c r="E87" s="104"/>
      <c r="G87" s="1"/>
      <c r="H87" s="90" t="s">
        <v>587</v>
      </c>
    </row>
    <row r="88" spans="1:14" s="2" customFormat="1" x14ac:dyDescent="0.2">
      <c r="A88" s="24"/>
      <c r="B88" s="1"/>
      <c r="C88" s="108" t="s">
        <v>578</v>
      </c>
      <c r="D88" s="48">
        <f>SUM(D85:D87)</f>
        <v>2591.4592292000002</v>
      </c>
      <c r="E88" s="104"/>
      <c r="G88" s="1"/>
    </row>
    <row r="89" spans="1:14" s="2" customFormat="1" x14ac:dyDescent="0.2">
      <c r="A89" s="24"/>
      <c r="B89" s="1"/>
      <c r="C89" s="47"/>
      <c r="D89" s="107"/>
      <c r="E89" s="104"/>
      <c r="G89" s="1"/>
    </row>
    <row r="90" spans="1:14" s="2" customFormat="1" x14ac:dyDescent="0.2">
      <c r="A90" s="24"/>
      <c r="B90" s="1"/>
      <c r="C90" s="47" t="s">
        <v>932</v>
      </c>
      <c r="D90" s="111">
        <v>121.7</v>
      </c>
      <c r="E90" s="104"/>
      <c r="G90" s="1"/>
      <c r="H90" s="110" t="s">
        <v>581</v>
      </c>
    </row>
    <row r="91" spans="1:14" s="2" customFormat="1" x14ac:dyDescent="0.2">
      <c r="A91" s="24"/>
      <c r="B91" s="1"/>
      <c r="C91" s="136" t="s">
        <v>1142</v>
      </c>
      <c r="D91" s="111">
        <f>235.57-46.39</f>
        <v>189.18</v>
      </c>
      <c r="E91" s="104"/>
      <c r="G91" s="1"/>
      <c r="H91" s="110" t="s">
        <v>581</v>
      </c>
      <c r="J91" s="114" t="s">
        <v>713</v>
      </c>
    </row>
    <row r="92" spans="1:14" s="2" customFormat="1" x14ac:dyDescent="0.2">
      <c r="A92" s="24"/>
      <c r="B92" s="1"/>
      <c r="C92" s="78" t="s">
        <v>579</v>
      </c>
      <c r="D92" s="109">
        <f>D90+D91</f>
        <v>310.88</v>
      </c>
      <c r="E92" s="104"/>
      <c r="G92" s="1"/>
      <c r="I92" s="113"/>
      <c r="J92" s="113" t="s">
        <v>709</v>
      </c>
      <c r="K92" s="113" t="s">
        <v>710</v>
      </c>
      <c r="L92" s="113" t="s">
        <v>711</v>
      </c>
      <c r="M92" s="113" t="s">
        <v>712</v>
      </c>
    </row>
    <row r="93" spans="1:14" s="2" customFormat="1" x14ac:dyDescent="0.2">
      <c r="A93" s="24"/>
      <c r="B93" s="1"/>
      <c r="C93" s="105"/>
      <c r="D93" s="106"/>
      <c r="E93" s="104"/>
      <c r="G93" s="1"/>
      <c r="I93" s="113" t="s">
        <v>706</v>
      </c>
      <c r="J93" s="115"/>
      <c r="K93" s="115">
        <v>968.99</v>
      </c>
      <c r="L93" s="115">
        <v>968.99</v>
      </c>
      <c r="M93" s="113">
        <f>+J93+L93-K93</f>
        <v>0</v>
      </c>
    </row>
    <row r="94" spans="1:14" s="2" customFormat="1" x14ac:dyDescent="0.2">
      <c r="A94" s="24"/>
      <c r="B94" s="1"/>
      <c r="C94" s="78" t="s">
        <v>577</v>
      </c>
      <c r="D94" s="109">
        <f>D85+D92</f>
        <v>2358.52</v>
      </c>
      <c r="E94" s="104"/>
      <c r="G94" s="1"/>
      <c r="I94" s="113" t="s">
        <v>707</v>
      </c>
      <c r="J94" s="115">
        <v>183.1</v>
      </c>
      <c r="K94" s="115">
        <v>2610.83</v>
      </c>
      <c r="L94" s="115">
        <v>3358.8</v>
      </c>
      <c r="M94" s="113">
        <f>+J94+L94-K94</f>
        <v>931.07000000000016</v>
      </c>
    </row>
    <row r="95" spans="1:14" s="2" customFormat="1" x14ac:dyDescent="0.2">
      <c r="A95" s="24"/>
      <c r="B95" s="1"/>
      <c r="C95" s="56"/>
      <c r="D95" s="56"/>
      <c r="E95" s="104"/>
      <c r="G95" s="1"/>
      <c r="I95" s="113" t="s">
        <v>708</v>
      </c>
      <c r="J95" s="115">
        <v>1371.02</v>
      </c>
      <c r="K95" s="115">
        <v>12782</v>
      </c>
      <c r="L95" s="115">
        <v>12640.02</v>
      </c>
      <c r="M95" s="113">
        <f>+J95+L95-K95</f>
        <v>1229.0400000000009</v>
      </c>
    </row>
    <row r="96" spans="1:14" s="2" customFormat="1" ht="38.25" x14ac:dyDescent="0.2">
      <c r="A96" s="24"/>
      <c r="B96" s="1"/>
      <c r="C96" s="79" t="str">
        <f>"Particulars ( 01-04-2021 to "&amp;TEXT(A5,"dd-mm-yyyy")&amp;" )"</f>
        <v>Particulars ( 01-04-2021 to 14-07-2023 )</v>
      </c>
      <c r="D96" s="80" t="s">
        <v>73</v>
      </c>
      <c r="E96" s="80" t="s">
        <v>74</v>
      </c>
      <c r="F96" s="81" t="s">
        <v>75</v>
      </c>
      <c r="G96" s="80" t="s">
        <v>76</v>
      </c>
      <c r="J96" s="118">
        <f>SUM(J93:J95)</f>
        <v>1554.12</v>
      </c>
      <c r="K96" s="118">
        <f>SUM(K93:K95)</f>
        <v>16361.82</v>
      </c>
      <c r="L96" s="118">
        <f>SUM(L93:L95)</f>
        <v>16967.810000000001</v>
      </c>
      <c r="M96" s="118">
        <f>SUM(M93:M95)</f>
        <v>2160.110000000001</v>
      </c>
    </row>
    <row r="97" spans="1:13" s="2" customFormat="1" x14ac:dyDescent="0.2">
      <c r="A97" s="24"/>
      <c r="B97" s="1"/>
      <c r="C97" s="50" t="s">
        <v>444</v>
      </c>
      <c r="D97" s="55">
        <f>+L93+L94+J94</f>
        <v>4510.8900000000003</v>
      </c>
      <c r="E97" s="55">
        <f>+K93+K94</f>
        <v>3579.8199999999997</v>
      </c>
      <c r="F97" s="55">
        <f>+D97-E97</f>
        <v>931.07000000000062</v>
      </c>
      <c r="G97" s="55">
        <f>1500-F97</f>
        <v>568.92999999999938</v>
      </c>
      <c r="H97" s="2" t="s">
        <v>396</v>
      </c>
    </row>
    <row r="98" spans="1:13" s="2" customFormat="1" x14ac:dyDescent="0.2">
      <c r="A98" s="24"/>
      <c r="B98" s="1"/>
      <c r="C98" s="50" t="s">
        <v>71</v>
      </c>
      <c r="D98" s="55">
        <f>+J95+L95</f>
        <v>14011.04</v>
      </c>
      <c r="E98" s="55">
        <f>+K95</f>
        <v>12782</v>
      </c>
      <c r="F98" s="55">
        <f>+D98-E98</f>
        <v>1229.0400000000009</v>
      </c>
      <c r="G98" s="55">
        <f>1500+700-F98</f>
        <v>970.95999999999913</v>
      </c>
      <c r="H98" s="2" t="s">
        <v>396</v>
      </c>
    </row>
    <row r="99" spans="1:13" s="2" customFormat="1" x14ac:dyDescent="0.2">
      <c r="A99" s="24"/>
      <c r="B99" s="1"/>
      <c r="C99" s="14"/>
      <c r="D99" s="56"/>
      <c r="E99" s="13"/>
      <c r="G99" s="1"/>
    </row>
    <row r="100" spans="1:13" s="2" customFormat="1" x14ac:dyDescent="0.2">
      <c r="A100" s="215" t="s">
        <v>80</v>
      </c>
      <c r="B100" s="216"/>
      <c r="C100" s="216"/>
      <c r="D100" s="217"/>
      <c r="E100" s="69"/>
      <c r="F100" s="70"/>
      <c r="G100" s="1"/>
      <c r="H100" s="53"/>
    </row>
    <row r="101" spans="1:13" s="2" customFormat="1" x14ac:dyDescent="0.2">
      <c r="A101" s="71" t="s">
        <v>81</v>
      </c>
      <c r="B101" s="71"/>
      <c r="C101" s="72" t="s">
        <v>82</v>
      </c>
      <c r="D101" s="73" t="s">
        <v>83</v>
      </c>
      <c r="E101" s="69"/>
      <c r="F101" s="70"/>
      <c r="H101" s="53"/>
    </row>
    <row r="102" spans="1:13" s="2" customFormat="1" x14ac:dyDescent="0.2">
      <c r="A102" s="87">
        <v>45108</v>
      </c>
      <c r="B102" s="120" t="s">
        <v>1052</v>
      </c>
      <c r="C102" s="75" t="s">
        <v>84</v>
      </c>
      <c r="D102" s="88">
        <v>3000000</v>
      </c>
      <c r="G102" s="1"/>
      <c r="L102" s="1"/>
      <c r="M102" s="1"/>
    </row>
    <row r="103" spans="1:13" s="2" customFormat="1" x14ac:dyDescent="0.2">
      <c r="A103" s="87">
        <v>45108</v>
      </c>
      <c r="B103" s="120" t="s">
        <v>1052</v>
      </c>
      <c r="C103" s="75" t="s">
        <v>271</v>
      </c>
      <c r="D103" s="88">
        <v>2323148</v>
      </c>
      <c r="G103" s="1"/>
      <c r="L103" s="1"/>
      <c r="M103" s="1"/>
    </row>
    <row r="104" spans="1:13" s="2" customFormat="1" x14ac:dyDescent="0.2">
      <c r="A104" s="87">
        <v>45110</v>
      </c>
      <c r="B104" s="120" t="s">
        <v>1052</v>
      </c>
      <c r="C104" s="75" t="s">
        <v>85</v>
      </c>
      <c r="D104" s="88">
        <v>732575</v>
      </c>
      <c r="G104" s="1"/>
      <c r="L104" s="1"/>
      <c r="M104" s="1"/>
    </row>
    <row r="105" spans="1:13" s="2" customFormat="1" x14ac:dyDescent="0.2">
      <c r="A105" s="87">
        <v>45110</v>
      </c>
      <c r="B105" s="120" t="s">
        <v>1052</v>
      </c>
      <c r="C105" s="75" t="s">
        <v>86</v>
      </c>
      <c r="D105" s="88">
        <v>2676974</v>
      </c>
      <c r="G105" s="1"/>
      <c r="L105" s="1"/>
      <c r="M105" s="1"/>
    </row>
    <row r="106" spans="1:13" s="2" customFormat="1" x14ac:dyDescent="0.2">
      <c r="A106" s="87">
        <v>45110</v>
      </c>
      <c r="B106" s="120" t="s">
        <v>1052</v>
      </c>
      <c r="C106" s="75" t="s">
        <v>86</v>
      </c>
      <c r="D106" s="88">
        <v>1043475</v>
      </c>
      <c r="G106" s="1"/>
      <c r="L106" s="1"/>
      <c r="M106" s="1"/>
    </row>
    <row r="107" spans="1:13" s="2" customFormat="1" x14ac:dyDescent="0.2">
      <c r="A107" s="87">
        <v>45111</v>
      </c>
      <c r="B107" s="120" t="s">
        <v>1052</v>
      </c>
      <c r="C107" s="75" t="s">
        <v>270</v>
      </c>
      <c r="D107" s="88">
        <v>106093</v>
      </c>
      <c r="G107" s="1"/>
      <c r="L107" s="1"/>
      <c r="M107" s="1"/>
    </row>
    <row r="108" spans="1:13" s="2" customFormat="1" x14ac:dyDescent="0.2">
      <c r="A108" s="87">
        <v>45111</v>
      </c>
      <c r="B108" s="120" t="s">
        <v>1052</v>
      </c>
      <c r="C108" s="75" t="s">
        <v>270</v>
      </c>
      <c r="D108" s="88">
        <v>102393</v>
      </c>
      <c r="G108" s="1"/>
      <c r="L108" s="1"/>
      <c r="M108" s="1"/>
    </row>
    <row r="109" spans="1:13" s="2" customFormat="1" x14ac:dyDescent="0.2">
      <c r="A109" s="87">
        <v>45111</v>
      </c>
      <c r="B109" s="120" t="s">
        <v>1052</v>
      </c>
      <c r="C109" s="75" t="s">
        <v>270</v>
      </c>
      <c r="D109" s="88">
        <v>716336</v>
      </c>
      <c r="G109" s="1"/>
      <c r="L109" s="1"/>
      <c r="M109" s="1"/>
    </row>
    <row r="110" spans="1:13" s="2" customFormat="1" x14ac:dyDescent="0.2">
      <c r="A110" s="87">
        <v>45111</v>
      </c>
      <c r="B110" s="120" t="s">
        <v>1052</v>
      </c>
      <c r="C110" s="75" t="s">
        <v>270</v>
      </c>
      <c r="D110" s="88">
        <v>2504631</v>
      </c>
      <c r="G110" s="1"/>
      <c r="L110" s="1"/>
      <c r="M110" s="1"/>
    </row>
    <row r="111" spans="1:13" s="2" customFormat="1" x14ac:dyDescent="0.2">
      <c r="A111" s="87">
        <v>45111</v>
      </c>
      <c r="B111" s="120" t="s">
        <v>1052</v>
      </c>
      <c r="C111" s="75" t="s">
        <v>270</v>
      </c>
      <c r="D111" s="88">
        <v>141433.92000000001</v>
      </c>
      <c r="G111" s="1"/>
      <c r="L111" s="1"/>
      <c r="M111" s="1"/>
    </row>
    <row r="112" spans="1:13" s="2" customFormat="1" x14ac:dyDescent="0.2">
      <c r="A112" s="87">
        <v>45111</v>
      </c>
      <c r="B112" s="120" t="s">
        <v>1052</v>
      </c>
      <c r="C112" s="75" t="s">
        <v>271</v>
      </c>
      <c r="D112" s="88">
        <v>485258</v>
      </c>
      <c r="G112" s="1"/>
      <c r="L112" s="1"/>
      <c r="M112" s="1"/>
    </row>
    <row r="113" spans="1:13" s="2" customFormat="1" x14ac:dyDescent="0.2">
      <c r="A113" s="87">
        <v>45112</v>
      </c>
      <c r="B113" s="120" t="s">
        <v>1052</v>
      </c>
      <c r="C113" s="75" t="s">
        <v>85</v>
      </c>
      <c r="D113" s="88">
        <v>216478</v>
      </c>
      <c r="G113" s="1"/>
      <c r="L113" s="1"/>
      <c r="M113" s="1"/>
    </row>
    <row r="114" spans="1:13" s="2" customFormat="1" x14ac:dyDescent="0.2">
      <c r="A114" s="87">
        <v>45114</v>
      </c>
      <c r="B114" s="120" t="s">
        <v>1052</v>
      </c>
      <c r="C114" s="75" t="s">
        <v>270</v>
      </c>
      <c r="D114" s="88">
        <v>886333</v>
      </c>
      <c r="G114" s="1"/>
      <c r="L114" s="1"/>
      <c r="M114" s="1"/>
    </row>
    <row r="115" spans="1:13" s="2" customFormat="1" x14ac:dyDescent="0.2">
      <c r="A115" s="87">
        <v>45114</v>
      </c>
      <c r="B115" s="120" t="s">
        <v>1052</v>
      </c>
      <c r="C115" s="75" t="s">
        <v>270</v>
      </c>
      <c r="D115" s="88">
        <v>3119806</v>
      </c>
      <c r="G115" s="1"/>
      <c r="L115" s="1"/>
      <c r="M115" s="1"/>
    </row>
    <row r="116" spans="1:13" s="2" customFormat="1" x14ac:dyDescent="0.2">
      <c r="A116" s="87">
        <v>45114</v>
      </c>
      <c r="B116" s="120" t="s">
        <v>1052</v>
      </c>
      <c r="C116" s="75" t="s">
        <v>271</v>
      </c>
      <c r="D116" s="88">
        <v>151160</v>
      </c>
      <c r="G116" s="1"/>
      <c r="L116" s="1"/>
      <c r="M116" s="1"/>
    </row>
    <row r="117" spans="1:13" s="2" customFormat="1" x14ac:dyDescent="0.2">
      <c r="A117" s="87">
        <v>45114</v>
      </c>
      <c r="B117" s="120" t="s">
        <v>1052</v>
      </c>
      <c r="C117" s="75" t="s">
        <v>271</v>
      </c>
      <c r="D117" s="88">
        <v>285195</v>
      </c>
      <c r="G117" s="1"/>
      <c r="L117" s="1"/>
      <c r="M117" s="1"/>
    </row>
    <row r="118" spans="1:13" s="2" customFormat="1" x14ac:dyDescent="0.2">
      <c r="A118" s="87">
        <v>45114</v>
      </c>
      <c r="B118" s="120" t="s">
        <v>1052</v>
      </c>
      <c r="C118" s="75" t="s">
        <v>201</v>
      </c>
      <c r="D118" s="88">
        <v>128135</v>
      </c>
      <c r="G118" s="1"/>
      <c r="L118" s="1"/>
      <c r="M118" s="1"/>
    </row>
    <row r="119" spans="1:13" s="2" customFormat="1" x14ac:dyDescent="0.2">
      <c r="A119" s="87">
        <v>45114</v>
      </c>
      <c r="B119" s="120" t="s">
        <v>1052</v>
      </c>
      <c r="C119" s="75" t="s">
        <v>323</v>
      </c>
      <c r="D119" s="88">
        <v>2313089</v>
      </c>
      <c r="G119" s="1"/>
      <c r="L119" s="1"/>
      <c r="M119" s="1"/>
    </row>
    <row r="120" spans="1:13" s="2" customFormat="1" x14ac:dyDescent="0.2">
      <c r="A120" s="87">
        <v>45115</v>
      </c>
      <c r="B120" s="120" t="s">
        <v>1052</v>
      </c>
      <c r="C120" s="75" t="s">
        <v>767</v>
      </c>
      <c r="D120" s="88">
        <v>411035</v>
      </c>
      <c r="G120" s="1"/>
      <c r="L120" s="1"/>
      <c r="M120" s="1"/>
    </row>
    <row r="121" spans="1:13" s="2" customFormat="1" x14ac:dyDescent="0.2">
      <c r="A121" s="87">
        <v>45118</v>
      </c>
      <c r="B121" s="120" t="s">
        <v>1052</v>
      </c>
      <c r="C121" s="75" t="s">
        <v>270</v>
      </c>
      <c r="D121" s="88">
        <v>34696</v>
      </c>
      <c r="G121" s="1"/>
      <c r="L121" s="1"/>
      <c r="M121" s="1"/>
    </row>
    <row r="122" spans="1:13" s="2" customFormat="1" x14ac:dyDescent="0.2">
      <c r="A122" s="87">
        <v>45118</v>
      </c>
      <c r="B122" s="120" t="s">
        <v>1052</v>
      </c>
      <c r="C122" s="75" t="s">
        <v>270</v>
      </c>
      <c r="D122" s="88">
        <v>1128922</v>
      </c>
      <c r="G122" s="1"/>
      <c r="L122" s="1"/>
      <c r="M122" s="1"/>
    </row>
    <row r="123" spans="1:13" s="2" customFormat="1" x14ac:dyDescent="0.2">
      <c r="A123" s="87">
        <v>45118</v>
      </c>
      <c r="B123" s="120" t="s">
        <v>1052</v>
      </c>
      <c r="C123" s="75" t="s">
        <v>270</v>
      </c>
      <c r="D123" s="88">
        <v>2865343</v>
      </c>
      <c r="G123" s="1"/>
      <c r="L123" s="1"/>
      <c r="M123" s="1"/>
    </row>
    <row r="124" spans="1:13" s="2" customFormat="1" x14ac:dyDescent="0.2">
      <c r="A124" s="87">
        <v>45118</v>
      </c>
      <c r="B124" s="120" t="s">
        <v>1052</v>
      </c>
      <c r="C124" s="75" t="s">
        <v>270</v>
      </c>
      <c r="D124" s="88">
        <v>1090852</v>
      </c>
      <c r="G124" s="1"/>
      <c r="L124" s="1"/>
      <c r="M124" s="1"/>
    </row>
    <row r="125" spans="1:13" s="2" customFormat="1" x14ac:dyDescent="0.2">
      <c r="A125" s="87">
        <v>45118</v>
      </c>
      <c r="B125" s="120" t="s">
        <v>1052</v>
      </c>
      <c r="C125" s="75" t="s">
        <v>270</v>
      </c>
      <c r="D125" s="88">
        <v>359348</v>
      </c>
      <c r="G125" s="1"/>
      <c r="L125" s="1"/>
      <c r="M125" s="1"/>
    </row>
    <row r="126" spans="1:13" s="2" customFormat="1" x14ac:dyDescent="0.2">
      <c r="A126" s="87">
        <v>45118</v>
      </c>
      <c r="B126" s="120" t="s">
        <v>1052</v>
      </c>
      <c r="C126" s="75" t="s">
        <v>271</v>
      </c>
      <c r="D126" s="88">
        <v>323487</v>
      </c>
      <c r="G126" s="1"/>
      <c r="L126" s="1"/>
      <c r="M126" s="1"/>
    </row>
    <row r="127" spans="1:13" s="2" customFormat="1" x14ac:dyDescent="0.2">
      <c r="A127" s="87">
        <v>45118</v>
      </c>
      <c r="B127" s="120" t="s">
        <v>1052</v>
      </c>
      <c r="C127" s="75" t="s">
        <v>271</v>
      </c>
      <c r="D127" s="88">
        <v>44394</v>
      </c>
      <c r="G127" s="1"/>
      <c r="L127" s="1"/>
      <c r="M127" s="1"/>
    </row>
    <row r="128" spans="1:13" s="2" customFormat="1" x14ac:dyDescent="0.2">
      <c r="A128" s="87">
        <v>45118</v>
      </c>
      <c r="B128" s="120" t="s">
        <v>1052</v>
      </c>
      <c r="C128" s="75" t="s">
        <v>271</v>
      </c>
      <c r="D128" s="88">
        <v>2035052</v>
      </c>
      <c r="G128" s="1"/>
      <c r="L128" s="1"/>
      <c r="M128" s="1"/>
    </row>
    <row r="129" spans="1:13" s="2" customFormat="1" x14ac:dyDescent="0.2">
      <c r="A129" s="87">
        <v>45119</v>
      </c>
      <c r="B129" s="120" t="s">
        <v>1052</v>
      </c>
      <c r="C129" s="75" t="s">
        <v>85</v>
      </c>
      <c r="D129" s="88">
        <v>569516</v>
      </c>
      <c r="G129" s="1"/>
      <c r="L129" s="1"/>
      <c r="M129" s="1"/>
    </row>
    <row r="130" spans="1:13" s="2" customFormat="1" x14ac:dyDescent="0.2">
      <c r="A130" s="87">
        <v>45119</v>
      </c>
      <c r="B130" s="120" t="s">
        <v>1052</v>
      </c>
      <c r="C130" s="75" t="s">
        <v>271</v>
      </c>
      <c r="D130" s="88">
        <v>3074492</v>
      </c>
      <c r="G130" s="1"/>
      <c r="L130" s="1"/>
      <c r="M130" s="1"/>
    </row>
    <row r="131" spans="1:13" s="2" customFormat="1" x14ac:dyDescent="0.2">
      <c r="A131" s="87">
        <v>45119</v>
      </c>
      <c r="B131" s="120" t="s">
        <v>1052</v>
      </c>
      <c r="C131" s="75" t="s">
        <v>270</v>
      </c>
      <c r="D131" s="88">
        <v>1556273</v>
      </c>
      <c r="G131" s="1"/>
      <c r="L131" s="1"/>
      <c r="M131" s="1"/>
    </row>
    <row r="132" spans="1:13" s="2" customFormat="1" x14ac:dyDescent="0.2">
      <c r="A132" s="87">
        <v>45119</v>
      </c>
      <c r="B132" s="120" t="s">
        <v>1052</v>
      </c>
      <c r="C132" s="75" t="s">
        <v>84</v>
      </c>
      <c r="D132" s="88">
        <v>2500000</v>
      </c>
      <c r="G132" s="1"/>
      <c r="L132" s="1"/>
      <c r="M132" s="1"/>
    </row>
    <row r="133" spans="1:13" s="2" customFormat="1" x14ac:dyDescent="0.2">
      <c r="A133" s="87">
        <v>45121</v>
      </c>
      <c r="B133" s="120" t="s">
        <v>1052</v>
      </c>
      <c r="C133" s="75" t="s">
        <v>1084</v>
      </c>
      <c r="D133" s="88">
        <v>5000000</v>
      </c>
      <c r="G133" s="1"/>
      <c r="L133" s="1"/>
      <c r="M133" s="1"/>
    </row>
    <row r="134" spans="1:13" s="2" customFormat="1" x14ac:dyDescent="0.2">
      <c r="A134" s="87"/>
      <c r="B134" s="74"/>
      <c r="C134" s="75"/>
      <c r="D134" s="51">
        <f>SUM(D102:D133)</f>
        <v>41925922.920000002</v>
      </c>
      <c r="F134" s="2" t="s">
        <v>396</v>
      </c>
      <c r="G134" s="1"/>
      <c r="L134" s="1"/>
      <c r="M134" s="1"/>
    </row>
    <row r="135" spans="1:13" s="2" customFormat="1" x14ac:dyDescent="0.2">
      <c r="A135" s="24"/>
      <c r="B135" s="1"/>
      <c r="C135" s="14"/>
      <c r="D135" s="56"/>
      <c r="E135" s="13"/>
      <c r="G135" s="1"/>
      <c r="L135" s="1"/>
      <c r="M135" s="1"/>
    </row>
    <row r="136" spans="1:13" s="2" customFormat="1" x14ac:dyDescent="0.2">
      <c r="A136" s="24"/>
      <c r="B136" s="1"/>
      <c r="C136" s="218" t="s">
        <v>77</v>
      </c>
      <c r="D136" s="219"/>
      <c r="E136" s="219"/>
      <c r="F136" s="220"/>
      <c r="G136" s="1"/>
      <c r="L136" s="1"/>
      <c r="M136" s="1"/>
    </row>
    <row r="137" spans="1:13" s="2" customFormat="1" x14ac:dyDescent="0.2">
      <c r="A137" s="24"/>
      <c r="B137" s="1"/>
      <c r="C137" s="50"/>
      <c r="D137" s="57" t="s">
        <v>78</v>
      </c>
      <c r="E137" s="58" t="s">
        <v>79</v>
      </c>
      <c r="F137" s="57" t="s">
        <v>72</v>
      </c>
      <c r="G137" s="1"/>
      <c r="I137" s="1"/>
      <c r="J137" s="1"/>
      <c r="K137" s="1"/>
      <c r="L137" s="1"/>
      <c r="M137" s="1"/>
    </row>
    <row r="138" spans="1:13" s="2" customFormat="1" x14ac:dyDescent="0.2">
      <c r="A138" s="24"/>
      <c r="B138" s="1"/>
      <c r="C138" s="59" t="str">
        <f>"01-07-2023 to "&amp;TEXT(A5-2,"dd-mm-yyyy")</f>
        <v>01-07-2023 to 12-07-2023</v>
      </c>
      <c r="D138" s="60">
        <v>2413.69</v>
      </c>
      <c r="E138" s="60">
        <v>95.46</v>
      </c>
      <c r="F138" s="61">
        <f>SUM(D138:E138)</f>
        <v>2509.15</v>
      </c>
      <c r="G138" s="1"/>
    </row>
    <row r="139" spans="1:13" s="2" customFormat="1" x14ac:dyDescent="0.2">
      <c r="A139" s="24"/>
      <c r="B139" s="1"/>
      <c r="C139" s="62" t="str">
        <f>TEXT(A5-1,"dd-mm-yyyy")</f>
        <v>13-07-2023</v>
      </c>
      <c r="D139" s="60">
        <v>214.25</v>
      </c>
      <c r="E139" s="60">
        <v>22.83</v>
      </c>
      <c r="F139" s="61">
        <f>SUM(D139:E139)</f>
        <v>237.07999999999998</v>
      </c>
      <c r="G139" s="54"/>
      <c r="I139" s="1"/>
      <c r="J139" s="1"/>
      <c r="K139" s="1"/>
      <c r="L139" s="1"/>
      <c r="M139" s="1"/>
    </row>
    <row r="140" spans="1:13" s="2" customFormat="1" ht="13.5" thickBot="1" x14ac:dyDescent="0.25">
      <c r="A140" s="24"/>
      <c r="B140" s="1"/>
      <c r="C140" s="63" t="str">
        <f>"01-07-2023 to "&amp;TEXT(A5-1,"dd-mm-yyyy")</f>
        <v>01-07-2023 to 13-07-2023</v>
      </c>
      <c r="D140" s="64">
        <f>SUM(D138:D139)</f>
        <v>2627.94</v>
      </c>
      <c r="E140" s="64">
        <f>SUM(E138:E139)</f>
        <v>118.28999999999999</v>
      </c>
      <c r="F140" s="64">
        <f>SUM(F138:F139)</f>
        <v>2746.23</v>
      </c>
      <c r="G140" s="54"/>
      <c r="I140" s="1"/>
      <c r="J140" s="1"/>
      <c r="K140" s="1"/>
      <c r="L140" s="1"/>
      <c r="M140" s="1"/>
    </row>
    <row r="141" spans="1:13" s="2" customFormat="1" ht="13.5" thickTop="1" x14ac:dyDescent="0.2">
      <c r="A141" s="24"/>
      <c r="B141" s="1"/>
      <c r="C141" s="62"/>
      <c r="D141" s="65"/>
      <c r="E141" s="66"/>
      <c r="F141" s="67"/>
      <c r="G141" s="54"/>
      <c r="I141" s="1"/>
      <c r="J141" s="1"/>
      <c r="K141" s="1"/>
      <c r="L141" s="1"/>
      <c r="M141" s="1"/>
    </row>
    <row r="142" spans="1:13" s="2" customFormat="1" x14ac:dyDescent="0.2">
      <c r="A142" s="24"/>
      <c r="B142" s="1"/>
      <c r="C142" s="62" t="str">
        <f>"01-04-2023 to " &amp;C139</f>
        <v>01-04-2023 to 13-07-2023</v>
      </c>
      <c r="D142" s="68">
        <f>+D140+15505.53</f>
        <v>18133.47</v>
      </c>
      <c r="E142" s="68">
        <f>+E140+1109.72</f>
        <v>1228.01</v>
      </c>
      <c r="F142" s="68">
        <f>+F140+16615.25</f>
        <v>19361.48</v>
      </c>
      <c r="G142" s="54"/>
      <c r="I142" s="1"/>
      <c r="J142" s="1"/>
      <c r="K142" s="1"/>
      <c r="L142" s="1"/>
      <c r="M142" s="1"/>
    </row>
    <row r="143" spans="1:13" x14ac:dyDescent="0.2">
      <c r="C143" s="52"/>
      <c r="D143" s="85"/>
      <c r="E143" s="53"/>
      <c r="F143" s="53"/>
      <c r="G143" s="54"/>
      <c r="H143" s="2" t="s">
        <v>396</v>
      </c>
    </row>
    <row r="144" spans="1:13" s="2" customFormat="1" x14ac:dyDescent="0.2">
      <c r="A144" s="24"/>
      <c r="B144" s="1"/>
      <c r="C144" s="52"/>
      <c r="D144" s="85"/>
      <c r="E144" s="53"/>
      <c r="F144" s="53"/>
      <c r="G144" s="54"/>
      <c r="H144" s="53"/>
    </row>
    <row r="145" spans="3:10" x14ac:dyDescent="0.2">
      <c r="C145" s="52"/>
      <c r="D145" s="85"/>
      <c r="E145" s="53"/>
      <c r="F145" s="53"/>
      <c r="G145" s="54"/>
      <c r="H145" s="53" t="s">
        <v>396</v>
      </c>
    </row>
    <row r="146" spans="3:10" x14ac:dyDescent="0.2">
      <c r="C146" s="52"/>
      <c r="D146" s="85"/>
      <c r="E146" s="53"/>
      <c r="F146" s="53"/>
      <c r="G146" s="54"/>
      <c r="H146" s="53" t="s">
        <v>396</v>
      </c>
      <c r="J146" s="42"/>
    </row>
    <row r="147" spans="3:10" x14ac:dyDescent="0.2">
      <c r="G147" s="54"/>
      <c r="H147" s="53"/>
      <c r="I147" s="101"/>
    </row>
    <row r="148" spans="3:10" x14ac:dyDescent="0.2">
      <c r="G148" s="54"/>
      <c r="H148" s="53"/>
    </row>
    <row r="149" spans="3:10" x14ac:dyDescent="0.2">
      <c r="G149" s="54"/>
      <c r="H149" s="53"/>
    </row>
    <row r="150" spans="3:10" x14ac:dyDescent="0.2">
      <c r="H150" s="53"/>
    </row>
  </sheetData>
  <mergeCells count="6">
    <mergeCell ref="C136:F136"/>
    <mergeCell ref="A1:G1"/>
    <mergeCell ref="A3:F3"/>
    <mergeCell ref="A9:F9"/>
    <mergeCell ref="A27:F27"/>
    <mergeCell ref="A100:D100"/>
  </mergeCells>
  <conditionalFormatting sqref="G97:G98">
    <cfRule type="cellIs" dxfId="415" priority="1" operator="lessThan">
      <formula>0</formula>
    </cfRule>
  </conditionalFormatting>
  <conditionalFormatting sqref="C29">
    <cfRule type="duplicateValues" dxfId="414" priority="2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0-000000000000}">
  <sheetPr codeName="Sheet379">
    <pageSetUpPr fitToPage="1"/>
  </sheetPr>
  <dimension ref="A1:N128"/>
  <sheetViews>
    <sheetView topLeftCell="A16" zoomScaleNormal="100" workbookViewId="0">
      <selection activeCell="E36" sqref="E36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1208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45122</v>
      </c>
      <c r="B5" s="9" t="s">
        <v>6</v>
      </c>
      <c r="C5" s="10" t="s">
        <v>7</v>
      </c>
      <c r="D5" s="11"/>
      <c r="E5" s="12">
        <v>372249.70000000019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372249.70000000019</v>
      </c>
      <c r="F6" s="16">
        <f>F5</f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+E6-F6</f>
        <v>372249.70000000019</v>
      </c>
      <c r="F7" s="22"/>
      <c r="G7" s="23"/>
      <c r="H7" s="112"/>
      <c r="I7" s="112"/>
      <c r="J7" s="13"/>
    </row>
    <row r="8" spans="1:10" ht="12.75" customHeight="1" x14ac:dyDescent="0.4">
      <c r="H8" s="112"/>
      <c r="I8" s="112"/>
    </row>
    <row r="9" spans="1:10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12"/>
    </row>
    <row r="10" spans="1:10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12"/>
    </row>
    <row r="11" spans="1:10" s="2" customFormat="1" ht="14.25" customHeight="1" x14ac:dyDescent="0.2">
      <c r="A11" s="127">
        <v>45122</v>
      </c>
      <c r="B11" s="9" t="s">
        <v>6</v>
      </c>
      <c r="C11" s="10" t="s">
        <v>7</v>
      </c>
      <c r="D11" s="11"/>
      <c r="F11" s="12">
        <v>28091800.600000005</v>
      </c>
      <c r="G11" s="1"/>
      <c r="H11" s="130" t="s">
        <v>396</v>
      </c>
      <c r="I11" s="130"/>
    </row>
    <row r="12" spans="1:10" s="2" customFormat="1" ht="14.25" customHeight="1" x14ac:dyDescent="0.2">
      <c r="A12" s="128">
        <v>45122</v>
      </c>
      <c r="B12" s="9" t="s">
        <v>11</v>
      </c>
      <c r="C12" s="140" t="s">
        <v>405</v>
      </c>
      <c r="D12" s="125" t="s">
        <v>258</v>
      </c>
      <c r="E12" s="22"/>
      <c r="F12" s="22">
        <v>660367</v>
      </c>
      <c r="G12" s="1"/>
      <c r="H12" s="141"/>
      <c r="I12" s="141"/>
    </row>
    <row r="13" spans="1:10" s="2" customFormat="1" ht="14.25" customHeight="1" x14ac:dyDescent="0.2">
      <c r="A13" s="127">
        <v>45122</v>
      </c>
      <c r="B13" s="9" t="s">
        <v>11</v>
      </c>
      <c r="C13" s="76" t="s">
        <v>1091</v>
      </c>
      <c r="D13" s="125" t="s">
        <v>29</v>
      </c>
      <c r="E13" s="31"/>
      <c r="F13" s="31">
        <v>118</v>
      </c>
      <c r="G13" s="1"/>
      <c r="H13" s="130"/>
      <c r="I13" s="130"/>
    </row>
    <row r="14" spans="1:10" s="2" customFormat="1" ht="14.25" customHeight="1" x14ac:dyDescent="0.2">
      <c r="A14" s="127">
        <v>45122</v>
      </c>
      <c r="B14" s="9" t="s">
        <v>11</v>
      </c>
      <c r="C14" s="76" t="s">
        <v>494</v>
      </c>
      <c r="D14" s="125" t="s">
        <v>29</v>
      </c>
      <c r="E14" s="31"/>
      <c r="F14" s="31">
        <v>37507</v>
      </c>
      <c r="G14" s="1"/>
      <c r="H14" s="130"/>
      <c r="I14" s="130"/>
    </row>
    <row r="15" spans="1:10" s="2" customFormat="1" ht="14.25" customHeight="1" x14ac:dyDescent="0.2">
      <c r="A15" s="127">
        <v>45122</v>
      </c>
      <c r="B15" s="9" t="s">
        <v>11</v>
      </c>
      <c r="C15" s="76" t="s">
        <v>1209</v>
      </c>
      <c r="D15" s="125" t="s">
        <v>29</v>
      </c>
      <c r="E15" s="31"/>
      <c r="F15" s="31">
        <v>46800</v>
      </c>
      <c r="G15" s="1"/>
      <c r="H15" s="130"/>
      <c r="I15" s="130"/>
    </row>
    <row r="16" spans="1:10" s="2" customFormat="1" ht="14.25" customHeight="1" x14ac:dyDescent="0.2">
      <c r="A16" s="127">
        <v>45122</v>
      </c>
      <c r="B16" s="9" t="s">
        <v>11</v>
      </c>
      <c r="C16" s="76" t="s">
        <v>550</v>
      </c>
      <c r="D16" s="125" t="s">
        <v>29</v>
      </c>
      <c r="E16" s="31"/>
      <c r="F16" s="31">
        <v>4058</v>
      </c>
      <c r="G16" s="1"/>
      <c r="H16" s="130"/>
      <c r="I16" s="130"/>
    </row>
    <row r="17" spans="1:10" s="2" customFormat="1" ht="14.25" customHeight="1" x14ac:dyDescent="0.2">
      <c r="A17" s="127">
        <v>45122</v>
      </c>
      <c r="B17" s="9" t="s">
        <v>11</v>
      </c>
      <c r="C17" s="76" t="s">
        <v>1124</v>
      </c>
      <c r="D17" s="125" t="s">
        <v>29</v>
      </c>
      <c r="E17" s="31"/>
      <c r="F17" s="31">
        <v>4506</v>
      </c>
      <c r="G17" s="1"/>
      <c r="H17" s="130"/>
      <c r="I17" s="130"/>
    </row>
    <row r="18" spans="1:10" s="2" customFormat="1" ht="14.25" customHeight="1" x14ac:dyDescent="0.2">
      <c r="A18" s="127">
        <v>45122</v>
      </c>
      <c r="B18" s="9" t="s">
        <v>11</v>
      </c>
      <c r="C18" s="76" t="s">
        <v>259</v>
      </c>
      <c r="D18" s="125" t="s">
        <v>29</v>
      </c>
      <c r="E18" s="31"/>
      <c r="F18" s="31">
        <v>2609.7199999999998</v>
      </c>
      <c r="G18" s="1"/>
      <c r="H18" s="130"/>
      <c r="I18" s="130"/>
    </row>
    <row r="19" spans="1:10" s="2" customFormat="1" ht="14.25" customHeight="1" x14ac:dyDescent="0.2">
      <c r="A19" s="127">
        <v>45122</v>
      </c>
      <c r="B19" s="9" t="s">
        <v>11</v>
      </c>
      <c r="C19" s="76" t="s">
        <v>1210</v>
      </c>
      <c r="D19" s="125" t="s">
        <v>29</v>
      </c>
      <c r="E19" s="31"/>
      <c r="F19" s="31">
        <v>43200</v>
      </c>
      <c r="G19" s="1"/>
      <c r="H19" s="130"/>
      <c r="I19" s="130"/>
    </row>
    <row r="20" spans="1:10" s="2" customFormat="1" ht="14.25" customHeight="1" x14ac:dyDescent="0.2">
      <c r="A20" s="127">
        <v>45122</v>
      </c>
      <c r="B20" s="9" t="s">
        <v>11</v>
      </c>
      <c r="C20" s="76" t="s">
        <v>1211</v>
      </c>
      <c r="D20" s="125" t="s">
        <v>29</v>
      </c>
      <c r="E20" s="31"/>
      <c r="F20" s="31">
        <v>122555</v>
      </c>
      <c r="G20" s="1"/>
      <c r="H20" s="130"/>
      <c r="I20" s="130"/>
    </row>
    <row r="21" spans="1:10" s="2" customFormat="1" ht="14.25" customHeight="1" x14ac:dyDescent="0.2">
      <c r="A21" s="127">
        <v>45122</v>
      </c>
      <c r="B21" s="9" t="s">
        <v>11</v>
      </c>
      <c r="C21" s="76" t="s">
        <v>63</v>
      </c>
      <c r="D21" s="125" t="s">
        <v>29</v>
      </c>
      <c r="E21" s="31"/>
      <c r="F21" s="31">
        <v>400000</v>
      </c>
      <c r="G21" s="1"/>
      <c r="H21" s="130"/>
      <c r="I21" s="130"/>
    </row>
    <row r="22" spans="1:10" s="2" customFormat="1" ht="12.75" customHeight="1" x14ac:dyDescent="0.4">
      <c r="D22" s="15" t="s">
        <v>8</v>
      </c>
      <c r="E22" s="16">
        <f>SUM(E12:E21)</f>
        <v>0</v>
      </c>
      <c r="F22" s="16">
        <f>SUM(F11:F21)</f>
        <v>29413521.320000004</v>
      </c>
      <c r="G22" s="1"/>
      <c r="H22" s="112"/>
      <c r="I22" s="112"/>
    </row>
    <row r="23" spans="1:10" s="2" customFormat="1" ht="12.75" customHeight="1" x14ac:dyDescent="0.4">
      <c r="A23" s="17"/>
      <c r="B23" s="18"/>
      <c r="C23" s="96" t="s">
        <v>9</v>
      </c>
      <c r="D23" s="20"/>
      <c r="E23" s="21">
        <f>+F22-E22</f>
        <v>29413521.320000004</v>
      </c>
      <c r="G23" s="23"/>
      <c r="H23" s="112"/>
      <c r="I23" s="112"/>
      <c r="J23" s="13"/>
    </row>
    <row r="24" spans="1:10" s="2" customFormat="1" ht="12.75" customHeight="1" x14ac:dyDescent="0.4">
      <c r="A24" s="24"/>
      <c r="B24" s="1"/>
      <c r="C24" s="14"/>
      <c r="D24" s="25"/>
      <c r="G24" s="23"/>
      <c r="H24" s="112"/>
      <c r="I24" s="112"/>
      <c r="J24" s="13"/>
    </row>
    <row r="25" spans="1:10" s="2" customFormat="1" ht="21.75" customHeight="1" x14ac:dyDescent="0.4">
      <c r="A25" s="214" t="s">
        <v>10</v>
      </c>
      <c r="B25" s="214"/>
      <c r="C25" s="214"/>
      <c r="D25" s="214"/>
      <c r="E25" s="214"/>
      <c r="F25" s="214"/>
      <c r="G25" s="13"/>
      <c r="H25" s="112"/>
      <c r="I25" s="112"/>
      <c r="J25" s="13"/>
    </row>
    <row r="26" spans="1:10" s="2" customFormat="1" ht="12.75" customHeight="1" x14ac:dyDescent="0.4">
      <c r="A26" s="26" t="s">
        <v>1</v>
      </c>
      <c r="B26" s="27" t="s">
        <v>2</v>
      </c>
      <c r="C26" s="5"/>
      <c r="D26" s="6" t="s">
        <v>3</v>
      </c>
      <c r="E26" s="7" t="s">
        <v>4</v>
      </c>
      <c r="F26" s="7" t="s">
        <v>5</v>
      </c>
      <c r="G26" s="23"/>
      <c r="H26" s="112"/>
      <c r="I26" s="112"/>
      <c r="J26" s="13"/>
    </row>
    <row r="27" spans="1:10" s="2" customFormat="1" ht="12.75" customHeight="1" x14ac:dyDescent="0.2">
      <c r="A27" s="127">
        <v>45122</v>
      </c>
      <c r="B27" s="128" t="s">
        <v>11</v>
      </c>
      <c r="C27" s="29" t="s">
        <v>7</v>
      </c>
      <c r="D27" s="25"/>
      <c r="E27" s="31"/>
      <c r="F27" s="2">
        <v>272522229.11000001</v>
      </c>
      <c r="G27" s="30"/>
      <c r="I27" s="13"/>
      <c r="J27" s="13"/>
    </row>
    <row r="28" spans="1:10" s="70" customFormat="1" ht="12.75" customHeight="1" x14ac:dyDescent="0.2">
      <c r="A28" s="127">
        <v>45122</v>
      </c>
      <c r="B28" s="128" t="s">
        <v>6</v>
      </c>
      <c r="C28" s="76" t="s">
        <v>24</v>
      </c>
      <c r="D28" s="125" t="s">
        <v>13</v>
      </c>
      <c r="E28" s="31">
        <v>2832</v>
      </c>
      <c r="G28" s="30"/>
      <c r="I28" s="69"/>
      <c r="J28" s="69"/>
    </row>
    <row r="29" spans="1:10" s="70" customFormat="1" ht="12.75" customHeight="1" x14ac:dyDescent="0.2">
      <c r="A29" s="127">
        <v>45122</v>
      </c>
      <c r="B29" s="128" t="s">
        <v>6</v>
      </c>
      <c r="C29" s="76" t="s">
        <v>119</v>
      </c>
      <c r="D29" s="125" t="s">
        <v>13</v>
      </c>
      <c r="E29" s="31">
        <v>547567.12</v>
      </c>
      <c r="G29" s="30"/>
      <c r="I29" s="69"/>
      <c r="J29" s="69"/>
    </row>
    <row r="30" spans="1:10" s="70" customFormat="1" ht="12.75" customHeight="1" x14ac:dyDescent="0.2">
      <c r="A30" s="127">
        <v>45122</v>
      </c>
      <c r="B30" s="128" t="s">
        <v>6</v>
      </c>
      <c r="C30" s="76" t="s">
        <v>247</v>
      </c>
      <c r="D30" s="125" t="s">
        <v>13</v>
      </c>
      <c r="E30" s="31">
        <v>1960000</v>
      </c>
      <c r="G30" s="30"/>
      <c r="I30" s="69"/>
      <c r="J30" s="69"/>
    </row>
    <row r="31" spans="1:10" s="70" customFormat="1" ht="12.75" customHeight="1" x14ac:dyDescent="0.2">
      <c r="A31" s="127">
        <v>45122</v>
      </c>
      <c r="B31" s="128" t="s">
        <v>6</v>
      </c>
      <c r="C31" s="76" t="s">
        <v>646</v>
      </c>
      <c r="D31" s="125" t="s">
        <v>13</v>
      </c>
      <c r="E31" s="31">
        <v>2000000</v>
      </c>
      <c r="G31" s="30"/>
      <c r="I31" s="69"/>
      <c r="J31" s="69"/>
    </row>
    <row r="32" spans="1:10" s="70" customFormat="1" ht="12.75" customHeight="1" x14ac:dyDescent="0.2">
      <c r="A32" s="127">
        <v>45122</v>
      </c>
      <c r="B32" s="128" t="s">
        <v>6</v>
      </c>
      <c r="C32" s="76" t="s">
        <v>1212</v>
      </c>
      <c r="D32" s="125" t="s">
        <v>13</v>
      </c>
      <c r="E32" s="31">
        <v>8001</v>
      </c>
      <c r="G32" s="30"/>
      <c r="I32" s="69"/>
      <c r="J32" s="69"/>
    </row>
    <row r="33" spans="1:10" s="70" customFormat="1" ht="12.75" customHeight="1" x14ac:dyDescent="0.2">
      <c r="A33" s="127">
        <v>45122</v>
      </c>
      <c r="B33" s="128" t="s">
        <v>6</v>
      </c>
      <c r="C33" s="76" t="s">
        <v>1033</v>
      </c>
      <c r="D33" s="125" t="s">
        <v>13</v>
      </c>
      <c r="E33" s="31">
        <v>15186229</v>
      </c>
      <c r="G33" s="30"/>
      <c r="I33" s="69"/>
      <c r="J33" s="69"/>
    </row>
    <row r="34" spans="1:10" s="70" customFormat="1" ht="12.75" customHeight="1" x14ac:dyDescent="0.2">
      <c r="A34" s="127">
        <v>45122</v>
      </c>
      <c r="B34" s="128" t="s">
        <v>6</v>
      </c>
      <c r="C34" s="76" t="s">
        <v>249</v>
      </c>
      <c r="D34" s="125" t="s">
        <v>13</v>
      </c>
      <c r="E34" s="31">
        <v>1786224</v>
      </c>
      <c r="G34" s="30"/>
      <c r="I34" s="69"/>
      <c r="J34" s="69"/>
    </row>
    <row r="35" spans="1:10" s="70" customFormat="1" ht="12.75" customHeight="1" x14ac:dyDescent="0.2">
      <c r="A35" s="127">
        <v>45122</v>
      </c>
      <c r="B35" s="128" t="s">
        <v>6</v>
      </c>
      <c r="C35" s="76" t="s">
        <v>27</v>
      </c>
      <c r="D35" s="125" t="s">
        <v>13</v>
      </c>
      <c r="E35" s="31">
        <v>482537.5</v>
      </c>
      <c r="G35" s="30"/>
      <c r="I35" s="69"/>
      <c r="J35" s="69"/>
    </row>
    <row r="36" spans="1:10" s="70" customFormat="1" ht="12.75" customHeight="1" x14ac:dyDescent="0.2">
      <c r="A36" s="127">
        <v>45122</v>
      </c>
      <c r="B36" s="128" t="s">
        <v>6</v>
      </c>
      <c r="C36" s="76" t="s">
        <v>15</v>
      </c>
      <c r="D36" s="125" t="s">
        <v>13</v>
      </c>
      <c r="E36" s="31">
        <f>26153.58-2732.71</f>
        <v>23420.870000000003</v>
      </c>
      <c r="G36" s="30"/>
      <c r="I36" s="69"/>
      <c r="J36" s="69"/>
    </row>
    <row r="37" spans="1:10" s="70" customFormat="1" ht="12.75" customHeight="1" x14ac:dyDescent="0.2">
      <c r="A37" s="127">
        <v>45122</v>
      </c>
      <c r="B37" s="128" t="s">
        <v>11</v>
      </c>
      <c r="C37" s="76" t="s">
        <v>64</v>
      </c>
      <c r="D37" s="125" t="s">
        <v>29</v>
      </c>
      <c r="E37" s="31"/>
      <c r="F37" s="70">
        <v>4153.6000000000004</v>
      </c>
      <c r="G37" s="30"/>
      <c r="I37" s="69"/>
      <c r="J37" s="69"/>
    </row>
    <row r="38" spans="1:10" s="70" customFormat="1" ht="12.75" customHeight="1" x14ac:dyDescent="0.2">
      <c r="A38" s="127">
        <v>45122</v>
      </c>
      <c r="B38" s="128" t="s">
        <v>11</v>
      </c>
      <c r="C38" s="76" t="s">
        <v>140</v>
      </c>
      <c r="D38" s="125" t="s">
        <v>29</v>
      </c>
      <c r="E38" s="31"/>
      <c r="F38" s="70">
        <v>613746</v>
      </c>
      <c r="G38" s="30"/>
      <c r="I38" s="69"/>
      <c r="J38" s="69"/>
    </row>
    <row r="39" spans="1:10" s="70" customFormat="1" ht="12.75" customHeight="1" x14ac:dyDescent="0.2">
      <c r="A39" s="127">
        <v>45122</v>
      </c>
      <c r="B39" s="128" t="s">
        <v>11</v>
      </c>
      <c r="C39" s="76" t="s">
        <v>107</v>
      </c>
      <c r="D39" s="125" t="s">
        <v>29</v>
      </c>
      <c r="E39" s="31"/>
      <c r="F39" s="70">
        <v>1095192.18</v>
      </c>
      <c r="G39" s="30"/>
      <c r="I39" s="69"/>
      <c r="J39" s="69"/>
    </row>
    <row r="40" spans="1:10" s="70" customFormat="1" ht="12.75" customHeight="1" x14ac:dyDescent="0.2">
      <c r="A40" s="127">
        <v>45122</v>
      </c>
      <c r="B40" s="128" t="s">
        <v>11</v>
      </c>
      <c r="C40" s="76" t="s">
        <v>260</v>
      </c>
      <c r="D40" s="125" t="s">
        <v>29</v>
      </c>
      <c r="E40" s="31"/>
      <c r="F40" s="70">
        <v>4141932.26</v>
      </c>
      <c r="G40" s="30"/>
      <c r="I40" s="69"/>
      <c r="J40" s="69"/>
    </row>
    <row r="41" spans="1:10" s="70" customFormat="1" ht="12.75" customHeight="1" x14ac:dyDescent="0.2">
      <c r="A41" s="127">
        <v>45122</v>
      </c>
      <c r="B41" s="128" t="s">
        <v>11</v>
      </c>
      <c r="C41" s="76" t="s">
        <v>754</v>
      </c>
      <c r="D41" s="125" t="s">
        <v>29</v>
      </c>
      <c r="E41" s="31"/>
      <c r="F41" s="70">
        <v>1357699.39</v>
      </c>
      <c r="G41" s="30"/>
      <c r="I41" s="69"/>
      <c r="J41" s="69"/>
    </row>
    <row r="42" spans="1:10" s="70" customFormat="1" ht="12.75" customHeight="1" x14ac:dyDescent="0.2">
      <c r="A42" s="127">
        <v>45122</v>
      </c>
      <c r="B42" s="128" t="s">
        <v>11</v>
      </c>
      <c r="C42" s="76" t="s">
        <v>197</v>
      </c>
      <c r="D42" s="125" t="s">
        <v>29</v>
      </c>
      <c r="E42" s="31"/>
      <c r="F42" s="70">
        <v>29028</v>
      </c>
      <c r="G42" s="30"/>
      <c r="I42" s="69"/>
      <c r="J42" s="69"/>
    </row>
    <row r="43" spans="1:10" s="70" customFormat="1" ht="12.75" customHeight="1" x14ac:dyDescent="0.2">
      <c r="A43" s="127">
        <v>45122</v>
      </c>
      <c r="B43" s="128" t="s">
        <v>11</v>
      </c>
      <c r="C43" s="76" t="s">
        <v>561</v>
      </c>
      <c r="D43" s="125" t="s">
        <v>29</v>
      </c>
      <c r="E43" s="31"/>
      <c r="F43" s="70">
        <v>125454</v>
      </c>
      <c r="G43" s="30"/>
      <c r="I43" s="69"/>
      <c r="J43" s="69"/>
    </row>
    <row r="44" spans="1:10" s="70" customFormat="1" ht="12.75" customHeight="1" x14ac:dyDescent="0.2">
      <c r="A44" s="127">
        <v>45122</v>
      </c>
      <c r="B44" s="128" t="s">
        <v>11</v>
      </c>
      <c r="C44" s="76" t="s">
        <v>698</v>
      </c>
      <c r="D44" s="125" t="s">
        <v>29</v>
      </c>
      <c r="E44" s="31"/>
      <c r="F44" s="70">
        <v>7640</v>
      </c>
      <c r="G44" s="30"/>
      <c r="I44" s="69"/>
      <c r="J44" s="69"/>
    </row>
    <row r="45" spans="1:10" s="70" customFormat="1" ht="12.75" customHeight="1" x14ac:dyDescent="0.2">
      <c r="A45" s="127">
        <v>45122</v>
      </c>
      <c r="B45" s="128" t="s">
        <v>11</v>
      </c>
      <c r="C45" s="76" t="s">
        <v>263</v>
      </c>
      <c r="D45" s="125" t="s">
        <v>29</v>
      </c>
      <c r="E45" s="31"/>
      <c r="F45" s="70">
        <v>42069</v>
      </c>
      <c r="G45" s="30"/>
      <c r="I45" s="69"/>
      <c r="J45" s="69"/>
    </row>
    <row r="46" spans="1:10" s="70" customFormat="1" ht="12.75" customHeight="1" x14ac:dyDescent="0.2">
      <c r="A46" s="127">
        <v>45122</v>
      </c>
      <c r="B46" s="128" t="s">
        <v>11</v>
      </c>
      <c r="C46" s="76" t="s">
        <v>34</v>
      </c>
      <c r="D46" s="125" t="s">
        <v>29</v>
      </c>
      <c r="E46" s="31"/>
      <c r="F46" s="70">
        <v>30000</v>
      </c>
      <c r="G46" s="30"/>
      <c r="I46" s="69"/>
      <c r="J46" s="69"/>
    </row>
    <row r="47" spans="1:10" s="70" customFormat="1" ht="12.75" customHeight="1" x14ac:dyDescent="0.2">
      <c r="A47" s="127">
        <v>45122</v>
      </c>
      <c r="B47" s="128" t="s">
        <v>11</v>
      </c>
      <c r="C47" s="76" t="s">
        <v>937</v>
      </c>
      <c r="D47" s="125" t="s">
        <v>29</v>
      </c>
      <c r="E47" s="31"/>
      <c r="F47" s="70">
        <v>5271</v>
      </c>
      <c r="G47" s="30"/>
      <c r="I47" s="69"/>
      <c r="J47" s="69"/>
    </row>
    <row r="48" spans="1:10" s="70" customFormat="1" ht="12.75" customHeight="1" x14ac:dyDescent="0.2">
      <c r="A48" s="127">
        <v>45122</v>
      </c>
      <c r="B48" s="128" t="s">
        <v>11</v>
      </c>
      <c r="C48" s="76" t="s">
        <v>800</v>
      </c>
      <c r="D48" s="125" t="s">
        <v>29</v>
      </c>
      <c r="E48" s="31"/>
      <c r="F48" s="70">
        <v>10895</v>
      </c>
      <c r="G48" s="30"/>
      <c r="I48" s="69"/>
      <c r="J48" s="69"/>
    </row>
    <row r="49" spans="1:14" s="70" customFormat="1" ht="12.75" customHeight="1" x14ac:dyDescent="0.2">
      <c r="A49" s="127">
        <v>45122</v>
      </c>
      <c r="B49" s="128" t="s">
        <v>11</v>
      </c>
      <c r="C49" s="76" t="s">
        <v>62</v>
      </c>
      <c r="D49" s="125" t="s">
        <v>29</v>
      </c>
      <c r="E49" s="31"/>
      <c r="F49" s="70">
        <v>30000</v>
      </c>
      <c r="G49" s="30"/>
      <c r="I49" s="69"/>
      <c r="J49" s="69"/>
    </row>
    <row r="50" spans="1:14" s="70" customFormat="1" ht="12.75" customHeight="1" x14ac:dyDescent="0.2">
      <c r="A50" s="127">
        <v>45122</v>
      </c>
      <c r="B50" s="128" t="s">
        <v>11</v>
      </c>
      <c r="C50" s="76" t="s">
        <v>33</v>
      </c>
      <c r="D50" s="125" t="s">
        <v>29</v>
      </c>
      <c r="E50" s="31"/>
      <c r="F50" s="70">
        <v>484215</v>
      </c>
      <c r="G50" s="30"/>
      <c r="I50" s="69"/>
      <c r="J50" s="69"/>
    </row>
    <row r="51" spans="1:14" s="70" customFormat="1" ht="12.75" customHeight="1" x14ac:dyDescent="0.2">
      <c r="A51" s="127">
        <v>45122</v>
      </c>
      <c r="B51" s="128" t="s">
        <v>11</v>
      </c>
      <c r="C51" s="76" t="s">
        <v>696</v>
      </c>
      <c r="D51" s="125" t="s">
        <v>29</v>
      </c>
      <c r="E51" s="31"/>
      <c r="F51" s="70">
        <v>1193896</v>
      </c>
      <c r="G51" s="30"/>
      <c r="I51" s="69"/>
      <c r="J51" s="69"/>
    </row>
    <row r="52" spans="1:14" s="70" customFormat="1" ht="12.75" customHeight="1" x14ac:dyDescent="0.2">
      <c r="A52" s="127">
        <v>45122</v>
      </c>
      <c r="B52" s="128" t="s">
        <v>11</v>
      </c>
      <c r="C52" s="76" t="s">
        <v>57</v>
      </c>
      <c r="D52" s="125" t="s">
        <v>29</v>
      </c>
      <c r="E52" s="31"/>
      <c r="F52" s="70">
        <v>12500000</v>
      </c>
      <c r="G52" s="30"/>
      <c r="I52" s="69"/>
      <c r="J52" s="69"/>
    </row>
    <row r="53" spans="1:14" s="70" customFormat="1" ht="12.75" customHeight="1" x14ac:dyDescent="0.2">
      <c r="A53" s="127">
        <v>45122</v>
      </c>
      <c r="B53" s="128" t="s">
        <v>11</v>
      </c>
      <c r="C53" s="76" t="s">
        <v>337</v>
      </c>
      <c r="D53" s="125" t="s">
        <v>29</v>
      </c>
      <c r="E53" s="31"/>
      <c r="F53" s="70">
        <v>62640</v>
      </c>
      <c r="G53" s="30"/>
      <c r="I53" s="69"/>
      <c r="J53" s="69"/>
    </row>
    <row r="54" spans="1:14" s="70" customFormat="1" ht="12.75" customHeight="1" x14ac:dyDescent="0.2">
      <c r="A54" s="127">
        <v>45122</v>
      </c>
      <c r="B54" s="128" t="s">
        <v>11</v>
      </c>
      <c r="C54" s="76" t="s">
        <v>649</v>
      </c>
      <c r="D54" s="125" t="s">
        <v>29</v>
      </c>
      <c r="E54" s="31"/>
      <c r="F54" s="70">
        <v>400000</v>
      </c>
      <c r="G54" s="30"/>
      <c r="I54" s="69"/>
      <c r="J54" s="69"/>
    </row>
    <row r="55" spans="1:14" s="2" customFormat="1" ht="12.75" customHeight="1" x14ac:dyDescent="0.25">
      <c r="A55" s="32"/>
      <c r="B55" s="33"/>
      <c r="C55" s="14"/>
      <c r="D55" s="34"/>
      <c r="E55" s="16">
        <f>SUM(E27:E54)</f>
        <v>21996811.490000002</v>
      </c>
      <c r="F55" s="16">
        <f>SUM(F27:F54)</f>
        <v>294656060.54000002</v>
      </c>
      <c r="G55" s="30"/>
      <c r="H55" s="1"/>
      <c r="I55" s="39">
        <v>272659249.05000001</v>
      </c>
      <c r="J55" s="2" t="s">
        <v>396</v>
      </c>
      <c r="K55" s="92">
        <f>E56-I55</f>
        <v>0</v>
      </c>
      <c r="L55" s="41"/>
      <c r="M55" s="42"/>
    </row>
    <row r="56" spans="1:14" s="2" customFormat="1" ht="12.75" customHeight="1" x14ac:dyDescent="0.2">
      <c r="A56" s="36"/>
      <c r="B56" s="28" t="s">
        <v>11</v>
      </c>
      <c r="C56" s="19" t="s">
        <v>65</v>
      </c>
      <c r="D56" s="37"/>
      <c r="E56" s="38">
        <f>F55-E55</f>
        <v>272659249.05000001</v>
      </c>
      <c r="F56" s="22"/>
      <c r="G56" s="1"/>
      <c r="H56" s="1"/>
      <c r="J56" s="1"/>
      <c r="K56" s="1"/>
      <c r="L56" s="1"/>
      <c r="M56" s="1"/>
    </row>
    <row r="57" spans="1:14" s="2" customFormat="1" ht="12.75" customHeight="1" x14ac:dyDescent="0.2">
      <c r="A57" s="36"/>
      <c r="B57" s="28" t="s">
        <v>66</v>
      </c>
      <c r="C57" s="43" t="s">
        <v>67</v>
      </c>
      <c r="D57" s="43"/>
      <c r="E57" s="12">
        <v>59416310</v>
      </c>
      <c r="F57" s="22"/>
      <c r="G57" s="1"/>
      <c r="H57" s="40"/>
      <c r="I57" s="45">
        <v>2277.02</v>
      </c>
      <c r="J57" s="46"/>
      <c r="K57" s="46"/>
      <c r="L57" s="13"/>
    </row>
    <row r="58" spans="1:14" s="2" customFormat="1" ht="12.75" customHeight="1" x14ac:dyDescent="0.25">
      <c r="A58" s="36"/>
      <c r="B58" s="28"/>
      <c r="C58" s="44" t="s">
        <v>68</v>
      </c>
      <c r="D58" s="43"/>
      <c r="E58" s="7">
        <f>E56+E57</f>
        <v>332075559.05000001</v>
      </c>
      <c r="F58" s="22"/>
      <c r="G58" s="1"/>
      <c r="H58" s="103" t="s">
        <v>69</v>
      </c>
      <c r="I58" s="45">
        <v>-70.47</v>
      </c>
      <c r="J58" s="46"/>
      <c r="K58" s="46"/>
      <c r="N58" s="1"/>
    </row>
    <row r="59" spans="1:14" s="2" customFormat="1" x14ac:dyDescent="0.2">
      <c r="A59" s="24"/>
      <c r="B59" s="1"/>
      <c r="C59" s="14"/>
      <c r="D59" s="25"/>
      <c r="E59" s="1"/>
      <c r="H59" s="35" t="s">
        <v>70</v>
      </c>
      <c r="I59" s="45">
        <v>48.79</v>
      </c>
      <c r="J59" s="46">
        <f>+I60-D62</f>
        <v>0</v>
      </c>
      <c r="M59" s="2" t="s">
        <v>396</v>
      </c>
      <c r="N59" s="1"/>
    </row>
    <row r="60" spans="1:14" x14ac:dyDescent="0.2">
      <c r="C60" s="56"/>
      <c r="D60" s="56"/>
      <c r="E60" s="104"/>
      <c r="I60" s="49">
        <f>SUM(I57:I59)</f>
        <v>2255.34</v>
      </c>
      <c r="J60" s="46"/>
      <c r="K60" s="46"/>
      <c r="L60" s="2"/>
      <c r="M60" s="2"/>
      <c r="N60" s="2"/>
    </row>
    <row r="61" spans="1:14" x14ac:dyDescent="0.2">
      <c r="C61" s="78" t="s">
        <v>575</v>
      </c>
      <c r="D61" s="48" t="s">
        <v>576</v>
      </c>
      <c r="E61" s="104"/>
      <c r="I61" s="2"/>
      <c r="J61" s="2"/>
      <c r="K61" s="2"/>
      <c r="L61" s="2"/>
      <c r="M61" s="2"/>
      <c r="N61" s="2"/>
    </row>
    <row r="62" spans="1:14" s="2" customFormat="1" x14ac:dyDescent="0.2">
      <c r="A62" s="24"/>
      <c r="B62" s="1"/>
      <c r="C62" s="47" t="s">
        <v>570</v>
      </c>
      <c r="D62" s="111">
        <v>2255.34</v>
      </c>
      <c r="E62" s="104"/>
      <c r="G62" s="1"/>
      <c r="H62" s="110" t="s">
        <v>581</v>
      </c>
      <c r="N62" s="2" t="s">
        <v>535</v>
      </c>
    </row>
    <row r="63" spans="1:14" s="2" customFormat="1" x14ac:dyDescent="0.2">
      <c r="A63" s="24"/>
      <c r="B63" s="1"/>
      <c r="C63" s="47" t="s">
        <v>931</v>
      </c>
      <c r="D63" s="111">
        <v>165.36</v>
      </c>
      <c r="E63" s="104"/>
      <c r="G63" s="1"/>
      <c r="H63" s="110" t="s">
        <v>580</v>
      </c>
    </row>
    <row r="64" spans="1:14" s="2" customFormat="1" x14ac:dyDescent="0.2">
      <c r="A64" s="24"/>
      <c r="B64" s="1"/>
      <c r="C64" s="47" t="s">
        <v>572</v>
      </c>
      <c r="D64" s="111">
        <f>+D112/100000</f>
        <v>428.19157920000004</v>
      </c>
      <c r="E64" s="104"/>
      <c r="G64" s="1"/>
      <c r="H64" s="90" t="s">
        <v>587</v>
      </c>
    </row>
    <row r="65" spans="1:13" s="2" customFormat="1" x14ac:dyDescent="0.2">
      <c r="A65" s="24"/>
      <c r="B65" s="1"/>
      <c r="C65" s="108" t="s">
        <v>578</v>
      </c>
      <c r="D65" s="48">
        <f>SUM(D62:D64)</f>
        <v>2848.8915792000003</v>
      </c>
      <c r="E65" s="104"/>
      <c r="G65" s="1"/>
    </row>
    <row r="66" spans="1:13" s="2" customFormat="1" x14ac:dyDescent="0.2">
      <c r="A66" s="24"/>
      <c r="B66" s="1"/>
      <c r="C66" s="47"/>
      <c r="D66" s="107"/>
      <c r="E66" s="104"/>
      <c r="G66" s="1"/>
    </row>
    <row r="67" spans="1:13" s="2" customFormat="1" x14ac:dyDescent="0.2">
      <c r="A67" s="24"/>
      <c r="B67" s="1"/>
      <c r="C67" s="47" t="s">
        <v>932</v>
      </c>
      <c r="D67" s="111">
        <v>121.7</v>
      </c>
      <c r="E67" s="104"/>
      <c r="G67" s="1"/>
      <c r="H67" s="110" t="s">
        <v>581</v>
      </c>
    </row>
    <row r="68" spans="1:13" s="2" customFormat="1" x14ac:dyDescent="0.2">
      <c r="A68" s="24"/>
      <c r="B68" s="1"/>
      <c r="C68" s="136" t="s">
        <v>1142</v>
      </c>
      <c r="D68" s="111">
        <f>240.4-46.39</f>
        <v>194.01</v>
      </c>
      <c r="E68" s="104"/>
      <c r="G68" s="1"/>
      <c r="H68" s="110" t="s">
        <v>581</v>
      </c>
      <c r="J68" s="114" t="s">
        <v>713</v>
      </c>
    </row>
    <row r="69" spans="1:13" s="2" customFormat="1" x14ac:dyDescent="0.2">
      <c r="A69" s="24"/>
      <c r="B69" s="1"/>
      <c r="C69" s="78" t="s">
        <v>579</v>
      </c>
      <c r="D69" s="109">
        <f>D67+D68</f>
        <v>315.70999999999998</v>
      </c>
      <c r="E69" s="104"/>
      <c r="G69" s="1"/>
      <c r="I69" s="113"/>
      <c r="J69" s="113" t="s">
        <v>709</v>
      </c>
      <c r="K69" s="113" t="s">
        <v>710</v>
      </c>
      <c r="L69" s="113" t="s">
        <v>711</v>
      </c>
      <c r="M69" s="113" t="s">
        <v>712</v>
      </c>
    </row>
    <row r="70" spans="1:13" s="2" customFormat="1" x14ac:dyDescent="0.2">
      <c r="A70" s="24"/>
      <c r="B70" s="1"/>
      <c r="C70" s="105"/>
      <c r="D70" s="106"/>
      <c r="E70" s="104"/>
      <c r="G70" s="1"/>
      <c r="I70" s="113" t="s">
        <v>706</v>
      </c>
      <c r="J70" s="115"/>
      <c r="K70" s="115">
        <v>968.99</v>
      </c>
      <c r="L70" s="115">
        <v>968.99</v>
      </c>
      <c r="M70" s="113">
        <f>+J70+L70-K70</f>
        <v>0</v>
      </c>
    </row>
    <row r="71" spans="1:13" s="2" customFormat="1" x14ac:dyDescent="0.2">
      <c r="A71" s="24"/>
      <c r="B71" s="1"/>
      <c r="C71" s="78" t="s">
        <v>577</v>
      </c>
      <c r="D71" s="109">
        <f>D62+D69</f>
        <v>2571.0500000000002</v>
      </c>
      <c r="E71" s="104"/>
      <c r="G71" s="1"/>
      <c r="I71" s="113" t="s">
        <v>707</v>
      </c>
      <c r="J71" s="115">
        <v>183.1</v>
      </c>
      <c r="K71" s="115">
        <v>2651.63</v>
      </c>
      <c r="L71" s="115">
        <v>3358.8</v>
      </c>
      <c r="M71" s="113">
        <f>+J71+L71-K71</f>
        <v>890.27</v>
      </c>
    </row>
    <row r="72" spans="1:13" s="2" customFormat="1" x14ac:dyDescent="0.2">
      <c r="A72" s="24"/>
      <c r="B72" s="1"/>
      <c r="C72" s="56"/>
      <c r="D72" s="56"/>
      <c r="E72" s="104"/>
      <c r="G72" s="1"/>
      <c r="I72" s="113" t="s">
        <v>708</v>
      </c>
      <c r="J72" s="115">
        <v>1371.02</v>
      </c>
      <c r="K72" s="115">
        <v>12793.26</v>
      </c>
      <c r="L72" s="115">
        <v>12644.85</v>
      </c>
      <c r="M72" s="113">
        <f>+J72+L72-K72</f>
        <v>1222.6100000000006</v>
      </c>
    </row>
    <row r="73" spans="1:13" s="2" customFormat="1" ht="38.25" x14ac:dyDescent="0.2">
      <c r="A73" s="24"/>
      <c r="B73" s="1"/>
      <c r="C73" s="79" t="str">
        <f>"Particulars ( 01-04-2021 to "&amp;TEXT(A5,"dd-mm-yyyy")&amp;" )"</f>
        <v>Particulars ( 01-04-2021 to 15-07-2023 )</v>
      </c>
      <c r="D73" s="80" t="s">
        <v>73</v>
      </c>
      <c r="E73" s="80" t="s">
        <v>74</v>
      </c>
      <c r="F73" s="81" t="s">
        <v>75</v>
      </c>
      <c r="G73" s="80" t="s">
        <v>76</v>
      </c>
      <c r="J73" s="118">
        <f>SUM(J70:J72)</f>
        <v>1554.12</v>
      </c>
      <c r="K73" s="118">
        <f>SUM(K70:K72)</f>
        <v>16413.88</v>
      </c>
      <c r="L73" s="118">
        <f>SUM(L70:L72)</f>
        <v>16972.64</v>
      </c>
      <c r="M73" s="118">
        <f>SUM(M70:M72)</f>
        <v>2112.8800000000006</v>
      </c>
    </row>
    <row r="74" spans="1:13" s="2" customFormat="1" x14ac:dyDescent="0.2">
      <c r="A74" s="24"/>
      <c r="B74" s="1"/>
      <c r="C74" s="50" t="s">
        <v>444</v>
      </c>
      <c r="D74" s="55">
        <f>+L70+L71+J71</f>
        <v>4510.8900000000003</v>
      </c>
      <c r="E74" s="55">
        <f>+K70+K71</f>
        <v>3620.62</v>
      </c>
      <c r="F74" s="55">
        <f>+D74-E74</f>
        <v>890.27000000000044</v>
      </c>
      <c r="G74" s="55">
        <f>1500-F74</f>
        <v>609.72999999999956</v>
      </c>
      <c r="H74" s="2" t="s">
        <v>396</v>
      </c>
    </row>
    <row r="75" spans="1:13" s="2" customFormat="1" x14ac:dyDescent="0.2">
      <c r="A75" s="24"/>
      <c r="B75" s="1"/>
      <c r="C75" s="50" t="s">
        <v>71</v>
      </c>
      <c r="D75" s="55">
        <f>+J72+L72</f>
        <v>14015.87</v>
      </c>
      <c r="E75" s="55">
        <f>+K72</f>
        <v>12793.26</v>
      </c>
      <c r="F75" s="55">
        <f>+D75-E75</f>
        <v>1222.6100000000006</v>
      </c>
      <c r="G75" s="55">
        <f>1500+700-F75</f>
        <v>977.38999999999942</v>
      </c>
      <c r="H75" s="2" t="s">
        <v>396</v>
      </c>
    </row>
    <row r="76" spans="1:13" s="2" customFormat="1" x14ac:dyDescent="0.2">
      <c r="A76" s="24"/>
      <c r="B76" s="1"/>
      <c r="C76" s="14"/>
      <c r="D76" s="56"/>
      <c r="E76" s="13"/>
      <c r="G76" s="1"/>
    </row>
    <row r="77" spans="1:13" s="2" customFormat="1" x14ac:dyDescent="0.2">
      <c r="A77" s="215" t="s">
        <v>80</v>
      </c>
      <c r="B77" s="216"/>
      <c r="C77" s="216"/>
      <c r="D77" s="217"/>
      <c r="E77" s="69"/>
      <c r="F77" s="70"/>
      <c r="G77" s="1"/>
      <c r="H77" s="53"/>
    </row>
    <row r="78" spans="1:13" s="2" customFormat="1" x14ac:dyDescent="0.2">
      <c r="A78" s="71" t="s">
        <v>81</v>
      </c>
      <c r="B78" s="71"/>
      <c r="C78" s="72" t="s">
        <v>82</v>
      </c>
      <c r="D78" s="73" t="s">
        <v>83</v>
      </c>
      <c r="E78" s="69"/>
      <c r="F78" s="70"/>
      <c r="H78" s="53"/>
    </row>
    <row r="79" spans="1:13" s="2" customFormat="1" x14ac:dyDescent="0.2">
      <c r="A79" s="87">
        <v>45108</v>
      </c>
      <c r="B79" s="120" t="s">
        <v>1052</v>
      </c>
      <c r="C79" s="75" t="s">
        <v>84</v>
      </c>
      <c r="D79" s="88">
        <v>3000000</v>
      </c>
      <c r="G79" s="1"/>
      <c r="L79" s="1"/>
      <c r="M79" s="1"/>
    </row>
    <row r="80" spans="1:13" s="2" customFormat="1" x14ac:dyDescent="0.2">
      <c r="A80" s="87">
        <v>45108</v>
      </c>
      <c r="B80" s="120" t="s">
        <v>1052</v>
      </c>
      <c r="C80" s="75" t="s">
        <v>271</v>
      </c>
      <c r="D80" s="88">
        <v>2323148</v>
      </c>
      <c r="G80" s="1"/>
      <c r="L80" s="1"/>
      <c r="M80" s="1"/>
    </row>
    <row r="81" spans="1:13" s="2" customFormat="1" x14ac:dyDescent="0.2">
      <c r="A81" s="87">
        <v>45110</v>
      </c>
      <c r="B81" s="120" t="s">
        <v>1052</v>
      </c>
      <c r="C81" s="75" t="s">
        <v>85</v>
      </c>
      <c r="D81" s="88">
        <v>732575</v>
      </c>
      <c r="G81" s="1"/>
      <c r="L81" s="1"/>
      <c r="M81" s="1"/>
    </row>
    <row r="82" spans="1:13" s="2" customFormat="1" x14ac:dyDescent="0.2">
      <c r="A82" s="87">
        <v>45110</v>
      </c>
      <c r="B82" s="120" t="s">
        <v>1052</v>
      </c>
      <c r="C82" s="75" t="s">
        <v>86</v>
      </c>
      <c r="D82" s="88">
        <v>2676974</v>
      </c>
      <c r="G82" s="1"/>
      <c r="L82" s="1"/>
      <c r="M82" s="1"/>
    </row>
    <row r="83" spans="1:13" s="2" customFormat="1" x14ac:dyDescent="0.2">
      <c r="A83" s="87">
        <v>45110</v>
      </c>
      <c r="B83" s="120" t="s">
        <v>1052</v>
      </c>
      <c r="C83" s="75" t="s">
        <v>86</v>
      </c>
      <c r="D83" s="88">
        <v>1043475</v>
      </c>
      <c r="G83" s="1"/>
      <c r="L83" s="1"/>
      <c r="M83" s="1"/>
    </row>
    <row r="84" spans="1:13" s="2" customFormat="1" x14ac:dyDescent="0.2">
      <c r="A84" s="87">
        <v>45111</v>
      </c>
      <c r="B84" s="120" t="s">
        <v>1052</v>
      </c>
      <c r="C84" s="75" t="s">
        <v>270</v>
      </c>
      <c r="D84" s="88">
        <v>106093</v>
      </c>
      <c r="G84" s="1"/>
      <c r="L84" s="1"/>
      <c r="M84" s="1"/>
    </row>
    <row r="85" spans="1:13" s="2" customFormat="1" x14ac:dyDescent="0.2">
      <c r="A85" s="87">
        <v>45111</v>
      </c>
      <c r="B85" s="120" t="s">
        <v>1052</v>
      </c>
      <c r="C85" s="75" t="s">
        <v>270</v>
      </c>
      <c r="D85" s="88">
        <v>102393</v>
      </c>
      <c r="G85" s="1"/>
      <c r="L85" s="1"/>
      <c r="M85" s="1"/>
    </row>
    <row r="86" spans="1:13" s="2" customFormat="1" x14ac:dyDescent="0.2">
      <c r="A86" s="87">
        <v>45111</v>
      </c>
      <c r="B86" s="120" t="s">
        <v>1052</v>
      </c>
      <c r="C86" s="75" t="s">
        <v>270</v>
      </c>
      <c r="D86" s="88">
        <v>716336</v>
      </c>
      <c r="G86" s="1"/>
      <c r="L86" s="1"/>
      <c r="M86" s="1"/>
    </row>
    <row r="87" spans="1:13" s="2" customFormat="1" x14ac:dyDescent="0.2">
      <c r="A87" s="87">
        <v>45111</v>
      </c>
      <c r="B87" s="120" t="s">
        <v>1052</v>
      </c>
      <c r="C87" s="75" t="s">
        <v>270</v>
      </c>
      <c r="D87" s="88">
        <v>2504631</v>
      </c>
      <c r="G87" s="1"/>
      <c r="L87" s="1"/>
      <c r="M87" s="1"/>
    </row>
    <row r="88" spans="1:13" s="2" customFormat="1" x14ac:dyDescent="0.2">
      <c r="A88" s="87">
        <v>45111</v>
      </c>
      <c r="B88" s="120" t="s">
        <v>1052</v>
      </c>
      <c r="C88" s="75" t="s">
        <v>270</v>
      </c>
      <c r="D88" s="88">
        <v>141433.92000000001</v>
      </c>
      <c r="G88" s="1"/>
      <c r="L88" s="1"/>
      <c r="M88" s="1"/>
    </row>
    <row r="89" spans="1:13" s="2" customFormat="1" x14ac:dyDescent="0.2">
      <c r="A89" s="87">
        <v>45111</v>
      </c>
      <c r="B89" s="120" t="s">
        <v>1052</v>
      </c>
      <c r="C89" s="75" t="s">
        <v>271</v>
      </c>
      <c r="D89" s="88">
        <v>485258</v>
      </c>
      <c r="G89" s="1"/>
      <c r="L89" s="1"/>
      <c r="M89" s="1"/>
    </row>
    <row r="90" spans="1:13" s="2" customFormat="1" x14ac:dyDescent="0.2">
      <c r="A90" s="87">
        <v>45112</v>
      </c>
      <c r="B90" s="120" t="s">
        <v>1052</v>
      </c>
      <c r="C90" s="75" t="s">
        <v>85</v>
      </c>
      <c r="D90" s="88">
        <v>216478</v>
      </c>
      <c r="G90" s="1"/>
      <c r="L90" s="1"/>
      <c r="M90" s="1"/>
    </row>
    <row r="91" spans="1:13" s="2" customFormat="1" x14ac:dyDescent="0.2">
      <c r="A91" s="87">
        <v>45114</v>
      </c>
      <c r="B91" s="120" t="s">
        <v>1052</v>
      </c>
      <c r="C91" s="75" t="s">
        <v>270</v>
      </c>
      <c r="D91" s="88">
        <v>886333</v>
      </c>
      <c r="G91" s="1"/>
      <c r="L91" s="1"/>
      <c r="M91" s="1"/>
    </row>
    <row r="92" spans="1:13" s="2" customFormat="1" x14ac:dyDescent="0.2">
      <c r="A92" s="87">
        <v>45114</v>
      </c>
      <c r="B92" s="120" t="s">
        <v>1052</v>
      </c>
      <c r="C92" s="75" t="s">
        <v>270</v>
      </c>
      <c r="D92" s="88">
        <v>3119806</v>
      </c>
      <c r="G92" s="1"/>
      <c r="L92" s="1"/>
      <c r="M92" s="1"/>
    </row>
    <row r="93" spans="1:13" s="2" customFormat="1" x14ac:dyDescent="0.2">
      <c r="A93" s="87">
        <v>45114</v>
      </c>
      <c r="B93" s="120" t="s">
        <v>1052</v>
      </c>
      <c r="C93" s="75" t="s">
        <v>271</v>
      </c>
      <c r="D93" s="88">
        <v>151160</v>
      </c>
      <c r="G93" s="1"/>
      <c r="L93" s="1"/>
      <c r="M93" s="1"/>
    </row>
    <row r="94" spans="1:13" s="2" customFormat="1" x14ac:dyDescent="0.2">
      <c r="A94" s="87">
        <v>45114</v>
      </c>
      <c r="B94" s="120" t="s">
        <v>1052</v>
      </c>
      <c r="C94" s="75" t="s">
        <v>271</v>
      </c>
      <c r="D94" s="88">
        <v>285195</v>
      </c>
      <c r="G94" s="1"/>
      <c r="L94" s="1"/>
      <c r="M94" s="1"/>
    </row>
    <row r="95" spans="1:13" s="2" customFormat="1" x14ac:dyDescent="0.2">
      <c r="A95" s="87">
        <v>45114</v>
      </c>
      <c r="B95" s="120" t="s">
        <v>1052</v>
      </c>
      <c r="C95" s="75" t="s">
        <v>201</v>
      </c>
      <c r="D95" s="88">
        <v>128135</v>
      </c>
      <c r="G95" s="1"/>
      <c r="L95" s="1"/>
      <c r="M95" s="1"/>
    </row>
    <row r="96" spans="1:13" s="2" customFormat="1" x14ac:dyDescent="0.2">
      <c r="A96" s="87">
        <v>45114</v>
      </c>
      <c r="B96" s="120" t="s">
        <v>1052</v>
      </c>
      <c r="C96" s="75" t="s">
        <v>323</v>
      </c>
      <c r="D96" s="88">
        <v>2313089</v>
      </c>
      <c r="G96" s="1"/>
      <c r="L96" s="1"/>
      <c r="M96" s="1"/>
    </row>
    <row r="97" spans="1:13" s="2" customFormat="1" x14ac:dyDescent="0.2">
      <c r="A97" s="87">
        <v>45115</v>
      </c>
      <c r="B97" s="120" t="s">
        <v>1052</v>
      </c>
      <c r="C97" s="75" t="s">
        <v>767</v>
      </c>
      <c r="D97" s="88">
        <v>411035</v>
      </c>
      <c r="G97" s="1"/>
      <c r="L97" s="1"/>
      <c r="M97" s="1"/>
    </row>
    <row r="98" spans="1:13" s="2" customFormat="1" x14ac:dyDescent="0.2">
      <c r="A98" s="87">
        <v>45118</v>
      </c>
      <c r="B98" s="120" t="s">
        <v>1052</v>
      </c>
      <c r="C98" s="75" t="s">
        <v>270</v>
      </c>
      <c r="D98" s="88">
        <v>34696</v>
      </c>
      <c r="G98" s="1"/>
      <c r="L98" s="1"/>
      <c r="M98" s="1"/>
    </row>
    <row r="99" spans="1:13" s="2" customFormat="1" x14ac:dyDescent="0.2">
      <c r="A99" s="87">
        <v>45118</v>
      </c>
      <c r="B99" s="120" t="s">
        <v>1052</v>
      </c>
      <c r="C99" s="75" t="s">
        <v>270</v>
      </c>
      <c r="D99" s="88">
        <v>1128922</v>
      </c>
      <c r="G99" s="1"/>
      <c r="L99" s="1"/>
      <c r="M99" s="1"/>
    </row>
    <row r="100" spans="1:13" s="2" customFormat="1" x14ac:dyDescent="0.2">
      <c r="A100" s="87">
        <v>45118</v>
      </c>
      <c r="B100" s="120" t="s">
        <v>1052</v>
      </c>
      <c r="C100" s="75" t="s">
        <v>270</v>
      </c>
      <c r="D100" s="88">
        <v>2865343</v>
      </c>
      <c r="G100" s="1"/>
      <c r="L100" s="1"/>
      <c r="M100" s="1"/>
    </row>
    <row r="101" spans="1:13" s="2" customFormat="1" x14ac:dyDescent="0.2">
      <c r="A101" s="87">
        <v>45118</v>
      </c>
      <c r="B101" s="120" t="s">
        <v>1052</v>
      </c>
      <c r="C101" s="75" t="s">
        <v>270</v>
      </c>
      <c r="D101" s="88">
        <v>1090852</v>
      </c>
      <c r="G101" s="1"/>
      <c r="L101" s="1"/>
      <c r="M101" s="1"/>
    </row>
    <row r="102" spans="1:13" s="2" customFormat="1" x14ac:dyDescent="0.2">
      <c r="A102" s="87">
        <v>45118</v>
      </c>
      <c r="B102" s="120" t="s">
        <v>1052</v>
      </c>
      <c r="C102" s="75" t="s">
        <v>270</v>
      </c>
      <c r="D102" s="88">
        <v>359348</v>
      </c>
      <c r="G102" s="1"/>
      <c r="L102" s="1"/>
      <c r="M102" s="1"/>
    </row>
    <row r="103" spans="1:13" s="2" customFormat="1" x14ac:dyDescent="0.2">
      <c r="A103" s="87">
        <v>45118</v>
      </c>
      <c r="B103" s="120" t="s">
        <v>1052</v>
      </c>
      <c r="C103" s="75" t="s">
        <v>271</v>
      </c>
      <c r="D103" s="88">
        <v>323487</v>
      </c>
      <c r="G103" s="1"/>
      <c r="L103" s="1"/>
      <c r="M103" s="1"/>
    </row>
    <row r="104" spans="1:13" s="2" customFormat="1" x14ac:dyDescent="0.2">
      <c r="A104" s="87">
        <v>45118</v>
      </c>
      <c r="B104" s="120" t="s">
        <v>1052</v>
      </c>
      <c r="C104" s="75" t="s">
        <v>271</v>
      </c>
      <c r="D104" s="88">
        <v>44394</v>
      </c>
      <c r="G104" s="1"/>
      <c r="L104" s="1"/>
      <c r="M104" s="1"/>
    </row>
    <row r="105" spans="1:13" s="2" customFormat="1" x14ac:dyDescent="0.2">
      <c r="A105" s="87">
        <v>45118</v>
      </c>
      <c r="B105" s="120" t="s">
        <v>1052</v>
      </c>
      <c r="C105" s="75" t="s">
        <v>271</v>
      </c>
      <c r="D105" s="88">
        <v>2035052</v>
      </c>
      <c r="G105" s="1"/>
      <c r="L105" s="1"/>
      <c r="M105" s="1"/>
    </row>
    <row r="106" spans="1:13" s="2" customFormat="1" x14ac:dyDescent="0.2">
      <c r="A106" s="87">
        <v>45119</v>
      </c>
      <c r="B106" s="120" t="s">
        <v>1052</v>
      </c>
      <c r="C106" s="75" t="s">
        <v>85</v>
      </c>
      <c r="D106" s="88">
        <v>569516</v>
      </c>
      <c r="G106" s="1"/>
      <c r="L106" s="1"/>
      <c r="M106" s="1"/>
    </row>
    <row r="107" spans="1:13" s="2" customFormat="1" x14ac:dyDescent="0.2">
      <c r="A107" s="87">
        <v>45119</v>
      </c>
      <c r="B107" s="120" t="s">
        <v>1052</v>
      </c>
      <c r="C107" s="75" t="s">
        <v>271</v>
      </c>
      <c r="D107" s="88">
        <v>3074492</v>
      </c>
      <c r="G107" s="1"/>
      <c r="L107" s="1"/>
      <c r="M107" s="1"/>
    </row>
    <row r="108" spans="1:13" s="2" customFormat="1" x14ac:dyDescent="0.2">
      <c r="A108" s="87">
        <v>45119</v>
      </c>
      <c r="B108" s="120" t="s">
        <v>1052</v>
      </c>
      <c r="C108" s="75" t="s">
        <v>270</v>
      </c>
      <c r="D108" s="88">
        <v>1556273</v>
      </c>
      <c r="G108" s="1"/>
      <c r="L108" s="1"/>
      <c r="M108" s="1"/>
    </row>
    <row r="109" spans="1:13" s="2" customFormat="1" x14ac:dyDescent="0.2">
      <c r="A109" s="87">
        <v>45119</v>
      </c>
      <c r="B109" s="120" t="s">
        <v>1052</v>
      </c>
      <c r="C109" s="75" t="s">
        <v>84</v>
      </c>
      <c r="D109" s="88">
        <v>2500000</v>
      </c>
      <c r="G109" s="1"/>
      <c r="L109" s="1"/>
      <c r="M109" s="1"/>
    </row>
    <row r="110" spans="1:13" s="2" customFormat="1" x14ac:dyDescent="0.2">
      <c r="A110" s="87">
        <v>45121</v>
      </c>
      <c r="B110" s="120" t="s">
        <v>1052</v>
      </c>
      <c r="C110" s="75" t="s">
        <v>1084</v>
      </c>
      <c r="D110" s="88">
        <v>5000000</v>
      </c>
      <c r="G110" s="1"/>
      <c r="L110" s="1"/>
      <c r="M110" s="1"/>
    </row>
    <row r="111" spans="1:13" s="2" customFormat="1" x14ac:dyDescent="0.2">
      <c r="A111" s="87">
        <v>45122</v>
      </c>
      <c r="B111" s="120" t="s">
        <v>1052</v>
      </c>
      <c r="C111" s="75" t="s">
        <v>270</v>
      </c>
      <c r="D111" s="88">
        <v>893235</v>
      </c>
      <c r="G111" s="1"/>
      <c r="L111" s="1"/>
      <c r="M111" s="1"/>
    </row>
    <row r="112" spans="1:13" s="2" customFormat="1" x14ac:dyDescent="0.2">
      <c r="A112" s="87"/>
      <c r="B112" s="74"/>
      <c r="C112" s="75"/>
      <c r="D112" s="51">
        <f>SUM(D79:D111)</f>
        <v>42819157.920000002</v>
      </c>
      <c r="F112" s="2" t="s">
        <v>396</v>
      </c>
      <c r="G112" s="1"/>
      <c r="L112" s="1"/>
      <c r="M112" s="1"/>
    </row>
    <row r="113" spans="1:13" s="2" customFormat="1" x14ac:dyDescent="0.2">
      <c r="A113" s="24"/>
      <c r="B113" s="1"/>
      <c r="C113" s="14"/>
      <c r="D113" s="56"/>
      <c r="E113" s="13"/>
      <c r="G113" s="1"/>
      <c r="L113" s="1"/>
      <c r="M113" s="1"/>
    </row>
    <row r="114" spans="1:13" s="2" customFormat="1" x14ac:dyDescent="0.2">
      <c r="A114" s="24"/>
      <c r="B114" s="1"/>
      <c r="C114" s="218" t="s">
        <v>77</v>
      </c>
      <c r="D114" s="219"/>
      <c r="E114" s="219"/>
      <c r="F114" s="220"/>
      <c r="G114" s="1"/>
      <c r="L114" s="1"/>
      <c r="M114" s="1"/>
    </row>
    <row r="115" spans="1:13" s="2" customFormat="1" x14ac:dyDescent="0.2">
      <c r="A115" s="24"/>
      <c r="B115" s="1"/>
      <c r="C115" s="50"/>
      <c r="D115" s="57" t="s">
        <v>78</v>
      </c>
      <c r="E115" s="58" t="s">
        <v>79</v>
      </c>
      <c r="F115" s="57" t="s">
        <v>72</v>
      </c>
      <c r="G115" s="1"/>
      <c r="I115" s="1"/>
      <c r="J115" s="1"/>
      <c r="K115" s="1"/>
      <c r="L115" s="1"/>
      <c r="M115" s="1"/>
    </row>
    <row r="116" spans="1:13" s="2" customFormat="1" x14ac:dyDescent="0.2">
      <c r="A116" s="24"/>
      <c r="B116" s="1"/>
      <c r="C116" s="59" t="str">
        <f>"01-07-2023 to "&amp;TEXT(A5-2,"dd-mm-yyyy")</f>
        <v>01-07-2023 to 13-07-2023</v>
      </c>
      <c r="D116" s="60">
        <v>2627.94</v>
      </c>
      <c r="E116" s="60">
        <v>118.29</v>
      </c>
      <c r="F116" s="61">
        <f>SUM(D116:E116)</f>
        <v>2746.23</v>
      </c>
      <c r="G116" s="1"/>
    </row>
    <row r="117" spans="1:13" s="2" customFormat="1" x14ac:dyDescent="0.2">
      <c r="A117" s="24"/>
      <c r="B117" s="1"/>
      <c r="C117" s="62" t="str">
        <f>TEXT(A5-1,"dd-mm-yyyy")</f>
        <v>14-07-2023</v>
      </c>
      <c r="D117" s="60">
        <v>246.86</v>
      </c>
      <c r="E117" s="60">
        <v>12.2</v>
      </c>
      <c r="F117" s="61">
        <f>SUM(D117:E117)</f>
        <v>259.06</v>
      </c>
      <c r="G117" s="54"/>
      <c r="I117" s="1"/>
      <c r="J117" s="1"/>
      <c r="K117" s="1"/>
      <c r="L117" s="1"/>
      <c r="M117" s="1"/>
    </row>
    <row r="118" spans="1:13" s="2" customFormat="1" ht="13.5" thickBot="1" x14ac:dyDescent="0.25">
      <c r="A118" s="24"/>
      <c r="B118" s="1"/>
      <c r="C118" s="63" t="str">
        <f>"01-07-2023 to "&amp;TEXT(A5-1,"dd-mm-yyyy")</f>
        <v>01-07-2023 to 14-07-2023</v>
      </c>
      <c r="D118" s="64">
        <f>SUM(D116:D117)</f>
        <v>2874.8</v>
      </c>
      <c r="E118" s="64">
        <f>SUM(E116:E117)</f>
        <v>130.49</v>
      </c>
      <c r="F118" s="64">
        <f>SUM(F116:F117)</f>
        <v>3005.29</v>
      </c>
      <c r="G118" s="54"/>
      <c r="I118" s="1"/>
      <c r="J118" s="1"/>
      <c r="K118" s="1"/>
      <c r="L118" s="1"/>
      <c r="M118" s="1"/>
    </row>
    <row r="119" spans="1:13" s="2" customFormat="1" ht="13.5" thickTop="1" x14ac:dyDescent="0.2">
      <c r="A119" s="24"/>
      <c r="B119" s="1"/>
      <c r="C119" s="62"/>
      <c r="D119" s="65"/>
      <c r="E119" s="66"/>
      <c r="F119" s="67"/>
      <c r="G119" s="54"/>
      <c r="I119" s="1"/>
      <c r="J119" s="1"/>
      <c r="K119" s="1"/>
      <c r="L119" s="1"/>
      <c r="M119" s="1"/>
    </row>
    <row r="120" spans="1:13" s="2" customFormat="1" x14ac:dyDescent="0.2">
      <c r="A120" s="24"/>
      <c r="B120" s="1"/>
      <c r="C120" s="62" t="str">
        <f>"01-04-2023 to " &amp;C117</f>
        <v>01-04-2023 to 14-07-2023</v>
      </c>
      <c r="D120" s="68">
        <f>+D118+15505.53</f>
        <v>18380.330000000002</v>
      </c>
      <c r="E120" s="68">
        <f>+E118+1109.72</f>
        <v>1240.21</v>
      </c>
      <c r="F120" s="68">
        <f>+F118+16615.25</f>
        <v>19620.54</v>
      </c>
      <c r="G120" s="54"/>
      <c r="I120" s="1"/>
      <c r="J120" s="1"/>
      <c r="K120" s="1"/>
      <c r="L120" s="1"/>
      <c r="M120" s="1"/>
    </row>
    <row r="121" spans="1:13" x14ac:dyDescent="0.2">
      <c r="C121" s="52"/>
      <c r="D121" s="85"/>
      <c r="E121" s="53"/>
      <c r="F121" s="53"/>
      <c r="G121" s="54"/>
      <c r="H121" s="2" t="s">
        <v>396</v>
      </c>
    </row>
    <row r="122" spans="1:13" s="2" customFormat="1" x14ac:dyDescent="0.2">
      <c r="A122" s="24"/>
      <c r="B122" s="1"/>
      <c r="C122" s="52"/>
      <c r="D122" s="85"/>
      <c r="E122" s="53"/>
      <c r="F122" s="53"/>
      <c r="G122" s="54"/>
      <c r="H122" s="53"/>
    </row>
    <row r="123" spans="1:13" x14ac:dyDescent="0.2">
      <c r="C123" s="52"/>
      <c r="D123" s="85"/>
      <c r="E123" s="53"/>
      <c r="F123" s="53"/>
      <c r="G123" s="54"/>
      <c r="H123" s="53" t="s">
        <v>396</v>
      </c>
    </row>
    <row r="124" spans="1:13" x14ac:dyDescent="0.2">
      <c r="C124" s="52"/>
      <c r="D124" s="85"/>
      <c r="E124" s="53"/>
      <c r="F124" s="53"/>
      <c r="G124" s="54"/>
      <c r="H124" s="53" t="s">
        <v>396</v>
      </c>
      <c r="J124" s="42"/>
    </row>
    <row r="125" spans="1:13" x14ac:dyDescent="0.2">
      <c r="G125" s="54"/>
      <c r="H125" s="53"/>
      <c r="I125" s="101"/>
    </row>
    <row r="126" spans="1:13" x14ac:dyDescent="0.2">
      <c r="G126" s="54"/>
      <c r="H126" s="53"/>
    </row>
    <row r="127" spans="1:13" x14ac:dyDescent="0.2">
      <c r="G127" s="54"/>
      <c r="H127" s="53"/>
    </row>
    <row r="128" spans="1:13" x14ac:dyDescent="0.2">
      <c r="H128" s="53"/>
    </row>
  </sheetData>
  <mergeCells count="6">
    <mergeCell ref="C114:F114"/>
    <mergeCell ref="A1:G1"/>
    <mergeCell ref="A3:F3"/>
    <mergeCell ref="A9:F9"/>
    <mergeCell ref="A25:F25"/>
    <mergeCell ref="A77:D77"/>
  </mergeCells>
  <conditionalFormatting sqref="G74:G75">
    <cfRule type="cellIs" dxfId="413" priority="1" operator="lessThan">
      <formula>0</formula>
    </cfRule>
  </conditionalFormatting>
  <conditionalFormatting sqref="C27">
    <cfRule type="duplicateValues" dxfId="412" priority="2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400-000000000000}">
  <sheetPr codeName="Sheet380">
    <pageSetUpPr fitToPage="1"/>
  </sheetPr>
  <dimension ref="A1:N135"/>
  <sheetViews>
    <sheetView topLeftCell="A61" zoomScaleNormal="100" workbookViewId="0">
      <selection activeCell="C51" sqref="C51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1213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45124</v>
      </c>
      <c r="B5" s="9" t="s">
        <v>6</v>
      </c>
      <c r="C5" s="10" t="s">
        <v>7</v>
      </c>
      <c r="D5" s="11"/>
      <c r="E5" s="12">
        <v>372249.70000000019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372249.70000000019</v>
      </c>
      <c r="F6" s="16">
        <f>F5</f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+E6-F6</f>
        <v>372249.70000000019</v>
      </c>
      <c r="F7" s="22"/>
      <c r="G7" s="23"/>
      <c r="H7" s="112"/>
      <c r="I7" s="112"/>
      <c r="J7" s="13"/>
    </row>
    <row r="8" spans="1:10" ht="12.75" customHeight="1" x14ac:dyDescent="0.4">
      <c r="H8" s="112"/>
      <c r="I8" s="112"/>
    </row>
    <row r="9" spans="1:10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12"/>
    </row>
    <row r="10" spans="1:10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12"/>
    </row>
    <row r="11" spans="1:10" s="2" customFormat="1" ht="14.25" customHeight="1" x14ac:dyDescent="0.2">
      <c r="A11" s="127">
        <v>45124</v>
      </c>
      <c r="B11" s="9" t="s">
        <v>6</v>
      </c>
      <c r="C11" s="10" t="s">
        <v>7</v>
      </c>
      <c r="D11" s="11"/>
      <c r="F11" s="12">
        <v>29413521.320000004</v>
      </c>
      <c r="G11" s="1"/>
      <c r="H11" s="130" t="s">
        <v>396</v>
      </c>
      <c r="I11" s="130"/>
    </row>
    <row r="12" spans="1:10" s="2" customFormat="1" ht="14.25" customHeight="1" x14ac:dyDescent="0.2">
      <c r="A12" s="127">
        <v>45124</v>
      </c>
      <c r="B12" s="9" t="s">
        <v>6</v>
      </c>
      <c r="C12" s="76" t="s">
        <v>405</v>
      </c>
      <c r="D12" s="125" t="s">
        <v>13</v>
      </c>
      <c r="E12" s="22">
        <v>1987015</v>
      </c>
      <c r="F12" s="22"/>
      <c r="G12" s="1"/>
      <c r="H12" s="141"/>
      <c r="I12" s="141"/>
    </row>
    <row r="13" spans="1:10" s="2" customFormat="1" ht="14.25" customHeight="1" x14ac:dyDescent="0.2">
      <c r="A13" s="127">
        <v>45124</v>
      </c>
      <c r="B13" s="9" t="s">
        <v>6</v>
      </c>
      <c r="C13" s="76" t="s">
        <v>16</v>
      </c>
      <c r="D13" s="125" t="s">
        <v>13</v>
      </c>
      <c r="E13" s="31">
        <v>5662.31</v>
      </c>
      <c r="F13" s="31"/>
      <c r="G13" s="1"/>
      <c r="H13" s="130"/>
      <c r="I13" s="130"/>
    </row>
    <row r="14" spans="1:10" s="2" customFormat="1" ht="14.25" customHeight="1" x14ac:dyDescent="0.2">
      <c r="A14" s="127">
        <v>45124</v>
      </c>
      <c r="B14" s="9" t="s">
        <v>6</v>
      </c>
      <c r="C14" s="76" t="s">
        <v>21</v>
      </c>
      <c r="D14" s="125" t="s">
        <v>13</v>
      </c>
      <c r="E14" s="31">
        <v>250000</v>
      </c>
      <c r="F14" s="31"/>
      <c r="G14" s="1"/>
      <c r="H14" s="130"/>
      <c r="I14" s="130"/>
    </row>
    <row r="15" spans="1:10" s="2" customFormat="1" ht="14.25" customHeight="1" x14ac:dyDescent="0.2">
      <c r="A15" s="127">
        <v>45124</v>
      </c>
      <c r="B15" s="9" t="s">
        <v>11</v>
      </c>
      <c r="C15" s="76" t="s">
        <v>339</v>
      </c>
      <c r="D15" s="125" t="s">
        <v>29</v>
      </c>
      <c r="E15" s="31"/>
      <c r="F15" s="31">
        <v>100843.29</v>
      </c>
      <c r="G15" s="1"/>
      <c r="H15" s="130"/>
      <c r="I15" s="130"/>
    </row>
    <row r="16" spans="1:10" s="2" customFormat="1" ht="14.25" customHeight="1" x14ac:dyDescent="0.2">
      <c r="A16" s="127">
        <v>45124</v>
      </c>
      <c r="B16" s="9" t="s">
        <v>11</v>
      </c>
      <c r="C16" s="76" t="s">
        <v>800</v>
      </c>
      <c r="D16" s="125" t="s">
        <v>29</v>
      </c>
      <c r="E16" s="31"/>
      <c r="F16" s="31">
        <v>8000</v>
      </c>
      <c r="G16" s="1"/>
      <c r="H16" s="130"/>
      <c r="I16" s="130"/>
    </row>
    <row r="17" spans="1:10" s="2" customFormat="1" ht="14.25" customHeight="1" x14ac:dyDescent="0.2">
      <c r="A17" s="127">
        <v>45124</v>
      </c>
      <c r="B17" s="9" t="s">
        <v>11</v>
      </c>
      <c r="C17" s="76" t="s">
        <v>1214</v>
      </c>
      <c r="D17" s="125" t="s">
        <v>29</v>
      </c>
      <c r="E17" s="31"/>
      <c r="F17" s="31">
        <v>53491</v>
      </c>
      <c r="G17" s="1"/>
      <c r="H17" s="130"/>
      <c r="I17" s="130"/>
    </row>
    <row r="18" spans="1:10" s="2" customFormat="1" ht="14.25" customHeight="1" x14ac:dyDescent="0.2">
      <c r="A18" s="127">
        <v>45124</v>
      </c>
      <c r="B18" s="9" t="s">
        <v>11</v>
      </c>
      <c r="C18" s="76" t="s">
        <v>1215</v>
      </c>
      <c r="D18" s="125" t="s">
        <v>29</v>
      </c>
      <c r="E18" s="31"/>
      <c r="F18" s="31">
        <v>19425</v>
      </c>
      <c r="G18" s="1"/>
      <c r="H18" s="130"/>
      <c r="I18" s="130"/>
    </row>
    <row r="19" spans="1:10" s="2" customFormat="1" ht="14.25" customHeight="1" x14ac:dyDescent="0.2">
      <c r="A19" s="127">
        <v>45124</v>
      </c>
      <c r="B19" s="9" t="s">
        <v>11</v>
      </c>
      <c r="C19" s="76" t="s">
        <v>1216</v>
      </c>
      <c r="D19" s="125" t="s">
        <v>29</v>
      </c>
      <c r="E19" s="31"/>
      <c r="F19" s="31">
        <v>38289</v>
      </c>
      <c r="G19" s="1"/>
      <c r="H19" s="130"/>
      <c r="I19" s="130"/>
    </row>
    <row r="20" spans="1:10" s="2" customFormat="1" ht="14.25" customHeight="1" x14ac:dyDescent="0.2">
      <c r="A20" s="127">
        <v>45124</v>
      </c>
      <c r="B20" s="9" t="s">
        <v>11</v>
      </c>
      <c r="C20" s="76" t="s">
        <v>603</v>
      </c>
      <c r="D20" s="125" t="s">
        <v>29</v>
      </c>
      <c r="E20" s="31"/>
      <c r="F20" s="31">
        <v>22397</v>
      </c>
      <c r="G20" s="1"/>
      <c r="H20" s="130"/>
      <c r="I20" s="130"/>
    </row>
    <row r="21" spans="1:10" s="2" customFormat="1" ht="12.75" customHeight="1" x14ac:dyDescent="0.4">
      <c r="D21" s="15" t="s">
        <v>8</v>
      </c>
      <c r="E21" s="16">
        <f>SUM(E12:E20)</f>
        <v>2242677.31</v>
      </c>
      <c r="F21" s="16">
        <f>SUM(F11:F20)</f>
        <v>29655966.610000003</v>
      </c>
      <c r="G21" s="1"/>
      <c r="H21" s="112"/>
      <c r="I21" s="112"/>
    </row>
    <row r="22" spans="1:10" s="2" customFormat="1" ht="12.75" customHeight="1" x14ac:dyDescent="0.4">
      <c r="A22" s="17"/>
      <c r="B22" s="18"/>
      <c r="C22" s="96" t="s">
        <v>9</v>
      </c>
      <c r="D22" s="20"/>
      <c r="E22" s="21">
        <f>+F21-E21</f>
        <v>27413289.300000004</v>
      </c>
      <c r="G22" s="23"/>
      <c r="H22" s="112"/>
      <c r="I22" s="112"/>
      <c r="J22" s="13"/>
    </row>
    <row r="23" spans="1:10" s="2" customFormat="1" ht="12.75" customHeight="1" x14ac:dyDescent="0.4">
      <c r="A23" s="24"/>
      <c r="B23" s="1"/>
      <c r="C23" s="14"/>
      <c r="D23" s="25"/>
      <c r="G23" s="23"/>
      <c r="H23" s="112"/>
      <c r="I23" s="112"/>
      <c r="J23" s="13"/>
    </row>
    <row r="24" spans="1:10" s="2" customFormat="1" ht="21.75" customHeight="1" x14ac:dyDescent="0.4">
      <c r="A24" s="214" t="s">
        <v>10</v>
      </c>
      <c r="B24" s="214"/>
      <c r="C24" s="214"/>
      <c r="D24" s="214"/>
      <c r="E24" s="214"/>
      <c r="F24" s="214"/>
      <c r="G24" s="13"/>
      <c r="H24" s="112"/>
      <c r="I24" s="112"/>
      <c r="J24" s="13"/>
    </row>
    <row r="25" spans="1:10" s="2" customFormat="1" ht="12.75" customHeight="1" x14ac:dyDescent="0.4">
      <c r="A25" s="26" t="s">
        <v>1</v>
      </c>
      <c r="B25" s="27" t="s">
        <v>2</v>
      </c>
      <c r="C25" s="5"/>
      <c r="D25" s="6" t="s">
        <v>3</v>
      </c>
      <c r="E25" s="7" t="s">
        <v>4</v>
      </c>
      <c r="F25" s="7" t="s">
        <v>5</v>
      </c>
      <c r="G25" s="23"/>
      <c r="H25" s="112"/>
      <c r="I25" s="112"/>
      <c r="J25" s="13"/>
    </row>
    <row r="26" spans="1:10" s="2" customFormat="1" ht="12.75" customHeight="1" x14ac:dyDescent="0.2">
      <c r="A26" s="127">
        <v>45124</v>
      </c>
      <c r="B26" s="128" t="s">
        <v>11</v>
      </c>
      <c r="C26" s="29" t="s">
        <v>7</v>
      </c>
      <c r="D26" s="25"/>
      <c r="E26" s="31"/>
      <c r="F26" s="2">
        <v>272659249.05000001</v>
      </c>
      <c r="G26" s="30"/>
      <c r="I26" s="13"/>
      <c r="J26" s="13"/>
    </row>
    <row r="27" spans="1:10" s="70" customFormat="1" ht="12.75" customHeight="1" x14ac:dyDescent="0.2">
      <c r="A27" s="127">
        <v>45124</v>
      </c>
      <c r="B27" s="128" t="s">
        <v>6</v>
      </c>
      <c r="C27" s="76" t="s">
        <v>149</v>
      </c>
      <c r="D27" s="125" t="s">
        <v>13</v>
      </c>
      <c r="E27" s="31">
        <v>213419</v>
      </c>
      <c r="G27" s="30"/>
      <c r="I27" s="69"/>
      <c r="J27" s="69"/>
    </row>
    <row r="28" spans="1:10" s="70" customFormat="1" ht="12.75" customHeight="1" x14ac:dyDescent="0.2">
      <c r="A28" s="127">
        <v>45124</v>
      </c>
      <c r="B28" s="128" t="s">
        <v>6</v>
      </c>
      <c r="C28" s="76" t="s">
        <v>617</v>
      </c>
      <c r="D28" s="125" t="s">
        <v>13</v>
      </c>
      <c r="E28" s="31">
        <v>81480</v>
      </c>
      <c r="G28" s="30"/>
      <c r="I28" s="69"/>
      <c r="J28" s="69"/>
    </row>
    <row r="29" spans="1:10" s="70" customFormat="1" ht="12.75" customHeight="1" x14ac:dyDescent="0.2">
      <c r="A29" s="127">
        <v>45124</v>
      </c>
      <c r="B29" s="128" t="s">
        <v>6</v>
      </c>
      <c r="C29" s="76" t="s">
        <v>244</v>
      </c>
      <c r="D29" s="125" t="s">
        <v>13</v>
      </c>
      <c r="E29" s="31">
        <v>999000</v>
      </c>
      <c r="G29" s="30"/>
      <c r="I29" s="69"/>
      <c r="J29" s="69"/>
    </row>
    <row r="30" spans="1:10" s="70" customFormat="1" ht="12.75" customHeight="1" x14ac:dyDescent="0.2">
      <c r="A30" s="127">
        <v>45124</v>
      </c>
      <c r="B30" s="128" t="s">
        <v>6</v>
      </c>
      <c r="C30" s="76" t="s">
        <v>759</v>
      </c>
      <c r="D30" s="125" t="s">
        <v>13</v>
      </c>
      <c r="E30" s="31">
        <v>958383.5</v>
      </c>
      <c r="G30" s="30"/>
      <c r="I30" s="69"/>
      <c r="J30" s="69"/>
    </row>
    <row r="31" spans="1:10" s="70" customFormat="1" ht="12.75" customHeight="1" x14ac:dyDescent="0.2">
      <c r="A31" s="127">
        <v>45124</v>
      </c>
      <c r="B31" s="128" t="s">
        <v>6</v>
      </c>
      <c r="C31" s="76" t="s">
        <v>758</v>
      </c>
      <c r="D31" s="125" t="s">
        <v>13</v>
      </c>
      <c r="E31" s="31">
        <v>58057.599999999999</v>
      </c>
      <c r="G31" s="30"/>
      <c r="I31" s="69"/>
      <c r="J31" s="69"/>
    </row>
    <row r="32" spans="1:10" s="70" customFormat="1" ht="12.75" customHeight="1" x14ac:dyDescent="0.2">
      <c r="A32" s="127">
        <v>45124</v>
      </c>
      <c r="B32" s="128" t="s">
        <v>6</v>
      </c>
      <c r="C32" s="76" t="s">
        <v>760</v>
      </c>
      <c r="D32" s="125" t="s">
        <v>13</v>
      </c>
      <c r="E32" s="31">
        <v>341432.3</v>
      </c>
      <c r="G32" s="30"/>
      <c r="I32" s="69"/>
      <c r="J32" s="69"/>
    </row>
    <row r="33" spans="1:10" s="70" customFormat="1" ht="12.75" customHeight="1" x14ac:dyDescent="0.2">
      <c r="A33" s="127">
        <v>45124</v>
      </c>
      <c r="B33" s="128" t="s">
        <v>6</v>
      </c>
      <c r="C33" s="76" t="s">
        <v>1217</v>
      </c>
      <c r="D33" s="125" t="s">
        <v>13</v>
      </c>
      <c r="E33" s="31">
        <v>100000</v>
      </c>
      <c r="G33" s="30"/>
      <c r="I33" s="69"/>
      <c r="J33" s="69"/>
    </row>
    <row r="34" spans="1:10" s="70" customFormat="1" ht="12.75" customHeight="1" x14ac:dyDescent="0.2">
      <c r="A34" s="127">
        <v>45124</v>
      </c>
      <c r="B34" s="128" t="s">
        <v>6</v>
      </c>
      <c r="C34" s="76" t="s">
        <v>633</v>
      </c>
      <c r="D34" s="125" t="s">
        <v>13</v>
      </c>
      <c r="E34" s="31">
        <v>412879</v>
      </c>
      <c r="G34" s="30"/>
      <c r="I34" s="69"/>
      <c r="J34" s="69"/>
    </row>
    <row r="35" spans="1:10" s="70" customFormat="1" ht="12.75" customHeight="1" x14ac:dyDescent="0.2">
      <c r="A35" s="127">
        <v>45124</v>
      </c>
      <c r="B35" s="128" t="s">
        <v>6</v>
      </c>
      <c r="C35" s="76" t="s">
        <v>103</v>
      </c>
      <c r="D35" s="125" t="s">
        <v>13</v>
      </c>
      <c r="E35" s="31">
        <v>2341769</v>
      </c>
      <c r="G35" s="30"/>
      <c r="I35" s="69"/>
      <c r="J35" s="69"/>
    </row>
    <row r="36" spans="1:10" s="70" customFormat="1" ht="12.75" customHeight="1" x14ac:dyDescent="0.2">
      <c r="A36" s="127">
        <v>45124</v>
      </c>
      <c r="B36" s="128" t="s">
        <v>6</v>
      </c>
      <c r="C36" s="76" t="s">
        <v>326</v>
      </c>
      <c r="D36" s="125" t="s">
        <v>13</v>
      </c>
      <c r="E36" s="31">
        <v>778560.99</v>
      </c>
      <c r="G36" s="30"/>
      <c r="I36" s="69"/>
      <c r="J36" s="69"/>
    </row>
    <row r="37" spans="1:10" s="70" customFormat="1" ht="12.75" customHeight="1" x14ac:dyDescent="0.2">
      <c r="A37" s="127">
        <v>45124</v>
      </c>
      <c r="B37" s="128" t="s">
        <v>6</v>
      </c>
      <c r="C37" s="76" t="s">
        <v>822</v>
      </c>
      <c r="D37" s="125" t="s">
        <v>13</v>
      </c>
      <c r="E37" s="31">
        <v>6566</v>
      </c>
      <c r="G37" s="30"/>
      <c r="I37" s="69"/>
      <c r="J37" s="69"/>
    </row>
    <row r="38" spans="1:10" s="70" customFormat="1" ht="12.75" customHeight="1" x14ac:dyDescent="0.2">
      <c r="A38" s="127">
        <v>45124</v>
      </c>
      <c r="B38" s="128" t="s">
        <v>6</v>
      </c>
      <c r="C38" s="76" t="s">
        <v>325</v>
      </c>
      <c r="D38" s="125" t="s">
        <v>13</v>
      </c>
      <c r="E38" s="31">
        <v>840225</v>
      </c>
      <c r="G38" s="30"/>
      <c r="I38" s="69"/>
      <c r="J38" s="69"/>
    </row>
    <row r="39" spans="1:10" s="70" customFormat="1" ht="12.75" customHeight="1" x14ac:dyDescent="0.2">
      <c r="A39" s="127">
        <v>45124</v>
      </c>
      <c r="B39" s="128" t="s">
        <v>6</v>
      </c>
      <c r="C39" s="76" t="s">
        <v>93</v>
      </c>
      <c r="D39" s="125" t="s">
        <v>13</v>
      </c>
      <c r="E39" s="31">
        <v>1065478</v>
      </c>
      <c r="G39" s="30"/>
      <c r="I39" s="69"/>
      <c r="J39" s="69"/>
    </row>
    <row r="40" spans="1:10" s="70" customFormat="1" ht="12.75" customHeight="1" x14ac:dyDescent="0.2">
      <c r="A40" s="127">
        <v>45124</v>
      </c>
      <c r="B40" s="128" t="s">
        <v>6</v>
      </c>
      <c r="C40" s="76" t="s">
        <v>236</v>
      </c>
      <c r="D40" s="125" t="s">
        <v>13</v>
      </c>
      <c r="E40" s="31">
        <v>2000000</v>
      </c>
      <c r="G40" s="30"/>
      <c r="I40" s="69"/>
      <c r="J40" s="69"/>
    </row>
    <row r="41" spans="1:10" s="70" customFormat="1" ht="12.75" customHeight="1" x14ac:dyDescent="0.2">
      <c r="A41" s="127">
        <v>45124</v>
      </c>
      <c r="B41" s="128" t="s">
        <v>6</v>
      </c>
      <c r="C41" s="76" t="s">
        <v>238</v>
      </c>
      <c r="D41" s="125" t="s">
        <v>13</v>
      </c>
      <c r="E41" s="31">
        <v>500000</v>
      </c>
      <c r="G41" s="30"/>
      <c r="I41" s="69"/>
      <c r="J41" s="69"/>
    </row>
    <row r="42" spans="1:10" s="70" customFormat="1" ht="12.75" customHeight="1" x14ac:dyDescent="0.2">
      <c r="A42" s="127">
        <v>45124</v>
      </c>
      <c r="B42" s="128" t="s">
        <v>6</v>
      </c>
      <c r="C42" s="76" t="s">
        <v>1218</v>
      </c>
      <c r="D42" s="125" t="s">
        <v>13</v>
      </c>
      <c r="E42" s="31">
        <v>448563</v>
      </c>
      <c r="G42" s="30"/>
      <c r="I42" s="69"/>
      <c r="J42" s="69"/>
    </row>
    <row r="43" spans="1:10" s="70" customFormat="1" ht="12.75" customHeight="1" x14ac:dyDescent="0.2">
      <c r="A43" s="127">
        <v>45124</v>
      </c>
      <c r="B43" s="128" t="s">
        <v>6</v>
      </c>
      <c r="C43" s="76" t="s">
        <v>295</v>
      </c>
      <c r="D43" s="125" t="s">
        <v>13</v>
      </c>
      <c r="E43" s="31">
        <v>74631</v>
      </c>
      <c r="G43" s="30"/>
      <c r="I43" s="69"/>
      <c r="J43" s="69"/>
    </row>
    <row r="44" spans="1:10" s="70" customFormat="1" ht="12.75" customHeight="1" x14ac:dyDescent="0.2">
      <c r="A44" s="127">
        <v>45124</v>
      </c>
      <c r="B44" s="128" t="s">
        <v>6</v>
      </c>
      <c r="C44" s="76" t="s">
        <v>853</v>
      </c>
      <c r="D44" s="125" t="s">
        <v>13</v>
      </c>
      <c r="E44" s="31">
        <v>12128</v>
      </c>
      <c r="G44" s="30"/>
      <c r="I44" s="69"/>
      <c r="J44" s="69"/>
    </row>
    <row r="45" spans="1:10" s="70" customFormat="1" ht="12.75" customHeight="1" x14ac:dyDescent="0.2">
      <c r="A45" s="127">
        <v>45124</v>
      </c>
      <c r="B45" s="128" t="s">
        <v>6</v>
      </c>
      <c r="C45" s="76" t="s">
        <v>213</v>
      </c>
      <c r="D45" s="125" t="s">
        <v>13</v>
      </c>
      <c r="E45" s="31">
        <v>236375</v>
      </c>
      <c r="G45" s="30"/>
      <c r="I45" s="69"/>
      <c r="J45" s="69"/>
    </row>
    <row r="46" spans="1:10" s="70" customFormat="1" ht="12.75" customHeight="1" x14ac:dyDescent="0.2">
      <c r="A46" s="127">
        <v>45124</v>
      </c>
      <c r="B46" s="128" t="s">
        <v>6</v>
      </c>
      <c r="C46" s="76" t="s">
        <v>264</v>
      </c>
      <c r="D46" s="125" t="s">
        <v>13</v>
      </c>
      <c r="E46" s="31">
        <v>1575000</v>
      </c>
      <c r="G46" s="30"/>
      <c r="I46" s="69"/>
      <c r="J46" s="69"/>
    </row>
    <row r="47" spans="1:10" s="70" customFormat="1" ht="12.75" customHeight="1" x14ac:dyDescent="0.2">
      <c r="A47" s="127">
        <v>45124</v>
      </c>
      <c r="B47" s="128" t="s">
        <v>6</v>
      </c>
      <c r="C47" s="76" t="s">
        <v>785</v>
      </c>
      <c r="D47" s="125" t="s">
        <v>13</v>
      </c>
      <c r="E47" s="31">
        <v>3102539</v>
      </c>
      <c r="G47" s="30"/>
      <c r="I47" s="69"/>
      <c r="J47" s="69"/>
    </row>
    <row r="48" spans="1:10" s="70" customFormat="1" ht="12.75" customHeight="1" x14ac:dyDescent="0.2">
      <c r="A48" s="127">
        <v>45124</v>
      </c>
      <c r="B48" s="128" t="s">
        <v>6</v>
      </c>
      <c r="C48" s="76" t="s">
        <v>15</v>
      </c>
      <c r="D48" s="125" t="s">
        <v>13</v>
      </c>
      <c r="E48" s="31">
        <f>98977.51+84467.83</f>
        <v>183445.34</v>
      </c>
      <c r="G48" s="30"/>
      <c r="I48" s="69"/>
      <c r="J48" s="69"/>
    </row>
    <row r="49" spans="1:14" s="70" customFormat="1" ht="12.75" customHeight="1" x14ac:dyDescent="0.2">
      <c r="A49" s="127">
        <v>45124</v>
      </c>
      <c r="B49" s="128" t="s">
        <v>6</v>
      </c>
      <c r="C49" s="76" t="s">
        <v>755</v>
      </c>
      <c r="D49" s="125" t="s">
        <v>13</v>
      </c>
      <c r="E49" s="31">
        <v>688781</v>
      </c>
      <c r="G49" s="30"/>
      <c r="I49" s="69"/>
      <c r="J49" s="69"/>
    </row>
    <row r="50" spans="1:14" s="70" customFormat="1" ht="12.75" customHeight="1" x14ac:dyDescent="0.2">
      <c r="A50" s="127">
        <v>45124</v>
      </c>
      <c r="B50" s="128" t="s">
        <v>6</v>
      </c>
      <c r="C50" s="76" t="s">
        <v>750</v>
      </c>
      <c r="D50" s="125" t="s">
        <v>13</v>
      </c>
      <c r="E50" s="31">
        <v>291118.90000000002</v>
      </c>
      <c r="G50" s="30"/>
      <c r="I50" s="69"/>
      <c r="J50" s="69"/>
    </row>
    <row r="51" spans="1:14" s="70" customFormat="1" ht="12.75" customHeight="1" x14ac:dyDescent="0.2">
      <c r="A51" s="127">
        <v>45124</v>
      </c>
      <c r="B51" s="128" t="s">
        <v>6</v>
      </c>
      <c r="C51" s="76" t="s">
        <v>101</v>
      </c>
      <c r="D51" s="125" t="s">
        <v>13</v>
      </c>
      <c r="E51" s="31">
        <v>1188183</v>
      </c>
      <c r="G51" s="30"/>
      <c r="I51" s="69"/>
      <c r="J51" s="69"/>
    </row>
    <row r="52" spans="1:14" s="70" customFormat="1" ht="12.75" customHeight="1" x14ac:dyDescent="0.2">
      <c r="A52" s="127">
        <v>45124</v>
      </c>
      <c r="B52" s="128" t="s">
        <v>11</v>
      </c>
      <c r="C52" s="76" t="s">
        <v>15</v>
      </c>
      <c r="D52" s="125" t="s">
        <v>29</v>
      </c>
      <c r="E52" s="31"/>
      <c r="F52" s="70">
        <v>49062.62</v>
      </c>
      <c r="G52" s="30"/>
      <c r="I52" s="69"/>
      <c r="J52" s="69"/>
    </row>
    <row r="53" spans="1:14" s="70" customFormat="1" ht="12.75" customHeight="1" x14ac:dyDescent="0.2">
      <c r="A53" s="127">
        <v>45124</v>
      </c>
      <c r="B53" s="128" t="s">
        <v>11</v>
      </c>
      <c r="C53" s="76" t="s">
        <v>156</v>
      </c>
      <c r="D53" s="125" t="s">
        <v>29</v>
      </c>
      <c r="E53" s="31"/>
      <c r="F53" s="70">
        <v>105</v>
      </c>
      <c r="G53" s="30"/>
      <c r="I53" s="69"/>
      <c r="J53" s="69"/>
    </row>
    <row r="54" spans="1:14" s="70" customFormat="1" ht="12.75" customHeight="1" x14ac:dyDescent="0.2">
      <c r="A54" s="127">
        <v>45124</v>
      </c>
      <c r="B54" s="128" t="s">
        <v>11</v>
      </c>
      <c r="C54" s="76" t="s">
        <v>550</v>
      </c>
      <c r="D54" s="125" t="s">
        <v>29</v>
      </c>
      <c r="E54" s="31"/>
      <c r="F54" s="70">
        <v>375000</v>
      </c>
      <c r="G54" s="30"/>
      <c r="I54" s="69"/>
      <c r="J54" s="69"/>
    </row>
    <row r="55" spans="1:14" s="70" customFormat="1" ht="12.75" customHeight="1" x14ac:dyDescent="0.2">
      <c r="A55" s="127">
        <v>45124</v>
      </c>
      <c r="B55" s="128" t="s">
        <v>11</v>
      </c>
      <c r="C55" s="76" t="s">
        <v>64</v>
      </c>
      <c r="D55" s="125" t="s">
        <v>29</v>
      </c>
      <c r="E55" s="31"/>
      <c r="F55" s="70">
        <v>1192.98</v>
      </c>
      <c r="G55" s="30"/>
      <c r="I55" s="69"/>
      <c r="J55" s="69"/>
    </row>
    <row r="56" spans="1:14" s="70" customFormat="1" ht="12.75" customHeight="1" x14ac:dyDescent="0.2">
      <c r="A56" s="127">
        <v>45124</v>
      </c>
      <c r="B56" s="128" t="s">
        <v>11</v>
      </c>
      <c r="C56" s="76" t="s">
        <v>111</v>
      </c>
      <c r="D56" s="125" t="s">
        <v>29</v>
      </c>
      <c r="E56" s="31"/>
      <c r="F56" s="70">
        <v>3479700.6900000004</v>
      </c>
      <c r="G56" s="30"/>
      <c r="I56" s="69"/>
      <c r="J56" s="69"/>
    </row>
    <row r="57" spans="1:14" s="70" customFormat="1" ht="12.75" customHeight="1" x14ac:dyDescent="0.2">
      <c r="A57" s="127">
        <v>45124</v>
      </c>
      <c r="B57" s="128" t="s">
        <v>11</v>
      </c>
      <c r="C57" s="76" t="s">
        <v>109</v>
      </c>
      <c r="D57" s="125" t="s">
        <v>29</v>
      </c>
      <c r="E57" s="31"/>
      <c r="F57" s="70">
        <v>1122831</v>
      </c>
      <c r="G57" s="30"/>
      <c r="I57" s="69"/>
      <c r="J57" s="69"/>
    </row>
    <row r="58" spans="1:14" s="70" customFormat="1" ht="12.75" customHeight="1" x14ac:dyDescent="0.2">
      <c r="A58" s="127">
        <v>45124</v>
      </c>
      <c r="B58" s="128" t="s">
        <v>11</v>
      </c>
      <c r="C58" s="76" t="s">
        <v>748</v>
      </c>
      <c r="D58" s="125" t="s">
        <v>29</v>
      </c>
      <c r="E58" s="31"/>
      <c r="F58" s="70">
        <v>905148</v>
      </c>
      <c r="G58" s="30"/>
      <c r="I58" s="69"/>
      <c r="J58" s="69"/>
    </row>
    <row r="59" spans="1:14" s="70" customFormat="1" ht="12.75" customHeight="1" x14ac:dyDescent="0.2">
      <c r="A59" s="127">
        <v>45124</v>
      </c>
      <c r="B59" s="128" t="s">
        <v>11</v>
      </c>
      <c r="C59" s="76" t="s">
        <v>486</v>
      </c>
      <c r="D59" s="125" t="s">
        <v>29</v>
      </c>
      <c r="E59" s="31"/>
      <c r="F59" s="70">
        <v>2500000</v>
      </c>
      <c r="G59" s="30"/>
      <c r="I59" s="69"/>
      <c r="J59" s="69"/>
    </row>
    <row r="60" spans="1:14" s="70" customFormat="1" ht="12.75" customHeight="1" x14ac:dyDescent="0.2">
      <c r="A60" s="127">
        <v>45124</v>
      </c>
      <c r="B60" s="128" t="s">
        <v>11</v>
      </c>
      <c r="C60" s="76" t="s">
        <v>1219</v>
      </c>
      <c r="D60" s="125" t="s">
        <v>29</v>
      </c>
      <c r="E60" s="31"/>
      <c r="F60" s="70">
        <v>100000</v>
      </c>
      <c r="G60" s="30"/>
      <c r="I60" s="69"/>
      <c r="J60" s="69"/>
    </row>
    <row r="61" spans="1:14" s="2" customFormat="1" ht="12.75" customHeight="1" x14ac:dyDescent="0.25">
      <c r="A61" s="32"/>
      <c r="B61" s="33"/>
      <c r="C61" s="14"/>
      <c r="D61" s="34"/>
      <c r="E61" s="16">
        <f>SUM(E26:E60)</f>
        <v>18498014.629999999</v>
      </c>
      <c r="F61" s="16">
        <f>SUM(F26:F60)</f>
        <v>281192289.34000003</v>
      </c>
      <c r="G61" s="30"/>
      <c r="H61" s="1"/>
      <c r="I61" s="39">
        <v>262694274.71000004</v>
      </c>
      <c r="J61" s="2" t="s">
        <v>396</v>
      </c>
      <c r="K61" s="92">
        <f>E62-I61</f>
        <v>0</v>
      </c>
      <c r="L61" s="41"/>
      <c r="M61" s="42"/>
    </row>
    <row r="62" spans="1:14" s="2" customFormat="1" ht="12.75" customHeight="1" x14ac:dyDescent="0.2">
      <c r="A62" s="36"/>
      <c r="B62" s="28" t="s">
        <v>11</v>
      </c>
      <c r="C62" s="19" t="s">
        <v>65</v>
      </c>
      <c r="D62" s="37"/>
      <c r="E62" s="38">
        <f>F61-E61</f>
        <v>262694274.71000004</v>
      </c>
      <c r="F62" s="22"/>
      <c r="G62" s="1"/>
      <c r="H62" s="1"/>
      <c r="J62" s="1"/>
      <c r="K62" s="1"/>
      <c r="L62" s="1"/>
      <c r="M62" s="1"/>
    </row>
    <row r="63" spans="1:14" s="2" customFormat="1" ht="12.75" customHeight="1" x14ac:dyDescent="0.2">
      <c r="A63" s="36"/>
      <c r="B63" s="28" t="s">
        <v>66</v>
      </c>
      <c r="C63" s="43" t="s">
        <v>67</v>
      </c>
      <c r="D63" s="43"/>
      <c r="E63" s="12">
        <v>59416310</v>
      </c>
      <c r="F63" s="22"/>
      <c r="G63" s="1"/>
      <c r="H63" s="40"/>
      <c r="I63" s="45">
        <v>2401.62</v>
      </c>
      <c r="J63" s="46"/>
      <c r="K63" s="46"/>
      <c r="L63" s="13"/>
    </row>
    <row r="64" spans="1:14" s="2" customFormat="1" ht="12.75" customHeight="1" x14ac:dyDescent="0.25">
      <c r="A64" s="36"/>
      <c r="B64" s="28"/>
      <c r="C64" s="44" t="s">
        <v>68</v>
      </c>
      <c r="D64" s="43"/>
      <c r="E64" s="7">
        <f>E62+E63</f>
        <v>322110584.71000004</v>
      </c>
      <c r="F64" s="22"/>
      <c r="G64" s="1"/>
      <c r="H64" s="103" t="s">
        <v>69</v>
      </c>
      <c r="I64" s="45">
        <v>-70.47</v>
      </c>
      <c r="J64" s="46"/>
      <c r="K64" s="46"/>
      <c r="N64" s="1"/>
    </row>
    <row r="65" spans="1:14" s="2" customFormat="1" x14ac:dyDescent="0.2">
      <c r="A65" s="24"/>
      <c r="B65" s="1"/>
      <c r="C65" s="14"/>
      <c r="D65" s="25"/>
      <c r="E65" s="1"/>
      <c r="H65" s="35" t="s">
        <v>70</v>
      </c>
      <c r="I65" s="45">
        <v>48.79</v>
      </c>
      <c r="J65" s="46">
        <f>+I66-D68</f>
        <v>0</v>
      </c>
      <c r="M65" s="2" t="s">
        <v>396</v>
      </c>
      <c r="N65" s="1"/>
    </row>
    <row r="66" spans="1:14" x14ac:dyDescent="0.2">
      <c r="C66" s="56"/>
      <c r="D66" s="56"/>
      <c r="E66" s="104"/>
      <c r="I66" s="49">
        <f>SUM(I63:I65)</f>
        <v>2379.94</v>
      </c>
      <c r="J66" s="46"/>
      <c r="K66" s="46"/>
      <c r="L66" s="2"/>
      <c r="M66" s="2"/>
      <c r="N66" s="2"/>
    </row>
    <row r="67" spans="1:14" x14ac:dyDescent="0.2">
      <c r="C67" s="78" t="s">
        <v>575</v>
      </c>
      <c r="D67" s="48" t="s">
        <v>576</v>
      </c>
      <c r="E67" s="104"/>
      <c r="I67" s="2"/>
      <c r="J67" s="2"/>
      <c r="K67" s="2"/>
      <c r="L67" s="2"/>
      <c r="M67" s="2"/>
      <c r="N67" s="2"/>
    </row>
    <row r="68" spans="1:14" s="2" customFormat="1" x14ac:dyDescent="0.2">
      <c r="A68" s="24"/>
      <c r="B68" s="1"/>
      <c r="C68" s="47" t="s">
        <v>570</v>
      </c>
      <c r="D68" s="111">
        <v>2379.94</v>
      </c>
      <c r="E68" s="104"/>
      <c r="G68" s="1"/>
      <c r="H68" s="110" t="s">
        <v>581</v>
      </c>
      <c r="N68" s="2" t="s">
        <v>535</v>
      </c>
    </row>
    <row r="69" spans="1:14" s="2" customFormat="1" x14ac:dyDescent="0.2">
      <c r="A69" s="24"/>
      <c r="B69" s="1"/>
      <c r="C69" s="47" t="s">
        <v>931</v>
      </c>
      <c r="D69" s="111">
        <v>287.45999999999998</v>
      </c>
      <c r="E69" s="104"/>
      <c r="G69" s="1"/>
      <c r="H69" s="110" t="s">
        <v>580</v>
      </c>
    </row>
    <row r="70" spans="1:14" s="2" customFormat="1" x14ac:dyDescent="0.2">
      <c r="A70" s="24"/>
      <c r="B70" s="1"/>
      <c r="C70" s="47" t="s">
        <v>572</v>
      </c>
      <c r="D70" s="111">
        <f>+D119/100000</f>
        <v>468.19157920000004</v>
      </c>
      <c r="E70" s="104"/>
      <c r="G70" s="1"/>
      <c r="H70" s="90" t="s">
        <v>587</v>
      </c>
    </row>
    <row r="71" spans="1:14" s="2" customFormat="1" x14ac:dyDescent="0.2">
      <c r="A71" s="24"/>
      <c r="B71" s="1"/>
      <c r="C71" s="108" t="s">
        <v>578</v>
      </c>
      <c r="D71" s="48">
        <f>SUM(D68:D70)</f>
        <v>3135.5915792000001</v>
      </c>
      <c r="E71" s="104"/>
      <c r="G71" s="1"/>
    </row>
    <row r="72" spans="1:14" s="2" customFormat="1" x14ac:dyDescent="0.2">
      <c r="A72" s="24"/>
      <c r="B72" s="1"/>
      <c r="C72" s="47"/>
      <c r="D72" s="107"/>
      <c r="E72" s="104"/>
      <c r="G72" s="1"/>
    </row>
    <row r="73" spans="1:14" s="2" customFormat="1" x14ac:dyDescent="0.2">
      <c r="A73" s="24"/>
      <c r="B73" s="1"/>
      <c r="C73" s="47" t="s">
        <v>932</v>
      </c>
      <c r="D73" s="111">
        <v>152.72</v>
      </c>
      <c r="E73" s="104"/>
      <c r="G73" s="1"/>
      <c r="H73" s="110" t="s">
        <v>581</v>
      </c>
    </row>
    <row r="74" spans="1:14" s="2" customFormat="1" x14ac:dyDescent="0.2">
      <c r="A74" s="24"/>
      <c r="B74" s="1"/>
      <c r="C74" s="136" t="s">
        <v>1142</v>
      </c>
      <c r="D74" s="111">
        <f>263.77-55.45</f>
        <v>208.32</v>
      </c>
      <c r="E74" s="104"/>
      <c r="G74" s="1"/>
      <c r="H74" s="110" t="s">
        <v>581</v>
      </c>
      <c r="J74" s="114" t="s">
        <v>713</v>
      </c>
    </row>
    <row r="75" spans="1:14" s="2" customFormat="1" x14ac:dyDescent="0.2">
      <c r="A75" s="24"/>
      <c r="B75" s="1"/>
      <c r="C75" s="78" t="s">
        <v>579</v>
      </c>
      <c r="D75" s="109">
        <f>D73+D74</f>
        <v>361.03999999999996</v>
      </c>
      <c r="E75" s="104"/>
      <c r="G75" s="1"/>
      <c r="I75" s="113"/>
      <c r="J75" s="113" t="s">
        <v>709</v>
      </c>
      <c r="K75" s="113" t="s">
        <v>710</v>
      </c>
      <c r="L75" s="113" t="s">
        <v>711</v>
      </c>
      <c r="M75" s="113" t="s">
        <v>712</v>
      </c>
    </row>
    <row r="76" spans="1:14" s="2" customFormat="1" x14ac:dyDescent="0.2">
      <c r="A76" s="24"/>
      <c r="B76" s="1"/>
      <c r="C76" s="105"/>
      <c r="D76" s="106"/>
      <c r="E76" s="104"/>
      <c r="G76" s="1"/>
      <c r="I76" s="113" t="s">
        <v>706</v>
      </c>
      <c r="J76" s="115"/>
      <c r="K76" s="115">
        <v>968.99</v>
      </c>
      <c r="L76" s="115">
        <v>968.99</v>
      </c>
      <c r="M76" s="113">
        <f>+J76+L76-K76</f>
        <v>0</v>
      </c>
    </row>
    <row r="77" spans="1:14" s="2" customFormat="1" x14ac:dyDescent="0.2">
      <c r="A77" s="24"/>
      <c r="B77" s="1"/>
      <c r="C77" s="78" t="s">
        <v>577</v>
      </c>
      <c r="D77" s="109">
        <f>D68+D75</f>
        <v>2740.98</v>
      </c>
      <c r="E77" s="104"/>
      <c r="G77" s="1"/>
      <c r="I77" s="113" t="s">
        <v>707</v>
      </c>
      <c r="J77" s="115">
        <v>183.1</v>
      </c>
      <c r="K77" s="115">
        <v>2773.73</v>
      </c>
      <c r="L77" s="115">
        <v>3389.83</v>
      </c>
      <c r="M77" s="113">
        <f>+J77+L77-K77</f>
        <v>799.19999999999982</v>
      </c>
    </row>
    <row r="78" spans="1:14" s="2" customFormat="1" x14ac:dyDescent="0.2">
      <c r="A78" s="24"/>
      <c r="B78" s="1"/>
      <c r="C78" s="56"/>
      <c r="D78" s="56"/>
      <c r="E78" s="104"/>
      <c r="G78" s="1"/>
      <c r="I78" s="113" t="s">
        <v>708</v>
      </c>
      <c r="J78" s="115">
        <v>1371.02</v>
      </c>
      <c r="K78" s="115">
        <v>12842.65</v>
      </c>
      <c r="L78" s="115">
        <v>12668.23</v>
      </c>
      <c r="M78" s="113">
        <f>+J78+L78-K78</f>
        <v>1196.6000000000004</v>
      </c>
    </row>
    <row r="79" spans="1:14" s="2" customFormat="1" ht="38.25" x14ac:dyDescent="0.2">
      <c r="A79" s="24"/>
      <c r="B79" s="1"/>
      <c r="C79" s="79" t="str">
        <f>"Particulars ( 01-04-2021 to "&amp;TEXT(A5,"dd-mm-yyyy")&amp;" )"</f>
        <v>Particulars ( 01-04-2021 to 17-07-2023 )</v>
      </c>
      <c r="D79" s="80" t="s">
        <v>73</v>
      </c>
      <c r="E79" s="80" t="s">
        <v>74</v>
      </c>
      <c r="F79" s="81" t="s">
        <v>75</v>
      </c>
      <c r="G79" s="80" t="s">
        <v>76</v>
      </c>
      <c r="J79" s="118">
        <f>SUM(J76:J78)</f>
        <v>1554.12</v>
      </c>
      <c r="K79" s="118">
        <f>SUM(K76:K78)</f>
        <v>16585.37</v>
      </c>
      <c r="L79" s="118">
        <f>SUM(L76:L78)</f>
        <v>17027.05</v>
      </c>
      <c r="M79" s="118">
        <f>SUM(M76:M78)</f>
        <v>1995.8000000000002</v>
      </c>
    </row>
    <row r="80" spans="1:14" s="2" customFormat="1" x14ac:dyDescent="0.2">
      <c r="A80" s="24"/>
      <c r="B80" s="1"/>
      <c r="C80" s="50" t="s">
        <v>444</v>
      </c>
      <c r="D80" s="55">
        <f>+L76+L77+J77</f>
        <v>4541.92</v>
      </c>
      <c r="E80" s="55">
        <f>+K76+K77</f>
        <v>3742.7200000000003</v>
      </c>
      <c r="F80" s="55">
        <f>+D80-E80</f>
        <v>799.19999999999982</v>
      </c>
      <c r="G80" s="55">
        <f>1500-F80</f>
        <v>700.80000000000018</v>
      </c>
      <c r="H80" s="2" t="s">
        <v>396</v>
      </c>
    </row>
    <row r="81" spans="1:13" s="2" customFormat="1" x14ac:dyDescent="0.2">
      <c r="A81" s="24"/>
      <c r="B81" s="1"/>
      <c r="C81" s="50" t="s">
        <v>71</v>
      </c>
      <c r="D81" s="55">
        <f>+J78+L78</f>
        <v>14039.25</v>
      </c>
      <c r="E81" s="55">
        <f>+K78</f>
        <v>12842.65</v>
      </c>
      <c r="F81" s="55">
        <f>+D81-E81</f>
        <v>1196.6000000000004</v>
      </c>
      <c r="G81" s="55">
        <f>1500+700-F81</f>
        <v>1003.3999999999996</v>
      </c>
      <c r="H81" s="2" t="s">
        <v>396</v>
      </c>
    </row>
    <row r="82" spans="1:13" s="2" customFormat="1" x14ac:dyDescent="0.2">
      <c r="A82" s="24"/>
      <c r="B82" s="1"/>
      <c r="C82" s="14"/>
      <c r="D82" s="56"/>
      <c r="E82" s="13"/>
      <c r="G82" s="1"/>
    </row>
    <row r="83" spans="1:13" s="2" customFormat="1" x14ac:dyDescent="0.2">
      <c r="A83" s="215" t="s">
        <v>80</v>
      </c>
      <c r="B83" s="216"/>
      <c r="C83" s="216"/>
      <c r="D83" s="217"/>
      <c r="E83" s="69"/>
      <c r="F83" s="70"/>
      <c r="G83" s="1"/>
      <c r="H83" s="53"/>
    </row>
    <row r="84" spans="1:13" s="2" customFormat="1" x14ac:dyDescent="0.2">
      <c r="A84" s="71" t="s">
        <v>81</v>
      </c>
      <c r="B84" s="71"/>
      <c r="C84" s="72" t="s">
        <v>82</v>
      </c>
      <c r="D84" s="73" t="s">
        <v>83</v>
      </c>
      <c r="E84" s="69"/>
      <c r="F84" s="70"/>
      <c r="H84" s="53"/>
    </row>
    <row r="85" spans="1:13" s="2" customFormat="1" x14ac:dyDescent="0.2">
      <c r="A85" s="87">
        <v>45108</v>
      </c>
      <c r="B85" s="120" t="s">
        <v>1052</v>
      </c>
      <c r="C85" s="75" t="s">
        <v>84</v>
      </c>
      <c r="D85" s="88">
        <v>3000000</v>
      </c>
      <c r="G85" s="1"/>
      <c r="L85" s="1"/>
      <c r="M85" s="1"/>
    </row>
    <row r="86" spans="1:13" s="2" customFormat="1" x14ac:dyDescent="0.2">
      <c r="A86" s="87">
        <v>45108</v>
      </c>
      <c r="B86" s="120" t="s">
        <v>1052</v>
      </c>
      <c r="C86" s="75" t="s">
        <v>271</v>
      </c>
      <c r="D86" s="88">
        <v>2323148</v>
      </c>
      <c r="G86" s="1"/>
      <c r="L86" s="1"/>
      <c r="M86" s="1"/>
    </row>
    <row r="87" spans="1:13" s="2" customFormat="1" x14ac:dyDescent="0.2">
      <c r="A87" s="87">
        <v>45110</v>
      </c>
      <c r="B87" s="120" t="s">
        <v>1052</v>
      </c>
      <c r="C87" s="75" t="s">
        <v>85</v>
      </c>
      <c r="D87" s="88">
        <v>732575</v>
      </c>
      <c r="G87" s="1"/>
      <c r="L87" s="1"/>
      <c r="M87" s="1"/>
    </row>
    <row r="88" spans="1:13" s="2" customFormat="1" x14ac:dyDescent="0.2">
      <c r="A88" s="87">
        <v>45110</v>
      </c>
      <c r="B88" s="120" t="s">
        <v>1052</v>
      </c>
      <c r="C88" s="75" t="s">
        <v>86</v>
      </c>
      <c r="D88" s="88">
        <v>2676974</v>
      </c>
      <c r="G88" s="1"/>
      <c r="L88" s="1"/>
      <c r="M88" s="1"/>
    </row>
    <row r="89" spans="1:13" s="2" customFormat="1" x14ac:dyDescent="0.2">
      <c r="A89" s="87">
        <v>45110</v>
      </c>
      <c r="B89" s="120" t="s">
        <v>1052</v>
      </c>
      <c r="C89" s="75" t="s">
        <v>86</v>
      </c>
      <c r="D89" s="88">
        <v>1043475</v>
      </c>
      <c r="G89" s="1"/>
      <c r="L89" s="1"/>
      <c r="M89" s="1"/>
    </row>
    <row r="90" spans="1:13" s="2" customFormat="1" x14ac:dyDescent="0.2">
      <c r="A90" s="87">
        <v>45111</v>
      </c>
      <c r="B90" s="120" t="s">
        <v>1052</v>
      </c>
      <c r="C90" s="75" t="s">
        <v>270</v>
      </c>
      <c r="D90" s="88">
        <v>106093</v>
      </c>
      <c r="G90" s="1"/>
      <c r="L90" s="1"/>
      <c r="M90" s="1"/>
    </row>
    <row r="91" spans="1:13" s="2" customFormat="1" x14ac:dyDescent="0.2">
      <c r="A91" s="87">
        <v>45111</v>
      </c>
      <c r="B91" s="120" t="s">
        <v>1052</v>
      </c>
      <c r="C91" s="75" t="s">
        <v>270</v>
      </c>
      <c r="D91" s="88">
        <v>102393</v>
      </c>
      <c r="G91" s="1"/>
      <c r="L91" s="1"/>
      <c r="M91" s="1"/>
    </row>
    <row r="92" spans="1:13" s="2" customFormat="1" x14ac:dyDescent="0.2">
      <c r="A92" s="87">
        <v>45111</v>
      </c>
      <c r="B92" s="120" t="s">
        <v>1052</v>
      </c>
      <c r="C92" s="75" t="s">
        <v>270</v>
      </c>
      <c r="D92" s="88">
        <v>716336</v>
      </c>
      <c r="G92" s="1"/>
      <c r="L92" s="1"/>
      <c r="M92" s="1"/>
    </row>
    <row r="93" spans="1:13" s="2" customFormat="1" x14ac:dyDescent="0.2">
      <c r="A93" s="87">
        <v>45111</v>
      </c>
      <c r="B93" s="120" t="s">
        <v>1052</v>
      </c>
      <c r="C93" s="75" t="s">
        <v>270</v>
      </c>
      <c r="D93" s="88">
        <v>2504631</v>
      </c>
      <c r="G93" s="1"/>
      <c r="L93" s="1"/>
      <c r="M93" s="1"/>
    </row>
    <row r="94" spans="1:13" s="2" customFormat="1" x14ac:dyDescent="0.2">
      <c r="A94" s="87">
        <v>45111</v>
      </c>
      <c r="B94" s="120" t="s">
        <v>1052</v>
      </c>
      <c r="C94" s="75" t="s">
        <v>270</v>
      </c>
      <c r="D94" s="88">
        <v>141433.92000000001</v>
      </c>
      <c r="G94" s="1"/>
      <c r="L94" s="1"/>
      <c r="M94" s="1"/>
    </row>
    <row r="95" spans="1:13" s="2" customFormat="1" x14ac:dyDescent="0.2">
      <c r="A95" s="87">
        <v>45111</v>
      </c>
      <c r="B95" s="120" t="s">
        <v>1052</v>
      </c>
      <c r="C95" s="75" t="s">
        <v>271</v>
      </c>
      <c r="D95" s="88">
        <v>485258</v>
      </c>
      <c r="G95" s="1"/>
      <c r="L95" s="1"/>
      <c r="M95" s="1"/>
    </row>
    <row r="96" spans="1:13" s="2" customFormat="1" x14ac:dyDescent="0.2">
      <c r="A96" s="87">
        <v>45112</v>
      </c>
      <c r="B96" s="120" t="s">
        <v>1052</v>
      </c>
      <c r="C96" s="75" t="s">
        <v>85</v>
      </c>
      <c r="D96" s="88">
        <v>216478</v>
      </c>
      <c r="G96" s="1"/>
      <c r="L96" s="1"/>
      <c r="M96" s="1"/>
    </row>
    <row r="97" spans="1:13" s="2" customFormat="1" x14ac:dyDescent="0.2">
      <c r="A97" s="87">
        <v>45114</v>
      </c>
      <c r="B97" s="120" t="s">
        <v>1052</v>
      </c>
      <c r="C97" s="75" t="s">
        <v>270</v>
      </c>
      <c r="D97" s="88">
        <v>886333</v>
      </c>
      <c r="G97" s="1"/>
      <c r="L97" s="1"/>
      <c r="M97" s="1"/>
    </row>
    <row r="98" spans="1:13" s="2" customFormat="1" x14ac:dyDescent="0.2">
      <c r="A98" s="87">
        <v>45114</v>
      </c>
      <c r="B98" s="120" t="s">
        <v>1052</v>
      </c>
      <c r="C98" s="75" t="s">
        <v>270</v>
      </c>
      <c r="D98" s="88">
        <v>3119806</v>
      </c>
      <c r="G98" s="1"/>
      <c r="L98" s="1"/>
      <c r="M98" s="1"/>
    </row>
    <row r="99" spans="1:13" s="2" customFormat="1" x14ac:dyDescent="0.2">
      <c r="A99" s="87">
        <v>45114</v>
      </c>
      <c r="B99" s="120" t="s">
        <v>1052</v>
      </c>
      <c r="C99" s="75" t="s">
        <v>271</v>
      </c>
      <c r="D99" s="88">
        <v>151160</v>
      </c>
      <c r="G99" s="1"/>
      <c r="L99" s="1"/>
      <c r="M99" s="1"/>
    </row>
    <row r="100" spans="1:13" s="2" customFormat="1" x14ac:dyDescent="0.2">
      <c r="A100" s="87">
        <v>45114</v>
      </c>
      <c r="B100" s="120" t="s">
        <v>1052</v>
      </c>
      <c r="C100" s="75" t="s">
        <v>271</v>
      </c>
      <c r="D100" s="88">
        <v>285195</v>
      </c>
      <c r="G100" s="1"/>
      <c r="L100" s="1"/>
      <c r="M100" s="1"/>
    </row>
    <row r="101" spans="1:13" s="2" customFormat="1" x14ac:dyDescent="0.2">
      <c r="A101" s="87">
        <v>45114</v>
      </c>
      <c r="B101" s="120" t="s">
        <v>1052</v>
      </c>
      <c r="C101" s="75" t="s">
        <v>201</v>
      </c>
      <c r="D101" s="88">
        <v>128135</v>
      </c>
      <c r="G101" s="1"/>
      <c r="L101" s="1"/>
      <c r="M101" s="1"/>
    </row>
    <row r="102" spans="1:13" s="2" customFormat="1" x14ac:dyDescent="0.2">
      <c r="A102" s="87">
        <v>45114</v>
      </c>
      <c r="B102" s="120" t="s">
        <v>1052</v>
      </c>
      <c r="C102" s="75" t="s">
        <v>323</v>
      </c>
      <c r="D102" s="88">
        <v>2313089</v>
      </c>
      <c r="G102" s="1"/>
      <c r="L102" s="1"/>
      <c r="M102" s="1"/>
    </row>
    <row r="103" spans="1:13" s="2" customFormat="1" x14ac:dyDescent="0.2">
      <c r="A103" s="87">
        <v>45115</v>
      </c>
      <c r="B103" s="120" t="s">
        <v>1052</v>
      </c>
      <c r="C103" s="75" t="s">
        <v>767</v>
      </c>
      <c r="D103" s="88">
        <v>411035</v>
      </c>
      <c r="G103" s="1"/>
      <c r="L103" s="1"/>
      <c r="M103" s="1"/>
    </row>
    <row r="104" spans="1:13" s="2" customFormat="1" x14ac:dyDescent="0.2">
      <c r="A104" s="87">
        <v>45118</v>
      </c>
      <c r="B104" s="120" t="s">
        <v>1052</v>
      </c>
      <c r="C104" s="75" t="s">
        <v>270</v>
      </c>
      <c r="D104" s="88">
        <v>34696</v>
      </c>
      <c r="G104" s="1"/>
      <c r="L104" s="1"/>
      <c r="M104" s="1"/>
    </row>
    <row r="105" spans="1:13" s="2" customFormat="1" x14ac:dyDescent="0.2">
      <c r="A105" s="87">
        <v>45118</v>
      </c>
      <c r="B105" s="120" t="s">
        <v>1052</v>
      </c>
      <c r="C105" s="75" t="s">
        <v>270</v>
      </c>
      <c r="D105" s="88">
        <v>1128922</v>
      </c>
      <c r="G105" s="1"/>
      <c r="L105" s="1"/>
      <c r="M105" s="1"/>
    </row>
    <row r="106" spans="1:13" s="2" customFormat="1" x14ac:dyDescent="0.2">
      <c r="A106" s="87">
        <v>45118</v>
      </c>
      <c r="B106" s="120" t="s">
        <v>1052</v>
      </c>
      <c r="C106" s="75" t="s">
        <v>270</v>
      </c>
      <c r="D106" s="88">
        <v>2865343</v>
      </c>
      <c r="G106" s="1"/>
      <c r="L106" s="1"/>
      <c r="M106" s="1"/>
    </row>
    <row r="107" spans="1:13" s="2" customFormat="1" x14ac:dyDescent="0.2">
      <c r="A107" s="87">
        <v>45118</v>
      </c>
      <c r="B107" s="120" t="s">
        <v>1052</v>
      </c>
      <c r="C107" s="75" t="s">
        <v>270</v>
      </c>
      <c r="D107" s="88">
        <v>1090852</v>
      </c>
      <c r="G107" s="1"/>
      <c r="L107" s="1"/>
      <c r="M107" s="1"/>
    </row>
    <row r="108" spans="1:13" s="2" customFormat="1" x14ac:dyDescent="0.2">
      <c r="A108" s="87">
        <v>45118</v>
      </c>
      <c r="B108" s="120" t="s">
        <v>1052</v>
      </c>
      <c r="C108" s="75" t="s">
        <v>270</v>
      </c>
      <c r="D108" s="88">
        <v>359348</v>
      </c>
      <c r="G108" s="1"/>
      <c r="L108" s="1"/>
      <c r="M108" s="1"/>
    </row>
    <row r="109" spans="1:13" s="2" customFormat="1" x14ac:dyDescent="0.2">
      <c r="A109" s="87">
        <v>45118</v>
      </c>
      <c r="B109" s="120" t="s">
        <v>1052</v>
      </c>
      <c r="C109" s="75" t="s">
        <v>271</v>
      </c>
      <c r="D109" s="88">
        <v>323487</v>
      </c>
      <c r="G109" s="1"/>
      <c r="L109" s="1"/>
      <c r="M109" s="1"/>
    </row>
    <row r="110" spans="1:13" s="2" customFormat="1" x14ac:dyDescent="0.2">
      <c r="A110" s="87">
        <v>45118</v>
      </c>
      <c r="B110" s="120" t="s">
        <v>1052</v>
      </c>
      <c r="C110" s="75" t="s">
        <v>271</v>
      </c>
      <c r="D110" s="88">
        <v>44394</v>
      </c>
      <c r="G110" s="1"/>
      <c r="L110" s="1"/>
      <c r="M110" s="1"/>
    </row>
    <row r="111" spans="1:13" s="2" customFormat="1" x14ac:dyDescent="0.2">
      <c r="A111" s="87">
        <v>45118</v>
      </c>
      <c r="B111" s="120" t="s">
        <v>1052</v>
      </c>
      <c r="C111" s="75" t="s">
        <v>271</v>
      </c>
      <c r="D111" s="88">
        <v>2035052</v>
      </c>
      <c r="G111" s="1"/>
      <c r="L111" s="1"/>
      <c r="M111" s="1"/>
    </row>
    <row r="112" spans="1:13" s="2" customFormat="1" x14ac:dyDescent="0.2">
      <c r="A112" s="87">
        <v>45119</v>
      </c>
      <c r="B112" s="120" t="s">
        <v>1052</v>
      </c>
      <c r="C112" s="75" t="s">
        <v>85</v>
      </c>
      <c r="D112" s="88">
        <v>569516</v>
      </c>
      <c r="G112" s="1"/>
      <c r="L112" s="1"/>
      <c r="M112" s="1"/>
    </row>
    <row r="113" spans="1:13" s="2" customFormat="1" x14ac:dyDescent="0.2">
      <c r="A113" s="87">
        <v>45119</v>
      </c>
      <c r="B113" s="120" t="s">
        <v>1052</v>
      </c>
      <c r="C113" s="75" t="s">
        <v>271</v>
      </c>
      <c r="D113" s="88">
        <v>3074492</v>
      </c>
      <c r="G113" s="1"/>
      <c r="L113" s="1"/>
      <c r="M113" s="1"/>
    </row>
    <row r="114" spans="1:13" s="2" customFormat="1" x14ac:dyDescent="0.2">
      <c r="A114" s="87">
        <v>45119</v>
      </c>
      <c r="B114" s="120" t="s">
        <v>1052</v>
      </c>
      <c r="C114" s="75" t="s">
        <v>270</v>
      </c>
      <c r="D114" s="88">
        <v>1556273</v>
      </c>
      <c r="G114" s="1"/>
      <c r="L114" s="1"/>
      <c r="M114" s="1"/>
    </row>
    <row r="115" spans="1:13" s="2" customFormat="1" x14ac:dyDescent="0.2">
      <c r="A115" s="87">
        <v>45119</v>
      </c>
      <c r="B115" s="120" t="s">
        <v>1052</v>
      </c>
      <c r="C115" s="75" t="s">
        <v>84</v>
      </c>
      <c r="D115" s="88">
        <v>2500000</v>
      </c>
      <c r="G115" s="1"/>
      <c r="L115" s="1"/>
      <c r="M115" s="1"/>
    </row>
    <row r="116" spans="1:13" s="2" customFormat="1" x14ac:dyDescent="0.2">
      <c r="A116" s="87">
        <v>45121</v>
      </c>
      <c r="B116" s="120" t="s">
        <v>1052</v>
      </c>
      <c r="C116" s="75" t="s">
        <v>1084</v>
      </c>
      <c r="D116" s="88">
        <v>5000000</v>
      </c>
      <c r="G116" s="1"/>
      <c r="L116" s="1"/>
      <c r="M116" s="1"/>
    </row>
    <row r="117" spans="1:13" s="2" customFormat="1" x14ac:dyDescent="0.2">
      <c r="A117" s="87">
        <v>45122</v>
      </c>
      <c r="B117" s="120" t="s">
        <v>1052</v>
      </c>
      <c r="C117" s="75" t="s">
        <v>270</v>
      </c>
      <c r="D117" s="88">
        <v>893235</v>
      </c>
      <c r="G117" s="1"/>
      <c r="L117" s="1"/>
      <c r="M117" s="1"/>
    </row>
    <row r="118" spans="1:13" s="2" customFormat="1" x14ac:dyDescent="0.2">
      <c r="A118" s="87">
        <v>45124</v>
      </c>
      <c r="B118" s="120" t="s">
        <v>1052</v>
      </c>
      <c r="C118" s="75" t="s">
        <v>1084</v>
      </c>
      <c r="D118" s="88">
        <v>4000000</v>
      </c>
      <c r="G118" s="1"/>
      <c r="L118" s="1"/>
      <c r="M118" s="1"/>
    </row>
    <row r="119" spans="1:13" s="2" customFormat="1" x14ac:dyDescent="0.2">
      <c r="A119" s="87"/>
      <c r="B119" s="74"/>
      <c r="C119" s="75"/>
      <c r="D119" s="51">
        <f>SUM(D85:D118)</f>
        <v>46819157.920000002</v>
      </c>
      <c r="F119" s="2" t="s">
        <v>396</v>
      </c>
      <c r="G119" s="1"/>
      <c r="L119" s="1"/>
      <c r="M119" s="1"/>
    </row>
    <row r="120" spans="1:13" s="2" customFormat="1" x14ac:dyDescent="0.2">
      <c r="A120" s="24"/>
      <c r="B120" s="1"/>
      <c r="C120" s="14"/>
      <c r="D120" s="56"/>
      <c r="E120" s="13"/>
      <c r="G120" s="1"/>
      <c r="L120" s="1"/>
      <c r="M120" s="1"/>
    </row>
    <row r="121" spans="1:13" s="2" customFormat="1" x14ac:dyDescent="0.2">
      <c r="A121" s="24"/>
      <c r="B121" s="1"/>
      <c r="C121" s="218" t="s">
        <v>77</v>
      </c>
      <c r="D121" s="219"/>
      <c r="E121" s="219"/>
      <c r="F121" s="220"/>
      <c r="G121" s="1"/>
      <c r="L121" s="1"/>
      <c r="M121" s="1"/>
    </row>
    <row r="122" spans="1:13" s="2" customFormat="1" x14ac:dyDescent="0.2">
      <c r="A122" s="24"/>
      <c r="B122" s="1"/>
      <c r="C122" s="50"/>
      <c r="D122" s="57" t="s">
        <v>78</v>
      </c>
      <c r="E122" s="58" t="s">
        <v>79</v>
      </c>
      <c r="F122" s="57" t="s">
        <v>72</v>
      </c>
      <c r="G122" s="1"/>
      <c r="I122" s="1"/>
      <c r="J122" s="1"/>
      <c r="K122" s="1"/>
      <c r="L122" s="1"/>
      <c r="M122" s="1"/>
    </row>
    <row r="123" spans="1:13" s="2" customFormat="1" x14ac:dyDescent="0.2">
      <c r="A123" s="24"/>
      <c r="B123" s="1"/>
      <c r="C123" s="59" t="str">
        <f>"01-07-2023 to "&amp;TEXT(A5-2,"dd-mm-yyyy")</f>
        <v>01-07-2023 to 15-07-2023</v>
      </c>
      <c r="D123" s="60">
        <v>3068.75</v>
      </c>
      <c r="E123" s="60">
        <v>134.05000000000001</v>
      </c>
      <c r="F123" s="61">
        <f>SUM(D123:E123)</f>
        <v>3202.8</v>
      </c>
      <c r="G123" s="1"/>
    </row>
    <row r="124" spans="1:13" s="2" customFormat="1" x14ac:dyDescent="0.2">
      <c r="A124" s="24"/>
      <c r="B124" s="1"/>
      <c r="C124" s="62" t="str">
        <f>TEXT(A5-1,"dd-mm-yyyy")</f>
        <v>16-07-2023</v>
      </c>
      <c r="D124" s="60">
        <v>0</v>
      </c>
      <c r="E124" s="60">
        <v>0.88</v>
      </c>
      <c r="F124" s="61">
        <f>SUM(D124:E124)</f>
        <v>0.88</v>
      </c>
      <c r="G124" s="54"/>
      <c r="I124" s="1"/>
      <c r="J124" s="1"/>
      <c r="K124" s="1"/>
      <c r="L124" s="1"/>
      <c r="M124" s="1"/>
    </row>
    <row r="125" spans="1:13" s="2" customFormat="1" ht="13.5" thickBot="1" x14ac:dyDescent="0.25">
      <c r="A125" s="24"/>
      <c r="B125" s="1"/>
      <c r="C125" s="63" t="str">
        <f>"01-07-2023 to "&amp;TEXT(A5-1,"dd-mm-yyyy")</f>
        <v>01-07-2023 to 16-07-2023</v>
      </c>
      <c r="D125" s="64">
        <f>SUM(D123:D124)</f>
        <v>3068.75</v>
      </c>
      <c r="E125" s="64">
        <f>SUM(E123:E124)</f>
        <v>134.93</v>
      </c>
      <c r="F125" s="64">
        <f>SUM(F123:F124)</f>
        <v>3203.6800000000003</v>
      </c>
      <c r="G125" s="54"/>
      <c r="I125" s="1"/>
      <c r="J125" s="1"/>
      <c r="K125" s="1"/>
      <c r="L125" s="1"/>
      <c r="M125" s="1"/>
    </row>
    <row r="126" spans="1:13" s="2" customFormat="1" ht="13.5" thickTop="1" x14ac:dyDescent="0.2">
      <c r="A126" s="24"/>
      <c r="B126" s="1"/>
      <c r="C126" s="62"/>
      <c r="D126" s="65"/>
      <c r="E126" s="66"/>
      <c r="F126" s="67"/>
      <c r="G126" s="54"/>
      <c r="I126" s="1"/>
      <c r="J126" s="1"/>
      <c r="K126" s="1"/>
      <c r="L126" s="1"/>
      <c r="M126" s="1"/>
    </row>
    <row r="127" spans="1:13" s="2" customFormat="1" x14ac:dyDescent="0.2">
      <c r="A127" s="24"/>
      <c r="B127" s="1"/>
      <c r="C127" s="62" t="str">
        <f>"01-04-2023 to " &amp;C124</f>
        <v>01-04-2023 to 16-07-2023</v>
      </c>
      <c r="D127" s="68">
        <f>+D125+15505.53</f>
        <v>18574.28</v>
      </c>
      <c r="E127" s="68">
        <f>+E125+1109.72</f>
        <v>1244.6500000000001</v>
      </c>
      <c r="F127" s="68">
        <f>+F125+16615.25</f>
        <v>19818.93</v>
      </c>
      <c r="G127" s="54"/>
      <c r="I127" s="1"/>
      <c r="J127" s="1"/>
      <c r="K127" s="1"/>
      <c r="L127" s="1"/>
      <c r="M127" s="1"/>
    </row>
    <row r="128" spans="1:13" x14ac:dyDescent="0.2">
      <c r="C128" s="52"/>
      <c r="D128" s="85"/>
      <c r="E128" s="53"/>
      <c r="F128" s="53"/>
      <c r="G128" s="54"/>
      <c r="H128" s="2" t="s">
        <v>396</v>
      </c>
    </row>
    <row r="129" spans="1:10" s="2" customFormat="1" x14ac:dyDescent="0.2">
      <c r="A129" s="24"/>
      <c r="B129" s="1"/>
      <c r="C129" s="52"/>
      <c r="D129" s="85"/>
      <c r="E129" s="53"/>
      <c r="F129" s="53"/>
      <c r="G129" s="54"/>
      <c r="H129" s="53"/>
    </row>
    <row r="130" spans="1:10" x14ac:dyDescent="0.2">
      <c r="C130" s="52"/>
      <c r="D130" s="85"/>
      <c r="E130" s="53"/>
      <c r="F130" s="53"/>
      <c r="G130" s="54"/>
      <c r="H130" s="53" t="s">
        <v>396</v>
      </c>
    </row>
    <row r="131" spans="1:10" x14ac:dyDescent="0.2">
      <c r="C131" s="52"/>
      <c r="D131" s="85"/>
      <c r="E131" s="53"/>
      <c r="F131" s="53"/>
      <c r="G131" s="54"/>
      <c r="H131" s="53" t="s">
        <v>396</v>
      </c>
      <c r="J131" s="42"/>
    </row>
    <row r="132" spans="1:10" x14ac:dyDescent="0.2">
      <c r="G132" s="54"/>
      <c r="H132" s="53"/>
      <c r="I132" s="101"/>
    </row>
    <row r="133" spans="1:10" x14ac:dyDescent="0.2">
      <c r="G133" s="54"/>
      <c r="H133" s="53"/>
    </row>
    <row r="134" spans="1:10" x14ac:dyDescent="0.2">
      <c r="G134" s="54"/>
      <c r="H134" s="53"/>
    </row>
    <row r="135" spans="1:10" x14ac:dyDescent="0.2">
      <c r="H135" s="53"/>
    </row>
  </sheetData>
  <mergeCells count="6">
    <mergeCell ref="C121:F121"/>
    <mergeCell ref="A1:G1"/>
    <mergeCell ref="A3:F3"/>
    <mergeCell ref="A9:F9"/>
    <mergeCell ref="A24:F24"/>
    <mergeCell ref="A83:D83"/>
  </mergeCells>
  <conditionalFormatting sqref="G80:G81">
    <cfRule type="cellIs" dxfId="411" priority="1" operator="lessThan">
      <formula>0</formula>
    </cfRule>
  </conditionalFormatting>
  <conditionalFormatting sqref="C26">
    <cfRule type="duplicateValues" dxfId="410" priority="2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500-000000000000}">
  <sheetPr codeName="Sheet381">
    <pageSetUpPr fitToPage="1"/>
  </sheetPr>
  <dimension ref="A1:N142"/>
  <sheetViews>
    <sheetView zoomScaleNormal="100" workbookViewId="0">
      <selection sqref="A1:G1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1220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45125</v>
      </c>
      <c r="B5" s="9" t="s">
        <v>6</v>
      </c>
      <c r="C5" s="10" t="s">
        <v>7</v>
      </c>
      <c r="D5" s="11"/>
      <c r="E5" s="12">
        <v>372249.70000000019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372249.70000000019</v>
      </c>
      <c r="F6" s="16">
        <f>F5</f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+E6-F6</f>
        <v>372249.70000000019</v>
      </c>
      <c r="F7" s="22"/>
      <c r="G7" s="23"/>
      <c r="H7" s="112"/>
      <c r="I7" s="112"/>
      <c r="J7" s="13"/>
    </row>
    <row r="8" spans="1:10" ht="12.75" customHeight="1" x14ac:dyDescent="0.4">
      <c r="H8" s="112"/>
      <c r="I8" s="112"/>
    </row>
    <row r="9" spans="1:10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12"/>
    </row>
    <row r="10" spans="1:10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12"/>
    </row>
    <row r="11" spans="1:10" s="2" customFormat="1" ht="14.25" customHeight="1" x14ac:dyDescent="0.2">
      <c r="A11" s="127">
        <v>45125</v>
      </c>
      <c r="B11" s="9" t="s">
        <v>6</v>
      </c>
      <c r="C11" s="10" t="s">
        <v>7</v>
      </c>
      <c r="D11" s="11"/>
      <c r="F11" s="12">
        <v>27413289.300000004</v>
      </c>
      <c r="G11" s="1"/>
      <c r="H11" s="130" t="s">
        <v>396</v>
      </c>
      <c r="I11" s="130"/>
    </row>
    <row r="12" spans="1:10" s="2" customFormat="1" ht="12.75" customHeight="1" x14ac:dyDescent="0.4">
      <c r="D12" s="15" t="s">
        <v>8</v>
      </c>
      <c r="E12" s="16">
        <f>E11</f>
        <v>0</v>
      </c>
      <c r="F12" s="16">
        <f>SUM(F11:F11)</f>
        <v>27413289.300000004</v>
      </c>
      <c r="G12" s="1"/>
      <c r="H12" s="112"/>
      <c r="I12" s="112"/>
    </row>
    <row r="13" spans="1:10" s="2" customFormat="1" ht="12.75" customHeight="1" x14ac:dyDescent="0.4">
      <c r="A13" s="17"/>
      <c r="B13" s="18"/>
      <c r="C13" s="96" t="s">
        <v>9</v>
      </c>
      <c r="D13" s="20"/>
      <c r="E13" s="21">
        <f>+F12-E12</f>
        <v>27413289.300000004</v>
      </c>
      <c r="G13" s="23"/>
      <c r="H13" s="112"/>
      <c r="I13" s="112"/>
      <c r="J13" s="13"/>
    </row>
    <row r="14" spans="1:10" s="2" customFormat="1" ht="12.75" customHeight="1" x14ac:dyDescent="0.4">
      <c r="A14" s="24"/>
      <c r="B14" s="1"/>
      <c r="C14" s="14"/>
      <c r="D14" s="25"/>
      <c r="G14" s="23"/>
      <c r="H14" s="112"/>
      <c r="I14" s="112"/>
      <c r="J14" s="13"/>
    </row>
    <row r="15" spans="1:10" s="2" customFormat="1" ht="21.75" customHeight="1" x14ac:dyDescent="0.4">
      <c r="A15" s="214" t="s">
        <v>10</v>
      </c>
      <c r="B15" s="214"/>
      <c r="C15" s="214"/>
      <c r="D15" s="214"/>
      <c r="E15" s="214"/>
      <c r="F15" s="214"/>
      <c r="G15" s="13"/>
      <c r="H15" s="112"/>
      <c r="I15" s="112"/>
      <c r="J15" s="13"/>
    </row>
    <row r="16" spans="1:10" s="2" customFormat="1" ht="12.75" customHeight="1" x14ac:dyDescent="0.4">
      <c r="A16" s="26" t="s">
        <v>1</v>
      </c>
      <c r="B16" s="27" t="s">
        <v>2</v>
      </c>
      <c r="C16" s="5"/>
      <c r="D16" s="6" t="s">
        <v>3</v>
      </c>
      <c r="E16" s="7" t="s">
        <v>4</v>
      </c>
      <c r="F16" s="7" t="s">
        <v>5</v>
      </c>
      <c r="G16" s="23"/>
      <c r="H16" s="112"/>
      <c r="I16" s="112"/>
      <c r="J16" s="13"/>
    </row>
    <row r="17" spans="1:10" s="2" customFormat="1" ht="12.75" customHeight="1" x14ac:dyDescent="0.2">
      <c r="A17" s="127">
        <v>45125</v>
      </c>
      <c r="B17" s="128" t="s">
        <v>11</v>
      </c>
      <c r="C17" s="29" t="s">
        <v>7</v>
      </c>
      <c r="D17" s="25"/>
      <c r="E17" s="31"/>
      <c r="F17" s="2">
        <v>262694274.71000004</v>
      </c>
      <c r="G17" s="30"/>
      <c r="I17" s="13"/>
      <c r="J17" s="13"/>
    </row>
    <row r="18" spans="1:10" s="70" customFormat="1" ht="12.75" customHeight="1" x14ac:dyDescent="0.2">
      <c r="A18" s="127">
        <v>45125</v>
      </c>
      <c r="B18" s="128" t="s">
        <v>6</v>
      </c>
      <c r="C18" s="76" t="s">
        <v>947</v>
      </c>
      <c r="D18" s="125" t="s">
        <v>13</v>
      </c>
      <c r="E18" s="31">
        <v>616623</v>
      </c>
      <c r="G18" s="30"/>
      <c r="I18" s="69"/>
      <c r="J18" s="69"/>
    </row>
    <row r="19" spans="1:10" s="70" customFormat="1" ht="12.75" customHeight="1" x14ac:dyDescent="0.2">
      <c r="A19" s="127">
        <v>45125</v>
      </c>
      <c r="B19" s="128" t="s">
        <v>6</v>
      </c>
      <c r="C19" s="76" t="s">
        <v>1221</v>
      </c>
      <c r="D19" s="125" t="s">
        <v>13</v>
      </c>
      <c r="E19" s="31">
        <v>758873</v>
      </c>
      <c r="G19" s="30"/>
      <c r="I19" s="69"/>
      <c r="J19" s="69"/>
    </row>
    <row r="20" spans="1:10" s="70" customFormat="1" ht="12.75" customHeight="1" x14ac:dyDescent="0.2">
      <c r="A20" s="127">
        <v>45125</v>
      </c>
      <c r="B20" s="128" t="s">
        <v>6</v>
      </c>
      <c r="C20" s="76" t="s">
        <v>120</v>
      </c>
      <c r="D20" s="125" t="s">
        <v>13</v>
      </c>
      <c r="E20" s="31">
        <v>236397</v>
      </c>
      <c r="G20" s="30"/>
      <c r="I20" s="69"/>
      <c r="J20" s="69"/>
    </row>
    <row r="21" spans="1:10" s="70" customFormat="1" ht="12.75" customHeight="1" x14ac:dyDescent="0.2">
      <c r="A21" s="127">
        <v>45125</v>
      </c>
      <c r="B21" s="128" t="s">
        <v>6</v>
      </c>
      <c r="C21" s="76" t="s">
        <v>17</v>
      </c>
      <c r="D21" s="125" t="s">
        <v>13</v>
      </c>
      <c r="E21" s="31">
        <v>137185</v>
      </c>
      <c r="G21" s="30"/>
      <c r="I21" s="69"/>
      <c r="J21" s="69"/>
    </row>
    <row r="22" spans="1:10" s="70" customFormat="1" ht="12.75" customHeight="1" x14ac:dyDescent="0.2">
      <c r="A22" s="127">
        <v>45125</v>
      </c>
      <c r="B22" s="128" t="s">
        <v>6</v>
      </c>
      <c r="C22" s="76" t="s">
        <v>771</v>
      </c>
      <c r="D22" s="125" t="s">
        <v>13</v>
      </c>
      <c r="E22" s="31">
        <v>226712</v>
      </c>
      <c r="G22" s="30"/>
      <c r="I22" s="69"/>
      <c r="J22" s="69"/>
    </row>
    <row r="23" spans="1:10" s="70" customFormat="1" ht="12.75" customHeight="1" x14ac:dyDescent="0.2">
      <c r="A23" s="127">
        <v>45125</v>
      </c>
      <c r="B23" s="128" t="s">
        <v>6</v>
      </c>
      <c r="C23" s="76" t="s">
        <v>1222</v>
      </c>
      <c r="D23" s="125" t="s">
        <v>13</v>
      </c>
      <c r="E23" s="31">
        <v>93139</v>
      </c>
      <c r="G23" s="30"/>
      <c r="I23" s="69"/>
      <c r="J23" s="69"/>
    </row>
    <row r="24" spans="1:10" s="70" customFormat="1" ht="12.75" customHeight="1" x14ac:dyDescent="0.2">
      <c r="A24" s="127">
        <v>45125</v>
      </c>
      <c r="B24" s="128" t="s">
        <v>6</v>
      </c>
      <c r="C24" s="76" t="s">
        <v>598</v>
      </c>
      <c r="D24" s="125" t="s">
        <v>13</v>
      </c>
      <c r="E24" s="31">
        <v>472923</v>
      </c>
      <c r="G24" s="30"/>
      <c r="I24" s="69"/>
      <c r="J24" s="69"/>
    </row>
    <row r="25" spans="1:10" s="70" customFormat="1" ht="12.75" customHeight="1" x14ac:dyDescent="0.2">
      <c r="A25" s="127">
        <v>45125</v>
      </c>
      <c r="B25" s="128" t="s">
        <v>6</v>
      </c>
      <c r="C25" s="76" t="s">
        <v>144</v>
      </c>
      <c r="D25" s="125" t="s">
        <v>13</v>
      </c>
      <c r="E25" s="31">
        <v>2885</v>
      </c>
      <c r="G25" s="30"/>
      <c r="I25" s="69"/>
      <c r="J25" s="69"/>
    </row>
    <row r="26" spans="1:10" s="70" customFormat="1" ht="12.75" customHeight="1" x14ac:dyDescent="0.2">
      <c r="A26" s="127">
        <v>45125</v>
      </c>
      <c r="B26" s="128" t="s">
        <v>6</v>
      </c>
      <c r="C26" s="76" t="s">
        <v>381</v>
      </c>
      <c r="D26" s="125" t="s">
        <v>13</v>
      </c>
      <c r="E26" s="31">
        <v>468972</v>
      </c>
      <c r="G26" s="30"/>
      <c r="I26" s="69"/>
      <c r="J26" s="69"/>
    </row>
    <row r="27" spans="1:10" s="70" customFormat="1" ht="12.75" customHeight="1" x14ac:dyDescent="0.2">
      <c r="A27" s="127">
        <v>45125</v>
      </c>
      <c r="B27" s="128" t="s">
        <v>6</v>
      </c>
      <c r="C27" s="76" t="s">
        <v>143</v>
      </c>
      <c r="D27" s="125" t="s">
        <v>13</v>
      </c>
      <c r="E27" s="31">
        <v>1152564</v>
      </c>
      <c r="G27" s="30"/>
      <c r="I27" s="69"/>
      <c r="J27" s="69"/>
    </row>
    <row r="28" spans="1:10" s="70" customFormat="1" ht="12.75" customHeight="1" x14ac:dyDescent="0.2">
      <c r="A28" s="127">
        <v>45125</v>
      </c>
      <c r="B28" s="128" t="s">
        <v>6</v>
      </c>
      <c r="C28" s="76" t="s">
        <v>557</v>
      </c>
      <c r="D28" s="125" t="s">
        <v>13</v>
      </c>
      <c r="E28" s="31">
        <v>2074</v>
      </c>
      <c r="G28" s="30"/>
      <c r="I28" s="69"/>
      <c r="J28" s="69"/>
    </row>
    <row r="29" spans="1:10" s="70" customFormat="1" ht="12.75" customHeight="1" x14ac:dyDescent="0.2">
      <c r="A29" s="127">
        <v>45125</v>
      </c>
      <c r="B29" s="128" t="s">
        <v>6</v>
      </c>
      <c r="C29" s="76" t="s">
        <v>556</v>
      </c>
      <c r="D29" s="125" t="s">
        <v>13</v>
      </c>
      <c r="E29" s="31">
        <v>91727</v>
      </c>
      <c r="G29" s="30"/>
      <c r="I29" s="69"/>
      <c r="J29" s="69"/>
    </row>
    <row r="30" spans="1:10" s="70" customFormat="1" ht="12.75" customHeight="1" x14ac:dyDescent="0.2">
      <c r="A30" s="127">
        <v>45125</v>
      </c>
      <c r="B30" s="128" t="s">
        <v>6</v>
      </c>
      <c r="C30" s="76" t="s">
        <v>272</v>
      </c>
      <c r="D30" s="125" t="s">
        <v>13</v>
      </c>
      <c r="E30" s="31">
        <v>784707</v>
      </c>
      <c r="G30" s="30"/>
      <c r="I30" s="69"/>
      <c r="J30" s="69"/>
    </row>
    <row r="31" spans="1:10" s="70" customFormat="1" ht="12.75" customHeight="1" x14ac:dyDescent="0.2">
      <c r="A31" s="127">
        <v>45125</v>
      </c>
      <c r="B31" s="128" t="s">
        <v>6</v>
      </c>
      <c r="C31" s="76" t="s">
        <v>633</v>
      </c>
      <c r="D31" s="125" t="s">
        <v>13</v>
      </c>
      <c r="E31" s="31">
        <v>1702388</v>
      </c>
      <c r="G31" s="30"/>
      <c r="I31" s="69"/>
      <c r="J31" s="69"/>
    </row>
    <row r="32" spans="1:10" s="70" customFormat="1" ht="12.75" customHeight="1" x14ac:dyDescent="0.2">
      <c r="A32" s="127">
        <v>45125</v>
      </c>
      <c r="B32" s="128" t="s">
        <v>6</v>
      </c>
      <c r="C32" s="76" t="s">
        <v>1192</v>
      </c>
      <c r="D32" s="125" t="s">
        <v>13</v>
      </c>
      <c r="E32" s="31">
        <v>11235</v>
      </c>
      <c r="G32" s="30"/>
      <c r="I32" s="69"/>
      <c r="J32" s="69"/>
    </row>
    <row r="33" spans="1:10" s="70" customFormat="1" ht="12.75" customHeight="1" x14ac:dyDescent="0.2">
      <c r="A33" s="127">
        <v>45125</v>
      </c>
      <c r="B33" s="128" t="s">
        <v>6</v>
      </c>
      <c r="C33" s="76" t="s">
        <v>332</v>
      </c>
      <c r="D33" s="125" t="s">
        <v>13</v>
      </c>
      <c r="E33" s="31">
        <v>31413</v>
      </c>
      <c r="G33" s="30"/>
      <c r="I33" s="69"/>
      <c r="J33" s="69"/>
    </row>
    <row r="34" spans="1:10" s="70" customFormat="1" ht="12.75" customHeight="1" x14ac:dyDescent="0.2">
      <c r="A34" s="127">
        <v>45125</v>
      </c>
      <c r="B34" s="128" t="s">
        <v>6</v>
      </c>
      <c r="C34" s="76" t="s">
        <v>1223</v>
      </c>
      <c r="D34" s="125" t="s">
        <v>13</v>
      </c>
      <c r="E34" s="31">
        <v>1423</v>
      </c>
      <c r="G34" s="30"/>
      <c r="I34" s="69"/>
      <c r="J34" s="69"/>
    </row>
    <row r="35" spans="1:10" s="70" customFormat="1" ht="12.75" customHeight="1" x14ac:dyDescent="0.2">
      <c r="A35" s="127">
        <v>45125</v>
      </c>
      <c r="B35" s="128" t="s">
        <v>6</v>
      </c>
      <c r="C35" s="76" t="s">
        <v>85</v>
      </c>
      <c r="D35" s="125" t="s">
        <v>13</v>
      </c>
      <c r="E35" s="31">
        <v>5828</v>
      </c>
      <c r="G35" s="30"/>
      <c r="I35" s="69"/>
      <c r="J35" s="69"/>
    </row>
    <row r="36" spans="1:10" s="70" customFormat="1" ht="12.75" customHeight="1" x14ac:dyDescent="0.2">
      <c r="A36" s="127">
        <v>45125</v>
      </c>
      <c r="B36" s="128" t="s">
        <v>6</v>
      </c>
      <c r="C36" s="76" t="s">
        <v>149</v>
      </c>
      <c r="D36" s="125" t="s">
        <v>13</v>
      </c>
      <c r="E36" s="31">
        <v>7560</v>
      </c>
      <c r="G36" s="30"/>
      <c r="I36" s="69"/>
      <c r="J36" s="69"/>
    </row>
    <row r="37" spans="1:10" s="70" customFormat="1" ht="12.75" customHeight="1" x14ac:dyDescent="0.2">
      <c r="A37" s="127">
        <v>45125</v>
      </c>
      <c r="B37" s="128" t="s">
        <v>6</v>
      </c>
      <c r="C37" s="76" t="s">
        <v>153</v>
      </c>
      <c r="D37" s="125" t="s">
        <v>13</v>
      </c>
      <c r="E37" s="31">
        <v>4354</v>
      </c>
      <c r="G37" s="30"/>
      <c r="I37" s="69"/>
      <c r="J37" s="69"/>
    </row>
    <row r="38" spans="1:10" s="70" customFormat="1" ht="12.75" customHeight="1" x14ac:dyDescent="0.2">
      <c r="A38" s="127">
        <v>45125</v>
      </c>
      <c r="B38" s="128" t="s">
        <v>6</v>
      </c>
      <c r="C38" s="76" t="s">
        <v>219</v>
      </c>
      <c r="D38" s="125" t="s">
        <v>13</v>
      </c>
      <c r="E38" s="31">
        <v>510712</v>
      </c>
      <c r="G38" s="30"/>
      <c r="I38" s="69"/>
      <c r="J38" s="69"/>
    </row>
    <row r="39" spans="1:10" s="70" customFormat="1" ht="12.75" customHeight="1" x14ac:dyDescent="0.2">
      <c r="A39" s="127">
        <v>45125</v>
      </c>
      <c r="B39" s="128" t="s">
        <v>6</v>
      </c>
      <c r="C39" s="76" t="s">
        <v>304</v>
      </c>
      <c r="D39" s="125" t="s">
        <v>13</v>
      </c>
      <c r="E39" s="31">
        <v>500000</v>
      </c>
      <c r="G39" s="30"/>
      <c r="I39" s="69"/>
      <c r="J39" s="69"/>
    </row>
    <row r="40" spans="1:10" s="70" customFormat="1" ht="12.75" customHeight="1" x14ac:dyDescent="0.2">
      <c r="A40" s="127">
        <v>45125</v>
      </c>
      <c r="B40" s="128" t="s">
        <v>11</v>
      </c>
      <c r="C40" s="76" t="s">
        <v>156</v>
      </c>
      <c r="D40" s="125" t="s">
        <v>29</v>
      </c>
      <c r="E40" s="31"/>
      <c r="F40" s="70">
        <f>319.14+1660.26</f>
        <v>1979.4</v>
      </c>
      <c r="G40" s="30"/>
      <c r="I40" s="69"/>
      <c r="J40" s="69"/>
    </row>
    <row r="41" spans="1:10" s="70" customFormat="1" ht="12.75" customHeight="1" x14ac:dyDescent="0.2">
      <c r="A41" s="127">
        <v>45125</v>
      </c>
      <c r="B41" s="128" t="s">
        <v>11</v>
      </c>
      <c r="C41" s="76" t="s">
        <v>301</v>
      </c>
      <c r="D41" s="125" t="s">
        <v>29</v>
      </c>
      <c r="E41" s="31"/>
      <c r="F41" s="70">
        <v>2148359</v>
      </c>
      <c r="G41" s="30"/>
      <c r="I41" s="69"/>
      <c r="J41" s="69"/>
    </row>
    <row r="42" spans="1:10" s="70" customFormat="1" ht="12.75" customHeight="1" x14ac:dyDescent="0.2">
      <c r="A42" s="127">
        <v>45125</v>
      </c>
      <c r="B42" s="128" t="s">
        <v>11</v>
      </c>
      <c r="C42" s="76" t="s">
        <v>793</v>
      </c>
      <c r="D42" s="125" t="s">
        <v>29</v>
      </c>
      <c r="E42" s="31"/>
      <c r="F42" s="70">
        <v>395867</v>
      </c>
      <c r="G42" s="30"/>
      <c r="I42" s="69"/>
      <c r="J42" s="69"/>
    </row>
    <row r="43" spans="1:10" s="70" customFormat="1" ht="12.75" customHeight="1" x14ac:dyDescent="0.2">
      <c r="A43" s="127">
        <v>45125</v>
      </c>
      <c r="B43" s="128" t="s">
        <v>11</v>
      </c>
      <c r="C43" s="76" t="s">
        <v>506</v>
      </c>
      <c r="D43" s="125" t="s">
        <v>29</v>
      </c>
      <c r="E43" s="31"/>
      <c r="F43" s="70">
        <v>553948</v>
      </c>
      <c r="G43" s="30"/>
      <c r="I43" s="69"/>
      <c r="J43" s="69"/>
    </row>
    <row r="44" spans="1:10" s="70" customFormat="1" ht="12.75" customHeight="1" x14ac:dyDescent="0.2">
      <c r="A44" s="127">
        <v>45125</v>
      </c>
      <c r="B44" s="128" t="s">
        <v>11</v>
      </c>
      <c r="C44" s="76" t="s">
        <v>125</v>
      </c>
      <c r="D44" s="125" t="s">
        <v>29</v>
      </c>
      <c r="E44" s="31"/>
      <c r="F44" s="70">
        <v>451831</v>
      </c>
      <c r="G44" s="30"/>
      <c r="I44" s="69"/>
      <c r="J44" s="69"/>
    </row>
    <row r="45" spans="1:10" s="70" customFormat="1" ht="12.75" customHeight="1" x14ac:dyDescent="0.2">
      <c r="A45" s="127">
        <v>45125</v>
      </c>
      <c r="B45" s="128" t="s">
        <v>11</v>
      </c>
      <c r="C45" s="76" t="s">
        <v>356</v>
      </c>
      <c r="D45" s="125" t="s">
        <v>29</v>
      </c>
      <c r="E45" s="31"/>
      <c r="F45" s="70">
        <v>1485513.8</v>
      </c>
      <c r="G45" s="30"/>
      <c r="I45" s="69"/>
      <c r="J45" s="69"/>
    </row>
    <row r="46" spans="1:10" s="70" customFormat="1" ht="12.75" customHeight="1" x14ac:dyDescent="0.2">
      <c r="A46" s="127">
        <v>45125</v>
      </c>
      <c r="B46" s="128" t="s">
        <v>11</v>
      </c>
      <c r="C46" s="76" t="s">
        <v>194</v>
      </c>
      <c r="D46" s="125" t="s">
        <v>29</v>
      </c>
      <c r="E46" s="31"/>
      <c r="F46" s="70">
        <v>508895</v>
      </c>
      <c r="G46" s="30"/>
      <c r="I46" s="69"/>
      <c r="J46" s="69"/>
    </row>
    <row r="47" spans="1:10" s="70" customFormat="1" ht="12.75" customHeight="1" x14ac:dyDescent="0.2">
      <c r="A47" s="127">
        <v>45125</v>
      </c>
      <c r="B47" s="128" t="s">
        <v>11</v>
      </c>
      <c r="C47" s="76" t="s">
        <v>1140</v>
      </c>
      <c r="D47" s="125" t="s">
        <v>29</v>
      </c>
      <c r="E47" s="31"/>
      <c r="F47" s="70">
        <v>216301</v>
      </c>
      <c r="G47" s="30"/>
      <c r="I47" s="69"/>
      <c r="J47" s="69"/>
    </row>
    <row r="48" spans="1:10" s="70" customFormat="1" ht="12.75" customHeight="1" x14ac:dyDescent="0.2">
      <c r="A48" s="127">
        <v>45125</v>
      </c>
      <c r="B48" s="128" t="s">
        <v>11</v>
      </c>
      <c r="C48" s="76" t="s">
        <v>790</v>
      </c>
      <c r="D48" s="125" t="s">
        <v>29</v>
      </c>
      <c r="E48" s="31"/>
      <c r="F48" s="70">
        <v>1265516</v>
      </c>
      <c r="G48" s="30"/>
      <c r="I48" s="69"/>
      <c r="J48" s="69"/>
    </row>
    <row r="49" spans="1:10" s="70" customFormat="1" ht="12.75" customHeight="1" x14ac:dyDescent="0.2">
      <c r="A49" s="127">
        <v>45125</v>
      </c>
      <c r="B49" s="128" t="s">
        <v>11</v>
      </c>
      <c r="C49" s="76" t="s">
        <v>849</v>
      </c>
      <c r="D49" s="125" t="s">
        <v>29</v>
      </c>
      <c r="E49" s="31"/>
      <c r="F49" s="70">
        <v>317512</v>
      </c>
      <c r="G49" s="30"/>
      <c r="I49" s="69"/>
      <c r="J49" s="69"/>
    </row>
    <row r="50" spans="1:10" s="70" customFormat="1" ht="12.75" customHeight="1" x14ac:dyDescent="0.2">
      <c r="A50" s="127">
        <v>45125</v>
      </c>
      <c r="B50" s="128" t="s">
        <v>11</v>
      </c>
      <c r="C50" s="76" t="s">
        <v>193</v>
      </c>
      <c r="D50" s="125" t="s">
        <v>29</v>
      </c>
      <c r="E50" s="31"/>
      <c r="F50" s="70">
        <v>214728</v>
      </c>
      <c r="G50" s="30"/>
      <c r="I50" s="69"/>
      <c r="J50" s="69"/>
    </row>
    <row r="51" spans="1:10" s="70" customFormat="1" ht="12.75" customHeight="1" x14ac:dyDescent="0.2">
      <c r="A51" s="127">
        <v>45125</v>
      </c>
      <c r="B51" s="128" t="s">
        <v>11</v>
      </c>
      <c r="C51" s="76" t="s">
        <v>56</v>
      </c>
      <c r="D51" s="125" t="s">
        <v>29</v>
      </c>
      <c r="E51" s="31"/>
      <c r="F51" s="70">
        <v>283805</v>
      </c>
      <c r="G51" s="30"/>
      <c r="I51" s="69"/>
      <c r="J51" s="69"/>
    </row>
    <row r="52" spans="1:10" s="70" customFormat="1" ht="12.75" customHeight="1" x14ac:dyDescent="0.2">
      <c r="A52" s="127">
        <v>45125</v>
      </c>
      <c r="B52" s="128" t="s">
        <v>11</v>
      </c>
      <c r="C52" s="76" t="s">
        <v>616</v>
      </c>
      <c r="D52" s="125" t="s">
        <v>29</v>
      </c>
      <c r="E52" s="31"/>
      <c r="F52" s="70">
        <v>53627</v>
      </c>
      <c r="G52" s="30"/>
      <c r="I52" s="69"/>
      <c r="J52" s="69"/>
    </row>
    <row r="53" spans="1:10" s="70" customFormat="1" ht="12.75" customHeight="1" x14ac:dyDescent="0.2">
      <c r="A53" s="127">
        <v>45125</v>
      </c>
      <c r="B53" s="128" t="s">
        <v>11</v>
      </c>
      <c r="C53" s="76" t="s">
        <v>1058</v>
      </c>
      <c r="D53" s="125" t="s">
        <v>29</v>
      </c>
      <c r="E53" s="31"/>
      <c r="F53" s="70">
        <v>1138871</v>
      </c>
      <c r="G53" s="30"/>
      <c r="I53" s="69"/>
      <c r="J53" s="69"/>
    </row>
    <row r="54" spans="1:10" s="70" customFormat="1" ht="12.75" customHeight="1" x14ac:dyDescent="0.2">
      <c r="A54" s="127">
        <v>45125</v>
      </c>
      <c r="B54" s="128" t="s">
        <v>11</v>
      </c>
      <c r="C54" s="76" t="s">
        <v>139</v>
      </c>
      <c r="D54" s="125" t="s">
        <v>29</v>
      </c>
      <c r="E54" s="31"/>
      <c r="F54" s="70">
        <v>1128835</v>
      </c>
      <c r="G54" s="30"/>
      <c r="I54" s="69"/>
      <c r="J54" s="69"/>
    </row>
    <row r="55" spans="1:10" s="70" customFormat="1" ht="12.75" customHeight="1" x14ac:dyDescent="0.2">
      <c r="A55" s="127">
        <v>45125</v>
      </c>
      <c r="B55" s="128" t="s">
        <v>11</v>
      </c>
      <c r="C55" s="76" t="s">
        <v>954</v>
      </c>
      <c r="D55" s="125" t="s">
        <v>29</v>
      </c>
      <c r="E55" s="31"/>
      <c r="F55" s="70">
        <v>3835932</v>
      </c>
      <c r="G55" s="30"/>
      <c r="I55" s="69"/>
      <c r="J55" s="69"/>
    </row>
    <row r="56" spans="1:10" s="70" customFormat="1" ht="12.75" customHeight="1" x14ac:dyDescent="0.2">
      <c r="A56" s="127">
        <v>45125</v>
      </c>
      <c r="B56" s="128" t="s">
        <v>11</v>
      </c>
      <c r="C56" s="76" t="s">
        <v>745</v>
      </c>
      <c r="D56" s="125" t="s">
        <v>29</v>
      </c>
      <c r="E56" s="31"/>
      <c r="F56" s="70">
        <v>1525078</v>
      </c>
      <c r="G56" s="30"/>
      <c r="I56" s="69"/>
      <c r="J56" s="69"/>
    </row>
    <row r="57" spans="1:10" s="70" customFormat="1" ht="12.75" customHeight="1" x14ac:dyDescent="0.2">
      <c r="A57" s="127">
        <v>45125</v>
      </c>
      <c r="B57" s="128" t="s">
        <v>11</v>
      </c>
      <c r="C57" s="76" t="s">
        <v>971</v>
      </c>
      <c r="D57" s="125" t="s">
        <v>29</v>
      </c>
      <c r="E57" s="31"/>
      <c r="F57" s="70">
        <v>75920</v>
      </c>
      <c r="G57" s="30"/>
      <c r="I57" s="69"/>
      <c r="J57" s="69"/>
    </row>
    <row r="58" spans="1:10" s="70" customFormat="1" ht="12.75" customHeight="1" x14ac:dyDescent="0.2">
      <c r="A58" s="127">
        <v>45125</v>
      </c>
      <c r="B58" s="128" t="s">
        <v>11</v>
      </c>
      <c r="C58" s="76" t="s">
        <v>649</v>
      </c>
      <c r="D58" s="125" t="s">
        <v>29</v>
      </c>
      <c r="E58" s="31"/>
      <c r="F58" s="70">
        <v>972615.19</v>
      </c>
      <c r="G58" s="30"/>
      <c r="I58" s="69"/>
      <c r="J58" s="69"/>
    </row>
    <row r="59" spans="1:10" s="70" customFormat="1" ht="12.75" customHeight="1" x14ac:dyDescent="0.2">
      <c r="A59" s="127">
        <v>45125</v>
      </c>
      <c r="B59" s="128" t="s">
        <v>11</v>
      </c>
      <c r="C59" s="76" t="s">
        <v>476</v>
      </c>
      <c r="D59" s="125" t="s">
        <v>29</v>
      </c>
      <c r="E59" s="31"/>
      <c r="F59" s="70">
        <v>199920</v>
      </c>
      <c r="G59" s="30"/>
      <c r="I59" s="69"/>
      <c r="J59" s="69"/>
    </row>
    <row r="60" spans="1:10" s="70" customFormat="1" ht="12.75" customHeight="1" x14ac:dyDescent="0.2">
      <c r="A60" s="127">
        <v>45125</v>
      </c>
      <c r="B60" s="128" t="s">
        <v>11</v>
      </c>
      <c r="C60" s="76" t="s">
        <v>48</v>
      </c>
      <c r="D60" s="125" t="s">
        <v>29</v>
      </c>
      <c r="E60" s="31"/>
      <c r="F60" s="70">
        <v>158166</v>
      </c>
      <c r="G60" s="30"/>
      <c r="I60" s="69"/>
      <c r="J60" s="69"/>
    </row>
    <row r="61" spans="1:10" s="70" customFormat="1" ht="12.75" customHeight="1" x14ac:dyDescent="0.2">
      <c r="A61" s="127">
        <v>45125</v>
      </c>
      <c r="B61" s="128" t="s">
        <v>11</v>
      </c>
      <c r="C61" s="76" t="s">
        <v>63</v>
      </c>
      <c r="D61" s="125" t="s">
        <v>29</v>
      </c>
      <c r="E61" s="31"/>
      <c r="F61" s="70">
        <v>3600000</v>
      </c>
      <c r="G61" s="30"/>
      <c r="I61" s="69"/>
      <c r="J61" s="69"/>
    </row>
    <row r="62" spans="1:10" s="70" customFormat="1" ht="12.75" customHeight="1" x14ac:dyDescent="0.2">
      <c r="A62" s="127">
        <v>45125</v>
      </c>
      <c r="B62" s="128" t="s">
        <v>11</v>
      </c>
      <c r="C62" s="76" t="s">
        <v>57</v>
      </c>
      <c r="D62" s="125" t="s">
        <v>29</v>
      </c>
      <c r="E62" s="31"/>
      <c r="F62" s="70">
        <v>7000000</v>
      </c>
      <c r="G62" s="30"/>
      <c r="I62" s="69"/>
      <c r="J62" s="69"/>
    </row>
    <row r="63" spans="1:10" s="70" customFormat="1" ht="12.75" customHeight="1" x14ac:dyDescent="0.2">
      <c r="A63" s="127">
        <v>45125</v>
      </c>
      <c r="B63" s="128" t="s">
        <v>11</v>
      </c>
      <c r="C63" s="76" t="s">
        <v>339</v>
      </c>
      <c r="D63" s="125" t="s">
        <v>29</v>
      </c>
      <c r="E63" s="31"/>
      <c r="F63" s="70">
        <v>43200</v>
      </c>
      <c r="G63" s="30"/>
      <c r="I63" s="69"/>
      <c r="J63" s="69"/>
    </row>
    <row r="64" spans="1:10" s="70" customFormat="1" ht="12.75" customHeight="1" x14ac:dyDescent="0.2">
      <c r="A64" s="127">
        <v>45125</v>
      </c>
      <c r="B64" s="128" t="s">
        <v>11</v>
      </c>
      <c r="C64" s="76" t="s">
        <v>792</v>
      </c>
      <c r="D64" s="125" t="s">
        <v>29</v>
      </c>
      <c r="E64" s="31"/>
      <c r="F64" s="70">
        <v>62537</v>
      </c>
      <c r="G64" s="30"/>
      <c r="I64" s="69"/>
      <c r="J64" s="69"/>
    </row>
    <row r="65" spans="1:14" s="2" customFormat="1" ht="12.75" customHeight="1" x14ac:dyDescent="0.2">
      <c r="A65" s="32"/>
      <c r="B65" s="33"/>
      <c r="C65" s="14"/>
      <c r="D65" s="34"/>
      <c r="E65" s="16">
        <f>SUM(E17:E64)</f>
        <v>7819694</v>
      </c>
      <c r="F65" s="16">
        <f>SUM(F17:F64)</f>
        <v>290333231.10000008</v>
      </c>
      <c r="G65" s="30"/>
      <c r="H65" s="1"/>
      <c r="I65" s="38">
        <v>282513537.10000002</v>
      </c>
      <c r="J65" s="2" t="s">
        <v>396</v>
      </c>
      <c r="K65" s="92">
        <f>E66-I65</f>
        <v>0</v>
      </c>
      <c r="L65" s="41"/>
      <c r="M65" s="42"/>
    </row>
    <row r="66" spans="1:14" s="2" customFormat="1" ht="12.75" customHeight="1" x14ac:dyDescent="0.2">
      <c r="A66" s="36"/>
      <c r="B66" s="28" t="s">
        <v>11</v>
      </c>
      <c r="C66" s="19" t="s">
        <v>65</v>
      </c>
      <c r="D66" s="37"/>
      <c r="E66" s="38">
        <f>F65-E65</f>
        <v>282513537.10000008</v>
      </c>
      <c r="F66" s="22"/>
      <c r="G66" s="1"/>
      <c r="H66" s="1"/>
      <c r="J66" s="1"/>
      <c r="K66" s="1"/>
      <c r="L66" s="1"/>
      <c r="M66" s="1"/>
    </row>
    <row r="67" spans="1:14" s="2" customFormat="1" ht="12.75" customHeight="1" x14ac:dyDescent="0.2">
      <c r="A67" s="36"/>
      <c r="B67" s="28" t="s">
        <v>66</v>
      </c>
      <c r="C67" s="43" t="s">
        <v>67</v>
      </c>
      <c r="D67" s="43"/>
      <c r="E67" s="12">
        <v>59416310</v>
      </c>
      <c r="F67" s="22"/>
      <c r="G67" s="1"/>
      <c r="H67" s="40"/>
      <c r="I67" s="45">
        <v>2486.35</v>
      </c>
      <c r="J67" s="46"/>
      <c r="K67" s="46"/>
      <c r="L67" s="13"/>
    </row>
    <row r="68" spans="1:14" s="2" customFormat="1" ht="12.75" customHeight="1" x14ac:dyDescent="0.25">
      <c r="A68" s="36"/>
      <c r="B68" s="28"/>
      <c r="C68" s="44" t="s">
        <v>68</v>
      </c>
      <c r="D68" s="43"/>
      <c r="E68" s="7">
        <f>E66+E67</f>
        <v>341929847.10000008</v>
      </c>
      <c r="F68" s="22"/>
      <c r="G68" s="1"/>
      <c r="H68" s="103" t="s">
        <v>69</v>
      </c>
      <c r="I68" s="45">
        <v>-22.01</v>
      </c>
      <c r="J68" s="46"/>
      <c r="K68" s="46"/>
      <c r="N68" s="1"/>
    </row>
    <row r="69" spans="1:14" s="2" customFormat="1" x14ac:dyDescent="0.2">
      <c r="A69" s="24"/>
      <c r="B69" s="1"/>
      <c r="C69" s="14"/>
      <c r="D69" s="25"/>
      <c r="E69" s="1"/>
      <c r="H69" s="35" t="s">
        <v>70</v>
      </c>
      <c r="I69" s="45">
        <v>0.19</v>
      </c>
      <c r="J69" s="46">
        <f>+I70-D72</f>
        <v>0</v>
      </c>
      <c r="M69" s="2" t="s">
        <v>396</v>
      </c>
      <c r="N69" s="1"/>
    </row>
    <row r="70" spans="1:14" x14ac:dyDescent="0.2">
      <c r="C70" s="56"/>
      <c r="D70" s="56"/>
      <c r="E70" s="104"/>
      <c r="I70" s="49">
        <f>SUM(I67:I69)</f>
        <v>2464.5299999999997</v>
      </c>
      <c r="J70" s="46"/>
      <c r="K70" s="46"/>
      <c r="L70" s="2"/>
      <c r="M70" s="2"/>
      <c r="N70" s="2"/>
    </row>
    <row r="71" spans="1:14" x14ac:dyDescent="0.2">
      <c r="C71" s="78" t="s">
        <v>575</v>
      </c>
      <c r="D71" s="48" t="s">
        <v>576</v>
      </c>
      <c r="E71" s="104"/>
      <c r="I71" s="2"/>
      <c r="J71" s="2"/>
      <c r="K71" s="2"/>
      <c r="L71" s="2"/>
      <c r="M71" s="2"/>
      <c r="N71" s="2"/>
    </row>
    <row r="72" spans="1:14" s="2" customFormat="1" x14ac:dyDescent="0.2">
      <c r="A72" s="24"/>
      <c r="B72" s="1"/>
      <c r="C72" s="47" t="s">
        <v>570</v>
      </c>
      <c r="D72" s="111">
        <v>2464.5300000000002</v>
      </c>
      <c r="E72" s="104"/>
      <c r="G72" s="1"/>
      <c r="H72" s="110" t="s">
        <v>581</v>
      </c>
      <c r="N72" s="2" t="s">
        <v>535</v>
      </c>
    </row>
    <row r="73" spans="1:14" s="2" customFormat="1" x14ac:dyDescent="0.2">
      <c r="A73" s="24"/>
      <c r="B73" s="1"/>
      <c r="C73" s="47" t="s">
        <v>931</v>
      </c>
      <c r="D73" s="111">
        <v>287.45999999999998</v>
      </c>
      <c r="E73" s="104"/>
      <c r="G73" s="1"/>
      <c r="H73" s="110" t="s">
        <v>580</v>
      </c>
    </row>
    <row r="74" spans="1:14" s="2" customFormat="1" x14ac:dyDescent="0.2">
      <c r="A74" s="24"/>
      <c r="B74" s="1"/>
      <c r="C74" s="47" t="s">
        <v>572</v>
      </c>
      <c r="D74" s="111">
        <f>+D126/100000</f>
        <v>479.9644692</v>
      </c>
      <c r="E74" s="104"/>
      <c r="G74" s="1"/>
      <c r="H74" s="90" t="s">
        <v>587</v>
      </c>
    </row>
    <row r="75" spans="1:14" s="2" customFormat="1" x14ac:dyDescent="0.2">
      <c r="A75" s="24"/>
      <c r="B75" s="1"/>
      <c r="C75" s="108" t="s">
        <v>578</v>
      </c>
      <c r="D75" s="48">
        <f>SUM(D72:D74)</f>
        <v>3231.9544692000004</v>
      </c>
      <c r="E75" s="104"/>
      <c r="G75" s="1"/>
    </row>
    <row r="76" spans="1:14" s="2" customFormat="1" x14ac:dyDescent="0.2">
      <c r="A76" s="24"/>
      <c r="B76" s="1"/>
      <c r="C76" s="47"/>
      <c r="D76" s="107"/>
      <c r="E76" s="104"/>
      <c r="G76" s="1"/>
    </row>
    <row r="77" spans="1:14" s="2" customFormat="1" x14ac:dyDescent="0.2">
      <c r="A77" s="24"/>
      <c r="B77" s="1"/>
      <c r="C77" s="47" t="s">
        <v>932</v>
      </c>
      <c r="D77" s="111">
        <v>152.72</v>
      </c>
      <c r="E77" s="104"/>
      <c r="G77" s="1"/>
      <c r="H77" s="110" t="s">
        <v>581</v>
      </c>
    </row>
    <row r="78" spans="1:14" s="2" customFormat="1" x14ac:dyDescent="0.2">
      <c r="A78" s="24"/>
      <c r="B78" s="1"/>
      <c r="C78" s="136" t="s">
        <v>1142</v>
      </c>
      <c r="D78" s="111">
        <f>263.77-55.45</f>
        <v>208.32</v>
      </c>
      <c r="E78" s="104"/>
      <c r="G78" s="1"/>
      <c r="H78" s="110" t="s">
        <v>581</v>
      </c>
      <c r="J78" s="114" t="s">
        <v>713</v>
      </c>
    </row>
    <row r="79" spans="1:14" s="2" customFormat="1" x14ac:dyDescent="0.2">
      <c r="A79" s="24"/>
      <c r="B79" s="1"/>
      <c r="C79" s="78" t="s">
        <v>579</v>
      </c>
      <c r="D79" s="109">
        <f>D77+D78</f>
        <v>361.03999999999996</v>
      </c>
      <c r="E79" s="104"/>
      <c r="G79" s="1"/>
      <c r="I79" s="113"/>
      <c r="J79" s="113" t="s">
        <v>709</v>
      </c>
      <c r="K79" s="113" t="s">
        <v>710</v>
      </c>
      <c r="L79" s="113" t="s">
        <v>711</v>
      </c>
      <c r="M79" s="113" t="s">
        <v>712</v>
      </c>
    </row>
    <row r="80" spans="1:14" s="2" customFormat="1" x14ac:dyDescent="0.2">
      <c r="A80" s="24"/>
      <c r="B80" s="1"/>
      <c r="C80" s="105"/>
      <c r="D80" s="106"/>
      <c r="E80" s="104"/>
      <c r="G80" s="1"/>
      <c r="I80" s="113" t="s">
        <v>706</v>
      </c>
      <c r="J80" s="115"/>
      <c r="K80" s="115">
        <v>968.99</v>
      </c>
      <c r="L80" s="115">
        <v>968.99</v>
      </c>
      <c r="M80" s="113">
        <f>+J80+L80-K80</f>
        <v>0</v>
      </c>
    </row>
    <row r="81" spans="1:13" s="2" customFormat="1" x14ac:dyDescent="0.2">
      <c r="A81" s="24"/>
      <c r="B81" s="1"/>
      <c r="C81" s="78" t="s">
        <v>577</v>
      </c>
      <c r="D81" s="109">
        <f>D72+D79</f>
        <v>2825.57</v>
      </c>
      <c r="E81" s="104"/>
      <c r="G81" s="1"/>
      <c r="I81" s="113" t="s">
        <v>707</v>
      </c>
      <c r="J81" s="115">
        <v>183.1</v>
      </c>
      <c r="K81" s="115">
        <v>2773.73</v>
      </c>
      <c r="L81" s="115">
        <v>3389.83</v>
      </c>
      <c r="M81" s="113">
        <f>+J81+L81-K81</f>
        <v>799.19999999999982</v>
      </c>
    </row>
    <row r="82" spans="1:13" s="2" customFormat="1" x14ac:dyDescent="0.2">
      <c r="A82" s="24"/>
      <c r="B82" s="1"/>
      <c r="C82" s="56"/>
      <c r="D82" s="56"/>
      <c r="E82" s="104"/>
      <c r="G82" s="1"/>
      <c r="I82" s="113" t="s">
        <v>708</v>
      </c>
      <c r="J82" s="115">
        <v>1371.02</v>
      </c>
      <c r="K82" s="115">
        <v>12854.43</v>
      </c>
      <c r="L82" s="115">
        <v>12668.23</v>
      </c>
      <c r="M82" s="113">
        <f>+J82+L82-K82</f>
        <v>1184.8199999999997</v>
      </c>
    </row>
    <row r="83" spans="1:13" s="2" customFormat="1" ht="38.25" x14ac:dyDescent="0.2">
      <c r="A83" s="24"/>
      <c r="B83" s="1"/>
      <c r="C83" s="79" t="str">
        <f>"Particulars ( 01-04-2021 to "&amp;TEXT(A5,"dd-mm-yyyy")&amp;" )"</f>
        <v>Particulars ( 01-04-2021 to 18-07-2023 )</v>
      </c>
      <c r="D83" s="80" t="s">
        <v>73</v>
      </c>
      <c r="E83" s="80" t="s">
        <v>74</v>
      </c>
      <c r="F83" s="81" t="s">
        <v>75</v>
      </c>
      <c r="G83" s="80" t="s">
        <v>76</v>
      </c>
      <c r="J83" s="118">
        <f>SUM(J80:J82)</f>
        <v>1554.12</v>
      </c>
      <c r="K83" s="118">
        <f>SUM(K80:K82)</f>
        <v>16597.150000000001</v>
      </c>
      <c r="L83" s="118">
        <f>SUM(L80:L82)</f>
        <v>17027.05</v>
      </c>
      <c r="M83" s="118">
        <f>SUM(M80:M82)</f>
        <v>1984.0199999999995</v>
      </c>
    </row>
    <row r="84" spans="1:13" s="2" customFormat="1" x14ac:dyDescent="0.2">
      <c r="A84" s="24"/>
      <c r="B84" s="1"/>
      <c r="C84" s="50" t="s">
        <v>444</v>
      </c>
      <c r="D84" s="55">
        <f>+L80+L81+J81</f>
        <v>4541.92</v>
      </c>
      <c r="E84" s="55">
        <f>+K80+K81</f>
        <v>3742.7200000000003</v>
      </c>
      <c r="F84" s="55">
        <f>+D84-E84</f>
        <v>799.19999999999982</v>
      </c>
      <c r="G84" s="55">
        <f>1500-F84</f>
        <v>700.80000000000018</v>
      </c>
      <c r="H84" s="2" t="s">
        <v>396</v>
      </c>
    </row>
    <row r="85" spans="1:13" s="2" customFormat="1" x14ac:dyDescent="0.2">
      <c r="A85" s="24"/>
      <c r="B85" s="1"/>
      <c r="C85" s="50" t="s">
        <v>71</v>
      </c>
      <c r="D85" s="55">
        <f>+J82+L82</f>
        <v>14039.25</v>
      </c>
      <c r="E85" s="55">
        <f>+K82</f>
        <v>12854.43</v>
      </c>
      <c r="F85" s="55">
        <f>+D85-E85</f>
        <v>1184.8199999999997</v>
      </c>
      <c r="G85" s="55">
        <f>1500+700-F85</f>
        <v>1015.1800000000003</v>
      </c>
      <c r="H85" s="2" t="s">
        <v>396</v>
      </c>
    </row>
    <row r="86" spans="1:13" s="2" customFormat="1" x14ac:dyDescent="0.2">
      <c r="A86" s="24"/>
      <c r="B86" s="1"/>
      <c r="C86" s="14"/>
      <c r="D86" s="56"/>
      <c r="E86" s="13"/>
      <c r="G86" s="1"/>
    </row>
    <row r="87" spans="1:13" s="2" customFormat="1" x14ac:dyDescent="0.2">
      <c r="A87" s="215" t="s">
        <v>80</v>
      </c>
      <c r="B87" s="216"/>
      <c r="C87" s="216"/>
      <c r="D87" s="217"/>
      <c r="E87" s="69"/>
      <c r="F87" s="70"/>
      <c r="G87" s="1"/>
      <c r="H87" s="53"/>
    </row>
    <row r="88" spans="1:13" s="2" customFormat="1" x14ac:dyDescent="0.2">
      <c r="A88" s="71" t="s">
        <v>81</v>
      </c>
      <c r="B88" s="71"/>
      <c r="C88" s="72" t="s">
        <v>82</v>
      </c>
      <c r="D88" s="73" t="s">
        <v>83</v>
      </c>
      <c r="E88" s="69"/>
      <c r="F88" s="70"/>
      <c r="H88" s="53"/>
    </row>
    <row r="89" spans="1:13" s="2" customFormat="1" x14ac:dyDescent="0.2">
      <c r="A89" s="87">
        <v>45108</v>
      </c>
      <c r="B89" s="120" t="s">
        <v>1052</v>
      </c>
      <c r="C89" s="75" t="s">
        <v>84</v>
      </c>
      <c r="D89" s="88">
        <v>3000000</v>
      </c>
      <c r="G89" s="1"/>
      <c r="L89" s="1"/>
      <c r="M89" s="1"/>
    </row>
    <row r="90" spans="1:13" s="2" customFormat="1" x14ac:dyDescent="0.2">
      <c r="A90" s="87">
        <v>45108</v>
      </c>
      <c r="B90" s="120" t="s">
        <v>1052</v>
      </c>
      <c r="C90" s="75" t="s">
        <v>271</v>
      </c>
      <c r="D90" s="88">
        <v>2323148</v>
      </c>
      <c r="G90" s="1"/>
      <c r="L90" s="1"/>
      <c r="M90" s="1"/>
    </row>
    <row r="91" spans="1:13" s="2" customFormat="1" x14ac:dyDescent="0.2">
      <c r="A91" s="87">
        <v>45110</v>
      </c>
      <c r="B91" s="120" t="s">
        <v>1052</v>
      </c>
      <c r="C91" s="75" t="s">
        <v>85</v>
      </c>
      <c r="D91" s="88">
        <v>732575</v>
      </c>
      <c r="G91" s="1"/>
      <c r="L91" s="1"/>
      <c r="M91" s="1"/>
    </row>
    <row r="92" spans="1:13" s="2" customFormat="1" x14ac:dyDescent="0.2">
      <c r="A92" s="87">
        <v>45110</v>
      </c>
      <c r="B92" s="120" t="s">
        <v>1052</v>
      </c>
      <c r="C92" s="75" t="s">
        <v>86</v>
      </c>
      <c r="D92" s="88">
        <v>2676974</v>
      </c>
      <c r="G92" s="1"/>
      <c r="L92" s="1"/>
      <c r="M92" s="1"/>
    </row>
    <row r="93" spans="1:13" s="2" customFormat="1" x14ac:dyDescent="0.2">
      <c r="A93" s="87">
        <v>45110</v>
      </c>
      <c r="B93" s="120" t="s">
        <v>1052</v>
      </c>
      <c r="C93" s="75" t="s">
        <v>86</v>
      </c>
      <c r="D93" s="88">
        <v>1043475</v>
      </c>
      <c r="G93" s="1"/>
      <c r="L93" s="1"/>
      <c r="M93" s="1"/>
    </row>
    <row r="94" spans="1:13" s="2" customFormat="1" x14ac:dyDescent="0.2">
      <c r="A94" s="87">
        <v>45111</v>
      </c>
      <c r="B94" s="120" t="s">
        <v>1052</v>
      </c>
      <c r="C94" s="75" t="s">
        <v>270</v>
      </c>
      <c r="D94" s="88">
        <v>106093</v>
      </c>
      <c r="G94" s="1"/>
      <c r="L94" s="1"/>
      <c r="M94" s="1"/>
    </row>
    <row r="95" spans="1:13" s="2" customFormat="1" x14ac:dyDescent="0.2">
      <c r="A95" s="87">
        <v>45111</v>
      </c>
      <c r="B95" s="120" t="s">
        <v>1052</v>
      </c>
      <c r="C95" s="75" t="s">
        <v>270</v>
      </c>
      <c r="D95" s="88">
        <v>102393</v>
      </c>
      <c r="G95" s="1"/>
      <c r="L95" s="1"/>
      <c r="M95" s="1"/>
    </row>
    <row r="96" spans="1:13" s="2" customFormat="1" x14ac:dyDescent="0.2">
      <c r="A96" s="87">
        <v>45111</v>
      </c>
      <c r="B96" s="120" t="s">
        <v>1052</v>
      </c>
      <c r="C96" s="75" t="s">
        <v>270</v>
      </c>
      <c r="D96" s="88">
        <v>716336</v>
      </c>
      <c r="G96" s="1"/>
      <c r="L96" s="1"/>
      <c r="M96" s="1"/>
    </row>
    <row r="97" spans="1:13" s="2" customFormat="1" x14ac:dyDescent="0.2">
      <c r="A97" s="87">
        <v>45111</v>
      </c>
      <c r="B97" s="120" t="s">
        <v>1052</v>
      </c>
      <c r="C97" s="75" t="s">
        <v>270</v>
      </c>
      <c r="D97" s="88">
        <v>2504631</v>
      </c>
      <c r="G97" s="1"/>
      <c r="L97" s="1"/>
      <c r="M97" s="1"/>
    </row>
    <row r="98" spans="1:13" s="2" customFormat="1" x14ac:dyDescent="0.2">
      <c r="A98" s="87">
        <v>45111</v>
      </c>
      <c r="B98" s="120" t="s">
        <v>1052</v>
      </c>
      <c r="C98" s="75" t="s">
        <v>270</v>
      </c>
      <c r="D98" s="88">
        <v>141433.92000000001</v>
      </c>
      <c r="G98" s="1"/>
      <c r="L98" s="1"/>
      <c r="M98" s="1"/>
    </row>
    <row r="99" spans="1:13" s="2" customFormat="1" x14ac:dyDescent="0.2">
      <c r="A99" s="87">
        <v>45111</v>
      </c>
      <c r="B99" s="120" t="s">
        <v>1052</v>
      </c>
      <c r="C99" s="75" t="s">
        <v>271</v>
      </c>
      <c r="D99" s="88">
        <v>485258</v>
      </c>
      <c r="G99" s="1"/>
      <c r="L99" s="1"/>
      <c r="M99" s="1"/>
    </row>
    <row r="100" spans="1:13" s="2" customFormat="1" x14ac:dyDescent="0.2">
      <c r="A100" s="87">
        <v>45112</v>
      </c>
      <c r="B100" s="120" t="s">
        <v>1052</v>
      </c>
      <c r="C100" s="75" t="s">
        <v>85</v>
      </c>
      <c r="D100" s="88">
        <v>216478</v>
      </c>
      <c r="G100" s="1"/>
      <c r="L100" s="1"/>
      <c r="M100" s="1"/>
    </row>
    <row r="101" spans="1:13" s="2" customFormat="1" x14ac:dyDescent="0.2">
      <c r="A101" s="87">
        <v>45114</v>
      </c>
      <c r="B101" s="120" t="s">
        <v>1052</v>
      </c>
      <c r="C101" s="75" t="s">
        <v>270</v>
      </c>
      <c r="D101" s="88">
        <v>886333</v>
      </c>
      <c r="G101" s="1"/>
      <c r="L101" s="1"/>
      <c r="M101" s="1"/>
    </row>
    <row r="102" spans="1:13" s="2" customFormat="1" x14ac:dyDescent="0.2">
      <c r="A102" s="87">
        <v>45114</v>
      </c>
      <c r="B102" s="120" t="s">
        <v>1052</v>
      </c>
      <c r="C102" s="75" t="s">
        <v>270</v>
      </c>
      <c r="D102" s="88">
        <v>3119806</v>
      </c>
      <c r="G102" s="1"/>
      <c r="L102" s="1"/>
      <c r="M102" s="1"/>
    </row>
    <row r="103" spans="1:13" s="2" customFormat="1" x14ac:dyDescent="0.2">
      <c r="A103" s="87">
        <v>45114</v>
      </c>
      <c r="B103" s="120" t="s">
        <v>1052</v>
      </c>
      <c r="C103" s="75" t="s">
        <v>271</v>
      </c>
      <c r="D103" s="88">
        <v>151160</v>
      </c>
      <c r="G103" s="1"/>
      <c r="L103" s="1"/>
      <c r="M103" s="1"/>
    </row>
    <row r="104" spans="1:13" s="2" customFormat="1" x14ac:dyDescent="0.2">
      <c r="A104" s="87">
        <v>45114</v>
      </c>
      <c r="B104" s="120" t="s">
        <v>1052</v>
      </c>
      <c r="C104" s="75" t="s">
        <v>271</v>
      </c>
      <c r="D104" s="88">
        <v>285195</v>
      </c>
      <c r="G104" s="1"/>
      <c r="L104" s="1"/>
      <c r="M104" s="1"/>
    </row>
    <row r="105" spans="1:13" s="2" customFormat="1" x14ac:dyDescent="0.2">
      <c r="A105" s="87">
        <v>45114</v>
      </c>
      <c r="B105" s="120" t="s">
        <v>1052</v>
      </c>
      <c r="C105" s="75" t="s">
        <v>201</v>
      </c>
      <c r="D105" s="88">
        <v>128135</v>
      </c>
      <c r="G105" s="1"/>
      <c r="L105" s="1"/>
      <c r="M105" s="1"/>
    </row>
    <row r="106" spans="1:13" s="2" customFormat="1" x14ac:dyDescent="0.2">
      <c r="A106" s="87">
        <v>45114</v>
      </c>
      <c r="B106" s="120" t="s">
        <v>1052</v>
      </c>
      <c r="C106" s="75" t="s">
        <v>323</v>
      </c>
      <c r="D106" s="88">
        <v>2313089</v>
      </c>
      <c r="G106" s="1"/>
      <c r="L106" s="1"/>
      <c r="M106" s="1"/>
    </row>
    <row r="107" spans="1:13" s="2" customFormat="1" x14ac:dyDescent="0.2">
      <c r="A107" s="87">
        <v>45115</v>
      </c>
      <c r="B107" s="120" t="s">
        <v>1052</v>
      </c>
      <c r="C107" s="75" t="s">
        <v>767</v>
      </c>
      <c r="D107" s="88">
        <v>411035</v>
      </c>
      <c r="G107" s="1"/>
      <c r="L107" s="1"/>
      <c r="M107" s="1"/>
    </row>
    <row r="108" spans="1:13" s="2" customFormat="1" x14ac:dyDescent="0.2">
      <c r="A108" s="87">
        <v>45118</v>
      </c>
      <c r="B108" s="120" t="s">
        <v>1052</v>
      </c>
      <c r="C108" s="75" t="s">
        <v>270</v>
      </c>
      <c r="D108" s="88">
        <v>34696</v>
      </c>
      <c r="G108" s="1"/>
      <c r="L108" s="1"/>
      <c r="M108" s="1"/>
    </row>
    <row r="109" spans="1:13" s="2" customFormat="1" x14ac:dyDescent="0.2">
      <c r="A109" s="87">
        <v>45118</v>
      </c>
      <c r="B109" s="120" t="s">
        <v>1052</v>
      </c>
      <c r="C109" s="75" t="s">
        <v>270</v>
      </c>
      <c r="D109" s="88">
        <v>1128922</v>
      </c>
      <c r="G109" s="1"/>
      <c r="L109" s="1"/>
      <c r="M109" s="1"/>
    </row>
    <row r="110" spans="1:13" s="2" customFormat="1" x14ac:dyDescent="0.2">
      <c r="A110" s="87">
        <v>45118</v>
      </c>
      <c r="B110" s="120" t="s">
        <v>1052</v>
      </c>
      <c r="C110" s="75" t="s">
        <v>270</v>
      </c>
      <c r="D110" s="88">
        <v>2865343</v>
      </c>
      <c r="G110" s="1"/>
      <c r="L110" s="1"/>
      <c r="M110" s="1"/>
    </row>
    <row r="111" spans="1:13" s="2" customFormat="1" x14ac:dyDescent="0.2">
      <c r="A111" s="87">
        <v>45118</v>
      </c>
      <c r="B111" s="120" t="s">
        <v>1052</v>
      </c>
      <c r="C111" s="75" t="s">
        <v>270</v>
      </c>
      <c r="D111" s="88">
        <v>1090852</v>
      </c>
      <c r="G111" s="1"/>
      <c r="L111" s="1"/>
      <c r="M111" s="1"/>
    </row>
    <row r="112" spans="1:13" s="2" customFormat="1" x14ac:dyDescent="0.2">
      <c r="A112" s="87">
        <v>45118</v>
      </c>
      <c r="B112" s="120" t="s">
        <v>1052</v>
      </c>
      <c r="C112" s="75" t="s">
        <v>270</v>
      </c>
      <c r="D112" s="88">
        <v>359348</v>
      </c>
      <c r="G112" s="1"/>
      <c r="L112" s="1"/>
      <c r="M112" s="1"/>
    </row>
    <row r="113" spans="1:13" s="2" customFormat="1" x14ac:dyDescent="0.2">
      <c r="A113" s="87">
        <v>45118</v>
      </c>
      <c r="B113" s="120" t="s">
        <v>1052</v>
      </c>
      <c r="C113" s="75" t="s">
        <v>271</v>
      </c>
      <c r="D113" s="88">
        <v>323487</v>
      </c>
      <c r="G113" s="1"/>
      <c r="L113" s="1"/>
      <c r="M113" s="1"/>
    </row>
    <row r="114" spans="1:13" s="2" customFormat="1" x14ac:dyDescent="0.2">
      <c r="A114" s="87">
        <v>45118</v>
      </c>
      <c r="B114" s="120" t="s">
        <v>1052</v>
      </c>
      <c r="C114" s="75" t="s">
        <v>271</v>
      </c>
      <c r="D114" s="88">
        <v>44394</v>
      </c>
      <c r="G114" s="1"/>
      <c r="L114" s="1"/>
      <c r="M114" s="1"/>
    </row>
    <row r="115" spans="1:13" s="2" customFormat="1" x14ac:dyDescent="0.2">
      <c r="A115" s="87">
        <v>45118</v>
      </c>
      <c r="B115" s="120" t="s">
        <v>1052</v>
      </c>
      <c r="C115" s="75" t="s">
        <v>271</v>
      </c>
      <c r="D115" s="88">
        <v>2035052</v>
      </c>
      <c r="G115" s="1"/>
      <c r="L115" s="1"/>
      <c r="M115" s="1"/>
    </row>
    <row r="116" spans="1:13" s="2" customFormat="1" x14ac:dyDescent="0.2">
      <c r="A116" s="87">
        <v>45119</v>
      </c>
      <c r="B116" s="120" t="s">
        <v>1052</v>
      </c>
      <c r="C116" s="75" t="s">
        <v>85</v>
      </c>
      <c r="D116" s="88">
        <v>569516</v>
      </c>
      <c r="G116" s="1"/>
      <c r="L116" s="1"/>
      <c r="M116" s="1"/>
    </row>
    <row r="117" spans="1:13" s="2" customFormat="1" x14ac:dyDescent="0.2">
      <c r="A117" s="87">
        <v>45119</v>
      </c>
      <c r="B117" s="120" t="s">
        <v>1052</v>
      </c>
      <c r="C117" s="75" t="s">
        <v>271</v>
      </c>
      <c r="D117" s="88">
        <v>3074492</v>
      </c>
      <c r="G117" s="1"/>
      <c r="L117" s="1"/>
      <c r="M117" s="1"/>
    </row>
    <row r="118" spans="1:13" s="2" customFormat="1" x14ac:dyDescent="0.2">
      <c r="A118" s="87">
        <v>45119</v>
      </c>
      <c r="B118" s="120" t="s">
        <v>1052</v>
      </c>
      <c r="C118" s="75" t="s">
        <v>270</v>
      </c>
      <c r="D118" s="88">
        <v>1556273</v>
      </c>
      <c r="G118" s="1"/>
      <c r="L118" s="1"/>
      <c r="M118" s="1"/>
    </row>
    <row r="119" spans="1:13" s="2" customFormat="1" x14ac:dyDescent="0.2">
      <c r="A119" s="87">
        <v>45119</v>
      </c>
      <c r="B119" s="120" t="s">
        <v>1052</v>
      </c>
      <c r="C119" s="75" t="s">
        <v>84</v>
      </c>
      <c r="D119" s="88">
        <v>2500000</v>
      </c>
      <c r="G119" s="1"/>
      <c r="L119" s="1"/>
      <c r="M119" s="1"/>
    </row>
    <row r="120" spans="1:13" s="2" customFormat="1" x14ac:dyDescent="0.2">
      <c r="A120" s="87">
        <v>45121</v>
      </c>
      <c r="B120" s="120" t="s">
        <v>1052</v>
      </c>
      <c r="C120" s="75" t="s">
        <v>1084</v>
      </c>
      <c r="D120" s="88">
        <v>5000000</v>
      </c>
      <c r="G120" s="1"/>
      <c r="L120" s="1"/>
      <c r="M120" s="1"/>
    </row>
    <row r="121" spans="1:13" s="2" customFormat="1" x14ac:dyDescent="0.2">
      <c r="A121" s="87">
        <v>45122</v>
      </c>
      <c r="B121" s="120" t="s">
        <v>1052</v>
      </c>
      <c r="C121" s="75" t="s">
        <v>270</v>
      </c>
      <c r="D121" s="88">
        <v>893235</v>
      </c>
      <c r="G121" s="1"/>
      <c r="L121" s="1"/>
      <c r="M121" s="1"/>
    </row>
    <row r="122" spans="1:13" s="2" customFormat="1" x14ac:dyDescent="0.2">
      <c r="A122" s="87">
        <v>45124</v>
      </c>
      <c r="B122" s="120" t="s">
        <v>1052</v>
      </c>
      <c r="C122" s="75" t="s">
        <v>1084</v>
      </c>
      <c r="D122" s="88">
        <v>4000000</v>
      </c>
      <c r="G122" s="1"/>
      <c r="L122" s="1"/>
      <c r="M122" s="1"/>
    </row>
    <row r="123" spans="1:13" s="2" customFormat="1" x14ac:dyDescent="0.2">
      <c r="A123" s="87">
        <v>45125</v>
      </c>
      <c r="B123" s="120" t="s">
        <v>1052</v>
      </c>
      <c r="C123" s="75" t="s">
        <v>85</v>
      </c>
      <c r="D123" s="88">
        <v>209650</v>
      </c>
      <c r="G123" s="1"/>
      <c r="L123" s="1"/>
      <c r="M123" s="1"/>
    </row>
    <row r="124" spans="1:13" s="2" customFormat="1" x14ac:dyDescent="0.2">
      <c r="A124" s="87">
        <v>45125</v>
      </c>
      <c r="B124" s="120" t="s">
        <v>1052</v>
      </c>
      <c r="C124" s="75" t="s">
        <v>270</v>
      </c>
      <c r="D124" s="88">
        <v>891686</v>
      </c>
      <c r="G124" s="1"/>
      <c r="L124" s="1"/>
      <c r="M124" s="1"/>
    </row>
    <row r="125" spans="1:13" s="2" customFormat="1" x14ac:dyDescent="0.2">
      <c r="A125" s="87">
        <v>45125</v>
      </c>
      <c r="B125" s="120" t="s">
        <v>1052</v>
      </c>
      <c r="C125" s="75" t="s">
        <v>85</v>
      </c>
      <c r="D125" s="88">
        <v>75953</v>
      </c>
      <c r="G125" s="1"/>
      <c r="L125" s="1"/>
      <c r="M125" s="1"/>
    </row>
    <row r="126" spans="1:13" s="2" customFormat="1" x14ac:dyDescent="0.2">
      <c r="A126" s="87"/>
      <c r="B126" s="74"/>
      <c r="C126" s="75"/>
      <c r="D126" s="51">
        <f>SUM(D89:D125)</f>
        <v>47996446.920000002</v>
      </c>
      <c r="F126" s="2" t="s">
        <v>396</v>
      </c>
      <c r="G126" s="1"/>
      <c r="L126" s="1"/>
      <c r="M126" s="1"/>
    </row>
    <row r="127" spans="1:13" s="2" customFormat="1" x14ac:dyDescent="0.2">
      <c r="A127" s="24"/>
      <c r="B127" s="1"/>
      <c r="C127" s="14"/>
      <c r="D127" s="56"/>
      <c r="E127" s="13"/>
      <c r="G127" s="1"/>
      <c r="L127" s="1"/>
      <c r="M127" s="1"/>
    </row>
    <row r="128" spans="1:13" s="2" customFormat="1" x14ac:dyDescent="0.2">
      <c r="A128" s="24"/>
      <c r="B128" s="1"/>
      <c r="C128" s="218" t="s">
        <v>77</v>
      </c>
      <c r="D128" s="219"/>
      <c r="E128" s="219"/>
      <c r="F128" s="220"/>
      <c r="G128" s="1"/>
      <c r="L128" s="1"/>
      <c r="M128" s="1"/>
    </row>
    <row r="129" spans="1:13" s="2" customFormat="1" x14ac:dyDescent="0.2">
      <c r="A129" s="24"/>
      <c r="B129" s="1"/>
      <c r="C129" s="50"/>
      <c r="D129" s="57" t="s">
        <v>78</v>
      </c>
      <c r="E129" s="58" t="s">
        <v>79</v>
      </c>
      <c r="F129" s="57" t="s">
        <v>72</v>
      </c>
      <c r="G129" s="1"/>
      <c r="I129" s="1"/>
      <c r="J129" s="1"/>
      <c r="K129" s="1"/>
      <c r="L129" s="1"/>
      <c r="M129" s="1"/>
    </row>
    <row r="130" spans="1:13" s="2" customFormat="1" x14ac:dyDescent="0.2">
      <c r="A130" s="24"/>
      <c r="B130" s="1"/>
      <c r="C130" s="59" t="str">
        <f>"01-07-2023 to "&amp;TEXT(A5-2,"dd-mm-yyyy")</f>
        <v>01-07-2023 to 16-07-2023</v>
      </c>
      <c r="D130" s="60">
        <v>3068.75</v>
      </c>
      <c r="E130" s="60">
        <v>134.05000000000001</v>
      </c>
      <c r="F130" s="61">
        <f>SUM(D130:E130)</f>
        <v>3202.8</v>
      </c>
      <c r="G130" s="1"/>
    </row>
    <row r="131" spans="1:13" s="2" customFormat="1" x14ac:dyDescent="0.2">
      <c r="A131" s="24"/>
      <c r="B131" s="1"/>
      <c r="C131" s="62" t="str">
        <f>TEXT(A5-1,"dd-mm-yyyy")</f>
        <v>17-07-2023</v>
      </c>
      <c r="D131" s="60">
        <v>69.11</v>
      </c>
      <c r="E131" s="60">
        <v>19.18</v>
      </c>
      <c r="F131" s="61">
        <f>SUM(D131:E131)</f>
        <v>88.289999999999992</v>
      </c>
      <c r="G131" s="54"/>
      <c r="I131" s="1"/>
      <c r="J131" s="1"/>
      <c r="K131" s="1"/>
      <c r="L131" s="1"/>
      <c r="M131" s="1"/>
    </row>
    <row r="132" spans="1:13" s="2" customFormat="1" ht="13.5" thickBot="1" x14ac:dyDescent="0.25">
      <c r="A132" s="24"/>
      <c r="B132" s="1"/>
      <c r="C132" s="63" t="str">
        <f>"01-07-2023 to "&amp;TEXT(A5-1,"dd-mm-yyyy")</f>
        <v>01-07-2023 to 17-07-2023</v>
      </c>
      <c r="D132" s="64">
        <f>SUM(D130:D131)</f>
        <v>3137.86</v>
      </c>
      <c r="E132" s="64">
        <f>SUM(E130:E131)</f>
        <v>153.23000000000002</v>
      </c>
      <c r="F132" s="64">
        <f>SUM(F130:F131)</f>
        <v>3291.09</v>
      </c>
      <c r="G132" s="54"/>
      <c r="I132" s="1"/>
      <c r="J132" s="1"/>
      <c r="K132" s="1"/>
      <c r="L132" s="1"/>
      <c r="M132" s="1"/>
    </row>
    <row r="133" spans="1:13" s="2" customFormat="1" ht="13.5" thickTop="1" x14ac:dyDescent="0.2">
      <c r="A133" s="24"/>
      <c r="B133" s="1"/>
      <c r="C133" s="62"/>
      <c r="D133" s="65"/>
      <c r="E133" s="66"/>
      <c r="F133" s="67"/>
      <c r="G133" s="54"/>
      <c r="I133" s="1"/>
      <c r="J133" s="1"/>
      <c r="K133" s="1"/>
      <c r="L133" s="1"/>
      <c r="M133" s="1"/>
    </row>
    <row r="134" spans="1:13" s="2" customFormat="1" x14ac:dyDescent="0.2">
      <c r="A134" s="24"/>
      <c r="B134" s="1"/>
      <c r="C134" s="62" t="str">
        <f>"01-04-2023 to " &amp;C131</f>
        <v>01-04-2023 to 17-07-2023</v>
      </c>
      <c r="D134" s="68">
        <f>+D132+15505.53</f>
        <v>18643.39</v>
      </c>
      <c r="E134" s="68">
        <f>+E132+1109.72</f>
        <v>1262.95</v>
      </c>
      <c r="F134" s="68">
        <f>+F132+16615.25</f>
        <v>19906.34</v>
      </c>
      <c r="G134" s="54"/>
      <c r="I134" s="1"/>
      <c r="J134" s="1"/>
      <c r="K134" s="1"/>
      <c r="L134" s="1"/>
      <c r="M134" s="1"/>
    </row>
    <row r="135" spans="1:13" x14ac:dyDescent="0.2">
      <c r="C135" s="52"/>
      <c r="D135" s="85"/>
      <c r="E135" s="53"/>
      <c r="F135" s="53"/>
      <c r="G135" s="54"/>
      <c r="H135" s="2" t="s">
        <v>396</v>
      </c>
    </row>
    <row r="136" spans="1:13" s="2" customFormat="1" x14ac:dyDescent="0.2">
      <c r="A136" s="24"/>
      <c r="B136" s="1"/>
      <c r="C136" s="52"/>
      <c r="D136" s="85"/>
      <c r="E136" s="53"/>
      <c r="F136" s="53"/>
      <c r="G136" s="54"/>
      <c r="H136" s="53"/>
    </row>
    <row r="137" spans="1:13" x14ac:dyDescent="0.2">
      <c r="C137" s="52"/>
      <c r="D137" s="85"/>
      <c r="E137" s="53"/>
      <c r="F137" s="53"/>
      <c r="G137" s="54"/>
      <c r="H137" s="53" t="s">
        <v>396</v>
      </c>
    </row>
    <row r="138" spans="1:13" x14ac:dyDescent="0.2">
      <c r="C138" s="52"/>
      <c r="D138" s="85"/>
      <c r="E138" s="53"/>
      <c r="F138" s="53"/>
      <c r="G138" s="54"/>
      <c r="H138" s="53" t="s">
        <v>396</v>
      </c>
      <c r="J138" s="42"/>
    </row>
    <row r="139" spans="1:13" x14ac:dyDescent="0.2">
      <c r="G139" s="54"/>
      <c r="H139" s="53"/>
      <c r="I139" s="101"/>
    </row>
    <row r="140" spans="1:13" x14ac:dyDescent="0.2">
      <c r="G140" s="54"/>
      <c r="H140" s="53"/>
    </row>
    <row r="141" spans="1:13" x14ac:dyDescent="0.2">
      <c r="G141" s="54"/>
      <c r="H141" s="53"/>
    </row>
    <row r="142" spans="1:13" x14ac:dyDescent="0.2">
      <c r="H142" s="53"/>
    </row>
  </sheetData>
  <mergeCells count="6">
    <mergeCell ref="C128:F128"/>
    <mergeCell ref="A1:G1"/>
    <mergeCell ref="A3:F3"/>
    <mergeCell ref="A9:F9"/>
    <mergeCell ref="A15:F15"/>
    <mergeCell ref="A87:D87"/>
  </mergeCells>
  <conditionalFormatting sqref="G84:G85">
    <cfRule type="cellIs" dxfId="409" priority="1" operator="lessThan">
      <formula>0</formula>
    </cfRule>
  </conditionalFormatting>
  <conditionalFormatting sqref="C17">
    <cfRule type="duplicateValues" dxfId="408" priority="2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600-000000000000}">
  <sheetPr codeName="Sheet382">
    <pageSetUpPr fitToPage="1"/>
  </sheetPr>
  <dimension ref="A1:N134"/>
  <sheetViews>
    <sheetView zoomScaleNormal="100" workbookViewId="0">
      <selection activeCell="A6" sqref="A6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1224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45126</v>
      </c>
      <c r="B5" s="9" t="s">
        <v>6</v>
      </c>
      <c r="C5" s="10" t="s">
        <v>7</v>
      </c>
      <c r="D5" s="11"/>
      <c r="E5" s="12">
        <v>372249.70000000019</v>
      </c>
      <c r="F5" s="12"/>
      <c r="G5" s="1"/>
      <c r="H5" s="112"/>
      <c r="I5" s="112"/>
    </row>
    <row r="6" spans="1:10" s="2" customFormat="1" ht="14.25" customHeight="1" x14ac:dyDescent="0.4">
      <c r="A6" s="89">
        <v>45126</v>
      </c>
      <c r="B6" s="9" t="s">
        <v>11</v>
      </c>
      <c r="C6" s="10" t="s">
        <v>1225</v>
      </c>
      <c r="D6" s="135" t="s">
        <v>29</v>
      </c>
      <c r="E6" s="12"/>
      <c r="F6" s="12">
        <v>94558</v>
      </c>
      <c r="G6" s="1"/>
      <c r="H6" s="112"/>
      <c r="I6" s="112"/>
    </row>
    <row r="7" spans="1:10" s="2" customFormat="1" ht="12.75" customHeight="1" x14ac:dyDescent="0.4">
      <c r="D7" s="15" t="s">
        <v>8</v>
      </c>
      <c r="E7" s="16">
        <f>SUM(E5:E5)</f>
        <v>372249.70000000019</v>
      </c>
      <c r="F7" s="16">
        <f>SUM(F6)</f>
        <v>94558</v>
      </c>
      <c r="G7" s="1"/>
      <c r="H7" s="112"/>
      <c r="I7" s="112"/>
    </row>
    <row r="8" spans="1:10" s="2" customFormat="1" ht="12.75" customHeight="1" x14ac:dyDescent="0.4">
      <c r="A8" s="17"/>
      <c r="B8" s="18"/>
      <c r="C8" s="19" t="s">
        <v>9</v>
      </c>
      <c r="D8" s="20"/>
      <c r="E8" s="21">
        <f>+E7-F7</f>
        <v>277691.70000000019</v>
      </c>
      <c r="F8" s="22"/>
      <c r="G8" s="23"/>
      <c r="H8" s="112"/>
      <c r="I8" s="112"/>
      <c r="J8" s="13"/>
    </row>
    <row r="9" spans="1:10" ht="12.75" customHeight="1" x14ac:dyDescent="0.4">
      <c r="H9" s="112"/>
      <c r="I9" s="112"/>
    </row>
    <row r="10" spans="1:10" ht="18" customHeight="1" x14ac:dyDescent="0.4">
      <c r="A10" s="213" t="s">
        <v>1037</v>
      </c>
      <c r="B10" s="213"/>
      <c r="C10" s="213"/>
      <c r="D10" s="213"/>
      <c r="E10" s="213"/>
      <c r="F10" s="213"/>
      <c r="H10" s="112"/>
      <c r="I10" s="112"/>
    </row>
    <row r="11" spans="1:10" ht="12.75" customHeight="1" x14ac:dyDescent="0.4">
      <c r="A11" s="3" t="s">
        <v>1</v>
      </c>
      <c r="B11" s="4" t="s">
        <v>2</v>
      </c>
      <c r="C11" s="5"/>
      <c r="D11" s="6" t="s">
        <v>3</v>
      </c>
      <c r="E11" s="7" t="s">
        <v>4</v>
      </c>
      <c r="F11" s="7" t="s">
        <v>5</v>
      </c>
      <c r="H11" s="112"/>
      <c r="I11" s="112"/>
    </row>
    <row r="12" spans="1:10" s="2" customFormat="1" ht="14.25" customHeight="1" x14ac:dyDescent="0.2">
      <c r="A12" s="127">
        <v>45126</v>
      </c>
      <c r="B12" s="9" t="s">
        <v>6</v>
      </c>
      <c r="C12" s="10" t="s">
        <v>7</v>
      </c>
      <c r="D12" s="11"/>
      <c r="F12" s="12">
        <v>27413289.300000004</v>
      </c>
      <c r="G12" s="1"/>
      <c r="H12" s="130" t="s">
        <v>396</v>
      </c>
      <c r="I12" s="130"/>
    </row>
    <row r="13" spans="1:10" s="2" customFormat="1" ht="14.25" customHeight="1" x14ac:dyDescent="0.2">
      <c r="A13" s="127">
        <v>45126</v>
      </c>
      <c r="B13" s="9" t="s">
        <v>6</v>
      </c>
      <c r="C13" s="10" t="s">
        <v>681</v>
      </c>
      <c r="D13" s="11" t="s">
        <v>13</v>
      </c>
      <c r="E13" s="2">
        <v>7893412.1399999997</v>
      </c>
      <c r="F13" s="12"/>
      <c r="G13" s="1"/>
      <c r="H13" s="130"/>
      <c r="I13" s="130"/>
    </row>
    <row r="14" spans="1:10" s="2" customFormat="1" ht="14.25" customHeight="1" x14ac:dyDescent="0.2">
      <c r="A14" s="127">
        <v>45126</v>
      </c>
      <c r="B14" s="9" t="s">
        <v>6</v>
      </c>
      <c r="C14" s="10" t="s">
        <v>1226</v>
      </c>
      <c r="D14" s="11" t="s">
        <v>13</v>
      </c>
      <c r="E14" s="2">
        <v>7699305.1399999997</v>
      </c>
      <c r="F14" s="12"/>
      <c r="G14" s="1"/>
      <c r="H14" s="130"/>
      <c r="I14" s="130"/>
    </row>
    <row r="15" spans="1:10" s="2" customFormat="1" ht="14.25" customHeight="1" x14ac:dyDescent="0.2">
      <c r="A15" s="127">
        <v>45126</v>
      </c>
      <c r="B15" s="9" t="s">
        <v>6</v>
      </c>
      <c r="C15" s="10" t="s">
        <v>405</v>
      </c>
      <c r="D15" s="11" t="s">
        <v>13</v>
      </c>
      <c r="E15" s="2">
        <v>1087240</v>
      </c>
      <c r="F15" s="12"/>
      <c r="G15" s="1"/>
      <c r="H15" s="130"/>
      <c r="I15" s="130"/>
    </row>
    <row r="16" spans="1:10" s="2" customFormat="1" ht="14.25" customHeight="1" x14ac:dyDescent="0.2">
      <c r="A16" s="127">
        <v>45126</v>
      </c>
      <c r="B16" s="9" t="s">
        <v>11</v>
      </c>
      <c r="C16" s="10" t="s">
        <v>1137</v>
      </c>
      <c r="D16" s="11" t="s">
        <v>29</v>
      </c>
      <c r="F16" s="12">
        <v>29512.66</v>
      </c>
      <c r="G16" s="1"/>
      <c r="H16" s="130"/>
      <c r="I16" s="130"/>
    </row>
    <row r="17" spans="1:10" s="2" customFormat="1" ht="14.25" customHeight="1" x14ac:dyDescent="0.2">
      <c r="A17" s="127">
        <v>45126</v>
      </c>
      <c r="B17" s="9" t="s">
        <v>11</v>
      </c>
      <c r="C17" s="10" t="s">
        <v>1227</v>
      </c>
      <c r="D17" s="11" t="s">
        <v>29</v>
      </c>
      <c r="F17" s="12">
        <v>1000000</v>
      </c>
      <c r="G17" s="1"/>
      <c r="H17" s="130"/>
      <c r="I17" s="130"/>
    </row>
    <row r="18" spans="1:10" s="2" customFormat="1" ht="14.25" customHeight="1" x14ac:dyDescent="0.2">
      <c r="A18" s="127">
        <v>45126</v>
      </c>
      <c r="B18" s="9" t="s">
        <v>11</v>
      </c>
      <c r="C18" s="10" t="s">
        <v>238</v>
      </c>
      <c r="D18" s="11" t="s">
        <v>29</v>
      </c>
      <c r="F18" s="12">
        <v>1000000</v>
      </c>
      <c r="G18" s="1"/>
      <c r="H18" s="130"/>
      <c r="I18" s="130"/>
    </row>
    <row r="19" spans="1:10" s="2" customFormat="1" ht="14.25" customHeight="1" x14ac:dyDescent="0.2">
      <c r="A19" s="127">
        <v>45126</v>
      </c>
      <c r="B19" s="9" t="s">
        <v>11</v>
      </c>
      <c r="C19" s="10" t="s">
        <v>395</v>
      </c>
      <c r="D19" s="11" t="s">
        <v>29</v>
      </c>
      <c r="F19" s="12">
        <v>500000</v>
      </c>
      <c r="G19" s="1"/>
      <c r="H19" s="130"/>
      <c r="I19" s="130"/>
    </row>
    <row r="20" spans="1:10" s="2" customFormat="1" ht="14.25" customHeight="1" x14ac:dyDescent="0.2">
      <c r="A20" s="127">
        <v>45126</v>
      </c>
      <c r="B20" s="9" t="s">
        <v>11</v>
      </c>
      <c r="C20" s="10" t="s">
        <v>57</v>
      </c>
      <c r="D20" s="11" t="s">
        <v>29</v>
      </c>
      <c r="F20" s="12">
        <v>10000000</v>
      </c>
      <c r="G20" s="1"/>
      <c r="H20" s="130"/>
      <c r="I20" s="130"/>
    </row>
    <row r="21" spans="1:10" s="2" customFormat="1" ht="14.25" customHeight="1" x14ac:dyDescent="0.2">
      <c r="A21" s="127">
        <v>45126</v>
      </c>
      <c r="B21" s="9" t="s">
        <v>11</v>
      </c>
      <c r="C21" s="10" t="s">
        <v>1216</v>
      </c>
      <c r="D21" s="11" t="s">
        <v>29</v>
      </c>
      <c r="F21" s="12">
        <v>5905.34</v>
      </c>
      <c r="G21" s="1"/>
      <c r="H21" s="130"/>
      <c r="I21" s="130"/>
    </row>
    <row r="22" spans="1:10" s="2" customFormat="1" ht="14.25" customHeight="1" x14ac:dyDescent="0.2">
      <c r="A22" s="127">
        <v>45126</v>
      </c>
      <c r="B22" s="9" t="s">
        <v>11</v>
      </c>
      <c r="C22" s="10" t="s">
        <v>1228</v>
      </c>
      <c r="D22" s="11" t="s">
        <v>29</v>
      </c>
      <c r="F22" s="12">
        <v>9447</v>
      </c>
      <c r="G22" s="1"/>
      <c r="H22" s="130"/>
      <c r="I22" s="130"/>
    </row>
    <row r="23" spans="1:10" s="2" customFormat="1" ht="12.75" customHeight="1" x14ac:dyDescent="0.4">
      <c r="D23" s="15" t="s">
        <v>8</v>
      </c>
      <c r="E23" s="16">
        <f>SUM(E13:E22)</f>
        <v>16679957.279999999</v>
      </c>
      <c r="F23" s="16">
        <f>SUM(F12:F22)</f>
        <v>39958154.300000012</v>
      </c>
      <c r="G23" s="1"/>
      <c r="H23" s="112"/>
      <c r="I23" s="112"/>
    </row>
    <row r="24" spans="1:10" s="2" customFormat="1" ht="12.75" customHeight="1" x14ac:dyDescent="0.4">
      <c r="A24" s="17"/>
      <c r="B24" s="18"/>
      <c r="C24" s="96" t="s">
        <v>9</v>
      </c>
      <c r="D24" s="20"/>
      <c r="E24" s="21">
        <f>+F23-E23</f>
        <v>23278197.020000011</v>
      </c>
      <c r="G24" s="23"/>
      <c r="H24" s="112"/>
      <c r="I24" s="112"/>
      <c r="J24" s="13"/>
    </row>
    <row r="25" spans="1:10" s="2" customFormat="1" ht="12.75" customHeight="1" x14ac:dyDescent="0.4">
      <c r="A25" s="24"/>
      <c r="B25" s="1"/>
      <c r="C25" s="14"/>
      <c r="D25" s="25"/>
      <c r="G25" s="23"/>
      <c r="H25" s="112"/>
      <c r="I25" s="112"/>
      <c r="J25" s="13"/>
    </row>
    <row r="26" spans="1:10" s="2" customFormat="1" ht="21.75" customHeight="1" x14ac:dyDescent="0.4">
      <c r="A26" s="214" t="s">
        <v>10</v>
      </c>
      <c r="B26" s="214"/>
      <c r="C26" s="214"/>
      <c r="D26" s="214"/>
      <c r="E26" s="214"/>
      <c r="F26" s="214"/>
      <c r="G26" s="13"/>
      <c r="H26" s="112"/>
      <c r="I26" s="112"/>
      <c r="J26" s="13"/>
    </row>
    <row r="27" spans="1:10" s="2" customFormat="1" ht="12.75" customHeight="1" x14ac:dyDescent="0.4">
      <c r="A27" s="26" t="s">
        <v>1</v>
      </c>
      <c r="B27" s="27" t="s">
        <v>2</v>
      </c>
      <c r="C27" s="5"/>
      <c r="D27" s="6" t="s">
        <v>3</v>
      </c>
      <c r="E27" s="7" t="s">
        <v>4</v>
      </c>
      <c r="F27" s="7" t="s">
        <v>5</v>
      </c>
      <c r="G27" s="23"/>
      <c r="H27" s="112"/>
      <c r="I27" s="112"/>
      <c r="J27" s="13"/>
    </row>
    <row r="28" spans="1:10" s="2" customFormat="1" ht="12.75" customHeight="1" x14ac:dyDescent="0.2">
      <c r="A28" s="127">
        <v>45126</v>
      </c>
      <c r="B28" s="128" t="s">
        <v>11</v>
      </c>
      <c r="C28" s="29" t="s">
        <v>7</v>
      </c>
      <c r="D28" s="25"/>
      <c r="E28" s="31"/>
      <c r="F28" s="2">
        <v>282513537.10000008</v>
      </c>
      <c r="G28" s="30"/>
      <c r="I28" s="13"/>
      <c r="J28" s="13"/>
    </row>
    <row r="29" spans="1:10" s="70" customFormat="1" ht="12.75" customHeight="1" x14ac:dyDescent="0.2">
      <c r="A29" s="127">
        <v>45126</v>
      </c>
      <c r="B29" s="128" t="s">
        <v>6</v>
      </c>
      <c r="C29" s="76" t="s">
        <v>450</v>
      </c>
      <c r="D29" s="125" t="s">
        <v>13</v>
      </c>
      <c r="E29" s="31">
        <v>502621</v>
      </c>
      <c r="G29" s="30"/>
      <c r="I29" s="69"/>
      <c r="J29" s="69"/>
    </row>
    <row r="30" spans="1:10" s="70" customFormat="1" ht="12.75" customHeight="1" x14ac:dyDescent="0.2">
      <c r="A30" s="127">
        <v>45126</v>
      </c>
      <c r="B30" s="128" t="s">
        <v>6</v>
      </c>
      <c r="C30" s="76" t="s">
        <v>1229</v>
      </c>
      <c r="D30" s="125" t="s">
        <v>13</v>
      </c>
      <c r="E30" s="31">
        <v>1440628</v>
      </c>
      <c r="G30" s="30"/>
      <c r="I30" s="69"/>
      <c r="J30" s="69"/>
    </row>
    <row r="31" spans="1:10" s="70" customFormat="1" ht="12.75" customHeight="1" x14ac:dyDescent="0.2">
      <c r="A31" s="127">
        <v>45126</v>
      </c>
      <c r="B31" s="128" t="s">
        <v>6</v>
      </c>
      <c r="C31" s="76" t="s">
        <v>969</v>
      </c>
      <c r="D31" s="125" t="s">
        <v>13</v>
      </c>
      <c r="E31" s="31">
        <v>130500</v>
      </c>
      <c r="G31" s="30"/>
      <c r="I31" s="69"/>
      <c r="J31" s="69"/>
    </row>
    <row r="32" spans="1:10" s="70" customFormat="1" ht="12.75" customHeight="1" x14ac:dyDescent="0.2">
      <c r="A32" s="127">
        <v>45126</v>
      </c>
      <c r="B32" s="128" t="s">
        <v>6</v>
      </c>
      <c r="C32" s="76" t="s">
        <v>93</v>
      </c>
      <c r="D32" s="125" t="s">
        <v>13</v>
      </c>
      <c r="E32" s="31">
        <v>5995780</v>
      </c>
      <c r="G32" s="30"/>
      <c r="I32" s="69"/>
      <c r="J32" s="69"/>
    </row>
    <row r="33" spans="1:10" s="70" customFormat="1" ht="12.75" customHeight="1" x14ac:dyDescent="0.2">
      <c r="A33" s="127">
        <v>45126</v>
      </c>
      <c r="B33" s="128" t="s">
        <v>6</v>
      </c>
      <c r="C33" s="76" t="s">
        <v>236</v>
      </c>
      <c r="D33" s="125" t="s">
        <v>13</v>
      </c>
      <c r="E33" s="31">
        <v>500000</v>
      </c>
      <c r="G33" s="30"/>
      <c r="I33" s="69"/>
      <c r="J33" s="69"/>
    </row>
    <row r="34" spans="1:10" s="70" customFormat="1" ht="12.75" customHeight="1" x14ac:dyDescent="0.2">
      <c r="A34" s="127">
        <v>45126</v>
      </c>
      <c r="B34" s="128" t="s">
        <v>6</v>
      </c>
      <c r="C34" s="76" t="s">
        <v>1033</v>
      </c>
      <c r="D34" s="125" t="s">
        <v>13</v>
      </c>
      <c r="E34" s="31">
        <v>17982886</v>
      </c>
      <c r="G34" s="30"/>
      <c r="I34" s="69"/>
      <c r="J34" s="69"/>
    </row>
    <row r="35" spans="1:10" s="70" customFormat="1" ht="12.75" customHeight="1" x14ac:dyDescent="0.2">
      <c r="A35" s="127">
        <v>45126</v>
      </c>
      <c r="B35" s="128" t="s">
        <v>6</v>
      </c>
      <c r="C35" s="76" t="s">
        <v>1230</v>
      </c>
      <c r="D35" s="125" t="s">
        <v>13</v>
      </c>
      <c r="E35" s="31">
        <v>14700</v>
      </c>
      <c r="G35" s="30"/>
      <c r="I35" s="69"/>
      <c r="J35" s="69"/>
    </row>
    <row r="36" spans="1:10" s="70" customFormat="1" ht="12.75" customHeight="1" x14ac:dyDescent="0.2">
      <c r="A36" s="127">
        <v>45126</v>
      </c>
      <c r="B36" s="128" t="s">
        <v>6</v>
      </c>
      <c r="C36" s="76" t="s">
        <v>1231</v>
      </c>
      <c r="D36" s="125" t="s">
        <v>13</v>
      </c>
      <c r="E36" s="31">
        <v>13036</v>
      </c>
      <c r="G36" s="30"/>
      <c r="I36" s="69"/>
      <c r="J36" s="69"/>
    </row>
    <row r="37" spans="1:10" s="70" customFormat="1" ht="12.75" customHeight="1" x14ac:dyDescent="0.2">
      <c r="A37" s="127">
        <v>45126</v>
      </c>
      <c r="B37" s="128" t="s">
        <v>6</v>
      </c>
      <c r="C37" s="76" t="s">
        <v>1232</v>
      </c>
      <c r="D37" s="125" t="s">
        <v>13</v>
      </c>
      <c r="E37" s="31">
        <v>576025</v>
      </c>
      <c r="G37" s="30"/>
      <c r="I37" s="69"/>
      <c r="J37" s="69"/>
    </row>
    <row r="38" spans="1:10" s="70" customFormat="1" ht="12.75" customHeight="1" x14ac:dyDescent="0.2">
      <c r="A38" s="127">
        <v>45126</v>
      </c>
      <c r="B38" s="128" t="s">
        <v>6</v>
      </c>
      <c r="C38" s="76" t="s">
        <v>288</v>
      </c>
      <c r="D38" s="125" t="s">
        <v>13</v>
      </c>
      <c r="E38" s="31">
        <v>529698</v>
      </c>
      <c r="G38" s="30"/>
      <c r="I38" s="69"/>
      <c r="J38" s="69"/>
    </row>
    <row r="39" spans="1:10" s="70" customFormat="1" ht="12.75" customHeight="1" x14ac:dyDescent="0.2">
      <c r="A39" s="127">
        <v>45126</v>
      </c>
      <c r="B39" s="128" t="s">
        <v>6</v>
      </c>
      <c r="C39" s="76" t="s">
        <v>149</v>
      </c>
      <c r="D39" s="125" t="s">
        <v>13</v>
      </c>
      <c r="E39" s="31">
        <f>12107+4007</f>
        <v>16114</v>
      </c>
      <c r="G39" s="30"/>
      <c r="I39" s="69"/>
      <c r="J39" s="69"/>
    </row>
    <row r="40" spans="1:10" s="70" customFormat="1" ht="12.75" customHeight="1" x14ac:dyDescent="0.2">
      <c r="A40" s="127">
        <v>45126</v>
      </c>
      <c r="B40" s="128" t="s">
        <v>6</v>
      </c>
      <c r="C40" s="76" t="s">
        <v>304</v>
      </c>
      <c r="D40" s="125" t="s">
        <v>13</v>
      </c>
      <c r="E40" s="31">
        <v>284030</v>
      </c>
      <c r="G40" s="30"/>
      <c r="I40" s="69"/>
      <c r="J40" s="69"/>
    </row>
    <row r="41" spans="1:10" s="70" customFormat="1" ht="12.75" customHeight="1" x14ac:dyDescent="0.2">
      <c r="A41" s="127">
        <v>45126</v>
      </c>
      <c r="B41" s="128" t="s">
        <v>6</v>
      </c>
      <c r="C41" s="76" t="s">
        <v>14</v>
      </c>
      <c r="D41" s="125" t="s">
        <v>13</v>
      </c>
      <c r="E41" s="31">
        <v>47205</v>
      </c>
      <c r="G41" s="30"/>
      <c r="I41" s="69"/>
      <c r="J41" s="69"/>
    </row>
    <row r="42" spans="1:10" s="70" customFormat="1" ht="12.75" customHeight="1" x14ac:dyDescent="0.2">
      <c r="A42" s="127">
        <v>45126</v>
      </c>
      <c r="B42" s="128" t="s">
        <v>11</v>
      </c>
      <c r="C42" s="76" t="s">
        <v>156</v>
      </c>
      <c r="D42" s="125" t="s">
        <v>29</v>
      </c>
      <c r="E42" s="31"/>
      <c r="F42" s="70">
        <v>6988.41</v>
      </c>
      <c r="G42" s="30"/>
      <c r="I42" s="69"/>
      <c r="J42" s="69"/>
    </row>
    <row r="43" spans="1:10" s="70" customFormat="1" ht="12.75" customHeight="1" x14ac:dyDescent="0.2">
      <c r="A43" s="127">
        <v>45126</v>
      </c>
      <c r="B43" s="128" t="s">
        <v>11</v>
      </c>
      <c r="C43" s="76" t="s">
        <v>926</v>
      </c>
      <c r="D43" s="125" t="s">
        <v>29</v>
      </c>
      <c r="E43" s="31"/>
      <c r="F43" s="70">
        <v>525590</v>
      </c>
      <c r="G43" s="30"/>
      <c r="I43" s="69"/>
      <c r="J43" s="69"/>
    </row>
    <row r="44" spans="1:10" s="70" customFormat="1" ht="12.75" customHeight="1" x14ac:dyDescent="0.2">
      <c r="A44" s="127">
        <v>45126</v>
      </c>
      <c r="B44" s="128" t="s">
        <v>11</v>
      </c>
      <c r="C44" s="76" t="s">
        <v>486</v>
      </c>
      <c r="D44" s="125" t="s">
        <v>29</v>
      </c>
      <c r="E44" s="31"/>
      <c r="F44" s="70">
        <v>2500000</v>
      </c>
      <c r="G44" s="30"/>
      <c r="I44" s="69"/>
      <c r="J44" s="69"/>
    </row>
    <row r="45" spans="1:10" s="70" customFormat="1" ht="12.75" customHeight="1" x14ac:dyDescent="0.2">
      <c r="A45" s="127">
        <v>45126</v>
      </c>
      <c r="B45" s="128" t="s">
        <v>11</v>
      </c>
      <c r="C45" s="76" t="s">
        <v>382</v>
      </c>
      <c r="D45" s="125" t="s">
        <v>29</v>
      </c>
      <c r="E45" s="31"/>
      <c r="F45" s="70">
        <v>1080000</v>
      </c>
      <c r="G45" s="30"/>
      <c r="I45" s="69"/>
      <c r="J45" s="69"/>
    </row>
    <row r="46" spans="1:10" s="70" customFormat="1" ht="12.75" customHeight="1" x14ac:dyDescent="0.2">
      <c r="A46" s="127">
        <v>45126</v>
      </c>
      <c r="B46" s="128" t="s">
        <v>11</v>
      </c>
      <c r="C46" s="76" t="s">
        <v>64</v>
      </c>
      <c r="D46" s="125" t="s">
        <v>29</v>
      </c>
      <c r="E46" s="31"/>
      <c r="F46" s="70">
        <v>2089.7799999999997</v>
      </c>
      <c r="G46" s="30"/>
      <c r="I46" s="69"/>
      <c r="J46" s="69"/>
    </row>
    <row r="47" spans="1:10" s="70" customFormat="1" ht="12.75" customHeight="1" x14ac:dyDescent="0.2">
      <c r="A47" s="127">
        <v>45126</v>
      </c>
      <c r="B47" s="128" t="s">
        <v>11</v>
      </c>
      <c r="C47" s="76" t="s">
        <v>229</v>
      </c>
      <c r="D47" s="125" t="s">
        <v>29</v>
      </c>
      <c r="E47" s="31"/>
      <c r="F47" s="70">
        <v>177000</v>
      </c>
      <c r="G47" s="30"/>
      <c r="I47" s="69"/>
      <c r="J47" s="69"/>
    </row>
    <row r="48" spans="1:10" s="70" customFormat="1" ht="12.75" customHeight="1" x14ac:dyDescent="0.2">
      <c r="A48" s="127">
        <v>45126</v>
      </c>
      <c r="B48" s="128" t="s">
        <v>11</v>
      </c>
      <c r="C48" s="76" t="s">
        <v>137</v>
      </c>
      <c r="D48" s="125" t="s">
        <v>29</v>
      </c>
      <c r="E48" s="31"/>
      <c r="F48" s="70">
        <v>198000</v>
      </c>
      <c r="G48" s="30"/>
      <c r="I48" s="69"/>
      <c r="J48" s="69"/>
    </row>
    <row r="49" spans="1:14" s="70" customFormat="1" ht="12.75" customHeight="1" x14ac:dyDescent="0.2">
      <c r="A49" s="127">
        <v>45126</v>
      </c>
      <c r="B49" s="128" t="s">
        <v>11</v>
      </c>
      <c r="C49" s="76" t="s">
        <v>886</v>
      </c>
      <c r="D49" s="125" t="s">
        <v>29</v>
      </c>
      <c r="E49" s="31"/>
      <c r="F49" s="70">
        <v>2842</v>
      </c>
      <c r="G49" s="30"/>
      <c r="I49" s="69"/>
      <c r="J49" s="69"/>
    </row>
    <row r="50" spans="1:14" s="70" customFormat="1" ht="12.75" customHeight="1" x14ac:dyDescent="0.2">
      <c r="A50" s="127">
        <v>45126</v>
      </c>
      <c r="B50" s="128" t="s">
        <v>11</v>
      </c>
      <c r="C50" s="76" t="s">
        <v>735</v>
      </c>
      <c r="D50" s="125" t="s">
        <v>29</v>
      </c>
      <c r="E50" s="31"/>
      <c r="F50" s="70">
        <v>1395757</v>
      </c>
      <c r="G50" s="30"/>
      <c r="I50" s="69"/>
      <c r="J50" s="69"/>
    </row>
    <row r="51" spans="1:14" s="70" customFormat="1" ht="12.75" customHeight="1" x14ac:dyDescent="0.2">
      <c r="A51" s="127">
        <v>45126</v>
      </c>
      <c r="B51" s="128" t="s">
        <v>11</v>
      </c>
      <c r="C51" s="76" t="s">
        <v>55</v>
      </c>
      <c r="D51" s="125" t="s">
        <v>29</v>
      </c>
      <c r="E51" s="31"/>
      <c r="F51" s="70">
        <v>1886068.8</v>
      </c>
      <c r="G51" s="30"/>
      <c r="I51" s="69"/>
      <c r="J51" s="69"/>
    </row>
    <row r="52" spans="1:14" s="70" customFormat="1" ht="12.75" customHeight="1" x14ac:dyDescent="0.2">
      <c r="A52" s="127">
        <v>45126</v>
      </c>
      <c r="B52" s="128" t="s">
        <v>11</v>
      </c>
      <c r="C52" s="76" t="s">
        <v>62</v>
      </c>
      <c r="D52" s="125" t="s">
        <v>29</v>
      </c>
      <c r="E52" s="31"/>
      <c r="F52" s="70">
        <v>10000</v>
      </c>
      <c r="G52" s="30"/>
      <c r="I52" s="69"/>
      <c r="J52" s="69"/>
    </row>
    <row r="53" spans="1:14" s="70" customFormat="1" ht="12.75" customHeight="1" x14ac:dyDescent="0.2">
      <c r="A53" s="127">
        <v>45126</v>
      </c>
      <c r="B53" s="128" t="s">
        <v>11</v>
      </c>
      <c r="C53" s="76" t="s">
        <v>525</v>
      </c>
      <c r="D53" s="125" t="s">
        <v>29</v>
      </c>
      <c r="E53" s="31"/>
      <c r="F53" s="70">
        <v>1500000</v>
      </c>
      <c r="G53" s="30"/>
      <c r="I53" s="69"/>
      <c r="J53" s="69"/>
    </row>
    <row r="54" spans="1:14" s="70" customFormat="1" ht="12.75" customHeight="1" x14ac:dyDescent="0.2">
      <c r="A54" s="127">
        <v>45126</v>
      </c>
      <c r="B54" s="128" t="s">
        <v>11</v>
      </c>
      <c r="C54" s="76" t="s">
        <v>57</v>
      </c>
      <c r="D54" s="125" t="s">
        <v>29</v>
      </c>
      <c r="E54" s="31"/>
      <c r="F54" s="70">
        <v>4000000</v>
      </c>
      <c r="G54" s="30"/>
      <c r="I54" s="69"/>
      <c r="J54" s="69"/>
    </row>
    <row r="55" spans="1:14" s="2" customFormat="1" ht="12.75" customHeight="1" x14ac:dyDescent="0.2">
      <c r="A55" s="32"/>
      <c r="B55" s="33"/>
      <c r="C55" s="14"/>
      <c r="D55" s="34"/>
      <c r="E55" s="16">
        <f>SUM(E28:E54)</f>
        <v>28033223</v>
      </c>
      <c r="F55" s="16">
        <f>SUM(F28:F54)</f>
        <v>295797873.09000009</v>
      </c>
      <c r="G55" s="30"/>
      <c r="H55" s="1"/>
      <c r="I55" s="38">
        <v>267764650.09</v>
      </c>
      <c r="J55" s="2" t="s">
        <v>396</v>
      </c>
      <c r="K55" s="92">
        <f>E56-I55</f>
        <v>0</v>
      </c>
      <c r="L55" s="41"/>
      <c r="M55" s="42"/>
    </row>
    <row r="56" spans="1:14" s="2" customFormat="1" ht="12.75" customHeight="1" x14ac:dyDescent="0.2">
      <c r="A56" s="36"/>
      <c r="B56" s="28" t="s">
        <v>11</v>
      </c>
      <c r="C56" s="19" t="s">
        <v>65</v>
      </c>
      <c r="D56" s="37"/>
      <c r="E56" s="38">
        <f>F55-E55</f>
        <v>267764650.09000009</v>
      </c>
      <c r="F56" s="22"/>
      <c r="G56" s="1"/>
      <c r="H56" s="1"/>
      <c r="J56" s="1"/>
      <c r="K56" s="1"/>
      <c r="L56" s="1"/>
      <c r="M56" s="1"/>
    </row>
    <row r="57" spans="1:14" s="2" customFormat="1" ht="12.75" customHeight="1" x14ac:dyDescent="0.2">
      <c r="A57" s="36"/>
      <c r="B57" s="28" t="s">
        <v>66</v>
      </c>
      <c r="C57" s="43" t="s">
        <v>67</v>
      </c>
      <c r="D57" s="43"/>
      <c r="E57" s="12">
        <f>59416310-7500000</f>
        <v>51916310</v>
      </c>
      <c r="F57" s="22"/>
      <c r="G57" s="1"/>
      <c r="H57" s="40"/>
      <c r="I57" s="45">
        <v>2928.9</v>
      </c>
      <c r="J57" s="46"/>
      <c r="K57" s="46"/>
      <c r="L57" s="13"/>
    </row>
    <row r="58" spans="1:14" s="2" customFormat="1" ht="12.75" customHeight="1" x14ac:dyDescent="0.25">
      <c r="A58" s="36"/>
      <c r="B58" s="28"/>
      <c r="C58" s="44" t="s">
        <v>68</v>
      </c>
      <c r="D58" s="43"/>
      <c r="E58" s="7">
        <f>E56+E57</f>
        <v>319680960.09000009</v>
      </c>
      <c r="F58" s="22"/>
      <c r="G58" s="1"/>
      <c r="H58" s="103" t="s">
        <v>69</v>
      </c>
      <c r="I58" s="45">
        <v>-22.01</v>
      </c>
      <c r="J58" s="46"/>
      <c r="K58" s="46"/>
      <c r="N58" s="1"/>
    </row>
    <row r="59" spans="1:14" s="2" customFormat="1" x14ac:dyDescent="0.2">
      <c r="A59" s="24"/>
      <c r="B59" s="1"/>
      <c r="C59" s="14"/>
      <c r="D59" s="25"/>
      <c r="E59" s="1"/>
      <c r="H59" s="35" t="s">
        <v>70</v>
      </c>
      <c r="I59" s="45">
        <v>0.19</v>
      </c>
      <c r="J59" s="46">
        <f>+I60-D62</f>
        <v>0</v>
      </c>
      <c r="M59" s="2" t="s">
        <v>396</v>
      </c>
      <c r="N59" s="1"/>
    </row>
    <row r="60" spans="1:14" x14ac:dyDescent="0.2">
      <c r="C60" s="56"/>
      <c r="D60" s="56"/>
      <c r="E60" s="104"/>
      <c r="I60" s="49">
        <f>SUM(I57:I59)</f>
        <v>2907.08</v>
      </c>
      <c r="J60" s="46"/>
      <c r="K60" s="46"/>
      <c r="L60" s="2"/>
      <c r="M60" s="2"/>
      <c r="N60" s="2"/>
    </row>
    <row r="61" spans="1:14" x14ac:dyDescent="0.2">
      <c r="C61" s="78" t="s">
        <v>575</v>
      </c>
      <c r="D61" s="48" t="s">
        <v>576</v>
      </c>
      <c r="E61" s="104"/>
      <c r="I61" s="2"/>
      <c r="J61" s="2"/>
      <c r="K61" s="2"/>
      <c r="L61" s="2"/>
      <c r="M61" s="2"/>
      <c r="N61" s="2"/>
    </row>
    <row r="62" spans="1:14" s="2" customFormat="1" x14ac:dyDescent="0.2">
      <c r="A62" s="24"/>
      <c r="B62" s="1"/>
      <c r="C62" s="47" t="s">
        <v>570</v>
      </c>
      <c r="D62" s="111">
        <v>2907.08</v>
      </c>
      <c r="E62" s="104"/>
      <c r="G62" s="1"/>
      <c r="H62" s="110" t="s">
        <v>581</v>
      </c>
      <c r="N62" s="2" t="s">
        <v>535</v>
      </c>
    </row>
    <row r="63" spans="1:14" s="2" customFormat="1" x14ac:dyDescent="0.2">
      <c r="A63" s="24"/>
      <c r="B63" s="1"/>
      <c r="C63" s="47" t="s">
        <v>931</v>
      </c>
      <c r="D63" s="111">
        <v>287.45999999999998</v>
      </c>
      <c r="E63" s="104"/>
      <c r="G63" s="1"/>
      <c r="H63" s="110" t="s">
        <v>580</v>
      </c>
    </row>
    <row r="64" spans="1:14" s="2" customFormat="1" x14ac:dyDescent="0.2">
      <c r="A64" s="24"/>
      <c r="B64" s="1"/>
      <c r="C64" s="47" t="s">
        <v>572</v>
      </c>
      <c r="D64" s="111">
        <f>+D118/100000</f>
        <v>491.04278920000002</v>
      </c>
      <c r="E64" s="104"/>
      <c r="G64" s="1"/>
      <c r="H64" s="90" t="s">
        <v>587</v>
      </c>
    </row>
    <row r="65" spans="1:13" s="2" customFormat="1" x14ac:dyDescent="0.2">
      <c r="A65" s="24"/>
      <c r="B65" s="1"/>
      <c r="C65" s="108" t="s">
        <v>578</v>
      </c>
      <c r="D65" s="48">
        <f>SUM(D62:D64)</f>
        <v>3685.5827891999998</v>
      </c>
      <c r="E65" s="104"/>
      <c r="G65" s="1"/>
    </row>
    <row r="66" spans="1:13" s="2" customFormat="1" x14ac:dyDescent="0.2">
      <c r="A66" s="24"/>
      <c r="B66" s="1"/>
      <c r="C66" s="47"/>
      <c r="D66" s="107"/>
      <c r="E66" s="104"/>
      <c r="G66" s="1"/>
    </row>
    <row r="67" spans="1:13" s="2" customFormat="1" x14ac:dyDescent="0.2">
      <c r="A67" s="24"/>
      <c r="B67" s="1"/>
      <c r="C67" s="47" t="s">
        <v>932</v>
      </c>
      <c r="D67" s="111">
        <v>152.72</v>
      </c>
      <c r="E67" s="104"/>
      <c r="G67" s="1"/>
      <c r="H67" s="110" t="s">
        <v>581</v>
      </c>
    </row>
    <row r="68" spans="1:13" s="2" customFormat="1" x14ac:dyDescent="0.2">
      <c r="A68" s="24"/>
      <c r="B68" s="1"/>
      <c r="C68" s="136" t="s">
        <v>1142</v>
      </c>
      <c r="D68" s="111">
        <f>263.77-55.45</f>
        <v>208.32</v>
      </c>
      <c r="E68" s="104"/>
      <c r="G68" s="1"/>
      <c r="H68" s="110" t="s">
        <v>581</v>
      </c>
      <c r="J68" s="114" t="s">
        <v>713</v>
      </c>
    </row>
    <row r="69" spans="1:13" s="2" customFormat="1" x14ac:dyDescent="0.2">
      <c r="A69" s="24"/>
      <c r="B69" s="1"/>
      <c r="C69" s="78" t="s">
        <v>579</v>
      </c>
      <c r="D69" s="109">
        <f>D67+D68</f>
        <v>361.03999999999996</v>
      </c>
      <c r="E69" s="104"/>
      <c r="G69" s="1"/>
      <c r="I69" s="113"/>
      <c r="J69" s="113" t="s">
        <v>709</v>
      </c>
      <c r="K69" s="113" t="s">
        <v>710</v>
      </c>
      <c r="L69" s="113" t="s">
        <v>711</v>
      </c>
      <c r="M69" s="113" t="s">
        <v>712</v>
      </c>
    </row>
    <row r="70" spans="1:13" s="2" customFormat="1" x14ac:dyDescent="0.2">
      <c r="A70" s="24"/>
      <c r="B70" s="1"/>
      <c r="C70" s="105"/>
      <c r="D70" s="106"/>
      <c r="E70" s="104"/>
      <c r="G70" s="1"/>
      <c r="I70" s="113" t="s">
        <v>706</v>
      </c>
      <c r="J70" s="115"/>
      <c r="K70" s="115">
        <v>968.99</v>
      </c>
      <c r="L70" s="115">
        <v>968.99</v>
      </c>
      <c r="M70" s="113">
        <f>+J70+L70-K70</f>
        <v>0</v>
      </c>
    </row>
    <row r="71" spans="1:13" s="2" customFormat="1" x14ac:dyDescent="0.2">
      <c r="A71" s="24"/>
      <c r="B71" s="1"/>
      <c r="C71" s="78" t="s">
        <v>577</v>
      </c>
      <c r="D71" s="109">
        <f>D62+D69</f>
        <v>3268.12</v>
      </c>
      <c r="E71" s="104"/>
      <c r="G71" s="1"/>
      <c r="I71" s="113" t="s">
        <v>707</v>
      </c>
      <c r="J71" s="115">
        <v>183.1</v>
      </c>
      <c r="K71" s="115">
        <v>2773.73</v>
      </c>
      <c r="L71" s="115">
        <v>3389.83</v>
      </c>
      <c r="M71" s="113">
        <f>+J71+L71-K71</f>
        <v>799.19999999999982</v>
      </c>
    </row>
    <row r="72" spans="1:13" s="2" customFormat="1" x14ac:dyDescent="0.2">
      <c r="A72" s="24"/>
      <c r="B72" s="1"/>
      <c r="C72" s="56"/>
      <c r="D72" s="56"/>
      <c r="E72" s="104"/>
      <c r="G72" s="1"/>
      <c r="I72" s="113" t="s">
        <v>708</v>
      </c>
      <c r="J72" s="115">
        <v>1371.02</v>
      </c>
      <c r="K72" s="115">
        <v>12865.51</v>
      </c>
      <c r="L72" s="115">
        <v>12668.23</v>
      </c>
      <c r="M72" s="113">
        <f>+J72+L72-K72</f>
        <v>1173.7399999999998</v>
      </c>
    </row>
    <row r="73" spans="1:13" s="2" customFormat="1" ht="38.25" x14ac:dyDescent="0.2">
      <c r="A73" s="24"/>
      <c r="B73" s="1"/>
      <c r="C73" s="79" t="str">
        <f>"Particulars ( 01-04-2021 to "&amp;TEXT(A5,"dd-mm-yyyy")&amp;" )"</f>
        <v>Particulars ( 01-04-2021 to 19-07-2023 )</v>
      </c>
      <c r="D73" s="80" t="s">
        <v>73</v>
      </c>
      <c r="E73" s="80" t="s">
        <v>74</v>
      </c>
      <c r="F73" s="81" t="s">
        <v>75</v>
      </c>
      <c r="G73" s="80" t="s">
        <v>76</v>
      </c>
      <c r="J73" s="118">
        <f>SUM(J70:J72)</f>
        <v>1554.12</v>
      </c>
      <c r="K73" s="118">
        <f>SUM(K70:K72)</f>
        <v>16608.23</v>
      </c>
      <c r="L73" s="118">
        <f>SUM(L70:L72)</f>
        <v>17027.05</v>
      </c>
      <c r="M73" s="118">
        <f>SUM(M70:M72)</f>
        <v>1972.9399999999996</v>
      </c>
    </row>
    <row r="74" spans="1:13" s="2" customFormat="1" x14ac:dyDescent="0.2">
      <c r="A74" s="24"/>
      <c r="B74" s="1"/>
      <c r="C74" s="50" t="s">
        <v>444</v>
      </c>
      <c r="D74" s="55">
        <f>+L70+L71+J71</f>
        <v>4541.92</v>
      </c>
      <c r="E74" s="55">
        <f>+K70+K71</f>
        <v>3742.7200000000003</v>
      </c>
      <c r="F74" s="55">
        <f>+D74-E74</f>
        <v>799.19999999999982</v>
      </c>
      <c r="G74" s="55">
        <f>1500-F74</f>
        <v>700.80000000000018</v>
      </c>
      <c r="H74" s="2" t="s">
        <v>396</v>
      </c>
    </row>
    <row r="75" spans="1:13" s="2" customFormat="1" x14ac:dyDescent="0.2">
      <c r="A75" s="24"/>
      <c r="B75" s="1"/>
      <c r="C75" s="50" t="s">
        <v>71</v>
      </c>
      <c r="D75" s="55">
        <f>+J72+L72</f>
        <v>14039.25</v>
      </c>
      <c r="E75" s="55">
        <f>+K72</f>
        <v>12865.51</v>
      </c>
      <c r="F75" s="55">
        <f>+D75-E75</f>
        <v>1173.7399999999998</v>
      </c>
      <c r="G75" s="55">
        <f>1500+700-F75</f>
        <v>1026.2600000000002</v>
      </c>
      <c r="H75" s="2" t="s">
        <v>396</v>
      </c>
    </row>
    <row r="76" spans="1:13" s="2" customFormat="1" x14ac:dyDescent="0.2">
      <c r="A76" s="24"/>
      <c r="B76" s="1"/>
      <c r="C76" s="14"/>
      <c r="D76" s="56"/>
      <c r="E76" s="13"/>
      <c r="G76" s="1"/>
    </row>
    <row r="77" spans="1:13" s="2" customFormat="1" x14ac:dyDescent="0.2">
      <c r="A77" s="215" t="s">
        <v>80</v>
      </c>
      <c r="B77" s="216"/>
      <c r="C77" s="216"/>
      <c r="D77" s="217"/>
      <c r="E77" s="69"/>
      <c r="F77" s="70"/>
      <c r="G77" s="1"/>
      <c r="H77" s="53"/>
    </row>
    <row r="78" spans="1:13" s="2" customFormat="1" x14ac:dyDescent="0.2">
      <c r="A78" s="71" t="s">
        <v>81</v>
      </c>
      <c r="B78" s="71"/>
      <c r="C78" s="72" t="s">
        <v>82</v>
      </c>
      <c r="D78" s="73" t="s">
        <v>83</v>
      </c>
      <c r="E78" s="69"/>
      <c r="F78" s="70"/>
      <c r="H78" s="53"/>
    </row>
    <row r="79" spans="1:13" s="2" customFormat="1" x14ac:dyDescent="0.2">
      <c r="A79" s="87">
        <v>45108</v>
      </c>
      <c r="B79" s="120" t="s">
        <v>1052</v>
      </c>
      <c r="C79" s="75" t="s">
        <v>84</v>
      </c>
      <c r="D79" s="88">
        <v>3000000</v>
      </c>
      <c r="G79" s="1"/>
      <c r="L79" s="1"/>
      <c r="M79" s="1"/>
    </row>
    <row r="80" spans="1:13" s="2" customFormat="1" x14ac:dyDescent="0.2">
      <c r="A80" s="87">
        <v>45108</v>
      </c>
      <c r="B80" s="120" t="s">
        <v>1052</v>
      </c>
      <c r="C80" s="75" t="s">
        <v>271</v>
      </c>
      <c r="D80" s="88">
        <v>2323148</v>
      </c>
      <c r="G80" s="1"/>
      <c r="L80" s="1"/>
      <c r="M80" s="1"/>
    </row>
    <row r="81" spans="1:13" s="2" customFormat="1" x14ac:dyDescent="0.2">
      <c r="A81" s="87">
        <v>45110</v>
      </c>
      <c r="B81" s="120" t="s">
        <v>1052</v>
      </c>
      <c r="C81" s="75" t="s">
        <v>85</v>
      </c>
      <c r="D81" s="88">
        <v>732575</v>
      </c>
      <c r="G81" s="1"/>
      <c r="L81" s="1"/>
      <c r="M81" s="1"/>
    </row>
    <row r="82" spans="1:13" s="2" customFormat="1" x14ac:dyDescent="0.2">
      <c r="A82" s="87">
        <v>45110</v>
      </c>
      <c r="B82" s="120" t="s">
        <v>1052</v>
      </c>
      <c r="C82" s="75" t="s">
        <v>86</v>
      </c>
      <c r="D82" s="88">
        <v>2676974</v>
      </c>
      <c r="G82" s="1"/>
      <c r="L82" s="1"/>
      <c r="M82" s="1"/>
    </row>
    <row r="83" spans="1:13" s="2" customFormat="1" x14ac:dyDescent="0.2">
      <c r="A83" s="87">
        <v>45110</v>
      </c>
      <c r="B83" s="120" t="s">
        <v>1052</v>
      </c>
      <c r="C83" s="75" t="s">
        <v>86</v>
      </c>
      <c r="D83" s="88">
        <v>1043475</v>
      </c>
      <c r="G83" s="1"/>
      <c r="L83" s="1"/>
      <c r="M83" s="1"/>
    </row>
    <row r="84" spans="1:13" s="2" customFormat="1" x14ac:dyDescent="0.2">
      <c r="A84" s="87">
        <v>45111</v>
      </c>
      <c r="B84" s="120" t="s">
        <v>1052</v>
      </c>
      <c r="C84" s="75" t="s">
        <v>270</v>
      </c>
      <c r="D84" s="88">
        <v>106093</v>
      </c>
      <c r="G84" s="1"/>
      <c r="L84" s="1"/>
      <c r="M84" s="1"/>
    </row>
    <row r="85" spans="1:13" s="2" customFormat="1" x14ac:dyDescent="0.2">
      <c r="A85" s="87">
        <v>45111</v>
      </c>
      <c r="B85" s="120" t="s">
        <v>1052</v>
      </c>
      <c r="C85" s="75" t="s">
        <v>270</v>
      </c>
      <c r="D85" s="88">
        <v>102393</v>
      </c>
      <c r="G85" s="1"/>
      <c r="L85" s="1"/>
      <c r="M85" s="1"/>
    </row>
    <row r="86" spans="1:13" s="2" customFormat="1" x14ac:dyDescent="0.2">
      <c r="A86" s="87">
        <v>45111</v>
      </c>
      <c r="B86" s="120" t="s">
        <v>1052</v>
      </c>
      <c r="C86" s="75" t="s">
        <v>270</v>
      </c>
      <c r="D86" s="88">
        <v>716336</v>
      </c>
      <c r="G86" s="1"/>
      <c r="L86" s="1"/>
      <c r="M86" s="1"/>
    </row>
    <row r="87" spans="1:13" s="2" customFormat="1" x14ac:dyDescent="0.2">
      <c r="A87" s="87">
        <v>45111</v>
      </c>
      <c r="B87" s="120" t="s">
        <v>1052</v>
      </c>
      <c r="C87" s="75" t="s">
        <v>270</v>
      </c>
      <c r="D87" s="88">
        <v>2504631</v>
      </c>
      <c r="G87" s="1"/>
      <c r="L87" s="1"/>
      <c r="M87" s="1"/>
    </row>
    <row r="88" spans="1:13" s="2" customFormat="1" x14ac:dyDescent="0.2">
      <c r="A88" s="87">
        <v>45111</v>
      </c>
      <c r="B88" s="120" t="s">
        <v>1052</v>
      </c>
      <c r="C88" s="75" t="s">
        <v>270</v>
      </c>
      <c r="D88" s="88">
        <v>141433.92000000001</v>
      </c>
      <c r="G88" s="1"/>
      <c r="L88" s="1"/>
      <c r="M88" s="1"/>
    </row>
    <row r="89" spans="1:13" s="2" customFormat="1" x14ac:dyDescent="0.2">
      <c r="A89" s="87">
        <v>45111</v>
      </c>
      <c r="B89" s="120" t="s">
        <v>1052</v>
      </c>
      <c r="C89" s="75" t="s">
        <v>271</v>
      </c>
      <c r="D89" s="88">
        <v>485258</v>
      </c>
      <c r="G89" s="1"/>
      <c r="L89" s="1"/>
      <c r="M89" s="1"/>
    </row>
    <row r="90" spans="1:13" s="2" customFormat="1" x14ac:dyDescent="0.2">
      <c r="A90" s="87">
        <v>45112</v>
      </c>
      <c r="B90" s="120" t="s">
        <v>1052</v>
      </c>
      <c r="C90" s="75" t="s">
        <v>85</v>
      </c>
      <c r="D90" s="88">
        <v>216478</v>
      </c>
      <c r="G90" s="1"/>
      <c r="L90" s="1"/>
      <c r="M90" s="1"/>
    </row>
    <row r="91" spans="1:13" s="2" customFormat="1" x14ac:dyDescent="0.2">
      <c r="A91" s="87">
        <v>45114</v>
      </c>
      <c r="B91" s="120" t="s">
        <v>1052</v>
      </c>
      <c r="C91" s="75" t="s">
        <v>270</v>
      </c>
      <c r="D91" s="88">
        <v>886333</v>
      </c>
      <c r="G91" s="1"/>
      <c r="L91" s="1"/>
      <c r="M91" s="1"/>
    </row>
    <row r="92" spans="1:13" s="2" customFormat="1" x14ac:dyDescent="0.2">
      <c r="A92" s="87">
        <v>45114</v>
      </c>
      <c r="B92" s="120" t="s">
        <v>1052</v>
      </c>
      <c r="C92" s="75" t="s">
        <v>270</v>
      </c>
      <c r="D92" s="88">
        <v>3119806</v>
      </c>
      <c r="G92" s="1"/>
      <c r="L92" s="1"/>
      <c r="M92" s="1"/>
    </row>
    <row r="93" spans="1:13" s="2" customFormat="1" x14ac:dyDescent="0.2">
      <c r="A93" s="87">
        <v>45114</v>
      </c>
      <c r="B93" s="120" t="s">
        <v>1052</v>
      </c>
      <c r="C93" s="75" t="s">
        <v>271</v>
      </c>
      <c r="D93" s="88">
        <v>151160</v>
      </c>
      <c r="G93" s="1"/>
      <c r="L93" s="1"/>
      <c r="M93" s="1"/>
    </row>
    <row r="94" spans="1:13" s="2" customFormat="1" x14ac:dyDescent="0.2">
      <c r="A94" s="87">
        <v>45114</v>
      </c>
      <c r="B94" s="120" t="s">
        <v>1052</v>
      </c>
      <c r="C94" s="75" t="s">
        <v>271</v>
      </c>
      <c r="D94" s="88">
        <v>285195</v>
      </c>
      <c r="G94" s="1"/>
      <c r="L94" s="1"/>
      <c r="M94" s="1"/>
    </row>
    <row r="95" spans="1:13" s="2" customFormat="1" x14ac:dyDescent="0.2">
      <c r="A95" s="87">
        <v>45114</v>
      </c>
      <c r="B95" s="120" t="s">
        <v>1052</v>
      </c>
      <c r="C95" s="75" t="s">
        <v>201</v>
      </c>
      <c r="D95" s="88">
        <v>128135</v>
      </c>
      <c r="G95" s="1"/>
      <c r="L95" s="1"/>
      <c r="M95" s="1"/>
    </row>
    <row r="96" spans="1:13" s="2" customFormat="1" x14ac:dyDescent="0.2">
      <c r="A96" s="87">
        <v>45114</v>
      </c>
      <c r="B96" s="120" t="s">
        <v>1052</v>
      </c>
      <c r="C96" s="75" t="s">
        <v>323</v>
      </c>
      <c r="D96" s="88">
        <v>2313089</v>
      </c>
      <c r="G96" s="1"/>
      <c r="L96" s="1"/>
      <c r="M96" s="1"/>
    </row>
    <row r="97" spans="1:13" s="2" customFormat="1" x14ac:dyDescent="0.2">
      <c r="A97" s="87">
        <v>45115</v>
      </c>
      <c r="B97" s="120" t="s">
        <v>1052</v>
      </c>
      <c r="C97" s="75" t="s">
        <v>767</v>
      </c>
      <c r="D97" s="88">
        <v>411035</v>
      </c>
      <c r="G97" s="1"/>
      <c r="L97" s="1"/>
      <c r="M97" s="1"/>
    </row>
    <row r="98" spans="1:13" s="2" customFormat="1" x14ac:dyDescent="0.2">
      <c r="A98" s="87">
        <v>45118</v>
      </c>
      <c r="B98" s="120" t="s">
        <v>1052</v>
      </c>
      <c r="C98" s="75" t="s">
        <v>270</v>
      </c>
      <c r="D98" s="88">
        <v>34696</v>
      </c>
      <c r="G98" s="1"/>
      <c r="L98" s="1"/>
      <c r="M98" s="1"/>
    </row>
    <row r="99" spans="1:13" s="2" customFormat="1" x14ac:dyDescent="0.2">
      <c r="A99" s="87">
        <v>45118</v>
      </c>
      <c r="B99" s="120" t="s">
        <v>1052</v>
      </c>
      <c r="C99" s="75" t="s">
        <v>270</v>
      </c>
      <c r="D99" s="88">
        <v>1128922</v>
      </c>
      <c r="G99" s="1"/>
      <c r="L99" s="1"/>
      <c r="M99" s="1"/>
    </row>
    <row r="100" spans="1:13" s="2" customFormat="1" x14ac:dyDescent="0.2">
      <c r="A100" s="87">
        <v>45118</v>
      </c>
      <c r="B100" s="120" t="s">
        <v>1052</v>
      </c>
      <c r="C100" s="75" t="s">
        <v>270</v>
      </c>
      <c r="D100" s="88">
        <v>2865343</v>
      </c>
      <c r="G100" s="1"/>
      <c r="L100" s="1"/>
      <c r="M100" s="1"/>
    </row>
    <row r="101" spans="1:13" s="2" customFormat="1" x14ac:dyDescent="0.2">
      <c r="A101" s="87">
        <v>45118</v>
      </c>
      <c r="B101" s="120" t="s">
        <v>1052</v>
      </c>
      <c r="C101" s="75" t="s">
        <v>270</v>
      </c>
      <c r="D101" s="88">
        <v>1090852</v>
      </c>
      <c r="G101" s="1"/>
      <c r="L101" s="1"/>
      <c r="M101" s="1"/>
    </row>
    <row r="102" spans="1:13" s="2" customFormat="1" x14ac:dyDescent="0.2">
      <c r="A102" s="87">
        <v>45118</v>
      </c>
      <c r="B102" s="120" t="s">
        <v>1052</v>
      </c>
      <c r="C102" s="75" t="s">
        <v>270</v>
      </c>
      <c r="D102" s="88">
        <v>359348</v>
      </c>
      <c r="G102" s="1"/>
      <c r="L102" s="1"/>
      <c r="M102" s="1"/>
    </row>
    <row r="103" spans="1:13" s="2" customFormat="1" x14ac:dyDescent="0.2">
      <c r="A103" s="87">
        <v>45118</v>
      </c>
      <c r="B103" s="120" t="s">
        <v>1052</v>
      </c>
      <c r="C103" s="75" t="s">
        <v>271</v>
      </c>
      <c r="D103" s="88">
        <v>323487</v>
      </c>
      <c r="G103" s="1"/>
      <c r="L103" s="1"/>
      <c r="M103" s="1"/>
    </row>
    <row r="104" spans="1:13" s="2" customFormat="1" x14ac:dyDescent="0.2">
      <c r="A104" s="87">
        <v>45118</v>
      </c>
      <c r="B104" s="120" t="s">
        <v>1052</v>
      </c>
      <c r="C104" s="75" t="s">
        <v>271</v>
      </c>
      <c r="D104" s="88">
        <v>44394</v>
      </c>
      <c r="G104" s="1"/>
      <c r="L104" s="1"/>
      <c r="M104" s="1"/>
    </row>
    <row r="105" spans="1:13" s="2" customFormat="1" x14ac:dyDescent="0.2">
      <c r="A105" s="87">
        <v>45118</v>
      </c>
      <c r="B105" s="120" t="s">
        <v>1052</v>
      </c>
      <c r="C105" s="75" t="s">
        <v>271</v>
      </c>
      <c r="D105" s="88">
        <v>2035052</v>
      </c>
      <c r="G105" s="1"/>
      <c r="L105" s="1"/>
      <c r="M105" s="1"/>
    </row>
    <row r="106" spans="1:13" s="2" customFormat="1" x14ac:dyDescent="0.2">
      <c r="A106" s="87">
        <v>45119</v>
      </c>
      <c r="B106" s="120" t="s">
        <v>1052</v>
      </c>
      <c r="C106" s="75" t="s">
        <v>85</v>
      </c>
      <c r="D106" s="88">
        <v>569516</v>
      </c>
      <c r="G106" s="1"/>
      <c r="L106" s="1"/>
      <c r="M106" s="1"/>
    </row>
    <row r="107" spans="1:13" s="2" customFormat="1" x14ac:dyDescent="0.2">
      <c r="A107" s="87">
        <v>45119</v>
      </c>
      <c r="B107" s="120" t="s">
        <v>1052</v>
      </c>
      <c r="C107" s="75" t="s">
        <v>271</v>
      </c>
      <c r="D107" s="88">
        <v>3074492</v>
      </c>
      <c r="G107" s="1"/>
      <c r="L107" s="1"/>
      <c r="M107" s="1"/>
    </row>
    <row r="108" spans="1:13" s="2" customFormat="1" x14ac:dyDescent="0.2">
      <c r="A108" s="87">
        <v>45119</v>
      </c>
      <c r="B108" s="120" t="s">
        <v>1052</v>
      </c>
      <c r="C108" s="75" t="s">
        <v>270</v>
      </c>
      <c r="D108" s="88">
        <v>1556273</v>
      </c>
      <c r="G108" s="1"/>
      <c r="L108" s="1"/>
      <c r="M108" s="1"/>
    </row>
    <row r="109" spans="1:13" s="2" customFormat="1" x14ac:dyDescent="0.2">
      <c r="A109" s="87">
        <v>45119</v>
      </c>
      <c r="B109" s="120" t="s">
        <v>1052</v>
      </c>
      <c r="C109" s="75" t="s">
        <v>84</v>
      </c>
      <c r="D109" s="88">
        <v>2500000</v>
      </c>
      <c r="G109" s="1"/>
      <c r="L109" s="1"/>
      <c r="M109" s="1"/>
    </row>
    <row r="110" spans="1:13" s="2" customFormat="1" x14ac:dyDescent="0.2">
      <c r="A110" s="87">
        <v>45121</v>
      </c>
      <c r="B110" s="120" t="s">
        <v>1052</v>
      </c>
      <c r="C110" s="75" t="s">
        <v>1084</v>
      </c>
      <c r="D110" s="88">
        <v>5000000</v>
      </c>
      <c r="G110" s="1"/>
      <c r="L110" s="1"/>
      <c r="M110" s="1"/>
    </row>
    <row r="111" spans="1:13" s="2" customFormat="1" x14ac:dyDescent="0.2">
      <c r="A111" s="87">
        <v>45122</v>
      </c>
      <c r="B111" s="120" t="s">
        <v>1052</v>
      </c>
      <c r="C111" s="75" t="s">
        <v>270</v>
      </c>
      <c r="D111" s="88">
        <v>893235</v>
      </c>
      <c r="G111" s="1"/>
      <c r="L111" s="1"/>
      <c r="M111" s="1"/>
    </row>
    <row r="112" spans="1:13" s="2" customFormat="1" x14ac:dyDescent="0.2">
      <c r="A112" s="87">
        <v>45124</v>
      </c>
      <c r="B112" s="120" t="s">
        <v>1052</v>
      </c>
      <c r="C112" s="75" t="s">
        <v>1084</v>
      </c>
      <c r="D112" s="88">
        <v>4000000</v>
      </c>
      <c r="G112" s="1"/>
      <c r="L112" s="1"/>
      <c r="M112" s="1"/>
    </row>
    <row r="113" spans="1:13" s="2" customFormat="1" x14ac:dyDescent="0.2">
      <c r="A113" s="87">
        <v>45125</v>
      </c>
      <c r="B113" s="120" t="s">
        <v>1052</v>
      </c>
      <c r="C113" s="75" t="s">
        <v>85</v>
      </c>
      <c r="D113" s="88">
        <v>209650</v>
      </c>
      <c r="G113" s="1"/>
      <c r="L113" s="1"/>
      <c r="M113" s="1"/>
    </row>
    <row r="114" spans="1:13" s="2" customFormat="1" x14ac:dyDescent="0.2">
      <c r="A114" s="87">
        <v>45125</v>
      </c>
      <c r="B114" s="120" t="s">
        <v>1052</v>
      </c>
      <c r="C114" s="75" t="s">
        <v>270</v>
      </c>
      <c r="D114" s="88">
        <v>891686</v>
      </c>
      <c r="G114" s="1"/>
      <c r="L114" s="1"/>
      <c r="M114" s="1"/>
    </row>
    <row r="115" spans="1:13" s="2" customFormat="1" x14ac:dyDescent="0.2">
      <c r="A115" s="87">
        <v>45125</v>
      </c>
      <c r="B115" s="120" t="s">
        <v>1052</v>
      </c>
      <c r="C115" s="75" t="s">
        <v>85</v>
      </c>
      <c r="D115" s="88">
        <v>75953</v>
      </c>
      <c r="G115" s="1"/>
      <c r="L115" s="1"/>
      <c r="M115" s="1"/>
    </row>
    <row r="116" spans="1:13" s="2" customFormat="1" x14ac:dyDescent="0.2">
      <c r="A116" s="87">
        <v>45125</v>
      </c>
      <c r="B116" s="120" t="s">
        <v>1052</v>
      </c>
      <c r="C116" s="75" t="s">
        <v>767</v>
      </c>
      <c r="D116" s="88">
        <v>691994</v>
      </c>
      <c r="G116" s="1"/>
      <c r="L116" s="1"/>
      <c r="M116" s="1"/>
    </row>
    <row r="117" spans="1:13" s="2" customFormat="1" x14ac:dyDescent="0.2">
      <c r="A117" s="87">
        <v>45126</v>
      </c>
      <c r="B117" s="120" t="s">
        <v>1052</v>
      </c>
      <c r="C117" s="75" t="s">
        <v>271</v>
      </c>
      <c r="D117" s="88">
        <v>415838</v>
      </c>
      <c r="G117" s="1"/>
      <c r="L117" s="1"/>
      <c r="M117" s="1"/>
    </row>
    <row r="118" spans="1:13" s="2" customFormat="1" x14ac:dyDescent="0.2">
      <c r="A118" s="87"/>
      <c r="B118" s="74"/>
      <c r="C118" s="75"/>
      <c r="D118" s="51">
        <f>SUM(D79:D117)</f>
        <v>49104278.920000002</v>
      </c>
      <c r="F118" s="2" t="s">
        <v>396</v>
      </c>
      <c r="G118" s="1"/>
      <c r="L118" s="1"/>
      <c r="M118" s="1"/>
    </row>
    <row r="119" spans="1:13" s="2" customFormat="1" x14ac:dyDescent="0.2">
      <c r="A119" s="24"/>
      <c r="B119" s="1"/>
      <c r="C119" s="14"/>
      <c r="D119" s="56"/>
      <c r="E119" s="13"/>
      <c r="G119" s="1"/>
      <c r="L119" s="1"/>
      <c r="M119" s="1"/>
    </row>
    <row r="120" spans="1:13" s="2" customFormat="1" x14ac:dyDescent="0.2">
      <c r="A120" s="24"/>
      <c r="B120" s="1"/>
      <c r="C120" s="218" t="s">
        <v>77</v>
      </c>
      <c r="D120" s="219"/>
      <c r="E120" s="219"/>
      <c r="F120" s="220"/>
      <c r="G120" s="1"/>
      <c r="L120" s="1"/>
      <c r="M120" s="1"/>
    </row>
    <row r="121" spans="1:13" s="2" customFormat="1" x14ac:dyDescent="0.2">
      <c r="A121" s="24"/>
      <c r="B121" s="1"/>
      <c r="C121" s="50"/>
      <c r="D121" s="57" t="s">
        <v>78</v>
      </c>
      <c r="E121" s="58" t="s">
        <v>79</v>
      </c>
      <c r="F121" s="57" t="s">
        <v>72</v>
      </c>
      <c r="G121" s="1"/>
      <c r="I121" s="1"/>
      <c r="J121" s="1"/>
      <c r="K121" s="1"/>
      <c r="L121" s="1"/>
      <c r="M121" s="1"/>
    </row>
    <row r="122" spans="1:13" s="2" customFormat="1" x14ac:dyDescent="0.2">
      <c r="A122" s="24"/>
      <c r="B122" s="1"/>
      <c r="C122" s="59" t="str">
        <f>"01-07-2023 to "&amp;TEXT(A5-2,"dd-mm-yyyy")</f>
        <v>01-07-2023 to 17-07-2023</v>
      </c>
      <c r="D122" s="60">
        <v>3137.86</v>
      </c>
      <c r="E122" s="60">
        <v>154.11000000000001</v>
      </c>
      <c r="F122" s="61">
        <f>SUM(D122:E122)</f>
        <v>3291.9700000000003</v>
      </c>
      <c r="G122" s="1"/>
    </row>
    <row r="123" spans="1:13" s="2" customFormat="1" x14ac:dyDescent="0.2">
      <c r="A123" s="24"/>
      <c r="B123" s="1"/>
      <c r="C123" s="62" t="str">
        <f>TEXT(A5-1,"dd-mm-yyyy")</f>
        <v>18-07-2023</v>
      </c>
      <c r="D123" s="60">
        <v>166.66</v>
      </c>
      <c r="E123" s="60">
        <v>6.4</v>
      </c>
      <c r="F123" s="61">
        <f>SUM(D123:E123)</f>
        <v>173.06</v>
      </c>
      <c r="G123" s="54"/>
      <c r="I123" s="1"/>
      <c r="J123" s="1"/>
      <c r="K123" s="1"/>
      <c r="L123" s="1"/>
      <c r="M123" s="1"/>
    </row>
    <row r="124" spans="1:13" s="2" customFormat="1" ht="13.5" thickBot="1" x14ac:dyDescent="0.25">
      <c r="A124" s="24"/>
      <c r="B124" s="1"/>
      <c r="C124" s="63" t="str">
        <f>"01-07-2023 to "&amp;TEXT(A5-1,"dd-mm-yyyy")</f>
        <v>01-07-2023 to 18-07-2023</v>
      </c>
      <c r="D124" s="64">
        <f>SUM(D122:D123)</f>
        <v>3304.52</v>
      </c>
      <c r="E124" s="64">
        <f>SUM(E122:E123)</f>
        <v>160.51000000000002</v>
      </c>
      <c r="F124" s="64">
        <f>SUM(F122:F123)</f>
        <v>3465.03</v>
      </c>
      <c r="G124" s="54"/>
      <c r="I124" s="1"/>
      <c r="J124" s="1"/>
      <c r="K124" s="1"/>
      <c r="L124" s="1"/>
      <c r="M124" s="1"/>
    </row>
    <row r="125" spans="1:13" s="2" customFormat="1" ht="13.5" thickTop="1" x14ac:dyDescent="0.2">
      <c r="A125" s="24"/>
      <c r="B125" s="1"/>
      <c r="C125" s="62"/>
      <c r="D125" s="65"/>
      <c r="E125" s="66"/>
      <c r="F125" s="67"/>
      <c r="G125" s="54"/>
      <c r="I125" s="1"/>
      <c r="J125" s="1"/>
      <c r="K125" s="1"/>
      <c r="L125" s="1"/>
      <c r="M125" s="1"/>
    </row>
    <row r="126" spans="1:13" s="2" customFormat="1" x14ac:dyDescent="0.2">
      <c r="A126" s="24"/>
      <c r="B126" s="1"/>
      <c r="C126" s="62" t="str">
        <f>"01-04-2023 to " &amp;C123</f>
        <v>01-04-2023 to 18-07-2023</v>
      </c>
      <c r="D126" s="68">
        <f>+D124+15505.53</f>
        <v>18810.05</v>
      </c>
      <c r="E126" s="68">
        <f>+E124+1109.72</f>
        <v>1270.23</v>
      </c>
      <c r="F126" s="68">
        <f>+F124+16615.25</f>
        <v>20080.28</v>
      </c>
      <c r="G126" s="54"/>
      <c r="I126" s="1"/>
      <c r="J126" s="1"/>
      <c r="K126" s="1"/>
      <c r="L126" s="1"/>
      <c r="M126" s="1"/>
    </row>
    <row r="127" spans="1:13" x14ac:dyDescent="0.2">
      <c r="C127" s="52"/>
      <c r="D127" s="85"/>
      <c r="E127" s="53"/>
      <c r="F127" s="53"/>
      <c r="G127" s="54"/>
      <c r="H127" s="2" t="s">
        <v>396</v>
      </c>
    </row>
    <row r="128" spans="1:13" s="2" customFormat="1" x14ac:dyDescent="0.2">
      <c r="A128" s="24"/>
      <c r="B128" s="1"/>
      <c r="C128" s="52"/>
      <c r="D128" s="85"/>
      <c r="E128" s="53"/>
      <c r="F128" s="53"/>
      <c r="G128" s="54"/>
      <c r="H128" s="53"/>
    </row>
    <row r="129" spans="3:10" x14ac:dyDescent="0.2">
      <c r="C129" s="52"/>
      <c r="D129" s="85"/>
      <c r="E129" s="53"/>
      <c r="F129" s="53"/>
      <c r="G129" s="54"/>
      <c r="H129" s="53" t="s">
        <v>396</v>
      </c>
    </row>
    <row r="130" spans="3:10" x14ac:dyDescent="0.2">
      <c r="C130" s="52"/>
      <c r="D130" s="85"/>
      <c r="E130" s="53"/>
      <c r="F130" s="53"/>
      <c r="G130" s="54"/>
      <c r="H130" s="53" t="s">
        <v>396</v>
      </c>
      <c r="J130" s="42"/>
    </row>
    <row r="131" spans="3:10" x14ac:dyDescent="0.2">
      <c r="G131" s="54"/>
      <c r="H131" s="53"/>
      <c r="I131" s="101"/>
    </row>
    <row r="132" spans="3:10" x14ac:dyDescent="0.2">
      <c r="G132" s="54"/>
      <c r="H132" s="53"/>
    </row>
    <row r="133" spans="3:10" x14ac:dyDescent="0.2">
      <c r="G133" s="54"/>
      <c r="H133" s="53"/>
    </row>
    <row r="134" spans="3:10" x14ac:dyDescent="0.2">
      <c r="H134" s="53"/>
    </row>
  </sheetData>
  <mergeCells count="6">
    <mergeCell ref="C120:F120"/>
    <mergeCell ref="A1:G1"/>
    <mergeCell ref="A3:F3"/>
    <mergeCell ref="A10:F10"/>
    <mergeCell ref="A26:F26"/>
    <mergeCell ref="A77:D77"/>
  </mergeCells>
  <conditionalFormatting sqref="G74:G75">
    <cfRule type="cellIs" dxfId="407" priority="1" operator="lessThan">
      <formula>0</formula>
    </cfRule>
  </conditionalFormatting>
  <conditionalFormatting sqref="C28">
    <cfRule type="duplicateValues" dxfId="406" priority="2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700-000000000000}">
  <sheetPr codeName="Sheet383">
    <pageSetUpPr fitToPage="1"/>
  </sheetPr>
  <dimension ref="A1:N131"/>
  <sheetViews>
    <sheetView zoomScaleNormal="100" workbookViewId="0">
      <selection sqref="A1:G1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1237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45127</v>
      </c>
      <c r="B5" s="9" t="s">
        <v>6</v>
      </c>
      <c r="C5" s="10" t="s">
        <v>7</v>
      </c>
      <c r="D5" s="11"/>
      <c r="E5" s="12">
        <v>277691.7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277691.7</v>
      </c>
      <c r="F6" s="16">
        <f>SUM(F5:F5)</f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+E6-F6</f>
        <v>277691.7</v>
      </c>
      <c r="F7" s="22"/>
      <c r="G7" s="23"/>
      <c r="H7" s="112"/>
      <c r="I7" s="112"/>
      <c r="J7" s="13"/>
    </row>
    <row r="8" spans="1:10" ht="12.75" customHeight="1" x14ac:dyDescent="0.4">
      <c r="H8" s="112"/>
      <c r="I8" s="112"/>
    </row>
    <row r="9" spans="1:10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12"/>
    </row>
    <row r="10" spans="1:10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12"/>
    </row>
    <row r="11" spans="1:10" s="2" customFormat="1" ht="14.25" customHeight="1" x14ac:dyDescent="0.2">
      <c r="A11" s="127">
        <v>45127</v>
      </c>
      <c r="B11" s="9" t="s">
        <v>6</v>
      </c>
      <c r="C11" s="10" t="s">
        <v>7</v>
      </c>
      <c r="D11" s="11"/>
      <c r="F11" s="12">
        <v>23278197.02</v>
      </c>
      <c r="G11" s="1"/>
      <c r="H11" s="130" t="s">
        <v>396</v>
      </c>
      <c r="I11" s="130"/>
    </row>
    <row r="12" spans="1:10" s="2" customFormat="1" ht="14.25" customHeight="1" x14ac:dyDescent="0.2">
      <c r="A12" s="127">
        <v>45127</v>
      </c>
      <c r="B12" s="9" t="s">
        <v>6</v>
      </c>
      <c r="C12" s="10" t="s">
        <v>1236</v>
      </c>
      <c r="D12" s="11" t="s">
        <v>13</v>
      </c>
      <c r="E12" s="2">
        <v>11806.55</v>
      </c>
      <c r="F12" s="12"/>
      <c r="G12" s="1"/>
      <c r="H12" s="130"/>
      <c r="I12" s="130"/>
    </row>
    <row r="13" spans="1:10" s="2" customFormat="1" ht="12.75" customHeight="1" x14ac:dyDescent="0.4">
      <c r="D13" s="15" t="s">
        <v>8</v>
      </c>
      <c r="E13" s="16">
        <f>SUM(E12:E12)</f>
        <v>11806.55</v>
      </c>
      <c r="F13" s="16">
        <f>SUM(F11:F12)</f>
        <v>23278197.02</v>
      </c>
      <c r="G13" s="1"/>
      <c r="H13" s="112"/>
      <c r="I13" s="112"/>
    </row>
    <row r="14" spans="1:10" s="2" customFormat="1" ht="12.75" customHeight="1" x14ac:dyDescent="0.4">
      <c r="A14" s="17"/>
      <c r="B14" s="18"/>
      <c r="C14" s="96" t="s">
        <v>9</v>
      </c>
      <c r="D14" s="20"/>
      <c r="E14" s="21">
        <f>+F13-E13</f>
        <v>23266390.469999999</v>
      </c>
      <c r="G14" s="23"/>
      <c r="H14" s="112"/>
      <c r="I14" s="112"/>
      <c r="J14" s="13"/>
    </row>
    <row r="15" spans="1:10" s="2" customFormat="1" ht="12.75" customHeight="1" x14ac:dyDescent="0.4">
      <c r="A15" s="24"/>
      <c r="B15" s="1"/>
      <c r="C15" s="14"/>
      <c r="D15" s="25"/>
      <c r="G15" s="23"/>
      <c r="H15" s="112"/>
      <c r="I15" s="112"/>
      <c r="J15" s="13"/>
    </row>
    <row r="16" spans="1:10" s="2" customFormat="1" ht="21.75" customHeight="1" x14ac:dyDescent="0.4">
      <c r="A16" s="214" t="s">
        <v>10</v>
      </c>
      <c r="B16" s="214"/>
      <c r="C16" s="214"/>
      <c r="D16" s="214"/>
      <c r="E16" s="214"/>
      <c r="F16" s="214"/>
      <c r="G16" s="13"/>
      <c r="H16" s="112"/>
      <c r="I16" s="112"/>
      <c r="J16" s="13"/>
    </row>
    <row r="17" spans="1:10" s="2" customFormat="1" ht="12.75" customHeight="1" x14ac:dyDescent="0.4">
      <c r="A17" s="26" t="s">
        <v>1</v>
      </c>
      <c r="B17" s="27" t="s">
        <v>2</v>
      </c>
      <c r="C17" s="5"/>
      <c r="D17" s="6" t="s">
        <v>3</v>
      </c>
      <c r="E17" s="7" t="s">
        <v>4</v>
      </c>
      <c r="F17" s="7" t="s">
        <v>5</v>
      </c>
      <c r="G17" s="23"/>
      <c r="H17" s="112"/>
      <c r="I17" s="112"/>
      <c r="J17" s="13"/>
    </row>
    <row r="18" spans="1:10" s="2" customFormat="1" ht="12.75" customHeight="1" x14ac:dyDescent="0.2">
      <c r="A18" s="127">
        <v>45127</v>
      </c>
      <c r="B18" s="128" t="s">
        <v>11</v>
      </c>
      <c r="C18" s="29" t="s">
        <v>7</v>
      </c>
      <c r="D18" s="25"/>
      <c r="E18" s="31"/>
      <c r="F18" s="2">
        <v>267764650.09</v>
      </c>
      <c r="G18" s="30"/>
      <c r="I18" s="13"/>
      <c r="J18" s="13"/>
    </row>
    <row r="19" spans="1:10" s="70" customFormat="1" ht="12.75" customHeight="1" x14ac:dyDescent="0.2">
      <c r="A19" s="127">
        <v>45127</v>
      </c>
      <c r="B19" s="128" t="s">
        <v>6</v>
      </c>
      <c r="C19" s="10" t="s">
        <v>695</v>
      </c>
      <c r="D19" s="11" t="s">
        <v>13</v>
      </c>
      <c r="E19" s="2">
        <v>504079</v>
      </c>
      <c r="G19" s="30"/>
      <c r="I19" s="69"/>
      <c r="J19" s="69"/>
    </row>
    <row r="20" spans="1:10" s="70" customFormat="1" ht="12.75" customHeight="1" x14ac:dyDescent="0.2">
      <c r="A20" s="127">
        <v>45127</v>
      </c>
      <c r="B20" s="128" t="s">
        <v>6</v>
      </c>
      <c r="C20" s="10" t="s">
        <v>15</v>
      </c>
      <c r="D20" s="11" t="s">
        <v>13</v>
      </c>
      <c r="E20" s="2">
        <v>31502.660000000003</v>
      </c>
      <c r="G20" s="30"/>
      <c r="I20" s="69"/>
      <c r="J20" s="69"/>
    </row>
    <row r="21" spans="1:10" s="70" customFormat="1" ht="12.75" customHeight="1" x14ac:dyDescent="0.2">
      <c r="A21" s="127">
        <v>45127</v>
      </c>
      <c r="B21" s="128" t="s">
        <v>6</v>
      </c>
      <c r="C21" s="10" t="s">
        <v>755</v>
      </c>
      <c r="D21" s="11" t="s">
        <v>13</v>
      </c>
      <c r="E21" s="2">
        <v>188172.6</v>
      </c>
      <c r="G21" s="30"/>
      <c r="I21" s="69"/>
      <c r="J21" s="69"/>
    </row>
    <row r="22" spans="1:10" s="70" customFormat="1" ht="12.75" customHeight="1" x14ac:dyDescent="0.2">
      <c r="A22" s="127">
        <v>45127</v>
      </c>
      <c r="B22" s="128" t="s">
        <v>6</v>
      </c>
      <c r="C22" s="10" t="s">
        <v>275</v>
      </c>
      <c r="D22" s="11" t="s">
        <v>13</v>
      </c>
      <c r="E22" s="2">
        <v>2800000</v>
      </c>
      <c r="G22" s="30"/>
      <c r="I22" s="69"/>
      <c r="J22" s="69"/>
    </row>
    <row r="23" spans="1:10" s="70" customFormat="1" ht="12.75" customHeight="1" x14ac:dyDescent="0.2">
      <c r="A23" s="127">
        <v>45127</v>
      </c>
      <c r="B23" s="128" t="s">
        <v>6</v>
      </c>
      <c r="C23" s="10" t="s">
        <v>1100</v>
      </c>
      <c r="D23" s="11" t="s">
        <v>13</v>
      </c>
      <c r="E23" s="2">
        <v>3570</v>
      </c>
      <c r="G23" s="30"/>
      <c r="I23" s="69"/>
      <c r="J23" s="69"/>
    </row>
    <row r="24" spans="1:10" s="70" customFormat="1" ht="12.75" customHeight="1" x14ac:dyDescent="0.2">
      <c r="A24" s="127">
        <v>45127</v>
      </c>
      <c r="B24" s="128" t="s">
        <v>6</v>
      </c>
      <c r="C24" s="10" t="s">
        <v>311</v>
      </c>
      <c r="D24" s="11" t="s">
        <v>13</v>
      </c>
      <c r="E24" s="2">
        <v>4567</v>
      </c>
      <c r="G24" s="30"/>
      <c r="I24" s="69"/>
      <c r="J24" s="69"/>
    </row>
    <row r="25" spans="1:10" s="70" customFormat="1" ht="12.75" customHeight="1" x14ac:dyDescent="0.2">
      <c r="A25" s="127">
        <v>45127</v>
      </c>
      <c r="B25" s="128" t="s">
        <v>6</v>
      </c>
      <c r="C25" s="10" t="s">
        <v>788</v>
      </c>
      <c r="D25" s="11" t="s">
        <v>13</v>
      </c>
      <c r="E25" s="2">
        <v>244165</v>
      </c>
      <c r="G25" s="30"/>
      <c r="I25" s="69"/>
      <c r="J25" s="69"/>
    </row>
    <row r="26" spans="1:10" s="70" customFormat="1" ht="12.75" customHeight="1" x14ac:dyDescent="0.2">
      <c r="A26" s="127">
        <v>45127</v>
      </c>
      <c r="B26" s="128" t="s">
        <v>6</v>
      </c>
      <c r="C26" s="10" t="s">
        <v>149</v>
      </c>
      <c r="D26" s="11" t="s">
        <v>13</v>
      </c>
      <c r="E26" s="2">
        <v>66784</v>
      </c>
      <c r="G26" s="30"/>
      <c r="I26" s="69"/>
      <c r="J26" s="69"/>
    </row>
    <row r="27" spans="1:10" s="70" customFormat="1" ht="12.75" customHeight="1" x14ac:dyDescent="0.2">
      <c r="A27" s="127">
        <v>45127</v>
      </c>
      <c r="B27" s="128" t="s">
        <v>6</v>
      </c>
      <c r="C27" s="10" t="s">
        <v>26</v>
      </c>
      <c r="D27" s="11" t="s">
        <v>13</v>
      </c>
      <c r="E27" s="2">
        <v>581545.21</v>
      </c>
      <c r="G27" s="30"/>
      <c r="I27" s="69"/>
      <c r="J27" s="69"/>
    </row>
    <row r="28" spans="1:10" s="70" customFormat="1" ht="12.75" customHeight="1" x14ac:dyDescent="0.2">
      <c r="A28" s="127">
        <v>45127</v>
      </c>
      <c r="B28" s="128" t="s">
        <v>6</v>
      </c>
      <c r="C28" s="10" t="s">
        <v>1107</v>
      </c>
      <c r="D28" s="11" t="s">
        <v>13</v>
      </c>
      <c r="E28" s="2">
        <v>78668</v>
      </c>
      <c r="G28" s="30"/>
      <c r="I28" s="69"/>
      <c r="J28" s="69"/>
    </row>
    <row r="29" spans="1:10" s="70" customFormat="1" ht="12.75" customHeight="1" x14ac:dyDescent="0.2">
      <c r="A29" s="127">
        <v>45127</v>
      </c>
      <c r="B29" s="128" t="s">
        <v>6</v>
      </c>
      <c r="C29" s="10" t="s">
        <v>1233</v>
      </c>
      <c r="D29" s="11" t="s">
        <v>13</v>
      </c>
      <c r="E29" s="2">
        <v>504743</v>
      </c>
      <c r="G29" s="30"/>
      <c r="I29" s="69"/>
      <c r="J29" s="69"/>
    </row>
    <row r="30" spans="1:10" s="70" customFormat="1" ht="12.75" customHeight="1" x14ac:dyDescent="0.2">
      <c r="A30" s="127">
        <v>45127</v>
      </c>
      <c r="B30" s="128" t="s">
        <v>6</v>
      </c>
      <c r="C30" s="10" t="s">
        <v>163</v>
      </c>
      <c r="D30" s="11" t="s">
        <v>13</v>
      </c>
      <c r="E30" s="2">
        <v>368447</v>
      </c>
      <c r="G30" s="30"/>
      <c r="I30" s="69"/>
      <c r="J30" s="69"/>
    </row>
    <row r="31" spans="1:10" s="70" customFormat="1" ht="12.75" customHeight="1" x14ac:dyDescent="0.2">
      <c r="A31" s="127">
        <v>45127</v>
      </c>
      <c r="B31" s="128" t="s">
        <v>6</v>
      </c>
      <c r="C31" s="10" t="s">
        <v>514</v>
      </c>
      <c r="D31" s="11" t="s">
        <v>13</v>
      </c>
      <c r="E31" s="2">
        <v>1163764</v>
      </c>
      <c r="G31" s="30"/>
      <c r="I31" s="69"/>
      <c r="J31" s="69"/>
    </row>
    <row r="32" spans="1:10" s="70" customFormat="1" ht="12.75" customHeight="1" x14ac:dyDescent="0.2">
      <c r="A32" s="127">
        <v>45127</v>
      </c>
      <c r="B32" s="128" t="s">
        <v>6</v>
      </c>
      <c r="C32" s="10" t="s">
        <v>1234</v>
      </c>
      <c r="D32" s="11" t="s">
        <v>13</v>
      </c>
      <c r="E32" s="2">
        <v>127811</v>
      </c>
      <c r="G32" s="30"/>
      <c r="I32" s="69"/>
      <c r="J32" s="69"/>
    </row>
    <row r="33" spans="1:10" s="70" customFormat="1" ht="12.75" customHeight="1" x14ac:dyDescent="0.2">
      <c r="A33" s="127">
        <v>45127</v>
      </c>
      <c r="B33" s="128" t="s">
        <v>6</v>
      </c>
      <c r="C33" s="10" t="s">
        <v>257</v>
      </c>
      <c r="D33" s="11" t="s">
        <v>13</v>
      </c>
      <c r="E33" s="2">
        <v>2175677.33</v>
      </c>
      <c r="G33" s="30"/>
      <c r="I33" s="69"/>
      <c r="J33" s="69"/>
    </row>
    <row r="34" spans="1:10" s="70" customFormat="1" ht="12.75" customHeight="1" x14ac:dyDescent="0.2">
      <c r="A34" s="127">
        <v>45127</v>
      </c>
      <c r="B34" s="128" t="s">
        <v>6</v>
      </c>
      <c r="C34" s="10" t="s">
        <v>146</v>
      </c>
      <c r="D34" s="11" t="s">
        <v>13</v>
      </c>
      <c r="E34" s="2">
        <v>827892</v>
      </c>
      <c r="G34" s="30"/>
      <c r="I34" s="69"/>
      <c r="J34" s="69"/>
    </row>
    <row r="35" spans="1:10" s="70" customFormat="1" ht="12.75" customHeight="1" x14ac:dyDescent="0.2">
      <c r="A35" s="127">
        <v>45127</v>
      </c>
      <c r="B35" s="128" t="s">
        <v>6</v>
      </c>
      <c r="C35" s="10" t="s">
        <v>947</v>
      </c>
      <c r="D35" s="11" t="s">
        <v>13</v>
      </c>
      <c r="E35" s="2">
        <v>517611</v>
      </c>
      <c r="G35" s="30"/>
      <c r="I35" s="69"/>
      <c r="J35" s="69"/>
    </row>
    <row r="36" spans="1:10" s="139" customFormat="1" ht="12.75" customHeight="1" x14ac:dyDescent="0.2">
      <c r="A36" s="127">
        <v>45127</v>
      </c>
      <c r="B36" s="128" t="s">
        <v>6</v>
      </c>
      <c r="C36" s="10" t="s">
        <v>120</v>
      </c>
      <c r="D36" s="142" t="s">
        <v>13</v>
      </c>
      <c r="E36" s="143">
        <v>1057121</v>
      </c>
      <c r="G36" s="30"/>
      <c r="I36" s="144"/>
      <c r="J36" s="144"/>
    </row>
    <row r="37" spans="1:10" s="139" customFormat="1" ht="12.75" customHeight="1" x14ac:dyDescent="0.2">
      <c r="A37" s="127">
        <v>45127</v>
      </c>
      <c r="B37" s="128" t="s">
        <v>6</v>
      </c>
      <c r="C37" s="10" t="s">
        <v>19</v>
      </c>
      <c r="D37" s="142" t="s">
        <v>13</v>
      </c>
      <c r="E37" s="143">
        <v>95181</v>
      </c>
      <c r="G37" s="30"/>
      <c r="I37" s="144"/>
      <c r="J37" s="144"/>
    </row>
    <row r="38" spans="1:10" s="139" customFormat="1" ht="12.75" customHeight="1" x14ac:dyDescent="0.2">
      <c r="A38" s="127">
        <v>45127</v>
      </c>
      <c r="B38" s="128" t="s">
        <v>6</v>
      </c>
      <c r="C38" s="10" t="s">
        <v>1238</v>
      </c>
      <c r="D38" s="142" t="s">
        <v>13</v>
      </c>
      <c r="E38" s="143">
        <v>527784.1</v>
      </c>
      <c r="G38" s="30"/>
      <c r="I38" s="144"/>
      <c r="J38" s="144"/>
    </row>
    <row r="39" spans="1:10" s="139" customFormat="1" ht="12.75" customHeight="1" x14ac:dyDescent="0.2">
      <c r="A39" s="127">
        <v>45127</v>
      </c>
      <c r="B39" s="128" t="s">
        <v>6</v>
      </c>
      <c r="C39" s="10" t="s">
        <v>1235</v>
      </c>
      <c r="D39" s="142" t="s">
        <v>13</v>
      </c>
      <c r="E39" s="143">
        <v>2057647</v>
      </c>
      <c r="G39" s="30"/>
      <c r="I39" s="144"/>
      <c r="J39" s="144"/>
    </row>
    <row r="40" spans="1:10" s="70" customFormat="1" ht="12.75" customHeight="1" x14ac:dyDescent="0.2">
      <c r="A40" s="127">
        <v>45127</v>
      </c>
      <c r="B40" s="128" t="s">
        <v>6</v>
      </c>
      <c r="C40" s="10" t="s">
        <v>466</v>
      </c>
      <c r="D40" s="11" t="s">
        <v>13</v>
      </c>
      <c r="E40" s="2">
        <v>841725</v>
      </c>
      <c r="G40" s="30"/>
      <c r="I40" s="69"/>
      <c r="J40" s="69"/>
    </row>
    <row r="41" spans="1:10" s="70" customFormat="1" ht="12.75" customHeight="1" x14ac:dyDescent="0.2">
      <c r="A41" s="127">
        <v>45127</v>
      </c>
      <c r="B41" s="128" t="s">
        <v>6</v>
      </c>
      <c r="C41" s="10" t="s">
        <v>633</v>
      </c>
      <c r="D41" s="11" t="s">
        <v>13</v>
      </c>
      <c r="E41" s="2">
        <v>2365312</v>
      </c>
      <c r="G41" s="30"/>
      <c r="I41" s="69"/>
      <c r="J41" s="69"/>
    </row>
    <row r="42" spans="1:10" s="70" customFormat="1" ht="12.75" customHeight="1" x14ac:dyDescent="0.2">
      <c r="A42" s="127">
        <v>45127</v>
      </c>
      <c r="B42" s="128" t="s">
        <v>11</v>
      </c>
      <c r="C42" s="10" t="s">
        <v>34</v>
      </c>
      <c r="D42" s="125" t="s">
        <v>29</v>
      </c>
      <c r="E42" s="31"/>
      <c r="F42" s="70">
        <v>30000</v>
      </c>
      <c r="G42" s="30"/>
      <c r="I42" s="69"/>
      <c r="J42" s="69"/>
    </row>
    <row r="43" spans="1:10" s="70" customFormat="1" ht="12.75" customHeight="1" x14ac:dyDescent="0.2">
      <c r="A43" s="127">
        <v>45127</v>
      </c>
      <c r="B43" s="128" t="s">
        <v>11</v>
      </c>
      <c r="C43" s="10" t="s">
        <v>156</v>
      </c>
      <c r="D43" s="125" t="s">
        <v>29</v>
      </c>
      <c r="E43" s="31"/>
      <c r="F43" s="70">
        <v>1368.83</v>
      </c>
      <c r="G43" s="30"/>
      <c r="I43" s="69"/>
      <c r="J43" s="69"/>
    </row>
    <row r="44" spans="1:10" s="70" customFormat="1" ht="12.75" customHeight="1" x14ac:dyDescent="0.2">
      <c r="A44" s="127">
        <v>45127</v>
      </c>
      <c r="B44" s="128" t="s">
        <v>11</v>
      </c>
      <c r="C44" s="10" t="s">
        <v>64</v>
      </c>
      <c r="D44" s="125" t="s">
        <v>29</v>
      </c>
      <c r="E44" s="31"/>
      <c r="F44" s="70">
        <v>8423.76</v>
      </c>
      <c r="G44" s="30"/>
      <c r="I44" s="69"/>
      <c r="J44" s="69"/>
    </row>
    <row r="45" spans="1:10" s="70" customFormat="1" ht="12.75" customHeight="1" x14ac:dyDescent="0.2">
      <c r="A45" s="127">
        <v>45127</v>
      </c>
      <c r="B45" s="128" t="s">
        <v>11</v>
      </c>
      <c r="C45" s="10" t="s">
        <v>57</v>
      </c>
      <c r="D45" s="125" t="s">
        <v>29</v>
      </c>
      <c r="E45" s="31"/>
      <c r="F45" s="70">
        <v>3500000</v>
      </c>
      <c r="G45" s="30"/>
      <c r="I45" s="69"/>
      <c r="J45" s="69"/>
    </row>
    <row r="46" spans="1:10" s="70" customFormat="1" ht="12.75" customHeight="1" x14ac:dyDescent="0.2">
      <c r="A46" s="127">
        <v>45127</v>
      </c>
      <c r="B46" s="128" t="s">
        <v>11</v>
      </c>
      <c r="C46" s="10" t="s">
        <v>107</v>
      </c>
      <c r="D46" s="125" t="s">
        <v>29</v>
      </c>
      <c r="E46" s="31"/>
      <c r="F46" s="70">
        <v>274732.07</v>
      </c>
      <c r="G46" s="30"/>
      <c r="I46" s="69"/>
      <c r="J46" s="69"/>
    </row>
    <row r="47" spans="1:10" s="70" customFormat="1" ht="12.75" customHeight="1" x14ac:dyDescent="0.2">
      <c r="A47" s="127">
        <v>45127</v>
      </c>
      <c r="B47" s="128" t="s">
        <v>11</v>
      </c>
      <c r="C47" s="10" t="s">
        <v>111</v>
      </c>
      <c r="D47" s="125" t="s">
        <v>29</v>
      </c>
      <c r="E47" s="31"/>
      <c r="F47" s="70">
        <v>1278683.83</v>
      </c>
      <c r="G47" s="30"/>
      <c r="I47" s="69"/>
      <c r="J47" s="69"/>
    </row>
    <row r="48" spans="1:10" s="70" customFormat="1" ht="12.75" customHeight="1" x14ac:dyDescent="0.2">
      <c r="A48" s="127">
        <v>45127</v>
      </c>
      <c r="B48" s="128" t="s">
        <v>11</v>
      </c>
      <c r="C48" s="10" t="s">
        <v>498</v>
      </c>
      <c r="D48" s="125" t="s">
        <v>29</v>
      </c>
      <c r="E48" s="31"/>
      <c r="F48" s="70">
        <v>321430.78000000003</v>
      </c>
      <c r="G48" s="30"/>
      <c r="I48" s="69"/>
      <c r="J48" s="69"/>
    </row>
    <row r="49" spans="1:14" s="70" customFormat="1" ht="12.75" customHeight="1" x14ac:dyDescent="0.2">
      <c r="A49" s="127">
        <v>45127</v>
      </c>
      <c r="B49" s="128" t="s">
        <v>11</v>
      </c>
      <c r="C49" s="10" t="s">
        <v>285</v>
      </c>
      <c r="D49" s="125" t="s">
        <v>29</v>
      </c>
      <c r="E49" s="31"/>
      <c r="F49" s="70">
        <v>491767.08</v>
      </c>
      <c r="G49" s="30"/>
      <c r="I49" s="69"/>
      <c r="J49" s="69"/>
    </row>
    <row r="50" spans="1:14" s="70" customFormat="1" ht="12.75" customHeight="1" x14ac:dyDescent="0.2">
      <c r="A50" s="127">
        <v>45127</v>
      </c>
      <c r="B50" s="128" t="s">
        <v>11</v>
      </c>
      <c r="C50" s="10" t="s">
        <v>109</v>
      </c>
      <c r="D50" s="125" t="s">
        <v>29</v>
      </c>
      <c r="E50" s="31"/>
      <c r="F50" s="70">
        <v>1254033</v>
      </c>
      <c r="G50" s="30"/>
      <c r="I50" s="69"/>
      <c r="J50" s="69"/>
    </row>
    <row r="51" spans="1:14" s="2" customFormat="1" ht="12.75" customHeight="1" x14ac:dyDescent="0.2">
      <c r="A51" s="32"/>
      <c r="B51" s="33"/>
      <c r="C51" s="14"/>
      <c r="D51" s="34"/>
      <c r="E51" s="16">
        <f>SUM(E18:E50)</f>
        <v>17133768.899999999</v>
      </c>
      <c r="F51" s="16">
        <f>SUM(F18:F50)</f>
        <v>274925089.43999994</v>
      </c>
      <c r="G51" s="30"/>
      <c r="H51" s="1"/>
      <c r="I51" s="38">
        <v>257791320.53999999</v>
      </c>
      <c r="J51" s="2" t="s">
        <v>396</v>
      </c>
      <c r="K51" s="92">
        <f>E52-I51</f>
        <v>0</v>
      </c>
      <c r="L51" s="41"/>
      <c r="M51" s="42"/>
    </row>
    <row r="52" spans="1:14" s="2" customFormat="1" ht="12.75" customHeight="1" x14ac:dyDescent="0.2">
      <c r="A52" s="36"/>
      <c r="B52" s="28" t="s">
        <v>11</v>
      </c>
      <c r="C52" s="19" t="s">
        <v>65</v>
      </c>
      <c r="D52" s="37"/>
      <c r="E52" s="38">
        <f>F51-E51</f>
        <v>257791320.53999993</v>
      </c>
      <c r="F52" s="22"/>
      <c r="G52" s="1"/>
      <c r="H52" s="1"/>
      <c r="J52" s="1"/>
      <c r="K52" s="1"/>
      <c r="L52" s="1"/>
      <c r="M52" s="1"/>
    </row>
    <row r="53" spans="1:14" s="2" customFormat="1" ht="12.75" customHeight="1" x14ac:dyDescent="0.2">
      <c r="A53" s="36"/>
      <c r="B53" s="28" t="s">
        <v>66</v>
      </c>
      <c r="C53" s="43" t="s">
        <v>67</v>
      </c>
      <c r="D53" s="43"/>
      <c r="E53" s="12">
        <f>59416310-7500000</f>
        <v>51916310</v>
      </c>
      <c r="F53" s="22"/>
      <c r="G53" s="1"/>
      <c r="H53" s="40"/>
      <c r="I53" s="45">
        <v>3106.67</v>
      </c>
      <c r="J53" s="46"/>
      <c r="K53" s="46"/>
      <c r="L53" s="13"/>
    </row>
    <row r="54" spans="1:14" s="2" customFormat="1" ht="12.75" customHeight="1" x14ac:dyDescent="0.25">
      <c r="A54" s="36"/>
      <c r="B54" s="28"/>
      <c r="C54" s="44" t="s">
        <v>68</v>
      </c>
      <c r="D54" s="43"/>
      <c r="E54" s="7">
        <f>E52+E53</f>
        <v>309707630.53999996</v>
      </c>
      <c r="F54" s="22"/>
      <c r="G54" s="1"/>
      <c r="H54" s="103" t="s">
        <v>69</v>
      </c>
      <c r="I54" s="45">
        <v>-22.01</v>
      </c>
      <c r="J54" s="46"/>
      <c r="K54" s="46"/>
      <c r="N54" s="1"/>
    </row>
    <row r="55" spans="1:14" s="2" customFormat="1" x14ac:dyDescent="0.2">
      <c r="A55" s="24"/>
      <c r="B55" s="1"/>
      <c r="C55" s="14"/>
      <c r="D55" s="25"/>
      <c r="E55" s="1"/>
      <c r="H55" s="35" t="s">
        <v>70</v>
      </c>
      <c r="I55" s="45">
        <v>0.19</v>
      </c>
      <c r="J55" s="46">
        <f>+I56-D58</f>
        <v>0</v>
      </c>
      <c r="M55" s="2" t="s">
        <v>396</v>
      </c>
      <c r="N55" s="1"/>
    </row>
    <row r="56" spans="1:14" x14ac:dyDescent="0.2">
      <c r="C56" s="56"/>
      <c r="D56" s="56"/>
      <c r="E56" s="104"/>
      <c r="I56" s="49">
        <f>SUM(I53:I55)</f>
        <v>3084.85</v>
      </c>
      <c r="J56" s="46"/>
      <c r="K56" s="46"/>
      <c r="L56" s="2"/>
      <c r="M56" s="2"/>
      <c r="N56" s="2"/>
    </row>
    <row r="57" spans="1:14" x14ac:dyDescent="0.2">
      <c r="C57" s="78" t="s">
        <v>575</v>
      </c>
      <c r="D57" s="48" t="s">
        <v>576</v>
      </c>
      <c r="E57" s="104"/>
      <c r="I57" s="2"/>
      <c r="J57" s="2"/>
      <c r="K57" s="2"/>
      <c r="L57" s="2"/>
      <c r="M57" s="2"/>
      <c r="N57" s="2"/>
    </row>
    <row r="58" spans="1:14" s="2" customFormat="1" x14ac:dyDescent="0.2">
      <c r="A58" s="24"/>
      <c r="B58" s="1"/>
      <c r="C58" s="47" t="s">
        <v>570</v>
      </c>
      <c r="D58" s="111">
        <v>3084.85</v>
      </c>
      <c r="E58" s="104"/>
      <c r="G58" s="1"/>
      <c r="H58" s="110" t="s">
        <v>581</v>
      </c>
      <c r="N58" s="2" t="s">
        <v>535</v>
      </c>
    </row>
    <row r="59" spans="1:14" s="2" customFormat="1" x14ac:dyDescent="0.2">
      <c r="A59" s="24"/>
      <c r="B59" s="1"/>
      <c r="C59" s="47" t="s">
        <v>931</v>
      </c>
      <c r="D59" s="111">
        <v>314.82</v>
      </c>
      <c r="E59" s="104"/>
      <c r="G59" s="1"/>
      <c r="H59" s="110" t="s">
        <v>580</v>
      </c>
    </row>
    <row r="60" spans="1:14" s="2" customFormat="1" x14ac:dyDescent="0.2">
      <c r="A60" s="24"/>
      <c r="B60" s="1"/>
      <c r="C60" s="47" t="s">
        <v>572</v>
      </c>
      <c r="D60" s="111">
        <f>+D115/100000</f>
        <v>496.69251919999999</v>
      </c>
      <c r="E60" s="104"/>
      <c r="G60" s="1"/>
      <c r="H60" s="90" t="s">
        <v>587</v>
      </c>
    </row>
    <row r="61" spans="1:14" s="2" customFormat="1" x14ac:dyDescent="0.2">
      <c r="A61" s="24"/>
      <c r="B61" s="1"/>
      <c r="C61" s="108" t="s">
        <v>578</v>
      </c>
      <c r="D61" s="48">
        <f>SUM(D58:D60)</f>
        <v>3896.3625192</v>
      </c>
      <c r="E61" s="104"/>
      <c r="G61" s="1"/>
    </row>
    <row r="62" spans="1:14" s="2" customFormat="1" x14ac:dyDescent="0.2">
      <c r="A62" s="24"/>
      <c r="B62" s="1"/>
      <c r="C62" s="47"/>
      <c r="D62" s="107"/>
      <c r="E62" s="104"/>
      <c r="G62" s="1"/>
    </row>
    <row r="63" spans="1:14" s="2" customFormat="1" x14ac:dyDescent="0.2">
      <c r="A63" s="24"/>
      <c r="B63" s="1"/>
      <c r="C63" s="47" t="s">
        <v>932</v>
      </c>
      <c r="D63" s="111">
        <v>152.72</v>
      </c>
      <c r="E63" s="104"/>
      <c r="G63" s="1"/>
      <c r="H63" s="110" t="s">
        <v>581</v>
      </c>
    </row>
    <row r="64" spans="1:14" s="2" customFormat="1" x14ac:dyDescent="0.2">
      <c r="A64" s="24"/>
      <c r="B64" s="1"/>
      <c r="C64" s="136" t="s">
        <v>1142</v>
      </c>
      <c r="D64" s="111">
        <f>265.65-55.45</f>
        <v>210.2</v>
      </c>
      <c r="E64" s="104"/>
      <c r="G64" s="1"/>
      <c r="H64" s="110" t="s">
        <v>581</v>
      </c>
      <c r="J64" s="114" t="s">
        <v>713</v>
      </c>
    </row>
    <row r="65" spans="1:13" s="2" customFormat="1" x14ac:dyDescent="0.2">
      <c r="A65" s="24"/>
      <c r="B65" s="1"/>
      <c r="C65" s="78" t="s">
        <v>579</v>
      </c>
      <c r="D65" s="109">
        <f>D63+D64</f>
        <v>362.91999999999996</v>
      </c>
      <c r="E65" s="104"/>
      <c r="G65" s="1"/>
      <c r="I65" s="113"/>
      <c r="J65" s="113" t="s">
        <v>709</v>
      </c>
      <c r="K65" s="113" t="s">
        <v>710</v>
      </c>
      <c r="L65" s="113" t="s">
        <v>711</v>
      </c>
      <c r="M65" s="113" t="s">
        <v>712</v>
      </c>
    </row>
    <row r="66" spans="1:13" s="2" customFormat="1" x14ac:dyDescent="0.2">
      <c r="A66" s="24"/>
      <c r="B66" s="1"/>
      <c r="C66" s="105"/>
      <c r="D66" s="106"/>
      <c r="E66" s="104"/>
      <c r="G66" s="1"/>
      <c r="I66" s="113" t="s">
        <v>706</v>
      </c>
      <c r="J66" s="115"/>
      <c r="K66" s="115">
        <v>968.99</v>
      </c>
      <c r="L66" s="115">
        <v>968.99</v>
      </c>
      <c r="M66" s="113">
        <f>+J66+L66-K66</f>
        <v>0</v>
      </c>
    </row>
    <row r="67" spans="1:13" s="2" customFormat="1" x14ac:dyDescent="0.2">
      <c r="A67" s="24"/>
      <c r="B67" s="1"/>
      <c r="C67" s="78" t="s">
        <v>577</v>
      </c>
      <c r="D67" s="109">
        <f>D58+D65</f>
        <v>3447.77</v>
      </c>
      <c r="E67" s="104"/>
      <c r="G67" s="1"/>
      <c r="I67" s="113" t="s">
        <v>707</v>
      </c>
      <c r="J67" s="115">
        <v>183.1</v>
      </c>
      <c r="K67" s="115">
        <v>2801.09</v>
      </c>
      <c r="L67" s="115">
        <v>3389.83</v>
      </c>
      <c r="M67" s="113">
        <f>+J67+L67-K67</f>
        <v>771.83999999999969</v>
      </c>
    </row>
    <row r="68" spans="1:13" s="2" customFormat="1" x14ac:dyDescent="0.2">
      <c r="A68" s="24"/>
      <c r="B68" s="1"/>
      <c r="C68" s="56"/>
      <c r="D68" s="56"/>
      <c r="E68" s="104"/>
      <c r="G68" s="1"/>
      <c r="I68" s="113" t="s">
        <v>708</v>
      </c>
      <c r="J68" s="115">
        <v>1371.02</v>
      </c>
      <c r="K68" s="115">
        <v>12871.61</v>
      </c>
      <c r="L68" s="115">
        <v>12670.11</v>
      </c>
      <c r="M68" s="113">
        <f>+J68+L68-K68</f>
        <v>1169.5200000000004</v>
      </c>
    </row>
    <row r="69" spans="1:13" s="2" customFormat="1" ht="38.25" x14ac:dyDescent="0.2">
      <c r="A69" s="24"/>
      <c r="B69" s="1"/>
      <c r="C69" s="79" t="str">
        <f>"Particulars ( 01-04-2021 to "&amp;TEXT(A5,"dd-mm-yyyy")&amp;" )"</f>
        <v>Particulars ( 01-04-2021 to 20-07-2023 )</v>
      </c>
      <c r="D69" s="80" t="s">
        <v>73</v>
      </c>
      <c r="E69" s="80" t="s">
        <v>74</v>
      </c>
      <c r="F69" s="81" t="s">
        <v>75</v>
      </c>
      <c r="G69" s="80" t="s">
        <v>76</v>
      </c>
      <c r="J69" s="118">
        <f>SUM(J66:J68)</f>
        <v>1554.12</v>
      </c>
      <c r="K69" s="118">
        <f>SUM(K66:K68)</f>
        <v>16641.690000000002</v>
      </c>
      <c r="L69" s="118">
        <f>SUM(L66:L68)</f>
        <v>17028.93</v>
      </c>
      <c r="M69" s="118">
        <f>SUM(M66:M68)</f>
        <v>1941.3600000000001</v>
      </c>
    </row>
    <row r="70" spans="1:13" s="2" customFormat="1" x14ac:dyDescent="0.2">
      <c r="A70" s="24"/>
      <c r="B70" s="1"/>
      <c r="C70" s="50" t="s">
        <v>444</v>
      </c>
      <c r="D70" s="55">
        <f>+L66+L67+J67</f>
        <v>4541.92</v>
      </c>
      <c r="E70" s="55">
        <f>+K66+K67</f>
        <v>3770.08</v>
      </c>
      <c r="F70" s="55">
        <f>+D70-E70</f>
        <v>771.84000000000015</v>
      </c>
      <c r="G70" s="55">
        <f>1500-F70</f>
        <v>728.15999999999985</v>
      </c>
      <c r="H70" s="2" t="s">
        <v>396</v>
      </c>
    </row>
    <row r="71" spans="1:13" s="2" customFormat="1" x14ac:dyDescent="0.2">
      <c r="A71" s="24"/>
      <c r="B71" s="1"/>
      <c r="C71" s="50" t="s">
        <v>71</v>
      </c>
      <c r="D71" s="55">
        <f>+J68+L68</f>
        <v>14041.130000000001</v>
      </c>
      <c r="E71" s="55">
        <f>+K68</f>
        <v>12871.61</v>
      </c>
      <c r="F71" s="55">
        <f>+D71-E71</f>
        <v>1169.5200000000004</v>
      </c>
      <c r="G71" s="55">
        <f>1500+700-F71</f>
        <v>1030.4799999999996</v>
      </c>
      <c r="H71" s="2" t="s">
        <v>396</v>
      </c>
    </row>
    <row r="72" spans="1:13" s="2" customFormat="1" x14ac:dyDescent="0.2">
      <c r="A72" s="24"/>
      <c r="B72" s="1"/>
      <c r="C72" s="14"/>
      <c r="D72" s="56"/>
      <c r="E72" s="13"/>
      <c r="G72" s="1"/>
    </row>
    <row r="73" spans="1:13" s="2" customFormat="1" x14ac:dyDescent="0.2">
      <c r="A73" s="215" t="s">
        <v>80</v>
      </c>
      <c r="B73" s="216"/>
      <c r="C73" s="216"/>
      <c r="D73" s="217"/>
      <c r="E73" s="69"/>
      <c r="F73" s="70"/>
      <c r="G73" s="1"/>
      <c r="H73" s="53"/>
    </row>
    <row r="74" spans="1:13" s="2" customFormat="1" x14ac:dyDescent="0.2">
      <c r="A74" s="71" t="s">
        <v>81</v>
      </c>
      <c r="B74" s="71"/>
      <c r="C74" s="72" t="s">
        <v>82</v>
      </c>
      <c r="D74" s="73" t="s">
        <v>83</v>
      </c>
      <c r="E74" s="69"/>
      <c r="F74" s="70"/>
      <c r="H74" s="53"/>
    </row>
    <row r="75" spans="1:13" s="2" customFormat="1" x14ac:dyDescent="0.2">
      <c r="A75" s="87">
        <v>45108</v>
      </c>
      <c r="B75" s="120" t="s">
        <v>1052</v>
      </c>
      <c r="C75" s="75" t="s">
        <v>84</v>
      </c>
      <c r="D75" s="88">
        <v>3000000</v>
      </c>
      <c r="G75" s="1"/>
      <c r="L75" s="1"/>
      <c r="M75" s="1"/>
    </row>
    <row r="76" spans="1:13" s="2" customFormat="1" x14ac:dyDescent="0.2">
      <c r="A76" s="87">
        <v>45108</v>
      </c>
      <c r="B76" s="120" t="s">
        <v>1052</v>
      </c>
      <c r="C76" s="75" t="s">
        <v>271</v>
      </c>
      <c r="D76" s="88">
        <v>2323148</v>
      </c>
      <c r="G76" s="1"/>
      <c r="L76" s="1"/>
      <c r="M76" s="1"/>
    </row>
    <row r="77" spans="1:13" s="2" customFormat="1" x14ac:dyDescent="0.2">
      <c r="A77" s="87">
        <v>45110</v>
      </c>
      <c r="B77" s="120" t="s">
        <v>1052</v>
      </c>
      <c r="C77" s="75" t="s">
        <v>85</v>
      </c>
      <c r="D77" s="88">
        <v>732575</v>
      </c>
      <c r="G77" s="1"/>
      <c r="L77" s="1"/>
      <c r="M77" s="1"/>
    </row>
    <row r="78" spans="1:13" s="2" customFormat="1" x14ac:dyDescent="0.2">
      <c r="A78" s="87">
        <v>45110</v>
      </c>
      <c r="B78" s="120" t="s">
        <v>1052</v>
      </c>
      <c r="C78" s="75" t="s">
        <v>86</v>
      </c>
      <c r="D78" s="88">
        <v>2676974</v>
      </c>
      <c r="G78" s="1"/>
      <c r="L78" s="1"/>
      <c r="M78" s="1"/>
    </row>
    <row r="79" spans="1:13" s="2" customFormat="1" x14ac:dyDescent="0.2">
      <c r="A79" s="87">
        <v>45110</v>
      </c>
      <c r="B79" s="120" t="s">
        <v>1052</v>
      </c>
      <c r="C79" s="75" t="s">
        <v>86</v>
      </c>
      <c r="D79" s="88">
        <v>1043475</v>
      </c>
      <c r="G79" s="1"/>
      <c r="L79" s="1"/>
      <c r="M79" s="1"/>
    </row>
    <row r="80" spans="1:13" s="2" customFormat="1" x14ac:dyDescent="0.2">
      <c r="A80" s="87">
        <v>45111</v>
      </c>
      <c r="B80" s="120" t="s">
        <v>1052</v>
      </c>
      <c r="C80" s="75" t="s">
        <v>270</v>
      </c>
      <c r="D80" s="88">
        <v>106093</v>
      </c>
      <c r="G80" s="1"/>
      <c r="L80" s="1"/>
      <c r="M80" s="1"/>
    </row>
    <row r="81" spans="1:13" s="2" customFormat="1" x14ac:dyDescent="0.2">
      <c r="A81" s="87">
        <v>45111</v>
      </c>
      <c r="B81" s="120" t="s">
        <v>1052</v>
      </c>
      <c r="C81" s="75" t="s">
        <v>270</v>
      </c>
      <c r="D81" s="88">
        <v>102393</v>
      </c>
      <c r="G81" s="1"/>
      <c r="L81" s="1"/>
      <c r="M81" s="1"/>
    </row>
    <row r="82" spans="1:13" s="2" customFormat="1" x14ac:dyDescent="0.2">
      <c r="A82" s="87">
        <v>45111</v>
      </c>
      <c r="B82" s="120" t="s">
        <v>1052</v>
      </c>
      <c r="C82" s="75" t="s">
        <v>270</v>
      </c>
      <c r="D82" s="88">
        <v>716336</v>
      </c>
      <c r="G82" s="1"/>
      <c r="L82" s="1"/>
      <c r="M82" s="1"/>
    </row>
    <row r="83" spans="1:13" s="2" customFormat="1" x14ac:dyDescent="0.2">
      <c r="A83" s="87">
        <v>45111</v>
      </c>
      <c r="B83" s="120" t="s">
        <v>1052</v>
      </c>
      <c r="C83" s="75" t="s">
        <v>270</v>
      </c>
      <c r="D83" s="88">
        <v>2504631</v>
      </c>
      <c r="G83" s="1"/>
      <c r="L83" s="1"/>
      <c r="M83" s="1"/>
    </row>
    <row r="84" spans="1:13" s="2" customFormat="1" x14ac:dyDescent="0.2">
      <c r="A84" s="87">
        <v>45111</v>
      </c>
      <c r="B84" s="120" t="s">
        <v>1052</v>
      </c>
      <c r="C84" s="75" t="s">
        <v>270</v>
      </c>
      <c r="D84" s="88">
        <v>141433.92000000001</v>
      </c>
      <c r="G84" s="1"/>
      <c r="L84" s="1"/>
      <c r="M84" s="1"/>
    </row>
    <row r="85" spans="1:13" s="2" customFormat="1" x14ac:dyDescent="0.2">
      <c r="A85" s="87">
        <v>45111</v>
      </c>
      <c r="B85" s="120" t="s">
        <v>1052</v>
      </c>
      <c r="C85" s="75" t="s">
        <v>271</v>
      </c>
      <c r="D85" s="88">
        <v>485258</v>
      </c>
      <c r="G85" s="1"/>
      <c r="L85" s="1"/>
      <c r="M85" s="1"/>
    </row>
    <row r="86" spans="1:13" s="2" customFormat="1" x14ac:dyDescent="0.2">
      <c r="A86" s="87">
        <v>45112</v>
      </c>
      <c r="B86" s="120" t="s">
        <v>1052</v>
      </c>
      <c r="C86" s="75" t="s">
        <v>85</v>
      </c>
      <c r="D86" s="88">
        <v>216478</v>
      </c>
      <c r="G86" s="1"/>
      <c r="L86" s="1"/>
      <c r="M86" s="1"/>
    </row>
    <row r="87" spans="1:13" s="2" customFormat="1" x14ac:dyDescent="0.2">
      <c r="A87" s="87">
        <v>45114</v>
      </c>
      <c r="B87" s="120" t="s">
        <v>1052</v>
      </c>
      <c r="C87" s="75" t="s">
        <v>270</v>
      </c>
      <c r="D87" s="88">
        <v>886333</v>
      </c>
      <c r="G87" s="1"/>
      <c r="L87" s="1"/>
      <c r="M87" s="1"/>
    </row>
    <row r="88" spans="1:13" s="2" customFormat="1" x14ac:dyDescent="0.2">
      <c r="A88" s="87">
        <v>45114</v>
      </c>
      <c r="B88" s="120" t="s">
        <v>1052</v>
      </c>
      <c r="C88" s="75" t="s">
        <v>270</v>
      </c>
      <c r="D88" s="88">
        <v>3119806</v>
      </c>
      <c r="G88" s="1"/>
      <c r="L88" s="1"/>
      <c r="M88" s="1"/>
    </row>
    <row r="89" spans="1:13" s="2" customFormat="1" x14ac:dyDescent="0.2">
      <c r="A89" s="87">
        <v>45114</v>
      </c>
      <c r="B89" s="120" t="s">
        <v>1052</v>
      </c>
      <c r="C89" s="75" t="s">
        <v>271</v>
      </c>
      <c r="D89" s="88">
        <v>151160</v>
      </c>
      <c r="G89" s="1"/>
      <c r="L89" s="1"/>
      <c r="M89" s="1"/>
    </row>
    <row r="90" spans="1:13" s="2" customFormat="1" x14ac:dyDescent="0.2">
      <c r="A90" s="87">
        <v>45114</v>
      </c>
      <c r="B90" s="120" t="s">
        <v>1052</v>
      </c>
      <c r="C90" s="75" t="s">
        <v>271</v>
      </c>
      <c r="D90" s="88">
        <v>285195</v>
      </c>
      <c r="G90" s="1"/>
      <c r="L90" s="1"/>
      <c r="M90" s="1"/>
    </row>
    <row r="91" spans="1:13" s="2" customFormat="1" x14ac:dyDescent="0.2">
      <c r="A91" s="87">
        <v>45114</v>
      </c>
      <c r="B91" s="120" t="s">
        <v>1052</v>
      </c>
      <c r="C91" s="75" t="s">
        <v>201</v>
      </c>
      <c r="D91" s="88">
        <v>128135</v>
      </c>
      <c r="G91" s="1"/>
      <c r="L91" s="1"/>
      <c r="M91" s="1"/>
    </row>
    <row r="92" spans="1:13" s="2" customFormat="1" x14ac:dyDescent="0.2">
      <c r="A92" s="87">
        <v>45114</v>
      </c>
      <c r="B92" s="120" t="s">
        <v>1052</v>
      </c>
      <c r="C92" s="75" t="s">
        <v>323</v>
      </c>
      <c r="D92" s="88">
        <v>2313089</v>
      </c>
      <c r="G92" s="1"/>
      <c r="L92" s="1"/>
      <c r="M92" s="1"/>
    </row>
    <row r="93" spans="1:13" s="2" customFormat="1" x14ac:dyDescent="0.2">
      <c r="A93" s="87">
        <v>45115</v>
      </c>
      <c r="B93" s="120" t="s">
        <v>1052</v>
      </c>
      <c r="C93" s="75" t="s">
        <v>767</v>
      </c>
      <c r="D93" s="88">
        <v>411035</v>
      </c>
      <c r="G93" s="1"/>
      <c r="L93" s="1"/>
      <c r="M93" s="1"/>
    </row>
    <row r="94" spans="1:13" s="2" customFormat="1" x14ac:dyDescent="0.2">
      <c r="A94" s="87">
        <v>45118</v>
      </c>
      <c r="B94" s="120" t="s">
        <v>1052</v>
      </c>
      <c r="C94" s="75" t="s">
        <v>270</v>
      </c>
      <c r="D94" s="88">
        <v>34696</v>
      </c>
      <c r="G94" s="1"/>
      <c r="L94" s="1"/>
      <c r="M94" s="1"/>
    </row>
    <row r="95" spans="1:13" s="2" customFormat="1" x14ac:dyDescent="0.2">
      <c r="A95" s="87">
        <v>45118</v>
      </c>
      <c r="B95" s="120" t="s">
        <v>1052</v>
      </c>
      <c r="C95" s="75" t="s">
        <v>270</v>
      </c>
      <c r="D95" s="88">
        <v>1128922</v>
      </c>
      <c r="G95" s="1"/>
      <c r="L95" s="1"/>
      <c r="M95" s="1"/>
    </row>
    <row r="96" spans="1:13" s="2" customFormat="1" x14ac:dyDescent="0.2">
      <c r="A96" s="87">
        <v>45118</v>
      </c>
      <c r="B96" s="120" t="s">
        <v>1052</v>
      </c>
      <c r="C96" s="75" t="s">
        <v>270</v>
      </c>
      <c r="D96" s="88">
        <v>2865343</v>
      </c>
      <c r="G96" s="1"/>
      <c r="L96" s="1"/>
      <c r="M96" s="1"/>
    </row>
    <row r="97" spans="1:13" s="2" customFormat="1" x14ac:dyDescent="0.2">
      <c r="A97" s="87">
        <v>45118</v>
      </c>
      <c r="B97" s="120" t="s">
        <v>1052</v>
      </c>
      <c r="C97" s="75" t="s">
        <v>270</v>
      </c>
      <c r="D97" s="88">
        <v>1090852</v>
      </c>
      <c r="G97" s="1"/>
      <c r="L97" s="1"/>
      <c r="M97" s="1"/>
    </row>
    <row r="98" spans="1:13" s="2" customFormat="1" x14ac:dyDescent="0.2">
      <c r="A98" s="87">
        <v>45118</v>
      </c>
      <c r="B98" s="120" t="s">
        <v>1052</v>
      </c>
      <c r="C98" s="75" t="s">
        <v>270</v>
      </c>
      <c r="D98" s="88">
        <v>359348</v>
      </c>
      <c r="G98" s="1"/>
      <c r="L98" s="1"/>
      <c r="M98" s="1"/>
    </row>
    <row r="99" spans="1:13" s="2" customFormat="1" x14ac:dyDescent="0.2">
      <c r="A99" s="87">
        <v>45118</v>
      </c>
      <c r="B99" s="120" t="s">
        <v>1052</v>
      </c>
      <c r="C99" s="75" t="s">
        <v>271</v>
      </c>
      <c r="D99" s="88">
        <v>323487</v>
      </c>
      <c r="G99" s="1"/>
      <c r="L99" s="1"/>
      <c r="M99" s="1"/>
    </row>
    <row r="100" spans="1:13" s="2" customFormat="1" x14ac:dyDescent="0.2">
      <c r="A100" s="87">
        <v>45118</v>
      </c>
      <c r="B100" s="120" t="s">
        <v>1052</v>
      </c>
      <c r="C100" s="75" t="s">
        <v>271</v>
      </c>
      <c r="D100" s="88">
        <v>44394</v>
      </c>
      <c r="G100" s="1"/>
      <c r="L100" s="1"/>
      <c r="M100" s="1"/>
    </row>
    <row r="101" spans="1:13" s="2" customFormat="1" x14ac:dyDescent="0.2">
      <c r="A101" s="87">
        <v>45118</v>
      </c>
      <c r="B101" s="120" t="s">
        <v>1052</v>
      </c>
      <c r="C101" s="75" t="s">
        <v>271</v>
      </c>
      <c r="D101" s="88">
        <v>2035052</v>
      </c>
      <c r="G101" s="1"/>
      <c r="L101" s="1"/>
      <c r="M101" s="1"/>
    </row>
    <row r="102" spans="1:13" s="2" customFormat="1" x14ac:dyDescent="0.2">
      <c r="A102" s="87">
        <v>45119</v>
      </c>
      <c r="B102" s="120" t="s">
        <v>1052</v>
      </c>
      <c r="C102" s="75" t="s">
        <v>85</v>
      </c>
      <c r="D102" s="88">
        <v>569516</v>
      </c>
      <c r="G102" s="1"/>
      <c r="L102" s="1"/>
      <c r="M102" s="1"/>
    </row>
    <row r="103" spans="1:13" s="2" customFormat="1" x14ac:dyDescent="0.2">
      <c r="A103" s="87">
        <v>45119</v>
      </c>
      <c r="B103" s="120" t="s">
        <v>1052</v>
      </c>
      <c r="C103" s="75" t="s">
        <v>271</v>
      </c>
      <c r="D103" s="88">
        <v>3074492</v>
      </c>
      <c r="G103" s="1"/>
      <c r="L103" s="1"/>
      <c r="M103" s="1"/>
    </row>
    <row r="104" spans="1:13" s="2" customFormat="1" x14ac:dyDescent="0.2">
      <c r="A104" s="87">
        <v>45119</v>
      </c>
      <c r="B104" s="120" t="s">
        <v>1052</v>
      </c>
      <c r="C104" s="75" t="s">
        <v>270</v>
      </c>
      <c r="D104" s="88">
        <v>1556273</v>
      </c>
      <c r="G104" s="1"/>
      <c r="L104" s="1"/>
      <c r="M104" s="1"/>
    </row>
    <row r="105" spans="1:13" s="2" customFormat="1" x14ac:dyDescent="0.2">
      <c r="A105" s="87">
        <v>45119</v>
      </c>
      <c r="B105" s="120" t="s">
        <v>1052</v>
      </c>
      <c r="C105" s="75" t="s">
        <v>84</v>
      </c>
      <c r="D105" s="88">
        <v>2500000</v>
      </c>
      <c r="G105" s="1"/>
      <c r="L105" s="1"/>
      <c r="M105" s="1"/>
    </row>
    <row r="106" spans="1:13" s="2" customFormat="1" x14ac:dyDescent="0.2">
      <c r="A106" s="87">
        <v>45121</v>
      </c>
      <c r="B106" s="120" t="s">
        <v>1052</v>
      </c>
      <c r="C106" s="75" t="s">
        <v>1084</v>
      </c>
      <c r="D106" s="88">
        <v>5000000</v>
      </c>
      <c r="G106" s="1"/>
      <c r="L106" s="1"/>
      <c r="M106" s="1"/>
    </row>
    <row r="107" spans="1:13" s="2" customFormat="1" x14ac:dyDescent="0.2">
      <c r="A107" s="87">
        <v>45122</v>
      </c>
      <c r="B107" s="120" t="s">
        <v>1052</v>
      </c>
      <c r="C107" s="75" t="s">
        <v>270</v>
      </c>
      <c r="D107" s="88">
        <v>893235</v>
      </c>
      <c r="G107" s="1"/>
      <c r="L107" s="1"/>
      <c r="M107" s="1"/>
    </row>
    <row r="108" spans="1:13" s="2" customFormat="1" x14ac:dyDescent="0.2">
      <c r="A108" s="87">
        <v>45124</v>
      </c>
      <c r="B108" s="120" t="s">
        <v>1052</v>
      </c>
      <c r="C108" s="75" t="s">
        <v>1084</v>
      </c>
      <c r="D108" s="88">
        <v>4000000</v>
      </c>
      <c r="G108" s="1"/>
      <c r="L108" s="1"/>
      <c r="M108" s="1"/>
    </row>
    <row r="109" spans="1:13" s="2" customFormat="1" x14ac:dyDescent="0.2">
      <c r="A109" s="87">
        <v>45125</v>
      </c>
      <c r="B109" s="120" t="s">
        <v>1052</v>
      </c>
      <c r="C109" s="75" t="s">
        <v>85</v>
      </c>
      <c r="D109" s="88">
        <v>209650</v>
      </c>
      <c r="G109" s="1"/>
      <c r="L109" s="1"/>
      <c r="M109" s="1"/>
    </row>
    <row r="110" spans="1:13" s="2" customFormat="1" x14ac:dyDescent="0.2">
      <c r="A110" s="87">
        <v>45125</v>
      </c>
      <c r="B110" s="120" t="s">
        <v>1052</v>
      </c>
      <c r="C110" s="75" t="s">
        <v>270</v>
      </c>
      <c r="D110" s="88">
        <v>891686</v>
      </c>
      <c r="G110" s="1"/>
      <c r="L110" s="1"/>
      <c r="M110" s="1"/>
    </row>
    <row r="111" spans="1:13" s="2" customFormat="1" x14ac:dyDescent="0.2">
      <c r="A111" s="87">
        <v>45125</v>
      </c>
      <c r="B111" s="120" t="s">
        <v>1052</v>
      </c>
      <c r="C111" s="75" t="s">
        <v>85</v>
      </c>
      <c r="D111" s="88">
        <v>75953</v>
      </c>
      <c r="G111" s="1"/>
      <c r="L111" s="1"/>
      <c r="M111" s="1"/>
    </row>
    <row r="112" spans="1:13" s="2" customFormat="1" x14ac:dyDescent="0.2">
      <c r="A112" s="87">
        <v>45125</v>
      </c>
      <c r="B112" s="120" t="s">
        <v>1052</v>
      </c>
      <c r="C112" s="75" t="s">
        <v>767</v>
      </c>
      <c r="D112" s="88">
        <v>691994</v>
      </c>
      <c r="G112" s="1"/>
      <c r="L112" s="1"/>
      <c r="M112" s="1"/>
    </row>
    <row r="113" spans="1:13" s="2" customFormat="1" x14ac:dyDescent="0.2">
      <c r="A113" s="87">
        <v>45126</v>
      </c>
      <c r="B113" s="120" t="s">
        <v>1052</v>
      </c>
      <c r="C113" s="75" t="s">
        <v>271</v>
      </c>
      <c r="D113" s="88">
        <v>415838</v>
      </c>
      <c r="G113" s="1"/>
      <c r="L113" s="1"/>
      <c r="M113" s="1"/>
    </row>
    <row r="114" spans="1:13" s="2" customFormat="1" x14ac:dyDescent="0.2">
      <c r="A114" s="87">
        <v>45127</v>
      </c>
      <c r="B114" s="120" t="s">
        <v>1052</v>
      </c>
      <c r="C114" s="75" t="s">
        <v>606</v>
      </c>
      <c r="D114" s="88">
        <v>564973</v>
      </c>
      <c r="G114" s="1"/>
      <c r="L114" s="1"/>
      <c r="M114" s="1"/>
    </row>
    <row r="115" spans="1:13" s="2" customFormat="1" x14ac:dyDescent="0.2">
      <c r="A115" s="87"/>
      <c r="B115" s="74"/>
      <c r="C115" s="75"/>
      <c r="D115" s="51">
        <f>SUM(D75:D114)</f>
        <v>49669251.920000002</v>
      </c>
      <c r="F115" s="2" t="s">
        <v>396</v>
      </c>
      <c r="G115" s="1"/>
      <c r="L115" s="1"/>
      <c r="M115" s="1"/>
    </row>
    <row r="116" spans="1:13" s="2" customFormat="1" x14ac:dyDescent="0.2">
      <c r="A116" s="24"/>
      <c r="B116" s="1"/>
      <c r="C116" s="14"/>
      <c r="D116" s="56"/>
      <c r="E116" s="13"/>
      <c r="G116" s="1"/>
      <c r="L116" s="1"/>
      <c r="M116" s="1"/>
    </row>
    <row r="117" spans="1:13" s="2" customFormat="1" x14ac:dyDescent="0.2">
      <c r="A117" s="24"/>
      <c r="B117" s="1"/>
      <c r="C117" s="218" t="s">
        <v>77</v>
      </c>
      <c r="D117" s="219"/>
      <c r="E117" s="219"/>
      <c r="F117" s="220"/>
      <c r="G117" s="1"/>
      <c r="L117" s="1"/>
      <c r="M117" s="1"/>
    </row>
    <row r="118" spans="1:13" s="2" customFormat="1" x14ac:dyDescent="0.2">
      <c r="A118" s="24"/>
      <c r="B118" s="1"/>
      <c r="C118" s="50"/>
      <c r="D118" s="57" t="s">
        <v>78</v>
      </c>
      <c r="E118" s="58" t="s">
        <v>79</v>
      </c>
      <c r="F118" s="57" t="s">
        <v>72</v>
      </c>
      <c r="G118" s="1"/>
      <c r="I118" s="1"/>
      <c r="J118" s="1"/>
      <c r="K118" s="1"/>
      <c r="L118" s="1"/>
      <c r="M118" s="1"/>
    </row>
    <row r="119" spans="1:13" s="2" customFormat="1" x14ac:dyDescent="0.2">
      <c r="A119" s="24"/>
      <c r="B119" s="1"/>
      <c r="C119" s="59" t="str">
        <f>"01-07-2023 to "&amp;TEXT(A5-2,"dd-mm-yyyy")</f>
        <v>01-07-2023 to 18-07-2023</v>
      </c>
      <c r="D119" s="60">
        <v>3304.52</v>
      </c>
      <c r="E119" s="60">
        <v>160.51</v>
      </c>
      <c r="F119" s="61">
        <f>SUM(D119:E119)</f>
        <v>3465.0299999999997</v>
      </c>
      <c r="G119" s="1"/>
    </row>
    <row r="120" spans="1:13" s="2" customFormat="1" x14ac:dyDescent="0.2">
      <c r="A120" s="24"/>
      <c r="B120" s="1"/>
      <c r="C120" s="62" t="str">
        <f>TEXT(A5-1,"dd-mm-yyyy")</f>
        <v>19-07-2023</v>
      </c>
      <c r="D120" s="60">
        <v>165.12</v>
      </c>
      <c r="E120" s="60">
        <v>8.5299999999999994</v>
      </c>
      <c r="F120" s="61">
        <f>SUM(D120:E120)</f>
        <v>173.65</v>
      </c>
      <c r="G120" s="54"/>
      <c r="I120" s="1"/>
      <c r="J120" s="1"/>
      <c r="K120" s="1"/>
      <c r="L120" s="1"/>
      <c r="M120" s="1"/>
    </row>
    <row r="121" spans="1:13" s="2" customFormat="1" ht="13.5" thickBot="1" x14ac:dyDescent="0.25">
      <c r="A121" s="24"/>
      <c r="B121" s="1"/>
      <c r="C121" s="63" t="str">
        <f>"01-07-2023 to "&amp;TEXT(A5-1,"dd-mm-yyyy")</f>
        <v>01-07-2023 to 19-07-2023</v>
      </c>
      <c r="D121" s="64">
        <f>SUM(D119:D120)</f>
        <v>3469.64</v>
      </c>
      <c r="E121" s="64">
        <f>SUM(E119:E120)</f>
        <v>169.04</v>
      </c>
      <c r="F121" s="64">
        <f>SUM(F119:F120)</f>
        <v>3638.68</v>
      </c>
      <c r="G121" s="54"/>
      <c r="I121" s="1"/>
      <c r="J121" s="1"/>
      <c r="K121" s="1"/>
      <c r="L121" s="1"/>
      <c r="M121" s="1"/>
    </row>
    <row r="122" spans="1:13" s="2" customFormat="1" ht="13.5" thickTop="1" x14ac:dyDescent="0.2">
      <c r="A122" s="24"/>
      <c r="B122" s="1"/>
      <c r="C122" s="62"/>
      <c r="D122" s="65"/>
      <c r="E122" s="66"/>
      <c r="F122" s="67"/>
      <c r="G122" s="54"/>
      <c r="I122" s="1"/>
      <c r="J122" s="1"/>
      <c r="K122" s="1"/>
      <c r="L122" s="1"/>
      <c r="M122" s="1"/>
    </row>
    <row r="123" spans="1:13" s="2" customFormat="1" x14ac:dyDescent="0.2">
      <c r="A123" s="24"/>
      <c r="B123" s="1"/>
      <c r="C123" s="62" t="str">
        <f>"01-04-2023 to " &amp;C120</f>
        <v>01-04-2023 to 19-07-2023</v>
      </c>
      <c r="D123" s="68">
        <f>+D121+15505.53</f>
        <v>18975.170000000002</v>
      </c>
      <c r="E123" s="68">
        <f>+E121+1109.72</f>
        <v>1278.76</v>
      </c>
      <c r="F123" s="68">
        <f>+F121+16615.25</f>
        <v>20253.93</v>
      </c>
      <c r="G123" s="54"/>
      <c r="I123" s="1"/>
      <c r="J123" s="1"/>
      <c r="K123" s="1"/>
      <c r="L123" s="1"/>
      <c r="M123" s="1"/>
    </row>
    <row r="124" spans="1:13" x14ac:dyDescent="0.2">
      <c r="C124" s="52"/>
      <c r="D124" s="85"/>
      <c r="E124" s="53"/>
      <c r="F124" s="53"/>
      <c r="G124" s="54"/>
      <c r="H124" s="2" t="s">
        <v>396</v>
      </c>
    </row>
    <row r="125" spans="1:13" s="2" customFormat="1" x14ac:dyDescent="0.2">
      <c r="A125" s="24"/>
      <c r="B125" s="1"/>
      <c r="C125" s="52"/>
      <c r="D125" s="85"/>
      <c r="E125" s="53"/>
      <c r="F125" s="53"/>
      <c r="G125" s="54"/>
      <c r="H125" s="53"/>
    </row>
    <row r="126" spans="1:13" x14ac:dyDescent="0.2">
      <c r="C126" s="52"/>
      <c r="D126" s="85"/>
      <c r="E126" s="53"/>
      <c r="F126" s="53"/>
      <c r="G126" s="54"/>
      <c r="H126" s="53" t="s">
        <v>396</v>
      </c>
    </row>
    <row r="127" spans="1:13" x14ac:dyDescent="0.2">
      <c r="C127" s="52"/>
      <c r="D127" s="85"/>
      <c r="E127" s="53"/>
      <c r="F127" s="53"/>
      <c r="G127" s="54"/>
      <c r="H127" s="53" t="s">
        <v>396</v>
      </c>
      <c r="J127" s="42"/>
    </row>
    <row r="128" spans="1:13" x14ac:dyDescent="0.2">
      <c r="G128" s="54"/>
      <c r="H128" s="53"/>
      <c r="I128" s="101"/>
    </row>
    <row r="129" spans="7:8" x14ac:dyDescent="0.2">
      <c r="G129" s="54"/>
      <c r="H129" s="53"/>
    </row>
    <row r="130" spans="7:8" x14ac:dyDescent="0.2">
      <c r="G130" s="54"/>
      <c r="H130" s="53"/>
    </row>
    <row r="131" spans="7:8" x14ac:dyDescent="0.2">
      <c r="H131" s="53"/>
    </row>
  </sheetData>
  <mergeCells count="6">
    <mergeCell ref="C117:F117"/>
    <mergeCell ref="A1:G1"/>
    <mergeCell ref="A3:F3"/>
    <mergeCell ref="A9:F9"/>
    <mergeCell ref="A16:F16"/>
    <mergeCell ref="A73:D73"/>
  </mergeCells>
  <conditionalFormatting sqref="G70:G71">
    <cfRule type="cellIs" dxfId="405" priority="1" operator="lessThan">
      <formula>0</formula>
    </cfRule>
  </conditionalFormatting>
  <conditionalFormatting sqref="C18">
    <cfRule type="duplicateValues" dxfId="404" priority="2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800-000000000000}">
  <sheetPr codeName="Sheet384">
    <pageSetUpPr fitToPage="1"/>
  </sheetPr>
  <dimension ref="A1:N133"/>
  <sheetViews>
    <sheetView zoomScaleNormal="100" workbookViewId="0">
      <selection sqref="A1:G1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1239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45128</v>
      </c>
      <c r="B5" s="9" t="s">
        <v>6</v>
      </c>
      <c r="C5" s="10" t="s">
        <v>7</v>
      </c>
      <c r="D5" s="11"/>
      <c r="E5" s="12">
        <v>277691.7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277691.7</v>
      </c>
      <c r="F6" s="16">
        <f>SUM(F5:F5)</f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+E6-F6</f>
        <v>277691.7</v>
      </c>
      <c r="F7" s="22"/>
      <c r="G7" s="23"/>
      <c r="H7" s="112"/>
      <c r="I7" s="112"/>
      <c r="J7" s="13"/>
    </row>
    <row r="8" spans="1:10" ht="12.75" customHeight="1" x14ac:dyDescent="0.4">
      <c r="H8" s="112"/>
      <c r="I8" s="112"/>
    </row>
    <row r="9" spans="1:10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12"/>
    </row>
    <row r="10" spans="1:10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12"/>
    </row>
    <row r="11" spans="1:10" s="2" customFormat="1" ht="14.25" customHeight="1" x14ac:dyDescent="0.2">
      <c r="A11" s="127">
        <v>45128</v>
      </c>
      <c r="B11" s="9" t="s">
        <v>6</v>
      </c>
      <c r="C11" s="10" t="s">
        <v>7</v>
      </c>
      <c r="D11" s="11"/>
      <c r="F11" s="12">
        <v>23266390.469999999</v>
      </c>
      <c r="G11" s="1"/>
      <c r="H11" s="130" t="s">
        <v>396</v>
      </c>
      <c r="I11" s="130"/>
    </row>
    <row r="12" spans="1:10" s="2" customFormat="1" ht="14.25" customHeight="1" x14ac:dyDescent="0.2">
      <c r="A12" s="127">
        <v>45128</v>
      </c>
      <c r="B12" s="9" t="s">
        <v>6</v>
      </c>
      <c r="C12" s="10" t="s">
        <v>1242</v>
      </c>
      <c r="D12" s="11" t="s">
        <v>13</v>
      </c>
      <c r="E12" s="2">
        <v>6767644.2999999998</v>
      </c>
      <c r="F12" s="12"/>
      <c r="G12" s="1"/>
      <c r="H12" s="130"/>
      <c r="I12" s="130"/>
    </row>
    <row r="13" spans="1:10" s="2" customFormat="1" ht="14.25" customHeight="1" x14ac:dyDescent="0.2">
      <c r="A13" s="127">
        <v>45128</v>
      </c>
      <c r="B13" s="9" t="s">
        <v>11</v>
      </c>
      <c r="C13" s="10" t="s">
        <v>1137</v>
      </c>
      <c r="D13" s="11" t="s">
        <v>1243</v>
      </c>
      <c r="F13" s="12">
        <v>100938.17</v>
      </c>
      <c r="G13" s="1"/>
      <c r="H13" s="130"/>
      <c r="I13" s="130"/>
    </row>
    <row r="14" spans="1:10" s="2" customFormat="1" ht="14.25" customHeight="1" x14ac:dyDescent="0.2">
      <c r="A14" s="127">
        <v>45128</v>
      </c>
      <c r="B14" s="9" t="s">
        <v>11</v>
      </c>
      <c r="C14" s="10" t="s">
        <v>484</v>
      </c>
      <c r="D14" s="11" t="s">
        <v>1243</v>
      </c>
      <c r="F14" s="12">
        <v>4402</v>
      </c>
      <c r="G14" s="1"/>
      <c r="H14" s="130"/>
      <c r="I14" s="130"/>
    </row>
    <row r="15" spans="1:10" s="2" customFormat="1" ht="14.25" customHeight="1" x14ac:dyDescent="0.2">
      <c r="A15" s="127">
        <v>45128</v>
      </c>
      <c r="B15" s="9" t="s">
        <v>11</v>
      </c>
      <c r="C15" s="10" t="s">
        <v>1227</v>
      </c>
      <c r="D15" s="11" t="s">
        <v>1243</v>
      </c>
      <c r="F15" s="12">
        <v>1000000</v>
      </c>
      <c r="G15" s="1"/>
      <c r="H15" s="130"/>
      <c r="I15" s="130"/>
    </row>
    <row r="16" spans="1:10" s="2" customFormat="1" ht="12.75" customHeight="1" x14ac:dyDescent="0.4">
      <c r="D16" s="15" t="s">
        <v>8</v>
      </c>
      <c r="E16" s="16">
        <f>SUM(E12:E12)</f>
        <v>6767644.2999999998</v>
      </c>
      <c r="F16" s="16">
        <f>SUM(F11:F15)</f>
        <v>24371730.640000001</v>
      </c>
      <c r="G16" s="1"/>
      <c r="H16" s="112"/>
      <c r="I16" s="112"/>
    </row>
    <row r="17" spans="1:10" s="2" customFormat="1" ht="12.75" customHeight="1" x14ac:dyDescent="0.4">
      <c r="A17" s="17"/>
      <c r="B17" s="18"/>
      <c r="C17" s="96" t="s">
        <v>9</v>
      </c>
      <c r="D17" s="20"/>
      <c r="E17" s="21">
        <f>+F16-E16</f>
        <v>17604086.34</v>
      </c>
      <c r="G17" s="23"/>
      <c r="H17" s="112"/>
      <c r="I17" s="112"/>
      <c r="J17" s="13"/>
    </row>
    <row r="18" spans="1:10" s="2" customFormat="1" ht="12.75" customHeight="1" x14ac:dyDescent="0.4">
      <c r="A18" s="24"/>
      <c r="B18" s="1"/>
      <c r="C18" s="14"/>
      <c r="D18" s="25"/>
      <c r="G18" s="23"/>
      <c r="H18" s="112"/>
      <c r="I18" s="112"/>
      <c r="J18" s="13"/>
    </row>
    <row r="19" spans="1:10" s="2" customFormat="1" ht="21.75" customHeight="1" x14ac:dyDescent="0.4">
      <c r="A19" s="214" t="s">
        <v>10</v>
      </c>
      <c r="B19" s="214"/>
      <c r="C19" s="214"/>
      <c r="D19" s="214"/>
      <c r="E19" s="214"/>
      <c r="F19" s="214"/>
      <c r="G19" s="13"/>
      <c r="H19" s="112"/>
      <c r="I19" s="112"/>
      <c r="J19" s="13"/>
    </row>
    <row r="20" spans="1:10" s="2" customFormat="1" ht="12.75" customHeight="1" x14ac:dyDescent="0.4">
      <c r="A20" s="26" t="s">
        <v>1</v>
      </c>
      <c r="B20" s="27" t="s">
        <v>2</v>
      </c>
      <c r="C20" s="5"/>
      <c r="D20" s="6" t="s">
        <v>3</v>
      </c>
      <c r="E20" s="7" t="s">
        <v>4</v>
      </c>
      <c r="F20" s="7" t="s">
        <v>5</v>
      </c>
      <c r="G20" s="23"/>
      <c r="H20" s="112"/>
      <c r="I20" s="112"/>
      <c r="J20" s="13"/>
    </row>
    <row r="21" spans="1:10" s="2" customFormat="1" ht="12.75" customHeight="1" x14ac:dyDescent="0.2">
      <c r="A21" s="127">
        <v>45128</v>
      </c>
      <c r="B21" s="128" t="s">
        <v>11</v>
      </c>
      <c r="C21" s="29" t="s">
        <v>7</v>
      </c>
      <c r="D21" s="25"/>
      <c r="E21" s="31"/>
      <c r="F21" s="2">
        <v>257791320.53999993</v>
      </c>
      <c r="G21" s="30"/>
      <c r="I21" s="13"/>
      <c r="J21" s="13"/>
    </row>
    <row r="22" spans="1:10" s="70" customFormat="1" ht="12.75" customHeight="1" x14ac:dyDescent="0.2">
      <c r="A22" s="127">
        <v>45128</v>
      </c>
      <c r="B22" s="128" t="s">
        <v>6</v>
      </c>
      <c r="C22" s="10" t="s">
        <v>421</v>
      </c>
      <c r="D22" s="11" t="s">
        <v>13</v>
      </c>
      <c r="E22" s="2">
        <v>500000</v>
      </c>
      <c r="G22" s="30"/>
      <c r="I22" s="69"/>
      <c r="J22" s="69"/>
    </row>
    <row r="23" spans="1:10" s="70" customFormat="1" ht="12.75" customHeight="1" x14ac:dyDescent="0.2">
      <c r="A23" s="127">
        <v>45128</v>
      </c>
      <c r="B23" s="128" t="s">
        <v>6</v>
      </c>
      <c r="C23" s="10" t="s">
        <v>15</v>
      </c>
      <c r="D23" s="11" t="s">
        <v>13</v>
      </c>
      <c r="E23" s="2">
        <v>40593.609999999993</v>
      </c>
      <c r="G23" s="30"/>
      <c r="I23" s="69"/>
      <c r="J23" s="69"/>
    </row>
    <row r="24" spans="1:10" s="70" customFormat="1" ht="12.75" customHeight="1" x14ac:dyDescent="0.2">
      <c r="A24" s="127">
        <v>45128</v>
      </c>
      <c r="B24" s="128" t="s">
        <v>6</v>
      </c>
      <c r="C24" s="10" t="s">
        <v>760</v>
      </c>
      <c r="D24" s="11" t="s">
        <v>13</v>
      </c>
      <c r="E24" s="2">
        <v>144674</v>
      </c>
      <c r="G24" s="30"/>
      <c r="I24" s="69"/>
      <c r="J24" s="69"/>
    </row>
    <row r="25" spans="1:10" s="70" customFormat="1" ht="12.75" customHeight="1" x14ac:dyDescent="0.2">
      <c r="A25" s="127">
        <v>45128</v>
      </c>
      <c r="B25" s="128" t="s">
        <v>6</v>
      </c>
      <c r="C25" s="10" t="s">
        <v>764</v>
      </c>
      <c r="D25" s="11" t="s">
        <v>13</v>
      </c>
      <c r="E25" s="2">
        <v>222401.3</v>
      </c>
      <c r="G25" s="30"/>
      <c r="I25" s="69"/>
      <c r="J25" s="69"/>
    </row>
    <row r="26" spans="1:10" s="70" customFormat="1" ht="12.75" customHeight="1" x14ac:dyDescent="0.2">
      <c r="A26" s="127">
        <v>45128</v>
      </c>
      <c r="B26" s="128" t="s">
        <v>6</v>
      </c>
      <c r="C26" s="10" t="s">
        <v>765</v>
      </c>
      <c r="D26" s="11" t="s">
        <v>13</v>
      </c>
      <c r="E26" s="2">
        <v>566248.13</v>
      </c>
      <c r="G26" s="30"/>
      <c r="I26" s="69"/>
      <c r="J26" s="69"/>
    </row>
    <row r="27" spans="1:10" s="70" customFormat="1" ht="12.75" customHeight="1" x14ac:dyDescent="0.2">
      <c r="A27" s="127">
        <v>45128</v>
      </c>
      <c r="B27" s="128" t="s">
        <v>6</v>
      </c>
      <c r="C27" s="10" t="s">
        <v>311</v>
      </c>
      <c r="D27" s="11" t="s">
        <v>13</v>
      </c>
      <c r="E27" s="2">
        <v>8587</v>
      </c>
      <c r="G27" s="30"/>
      <c r="I27" s="69"/>
      <c r="J27" s="69"/>
    </row>
    <row r="28" spans="1:10" s="70" customFormat="1" ht="12.75" customHeight="1" x14ac:dyDescent="0.2">
      <c r="A28" s="127">
        <v>45128</v>
      </c>
      <c r="B28" s="128" t="s">
        <v>6</v>
      </c>
      <c r="C28" s="10" t="s">
        <v>1240</v>
      </c>
      <c r="D28" s="11" t="s">
        <v>13</v>
      </c>
      <c r="E28" s="2">
        <v>43838</v>
      </c>
      <c r="G28" s="30"/>
      <c r="I28" s="69"/>
      <c r="J28" s="69"/>
    </row>
    <row r="29" spans="1:10" s="70" customFormat="1" ht="12.75" customHeight="1" x14ac:dyDescent="0.2">
      <c r="A29" s="127">
        <v>45128</v>
      </c>
      <c r="B29" s="128" t="s">
        <v>6</v>
      </c>
      <c r="C29" s="10" t="s">
        <v>647</v>
      </c>
      <c r="D29" s="11" t="s">
        <v>13</v>
      </c>
      <c r="E29" s="2">
        <v>366873</v>
      </c>
      <c r="G29" s="30"/>
      <c r="I29" s="69"/>
      <c r="J29" s="69"/>
    </row>
    <row r="30" spans="1:10" s="70" customFormat="1" ht="12.75" customHeight="1" x14ac:dyDescent="0.2">
      <c r="A30" s="127">
        <v>45128</v>
      </c>
      <c r="B30" s="128" t="s">
        <v>6</v>
      </c>
      <c r="C30" s="10" t="s">
        <v>1241</v>
      </c>
      <c r="D30" s="11" t="s">
        <v>13</v>
      </c>
      <c r="E30" s="2">
        <v>125477</v>
      </c>
      <c r="G30" s="30"/>
      <c r="I30" s="69"/>
      <c r="J30" s="69"/>
    </row>
    <row r="31" spans="1:10" s="70" customFormat="1" ht="12.75" customHeight="1" x14ac:dyDescent="0.2">
      <c r="A31" s="127">
        <v>45128</v>
      </c>
      <c r="B31" s="128" t="s">
        <v>6</v>
      </c>
      <c r="C31" s="10" t="s">
        <v>220</v>
      </c>
      <c r="D31" s="11" t="s">
        <v>13</v>
      </c>
      <c r="E31" s="2">
        <v>264404</v>
      </c>
      <c r="G31" s="30"/>
      <c r="I31" s="69"/>
      <c r="J31" s="69"/>
    </row>
    <row r="32" spans="1:10" s="70" customFormat="1" ht="12.75" customHeight="1" x14ac:dyDescent="0.2">
      <c r="A32" s="127">
        <v>45128</v>
      </c>
      <c r="B32" s="128" t="s">
        <v>6</v>
      </c>
      <c r="C32" s="10" t="s">
        <v>177</v>
      </c>
      <c r="D32" s="11" t="s">
        <v>13</v>
      </c>
      <c r="E32" s="2">
        <v>1814025</v>
      </c>
      <c r="G32" s="30"/>
      <c r="I32" s="69"/>
      <c r="J32" s="69"/>
    </row>
    <row r="33" spans="1:13" s="70" customFormat="1" ht="12.75" customHeight="1" x14ac:dyDescent="0.2">
      <c r="A33" s="127">
        <v>45128</v>
      </c>
      <c r="B33" s="128" t="s">
        <v>6</v>
      </c>
      <c r="C33" s="10" t="s">
        <v>146</v>
      </c>
      <c r="D33" s="11" t="s">
        <v>13</v>
      </c>
      <c r="E33" s="2">
        <v>693237.76000000001</v>
      </c>
      <c r="G33" s="30"/>
      <c r="I33" s="69"/>
      <c r="J33" s="69"/>
    </row>
    <row r="34" spans="1:13" s="70" customFormat="1" ht="12.75" customHeight="1" x14ac:dyDescent="0.2">
      <c r="A34" s="127">
        <v>45128</v>
      </c>
      <c r="B34" s="128" t="s">
        <v>6</v>
      </c>
      <c r="C34" s="10" t="s">
        <v>202</v>
      </c>
      <c r="D34" s="11" t="s">
        <v>13</v>
      </c>
      <c r="E34" s="2">
        <v>160000</v>
      </c>
      <c r="G34" s="30"/>
      <c r="I34" s="69"/>
      <c r="J34" s="69"/>
    </row>
    <row r="35" spans="1:13" s="70" customFormat="1" ht="12.75" customHeight="1" x14ac:dyDescent="0.2">
      <c r="A35" s="127">
        <v>45128</v>
      </c>
      <c r="B35" s="128" t="s">
        <v>6</v>
      </c>
      <c r="C35" s="10" t="s">
        <v>14</v>
      </c>
      <c r="D35" s="11" t="s">
        <v>13</v>
      </c>
      <c r="E35" s="2">
        <v>19994</v>
      </c>
      <c r="G35" s="30"/>
      <c r="I35" s="69"/>
      <c r="J35" s="69"/>
    </row>
    <row r="36" spans="1:13" s="70" customFormat="1" ht="12.75" customHeight="1" x14ac:dyDescent="0.2">
      <c r="A36" s="127">
        <v>45128</v>
      </c>
      <c r="B36" s="128" t="s">
        <v>6</v>
      </c>
      <c r="C36" s="10" t="s">
        <v>320</v>
      </c>
      <c r="D36" s="11" t="s">
        <v>13</v>
      </c>
      <c r="E36" s="2">
        <v>12170</v>
      </c>
      <c r="G36" s="30"/>
      <c r="I36" s="69"/>
      <c r="J36" s="69"/>
    </row>
    <row r="37" spans="1:13" s="70" customFormat="1" ht="12.75" customHeight="1" x14ac:dyDescent="0.2">
      <c r="A37" s="127">
        <v>45128</v>
      </c>
      <c r="B37" s="128" t="s">
        <v>11</v>
      </c>
      <c r="C37" s="10" t="s">
        <v>34</v>
      </c>
      <c r="D37" s="125" t="s">
        <v>29</v>
      </c>
      <c r="E37" s="31"/>
      <c r="F37" s="70">
        <v>20000</v>
      </c>
      <c r="G37" s="30"/>
      <c r="I37" s="69"/>
      <c r="J37" s="69"/>
    </row>
    <row r="38" spans="1:13" s="70" customFormat="1" ht="12.75" customHeight="1" x14ac:dyDescent="0.2">
      <c r="A38" s="127">
        <v>45128</v>
      </c>
      <c r="B38" s="128" t="s">
        <v>11</v>
      </c>
      <c r="C38" s="10" t="s">
        <v>268</v>
      </c>
      <c r="D38" s="125" t="s">
        <v>29</v>
      </c>
      <c r="E38" s="31"/>
      <c r="F38" s="70">
        <v>215288</v>
      </c>
      <c r="G38" s="30"/>
      <c r="I38" s="69"/>
      <c r="J38" s="69"/>
    </row>
    <row r="39" spans="1:13" s="70" customFormat="1" ht="12.75" customHeight="1" x14ac:dyDescent="0.2">
      <c r="A39" s="127">
        <v>45128</v>
      </c>
      <c r="B39" s="128" t="s">
        <v>11</v>
      </c>
      <c r="C39" s="10" t="s">
        <v>1128</v>
      </c>
      <c r="D39" s="125" t="s">
        <v>29</v>
      </c>
      <c r="E39" s="31"/>
      <c r="F39" s="70">
        <v>72570</v>
      </c>
      <c r="G39" s="30"/>
      <c r="I39" s="69"/>
      <c r="J39" s="69"/>
    </row>
    <row r="40" spans="1:13" s="70" customFormat="1" ht="12.75" customHeight="1" x14ac:dyDescent="0.2">
      <c r="A40" s="127">
        <v>45128</v>
      </c>
      <c r="B40" s="128" t="s">
        <v>11</v>
      </c>
      <c r="C40" s="10" t="s">
        <v>57</v>
      </c>
      <c r="D40" s="125" t="s">
        <v>29</v>
      </c>
      <c r="E40" s="31"/>
      <c r="F40" s="70">
        <v>24000000</v>
      </c>
      <c r="G40" s="30"/>
      <c r="I40" s="69"/>
      <c r="J40" s="69"/>
    </row>
    <row r="41" spans="1:13" s="70" customFormat="1" ht="12.75" customHeight="1" x14ac:dyDescent="0.2">
      <c r="A41" s="127">
        <v>45128</v>
      </c>
      <c r="B41" s="128" t="s">
        <v>11</v>
      </c>
      <c r="C41" s="10" t="s">
        <v>63</v>
      </c>
      <c r="D41" s="125" t="s">
        <v>29</v>
      </c>
      <c r="E41" s="31"/>
      <c r="F41" s="70">
        <v>2100000</v>
      </c>
      <c r="G41" s="30"/>
      <c r="I41" s="69"/>
      <c r="J41" s="69"/>
    </row>
    <row r="42" spans="1:13" s="70" customFormat="1" ht="12.75" customHeight="1" x14ac:dyDescent="0.2">
      <c r="A42" s="127">
        <v>45128</v>
      </c>
      <c r="B42" s="128" t="s">
        <v>11</v>
      </c>
      <c r="C42" s="10" t="s">
        <v>719</v>
      </c>
      <c r="D42" s="125" t="s">
        <v>29</v>
      </c>
      <c r="E42" s="31"/>
      <c r="F42" s="70">
        <v>181770</v>
      </c>
      <c r="G42" s="30"/>
      <c r="I42" s="69"/>
      <c r="J42" s="69"/>
    </row>
    <row r="43" spans="1:13" s="70" customFormat="1" ht="12.75" customHeight="1" x14ac:dyDescent="0.2">
      <c r="A43" s="127">
        <v>45128</v>
      </c>
      <c r="B43" s="128" t="s">
        <v>11</v>
      </c>
      <c r="C43" s="10" t="s">
        <v>813</v>
      </c>
      <c r="D43" s="125" t="s">
        <v>29</v>
      </c>
      <c r="E43" s="31"/>
      <c r="F43" s="70">
        <v>51231</v>
      </c>
      <c r="G43" s="30"/>
      <c r="I43" s="69"/>
      <c r="J43" s="69"/>
    </row>
    <row r="44" spans="1:13" s="70" customFormat="1" ht="12.75" customHeight="1" x14ac:dyDescent="0.2">
      <c r="A44" s="127">
        <v>45128</v>
      </c>
      <c r="B44" s="128" t="s">
        <v>11</v>
      </c>
      <c r="C44" s="10" t="s">
        <v>32</v>
      </c>
      <c r="D44" s="125" t="s">
        <v>29</v>
      </c>
      <c r="E44" s="31"/>
      <c r="F44" s="70">
        <v>1075836</v>
      </c>
      <c r="G44" s="30"/>
      <c r="I44" s="69"/>
      <c r="J44" s="69"/>
    </row>
    <row r="45" spans="1:13" s="70" customFormat="1" ht="12.75" customHeight="1" x14ac:dyDescent="0.2">
      <c r="A45" s="127">
        <v>45128</v>
      </c>
      <c r="B45" s="128" t="s">
        <v>11</v>
      </c>
      <c r="C45" s="10" t="s">
        <v>642</v>
      </c>
      <c r="D45" s="125" t="s">
        <v>29</v>
      </c>
      <c r="E45" s="31"/>
      <c r="F45" s="70">
        <v>21210</v>
      </c>
      <c r="G45" s="30"/>
      <c r="I45" s="69"/>
      <c r="J45" s="69"/>
    </row>
    <row r="46" spans="1:13" s="70" customFormat="1" ht="12.75" customHeight="1" x14ac:dyDescent="0.2">
      <c r="A46" s="127">
        <v>45128</v>
      </c>
      <c r="B46" s="128" t="s">
        <v>11</v>
      </c>
      <c r="C46" s="10" t="s">
        <v>109</v>
      </c>
      <c r="D46" s="125" t="s">
        <v>29</v>
      </c>
      <c r="E46" s="31"/>
      <c r="F46" s="70">
        <v>1149511</v>
      </c>
      <c r="G46" s="30"/>
      <c r="I46" s="69"/>
      <c r="J46" s="69"/>
    </row>
    <row r="47" spans="1:13" s="2" customFormat="1" ht="12.75" customHeight="1" x14ac:dyDescent="0.2">
      <c r="A47" s="32"/>
      <c r="B47" s="33"/>
      <c r="C47" s="14"/>
      <c r="D47" s="34"/>
      <c r="E47" s="16">
        <f>SUM(E21:E46)</f>
        <v>4982522.8</v>
      </c>
      <c r="F47" s="16">
        <f>SUM(F21:F46)</f>
        <v>286678736.53999996</v>
      </c>
      <c r="G47" s="30"/>
      <c r="H47" s="1"/>
      <c r="I47" s="38">
        <v>281696213.74000001</v>
      </c>
      <c r="J47" s="2" t="s">
        <v>396</v>
      </c>
      <c r="K47" s="92">
        <f>E48-I47</f>
        <v>0</v>
      </c>
      <c r="L47" s="41"/>
      <c r="M47" s="42"/>
    </row>
    <row r="48" spans="1:13" s="2" customFormat="1" ht="12.75" customHeight="1" x14ac:dyDescent="0.2">
      <c r="A48" s="36"/>
      <c r="B48" s="28" t="s">
        <v>11</v>
      </c>
      <c r="C48" s="19" t="s">
        <v>65</v>
      </c>
      <c r="D48" s="37"/>
      <c r="E48" s="38">
        <f>F47-E47</f>
        <v>281696213.73999995</v>
      </c>
      <c r="F48" s="22"/>
      <c r="G48" s="1"/>
      <c r="H48" s="1"/>
      <c r="J48" s="1"/>
      <c r="K48" s="1"/>
      <c r="L48" s="1"/>
      <c r="M48" s="1"/>
    </row>
    <row r="49" spans="1:14" s="2" customFormat="1" ht="12.75" customHeight="1" x14ac:dyDescent="0.2">
      <c r="A49" s="36"/>
      <c r="B49" s="28" t="s">
        <v>66</v>
      </c>
      <c r="C49" s="43" t="s">
        <v>67</v>
      </c>
      <c r="D49" s="43"/>
      <c r="E49" s="12">
        <f>59416310-7500000</f>
        <v>51916310</v>
      </c>
      <c r="F49" s="22"/>
      <c r="G49" s="1"/>
      <c r="H49" s="40"/>
      <c r="I49" s="45">
        <v>3212.76</v>
      </c>
      <c r="J49" s="46"/>
      <c r="K49" s="46"/>
      <c r="L49" s="13"/>
      <c r="M49" s="69" t="s">
        <v>396</v>
      </c>
    </row>
    <row r="50" spans="1:14" s="2" customFormat="1" ht="12.75" customHeight="1" x14ac:dyDescent="0.25">
      <c r="A50" s="36"/>
      <c r="B50" s="28"/>
      <c r="C50" s="44" t="s">
        <v>68</v>
      </c>
      <c r="D50" s="43"/>
      <c r="E50" s="7">
        <f>E48+E49</f>
        <v>333612523.73999995</v>
      </c>
      <c r="F50" s="22"/>
      <c r="G50" s="1"/>
      <c r="H50" s="103" t="s">
        <v>69</v>
      </c>
      <c r="I50" s="45">
        <v>-22.01</v>
      </c>
      <c r="J50" s="46"/>
      <c r="K50" s="46"/>
      <c r="N50" s="1"/>
    </row>
    <row r="51" spans="1:14" s="2" customFormat="1" x14ac:dyDescent="0.2">
      <c r="A51" s="24"/>
      <c r="B51" s="1"/>
      <c r="C51" s="14"/>
      <c r="D51" s="25"/>
      <c r="E51" s="1"/>
      <c r="H51" s="35" t="s">
        <v>70</v>
      </c>
      <c r="I51" s="45">
        <v>0.19</v>
      </c>
      <c r="J51" s="46">
        <f>+I52-D54</f>
        <v>0</v>
      </c>
      <c r="M51" s="2" t="s">
        <v>396</v>
      </c>
      <c r="N51" s="1"/>
    </row>
    <row r="52" spans="1:14" x14ac:dyDescent="0.2">
      <c r="C52" s="56"/>
      <c r="D52" s="56"/>
      <c r="E52" s="104"/>
      <c r="I52" s="49">
        <f>SUM(I49:I51)</f>
        <v>3190.94</v>
      </c>
      <c r="J52" s="46"/>
      <c r="K52" s="46"/>
      <c r="L52" s="2"/>
      <c r="M52" s="2"/>
      <c r="N52" s="2"/>
    </row>
    <row r="53" spans="1:14" x14ac:dyDescent="0.2">
      <c r="C53" s="78" t="s">
        <v>575</v>
      </c>
      <c r="D53" s="48" t="s">
        <v>576</v>
      </c>
      <c r="E53" s="104"/>
      <c r="I53" s="2"/>
      <c r="J53" s="2"/>
      <c r="K53" s="2"/>
      <c r="L53" s="2"/>
      <c r="M53" s="2"/>
      <c r="N53" s="2"/>
    </row>
    <row r="54" spans="1:14" s="2" customFormat="1" x14ac:dyDescent="0.2">
      <c r="A54" s="24"/>
      <c r="B54" s="1"/>
      <c r="C54" s="47" t="s">
        <v>570</v>
      </c>
      <c r="D54" s="111">
        <v>3190.94</v>
      </c>
      <c r="E54" s="104"/>
      <c r="G54" s="1"/>
      <c r="H54" s="110" t="s">
        <v>581</v>
      </c>
      <c r="N54" s="2" t="s">
        <v>535</v>
      </c>
    </row>
    <row r="55" spans="1:14" s="2" customFormat="1" x14ac:dyDescent="0.2">
      <c r="A55" s="24"/>
      <c r="B55" s="1"/>
      <c r="C55" s="47" t="s">
        <v>931</v>
      </c>
      <c r="D55" s="111">
        <v>314.82</v>
      </c>
      <c r="E55" s="104"/>
      <c r="G55" s="1"/>
      <c r="H55" s="110" t="s">
        <v>580</v>
      </c>
    </row>
    <row r="56" spans="1:14" s="2" customFormat="1" x14ac:dyDescent="0.2">
      <c r="A56" s="24"/>
      <c r="B56" s="1"/>
      <c r="C56" s="47" t="s">
        <v>572</v>
      </c>
      <c r="D56" s="111">
        <f>+D117/100000</f>
        <v>610.18216919999998</v>
      </c>
      <c r="E56" s="104"/>
      <c r="G56" s="1"/>
      <c r="H56" s="90" t="s">
        <v>587</v>
      </c>
    </row>
    <row r="57" spans="1:14" s="2" customFormat="1" x14ac:dyDescent="0.2">
      <c r="A57" s="24"/>
      <c r="B57" s="1"/>
      <c r="C57" s="108" t="s">
        <v>578</v>
      </c>
      <c r="D57" s="48">
        <f>SUM(D54:D56)</f>
        <v>4115.9421692000005</v>
      </c>
      <c r="E57" s="104"/>
      <c r="G57" s="1"/>
    </row>
    <row r="58" spans="1:14" s="2" customFormat="1" x14ac:dyDescent="0.2">
      <c r="A58" s="24"/>
      <c r="B58" s="1"/>
      <c r="C58" s="47"/>
      <c r="D58" s="107"/>
      <c r="E58" s="104"/>
      <c r="G58" s="1"/>
    </row>
    <row r="59" spans="1:14" s="2" customFormat="1" x14ac:dyDescent="0.2">
      <c r="A59" s="24"/>
      <c r="B59" s="1"/>
      <c r="C59" s="47" t="s">
        <v>932</v>
      </c>
      <c r="D59" s="111">
        <v>152.72</v>
      </c>
      <c r="E59" s="104"/>
      <c r="G59" s="1"/>
      <c r="H59" s="110" t="s">
        <v>581</v>
      </c>
    </row>
    <row r="60" spans="1:14" s="2" customFormat="1" x14ac:dyDescent="0.2">
      <c r="A60" s="24"/>
      <c r="B60" s="1"/>
      <c r="C60" s="136" t="s">
        <v>1142</v>
      </c>
      <c r="D60" s="111">
        <f>274.99-55.45</f>
        <v>219.54000000000002</v>
      </c>
      <c r="E60" s="104"/>
      <c r="G60" s="1"/>
      <c r="H60" s="110" t="s">
        <v>581</v>
      </c>
      <c r="J60" s="114" t="s">
        <v>713</v>
      </c>
    </row>
    <row r="61" spans="1:14" s="2" customFormat="1" x14ac:dyDescent="0.2">
      <c r="A61" s="24"/>
      <c r="B61" s="1"/>
      <c r="C61" s="78" t="s">
        <v>579</v>
      </c>
      <c r="D61" s="109">
        <f>D59+D60</f>
        <v>372.26</v>
      </c>
      <c r="E61" s="104"/>
      <c r="G61" s="1"/>
      <c r="I61" s="113"/>
      <c r="J61" s="113" t="s">
        <v>709</v>
      </c>
      <c r="K61" s="113" t="s">
        <v>710</v>
      </c>
      <c r="L61" s="113" t="s">
        <v>711</v>
      </c>
      <c r="M61" s="113" t="s">
        <v>712</v>
      </c>
    </row>
    <row r="62" spans="1:14" s="2" customFormat="1" x14ac:dyDescent="0.2">
      <c r="A62" s="24"/>
      <c r="B62" s="1"/>
      <c r="C62" s="105"/>
      <c r="D62" s="106"/>
      <c r="E62" s="104"/>
      <c r="G62" s="1"/>
      <c r="I62" s="113" t="s">
        <v>706</v>
      </c>
      <c r="J62" s="115"/>
      <c r="K62" s="115">
        <v>968.99</v>
      </c>
      <c r="L62" s="115">
        <v>968.99</v>
      </c>
      <c r="M62" s="113">
        <f>+J62+L62-K62</f>
        <v>0</v>
      </c>
    </row>
    <row r="63" spans="1:14" s="2" customFormat="1" x14ac:dyDescent="0.2">
      <c r="A63" s="24"/>
      <c r="B63" s="1"/>
      <c r="C63" s="78" t="s">
        <v>577</v>
      </c>
      <c r="D63" s="109">
        <f>D54+D61</f>
        <v>3563.2</v>
      </c>
      <c r="E63" s="104"/>
      <c r="G63" s="1"/>
      <c r="I63" s="113" t="s">
        <v>707</v>
      </c>
      <c r="J63" s="115">
        <v>183.1</v>
      </c>
      <c r="K63" s="115">
        <v>2801.09</v>
      </c>
      <c r="L63" s="115">
        <v>3389.83</v>
      </c>
      <c r="M63" s="113">
        <f>+J63+L63-K63</f>
        <v>771.83999999999969</v>
      </c>
    </row>
    <row r="64" spans="1:14" s="2" customFormat="1" x14ac:dyDescent="0.2">
      <c r="A64" s="24"/>
      <c r="B64" s="1"/>
      <c r="C64" s="56"/>
      <c r="D64" s="56"/>
      <c r="E64" s="104"/>
      <c r="G64" s="1"/>
      <c r="I64" s="113" t="s">
        <v>708</v>
      </c>
      <c r="J64" s="115">
        <v>1371.02</v>
      </c>
      <c r="K64" s="115">
        <v>12984.64</v>
      </c>
      <c r="L64" s="115">
        <v>12679.44</v>
      </c>
      <c r="M64" s="113">
        <f>+J64+L64-K64</f>
        <v>1065.8200000000015</v>
      </c>
    </row>
    <row r="65" spans="1:13" s="2" customFormat="1" ht="38.25" x14ac:dyDescent="0.2">
      <c r="A65" s="24"/>
      <c r="B65" s="1"/>
      <c r="C65" s="79" t="str">
        <f>"Particulars ( 01-04-2021 to "&amp;TEXT(A5,"dd-mm-yyyy")&amp;" )"</f>
        <v>Particulars ( 01-04-2021 to 21-07-2023 )</v>
      </c>
      <c r="D65" s="80" t="s">
        <v>73</v>
      </c>
      <c r="E65" s="80" t="s">
        <v>74</v>
      </c>
      <c r="F65" s="81" t="s">
        <v>75</v>
      </c>
      <c r="G65" s="80" t="s">
        <v>76</v>
      </c>
      <c r="J65" s="118">
        <f>SUM(J62:J64)</f>
        <v>1554.12</v>
      </c>
      <c r="K65" s="118">
        <f>SUM(K62:K64)</f>
        <v>16754.72</v>
      </c>
      <c r="L65" s="118">
        <f>SUM(L62:L64)</f>
        <v>17038.260000000002</v>
      </c>
      <c r="M65" s="118">
        <f>SUM(M62:M64)</f>
        <v>1837.6600000000012</v>
      </c>
    </row>
    <row r="66" spans="1:13" s="2" customFormat="1" x14ac:dyDescent="0.2">
      <c r="A66" s="24"/>
      <c r="B66" s="1"/>
      <c r="C66" s="50" t="s">
        <v>444</v>
      </c>
      <c r="D66" s="55">
        <f>+L62+L63+J63</f>
        <v>4541.92</v>
      </c>
      <c r="E66" s="55">
        <f>+K62+K63</f>
        <v>3770.08</v>
      </c>
      <c r="F66" s="55">
        <f>+D66-E66</f>
        <v>771.84000000000015</v>
      </c>
      <c r="G66" s="55">
        <f>1500-F66</f>
        <v>728.15999999999985</v>
      </c>
      <c r="H66" s="2" t="s">
        <v>396</v>
      </c>
    </row>
    <row r="67" spans="1:13" s="2" customFormat="1" x14ac:dyDescent="0.2">
      <c r="A67" s="24"/>
      <c r="B67" s="1"/>
      <c r="C67" s="50" t="s">
        <v>71</v>
      </c>
      <c r="D67" s="55">
        <f>+J64+L64</f>
        <v>14050.460000000001</v>
      </c>
      <c r="E67" s="55">
        <f>+K64</f>
        <v>12984.64</v>
      </c>
      <c r="F67" s="55">
        <f>+D67-E67</f>
        <v>1065.8200000000015</v>
      </c>
      <c r="G67" s="55">
        <f>1500+700-F67</f>
        <v>1134.1799999999985</v>
      </c>
      <c r="H67" s="2" t="s">
        <v>396</v>
      </c>
    </row>
    <row r="68" spans="1:13" s="2" customFormat="1" x14ac:dyDescent="0.2">
      <c r="A68" s="24"/>
      <c r="B68" s="1"/>
      <c r="C68" s="14"/>
      <c r="D68" s="56"/>
      <c r="E68" s="13"/>
      <c r="G68" s="1"/>
    </row>
    <row r="69" spans="1:13" s="2" customFormat="1" x14ac:dyDescent="0.2">
      <c r="A69" s="215" t="s">
        <v>80</v>
      </c>
      <c r="B69" s="216"/>
      <c r="C69" s="216"/>
      <c r="D69" s="217"/>
      <c r="E69" s="69"/>
      <c r="F69" s="70"/>
      <c r="G69" s="1"/>
      <c r="H69" s="53"/>
    </row>
    <row r="70" spans="1:13" s="2" customFormat="1" x14ac:dyDescent="0.2">
      <c r="A70" s="71" t="s">
        <v>81</v>
      </c>
      <c r="B70" s="71"/>
      <c r="C70" s="72" t="s">
        <v>82</v>
      </c>
      <c r="D70" s="73" t="s">
        <v>83</v>
      </c>
      <c r="E70" s="69"/>
      <c r="F70" s="70"/>
      <c r="H70" s="53"/>
    </row>
    <row r="71" spans="1:13" s="2" customFormat="1" x14ac:dyDescent="0.2">
      <c r="A71" s="87">
        <v>45108</v>
      </c>
      <c r="B71" s="120" t="s">
        <v>1052</v>
      </c>
      <c r="C71" s="75" t="s">
        <v>84</v>
      </c>
      <c r="D71" s="88">
        <v>3000000</v>
      </c>
      <c r="G71" s="1"/>
      <c r="L71" s="1"/>
      <c r="M71" s="1"/>
    </row>
    <row r="72" spans="1:13" s="2" customFormat="1" x14ac:dyDescent="0.2">
      <c r="A72" s="87">
        <v>45108</v>
      </c>
      <c r="B72" s="120" t="s">
        <v>1052</v>
      </c>
      <c r="C72" s="75" t="s">
        <v>271</v>
      </c>
      <c r="D72" s="88">
        <v>2323148</v>
      </c>
      <c r="G72" s="1"/>
      <c r="L72" s="1"/>
      <c r="M72" s="1"/>
    </row>
    <row r="73" spans="1:13" s="2" customFormat="1" x14ac:dyDescent="0.2">
      <c r="A73" s="87">
        <v>45110</v>
      </c>
      <c r="B73" s="120" t="s">
        <v>1052</v>
      </c>
      <c r="C73" s="75" t="s">
        <v>85</v>
      </c>
      <c r="D73" s="88">
        <v>732575</v>
      </c>
      <c r="G73" s="1"/>
      <c r="L73" s="1"/>
      <c r="M73" s="1"/>
    </row>
    <row r="74" spans="1:13" s="2" customFormat="1" x14ac:dyDescent="0.2">
      <c r="A74" s="87">
        <v>45110</v>
      </c>
      <c r="B74" s="120" t="s">
        <v>1052</v>
      </c>
      <c r="C74" s="75" t="s">
        <v>86</v>
      </c>
      <c r="D74" s="88">
        <v>2676974</v>
      </c>
      <c r="G74" s="1"/>
      <c r="L74" s="1"/>
      <c r="M74" s="1"/>
    </row>
    <row r="75" spans="1:13" s="2" customFormat="1" x14ac:dyDescent="0.2">
      <c r="A75" s="87">
        <v>45110</v>
      </c>
      <c r="B75" s="120" t="s">
        <v>1052</v>
      </c>
      <c r="C75" s="75" t="s">
        <v>86</v>
      </c>
      <c r="D75" s="88">
        <v>1043475</v>
      </c>
      <c r="G75" s="1"/>
      <c r="L75" s="1"/>
      <c r="M75" s="1"/>
    </row>
    <row r="76" spans="1:13" s="2" customFormat="1" x14ac:dyDescent="0.2">
      <c r="A76" s="87">
        <v>45111</v>
      </c>
      <c r="B76" s="120" t="s">
        <v>1052</v>
      </c>
      <c r="C76" s="75" t="s">
        <v>270</v>
      </c>
      <c r="D76" s="88">
        <v>106093</v>
      </c>
      <c r="G76" s="1"/>
      <c r="L76" s="1"/>
      <c r="M76" s="1"/>
    </row>
    <row r="77" spans="1:13" s="2" customFormat="1" x14ac:dyDescent="0.2">
      <c r="A77" s="87">
        <v>45111</v>
      </c>
      <c r="B77" s="120" t="s">
        <v>1052</v>
      </c>
      <c r="C77" s="75" t="s">
        <v>270</v>
      </c>
      <c r="D77" s="88">
        <v>102393</v>
      </c>
      <c r="G77" s="1"/>
      <c r="L77" s="1"/>
      <c r="M77" s="1"/>
    </row>
    <row r="78" spans="1:13" s="2" customFormat="1" x14ac:dyDescent="0.2">
      <c r="A78" s="87">
        <v>45111</v>
      </c>
      <c r="B78" s="120" t="s">
        <v>1052</v>
      </c>
      <c r="C78" s="75" t="s">
        <v>270</v>
      </c>
      <c r="D78" s="88">
        <v>716336</v>
      </c>
      <c r="G78" s="1"/>
      <c r="L78" s="1"/>
      <c r="M78" s="1"/>
    </row>
    <row r="79" spans="1:13" s="2" customFormat="1" x14ac:dyDescent="0.2">
      <c r="A79" s="87">
        <v>45111</v>
      </c>
      <c r="B79" s="120" t="s">
        <v>1052</v>
      </c>
      <c r="C79" s="75" t="s">
        <v>270</v>
      </c>
      <c r="D79" s="88">
        <v>2504631</v>
      </c>
      <c r="G79" s="1"/>
      <c r="L79" s="1"/>
      <c r="M79" s="1"/>
    </row>
    <row r="80" spans="1:13" s="2" customFormat="1" x14ac:dyDescent="0.2">
      <c r="A80" s="87">
        <v>45111</v>
      </c>
      <c r="B80" s="120" t="s">
        <v>1052</v>
      </c>
      <c r="C80" s="75" t="s">
        <v>270</v>
      </c>
      <c r="D80" s="88">
        <v>141433.92000000001</v>
      </c>
      <c r="G80" s="1"/>
      <c r="L80" s="1"/>
      <c r="M80" s="1"/>
    </row>
    <row r="81" spans="1:13" s="2" customFormat="1" x14ac:dyDescent="0.2">
      <c r="A81" s="87">
        <v>45111</v>
      </c>
      <c r="B81" s="120" t="s">
        <v>1052</v>
      </c>
      <c r="C81" s="75" t="s">
        <v>271</v>
      </c>
      <c r="D81" s="88">
        <v>485258</v>
      </c>
      <c r="G81" s="1"/>
      <c r="L81" s="1"/>
      <c r="M81" s="1"/>
    </row>
    <row r="82" spans="1:13" s="2" customFormat="1" x14ac:dyDescent="0.2">
      <c r="A82" s="87">
        <v>45112</v>
      </c>
      <c r="B82" s="120" t="s">
        <v>1052</v>
      </c>
      <c r="C82" s="75" t="s">
        <v>85</v>
      </c>
      <c r="D82" s="88">
        <v>216478</v>
      </c>
      <c r="G82" s="1"/>
      <c r="L82" s="1"/>
      <c r="M82" s="1"/>
    </row>
    <row r="83" spans="1:13" s="2" customFormat="1" x14ac:dyDescent="0.2">
      <c r="A83" s="87">
        <v>45114</v>
      </c>
      <c r="B83" s="120" t="s">
        <v>1052</v>
      </c>
      <c r="C83" s="75" t="s">
        <v>270</v>
      </c>
      <c r="D83" s="88">
        <v>886333</v>
      </c>
      <c r="G83" s="1"/>
      <c r="L83" s="1"/>
      <c r="M83" s="1"/>
    </row>
    <row r="84" spans="1:13" s="2" customFormat="1" x14ac:dyDescent="0.2">
      <c r="A84" s="87">
        <v>45114</v>
      </c>
      <c r="B84" s="120" t="s">
        <v>1052</v>
      </c>
      <c r="C84" s="75" t="s">
        <v>270</v>
      </c>
      <c r="D84" s="88">
        <v>3119806</v>
      </c>
      <c r="G84" s="1"/>
      <c r="L84" s="1"/>
      <c r="M84" s="1"/>
    </row>
    <row r="85" spans="1:13" s="2" customFormat="1" x14ac:dyDescent="0.2">
      <c r="A85" s="87">
        <v>45114</v>
      </c>
      <c r="B85" s="120" t="s">
        <v>1052</v>
      </c>
      <c r="C85" s="75" t="s">
        <v>271</v>
      </c>
      <c r="D85" s="88">
        <v>151160</v>
      </c>
      <c r="G85" s="1"/>
      <c r="L85" s="1"/>
      <c r="M85" s="1"/>
    </row>
    <row r="86" spans="1:13" s="2" customFormat="1" x14ac:dyDescent="0.2">
      <c r="A86" s="87">
        <v>45114</v>
      </c>
      <c r="B86" s="120" t="s">
        <v>1052</v>
      </c>
      <c r="C86" s="75" t="s">
        <v>271</v>
      </c>
      <c r="D86" s="88">
        <v>285195</v>
      </c>
      <c r="G86" s="1"/>
      <c r="L86" s="1"/>
      <c r="M86" s="1"/>
    </row>
    <row r="87" spans="1:13" s="2" customFormat="1" x14ac:dyDescent="0.2">
      <c r="A87" s="87">
        <v>45114</v>
      </c>
      <c r="B87" s="120" t="s">
        <v>1052</v>
      </c>
      <c r="C87" s="75" t="s">
        <v>201</v>
      </c>
      <c r="D87" s="88">
        <v>128135</v>
      </c>
      <c r="G87" s="1"/>
      <c r="L87" s="1"/>
      <c r="M87" s="1"/>
    </row>
    <row r="88" spans="1:13" s="2" customFormat="1" x14ac:dyDescent="0.2">
      <c r="A88" s="87">
        <v>45114</v>
      </c>
      <c r="B88" s="120" t="s">
        <v>1052</v>
      </c>
      <c r="C88" s="75" t="s">
        <v>323</v>
      </c>
      <c r="D88" s="88">
        <v>2313089</v>
      </c>
      <c r="G88" s="1"/>
      <c r="L88" s="1"/>
      <c r="M88" s="1"/>
    </row>
    <row r="89" spans="1:13" s="2" customFormat="1" x14ac:dyDescent="0.2">
      <c r="A89" s="87">
        <v>45115</v>
      </c>
      <c r="B89" s="120" t="s">
        <v>1052</v>
      </c>
      <c r="C89" s="75" t="s">
        <v>767</v>
      </c>
      <c r="D89" s="88">
        <v>411035</v>
      </c>
      <c r="G89" s="1"/>
      <c r="L89" s="1"/>
      <c r="M89" s="1"/>
    </row>
    <row r="90" spans="1:13" s="2" customFormat="1" x14ac:dyDescent="0.2">
      <c r="A90" s="87">
        <v>45118</v>
      </c>
      <c r="B90" s="120" t="s">
        <v>1052</v>
      </c>
      <c r="C90" s="75" t="s">
        <v>270</v>
      </c>
      <c r="D90" s="88">
        <v>34696</v>
      </c>
      <c r="G90" s="1"/>
      <c r="L90" s="1"/>
      <c r="M90" s="1"/>
    </row>
    <row r="91" spans="1:13" s="2" customFormat="1" x14ac:dyDescent="0.2">
      <c r="A91" s="87">
        <v>45118</v>
      </c>
      <c r="B91" s="120" t="s">
        <v>1052</v>
      </c>
      <c r="C91" s="75" t="s">
        <v>270</v>
      </c>
      <c r="D91" s="88">
        <v>1128922</v>
      </c>
      <c r="G91" s="1"/>
      <c r="L91" s="1"/>
      <c r="M91" s="1"/>
    </row>
    <row r="92" spans="1:13" s="2" customFormat="1" x14ac:dyDescent="0.2">
      <c r="A92" s="87">
        <v>45118</v>
      </c>
      <c r="B92" s="120" t="s">
        <v>1052</v>
      </c>
      <c r="C92" s="75" t="s">
        <v>270</v>
      </c>
      <c r="D92" s="88">
        <v>2865343</v>
      </c>
      <c r="G92" s="1"/>
      <c r="L92" s="1"/>
      <c r="M92" s="1"/>
    </row>
    <row r="93" spans="1:13" s="2" customFormat="1" x14ac:dyDescent="0.2">
      <c r="A93" s="87">
        <v>45118</v>
      </c>
      <c r="B93" s="120" t="s">
        <v>1052</v>
      </c>
      <c r="C93" s="75" t="s">
        <v>270</v>
      </c>
      <c r="D93" s="88">
        <v>1090852</v>
      </c>
      <c r="G93" s="1"/>
      <c r="L93" s="1"/>
      <c r="M93" s="1"/>
    </row>
    <row r="94" spans="1:13" s="2" customFormat="1" x14ac:dyDescent="0.2">
      <c r="A94" s="87">
        <v>45118</v>
      </c>
      <c r="B94" s="120" t="s">
        <v>1052</v>
      </c>
      <c r="C94" s="75" t="s">
        <v>270</v>
      </c>
      <c r="D94" s="88">
        <v>359348</v>
      </c>
      <c r="G94" s="1"/>
      <c r="L94" s="1"/>
      <c r="M94" s="1"/>
    </row>
    <row r="95" spans="1:13" s="2" customFormat="1" x14ac:dyDescent="0.2">
      <c r="A95" s="87">
        <v>45118</v>
      </c>
      <c r="B95" s="120" t="s">
        <v>1052</v>
      </c>
      <c r="C95" s="75" t="s">
        <v>271</v>
      </c>
      <c r="D95" s="88">
        <v>323487</v>
      </c>
      <c r="G95" s="1"/>
      <c r="L95" s="1"/>
      <c r="M95" s="1"/>
    </row>
    <row r="96" spans="1:13" s="2" customFormat="1" x14ac:dyDescent="0.2">
      <c r="A96" s="87">
        <v>45118</v>
      </c>
      <c r="B96" s="120" t="s">
        <v>1052</v>
      </c>
      <c r="C96" s="75" t="s">
        <v>271</v>
      </c>
      <c r="D96" s="88">
        <v>44394</v>
      </c>
      <c r="G96" s="1"/>
      <c r="L96" s="1"/>
      <c r="M96" s="1"/>
    </row>
    <row r="97" spans="1:13" s="2" customFormat="1" x14ac:dyDescent="0.2">
      <c r="A97" s="87">
        <v>45118</v>
      </c>
      <c r="B97" s="120" t="s">
        <v>1052</v>
      </c>
      <c r="C97" s="75" t="s">
        <v>271</v>
      </c>
      <c r="D97" s="88">
        <v>2035052</v>
      </c>
      <c r="G97" s="1"/>
      <c r="L97" s="1"/>
      <c r="M97" s="1"/>
    </row>
    <row r="98" spans="1:13" s="2" customFormat="1" x14ac:dyDescent="0.2">
      <c r="A98" s="87">
        <v>45119</v>
      </c>
      <c r="B98" s="120" t="s">
        <v>1052</v>
      </c>
      <c r="C98" s="75" t="s">
        <v>85</v>
      </c>
      <c r="D98" s="88">
        <v>569516</v>
      </c>
      <c r="G98" s="1"/>
      <c r="L98" s="1"/>
      <c r="M98" s="1"/>
    </row>
    <row r="99" spans="1:13" s="2" customFormat="1" x14ac:dyDescent="0.2">
      <c r="A99" s="87">
        <v>45119</v>
      </c>
      <c r="B99" s="120" t="s">
        <v>1052</v>
      </c>
      <c r="C99" s="75" t="s">
        <v>271</v>
      </c>
      <c r="D99" s="88">
        <v>3074492</v>
      </c>
      <c r="G99" s="1"/>
      <c r="L99" s="1"/>
      <c r="M99" s="1"/>
    </row>
    <row r="100" spans="1:13" s="2" customFormat="1" x14ac:dyDescent="0.2">
      <c r="A100" s="87">
        <v>45119</v>
      </c>
      <c r="B100" s="120" t="s">
        <v>1052</v>
      </c>
      <c r="C100" s="75" t="s">
        <v>270</v>
      </c>
      <c r="D100" s="88">
        <v>1556273</v>
      </c>
      <c r="G100" s="1"/>
      <c r="L100" s="1"/>
      <c r="M100" s="1"/>
    </row>
    <row r="101" spans="1:13" s="2" customFormat="1" x14ac:dyDescent="0.2">
      <c r="A101" s="87">
        <v>45119</v>
      </c>
      <c r="B101" s="120" t="s">
        <v>1052</v>
      </c>
      <c r="C101" s="75" t="s">
        <v>84</v>
      </c>
      <c r="D101" s="88">
        <v>2500000</v>
      </c>
      <c r="G101" s="1"/>
      <c r="L101" s="1"/>
      <c r="M101" s="1"/>
    </row>
    <row r="102" spans="1:13" s="2" customFormat="1" x14ac:dyDescent="0.2">
      <c r="A102" s="87">
        <v>45121</v>
      </c>
      <c r="B102" s="120" t="s">
        <v>1052</v>
      </c>
      <c r="C102" s="75" t="s">
        <v>1084</v>
      </c>
      <c r="D102" s="88">
        <v>5000000</v>
      </c>
      <c r="G102" s="1"/>
      <c r="L102" s="1"/>
      <c r="M102" s="1"/>
    </row>
    <row r="103" spans="1:13" s="2" customFormat="1" x14ac:dyDescent="0.2">
      <c r="A103" s="87">
        <v>45122</v>
      </c>
      <c r="B103" s="120" t="s">
        <v>1052</v>
      </c>
      <c r="C103" s="75" t="s">
        <v>270</v>
      </c>
      <c r="D103" s="88">
        <v>893235</v>
      </c>
      <c r="G103" s="1"/>
      <c r="L103" s="1"/>
      <c r="M103" s="1"/>
    </row>
    <row r="104" spans="1:13" s="2" customFormat="1" x14ac:dyDescent="0.2">
      <c r="A104" s="87">
        <v>45124</v>
      </c>
      <c r="B104" s="120" t="s">
        <v>1052</v>
      </c>
      <c r="C104" s="75" t="s">
        <v>1084</v>
      </c>
      <c r="D104" s="88">
        <v>4000000</v>
      </c>
      <c r="G104" s="1"/>
      <c r="L104" s="1"/>
      <c r="M104" s="1"/>
    </row>
    <row r="105" spans="1:13" s="2" customFormat="1" x14ac:dyDescent="0.2">
      <c r="A105" s="87">
        <v>45125</v>
      </c>
      <c r="B105" s="120" t="s">
        <v>1052</v>
      </c>
      <c r="C105" s="75" t="s">
        <v>85</v>
      </c>
      <c r="D105" s="88">
        <v>209650</v>
      </c>
      <c r="G105" s="1"/>
      <c r="L105" s="1"/>
      <c r="M105" s="1"/>
    </row>
    <row r="106" spans="1:13" s="2" customFormat="1" x14ac:dyDescent="0.2">
      <c r="A106" s="87">
        <v>45125</v>
      </c>
      <c r="B106" s="120" t="s">
        <v>1052</v>
      </c>
      <c r="C106" s="75" t="s">
        <v>270</v>
      </c>
      <c r="D106" s="88">
        <v>891686</v>
      </c>
      <c r="G106" s="1"/>
      <c r="L106" s="1"/>
      <c r="M106" s="1"/>
    </row>
    <row r="107" spans="1:13" s="2" customFormat="1" x14ac:dyDescent="0.2">
      <c r="A107" s="87">
        <v>45125</v>
      </c>
      <c r="B107" s="120" t="s">
        <v>1052</v>
      </c>
      <c r="C107" s="75" t="s">
        <v>85</v>
      </c>
      <c r="D107" s="88">
        <v>75953</v>
      </c>
      <c r="G107" s="1"/>
      <c r="L107" s="1"/>
      <c r="M107" s="1"/>
    </row>
    <row r="108" spans="1:13" s="2" customFormat="1" x14ac:dyDescent="0.2">
      <c r="A108" s="87">
        <v>45125</v>
      </c>
      <c r="B108" s="120" t="s">
        <v>1052</v>
      </c>
      <c r="C108" s="75" t="s">
        <v>767</v>
      </c>
      <c r="D108" s="88">
        <v>691994</v>
      </c>
      <c r="G108" s="1"/>
      <c r="L108" s="1"/>
      <c r="M108" s="1"/>
    </row>
    <row r="109" spans="1:13" s="2" customFormat="1" x14ac:dyDescent="0.2">
      <c r="A109" s="87">
        <v>45126</v>
      </c>
      <c r="B109" s="120" t="s">
        <v>1052</v>
      </c>
      <c r="C109" s="75" t="s">
        <v>271</v>
      </c>
      <c r="D109" s="88">
        <v>415838</v>
      </c>
      <c r="G109" s="1"/>
      <c r="L109" s="1"/>
      <c r="M109" s="1"/>
    </row>
    <row r="110" spans="1:13" s="2" customFormat="1" x14ac:dyDescent="0.2">
      <c r="A110" s="87">
        <v>45127</v>
      </c>
      <c r="B110" s="120" t="s">
        <v>1052</v>
      </c>
      <c r="C110" s="75" t="s">
        <v>606</v>
      </c>
      <c r="D110" s="88">
        <v>564973</v>
      </c>
      <c r="G110" s="1"/>
      <c r="L110" s="1"/>
      <c r="M110" s="1"/>
    </row>
    <row r="111" spans="1:13" s="2" customFormat="1" x14ac:dyDescent="0.2">
      <c r="A111" s="87">
        <v>45127</v>
      </c>
      <c r="B111" s="120" t="s">
        <v>1052</v>
      </c>
      <c r="C111" s="75" t="s">
        <v>84</v>
      </c>
      <c r="D111" s="88">
        <v>2000000</v>
      </c>
      <c r="G111" s="1"/>
      <c r="L111" s="1"/>
      <c r="M111" s="1"/>
    </row>
    <row r="112" spans="1:13" s="2" customFormat="1" x14ac:dyDescent="0.2">
      <c r="A112" s="87">
        <v>45127</v>
      </c>
      <c r="B112" s="120" t="s">
        <v>1052</v>
      </c>
      <c r="C112" s="75" t="s">
        <v>86</v>
      </c>
      <c r="D112" s="88">
        <v>906281</v>
      </c>
      <c r="G112" s="1"/>
      <c r="L112" s="1"/>
      <c r="M112" s="1"/>
    </row>
    <row r="113" spans="1:13" s="2" customFormat="1" x14ac:dyDescent="0.2">
      <c r="A113" s="87">
        <v>45127</v>
      </c>
      <c r="B113" s="120" t="s">
        <v>1052</v>
      </c>
      <c r="C113" s="75" t="s">
        <v>86</v>
      </c>
      <c r="D113" s="88">
        <v>12614</v>
      </c>
      <c r="G113" s="1"/>
      <c r="L113" s="1"/>
      <c r="M113" s="1"/>
    </row>
    <row r="114" spans="1:13" s="2" customFormat="1" x14ac:dyDescent="0.2">
      <c r="A114" s="87">
        <v>45127</v>
      </c>
      <c r="B114" s="120" t="s">
        <v>1052</v>
      </c>
      <c r="C114" s="75" t="s">
        <v>88</v>
      </c>
      <c r="D114" s="88">
        <v>903686</v>
      </c>
      <c r="G114" s="1"/>
      <c r="L114" s="1"/>
      <c r="M114" s="1"/>
    </row>
    <row r="115" spans="1:13" s="2" customFormat="1" x14ac:dyDescent="0.2">
      <c r="A115" s="87">
        <v>45127</v>
      </c>
      <c r="B115" s="120" t="s">
        <v>1052</v>
      </c>
      <c r="C115" s="75" t="s">
        <v>86</v>
      </c>
      <c r="D115" s="88">
        <v>2526490</v>
      </c>
      <c r="G115" s="1"/>
      <c r="L115" s="1"/>
      <c r="M115" s="1"/>
    </row>
    <row r="116" spans="1:13" s="2" customFormat="1" x14ac:dyDescent="0.2">
      <c r="A116" s="87">
        <v>45127</v>
      </c>
      <c r="B116" s="120" t="s">
        <v>1052</v>
      </c>
      <c r="C116" s="75" t="s">
        <v>201</v>
      </c>
      <c r="D116" s="88">
        <v>4999894</v>
      </c>
      <c r="G116" s="1"/>
      <c r="L116" s="1"/>
      <c r="M116" s="1"/>
    </row>
    <row r="117" spans="1:13" s="2" customFormat="1" x14ac:dyDescent="0.2">
      <c r="A117" s="87"/>
      <c r="B117" s="74"/>
      <c r="C117" s="75"/>
      <c r="D117" s="51">
        <f>SUM(D71:D116)</f>
        <v>61018216.920000002</v>
      </c>
      <c r="F117" s="2" t="s">
        <v>396</v>
      </c>
      <c r="G117" s="1"/>
      <c r="L117" s="1"/>
      <c r="M117" s="1"/>
    </row>
    <row r="118" spans="1:13" s="2" customFormat="1" x14ac:dyDescent="0.2">
      <c r="A118" s="24"/>
      <c r="B118" s="1"/>
      <c r="C118" s="14"/>
      <c r="D118" s="56"/>
      <c r="E118" s="13"/>
      <c r="G118" s="1"/>
      <c r="L118" s="1"/>
      <c r="M118" s="1"/>
    </row>
    <row r="119" spans="1:13" s="2" customFormat="1" x14ac:dyDescent="0.2">
      <c r="A119" s="24"/>
      <c r="B119" s="1"/>
      <c r="C119" s="218" t="s">
        <v>77</v>
      </c>
      <c r="D119" s="219"/>
      <c r="E119" s="219"/>
      <c r="F119" s="220"/>
      <c r="G119" s="1"/>
      <c r="L119" s="1"/>
      <c r="M119" s="1"/>
    </row>
    <row r="120" spans="1:13" s="2" customFormat="1" x14ac:dyDescent="0.2">
      <c r="A120" s="24"/>
      <c r="B120" s="1"/>
      <c r="C120" s="50"/>
      <c r="D120" s="57" t="s">
        <v>78</v>
      </c>
      <c r="E120" s="58" t="s">
        <v>79</v>
      </c>
      <c r="F120" s="57" t="s">
        <v>72</v>
      </c>
      <c r="G120" s="1"/>
      <c r="I120" s="1"/>
      <c r="J120" s="1"/>
      <c r="K120" s="1"/>
      <c r="L120" s="1"/>
      <c r="M120" s="1"/>
    </row>
    <row r="121" spans="1:13" s="2" customFormat="1" x14ac:dyDescent="0.2">
      <c r="A121" s="24"/>
      <c r="B121" s="1"/>
      <c r="C121" s="59" t="str">
        <f>"01-07-2023 to "&amp;TEXT(A5-2,"dd-mm-yyyy")</f>
        <v>01-07-2023 to 19-07-2023</v>
      </c>
      <c r="D121" s="60">
        <v>3476.6</v>
      </c>
      <c r="E121" s="60">
        <v>169.04</v>
      </c>
      <c r="F121" s="61">
        <f>SUM(D121:E121)</f>
        <v>3645.64</v>
      </c>
      <c r="G121" s="1"/>
    </row>
    <row r="122" spans="1:13" s="2" customFormat="1" x14ac:dyDescent="0.2">
      <c r="A122" s="24"/>
      <c r="B122" s="1"/>
      <c r="C122" s="62" t="str">
        <f>TEXT(A5-1,"dd-mm-yyyy")</f>
        <v>20-07-2023</v>
      </c>
      <c r="D122" s="60">
        <v>102</v>
      </c>
      <c r="E122" s="60">
        <v>8.98</v>
      </c>
      <c r="F122" s="61">
        <f>SUM(D122:E122)</f>
        <v>110.98</v>
      </c>
      <c r="G122" s="54"/>
      <c r="I122" s="1"/>
      <c r="J122" s="1"/>
      <c r="K122" s="1"/>
      <c r="L122" s="1"/>
      <c r="M122" s="1"/>
    </row>
    <row r="123" spans="1:13" s="2" customFormat="1" ht="13.5" thickBot="1" x14ac:dyDescent="0.25">
      <c r="A123" s="24"/>
      <c r="B123" s="1"/>
      <c r="C123" s="63" t="str">
        <f>"01-07-2023 to "&amp;TEXT(A5-1,"dd-mm-yyyy")</f>
        <v>01-07-2023 to 20-07-2023</v>
      </c>
      <c r="D123" s="64">
        <f>SUM(D121:D122)</f>
        <v>3578.6</v>
      </c>
      <c r="E123" s="64">
        <f>SUM(E121:E122)</f>
        <v>178.01999999999998</v>
      </c>
      <c r="F123" s="64">
        <f>SUM(F121:F122)</f>
        <v>3756.62</v>
      </c>
      <c r="G123" s="54"/>
      <c r="I123" s="1"/>
      <c r="J123" s="1"/>
      <c r="K123" s="1"/>
      <c r="L123" s="1"/>
      <c r="M123" s="1"/>
    </row>
    <row r="124" spans="1:13" s="2" customFormat="1" ht="13.5" thickTop="1" x14ac:dyDescent="0.2">
      <c r="A124" s="24"/>
      <c r="B124" s="1"/>
      <c r="C124" s="62"/>
      <c r="D124" s="65"/>
      <c r="E124" s="66"/>
      <c r="F124" s="67"/>
      <c r="G124" s="54"/>
      <c r="I124" s="1"/>
      <c r="J124" s="1"/>
      <c r="K124" s="1"/>
      <c r="L124" s="1"/>
      <c r="M124" s="1"/>
    </row>
    <row r="125" spans="1:13" s="2" customFormat="1" x14ac:dyDescent="0.2">
      <c r="A125" s="24"/>
      <c r="B125" s="1"/>
      <c r="C125" s="62" t="str">
        <f>"01-04-2023 to " &amp;C122</f>
        <v>01-04-2023 to 20-07-2023</v>
      </c>
      <c r="D125" s="68">
        <f>+D123+15505.53</f>
        <v>19084.13</v>
      </c>
      <c r="E125" s="68">
        <f>+E123+1109.72</f>
        <v>1287.74</v>
      </c>
      <c r="F125" s="68">
        <f>+F123+16615.25</f>
        <v>20371.87</v>
      </c>
      <c r="G125" s="54"/>
      <c r="I125" s="1"/>
      <c r="J125" s="1"/>
      <c r="K125" s="1"/>
      <c r="L125" s="1"/>
      <c r="M125" s="1"/>
    </row>
    <row r="126" spans="1:13" x14ac:dyDescent="0.2">
      <c r="C126" s="52"/>
      <c r="D126" s="85"/>
      <c r="E126" s="53"/>
      <c r="F126" s="53"/>
      <c r="G126" s="54"/>
      <c r="H126" s="2" t="s">
        <v>396</v>
      </c>
    </row>
    <row r="127" spans="1:13" s="2" customFormat="1" x14ac:dyDescent="0.2">
      <c r="A127" s="24"/>
      <c r="B127" s="1"/>
      <c r="C127" s="52"/>
      <c r="D127" s="85"/>
      <c r="E127" s="53"/>
      <c r="F127" s="53"/>
      <c r="G127" s="54"/>
      <c r="H127" s="53"/>
    </row>
    <row r="128" spans="1:13" x14ac:dyDescent="0.2">
      <c r="C128" s="52"/>
      <c r="D128" s="85"/>
      <c r="E128" s="53"/>
      <c r="F128" s="53"/>
      <c r="G128" s="54"/>
      <c r="H128" s="53" t="s">
        <v>396</v>
      </c>
    </row>
    <row r="129" spans="3:10" x14ac:dyDescent="0.2">
      <c r="C129" s="52"/>
      <c r="D129" s="85"/>
      <c r="E129" s="53"/>
      <c r="F129" s="53"/>
      <c r="G129" s="54"/>
      <c r="H129" s="53" t="s">
        <v>396</v>
      </c>
      <c r="J129" s="42"/>
    </row>
    <row r="130" spans="3:10" x14ac:dyDescent="0.2">
      <c r="G130" s="54"/>
      <c r="H130" s="53"/>
      <c r="I130" s="101"/>
    </row>
    <row r="131" spans="3:10" x14ac:dyDescent="0.2">
      <c r="G131" s="54"/>
      <c r="H131" s="53"/>
    </row>
    <row r="132" spans="3:10" x14ac:dyDescent="0.2">
      <c r="G132" s="54"/>
      <c r="H132" s="53"/>
    </row>
    <row r="133" spans="3:10" x14ac:dyDescent="0.2">
      <c r="H133" s="53"/>
    </row>
  </sheetData>
  <mergeCells count="6">
    <mergeCell ref="C119:F119"/>
    <mergeCell ref="A1:G1"/>
    <mergeCell ref="A3:F3"/>
    <mergeCell ref="A9:F9"/>
    <mergeCell ref="A19:F19"/>
    <mergeCell ref="A69:D69"/>
  </mergeCells>
  <conditionalFormatting sqref="G66:G67">
    <cfRule type="cellIs" dxfId="403" priority="1" operator="lessThan">
      <formula>0</formula>
    </cfRule>
  </conditionalFormatting>
  <conditionalFormatting sqref="C21">
    <cfRule type="duplicateValues" dxfId="402" priority="2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900-000000000000}">
  <sheetPr codeName="Sheet385">
    <pageSetUpPr fitToPage="1"/>
  </sheetPr>
  <dimension ref="A1:N121"/>
  <sheetViews>
    <sheetView zoomScaleNormal="100" workbookViewId="0">
      <selection sqref="A1:G1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1244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45129</v>
      </c>
      <c r="B5" s="9" t="s">
        <v>6</v>
      </c>
      <c r="C5" s="10" t="s">
        <v>7</v>
      </c>
      <c r="D5" s="11"/>
      <c r="E5" s="12">
        <v>277691.7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277691.7</v>
      </c>
      <c r="F6" s="16">
        <f>SUM(F5:F5)</f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+E6-F6</f>
        <v>277691.7</v>
      </c>
      <c r="F7" s="22"/>
      <c r="G7" s="23"/>
      <c r="H7" s="112"/>
      <c r="I7" s="112"/>
      <c r="J7" s="13"/>
    </row>
    <row r="8" spans="1:10" ht="12.75" customHeight="1" x14ac:dyDescent="0.4">
      <c r="H8" s="112"/>
      <c r="I8" s="112"/>
    </row>
    <row r="9" spans="1:10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12"/>
    </row>
    <row r="10" spans="1:10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12"/>
    </row>
    <row r="11" spans="1:10" s="2" customFormat="1" ht="14.25" customHeight="1" x14ac:dyDescent="0.2">
      <c r="A11" s="127">
        <v>45129</v>
      </c>
      <c r="B11" s="9" t="s">
        <v>6</v>
      </c>
      <c r="C11" s="10" t="s">
        <v>7</v>
      </c>
      <c r="D11" s="11"/>
      <c r="F11" s="12">
        <v>17604086.34</v>
      </c>
      <c r="G11" s="1"/>
      <c r="H11" s="130" t="s">
        <v>396</v>
      </c>
      <c r="I11" s="130"/>
    </row>
    <row r="12" spans="1:10" s="2" customFormat="1" ht="14.25" customHeight="1" x14ac:dyDescent="0.2">
      <c r="A12" s="127">
        <v>45129</v>
      </c>
      <c r="B12" s="9" t="s">
        <v>11</v>
      </c>
      <c r="C12" s="10" t="s">
        <v>1137</v>
      </c>
      <c r="D12" s="11" t="s">
        <v>1243</v>
      </c>
      <c r="F12" s="12">
        <v>29500</v>
      </c>
      <c r="G12" s="1"/>
      <c r="H12" s="130"/>
      <c r="I12" s="130"/>
    </row>
    <row r="13" spans="1:10" s="2" customFormat="1" ht="12.75" customHeight="1" x14ac:dyDescent="0.4">
      <c r="D13" s="15" t="s">
        <v>8</v>
      </c>
      <c r="E13" s="16">
        <f>SUM(E12)</f>
        <v>0</v>
      </c>
      <c r="F13" s="16">
        <f>SUM(F11:F12)</f>
        <v>17633586.34</v>
      </c>
      <c r="G13" s="1"/>
      <c r="H13" s="112"/>
      <c r="I13" s="112"/>
    </row>
    <row r="14" spans="1:10" s="2" customFormat="1" ht="12.75" customHeight="1" x14ac:dyDescent="0.4">
      <c r="A14" s="17"/>
      <c r="B14" s="18"/>
      <c r="C14" s="96" t="s">
        <v>9</v>
      </c>
      <c r="D14" s="20"/>
      <c r="E14" s="21">
        <f>+F13-E13</f>
        <v>17633586.34</v>
      </c>
      <c r="G14" s="23"/>
      <c r="H14" s="112"/>
      <c r="I14" s="112"/>
      <c r="J14" s="13"/>
    </row>
    <row r="15" spans="1:10" s="2" customFormat="1" ht="12.75" customHeight="1" x14ac:dyDescent="0.4">
      <c r="A15" s="24"/>
      <c r="B15" s="1"/>
      <c r="C15" s="14"/>
      <c r="D15" s="25"/>
      <c r="G15" s="23"/>
      <c r="H15" s="112"/>
      <c r="I15" s="112"/>
      <c r="J15" s="13"/>
    </row>
    <row r="16" spans="1:10" s="2" customFormat="1" ht="21.75" customHeight="1" x14ac:dyDescent="0.4">
      <c r="A16" s="214" t="s">
        <v>10</v>
      </c>
      <c r="B16" s="214"/>
      <c r="C16" s="214"/>
      <c r="D16" s="214"/>
      <c r="E16" s="214"/>
      <c r="F16" s="214"/>
      <c r="G16" s="13"/>
      <c r="H16" s="112"/>
      <c r="I16" s="112"/>
      <c r="J16" s="13"/>
    </row>
    <row r="17" spans="1:10" s="2" customFormat="1" ht="12.75" customHeight="1" x14ac:dyDescent="0.4">
      <c r="A17" s="26" t="s">
        <v>1</v>
      </c>
      <c r="B17" s="27" t="s">
        <v>2</v>
      </c>
      <c r="C17" s="5"/>
      <c r="D17" s="6" t="s">
        <v>3</v>
      </c>
      <c r="E17" s="7" t="s">
        <v>4</v>
      </c>
      <c r="F17" s="7" t="s">
        <v>5</v>
      </c>
      <c r="G17" s="23"/>
      <c r="H17" s="112"/>
      <c r="I17" s="112"/>
      <c r="J17" s="13"/>
    </row>
    <row r="18" spans="1:10" s="2" customFormat="1" ht="12.75" customHeight="1" x14ac:dyDescent="0.2">
      <c r="A18" s="127">
        <v>45129</v>
      </c>
      <c r="B18" s="128" t="s">
        <v>11</v>
      </c>
      <c r="C18" s="29" t="s">
        <v>7</v>
      </c>
      <c r="D18" s="25"/>
      <c r="E18" s="31"/>
      <c r="F18" s="2">
        <v>281696213.73999995</v>
      </c>
      <c r="G18" s="30"/>
      <c r="I18" s="13"/>
      <c r="J18" s="13"/>
    </row>
    <row r="19" spans="1:10" s="70" customFormat="1" ht="12.75" customHeight="1" x14ac:dyDescent="0.2">
      <c r="A19" s="127">
        <v>45129</v>
      </c>
      <c r="B19" s="128" t="s">
        <v>6</v>
      </c>
      <c r="C19" s="10" t="s">
        <v>15</v>
      </c>
      <c r="D19" s="11" t="s">
        <v>13</v>
      </c>
      <c r="E19" s="2">
        <v>2998.6000000000004</v>
      </c>
      <c r="G19" s="30"/>
      <c r="I19" s="69"/>
      <c r="J19" s="69"/>
    </row>
    <row r="20" spans="1:10" s="70" customFormat="1" ht="12.75" customHeight="1" x14ac:dyDescent="0.2">
      <c r="A20" s="127">
        <v>45129</v>
      </c>
      <c r="B20" s="128" t="s">
        <v>6</v>
      </c>
      <c r="C20" s="10" t="s">
        <v>381</v>
      </c>
      <c r="D20" s="11" t="s">
        <v>13</v>
      </c>
      <c r="E20" s="2">
        <v>161923</v>
      </c>
      <c r="G20" s="30"/>
      <c r="I20" s="69"/>
      <c r="J20" s="69"/>
    </row>
    <row r="21" spans="1:10" s="70" customFormat="1" ht="12.75" customHeight="1" x14ac:dyDescent="0.2">
      <c r="A21" s="127">
        <v>45129</v>
      </c>
      <c r="B21" s="128" t="s">
        <v>6</v>
      </c>
      <c r="C21" s="10" t="s">
        <v>178</v>
      </c>
      <c r="D21" s="11" t="s">
        <v>13</v>
      </c>
      <c r="E21" s="2">
        <v>2000000</v>
      </c>
      <c r="G21" s="30"/>
      <c r="I21" s="69"/>
      <c r="J21" s="69"/>
    </row>
    <row r="22" spans="1:10" s="70" customFormat="1" ht="12.75" customHeight="1" x14ac:dyDescent="0.2">
      <c r="A22" s="127">
        <v>45129</v>
      </c>
      <c r="B22" s="128" t="s">
        <v>6</v>
      </c>
      <c r="C22" s="10" t="s">
        <v>316</v>
      </c>
      <c r="D22" s="11" t="s">
        <v>13</v>
      </c>
      <c r="E22" s="2">
        <v>2429</v>
      </c>
      <c r="G22" s="30"/>
      <c r="I22" s="69"/>
      <c r="J22" s="69"/>
    </row>
    <row r="23" spans="1:10" s="70" customFormat="1" ht="12.75" customHeight="1" x14ac:dyDescent="0.2">
      <c r="A23" s="127">
        <v>45129</v>
      </c>
      <c r="B23" s="128" t="s">
        <v>6</v>
      </c>
      <c r="C23" s="10" t="s">
        <v>617</v>
      </c>
      <c r="D23" s="11" t="s">
        <v>13</v>
      </c>
      <c r="E23" s="2">
        <v>114030</v>
      </c>
      <c r="G23" s="30"/>
      <c r="I23" s="69"/>
      <c r="J23" s="69"/>
    </row>
    <row r="24" spans="1:10" s="70" customFormat="1" ht="12.75" customHeight="1" x14ac:dyDescent="0.2">
      <c r="A24" s="127">
        <v>45129</v>
      </c>
      <c r="B24" s="128" t="s">
        <v>6</v>
      </c>
      <c r="C24" s="10" t="s">
        <v>24</v>
      </c>
      <c r="D24" s="11" t="s">
        <v>13</v>
      </c>
      <c r="E24" s="2">
        <v>90004</v>
      </c>
      <c r="G24" s="30"/>
      <c r="I24" s="69"/>
      <c r="J24" s="69"/>
    </row>
    <row r="25" spans="1:10" s="70" customFormat="1" ht="12.75" customHeight="1" x14ac:dyDescent="0.2">
      <c r="A25" s="127">
        <v>45129</v>
      </c>
      <c r="B25" s="128" t="s">
        <v>6</v>
      </c>
      <c r="C25" s="10" t="s">
        <v>947</v>
      </c>
      <c r="D25" s="11" t="s">
        <v>13</v>
      </c>
      <c r="E25" s="2">
        <v>2030944</v>
      </c>
      <c r="G25" s="30"/>
      <c r="I25" s="69"/>
      <c r="J25" s="69"/>
    </row>
    <row r="26" spans="1:10" s="70" customFormat="1" ht="12.75" customHeight="1" x14ac:dyDescent="0.2">
      <c r="A26" s="127">
        <v>45129</v>
      </c>
      <c r="B26" s="128" t="s">
        <v>6</v>
      </c>
      <c r="C26" s="10" t="s">
        <v>120</v>
      </c>
      <c r="D26" s="11" t="s">
        <v>13</v>
      </c>
      <c r="E26" s="2">
        <v>329207</v>
      </c>
      <c r="G26" s="30"/>
      <c r="I26" s="69"/>
      <c r="J26" s="69"/>
    </row>
    <row r="27" spans="1:10" s="70" customFormat="1" ht="12.75" customHeight="1" x14ac:dyDescent="0.2">
      <c r="A27" s="127">
        <v>45129</v>
      </c>
      <c r="B27" s="128" t="s">
        <v>6</v>
      </c>
      <c r="C27" s="10" t="s">
        <v>17</v>
      </c>
      <c r="D27" s="11" t="s">
        <v>13</v>
      </c>
      <c r="E27" s="2">
        <v>865340</v>
      </c>
      <c r="G27" s="30"/>
      <c r="I27" s="69"/>
      <c r="J27" s="69"/>
    </row>
    <row r="28" spans="1:10" s="70" customFormat="1" ht="12.75" customHeight="1" x14ac:dyDescent="0.2">
      <c r="A28" s="127">
        <v>45129</v>
      </c>
      <c r="B28" s="128" t="s">
        <v>11</v>
      </c>
      <c r="C28" s="10" t="s">
        <v>345</v>
      </c>
      <c r="D28" s="125" t="s">
        <v>29</v>
      </c>
      <c r="E28" s="31"/>
      <c r="F28" s="70">
        <v>6016</v>
      </c>
      <c r="G28" s="30"/>
      <c r="I28" s="69"/>
      <c r="J28" s="69"/>
    </row>
    <row r="29" spans="1:10" s="70" customFormat="1" ht="12.75" customHeight="1" x14ac:dyDescent="0.2">
      <c r="A29" s="127">
        <v>45129</v>
      </c>
      <c r="B29" s="128" t="s">
        <v>11</v>
      </c>
      <c r="C29" s="10" t="s">
        <v>64</v>
      </c>
      <c r="D29" s="125" t="s">
        <v>29</v>
      </c>
      <c r="E29" s="31"/>
      <c r="F29" s="70">
        <v>8.26</v>
      </c>
      <c r="G29" s="30"/>
      <c r="I29" s="69"/>
      <c r="J29" s="69"/>
    </row>
    <row r="30" spans="1:10" s="70" customFormat="1" ht="12.75" customHeight="1" x14ac:dyDescent="0.2">
      <c r="A30" s="127">
        <v>45129</v>
      </c>
      <c r="B30" s="128" t="s">
        <v>11</v>
      </c>
      <c r="C30" s="10" t="s">
        <v>96</v>
      </c>
      <c r="D30" s="125" t="s">
        <v>29</v>
      </c>
      <c r="E30" s="31"/>
      <c r="F30" s="70">
        <v>7319</v>
      </c>
      <c r="G30" s="30"/>
      <c r="I30" s="69"/>
      <c r="J30" s="69"/>
    </row>
    <row r="31" spans="1:10" s="70" customFormat="1" ht="12.75" customHeight="1" x14ac:dyDescent="0.2">
      <c r="A31" s="127">
        <v>45129</v>
      </c>
      <c r="B31" s="128" t="s">
        <v>11</v>
      </c>
      <c r="C31" s="10" t="s">
        <v>111</v>
      </c>
      <c r="D31" s="125" t="s">
        <v>29</v>
      </c>
      <c r="E31" s="31"/>
      <c r="F31" s="70">
        <v>1572975.53</v>
      </c>
      <c r="G31" s="30"/>
      <c r="I31" s="69"/>
      <c r="J31" s="69"/>
    </row>
    <row r="32" spans="1:10" s="70" customFormat="1" ht="12.75" customHeight="1" x14ac:dyDescent="0.2">
      <c r="A32" s="127">
        <v>45129</v>
      </c>
      <c r="B32" s="128" t="s">
        <v>11</v>
      </c>
      <c r="C32" s="10" t="s">
        <v>937</v>
      </c>
      <c r="D32" s="125" t="s">
        <v>29</v>
      </c>
      <c r="E32" s="31"/>
      <c r="F32" s="70">
        <v>4551</v>
      </c>
      <c r="G32" s="30"/>
      <c r="I32" s="69"/>
      <c r="J32" s="69"/>
    </row>
    <row r="33" spans="1:14" s="70" customFormat="1" ht="12.75" customHeight="1" x14ac:dyDescent="0.2">
      <c r="A33" s="127">
        <v>45129</v>
      </c>
      <c r="B33" s="128" t="s">
        <v>11</v>
      </c>
      <c r="C33" s="10" t="s">
        <v>109</v>
      </c>
      <c r="D33" s="125" t="s">
        <v>29</v>
      </c>
      <c r="E33" s="31"/>
      <c r="F33" s="70">
        <v>1147157</v>
      </c>
      <c r="G33" s="30"/>
      <c r="I33" s="69"/>
      <c r="J33" s="69"/>
    </row>
    <row r="34" spans="1:14" s="2" customFormat="1" ht="12.75" customHeight="1" x14ac:dyDescent="0.2">
      <c r="A34" s="32"/>
      <c r="B34" s="33"/>
      <c r="C34" s="14"/>
      <c r="D34" s="34"/>
      <c r="E34" s="16">
        <f>SUM(E18:E33)</f>
        <v>5596875.5999999996</v>
      </c>
      <c r="F34" s="16">
        <f>SUM(F18:F33)</f>
        <v>284434240.52999991</v>
      </c>
      <c r="G34" s="30"/>
      <c r="H34" s="1"/>
      <c r="I34" s="38">
        <v>278837364.93000001</v>
      </c>
      <c r="J34" s="2" t="s">
        <v>396</v>
      </c>
      <c r="K34" s="92">
        <f>E35-I34</f>
        <v>0</v>
      </c>
      <c r="L34" s="41"/>
      <c r="M34" s="42"/>
    </row>
    <row r="35" spans="1:14" s="2" customFormat="1" ht="12.75" customHeight="1" x14ac:dyDescent="0.2">
      <c r="A35" s="36"/>
      <c r="B35" s="28" t="s">
        <v>11</v>
      </c>
      <c r="C35" s="19" t="s">
        <v>65</v>
      </c>
      <c r="D35" s="37"/>
      <c r="E35" s="38">
        <f>F34-E34</f>
        <v>278837364.92999989</v>
      </c>
      <c r="F35" s="22"/>
      <c r="G35" s="1"/>
      <c r="H35" s="1"/>
      <c r="J35" s="1"/>
      <c r="K35" s="1"/>
      <c r="L35" s="1"/>
      <c r="M35" s="1"/>
    </row>
    <row r="36" spans="1:14" s="2" customFormat="1" ht="12.75" customHeight="1" x14ac:dyDescent="0.2">
      <c r="A36" s="36"/>
      <c r="B36" s="28" t="s">
        <v>66</v>
      </c>
      <c r="C36" s="43" t="s">
        <v>67</v>
      </c>
      <c r="D36" s="43"/>
      <c r="E36" s="12">
        <f>59416310-7500000-1600000</f>
        <v>50316310</v>
      </c>
      <c r="F36" s="22"/>
      <c r="G36" s="1"/>
      <c r="H36" s="40"/>
      <c r="I36" s="45">
        <v>3268.46</v>
      </c>
      <c r="J36" s="46"/>
      <c r="K36" s="46"/>
      <c r="L36" s="13"/>
      <c r="M36" s="69" t="s">
        <v>396</v>
      </c>
    </row>
    <row r="37" spans="1:14" s="2" customFormat="1" ht="12.75" customHeight="1" x14ac:dyDescent="0.25">
      <c r="A37" s="36"/>
      <c r="B37" s="28"/>
      <c r="C37" s="44" t="s">
        <v>68</v>
      </c>
      <c r="D37" s="43"/>
      <c r="E37" s="7">
        <f>E35+E36</f>
        <v>329153674.92999989</v>
      </c>
      <c r="F37" s="22"/>
      <c r="G37" s="1"/>
      <c r="H37" s="103" t="s">
        <v>69</v>
      </c>
      <c r="I37" s="45">
        <v>-22.01</v>
      </c>
      <c r="J37" s="46"/>
      <c r="K37" s="46"/>
      <c r="N37" s="1"/>
    </row>
    <row r="38" spans="1:14" s="2" customFormat="1" x14ac:dyDescent="0.2">
      <c r="A38" s="24"/>
      <c r="B38" s="1"/>
      <c r="C38" s="14"/>
      <c r="D38" s="25"/>
      <c r="E38" s="1"/>
      <c r="H38" s="35" t="s">
        <v>70</v>
      </c>
      <c r="I38" s="45">
        <v>0.19</v>
      </c>
      <c r="J38" s="46">
        <f>+I39-D41</f>
        <v>0</v>
      </c>
      <c r="M38" s="2" t="s">
        <v>396</v>
      </c>
      <c r="N38" s="1"/>
    </row>
    <row r="39" spans="1:14" x14ac:dyDescent="0.2">
      <c r="C39" s="56"/>
      <c r="D39" s="56"/>
      <c r="E39" s="104"/>
      <c r="I39" s="49">
        <f>SUM(I36:I38)</f>
        <v>3246.64</v>
      </c>
      <c r="J39" s="46"/>
      <c r="K39" s="46"/>
      <c r="L39" s="2"/>
      <c r="M39" s="2"/>
      <c r="N39" s="2"/>
    </row>
    <row r="40" spans="1:14" x14ac:dyDescent="0.2">
      <c r="C40" s="78" t="s">
        <v>575</v>
      </c>
      <c r="D40" s="48" t="s">
        <v>576</v>
      </c>
      <c r="E40" s="104"/>
      <c r="I40" s="2"/>
      <c r="J40" s="2"/>
      <c r="K40" s="2"/>
      <c r="L40" s="2"/>
      <c r="M40" s="2"/>
      <c r="N40" s="2"/>
    </row>
    <row r="41" spans="1:14" s="2" customFormat="1" x14ac:dyDescent="0.2">
      <c r="A41" s="24"/>
      <c r="B41" s="1"/>
      <c r="C41" s="47" t="s">
        <v>570</v>
      </c>
      <c r="D41" s="111">
        <v>3246.64</v>
      </c>
      <c r="E41" s="104"/>
      <c r="G41" s="1"/>
      <c r="H41" s="110" t="s">
        <v>581</v>
      </c>
      <c r="N41" s="2" t="s">
        <v>535</v>
      </c>
    </row>
    <row r="42" spans="1:14" s="2" customFormat="1" x14ac:dyDescent="0.2">
      <c r="A42" s="24"/>
      <c r="B42" s="1"/>
      <c r="C42" s="47" t="s">
        <v>931</v>
      </c>
      <c r="D42" s="111">
        <v>314.82</v>
      </c>
      <c r="E42" s="104"/>
      <c r="G42" s="1"/>
      <c r="H42" s="110" t="s">
        <v>580</v>
      </c>
    </row>
    <row r="43" spans="1:14" s="2" customFormat="1" x14ac:dyDescent="0.2">
      <c r="A43" s="24"/>
      <c r="B43" s="1"/>
      <c r="C43" s="47" t="s">
        <v>572</v>
      </c>
      <c r="D43" s="111">
        <f>+D105/100000</f>
        <v>650.18216919999998</v>
      </c>
      <c r="E43" s="104"/>
      <c r="G43" s="1"/>
      <c r="H43" s="90" t="s">
        <v>587</v>
      </c>
    </row>
    <row r="44" spans="1:14" s="2" customFormat="1" x14ac:dyDescent="0.2">
      <c r="A44" s="24"/>
      <c r="B44" s="1"/>
      <c r="C44" s="108" t="s">
        <v>578</v>
      </c>
      <c r="D44" s="48">
        <f>SUM(D41:D43)</f>
        <v>4211.6421692000004</v>
      </c>
      <c r="E44" s="104"/>
      <c r="G44" s="1"/>
    </row>
    <row r="45" spans="1:14" s="2" customFormat="1" x14ac:dyDescent="0.2">
      <c r="A45" s="24"/>
      <c r="B45" s="1"/>
      <c r="C45" s="47"/>
      <c r="D45" s="107"/>
      <c r="E45" s="104"/>
      <c r="G45" s="1"/>
    </row>
    <row r="46" spans="1:14" s="2" customFormat="1" x14ac:dyDescent="0.2">
      <c r="A46" s="24"/>
      <c r="B46" s="1"/>
      <c r="C46" s="47" t="s">
        <v>932</v>
      </c>
      <c r="D46" s="111">
        <v>152.72</v>
      </c>
      <c r="E46" s="104"/>
      <c r="G46" s="1"/>
      <c r="H46" s="110" t="s">
        <v>581</v>
      </c>
    </row>
    <row r="47" spans="1:14" s="2" customFormat="1" x14ac:dyDescent="0.2">
      <c r="A47" s="24"/>
      <c r="B47" s="1"/>
      <c r="C47" s="136" t="s">
        <v>1142</v>
      </c>
      <c r="D47" s="111">
        <f>274.99-55.45</f>
        <v>219.54000000000002</v>
      </c>
      <c r="E47" s="104"/>
      <c r="G47" s="1"/>
      <c r="H47" s="110" t="s">
        <v>581</v>
      </c>
      <c r="J47" s="114" t="s">
        <v>713</v>
      </c>
    </row>
    <row r="48" spans="1:14" s="2" customFormat="1" x14ac:dyDescent="0.2">
      <c r="A48" s="24"/>
      <c r="B48" s="1"/>
      <c r="C48" s="78" t="s">
        <v>579</v>
      </c>
      <c r="D48" s="109">
        <f>D46+D47</f>
        <v>372.26</v>
      </c>
      <c r="E48" s="104"/>
      <c r="G48" s="1"/>
      <c r="I48" s="113"/>
      <c r="J48" s="113" t="s">
        <v>709</v>
      </c>
      <c r="K48" s="113" t="s">
        <v>710</v>
      </c>
      <c r="L48" s="113" t="s">
        <v>711</v>
      </c>
      <c r="M48" s="113" t="s">
        <v>712</v>
      </c>
    </row>
    <row r="49" spans="1:13" s="2" customFormat="1" x14ac:dyDescent="0.2">
      <c r="A49" s="24"/>
      <c r="B49" s="1"/>
      <c r="C49" s="105"/>
      <c r="D49" s="106"/>
      <c r="E49" s="104"/>
      <c r="G49" s="1"/>
      <c r="I49" s="113" t="s">
        <v>706</v>
      </c>
      <c r="J49" s="115"/>
      <c r="K49" s="115">
        <v>968.99</v>
      </c>
      <c r="L49" s="115">
        <v>968.99</v>
      </c>
      <c r="M49" s="113">
        <f>+J49+L49-K49</f>
        <v>0</v>
      </c>
    </row>
    <row r="50" spans="1:13" s="2" customFormat="1" x14ac:dyDescent="0.2">
      <c r="A50" s="24"/>
      <c r="B50" s="1"/>
      <c r="C50" s="78" t="s">
        <v>577</v>
      </c>
      <c r="D50" s="109">
        <f>D41+D48</f>
        <v>3618.8999999999996</v>
      </c>
      <c r="E50" s="104"/>
      <c r="G50" s="1"/>
      <c r="I50" s="113" t="s">
        <v>707</v>
      </c>
      <c r="J50" s="115">
        <v>183.1</v>
      </c>
      <c r="K50" s="115">
        <v>2801.09</v>
      </c>
      <c r="L50" s="115">
        <v>3389.83</v>
      </c>
      <c r="M50" s="113">
        <f>+J50+L50-K50</f>
        <v>771.83999999999969</v>
      </c>
    </row>
    <row r="51" spans="1:13" s="2" customFormat="1" x14ac:dyDescent="0.2">
      <c r="A51" s="24"/>
      <c r="B51" s="1"/>
      <c r="C51" s="56"/>
      <c r="D51" s="56"/>
      <c r="E51" s="104"/>
      <c r="G51" s="1"/>
      <c r="I51" s="113" t="s">
        <v>708</v>
      </c>
      <c r="J51" s="115">
        <v>1371.02</v>
      </c>
      <c r="K51" s="115">
        <v>13024.78</v>
      </c>
      <c r="L51" s="115">
        <v>12679.44</v>
      </c>
      <c r="M51" s="113">
        <f>+J51+L51-K51</f>
        <v>1025.6800000000003</v>
      </c>
    </row>
    <row r="52" spans="1:13" s="2" customFormat="1" ht="38.25" x14ac:dyDescent="0.2">
      <c r="A52" s="24"/>
      <c r="B52" s="1"/>
      <c r="C52" s="79" t="str">
        <f>"Particulars ( 01-04-2021 to "&amp;TEXT(A5,"dd-mm-yyyy")&amp;" )"</f>
        <v>Particulars ( 01-04-2021 to 22-07-2023 )</v>
      </c>
      <c r="D52" s="80" t="s">
        <v>73</v>
      </c>
      <c r="E52" s="80" t="s">
        <v>74</v>
      </c>
      <c r="F52" s="81" t="s">
        <v>75</v>
      </c>
      <c r="G52" s="80" t="s">
        <v>76</v>
      </c>
      <c r="J52" s="118">
        <f>SUM(J49:J51)</f>
        <v>1554.12</v>
      </c>
      <c r="K52" s="118">
        <f>SUM(K49:K51)</f>
        <v>16794.86</v>
      </c>
      <c r="L52" s="118">
        <f>SUM(L49:L51)</f>
        <v>17038.260000000002</v>
      </c>
      <c r="M52" s="118">
        <f>SUM(M49:M51)</f>
        <v>1797.52</v>
      </c>
    </row>
    <row r="53" spans="1:13" s="2" customFormat="1" x14ac:dyDescent="0.2">
      <c r="A53" s="24"/>
      <c r="B53" s="1"/>
      <c r="C53" s="50" t="s">
        <v>444</v>
      </c>
      <c r="D53" s="55">
        <f>+L49+L50+J50</f>
        <v>4541.92</v>
      </c>
      <c r="E53" s="55">
        <f>+K49+K50</f>
        <v>3770.08</v>
      </c>
      <c r="F53" s="55">
        <f>+D53-E53</f>
        <v>771.84000000000015</v>
      </c>
      <c r="G53" s="55">
        <f>1500-F53</f>
        <v>728.15999999999985</v>
      </c>
      <c r="H53" s="2" t="s">
        <v>396</v>
      </c>
    </row>
    <row r="54" spans="1:13" s="2" customFormat="1" x14ac:dyDescent="0.2">
      <c r="A54" s="24"/>
      <c r="B54" s="1"/>
      <c r="C54" s="50" t="s">
        <v>71</v>
      </c>
      <c r="D54" s="55">
        <f>+J51+L51</f>
        <v>14050.460000000001</v>
      </c>
      <c r="E54" s="55">
        <f>+K51</f>
        <v>13024.78</v>
      </c>
      <c r="F54" s="55">
        <f>+D54-E54</f>
        <v>1025.6800000000003</v>
      </c>
      <c r="G54" s="55">
        <f>1500+700-F54</f>
        <v>1174.3199999999997</v>
      </c>
      <c r="H54" s="2" t="s">
        <v>396</v>
      </c>
    </row>
    <row r="55" spans="1:13" s="2" customFormat="1" x14ac:dyDescent="0.2">
      <c r="A55" s="24"/>
      <c r="B55" s="1"/>
      <c r="C55" s="14"/>
      <c r="D55" s="56"/>
      <c r="E55" s="13"/>
      <c r="G55" s="1"/>
    </row>
    <row r="56" spans="1:13" s="2" customFormat="1" x14ac:dyDescent="0.2">
      <c r="A56" s="215" t="s">
        <v>80</v>
      </c>
      <c r="B56" s="216"/>
      <c r="C56" s="216"/>
      <c r="D56" s="217"/>
      <c r="E56" s="69"/>
      <c r="F56" s="70"/>
      <c r="G56" s="1"/>
      <c r="H56" s="53"/>
    </row>
    <row r="57" spans="1:13" s="2" customFormat="1" x14ac:dyDescent="0.2">
      <c r="A57" s="71" t="s">
        <v>81</v>
      </c>
      <c r="B57" s="71"/>
      <c r="C57" s="72" t="s">
        <v>82</v>
      </c>
      <c r="D57" s="73" t="s">
        <v>83</v>
      </c>
      <c r="E57" s="69"/>
      <c r="F57" s="70"/>
      <c r="H57" s="53"/>
    </row>
    <row r="58" spans="1:13" s="2" customFormat="1" x14ac:dyDescent="0.2">
      <c r="A58" s="87">
        <v>45108</v>
      </c>
      <c r="B58" s="120" t="s">
        <v>1052</v>
      </c>
      <c r="C58" s="75" t="s">
        <v>84</v>
      </c>
      <c r="D58" s="88">
        <v>3000000</v>
      </c>
      <c r="G58" s="1"/>
      <c r="L58" s="1"/>
      <c r="M58" s="1"/>
    </row>
    <row r="59" spans="1:13" s="2" customFormat="1" x14ac:dyDescent="0.2">
      <c r="A59" s="87">
        <v>45108</v>
      </c>
      <c r="B59" s="120" t="s">
        <v>1052</v>
      </c>
      <c r="C59" s="75" t="s">
        <v>271</v>
      </c>
      <c r="D59" s="88">
        <v>2323148</v>
      </c>
      <c r="G59" s="1"/>
      <c r="L59" s="1"/>
      <c r="M59" s="1"/>
    </row>
    <row r="60" spans="1:13" s="2" customFormat="1" x14ac:dyDescent="0.2">
      <c r="A60" s="87">
        <v>45110</v>
      </c>
      <c r="B60" s="120" t="s">
        <v>1052</v>
      </c>
      <c r="C60" s="75" t="s">
        <v>85</v>
      </c>
      <c r="D60" s="88">
        <v>732575</v>
      </c>
      <c r="G60" s="1"/>
      <c r="L60" s="1"/>
      <c r="M60" s="1"/>
    </row>
    <row r="61" spans="1:13" s="2" customFormat="1" x14ac:dyDescent="0.2">
      <c r="A61" s="87">
        <v>45110</v>
      </c>
      <c r="B61" s="120" t="s">
        <v>1052</v>
      </c>
      <c r="C61" s="75" t="s">
        <v>86</v>
      </c>
      <c r="D61" s="88">
        <v>2676974</v>
      </c>
      <c r="G61" s="1"/>
      <c r="L61" s="1"/>
      <c r="M61" s="1"/>
    </row>
    <row r="62" spans="1:13" s="2" customFormat="1" x14ac:dyDescent="0.2">
      <c r="A62" s="87">
        <v>45110</v>
      </c>
      <c r="B62" s="120" t="s">
        <v>1052</v>
      </c>
      <c r="C62" s="75" t="s">
        <v>86</v>
      </c>
      <c r="D62" s="88">
        <v>1043475</v>
      </c>
      <c r="G62" s="1"/>
      <c r="L62" s="1"/>
      <c r="M62" s="1"/>
    </row>
    <row r="63" spans="1:13" s="2" customFormat="1" x14ac:dyDescent="0.2">
      <c r="A63" s="87">
        <v>45111</v>
      </c>
      <c r="B63" s="120" t="s">
        <v>1052</v>
      </c>
      <c r="C63" s="75" t="s">
        <v>270</v>
      </c>
      <c r="D63" s="88">
        <v>106093</v>
      </c>
      <c r="G63" s="1"/>
      <c r="L63" s="1"/>
      <c r="M63" s="1"/>
    </row>
    <row r="64" spans="1:13" s="2" customFormat="1" x14ac:dyDescent="0.2">
      <c r="A64" s="87">
        <v>45111</v>
      </c>
      <c r="B64" s="120" t="s">
        <v>1052</v>
      </c>
      <c r="C64" s="75" t="s">
        <v>270</v>
      </c>
      <c r="D64" s="88">
        <v>102393</v>
      </c>
      <c r="G64" s="1"/>
      <c r="L64" s="1"/>
      <c r="M64" s="1"/>
    </row>
    <row r="65" spans="1:13" s="2" customFormat="1" x14ac:dyDescent="0.2">
      <c r="A65" s="87">
        <v>45111</v>
      </c>
      <c r="B65" s="120" t="s">
        <v>1052</v>
      </c>
      <c r="C65" s="75" t="s">
        <v>270</v>
      </c>
      <c r="D65" s="88">
        <v>716336</v>
      </c>
      <c r="G65" s="1"/>
      <c r="L65" s="1"/>
      <c r="M65" s="1"/>
    </row>
    <row r="66" spans="1:13" s="2" customFormat="1" x14ac:dyDescent="0.2">
      <c r="A66" s="87">
        <v>45111</v>
      </c>
      <c r="B66" s="120" t="s">
        <v>1052</v>
      </c>
      <c r="C66" s="75" t="s">
        <v>270</v>
      </c>
      <c r="D66" s="88">
        <v>2504631</v>
      </c>
      <c r="G66" s="1"/>
      <c r="L66" s="1"/>
      <c r="M66" s="1"/>
    </row>
    <row r="67" spans="1:13" s="2" customFormat="1" x14ac:dyDescent="0.2">
      <c r="A67" s="87">
        <v>45111</v>
      </c>
      <c r="B67" s="120" t="s">
        <v>1052</v>
      </c>
      <c r="C67" s="75" t="s">
        <v>270</v>
      </c>
      <c r="D67" s="88">
        <v>141433.92000000001</v>
      </c>
      <c r="G67" s="1"/>
      <c r="L67" s="1"/>
      <c r="M67" s="1"/>
    </row>
    <row r="68" spans="1:13" s="2" customFormat="1" x14ac:dyDescent="0.2">
      <c r="A68" s="87">
        <v>45111</v>
      </c>
      <c r="B68" s="120" t="s">
        <v>1052</v>
      </c>
      <c r="C68" s="75" t="s">
        <v>271</v>
      </c>
      <c r="D68" s="88">
        <v>485258</v>
      </c>
      <c r="G68" s="1"/>
      <c r="L68" s="1"/>
      <c r="M68" s="1"/>
    </row>
    <row r="69" spans="1:13" s="2" customFormat="1" x14ac:dyDescent="0.2">
      <c r="A69" s="87">
        <v>45112</v>
      </c>
      <c r="B69" s="120" t="s">
        <v>1052</v>
      </c>
      <c r="C69" s="75" t="s">
        <v>85</v>
      </c>
      <c r="D69" s="88">
        <v>216478</v>
      </c>
      <c r="G69" s="1"/>
      <c r="L69" s="1"/>
      <c r="M69" s="1"/>
    </row>
    <row r="70" spans="1:13" s="2" customFormat="1" x14ac:dyDescent="0.2">
      <c r="A70" s="87">
        <v>45114</v>
      </c>
      <c r="B70" s="120" t="s">
        <v>1052</v>
      </c>
      <c r="C70" s="75" t="s">
        <v>270</v>
      </c>
      <c r="D70" s="88">
        <v>886333</v>
      </c>
      <c r="G70" s="1"/>
      <c r="L70" s="1"/>
      <c r="M70" s="1"/>
    </row>
    <row r="71" spans="1:13" s="2" customFormat="1" x14ac:dyDescent="0.2">
      <c r="A71" s="87">
        <v>45114</v>
      </c>
      <c r="B71" s="120" t="s">
        <v>1052</v>
      </c>
      <c r="C71" s="75" t="s">
        <v>270</v>
      </c>
      <c r="D71" s="88">
        <v>3119806</v>
      </c>
      <c r="G71" s="1"/>
      <c r="L71" s="1"/>
      <c r="M71" s="1"/>
    </row>
    <row r="72" spans="1:13" s="2" customFormat="1" x14ac:dyDescent="0.2">
      <c r="A72" s="87">
        <v>45114</v>
      </c>
      <c r="B72" s="120" t="s">
        <v>1052</v>
      </c>
      <c r="C72" s="75" t="s">
        <v>271</v>
      </c>
      <c r="D72" s="88">
        <v>151160</v>
      </c>
      <c r="G72" s="1"/>
      <c r="L72" s="1"/>
      <c r="M72" s="1"/>
    </row>
    <row r="73" spans="1:13" s="2" customFormat="1" x14ac:dyDescent="0.2">
      <c r="A73" s="87">
        <v>45114</v>
      </c>
      <c r="B73" s="120" t="s">
        <v>1052</v>
      </c>
      <c r="C73" s="75" t="s">
        <v>271</v>
      </c>
      <c r="D73" s="88">
        <v>285195</v>
      </c>
      <c r="G73" s="1"/>
      <c r="L73" s="1"/>
      <c r="M73" s="1"/>
    </row>
    <row r="74" spans="1:13" s="2" customFormat="1" x14ac:dyDescent="0.2">
      <c r="A74" s="87">
        <v>45114</v>
      </c>
      <c r="B74" s="120" t="s">
        <v>1052</v>
      </c>
      <c r="C74" s="75" t="s">
        <v>201</v>
      </c>
      <c r="D74" s="88">
        <v>128135</v>
      </c>
      <c r="G74" s="1"/>
      <c r="L74" s="1"/>
      <c r="M74" s="1"/>
    </row>
    <row r="75" spans="1:13" s="2" customFormat="1" x14ac:dyDescent="0.2">
      <c r="A75" s="87">
        <v>45114</v>
      </c>
      <c r="B75" s="120" t="s">
        <v>1052</v>
      </c>
      <c r="C75" s="75" t="s">
        <v>323</v>
      </c>
      <c r="D75" s="88">
        <v>2313089</v>
      </c>
      <c r="G75" s="1"/>
      <c r="L75" s="1"/>
      <c r="M75" s="1"/>
    </row>
    <row r="76" spans="1:13" s="2" customFormat="1" x14ac:dyDescent="0.2">
      <c r="A76" s="87">
        <v>45115</v>
      </c>
      <c r="B76" s="120" t="s">
        <v>1052</v>
      </c>
      <c r="C76" s="75" t="s">
        <v>767</v>
      </c>
      <c r="D76" s="88">
        <v>411035</v>
      </c>
      <c r="G76" s="1"/>
      <c r="L76" s="1"/>
      <c r="M76" s="1"/>
    </row>
    <row r="77" spans="1:13" s="2" customFormat="1" x14ac:dyDescent="0.2">
      <c r="A77" s="87">
        <v>45118</v>
      </c>
      <c r="B77" s="120" t="s">
        <v>1052</v>
      </c>
      <c r="C77" s="75" t="s">
        <v>270</v>
      </c>
      <c r="D77" s="88">
        <v>34696</v>
      </c>
      <c r="G77" s="1"/>
      <c r="L77" s="1"/>
      <c r="M77" s="1"/>
    </row>
    <row r="78" spans="1:13" s="2" customFormat="1" x14ac:dyDescent="0.2">
      <c r="A78" s="87">
        <v>45118</v>
      </c>
      <c r="B78" s="120" t="s">
        <v>1052</v>
      </c>
      <c r="C78" s="75" t="s">
        <v>270</v>
      </c>
      <c r="D78" s="88">
        <v>1128922</v>
      </c>
      <c r="G78" s="1"/>
      <c r="L78" s="1"/>
      <c r="M78" s="1"/>
    </row>
    <row r="79" spans="1:13" s="2" customFormat="1" x14ac:dyDescent="0.2">
      <c r="A79" s="87">
        <v>45118</v>
      </c>
      <c r="B79" s="120" t="s">
        <v>1052</v>
      </c>
      <c r="C79" s="75" t="s">
        <v>270</v>
      </c>
      <c r="D79" s="88">
        <v>2865343</v>
      </c>
      <c r="G79" s="1"/>
      <c r="L79" s="1"/>
      <c r="M79" s="1"/>
    </row>
    <row r="80" spans="1:13" s="2" customFormat="1" x14ac:dyDescent="0.2">
      <c r="A80" s="87">
        <v>45118</v>
      </c>
      <c r="B80" s="120" t="s">
        <v>1052</v>
      </c>
      <c r="C80" s="75" t="s">
        <v>270</v>
      </c>
      <c r="D80" s="88">
        <v>1090852</v>
      </c>
      <c r="G80" s="1"/>
      <c r="L80" s="1"/>
      <c r="M80" s="1"/>
    </row>
    <row r="81" spans="1:13" s="2" customFormat="1" x14ac:dyDescent="0.2">
      <c r="A81" s="87">
        <v>45118</v>
      </c>
      <c r="B81" s="120" t="s">
        <v>1052</v>
      </c>
      <c r="C81" s="75" t="s">
        <v>270</v>
      </c>
      <c r="D81" s="88">
        <v>359348</v>
      </c>
      <c r="G81" s="1"/>
      <c r="L81" s="1"/>
      <c r="M81" s="1"/>
    </row>
    <row r="82" spans="1:13" s="2" customFormat="1" x14ac:dyDescent="0.2">
      <c r="A82" s="87">
        <v>45118</v>
      </c>
      <c r="B82" s="120" t="s">
        <v>1052</v>
      </c>
      <c r="C82" s="75" t="s">
        <v>271</v>
      </c>
      <c r="D82" s="88">
        <v>323487</v>
      </c>
      <c r="G82" s="1"/>
      <c r="L82" s="1"/>
      <c r="M82" s="1"/>
    </row>
    <row r="83" spans="1:13" s="2" customFormat="1" x14ac:dyDescent="0.2">
      <c r="A83" s="87">
        <v>45118</v>
      </c>
      <c r="B83" s="120" t="s">
        <v>1052</v>
      </c>
      <c r="C83" s="75" t="s">
        <v>271</v>
      </c>
      <c r="D83" s="88">
        <v>44394</v>
      </c>
      <c r="G83" s="1"/>
      <c r="L83" s="1"/>
      <c r="M83" s="1"/>
    </row>
    <row r="84" spans="1:13" s="2" customFormat="1" x14ac:dyDescent="0.2">
      <c r="A84" s="87">
        <v>45118</v>
      </c>
      <c r="B84" s="120" t="s">
        <v>1052</v>
      </c>
      <c r="C84" s="75" t="s">
        <v>271</v>
      </c>
      <c r="D84" s="88">
        <v>2035052</v>
      </c>
      <c r="G84" s="1"/>
      <c r="L84" s="1"/>
      <c r="M84" s="1"/>
    </row>
    <row r="85" spans="1:13" s="2" customFormat="1" x14ac:dyDescent="0.2">
      <c r="A85" s="87">
        <v>45119</v>
      </c>
      <c r="B85" s="120" t="s">
        <v>1052</v>
      </c>
      <c r="C85" s="75" t="s">
        <v>85</v>
      </c>
      <c r="D85" s="88">
        <v>569516</v>
      </c>
      <c r="G85" s="1"/>
      <c r="L85" s="1"/>
      <c r="M85" s="1"/>
    </row>
    <row r="86" spans="1:13" s="2" customFormat="1" x14ac:dyDescent="0.2">
      <c r="A86" s="87">
        <v>45119</v>
      </c>
      <c r="B86" s="120" t="s">
        <v>1052</v>
      </c>
      <c r="C86" s="75" t="s">
        <v>271</v>
      </c>
      <c r="D86" s="88">
        <v>3074492</v>
      </c>
      <c r="G86" s="1"/>
      <c r="L86" s="1"/>
      <c r="M86" s="1"/>
    </row>
    <row r="87" spans="1:13" s="2" customFormat="1" x14ac:dyDescent="0.2">
      <c r="A87" s="87">
        <v>45119</v>
      </c>
      <c r="B87" s="120" t="s">
        <v>1052</v>
      </c>
      <c r="C87" s="75" t="s">
        <v>270</v>
      </c>
      <c r="D87" s="88">
        <v>1556273</v>
      </c>
      <c r="G87" s="1"/>
      <c r="L87" s="1"/>
      <c r="M87" s="1"/>
    </row>
    <row r="88" spans="1:13" s="2" customFormat="1" x14ac:dyDescent="0.2">
      <c r="A88" s="87">
        <v>45119</v>
      </c>
      <c r="B88" s="120" t="s">
        <v>1052</v>
      </c>
      <c r="C88" s="75" t="s">
        <v>84</v>
      </c>
      <c r="D88" s="88">
        <v>2500000</v>
      </c>
      <c r="G88" s="1"/>
      <c r="L88" s="1"/>
      <c r="M88" s="1"/>
    </row>
    <row r="89" spans="1:13" s="2" customFormat="1" x14ac:dyDescent="0.2">
      <c r="A89" s="87">
        <v>45121</v>
      </c>
      <c r="B89" s="120" t="s">
        <v>1052</v>
      </c>
      <c r="C89" s="75" t="s">
        <v>1084</v>
      </c>
      <c r="D89" s="88">
        <v>5000000</v>
      </c>
      <c r="G89" s="1"/>
      <c r="L89" s="1"/>
      <c r="M89" s="1"/>
    </row>
    <row r="90" spans="1:13" s="2" customFormat="1" x14ac:dyDescent="0.2">
      <c r="A90" s="87">
        <v>45122</v>
      </c>
      <c r="B90" s="120" t="s">
        <v>1052</v>
      </c>
      <c r="C90" s="75" t="s">
        <v>270</v>
      </c>
      <c r="D90" s="88">
        <v>893235</v>
      </c>
      <c r="G90" s="1"/>
      <c r="L90" s="1"/>
      <c r="M90" s="1"/>
    </row>
    <row r="91" spans="1:13" s="2" customFormat="1" x14ac:dyDescent="0.2">
      <c r="A91" s="87">
        <v>45124</v>
      </c>
      <c r="B91" s="120" t="s">
        <v>1052</v>
      </c>
      <c r="C91" s="75" t="s">
        <v>1084</v>
      </c>
      <c r="D91" s="88">
        <v>4000000</v>
      </c>
      <c r="G91" s="1"/>
      <c r="L91" s="1"/>
      <c r="M91" s="1"/>
    </row>
    <row r="92" spans="1:13" s="2" customFormat="1" x14ac:dyDescent="0.2">
      <c r="A92" s="87">
        <v>45125</v>
      </c>
      <c r="B92" s="120" t="s">
        <v>1052</v>
      </c>
      <c r="C92" s="75" t="s">
        <v>85</v>
      </c>
      <c r="D92" s="88">
        <v>209650</v>
      </c>
      <c r="G92" s="1"/>
      <c r="L92" s="1"/>
      <c r="M92" s="1"/>
    </row>
    <row r="93" spans="1:13" s="2" customFormat="1" x14ac:dyDescent="0.2">
      <c r="A93" s="87">
        <v>45125</v>
      </c>
      <c r="B93" s="120" t="s">
        <v>1052</v>
      </c>
      <c r="C93" s="75" t="s">
        <v>270</v>
      </c>
      <c r="D93" s="88">
        <v>891686</v>
      </c>
      <c r="G93" s="1"/>
      <c r="L93" s="1"/>
      <c r="M93" s="1"/>
    </row>
    <row r="94" spans="1:13" s="2" customFormat="1" x14ac:dyDescent="0.2">
      <c r="A94" s="87">
        <v>45125</v>
      </c>
      <c r="B94" s="120" t="s">
        <v>1052</v>
      </c>
      <c r="C94" s="75" t="s">
        <v>85</v>
      </c>
      <c r="D94" s="88">
        <v>75953</v>
      </c>
      <c r="G94" s="1"/>
      <c r="L94" s="1"/>
      <c r="M94" s="1"/>
    </row>
    <row r="95" spans="1:13" s="2" customFormat="1" x14ac:dyDescent="0.2">
      <c r="A95" s="87">
        <v>45125</v>
      </c>
      <c r="B95" s="120" t="s">
        <v>1052</v>
      </c>
      <c r="C95" s="75" t="s">
        <v>767</v>
      </c>
      <c r="D95" s="88">
        <v>691994</v>
      </c>
      <c r="G95" s="1"/>
      <c r="L95" s="1"/>
      <c r="M95" s="1"/>
    </row>
    <row r="96" spans="1:13" s="2" customFormat="1" x14ac:dyDescent="0.2">
      <c r="A96" s="87">
        <v>45126</v>
      </c>
      <c r="B96" s="120" t="s">
        <v>1052</v>
      </c>
      <c r="C96" s="75" t="s">
        <v>271</v>
      </c>
      <c r="D96" s="88">
        <v>415838</v>
      </c>
      <c r="G96" s="1"/>
      <c r="L96" s="1"/>
      <c r="M96" s="1"/>
    </row>
    <row r="97" spans="1:13" s="2" customFormat="1" x14ac:dyDescent="0.2">
      <c r="A97" s="87">
        <v>45127</v>
      </c>
      <c r="B97" s="120" t="s">
        <v>1052</v>
      </c>
      <c r="C97" s="75" t="s">
        <v>606</v>
      </c>
      <c r="D97" s="88">
        <v>564973</v>
      </c>
      <c r="G97" s="1"/>
      <c r="L97" s="1"/>
      <c r="M97" s="1"/>
    </row>
    <row r="98" spans="1:13" s="2" customFormat="1" x14ac:dyDescent="0.2">
      <c r="A98" s="87">
        <v>45127</v>
      </c>
      <c r="B98" s="120" t="s">
        <v>1052</v>
      </c>
      <c r="C98" s="75" t="s">
        <v>84</v>
      </c>
      <c r="D98" s="88">
        <v>2000000</v>
      </c>
      <c r="G98" s="1"/>
      <c r="L98" s="1"/>
      <c r="M98" s="1"/>
    </row>
    <row r="99" spans="1:13" s="2" customFormat="1" x14ac:dyDescent="0.2">
      <c r="A99" s="87">
        <v>45127</v>
      </c>
      <c r="B99" s="120" t="s">
        <v>1052</v>
      </c>
      <c r="C99" s="75" t="s">
        <v>86</v>
      </c>
      <c r="D99" s="88">
        <v>906281</v>
      </c>
      <c r="G99" s="1"/>
      <c r="L99" s="1"/>
      <c r="M99" s="1"/>
    </row>
    <row r="100" spans="1:13" s="2" customFormat="1" x14ac:dyDescent="0.2">
      <c r="A100" s="87">
        <v>45127</v>
      </c>
      <c r="B100" s="120" t="s">
        <v>1052</v>
      </c>
      <c r="C100" s="75" t="s">
        <v>86</v>
      </c>
      <c r="D100" s="88">
        <v>12614</v>
      </c>
      <c r="G100" s="1"/>
      <c r="L100" s="1"/>
      <c r="M100" s="1"/>
    </row>
    <row r="101" spans="1:13" s="2" customFormat="1" x14ac:dyDescent="0.2">
      <c r="A101" s="87">
        <v>45127</v>
      </c>
      <c r="B101" s="120" t="s">
        <v>1052</v>
      </c>
      <c r="C101" s="75" t="s">
        <v>88</v>
      </c>
      <c r="D101" s="88">
        <v>903686</v>
      </c>
      <c r="G101" s="1"/>
      <c r="L101" s="1"/>
      <c r="M101" s="1"/>
    </row>
    <row r="102" spans="1:13" s="2" customFormat="1" x14ac:dyDescent="0.2">
      <c r="A102" s="87">
        <v>45127</v>
      </c>
      <c r="B102" s="120" t="s">
        <v>1052</v>
      </c>
      <c r="C102" s="75" t="s">
        <v>86</v>
      </c>
      <c r="D102" s="88">
        <v>2526490</v>
      </c>
      <c r="G102" s="1"/>
      <c r="L102" s="1"/>
      <c r="M102" s="1"/>
    </row>
    <row r="103" spans="1:13" s="2" customFormat="1" x14ac:dyDescent="0.2">
      <c r="A103" s="87">
        <v>45127</v>
      </c>
      <c r="B103" s="120" t="s">
        <v>1052</v>
      </c>
      <c r="C103" s="75" t="s">
        <v>201</v>
      </c>
      <c r="D103" s="88">
        <v>4999894</v>
      </c>
      <c r="G103" s="1"/>
      <c r="L103" s="1"/>
      <c r="M103" s="1"/>
    </row>
    <row r="104" spans="1:13" s="2" customFormat="1" x14ac:dyDescent="0.2">
      <c r="A104" s="87">
        <v>45128</v>
      </c>
      <c r="B104" s="120" t="s">
        <v>1052</v>
      </c>
      <c r="C104" s="75" t="s">
        <v>1084</v>
      </c>
      <c r="D104" s="88">
        <v>4000000</v>
      </c>
      <c r="G104" s="1"/>
      <c r="L104" s="1"/>
      <c r="M104" s="1"/>
    </row>
    <row r="105" spans="1:13" s="2" customFormat="1" x14ac:dyDescent="0.2">
      <c r="A105" s="87"/>
      <c r="B105" s="74"/>
      <c r="C105" s="75"/>
      <c r="D105" s="51">
        <f>SUM(D58:D104)</f>
        <v>65018216.920000002</v>
      </c>
      <c r="F105" s="2" t="s">
        <v>396</v>
      </c>
      <c r="G105" s="1"/>
      <c r="L105" s="1"/>
      <c r="M105" s="1"/>
    </row>
    <row r="106" spans="1:13" s="2" customFormat="1" x14ac:dyDescent="0.2">
      <c r="A106" s="24"/>
      <c r="B106" s="1"/>
      <c r="C106" s="14"/>
      <c r="D106" s="56"/>
      <c r="E106" s="13"/>
      <c r="G106" s="1"/>
      <c r="L106" s="1"/>
      <c r="M106" s="1"/>
    </row>
    <row r="107" spans="1:13" s="2" customFormat="1" x14ac:dyDescent="0.2">
      <c r="A107" s="24"/>
      <c r="B107" s="1"/>
      <c r="C107" s="218" t="s">
        <v>77</v>
      </c>
      <c r="D107" s="219"/>
      <c r="E107" s="219"/>
      <c r="F107" s="220"/>
      <c r="G107" s="1"/>
      <c r="L107" s="1"/>
      <c r="M107" s="1"/>
    </row>
    <row r="108" spans="1:13" s="2" customFormat="1" x14ac:dyDescent="0.2">
      <c r="A108" s="24"/>
      <c r="B108" s="1"/>
      <c r="C108" s="50"/>
      <c r="D108" s="57" t="s">
        <v>78</v>
      </c>
      <c r="E108" s="58" t="s">
        <v>79</v>
      </c>
      <c r="F108" s="57" t="s">
        <v>72</v>
      </c>
      <c r="G108" s="1"/>
      <c r="I108" s="1"/>
      <c r="J108" s="1"/>
      <c r="K108" s="1"/>
      <c r="L108" s="1"/>
      <c r="M108" s="1"/>
    </row>
    <row r="109" spans="1:13" s="2" customFormat="1" x14ac:dyDescent="0.2">
      <c r="A109" s="24"/>
      <c r="B109" s="1"/>
      <c r="C109" s="59" t="str">
        <f>"01-07-2023 to "&amp;TEXT(A5-2,"dd-mm-yyyy")</f>
        <v>01-07-2023 to 20-07-2023</v>
      </c>
      <c r="D109" s="60">
        <v>3621.49</v>
      </c>
      <c r="E109" s="60">
        <v>178.03</v>
      </c>
      <c r="F109" s="61">
        <f>SUM(D109:E109)</f>
        <v>3799.52</v>
      </c>
      <c r="G109" s="1"/>
    </row>
    <row r="110" spans="1:13" s="2" customFormat="1" x14ac:dyDescent="0.2">
      <c r="A110" s="24"/>
      <c r="B110" s="1"/>
      <c r="C110" s="62" t="str">
        <f>TEXT(A5-1,"dd-mm-yyyy")</f>
        <v>21-07-2023</v>
      </c>
      <c r="D110" s="60">
        <v>191.1</v>
      </c>
      <c r="E110" s="60">
        <v>8.2899999999999991</v>
      </c>
      <c r="F110" s="61">
        <f>SUM(D110:E110)</f>
        <v>199.39</v>
      </c>
      <c r="G110" s="54"/>
      <c r="I110" s="1"/>
      <c r="J110" s="1"/>
      <c r="K110" s="1"/>
      <c r="L110" s="1"/>
      <c r="M110" s="1"/>
    </row>
    <row r="111" spans="1:13" s="2" customFormat="1" ht="13.5" thickBot="1" x14ac:dyDescent="0.25">
      <c r="A111" s="24"/>
      <c r="B111" s="1"/>
      <c r="C111" s="63" t="str">
        <f>"01-07-2023 to "&amp;TEXT(A5-1,"dd-mm-yyyy")</f>
        <v>01-07-2023 to 21-07-2023</v>
      </c>
      <c r="D111" s="64">
        <f>SUM(D109:D110)</f>
        <v>3812.5899999999997</v>
      </c>
      <c r="E111" s="64">
        <f>SUM(E109:E110)</f>
        <v>186.32</v>
      </c>
      <c r="F111" s="64">
        <f>SUM(F109:F110)</f>
        <v>3998.91</v>
      </c>
      <c r="G111" s="54"/>
      <c r="I111" s="1"/>
      <c r="J111" s="1"/>
      <c r="K111" s="1"/>
      <c r="L111" s="1"/>
      <c r="M111" s="1"/>
    </row>
    <row r="112" spans="1:13" s="2" customFormat="1" ht="13.5" thickTop="1" x14ac:dyDescent="0.2">
      <c r="A112" s="24"/>
      <c r="B112" s="1"/>
      <c r="C112" s="62"/>
      <c r="D112" s="65"/>
      <c r="E112" s="66"/>
      <c r="F112" s="67"/>
      <c r="G112" s="54"/>
      <c r="I112" s="1"/>
      <c r="J112" s="1"/>
      <c r="K112" s="1"/>
      <c r="L112" s="1"/>
      <c r="M112" s="1"/>
    </row>
    <row r="113" spans="1:13" s="2" customFormat="1" x14ac:dyDescent="0.2">
      <c r="A113" s="24"/>
      <c r="B113" s="1"/>
      <c r="C113" s="62" t="str">
        <f>"01-04-2023 to " &amp;C110</f>
        <v>01-04-2023 to 21-07-2023</v>
      </c>
      <c r="D113" s="68">
        <f>+D111+15505.53</f>
        <v>19318.12</v>
      </c>
      <c r="E113" s="68">
        <f>+E111+1109.72</f>
        <v>1296.04</v>
      </c>
      <c r="F113" s="68">
        <f>+F111+16615.25</f>
        <v>20614.16</v>
      </c>
      <c r="G113" s="54"/>
      <c r="I113" s="1"/>
      <c r="J113" s="1"/>
      <c r="K113" s="1"/>
      <c r="L113" s="1"/>
      <c r="M113" s="1"/>
    </row>
    <row r="114" spans="1:13" x14ac:dyDescent="0.2">
      <c r="C114" s="52"/>
      <c r="D114" s="85"/>
      <c r="E114" s="53"/>
      <c r="F114" s="53"/>
      <c r="G114" s="54"/>
      <c r="H114" s="2" t="s">
        <v>396</v>
      </c>
    </row>
    <row r="115" spans="1:13" s="2" customFormat="1" x14ac:dyDescent="0.2">
      <c r="A115" s="24"/>
      <c r="B115" s="1"/>
      <c r="C115" s="52"/>
      <c r="D115" s="85"/>
      <c r="E115" s="53"/>
      <c r="F115" s="53"/>
      <c r="G115" s="54"/>
      <c r="H115" s="53"/>
    </row>
    <row r="116" spans="1:13" x14ac:dyDescent="0.2">
      <c r="C116" s="52"/>
      <c r="D116" s="85"/>
      <c r="E116" s="53"/>
      <c r="F116" s="53"/>
      <c r="G116" s="54"/>
      <c r="H116" s="53" t="s">
        <v>396</v>
      </c>
    </row>
    <row r="117" spans="1:13" x14ac:dyDescent="0.2">
      <c r="C117" s="52"/>
      <c r="D117" s="85"/>
      <c r="E117" s="53"/>
      <c r="F117" s="53"/>
      <c r="G117" s="54"/>
      <c r="H117" s="53" t="s">
        <v>396</v>
      </c>
      <c r="J117" s="42"/>
    </row>
    <row r="118" spans="1:13" x14ac:dyDescent="0.2">
      <c r="G118" s="54"/>
      <c r="H118" s="53"/>
      <c r="I118" s="101"/>
    </row>
    <row r="119" spans="1:13" x14ac:dyDescent="0.2">
      <c r="G119" s="54"/>
      <c r="H119" s="53"/>
    </row>
    <row r="120" spans="1:13" x14ac:dyDescent="0.2">
      <c r="G120" s="54"/>
      <c r="H120" s="53"/>
    </row>
    <row r="121" spans="1:13" x14ac:dyDescent="0.2">
      <c r="H121" s="53"/>
    </row>
  </sheetData>
  <mergeCells count="6">
    <mergeCell ref="C107:F107"/>
    <mergeCell ref="A1:G1"/>
    <mergeCell ref="A3:F3"/>
    <mergeCell ref="A9:F9"/>
    <mergeCell ref="A16:F16"/>
    <mergeCell ref="A56:D56"/>
  </mergeCells>
  <conditionalFormatting sqref="G53:G54">
    <cfRule type="cellIs" dxfId="401" priority="1" operator="lessThan">
      <formula>0</formula>
    </cfRule>
  </conditionalFormatting>
  <conditionalFormatting sqref="C18">
    <cfRule type="duplicateValues" dxfId="400" priority="2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A00-000000000000}">
  <sheetPr codeName="Sheet386">
    <pageSetUpPr fitToPage="1"/>
  </sheetPr>
  <dimension ref="A1:N133"/>
  <sheetViews>
    <sheetView topLeftCell="A19" zoomScaleNormal="100" workbookViewId="0">
      <selection activeCell="C34" sqref="C34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1245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45131</v>
      </c>
      <c r="B5" s="9" t="s">
        <v>6</v>
      </c>
      <c r="C5" s="10" t="s">
        <v>7</v>
      </c>
      <c r="D5" s="11"/>
      <c r="E5" s="12">
        <v>277691.7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277691.7</v>
      </c>
      <c r="F6" s="16">
        <f>SUM(F5:F5)</f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+E6-F6</f>
        <v>277691.7</v>
      </c>
      <c r="F7" s="22"/>
      <c r="G7" s="23"/>
      <c r="H7" s="112"/>
      <c r="I7" s="112"/>
      <c r="J7" s="13"/>
    </row>
    <row r="8" spans="1:10" ht="12.75" customHeight="1" x14ac:dyDescent="0.4">
      <c r="H8" s="112"/>
      <c r="I8" s="112"/>
    </row>
    <row r="9" spans="1:10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12"/>
    </row>
    <row r="10" spans="1:10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12"/>
    </row>
    <row r="11" spans="1:10" s="2" customFormat="1" ht="14.25" customHeight="1" x14ac:dyDescent="0.2">
      <c r="A11" s="89">
        <v>45131</v>
      </c>
      <c r="B11" s="9" t="s">
        <v>6</v>
      </c>
      <c r="C11" s="10" t="s">
        <v>7</v>
      </c>
      <c r="D11" s="11"/>
      <c r="F11" s="12">
        <v>17633586.34</v>
      </c>
      <c r="G11" s="1"/>
      <c r="H11" s="130" t="s">
        <v>396</v>
      </c>
      <c r="I11" s="130"/>
    </row>
    <row r="12" spans="1:10" s="70" customFormat="1" ht="12.75" customHeight="1" x14ac:dyDescent="0.2">
      <c r="A12" s="127">
        <v>45131</v>
      </c>
      <c r="B12" s="128" t="s">
        <v>6</v>
      </c>
      <c r="C12" s="10" t="s">
        <v>1255</v>
      </c>
      <c r="D12" s="11" t="s">
        <v>13</v>
      </c>
      <c r="E12" s="86">
        <v>4500000</v>
      </c>
      <c r="G12" s="30"/>
      <c r="I12" s="69"/>
      <c r="J12" s="69"/>
    </row>
    <row r="13" spans="1:10" s="70" customFormat="1" ht="12.75" customHeight="1" x14ac:dyDescent="0.2">
      <c r="A13" s="127">
        <v>45131</v>
      </c>
      <c r="B13" s="128" t="s">
        <v>6</v>
      </c>
      <c r="C13" s="10" t="s">
        <v>1253</v>
      </c>
      <c r="D13" s="11" t="s">
        <v>13</v>
      </c>
      <c r="E13" s="86">
        <v>554858</v>
      </c>
      <c r="F13" s="86"/>
      <c r="G13" s="30"/>
      <c r="I13" s="69"/>
      <c r="J13" s="69"/>
    </row>
    <row r="14" spans="1:10" s="2" customFormat="1" ht="14.25" customHeight="1" x14ac:dyDescent="0.2">
      <c r="A14" s="127">
        <v>45131</v>
      </c>
      <c r="B14" s="128" t="s">
        <v>6</v>
      </c>
      <c r="C14" s="10" t="s">
        <v>584</v>
      </c>
      <c r="D14" s="11" t="s">
        <v>1243</v>
      </c>
      <c r="F14" s="86">
        <v>192978</v>
      </c>
      <c r="G14" s="1"/>
      <c r="H14" s="130"/>
      <c r="I14" s="130"/>
    </row>
    <row r="15" spans="1:10" s="2" customFormat="1" ht="14.25" customHeight="1" x14ac:dyDescent="0.2">
      <c r="A15" s="127">
        <v>45131</v>
      </c>
      <c r="B15" s="128" t="s">
        <v>6</v>
      </c>
      <c r="C15" s="10" t="s">
        <v>1251</v>
      </c>
      <c r="D15" s="11" t="s">
        <v>1243</v>
      </c>
      <c r="F15" s="86">
        <v>21250</v>
      </c>
      <c r="G15" s="1"/>
      <c r="H15" s="130"/>
      <c r="I15" s="130"/>
    </row>
    <row r="16" spans="1:10" s="2" customFormat="1" ht="14.25" customHeight="1" x14ac:dyDescent="0.2">
      <c r="A16" s="127">
        <v>45131</v>
      </c>
      <c r="B16" s="128" t="s">
        <v>6</v>
      </c>
      <c r="C16" s="10" t="s">
        <v>1252</v>
      </c>
      <c r="D16" s="11" t="s">
        <v>1243</v>
      </c>
      <c r="F16" s="86">
        <v>85912.26</v>
      </c>
      <c r="G16" s="1"/>
      <c r="H16" s="130"/>
      <c r="I16" s="130"/>
    </row>
    <row r="17" spans="1:10" s="2" customFormat="1" ht="14.25" customHeight="1" x14ac:dyDescent="0.2">
      <c r="A17" s="127">
        <v>45131</v>
      </c>
      <c r="B17" s="128" t="s">
        <v>6</v>
      </c>
      <c r="C17" s="10" t="s">
        <v>642</v>
      </c>
      <c r="D17" s="11" t="s">
        <v>1243</v>
      </c>
      <c r="F17" s="86">
        <v>16252</v>
      </c>
      <c r="G17" s="1"/>
      <c r="H17" s="130"/>
      <c r="I17" s="130"/>
    </row>
    <row r="18" spans="1:10" s="2" customFormat="1" ht="14.25" customHeight="1" x14ac:dyDescent="0.2">
      <c r="A18" s="127">
        <v>45131</v>
      </c>
      <c r="B18" s="128" t="s">
        <v>6</v>
      </c>
      <c r="C18" s="10" t="s">
        <v>1078</v>
      </c>
      <c r="D18" s="11" t="s">
        <v>1243</v>
      </c>
      <c r="F18" s="86">
        <v>9204</v>
      </c>
      <c r="G18" s="1"/>
      <c r="H18" s="130"/>
      <c r="I18" s="130"/>
    </row>
    <row r="19" spans="1:10" s="2" customFormat="1" ht="12.75" customHeight="1" x14ac:dyDescent="0.4">
      <c r="D19" s="11" t="s">
        <v>8</v>
      </c>
      <c r="E19" s="16">
        <f>SUM(E12:E18)</f>
        <v>5054858</v>
      </c>
      <c r="F19" s="16">
        <f>SUM(F11:F18)</f>
        <v>17959182.600000001</v>
      </c>
      <c r="G19" s="1"/>
      <c r="H19" s="112"/>
      <c r="I19" s="112"/>
    </row>
    <row r="20" spans="1:10" s="2" customFormat="1" ht="12.75" customHeight="1" x14ac:dyDescent="0.4">
      <c r="A20" s="17"/>
      <c r="B20" s="18"/>
      <c r="C20" s="96" t="s">
        <v>9</v>
      </c>
      <c r="D20" s="20"/>
      <c r="E20" s="21">
        <f>+F19-E19</f>
        <v>12904324.600000001</v>
      </c>
      <c r="G20" s="23"/>
      <c r="H20" s="112"/>
      <c r="I20" s="112"/>
      <c r="J20" s="13"/>
    </row>
    <row r="21" spans="1:10" s="2" customFormat="1" ht="12.75" customHeight="1" x14ac:dyDescent="0.4">
      <c r="A21" s="24"/>
      <c r="B21" s="1"/>
      <c r="C21" s="14"/>
      <c r="D21" s="25"/>
      <c r="G21" s="23"/>
      <c r="H21" s="112"/>
      <c r="I21" s="112"/>
      <c r="J21" s="13"/>
    </row>
    <row r="22" spans="1:10" s="2" customFormat="1" ht="21.75" customHeight="1" x14ac:dyDescent="0.4">
      <c r="A22" s="214" t="s">
        <v>10</v>
      </c>
      <c r="B22" s="214"/>
      <c r="C22" s="214"/>
      <c r="D22" s="214"/>
      <c r="E22" s="214"/>
      <c r="F22" s="214"/>
      <c r="G22" s="13"/>
      <c r="H22" s="112"/>
      <c r="I22" s="112"/>
      <c r="J22" s="13"/>
    </row>
    <row r="23" spans="1:10" s="2" customFormat="1" ht="12.75" customHeight="1" x14ac:dyDescent="0.4">
      <c r="A23" s="26" t="s">
        <v>1</v>
      </c>
      <c r="B23" s="27" t="s">
        <v>2</v>
      </c>
      <c r="C23" s="5"/>
      <c r="D23" s="6" t="s">
        <v>3</v>
      </c>
      <c r="E23" s="7" t="s">
        <v>4</v>
      </c>
      <c r="F23" s="7" t="s">
        <v>5</v>
      </c>
      <c r="G23" s="23"/>
      <c r="H23" s="112"/>
      <c r="I23" s="112"/>
      <c r="J23" s="13"/>
    </row>
    <row r="24" spans="1:10" s="2" customFormat="1" ht="12.75" customHeight="1" x14ac:dyDescent="0.2">
      <c r="A24" s="127">
        <v>45131</v>
      </c>
      <c r="B24" s="128" t="s">
        <v>11</v>
      </c>
      <c r="C24" s="29" t="s">
        <v>7</v>
      </c>
      <c r="D24" s="25"/>
      <c r="E24" s="31"/>
      <c r="F24" s="2">
        <v>278837364.92999989</v>
      </c>
      <c r="G24" s="30"/>
      <c r="I24" s="13"/>
      <c r="J24" s="13"/>
    </row>
    <row r="25" spans="1:10" s="70" customFormat="1" ht="12.75" customHeight="1" x14ac:dyDescent="0.2">
      <c r="A25" s="127">
        <v>45131</v>
      </c>
      <c r="B25" s="128" t="s">
        <v>6</v>
      </c>
      <c r="C25" s="10" t="s">
        <v>316</v>
      </c>
      <c r="D25" s="11" t="s">
        <v>13</v>
      </c>
      <c r="E25" s="86">
        <v>2429</v>
      </c>
      <c r="G25" s="30"/>
      <c r="I25" s="69"/>
      <c r="J25" s="69"/>
    </row>
    <row r="26" spans="1:10" s="70" customFormat="1" ht="12.75" customHeight="1" x14ac:dyDescent="0.2">
      <c r="A26" s="127">
        <v>45131</v>
      </c>
      <c r="B26" s="128" t="s">
        <v>6</v>
      </c>
      <c r="C26" s="10" t="s">
        <v>1246</v>
      </c>
      <c r="D26" s="11" t="s">
        <v>13</v>
      </c>
      <c r="E26" s="86">
        <v>200000</v>
      </c>
      <c r="G26" s="30"/>
      <c r="I26" s="69"/>
      <c r="J26" s="69"/>
    </row>
    <row r="27" spans="1:10" s="70" customFormat="1" ht="12.75" customHeight="1" x14ac:dyDescent="0.2">
      <c r="A27" s="127">
        <v>45131</v>
      </c>
      <c r="B27" s="128" t="s">
        <v>6</v>
      </c>
      <c r="C27" s="10" t="s">
        <v>164</v>
      </c>
      <c r="D27" s="11" t="s">
        <v>13</v>
      </c>
      <c r="E27" s="86">
        <v>600000</v>
      </c>
      <c r="G27" s="30"/>
      <c r="I27" s="69"/>
      <c r="J27" s="69"/>
    </row>
    <row r="28" spans="1:10" s="70" customFormat="1" ht="12.75" customHeight="1" x14ac:dyDescent="0.2">
      <c r="A28" s="127">
        <v>45131</v>
      </c>
      <c r="B28" s="128" t="s">
        <v>6</v>
      </c>
      <c r="C28" s="10" t="s">
        <v>966</v>
      </c>
      <c r="D28" s="11" t="s">
        <v>13</v>
      </c>
      <c r="E28" s="86">
        <v>656326</v>
      </c>
      <c r="G28" s="30"/>
      <c r="I28" s="69"/>
      <c r="J28" s="69"/>
    </row>
    <row r="29" spans="1:10" s="70" customFormat="1" ht="12.75" customHeight="1" x14ac:dyDescent="0.2">
      <c r="A29" s="127">
        <v>45131</v>
      </c>
      <c r="B29" s="128" t="s">
        <v>6</v>
      </c>
      <c r="C29" s="10" t="s">
        <v>915</v>
      </c>
      <c r="D29" s="11" t="s">
        <v>13</v>
      </c>
      <c r="E29" s="86">
        <v>23990</v>
      </c>
      <c r="G29" s="30"/>
      <c r="I29" s="69"/>
      <c r="J29" s="69"/>
    </row>
    <row r="30" spans="1:10" s="70" customFormat="1" ht="12.75" customHeight="1" x14ac:dyDescent="0.2">
      <c r="A30" s="127">
        <v>45131</v>
      </c>
      <c r="B30" s="128" t="s">
        <v>6</v>
      </c>
      <c r="C30" s="10" t="s">
        <v>1247</v>
      </c>
      <c r="D30" s="11" t="s">
        <v>13</v>
      </c>
      <c r="E30" s="86">
        <v>107586</v>
      </c>
      <c r="G30" s="30"/>
      <c r="I30" s="69"/>
      <c r="J30" s="69"/>
    </row>
    <row r="31" spans="1:10" s="70" customFormat="1" ht="12.75" customHeight="1" x14ac:dyDescent="0.2">
      <c r="A31" s="127">
        <v>45131</v>
      </c>
      <c r="B31" s="128" t="s">
        <v>6</v>
      </c>
      <c r="C31" s="10" t="s">
        <v>972</v>
      </c>
      <c r="D31" s="11" t="s">
        <v>13</v>
      </c>
      <c r="E31" s="86">
        <v>171675</v>
      </c>
      <c r="G31" s="30"/>
      <c r="I31" s="69"/>
      <c r="J31" s="69"/>
    </row>
    <row r="32" spans="1:10" s="70" customFormat="1" ht="12.75" customHeight="1" x14ac:dyDescent="0.2">
      <c r="A32" s="127">
        <v>45131</v>
      </c>
      <c r="B32" s="128" t="s">
        <v>6</v>
      </c>
      <c r="C32" s="10" t="s">
        <v>679</v>
      </c>
      <c r="D32" s="11" t="s">
        <v>13</v>
      </c>
      <c r="E32" s="86">
        <v>2168193</v>
      </c>
      <c r="G32" s="30"/>
      <c r="I32" s="69"/>
      <c r="J32" s="69"/>
    </row>
    <row r="33" spans="1:14" s="70" customFormat="1" ht="12.75" customHeight="1" x14ac:dyDescent="0.2">
      <c r="A33" s="127">
        <v>45131</v>
      </c>
      <c r="B33" s="128" t="s">
        <v>6</v>
      </c>
      <c r="C33" s="10" t="s">
        <v>103</v>
      </c>
      <c r="D33" s="11" t="s">
        <v>13</v>
      </c>
      <c r="E33" s="86">
        <v>605028</v>
      </c>
      <c r="G33" s="30"/>
      <c r="I33" s="69"/>
      <c r="J33" s="69"/>
    </row>
    <row r="34" spans="1:14" s="70" customFormat="1" ht="12.75" customHeight="1" x14ac:dyDescent="0.2">
      <c r="A34" s="127">
        <v>45131</v>
      </c>
      <c r="B34" s="128" t="s">
        <v>6</v>
      </c>
      <c r="C34" s="10" t="s">
        <v>149</v>
      </c>
      <c r="D34" s="11" t="s">
        <v>13</v>
      </c>
      <c r="E34" s="86">
        <v>7484</v>
      </c>
      <c r="G34" s="30"/>
      <c r="I34" s="69"/>
      <c r="J34" s="69"/>
    </row>
    <row r="35" spans="1:14" s="70" customFormat="1" ht="12.75" customHeight="1" x14ac:dyDescent="0.2">
      <c r="A35" s="127">
        <v>45131</v>
      </c>
      <c r="B35" s="128" t="s">
        <v>6</v>
      </c>
      <c r="C35" s="10" t="s">
        <v>1248</v>
      </c>
      <c r="D35" s="11" t="s">
        <v>13</v>
      </c>
      <c r="E35" s="86">
        <v>1195929</v>
      </c>
      <c r="G35" s="30"/>
      <c r="I35" s="69"/>
      <c r="J35" s="69"/>
    </row>
    <row r="36" spans="1:14" s="70" customFormat="1" ht="12.75" customHeight="1" x14ac:dyDescent="0.2">
      <c r="A36" s="127">
        <v>45131</v>
      </c>
      <c r="B36" s="128" t="s">
        <v>6</v>
      </c>
      <c r="C36" s="10" t="s">
        <v>827</v>
      </c>
      <c r="D36" s="11" t="s">
        <v>13</v>
      </c>
      <c r="E36" s="86">
        <v>75600</v>
      </c>
      <c r="G36" s="30"/>
      <c r="I36" s="69"/>
      <c r="J36" s="69"/>
    </row>
    <row r="37" spans="1:14" s="70" customFormat="1" ht="12.75" customHeight="1" x14ac:dyDescent="0.2">
      <c r="A37" s="127">
        <v>45131</v>
      </c>
      <c r="B37" s="128" t="s">
        <v>6</v>
      </c>
      <c r="C37" s="10" t="s">
        <v>1249</v>
      </c>
      <c r="D37" s="11" t="s">
        <v>13</v>
      </c>
      <c r="E37" s="86">
        <v>9700493</v>
      </c>
      <c r="G37" s="30"/>
      <c r="I37" s="69"/>
      <c r="J37" s="69"/>
    </row>
    <row r="38" spans="1:14" s="70" customFormat="1" ht="12.75" customHeight="1" x14ac:dyDescent="0.2">
      <c r="A38" s="127">
        <v>45131</v>
      </c>
      <c r="B38" s="128" t="s">
        <v>6</v>
      </c>
      <c r="C38" s="10" t="s">
        <v>364</v>
      </c>
      <c r="D38" s="11" t="s">
        <v>13</v>
      </c>
      <c r="E38" s="86">
        <v>650977</v>
      </c>
      <c r="G38" s="30"/>
      <c r="I38" s="69"/>
      <c r="J38" s="69"/>
    </row>
    <row r="39" spans="1:14" s="70" customFormat="1" ht="12.75" customHeight="1" x14ac:dyDescent="0.2">
      <c r="A39" s="127">
        <v>45131</v>
      </c>
      <c r="B39" s="128" t="s">
        <v>11</v>
      </c>
      <c r="C39" s="10" t="s">
        <v>111</v>
      </c>
      <c r="D39" s="125" t="s">
        <v>29</v>
      </c>
      <c r="E39" s="31"/>
      <c r="F39" s="70">
        <v>3519378.4</v>
      </c>
      <c r="G39" s="30"/>
      <c r="I39" s="69"/>
      <c r="J39" s="69"/>
    </row>
    <row r="40" spans="1:14" s="70" customFormat="1" ht="12.75" customHeight="1" x14ac:dyDescent="0.2">
      <c r="A40" s="127">
        <v>45131</v>
      </c>
      <c r="B40" s="128" t="s">
        <v>11</v>
      </c>
      <c r="C40" s="10" t="s">
        <v>109</v>
      </c>
      <c r="D40" s="125" t="s">
        <v>29</v>
      </c>
      <c r="E40" s="31"/>
      <c r="F40" s="70">
        <v>459146</v>
      </c>
      <c r="G40" s="30"/>
      <c r="I40" s="69"/>
      <c r="J40" s="69"/>
    </row>
    <row r="41" spans="1:14" s="70" customFormat="1" ht="12.75" customHeight="1" x14ac:dyDescent="0.2">
      <c r="A41" s="127">
        <v>45131</v>
      </c>
      <c r="B41" s="128" t="s">
        <v>11</v>
      </c>
      <c r="C41" s="10" t="s">
        <v>284</v>
      </c>
      <c r="D41" s="125" t="s">
        <v>29</v>
      </c>
      <c r="E41" s="31"/>
      <c r="F41" s="70">
        <v>901587</v>
      </c>
      <c r="G41" s="30"/>
      <c r="I41" s="69"/>
      <c r="J41" s="69"/>
    </row>
    <row r="42" spans="1:14" s="70" customFormat="1" ht="12.75" customHeight="1" x14ac:dyDescent="0.2">
      <c r="A42" s="127">
        <v>45131</v>
      </c>
      <c r="B42" s="128" t="s">
        <v>11</v>
      </c>
      <c r="C42" s="10" t="s">
        <v>64</v>
      </c>
      <c r="D42" s="125" t="s">
        <v>29</v>
      </c>
      <c r="E42" s="31"/>
      <c r="F42" s="70">
        <v>12555.949999999993</v>
      </c>
      <c r="G42" s="30"/>
      <c r="I42" s="69"/>
      <c r="J42" s="69"/>
    </row>
    <row r="43" spans="1:14" s="70" customFormat="1" ht="12.75" customHeight="1" x14ac:dyDescent="0.2">
      <c r="A43" s="127">
        <v>45131</v>
      </c>
      <c r="B43" s="128" t="s">
        <v>11</v>
      </c>
      <c r="C43" s="10" t="s">
        <v>15</v>
      </c>
      <c r="D43" s="125" t="s">
        <v>29</v>
      </c>
      <c r="E43" s="31"/>
      <c r="F43" s="70">
        <v>18754.79</v>
      </c>
      <c r="G43" s="30"/>
      <c r="I43" s="69"/>
      <c r="J43" s="69"/>
    </row>
    <row r="44" spans="1:14" s="70" customFormat="1" ht="12.75" customHeight="1" x14ac:dyDescent="0.2">
      <c r="A44" s="127">
        <v>45131</v>
      </c>
      <c r="B44" s="128" t="s">
        <v>11</v>
      </c>
      <c r="C44" s="10" t="s">
        <v>1250</v>
      </c>
      <c r="D44" s="125" t="s">
        <v>29</v>
      </c>
      <c r="E44" s="31"/>
      <c r="F44" s="70">
        <v>14000000</v>
      </c>
      <c r="G44" s="30"/>
      <c r="I44" s="69"/>
      <c r="J44" s="69"/>
    </row>
    <row r="45" spans="1:14" s="2" customFormat="1" ht="12.75" customHeight="1" x14ac:dyDescent="0.2">
      <c r="A45" s="32"/>
      <c r="B45" s="33"/>
      <c r="C45" s="14"/>
      <c r="D45" s="34"/>
      <c r="E45" s="16">
        <f>SUM(E24:E44)</f>
        <v>16165710</v>
      </c>
      <c r="F45" s="16">
        <f>SUM(F24:F44)</f>
        <v>297748787.06999987</v>
      </c>
      <c r="G45" s="30"/>
      <c r="H45" s="1"/>
      <c r="I45" s="38">
        <v>281576784.29000002</v>
      </c>
      <c r="J45" s="2" t="s">
        <v>396</v>
      </c>
      <c r="K45" s="92">
        <f>E46-I45</f>
        <v>6292.7799998521805</v>
      </c>
      <c r="L45" s="41"/>
      <c r="M45" s="42"/>
    </row>
    <row r="46" spans="1:14" s="2" customFormat="1" ht="12.75" customHeight="1" x14ac:dyDescent="0.2">
      <c r="A46" s="36"/>
      <c r="B46" s="28" t="s">
        <v>11</v>
      </c>
      <c r="C46" s="19" t="s">
        <v>65</v>
      </c>
      <c r="D46" s="37"/>
      <c r="E46" s="38">
        <f>F45-E45</f>
        <v>281583077.06999987</v>
      </c>
      <c r="F46" s="22"/>
      <c r="G46" s="1"/>
      <c r="H46" s="1"/>
      <c r="J46" s="1"/>
      <c r="K46" s="1"/>
      <c r="L46" s="1"/>
      <c r="M46" s="1"/>
    </row>
    <row r="47" spans="1:14" s="2" customFormat="1" ht="12.75" customHeight="1" x14ac:dyDescent="0.2">
      <c r="A47" s="36"/>
      <c r="B47" s="28" t="s">
        <v>66</v>
      </c>
      <c r="C47" s="43" t="s">
        <v>67</v>
      </c>
      <c r="D47" s="43"/>
      <c r="E47" s="12">
        <f>59416310-7500000-1600000</f>
        <v>50316310</v>
      </c>
      <c r="F47" s="22"/>
      <c r="G47" s="1"/>
      <c r="H47" s="40"/>
      <c r="I47" s="45">
        <v>3541.91</v>
      </c>
      <c r="J47" s="46"/>
      <c r="K47" s="46"/>
      <c r="L47" s="13"/>
      <c r="M47" s="69" t="s">
        <v>396</v>
      </c>
    </row>
    <row r="48" spans="1:14" s="2" customFormat="1" ht="12.75" customHeight="1" x14ac:dyDescent="0.25">
      <c r="A48" s="36"/>
      <c r="B48" s="28"/>
      <c r="C48" s="44" t="s">
        <v>68</v>
      </c>
      <c r="D48" s="43"/>
      <c r="E48" s="7">
        <f>E46+E47</f>
        <v>331899387.06999987</v>
      </c>
      <c r="F48" s="22"/>
      <c r="G48" s="1"/>
      <c r="H48" s="103" t="s">
        <v>69</v>
      </c>
      <c r="I48" s="45">
        <v>-22.01</v>
      </c>
      <c r="J48" s="46"/>
      <c r="K48" s="46"/>
      <c r="N48" s="1"/>
    </row>
    <row r="49" spans="1:14" s="2" customFormat="1" x14ac:dyDescent="0.2">
      <c r="A49" s="24"/>
      <c r="B49" s="1"/>
      <c r="C49" s="14"/>
      <c r="D49" s="25"/>
      <c r="E49" s="1"/>
      <c r="H49" s="35" t="s">
        <v>70</v>
      </c>
      <c r="I49" s="45">
        <v>0.19</v>
      </c>
      <c r="J49" s="46">
        <f>+I50-D52</f>
        <v>0</v>
      </c>
      <c r="M49" s="2" t="s">
        <v>396</v>
      </c>
      <c r="N49" s="1"/>
    </row>
    <row r="50" spans="1:14" x14ac:dyDescent="0.2">
      <c r="C50" s="56"/>
      <c r="D50" s="56"/>
      <c r="E50" s="104"/>
      <c r="I50" s="49">
        <f>SUM(I47:I49)</f>
        <v>3520.0899999999997</v>
      </c>
      <c r="J50" s="46"/>
      <c r="K50" s="46"/>
      <c r="L50" s="2"/>
      <c r="M50" s="2"/>
      <c r="N50" s="2"/>
    </row>
    <row r="51" spans="1:14" x14ac:dyDescent="0.2">
      <c r="C51" s="78" t="s">
        <v>575</v>
      </c>
      <c r="D51" s="48" t="s">
        <v>576</v>
      </c>
      <c r="E51" s="104"/>
      <c r="I51" s="2"/>
      <c r="J51" s="2"/>
      <c r="K51" s="2"/>
      <c r="L51" s="2"/>
      <c r="M51" s="2"/>
      <c r="N51" s="2"/>
    </row>
    <row r="52" spans="1:14" s="2" customFormat="1" x14ac:dyDescent="0.2">
      <c r="A52" s="24"/>
      <c r="B52" s="1"/>
      <c r="C52" s="47" t="s">
        <v>570</v>
      </c>
      <c r="D52" s="111">
        <v>3520.09</v>
      </c>
      <c r="E52" s="104"/>
      <c r="G52" s="1"/>
      <c r="H52" s="110" t="s">
        <v>581</v>
      </c>
      <c r="N52" s="2" t="s">
        <v>535</v>
      </c>
    </row>
    <row r="53" spans="1:14" s="2" customFormat="1" x14ac:dyDescent="0.2">
      <c r="A53" s="24"/>
      <c r="B53" s="1"/>
      <c r="C53" s="47" t="s">
        <v>931</v>
      </c>
      <c r="D53" s="111">
        <v>314.82</v>
      </c>
      <c r="E53" s="104"/>
      <c r="G53" s="1"/>
      <c r="H53" s="110" t="s">
        <v>580</v>
      </c>
    </row>
    <row r="54" spans="1:14" s="2" customFormat="1" x14ac:dyDescent="0.2">
      <c r="A54" s="24"/>
      <c r="B54" s="1"/>
      <c r="C54" s="47" t="s">
        <v>572</v>
      </c>
      <c r="D54" s="111">
        <f>+D117/100000</f>
        <v>660.62957919999997</v>
      </c>
      <c r="E54" s="104"/>
      <c r="G54" s="1"/>
      <c r="H54" s="90" t="s">
        <v>587</v>
      </c>
    </row>
    <row r="55" spans="1:14" s="2" customFormat="1" x14ac:dyDescent="0.2">
      <c r="A55" s="24"/>
      <c r="B55" s="1"/>
      <c r="C55" s="108" t="s">
        <v>578</v>
      </c>
      <c r="D55" s="48">
        <f>SUM(D52:D54)</f>
        <v>4495.5395791999999</v>
      </c>
      <c r="E55" s="104"/>
      <c r="G55" s="1"/>
    </row>
    <row r="56" spans="1:14" s="2" customFormat="1" x14ac:dyDescent="0.2">
      <c r="A56" s="24"/>
      <c r="B56" s="1"/>
      <c r="C56" s="47"/>
      <c r="D56" s="107"/>
      <c r="E56" s="104"/>
      <c r="G56" s="1"/>
    </row>
    <row r="57" spans="1:14" s="2" customFormat="1" x14ac:dyDescent="0.2">
      <c r="A57" s="24"/>
      <c r="B57" s="1"/>
      <c r="C57" s="47" t="s">
        <v>932</v>
      </c>
      <c r="D57" s="111">
        <v>152.72</v>
      </c>
      <c r="E57" s="104"/>
      <c r="G57" s="1"/>
      <c r="H57" s="110" t="s">
        <v>581</v>
      </c>
    </row>
    <row r="58" spans="1:14" s="2" customFormat="1" x14ac:dyDescent="0.2">
      <c r="A58" s="24"/>
      <c r="B58" s="1"/>
      <c r="C58" s="136" t="s">
        <v>1142</v>
      </c>
      <c r="D58" s="111">
        <f>274.99-55.45</f>
        <v>219.54000000000002</v>
      </c>
      <c r="E58" s="104"/>
      <c r="G58" s="1"/>
      <c r="H58" s="110" t="s">
        <v>581</v>
      </c>
      <c r="J58" s="114" t="s">
        <v>713</v>
      </c>
    </row>
    <row r="59" spans="1:14" s="2" customFormat="1" x14ac:dyDescent="0.2">
      <c r="A59" s="24"/>
      <c r="B59" s="1"/>
      <c r="C59" s="78" t="s">
        <v>579</v>
      </c>
      <c r="D59" s="109">
        <f>D57+D58</f>
        <v>372.26</v>
      </c>
      <c r="E59" s="104"/>
      <c r="G59" s="1"/>
      <c r="I59" s="113"/>
      <c r="J59" s="113" t="s">
        <v>709</v>
      </c>
      <c r="K59" s="113" t="s">
        <v>710</v>
      </c>
      <c r="L59" s="113" t="s">
        <v>711</v>
      </c>
      <c r="M59" s="113" t="s">
        <v>712</v>
      </c>
    </row>
    <row r="60" spans="1:14" s="2" customFormat="1" x14ac:dyDescent="0.2">
      <c r="A60" s="24"/>
      <c r="B60" s="1"/>
      <c r="C60" s="105"/>
      <c r="D60" s="106"/>
      <c r="E60" s="104"/>
      <c r="G60" s="1"/>
      <c r="I60" s="113" t="s">
        <v>706</v>
      </c>
      <c r="J60" s="115"/>
      <c r="K60" s="115">
        <v>968.99</v>
      </c>
      <c r="L60" s="115">
        <v>968.99</v>
      </c>
      <c r="M60" s="113">
        <f>+J60+L60-K60</f>
        <v>0</v>
      </c>
    </row>
    <row r="61" spans="1:14" s="2" customFormat="1" x14ac:dyDescent="0.2">
      <c r="A61" s="24"/>
      <c r="B61" s="1"/>
      <c r="C61" s="78" t="s">
        <v>577</v>
      </c>
      <c r="D61" s="109">
        <f>D52+D59</f>
        <v>3892.3500000000004</v>
      </c>
      <c r="E61" s="104"/>
      <c r="G61" s="1"/>
      <c r="I61" s="113" t="s">
        <v>707</v>
      </c>
      <c r="J61" s="115">
        <v>183.1</v>
      </c>
      <c r="K61" s="115">
        <v>2801.09</v>
      </c>
      <c r="L61" s="115">
        <v>3389.83</v>
      </c>
      <c r="M61" s="113">
        <f>+J61+L61-K61</f>
        <v>771.83999999999969</v>
      </c>
    </row>
    <row r="62" spans="1:14" s="2" customFormat="1" x14ac:dyDescent="0.2">
      <c r="A62" s="24"/>
      <c r="B62" s="1"/>
      <c r="C62" s="56"/>
      <c r="D62" s="56"/>
      <c r="E62" s="104"/>
      <c r="G62" s="1"/>
      <c r="I62" s="113" t="s">
        <v>708</v>
      </c>
      <c r="J62" s="115">
        <v>1371.02</v>
      </c>
      <c r="K62" s="115">
        <v>13024.78</v>
      </c>
      <c r="L62" s="115">
        <v>12679.44</v>
      </c>
      <c r="M62" s="113">
        <f>+J62+L62-K62</f>
        <v>1025.6800000000003</v>
      </c>
    </row>
    <row r="63" spans="1:14" s="2" customFormat="1" ht="38.25" x14ac:dyDescent="0.2">
      <c r="A63" s="24"/>
      <c r="B63" s="1"/>
      <c r="C63" s="79" t="str">
        <f>"Particulars ( 01-04-2021 to "&amp;TEXT(A5,"dd-mm-yyyy")&amp;" )"</f>
        <v>Particulars ( 01-04-2021 to 24-07-2023 )</v>
      </c>
      <c r="D63" s="80" t="s">
        <v>73</v>
      </c>
      <c r="E63" s="80" t="s">
        <v>74</v>
      </c>
      <c r="F63" s="81" t="s">
        <v>75</v>
      </c>
      <c r="G63" s="80" t="s">
        <v>76</v>
      </c>
      <c r="J63" s="118">
        <f>SUM(J60:J62)</f>
        <v>1554.12</v>
      </c>
      <c r="K63" s="118">
        <f>SUM(K60:K62)</f>
        <v>16794.86</v>
      </c>
      <c r="L63" s="118">
        <f>SUM(L60:L62)</f>
        <v>17038.260000000002</v>
      </c>
      <c r="M63" s="118">
        <f>SUM(M60:M62)</f>
        <v>1797.52</v>
      </c>
    </row>
    <row r="64" spans="1:14" s="2" customFormat="1" x14ac:dyDescent="0.2">
      <c r="A64" s="24"/>
      <c r="B64" s="1"/>
      <c r="C64" s="50" t="s">
        <v>444</v>
      </c>
      <c r="D64" s="55">
        <f>+L60+L61+J61</f>
        <v>4541.92</v>
      </c>
      <c r="E64" s="55">
        <f>+K60+K61</f>
        <v>3770.08</v>
      </c>
      <c r="F64" s="55">
        <f>+D64-E64</f>
        <v>771.84000000000015</v>
      </c>
      <c r="G64" s="55">
        <f>1500-F64</f>
        <v>728.15999999999985</v>
      </c>
      <c r="H64" s="2" t="s">
        <v>396</v>
      </c>
    </row>
    <row r="65" spans="1:13" s="2" customFormat="1" x14ac:dyDescent="0.2">
      <c r="A65" s="24"/>
      <c r="B65" s="1"/>
      <c r="C65" s="50" t="s">
        <v>71</v>
      </c>
      <c r="D65" s="55">
        <f>+J62+L62</f>
        <v>14050.460000000001</v>
      </c>
      <c r="E65" s="55">
        <f>+K62</f>
        <v>13024.78</v>
      </c>
      <c r="F65" s="55">
        <f>+D65-E65</f>
        <v>1025.6800000000003</v>
      </c>
      <c r="G65" s="55">
        <f>1500+700-F65</f>
        <v>1174.3199999999997</v>
      </c>
      <c r="H65" s="2" t="s">
        <v>396</v>
      </c>
    </row>
    <row r="66" spans="1:13" s="2" customFormat="1" x14ac:dyDescent="0.2">
      <c r="A66" s="24"/>
      <c r="B66" s="1"/>
      <c r="C66" s="14"/>
      <c r="D66" s="56"/>
      <c r="E66" s="13"/>
      <c r="G66" s="1"/>
    </row>
    <row r="67" spans="1:13" s="2" customFormat="1" x14ac:dyDescent="0.2">
      <c r="A67" s="215" t="s">
        <v>80</v>
      </c>
      <c r="B67" s="216"/>
      <c r="C67" s="216"/>
      <c r="D67" s="217"/>
      <c r="E67" s="69"/>
      <c r="F67" s="70"/>
      <c r="G67" s="1"/>
      <c r="H67" s="53"/>
    </row>
    <row r="68" spans="1:13" s="2" customFormat="1" x14ac:dyDescent="0.2">
      <c r="A68" s="71" t="s">
        <v>81</v>
      </c>
      <c r="B68" s="71"/>
      <c r="C68" s="72" t="s">
        <v>82</v>
      </c>
      <c r="D68" s="73" t="s">
        <v>83</v>
      </c>
      <c r="E68" s="69"/>
      <c r="F68" s="70"/>
      <c r="H68" s="53"/>
    </row>
    <row r="69" spans="1:13" s="2" customFormat="1" x14ac:dyDescent="0.2">
      <c r="A69" s="87">
        <v>45108</v>
      </c>
      <c r="B69" s="120" t="s">
        <v>1052</v>
      </c>
      <c r="C69" s="75" t="s">
        <v>84</v>
      </c>
      <c r="D69" s="88">
        <v>3000000</v>
      </c>
      <c r="G69" s="1"/>
      <c r="L69" s="1"/>
      <c r="M69" s="1"/>
    </row>
    <row r="70" spans="1:13" s="2" customFormat="1" x14ac:dyDescent="0.2">
      <c r="A70" s="87">
        <v>45108</v>
      </c>
      <c r="B70" s="120" t="s">
        <v>1052</v>
      </c>
      <c r="C70" s="75" t="s">
        <v>271</v>
      </c>
      <c r="D70" s="88">
        <v>2323148</v>
      </c>
      <c r="G70" s="1"/>
      <c r="L70" s="1"/>
      <c r="M70" s="1"/>
    </row>
    <row r="71" spans="1:13" s="2" customFormat="1" x14ac:dyDescent="0.2">
      <c r="A71" s="87">
        <v>45110</v>
      </c>
      <c r="B71" s="120" t="s">
        <v>1052</v>
      </c>
      <c r="C71" s="75" t="s">
        <v>85</v>
      </c>
      <c r="D71" s="88">
        <v>732575</v>
      </c>
      <c r="G71" s="1"/>
      <c r="L71" s="1"/>
      <c r="M71" s="1"/>
    </row>
    <row r="72" spans="1:13" s="2" customFormat="1" x14ac:dyDescent="0.2">
      <c r="A72" s="87">
        <v>45110</v>
      </c>
      <c r="B72" s="120" t="s">
        <v>1052</v>
      </c>
      <c r="C72" s="75" t="s">
        <v>86</v>
      </c>
      <c r="D72" s="88">
        <v>2676974</v>
      </c>
      <c r="G72" s="1"/>
      <c r="L72" s="1"/>
      <c r="M72" s="1"/>
    </row>
    <row r="73" spans="1:13" s="2" customFormat="1" x14ac:dyDescent="0.2">
      <c r="A73" s="87">
        <v>45110</v>
      </c>
      <c r="B73" s="120" t="s">
        <v>1052</v>
      </c>
      <c r="C73" s="75" t="s">
        <v>86</v>
      </c>
      <c r="D73" s="88">
        <v>1043475</v>
      </c>
      <c r="G73" s="1"/>
      <c r="L73" s="1"/>
      <c r="M73" s="1"/>
    </row>
    <row r="74" spans="1:13" s="2" customFormat="1" x14ac:dyDescent="0.2">
      <c r="A74" s="87">
        <v>45111</v>
      </c>
      <c r="B74" s="120" t="s">
        <v>1052</v>
      </c>
      <c r="C74" s="75" t="s">
        <v>270</v>
      </c>
      <c r="D74" s="88">
        <v>106093</v>
      </c>
      <c r="G74" s="1"/>
      <c r="L74" s="1"/>
      <c r="M74" s="1"/>
    </row>
    <row r="75" spans="1:13" s="2" customFormat="1" x14ac:dyDescent="0.2">
      <c r="A75" s="87">
        <v>45111</v>
      </c>
      <c r="B75" s="120" t="s">
        <v>1052</v>
      </c>
      <c r="C75" s="75" t="s">
        <v>270</v>
      </c>
      <c r="D75" s="88">
        <v>102393</v>
      </c>
      <c r="G75" s="1"/>
      <c r="L75" s="1"/>
      <c r="M75" s="1"/>
    </row>
    <row r="76" spans="1:13" s="2" customFormat="1" x14ac:dyDescent="0.2">
      <c r="A76" s="87">
        <v>45111</v>
      </c>
      <c r="B76" s="120" t="s">
        <v>1052</v>
      </c>
      <c r="C76" s="75" t="s">
        <v>270</v>
      </c>
      <c r="D76" s="88">
        <v>716336</v>
      </c>
      <c r="G76" s="1"/>
      <c r="L76" s="1"/>
      <c r="M76" s="1"/>
    </row>
    <row r="77" spans="1:13" s="2" customFormat="1" x14ac:dyDescent="0.2">
      <c r="A77" s="87">
        <v>45111</v>
      </c>
      <c r="B77" s="120" t="s">
        <v>1052</v>
      </c>
      <c r="C77" s="75" t="s">
        <v>270</v>
      </c>
      <c r="D77" s="88">
        <v>2504631</v>
      </c>
      <c r="G77" s="1"/>
      <c r="L77" s="1"/>
      <c r="M77" s="1"/>
    </row>
    <row r="78" spans="1:13" s="2" customFormat="1" x14ac:dyDescent="0.2">
      <c r="A78" s="87">
        <v>45111</v>
      </c>
      <c r="B78" s="120" t="s">
        <v>1052</v>
      </c>
      <c r="C78" s="75" t="s">
        <v>270</v>
      </c>
      <c r="D78" s="88">
        <v>141433.92000000001</v>
      </c>
      <c r="G78" s="1"/>
      <c r="L78" s="1"/>
      <c r="M78" s="1"/>
    </row>
    <row r="79" spans="1:13" s="2" customFormat="1" x14ac:dyDescent="0.2">
      <c r="A79" s="87">
        <v>45111</v>
      </c>
      <c r="B79" s="120" t="s">
        <v>1052</v>
      </c>
      <c r="C79" s="75" t="s">
        <v>271</v>
      </c>
      <c r="D79" s="88">
        <v>485258</v>
      </c>
      <c r="G79" s="1"/>
      <c r="L79" s="1"/>
      <c r="M79" s="1"/>
    </row>
    <row r="80" spans="1:13" s="2" customFormat="1" x14ac:dyDescent="0.2">
      <c r="A80" s="87">
        <v>45112</v>
      </c>
      <c r="B80" s="120" t="s">
        <v>1052</v>
      </c>
      <c r="C80" s="75" t="s">
        <v>85</v>
      </c>
      <c r="D80" s="88">
        <v>216478</v>
      </c>
      <c r="G80" s="1"/>
      <c r="L80" s="1"/>
      <c r="M80" s="1"/>
    </row>
    <row r="81" spans="1:13" s="2" customFormat="1" x14ac:dyDescent="0.2">
      <c r="A81" s="87">
        <v>45114</v>
      </c>
      <c r="B81" s="120" t="s">
        <v>1052</v>
      </c>
      <c r="C81" s="75" t="s">
        <v>270</v>
      </c>
      <c r="D81" s="88">
        <v>886333</v>
      </c>
      <c r="G81" s="1"/>
      <c r="L81" s="1"/>
      <c r="M81" s="1"/>
    </row>
    <row r="82" spans="1:13" s="2" customFormat="1" x14ac:dyDescent="0.2">
      <c r="A82" s="87">
        <v>45114</v>
      </c>
      <c r="B82" s="120" t="s">
        <v>1052</v>
      </c>
      <c r="C82" s="75" t="s">
        <v>270</v>
      </c>
      <c r="D82" s="88">
        <v>3119806</v>
      </c>
      <c r="G82" s="1"/>
      <c r="L82" s="1"/>
      <c r="M82" s="1"/>
    </row>
    <row r="83" spans="1:13" s="2" customFormat="1" x14ac:dyDescent="0.2">
      <c r="A83" s="87">
        <v>45114</v>
      </c>
      <c r="B83" s="120" t="s">
        <v>1052</v>
      </c>
      <c r="C83" s="75" t="s">
        <v>271</v>
      </c>
      <c r="D83" s="88">
        <v>151160</v>
      </c>
      <c r="G83" s="1"/>
      <c r="L83" s="1"/>
      <c r="M83" s="1"/>
    </row>
    <row r="84" spans="1:13" s="2" customFormat="1" x14ac:dyDescent="0.2">
      <c r="A84" s="87">
        <v>45114</v>
      </c>
      <c r="B84" s="120" t="s">
        <v>1052</v>
      </c>
      <c r="C84" s="75" t="s">
        <v>271</v>
      </c>
      <c r="D84" s="88">
        <v>285195</v>
      </c>
      <c r="G84" s="1"/>
      <c r="L84" s="1"/>
      <c r="M84" s="1"/>
    </row>
    <row r="85" spans="1:13" s="2" customFormat="1" x14ac:dyDescent="0.2">
      <c r="A85" s="87">
        <v>45114</v>
      </c>
      <c r="B85" s="120" t="s">
        <v>1052</v>
      </c>
      <c r="C85" s="75" t="s">
        <v>201</v>
      </c>
      <c r="D85" s="88">
        <v>128135</v>
      </c>
      <c r="G85" s="1"/>
      <c r="L85" s="1"/>
      <c r="M85" s="1"/>
    </row>
    <row r="86" spans="1:13" s="2" customFormat="1" x14ac:dyDescent="0.2">
      <c r="A86" s="87">
        <v>45114</v>
      </c>
      <c r="B86" s="120" t="s">
        <v>1052</v>
      </c>
      <c r="C86" s="75" t="s">
        <v>323</v>
      </c>
      <c r="D86" s="88">
        <v>2313089</v>
      </c>
      <c r="G86" s="1"/>
      <c r="L86" s="1"/>
      <c r="M86" s="1"/>
    </row>
    <row r="87" spans="1:13" s="2" customFormat="1" x14ac:dyDescent="0.2">
      <c r="A87" s="87">
        <v>45115</v>
      </c>
      <c r="B87" s="120" t="s">
        <v>1052</v>
      </c>
      <c r="C87" s="75" t="s">
        <v>767</v>
      </c>
      <c r="D87" s="88">
        <v>411035</v>
      </c>
      <c r="G87" s="1"/>
      <c r="L87" s="1"/>
      <c r="M87" s="1"/>
    </row>
    <row r="88" spans="1:13" s="2" customFormat="1" x14ac:dyDescent="0.2">
      <c r="A88" s="87">
        <v>45118</v>
      </c>
      <c r="B88" s="120" t="s">
        <v>1052</v>
      </c>
      <c r="C88" s="75" t="s">
        <v>270</v>
      </c>
      <c r="D88" s="88">
        <v>34696</v>
      </c>
      <c r="G88" s="1"/>
      <c r="L88" s="1"/>
      <c r="M88" s="1"/>
    </row>
    <row r="89" spans="1:13" s="2" customFormat="1" x14ac:dyDescent="0.2">
      <c r="A89" s="87">
        <v>45118</v>
      </c>
      <c r="B89" s="120" t="s">
        <v>1052</v>
      </c>
      <c r="C89" s="75" t="s">
        <v>270</v>
      </c>
      <c r="D89" s="88">
        <v>1128922</v>
      </c>
      <c r="G89" s="1"/>
      <c r="L89" s="1"/>
      <c r="M89" s="1"/>
    </row>
    <row r="90" spans="1:13" s="2" customFormat="1" x14ac:dyDescent="0.2">
      <c r="A90" s="87">
        <v>45118</v>
      </c>
      <c r="B90" s="120" t="s">
        <v>1052</v>
      </c>
      <c r="C90" s="75" t="s">
        <v>270</v>
      </c>
      <c r="D90" s="88">
        <v>2865343</v>
      </c>
      <c r="G90" s="1"/>
      <c r="L90" s="1"/>
      <c r="M90" s="1"/>
    </row>
    <row r="91" spans="1:13" s="2" customFormat="1" x14ac:dyDescent="0.2">
      <c r="A91" s="87">
        <v>45118</v>
      </c>
      <c r="B91" s="120" t="s">
        <v>1052</v>
      </c>
      <c r="C91" s="75" t="s">
        <v>270</v>
      </c>
      <c r="D91" s="88">
        <v>1090852</v>
      </c>
      <c r="G91" s="1"/>
      <c r="L91" s="1"/>
      <c r="M91" s="1"/>
    </row>
    <row r="92" spans="1:13" s="2" customFormat="1" x14ac:dyDescent="0.2">
      <c r="A92" s="87">
        <v>45118</v>
      </c>
      <c r="B92" s="120" t="s">
        <v>1052</v>
      </c>
      <c r="C92" s="75" t="s">
        <v>270</v>
      </c>
      <c r="D92" s="88">
        <v>359348</v>
      </c>
      <c r="G92" s="1"/>
      <c r="L92" s="1"/>
      <c r="M92" s="1"/>
    </row>
    <row r="93" spans="1:13" s="2" customFormat="1" x14ac:dyDescent="0.2">
      <c r="A93" s="87">
        <v>45118</v>
      </c>
      <c r="B93" s="120" t="s">
        <v>1052</v>
      </c>
      <c r="C93" s="75" t="s">
        <v>271</v>
      </c>
      <c r="D93" s="88">
        <v>323487</v>
      </c>
      <c r="G93" s="1"/>
      <c r="L93" s="1"/>
      <c r="M93" s="1"/>
    </row>
    <row r="94" spans="1:13" s="2" customFormat="1" x14ac:dyDescent="0.2">
      <c r="A94" s="87">
        <v>45118</v>
      </c>
      <c r="B94" s="120" t="s">
        <v>1052</v>
      </c>
      <c r="C94" s="75" t="s">
        <v>271</v>
      </c>
      <c r="D94" s="88">
        <v>44394</v>
      </c>
      <c r="G94" s="1"/>
      <c r="L94" s="1"/>
      <c r="M94" s="1"/>
    </row>
    <row r="95" spans="1:13" s="2" customFormat="1" x14ac:dyDescent="0.2">
      <c r="A95" s="87">
        <v>45118</v>
      </c>
      <c r="B95" s="120" t="s">
        <v>1052</v>
      </c>
      <c r="C95" s="75" t="s">
        <v>271</v>
      </c>
      <c r="D95" s="88">
        <v>2035052</v>
      </c>
      <c r="G95" s="1"/>
      <c r="L95" s="1"/>
      <c r="M95" s="1"/>
    </row>
    <row r="96" spans="1:13" s="2" customFormat="1" x14ac:dyDescent="0.2">
      <c r="A96" s="87">
        <v>45119</v>
      </c>
      <c r="B96" s="120" t="s">
        <v>1052</v>
      </c>
      <c r="C96" s="75" t="s">
        <v>85</v>
      </c>
      <c r="D96" s="88">
        <v>569516</v>
      </c>
      <c r="G96" s="1"/>
      <c r="L96" s="1"/>
      <c r="M96" s="1"/>
    </row>
    <row r="97" spans="1:13" s="2" customFormat="1" x14ac:dyDescent="0.2">
      <c r="A97" s="87">
        <v>45119</v>
      </c>
      <c r="B97" s="120" t="s">
        <v>1052</v>
      </c>
      <c r="C97" s="75" t="s">
        <v>271</v>
      </c>
      <c r="D97" s="88">
        <v>3074492</v>
      </c>
      <c r="G97" s="1"/>
      <c r="L97" s="1"/>
      <c r="M97" s="1"/>
    </row>
    <row r="98" spans="1:13" s="2" customFormat="1" x14ac:dyDescent="0.2">
      <c r="A98" s="87">
        <v>45119</v>
      </c>
      <c r="B98" s="120" t="s">
        <v>1052</v>
      </c>
      <c r="C98" s="75" t="s">
        <v>270</v>
      </c>
      <c r="D98" s="88">
        <v>1556273</v>
      </c>
      <c r="G98" s="1"/>
      <c r="L98" s="1"/>
      <c r="M98" s="1"/>
    </row>
    <row r="99" spans="1:13" s="2" customFormat="1" x14ac:dyDescent="0.2">
      <c r="A99" s="87">
        <v>45119</v>
      </c>
      <c r="B99" s="120" t="s">
        <v>1052</v>
      </c>
      <c r="C99" s="75" t="s">
        <v>84</v>
      </c>
      <c r="D99" s="88">
        <v>2500000</v>
      </c>
      <c r="G99" s="1"/>
      <c r="L99" s="1"/>
      <c r="M99" s="1"/>
    </row>
    <row r="100" spans="1:13" s="2" customFormat="1" x14ac:dyDescent="0.2">
      <c r="A100" s="87">
        <v>45121</v>
      </c>
      <c r="B100" s="120" t="s">
        <v>1052</v>
      </c>
      <c r="C100" s="75" t="s">
        <v>1084</v>
      </c>
      <c r="D100" s="88">
        <v>5000000</v>
      </c>
      <c r="G100" s="1"/>
      <c r="L100" s="1"/>
      <c r="M100" s="1"/>
    </row>
    <row r="101" spans="1:13" s="2" customFormat="1" x14ac:dyDescent="0.2">
      <c r="A101" s="87">
        <v>45122</v>
      </c>
      <c r="B101" s="120" t="s">
        <v>1052</v>
      </c>
      <c r="C101" s="75" t="s">
        <v>270</v>
      </c>
      <c r="D101" s="88">
        <v>893235</v>
      </c>
      <c r="G101" s="1"/>
      <c r="L101" s="1"/>
      <c r="M101" s="1"/>
    </row>
    <row r="102" spans="1:13" s="2" customFormat="1" x14ac:dyDescent="0.2">
      <c r="A102" s="87">
        <v>45124</v>
      </c>
      <c r="B102" s="120" t="s">
        <v>1052</v>
      </c>
      <c r="C102" s="75" t="s">
        <v>1084</v>
      </c>
      <c r="D102" s="88">
        <v>4000000</v>
      </c>
      <c r="G102" s="1"/>
      <c r="L102" s="1"/>
      <c r="M102" s="1"/>
    </row>
    <row r="103" spans="1:13" s="2" customFormat="1" x14ac:dyDescent="0.2">
      <c r="A103" s="87">
        <v>45125</v>
      </c>
      <c r="B103" s="120" t="s">
        <v>1052</v>
      </c>
      <c r="C103" s="75" t="s">
        <v>85</v>
      </c>
      <c r="D103" s="88">
        <v>209650</v>
      </c>
      <c r="G103" s="1"/>
      <c r="L103" s="1"/>
      <c r="M103" s="1"/>
    </row>
    <row r="104" spans="1:13" s="2" customFormat="1" x14ac:dyDescent="0.2">
      <c r="A104" s="87">
        <v>45125</v>
      </c>
      <c r="B104" s="120" t="s">
        <v>1052</v>
      </c>
      <c r="C104" s="75" t="s">
        <v>270</v>
      </c>
      <c r="D104" s="88">
        <v>891686</v>
      </c>
      <c r="G104" s="1"/>
      <c r="L104" s="1"/>
      <c r="M104" s="1"/>
    </row>
    <row r="105" spans="1:13" s="2" customFormat="1" x14ac:dyDescent="0.2">
      <c r="A105" s="87">
        <v>45125</v>
      </c>
      <c r="B105" s="120" t="s">
        <v>1052</v>
      </c>
      <c r="C105" s="75" t="s">
        <v>85</v>
      </c>
      <c r="D105" s="88">
        <v>75953</v>
      </c>
      <c r="G105" s="1"/>
      <c r="L105" s="1"/>
      <c r="M105" s="1"/>
    </row>
    <row r="106" spans="1:13" s="2" customFormat="1" x14ac:dyDescent="0.2">
      <c r="A106" s="87">
        <v>45125</v>
      </c>
      <c r="B106" s="120" t="s">
        <v>1052</v>
      </c>
      <c r="C106" s="75" t="s">
        <v>767</v>
      </c>
      <c r="D106" s="88">
        <v>691994</v>
      </c>
      <c r="G106" s="1"/>
      <c r="L106" s="1"/>
      <c r="M106" s="1"/>
    </row>
    <row r="107" spans="1:13" s="2" customFormat="1" x14ac:dyDescent="0.2">
      <c r="A107" s="87">
        <v>45126</v>
      </c>
      <c r="B107" s="120" t="s">
        <v>1052</v>
      </c>
      <c r="C107" s="75" t="s">
        <v>271</v>
      </c>
      <c r="D107" s="88">
        <v>415838</v>
      </c>
      <c r="G107" s="1"/>
      <c r="L107" s="1"/>
      <c r="M107" s="1"/>
    </row>
    <row r="108" spans="1:13" s="2" customFormat="1" x14ac:dyDescent="0.2">
      <c r="A108" s="87">
        <v>45127</v>
      </c>
      <c r="B108" s="120" t="s">
        <v>1052</v>
      </c>
      <c r="C108" s="75" t="s">
        <v>606</v>
      </c>
      <c r="D108" s="88">
        <v>564973</v>
      </c>
      <c r="G108" s="1"/>
      <c r="L108" s="1"/>
      <c r="M108" s="1"/>
    </row>
    <row r="109" spans="1:13" s="2" customFormat="1" x14ac:dyDescent="0.2">
      <c r="A109" s="87">
        <v>45127</v>
      </c>
      <c r="B109" s="120" t="s">
        <v>1052</v>
      </c>
      <c r="C109" s="75" t="s">
        <v>84</v>
      </c>
      <c r="D109" s="88">
        <v>2000000</v>
      </c>
      <c r="G109" s="1"/>
      <c r="L109" s="1"/>
      <c r="M109" s="1"/>
    </row>
    <row r="110" spans="1:13" s="2" customFormat="1" x14ac:dyDescent="0.2">
      <c r="A110" s="87">
        <v>45127</v>
      </c>
      <c r="B110" s="120" t="s">
        <v>1052</v>
      </c>
      <c r="C110" s="75" t="s">
        <v>86</v>
      </c>
      <c r="D110" s="88">
        <v>906281</v>
      </c>
      <c r="G110" s="1"/>
      <c r="L110" s="1"/>
      <c r="M110" s="1"/>
    </row>
    <row r="111" spans="1:13" s="2" customFormat="1" x14ac:dyDescent="0.2">
      <c r="A111" s="87">
        <v>45127</v>
      </c>
      <c r="B111" s="120" t="s">
        <v>1052</v>
      </c>
      <c r="C111" s="75" t="s">
        <v>86</v>
      </c>
      <c r="D111" s="88">
        <v>12614</v>
      </c>
      <c r="G111" s="1"/>
      <c r="L111" s="1"/>
      <c r="M111" s="1"/>
    </row>
    <row r="112" spans="1:13" s="2" customFormat="1" x14ac:dyDescent="0.2">
      <c r="A112" s="87">
        <v>45127</v>
      </c>
      <c r="B112" s="120" t="s">
        <v>1052</v>
      </c>
      <c r="C112" s="75" t="s">
        <v>88</v>
      </c>
      <c r="D112" s="88">
        <v>903686</v>
      </c>
      <c r="G112" s="1"/>
      <c r="L112" s="1"/>
      <c r="M112" s="1"/>
    </row>
    <row r="113" spans="1:13" s="2" customFormat="1" x14ac:dyDescent="0.2">
      <c r="A113" s="87">
        <v>45127</v>
      </c>
      <c r="B113" s="120" t="s">
        <v>1052</v>
      </c>
      <c r="C113" s="75" t="s">
        <v>86</v>
      </c>
      <c r="D113" s="88">
        <v>2526490</v>
      </c>
      <c r="G113" s="1"/>
      <c r="L113" s="1"/>
      <c r="M113" s="1"/>
    </row>
    <row r="114" spans="1:13" s="2" customFormat="1" x14ac:dyDescent="0.2">
      <c r="A114" s="87">
        <v>45127</v>
      </c>
      <c r="B114" s="120" t="s">
        <v>1052</v>
      </c>
      <c r="C114" s="75" t="s">
        <v>201</v>
      </c>
      <c r="D114" s="88">
        <v>4999894</v>
      </c>
      <c r="G114" s="1"/>
      <c r="L114" s="1"/>
      <c r="M114" s="1"/>
    </row>
    <row r="115" spans="1:13" s="2" customFormat="1" x14ac:dyDescent="0.2">
      <c r="A115" s="87">
        <v>45128</v>
      </c>
      <c r="B115" s="120" t="s">
        <v>1052</v>
      </c>
      <c r="C115" s="75" t="s">
        <v>1084</v>
      </c>
      <c r="D115" s="88">
        <v>4000000</v>
      </c>
      <c r="G115" s="1"/>
      <c r="L115" s="1"/>
      <c r="M115" s="1"/>
    </row>
    <row r="116" spans="1:13" s="2" customFormat="1" x14ac:dyDescent="0.2">
      <c r="A116" s="87">
        <v>45131</v>
      </c>
      <c r="B116" s="120" t="s">
        <v>1052</v>
      </c>
      <c r="C116" s="75" t="s">
        <v>85</v>
      </c>
      <c r="D116" s="88">
        <v>1044741</v>
      </c>
      <c r="G116" s="1"/>
      <c r="L116" s="1"/>
      <c r="M116" s="1"/>
    </row>
    <row r="117" spans="1:13" s="2" customFormat="1" x14ac:dyDescent="0.2">
      <c r="A117" s="87"/>
      <c r="B117" s="74"/>
      <c r="C117" s="75"/>
      <c r="D117" s="51">
        <f>SUM(D69:D116)</f>
        <v>66062957.920000002</v>
      </c>
      <c r="F117" s="2" t="s">
        <v>396</v>
      </c>
      <c r="G117" s="1"/>
      <c r="L117" s="1"/>
      <c r="M117" s="1"/>
    </row>
    <row r="118" spans="1:13" s="2" customFormat="1" x14ac:dyDescent="0.2">
      <c r="A118" s="24"/>
      <c r="B118" s="1"/>
      <c r="C118" s="14"/>
      <c r="D118" s="56"/>
      <c r="E118" s="13"/>
      <c r="G118" s="1"/>
      <c r="L118" s="1"/>
      <c r="M118" s="1"/>
    </row>
    <row r="119" spans="1:13" s="2" customFormat="1" x14ac:dyDescent="0.2">
      <c r="A119" s="24"/>
      <c r="B119" s="1"/>
      <c r="C119" s="218" t="s">
        <v>77</v>
      </c>
      <c r="D119" s="219"/>
      <c r="E119" s="219"/>
      <c r="F119" s="220"/>
      <c r="G119" s="1"/>
      <c r="L119" s="1"/>
      <c r="M119" s="1"/>
    </row>
    <row r="120" spans="1:13" s="2" customFormat="1" x14ac:dyDescent="0.2">
      <c r="A120" s="24"/>
      <c r="B120" s="1"/>
      <c r="C120" s="50"/>
      <c r="D120" s="57" t="s">
        <v>78</v>
      </c>
      <c r="E120" s="58" t="s">
        <v>79</v>
      </c>
      <c r="F120" s="57" t="s">
        <v>72</v>
      </c>
      <c r="G120" s="1"/>
      <c r="I120" s="1"/>
      <c r="J120" s="1"/>
      <c r="K120" s="1"/>
      <c r="L120" s="1"/>
      <c r="M120" s="1"/>
    </row>
    <row r="121" spans="1:13" s="2" customFormat="1" x14ac:dyDescent="0.2">
      <c r="A121" s="24"/>
      <c r="B121" s="1"/>
      <c r="C121" s="59" t="str">
        <f>"01-07-2023 to "&amp;TEXT(A5-2,"dd-mm-yyyy")</f>
        <v>01-07-2023 to 22-07-2023</v>
      </c>
      <c r="D121" s="60">
        <v>3850.41</v>
      </c>
      <c r="E121" s="60">
        <v>191.5</v>
      </c>
      <c r="F121" s="61">
        <f>SUM(D121:E121)</f>
        <v>4041.91</v>
      </c>
      <c r="G121" s="1"/>
    </row>
    <row r="122" spans="1:13" s="2" customFormat="1" x14ac:dyDescent="0.2">
      <c r="A122" s="24"/>
      <c r="B122" s="1"/>
      <c r="C122" s="62" t="str">
        <f>TEXT(A5-1,"dd-mm-yyyy")</f>
        <v>23-07-2023</v>
      </c>
      <c r="D122" s="60">
        <v>191.1</v>
      </c>
      <c r="E122" s="60">
        <v>8.2899999999999991</v>
      </c>
      <c r="F122" s="61">
        <f>SUM(D122:E122)</f>
        <v>199.39</v>
      </c>
      <c r="G122" s="54"/>
      <c r="I122" s="1"/>
      <c r="J122" s="1"/>
      <c r="K122" s="1"/>
      <c r="L122" s="1"/>
      <c r="M122" s="1"/>
    </row>
    <row r="123" spans="1:13" s="2" customFormat="1" ht="13.5" thickBot="1" x14ac:dyDescent="0.25">
      <c r="A123" s="24"/>
      <c r="B123" s="1"/>
      <c r="C123" s="63" t="str">
        <f>"01-07-2023 to "&amp;TEXT(A5-1,"dd-mm-yyyy")</f>
        <v>01-07-2023 to 23-07-2023</v>
      </c>
      <c r="D123" s="64">
        <f>SUM(D121:D122)</f>
        <v>4041.5099999999998</v>
      </c>
      <c r="E123" s="64">
        <f>SUM(E121:E122)</f>
        <v>199.79</v>
      </c>
      <c r="F123" s="64">
        <f>SUM(F121:F122)</f>
        <v>4241.3</v>
      </c>
      <c r="G123" s="54"/>
      <c r="I123" s="1"/>
      <c r="J123" s="1"/>
      <c r="K123" s="1"/>
      <c r="L123" s="1"/>
      <c r="M123" s="1"/>
    </row>
    <row r="124" spans="1:13" s="2" customFormat="1" ht="13.5" thickTop="1" x14ac:dyDescent="0.2">
      <c r="A124" s="24"/>
      <c r="B124" s="1"/>
      <c r="C124" s="62"/>
      <c r="D124" s="65"/>
      <c r="E124" s="66"/>
      <c r="F124" s="67"/>
      <c r="G124" s="54"/>
      <c r="I124" s="1"/>
      <c r="J124" s="1"/>
      <c r="K124" s="1"/>
      <c r="L124" s="1"/>
      <c r="M124" s="1"/>
    </row>
    <row r="125" spans="1:13" s="2" customFormat="1" x14ac:dyDescent="0.2">
      <c r="A125" s="24"/>
      <c r="B125" s="1"/>
      <c r="C125" s="62" t="str">
        <f>"01-04-2023 to " &amp;C122</f>
        <v>01-04-2023 to 23-07-2023</v>
      </c>
      <c r="D125" s="68">
        <f>+D123+15505.53</f>
        <v>19547.04</v>
      </c>
      <c r="E125" s="68">
        <f>+E123+1109.72</f>
        <v>1309.51</v>
      </c>
      <c r="F125" s="68">
        <f>+F123+16615.25</f>
        <v>20856.55</v>
      </c>
      <c r="G125" s="54"/>
      <c r="I125" s="1"/>
      <c r="J125" s="1"/>
      <c r="K125" s="1"/>
      <c r="L125" s="1"/>
      <c r="M125" s="1"/>
    </row>
    <row r="126" spans="1:13" x14ac:dyDescent="0.2">
      <c r="C126" s="52"/>
      <c r="D126" s="85"/>
      <c r="E126" s="53"/>
      <c r="F126" s="53"/>
      <c r="G126" s="54"/>
      <c r="H126" s="2" t="s">
        <v>396</v>
      </c>
    </row>
    <row r="127" spans="1:13" s="2" customFormat="1" x14ac:dyDescent="0.2">
      <c r="A127" s="24"/>
      <c r="B127" s="1"/>
      <c r="C127" s="52"/>
      <c r="D127" s="85"/>
      <c r="E127" s="53"/>
      <c r="F127" s="53"/>
      <c r="G127" s="54"/>
      <c r="H127" s="53"/>
    </row>
    <row r="128" spans="1:13" x14ac:dyDescent="0.2">
      <c r="C128" s="52"/>
      <c r="D128" s="85"/>
      <c r="E128" s="53"/>
      <c r="F128" s="53"/>
      <c r="G128" s="54"/>
      <c r="H128" s="53" t="s">
        <v>396</v>
      </c>
    </row>
    <row r="129" spans="3:10" x14ac:dyDescent="0.2">
      <c r="C129" s="52"/>
      <c r="D129" s="85"/>
      <c r="E129" s="53"/>
      <c r="F129" s="53"/>
      <c r="G129" s="54"/>
      <c r="H129" s="53" t="s">
        <v>396</v>
      </c>
      <c r="J129" s="42"/>
    </row>
    <row r="130" spans="3:10" x14ac:dyDescent="0.2">
      <c r="G130" s="54"/>
      <c r="H130" s="53"/>
      <c r="I130" s="101"/>
    </row>
    <row r="131" spans="3:10" x14ac:dyDescent="0.2">
      <c r="G131" s="54"/>
      <c r="H131" s="53"/>
    </row>
    <row r="132" spans="3:10" x14ac:dyDescent="0.2">
      <c r="G132" s="54"/>
      <c r="H132" s="53"/>
    </row>
    <row r="133" spans="3:10" x14ac:dyDescent="0.2">
      <c r="H133" s="53"/>
    </row>
  </sheetData>
  <mergeCells count="6">
    <mergeCell ref="C119:F119"/>
    <mergeCell ref="A1:G1"/>
    <mergeCell ref="A3:F3"/>
    <mergeCell ref="A9:F9"/>
    <mergeCell ref="A22:F22"/>
    <mergeCell ref="A67:D67"/>
  </mergeCells>
  <conditionalFormatting sqref="G64:G65">
    <cfRule type="cellIs" dxfId="399" priority="1" operator="lessThan">
      <formula>0</formula>
    </cfRule>
  </conditionalFormatting>
  <conditionalFormatting sqref="C24">
    <cfRule type="duplicateValues" dxfId="398" priority="2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B00-000000000000}">
  <sheetPr codeName="Sheet387">
    <pageSetUpPr fitToPage="1"/>
  </sheetPr>
  <dimension ref="A1:N167"/>
  <sheetViews>
    <sheetView topLeftCell="D67" zoomScaleNormal="100" workbookViewId="0">
      <selection activeCell="F78" sqref="F78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1254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45132</v>
      </c>
      <c r="B5" s="9" t="s">
        <v>6</v>
      </c>
      <c r="C5" s="10" t="s">
        <v>7</v>
      </c>
      <c r="D5" s="11"/>
      <c r="E5" s="12">
        <v>277691.7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277691.7</v>
      </c>
      <c r="F6" s="16">
        <f>SUM(F5:F5)</f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+E6-F6</f>
        <v>277691.7</v>
      </c>
      <c r="F7" s="22"/>
      <c r="G7" s="23"/>
      <c r="H7" s="112"/>
      <c r="I7" s="112"/>
      <c r="J7" s="13"/>
    </row>
    <row r="8" spans="1:10" ht="12.75" customHeight="1" x14ac:dyDescent="0.4">
      <c r="H8" s="112"/>
      <c r="I8" s="112"/>
    </row>
    <row r="9" spans="1:10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12"/>
    </row>
    <row r="10" spans="1:10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12"/>
    </row>
    <row r="11" spans="1:10" s="2" customFormat="1" ht="14.25" customHeight="1" x14ac:dyDescent="0.2">
      <c r="A11" s="89">
        <v>45132</v>
      </c>
      <c r="B11" s="9" t="s">
        <v>6</v>
      </c>
      <c r="C11" s="10" t="s">
        <v>7</v>
      </c>
      <c r="D11" s="11"/>
      <c r="F11" s="12">
        <v>12904324.600000001</v>
      </c>
      <c r="G11" s="1"/>
      <c r="H11" s="130" t="s">
        <v>396</v>
      </c>
      <c r="I11" s="130"/>
    </row>
    <row r="12" spans="1:10" s="70" customFormat="1" ht="12.75" customHeight="1" x14ac:dyDescent="0.2">
      <c r="A12" s="89">
        <v>45132</v>
      </c>
      <c r="B12" s="128" t="s">
        <v>6</v>
      </c>
      <c r="C12" s="10" t="s">
        <v>1261</v>
      </c>
      <c r="D12" s="11" t="s">
        <v>13</v>
      </c>
      <c r="E12" s="86">
        <v>943907.04</v>
      </c>
      <c r="G12" s="30"/>
      <c r="I12" s="69"/>
      <c r="J12" s="69"/>
    </row>
    <row r="13" spans="1:10" s="70" customFormat="1" ht="12.75" customHeight="1" x14ac:dyDescent="0.2">
      <c r="A13" s="89">
        <v>45132</v>
      </c>
      <c r="B13" s="128" t="s">
        <v>6</v>
      </c>
      <c r="C13" s="10" t="s">
        <v>1255</v>
      </c>
      <c r="D13" s="11" t="s">
        <v>13</v>
      </c>
      <c r="E13" s="86">
        <v>1258161</v>
      </c>
      <c r="G13" s="30"/>
      <c r="I13" s="69"/>
      <c r="J13" s="69"/>
    </row>
    <row r="14" spans="1:10" s="2" customFormat="1" ht="14.25" customHeight="1" x14ac:dyDescent="0.2">
      <c r="A14" s="89">
        <v>45132</v>
      </c>
      <c r="B14" s="128" t="s">
        <v>11</v>
      </c>
      <c r="C14" s="10" t="s">
        <v>156</v>
      </c>
      <c r="D14" s="11" t="s">
        <v>1243</v>
      </c>
      <c r="F14" s="86">
        <v>45</v>
      </c>
      <c r="G14" s="1"/>
      <c r="H14" s="130"/>
      <c r="I14" s="130"/>
    </row>
    <row r="15" spans="1:10" s="2" customFormat="1" ht="14.25" customHeight="1" x14ac:dyDescent="0.2">
      <c r="A15" s="89">
        <v>45132</v>
      </c>
      <c r="B15" s="128" t="s">
        <v>11</v>
      </c>
      <c r="C15" s="10" t="s">
        <v>1137</v>
      </c>
      <c r="D15" s="11" t="s">
        <v>1243</v>
      </c>
      <c r="F15" s="86">
        <v>4117.33</v>
      </c>
      <c r="G15" s="1"/>
      <c r="H15" s="130"/>
      <c r="I15" s="130"/>
    </row>
    <row r="16" spans="1:10" s="2" customFormat="1" ht="14.25" customHeight="1" x14ac:dyDescent="0.2">
      <c r="A16" s="89">
        <v>45132</v>
      </c>
      <c r="B16" s="128" t="s">
        <v>11</v>
      </c>
      <c r="C16" s="10" t="s">
        <v>131</v>
      </c>
      <c r="D16" s="11" t="s">
        <v>1243</v>
      </c>
      <c r="F16" s="31">
        <v>23412</v>
      </c>
      <c r="G16" s="1"/>
      <c r="H16" s="130"/>
      <c r="I16" s="130"/>
    </row>
    <row r="17" spans="1:10" s="2" customFormat="1" ht="14.25" customHeight="1" x14ac:dyDescent="0.2">
      <c r="A17" s="89">
        <v>45132</v>
      </c>
      <c r="B17" s="128" t="s">
        <v>11</v>
      </c>
      <c r="C17" s="10" t="s">
        <v>345</v>
      </c>
      <c r="D17" s="11" t="s">
        <v>1243</v>
      </c>
      <c r="F17" s="31">
        <v>6016</v>
      </c>
      <c r="G17" s="1"/>
      <c r="H17" s="130"/>
      <c r="I17" s="130"/>
    </row>
    <row r="18" spans="1:10" s="2" customFormat="1" ht="14.25" customHeight="1" x14ac:dyDescent="0.2">
      <c r="A18" s="89">
        <v>45132</v>
      </c>
      <c r="B18" s="128" t="s">
        <v>11</v>
      </c>
      <c r="C18" s="10" t="s">
        <v>63</v>
      </c>
      <c r="D18" s="11" t="s">
        <v>1243</v>
      </c>
      <c r="F18" s="31">
        <v>5000000</v>
      </c>
      <c r="G18" s="1"/>
      <c r="H18" s="130"/>
      <c r="I18" s="130"/>
    </row>
    <row r="19" spans="1:10" s="2" customFormat="1" ht="14.25" customHeight="1" x14ac:dyDescent="0.2">
      <c r="A19" s="89">
        <v>45132</v>
      </c>
      <c r="B19" s="128" t="s">
        <v>11</v>
      </c>
      <c r="C19" s="10" t="s">
        <v>1256</v>
      </c>
      <c r="D19" s="11" t="s">
        <v>1243</v>
      </c>
      <c r="F19" s="31">
        <v>70000</v>
      </c>
      <c r="G19" s="1"/>
      <c r="H19" s="130"/>
      <c r="I19" s="130"/>
    </row>
    <row r="20" spans="1:10" s="2" customFormat="1" ht="14.25" customHeight="1" x14ac:dyDescent="0.2">
      <c r="A20" s="89">
        <v>45132</v>
      </c>
      <c r="B20" s="128" t="s">
        <v>11</v>
      </c>
      <c r="C20" s="10" t="s">
        <v>610</v>
      </c>
      <c r="D20" s="11" t="s">
        <v>1243</v>
      </c>
      <c r="F20" s="31">
        <v>53737</v>
      </c>
      <c r="G20" s="1"/>
      <c r="H20" s="130"/>
      <c r="I20" s="130"/>
    </row>
    <row r="21" spans="1:10" s="2" customFormat="1" ht="14.25" customHeight="1" x14ac:dyDescent="0.2">
      <c r="A21" s="89">
        <v>45132</v>
      </c>
      <c r="B21" s="128" t="s">
        <v>11</v>
      </c>
      <c r="C21" s="10" t="s">
        <v>1257</v>
      </c>
      <c r="D21" s="11" t="s">
        <v>1243</v>
      </c>
      <c r="F21" s="31">
        <v>36030</v>
      </c>
      <c r="G21" s="1"/>
      <c r="H21" s="130"/>
      <c r="I21" s="130"/>
    </row>
    <row r="22" spans="1:10" s="2" customFormat="1" ht="12.75" customHeight="1" x14ac:dyDescent="0.4">
      <c r="D22" s="11" t="s">
        <v>8</v>
      </c>
      <c r="E22" s="16">
        <f>SUM(E12:E21)</f>
        <v>2202068.04</v>
      </c>
      <c r="F22" s="16">
        <f>SUM(F11:F21)</f>
        <v>18097681.93</v>
      </c>
      <c r="G22" s="1"/>
      <c r="H22" s="112"/>
      <c r="I22" s="112"/>
    </row>
    <row r="23" spans="1:10" s="2" customFormat="1" ht="12.75" customHeight="1" x14ac:dyDescent="0.4">
      <c r="A23" s="17"/>
      <c r="B23" s="18"/>
      <c r="C23" s="96" t="s">
        <v>9</v>
      </c>
      <c r="D23" s="20"/>
      <c r="E23" s="21">
        <f>+F22-E22</f>
        <v>15895613.890000001</v>
      </c>
      <c r="G23" s="23"/>
      <c r="H23" s="112"/>
      <c r="I23" s="112"/>
      <c r="J23" s="13"/>
    </row>
    <row r="24" spans="1:10" s="2" customFormat="1" ht="12.75" customHeight="1" x14ac:dyDescent="0.4">
      <c r="A24" s="24"/>
      <c r="B24" s="1"/>
      <c r="C24" s="14"/>
      <c r="D24" s="25"/>
      <c r="G24" s="23"/>
      <c r="H24" s="112"/>
      <c r="I24" s="112"/>
      <c r="J24" s="13"/>
    </row>
    <row r="25" spans="1:10" s="2" customFormat="1" ht="21.75" customHeight="1" x14ac:dyDescent="0.4">
      <c r="A25" s="214" t="s">
        <v>10</v>
      </c>
      <c r="B25" s="214"/>
      <c r="C25" s="214"/>
      <c r="D25" s="214"/>
      <c r="E25" s="214"/>
      <c r="F25" s="214"/>
      <c r="G25" s="13"/>
      <c r="H25" s="112"/>
      <c r="I25" s="112"/>
      <c r="J25" s="13"/>
    </row>
    <row r="26" spans="1:10" s="2" customFormat="1" ht="12.75" customHeight="1" x14ac:dyDescent="0.4">
      <c r="A26" s="26" t="s">
        <v>1</v>
      </c>
      <c r="B26" s="27" t="s">
        <v>2</v>
      </c>
      <c r="C26" s="5"/>
      <c r="D26" s="6" t="s">
        <v>3</v>
      </c>
      <c r="E26" s="7" t="s">
        <v>4</v>
      </c>
      <c r="F26" s="7" t="s">
        <v>5</v>
      </c>
      <c r="G26" s="23"/>
      <c r="H26" s="112"/>
      <c r="I26" s="112"/>
      <c r="J26" s="13"/>
    </row>
    <row r="27" spans="1:10" s="2" customFormat="1" ht="12.75" customHeight="1" x14ac:dyDescent="0.2">
      <c r="A27" s="127">
        <v>45132</v>
      </c>
      <c r="B27" s="128" t="s">
        <v>11</v>
      </c>
      <c r="C27" s="29" t="s">
        <v>7</v>
      </c>
      <c r="D27" s="25"/>
      <c r="E27" s="31"/>
      <c r="F27" s="2">
        <v>281583077.06999987</v>
      </c>
      <c r="G27" s="30"/>
      <c r="I27" s="13"/>
      <c r="J27" s="13"/>
    </row>
    <row r="28" spans="1:10" s="70" customFormat="1" ht="12.75" customHeight="1" x14ac:dyDescent="0.2">
      <c r="A28" s="127">
        <v>45132</v>
      </c>
      <c r="B28" s="128" t="s">
        <v>6</v>
      </c>
      <c r="C28" s="10" t="s">
        <v>667</v>
      </c>
      <c r="D28" s="11" t="s">
        <v>13</v>
      </c>
      <c r="E28" s="86">
        <v>21499</v>
      </c>
      <c r="G28" s="30"/>
      <c r="I28" s="69"/>
      <c r="J28" s="69"/>
    </row>
    <row r="29" spans="1:10" s="70" customFormat="1" ht="12.75" customHeight="1" x14ac:dyDescent="0.2">
      <c r="A29" s="127">
        <v>45132</v>
      </c>
      <c r="B29" s="128" t="s">
        <v>6</v>
      </c>
      <c r="C29" s="10" t="s">
        <v>318</v>
      </c>
      <c r="D29" s="11" t="s">
        <v>13</v>
      </c>
      <c r="E29" s="86">
        <v>452040</v>
      </c>
      <c r="G29" s="30"/>
      <c r="I29" s="69"/>
      <c r="J29" s="69"/>
    </row>
    <row r="30" spans="1:10" s="70" customFormat="1" ht="12.75" customHeight="1" x14ac:dyDescent="0.2">
      <c r="A30" s="127">
        <v>45132</v>
      </c>
      <c r="B30" s="128" t="s">
        <v>6</v>
      </c>
      <c r="C30" s="10" t="s">
        <v>1258</v>
      </c>
      <c r="D30" s="11" t="s">
        <v>13</v>
      </c>
      <c r="E30" s="86">
        <v>58590</v>
      </c>
      <c r="G30" s="30"/>
      <c r="I30" s="69"/>
      <c r="J30" s="69"/>
    </row>
    <row r="31" spans="1:10" s="70" customFormat="1" ht="12.75" customHeight="1" x14ac:dyDescent="0.2">
      <c r="A31" s="127">
        <v>45132</v>
      </c>
      <c r="B31" s="128" t="s">
        <v>6</v>
      </c>
      <c r="C31" s="10" t="s">
        <v>121</v>
      </c>
      <c r="D31" s="11" t="s">
        <v>13</v>
      </c>
      <c r="E31" s="86">
        <v>300000</v>
      </c>
      <c r="G31" s="30"/>
      <c r="I31" s="69"/>
      <c r="J31" s="69"/>
    </row>
    <row r="32" spans="1:10" s="70" customFormat="1" ht="12.75" customHeight="1" x14ac:dyDescent="0.2">
      <c r="A32" s="127">
        <v>45132</v>
      </c>
      <c r="B32" s="128" t="s">
        <v>6</v>
      </c>
      <c r="C32" s="10" t="s">
        <v>19</v>
      </c>
      <c r="D32" s="11" t="s">
        <v>13</v>
      </c>
      <c r="E32" s="86">
        <v>8077</v>
      </c>
      <c r="G32" s="30"/>
      <c r="I32" s="69"/>
      <c r="J32" s="69"/>
    </row>
    <row r="33" spans="1:10" s="70" customFormat="1" ht="12.75" customHeight="1" x14ac:dyDescent="0.2">
      <c r="A33" s="127">
        <v>45132</v>
      </c>
      <c r="B33" s="128" t="s">
        <v>6</v>
      </c>
      <c r="C33" s="10" t="s">
        <v>1259</v>
      </c>
      <c r="D33" s="11" t="s">
        <v>13</v>
      </c>
      <c r="E33" s="86">
        <v>42485</v>
      </c>
      <c r="G33" s="30"/>
      <c r="I33" s="69"/>
      <c r="J33" s="69"/>
    </row>
    <row r="34" spans="1:10" s="70" customFormat="1" ht="12.75" customHeight="1" x14ac:dyDescent="0.2">
      <c r="A34" s="127">
        <v>45132</v>
      </c>
      <c r="B34" s="128" t="s">
        <v>6</v>
      </c>
      <c r="C34" s="10" t="s">
        <v>688</v>
      </c>
      <c r="D34" s="11" t="s">
        <v>13</v>
      </c>
      <c r="E34" s="86">
        <v>267664</v>
      </c>
      <c r="G34" s="30"/>
      <c r="I34" s="69"/>
      <c r="J34" s="69"/>
    </row>
    <row r="35" spans="1:10" s="70" customFormat="1" ht="12.75" customHeight="1" x14ac:dyDescent="0.2">
      <c r="A35" s="127">
        <v>45132</v>
      </c>
      <c r="B35" s="128" t="s">
        <v>6</v>
      </c>
      <c r="C35" s="10" t="s">
        <v>726</v>
      </c>
      <c r="D35" s="11" t="s">
        <v>13</v>
      </c>
      <c r="E35" s="86">
        <v>443126</v>
      </c>
      <c r="G35" s="30"/>
      <c r="I35" s="69"/>
      <c r="J35" s="69"/>
    </row>
    <row r="36" spans="1:10" s="70" customFormat="1" ht="12.75" customHeight="1" x14ac:dyDescent="0.2">
      <c r="A36" s="127">
        <v>45132</v>
      </c>
      <c r="B36" s="128" t="s">
        <v>6</v>
      </c>
      <c r="C36" s="10" t="s">
        <v>1260</v>
      </c>
      <c r="D36" s="11" t="s">
        <v>13</v>
      </c>
      <c r="E36" s="86">
        <v>483248</v>
      </c>
      <c r="G36" s="30"/>
      <c r="I36" s="69"/>
      <c r="J36" s="69"/>
    </row>
    <row r="37" spans="1:10" s="70" customFormat="1" ht="12.75" customHeight="1" x14ac:dyDescent="0.2">
      <c r="A37" s="127">
        <v>45132</v>
      </c>
      <c r="B37" s="128" t="s">
        <v>6</v>
      </c>
      <c r="C37" s="10" t="s">
        <v>310</v>
      </c>
      <c r="D37" s="11" t="s">
        <v>13</v>
      </c>
      <c r="E37" s="86">
        <v>2154177</v>
      </c>
      <c r="G37" s="30"/>
      <c r="I37" s="69"/>
      <c r="J37" s="69"/>
    </row>
    <row r="38" spans="1:10" s="70" customFormat="1" ht="12.75" customHeight="1" x14ac:dyDescent="0.2">
      <c r="A38" s="127">
        <v>45132</v>
      </c>
      <c r="B38" s="128" t="s">
        <v>6</v>
      </c>
      <c r="C38" s="10" t="s">
        <v>14</v>
      </c>
      <c r="D38" s="11" t="s">
        <v>13</v>
      </c>
      <c r="E38" s="86">
        <v>1201213</v>
      </c>
      <c r="G38" s="30"/>
      <c r="I38" s="69"/>
      <c r="J38" s="69"/>
    </row>
    <row r="39" spans="1:10" s="70" customFormat="1" ht="12.75" customHeight="1" x14ac:dyDescent="0.2">
      <c r="A39" s="127">
        <v>45132</v>
      </c>
      <c r="B39" s="128" t="s">
        <v>6</v>
      </c>
      <c r="C39" s="10" t="s">
        <v>316</v>
      </c>
      <c r="D39" s="11" t="s">
        <v>13</v>
      </c>
      <c r="E39" s="86">
        <v>436819</v>
      </c>
      <c r="G39" s="30"/>
      <c r="I39" s="69"/>
      <c r="J39" s="69"/>
    </row>
    <row r="40" spans="1:10" s="70" customFormat="1" ht="12.75" customHeight="1" x14ac:dyDescent="0.2">
      <c r="A40" s="127">
        <v>45132</v>
      </c>
      <c r="B40" s="128" t="s">
        <v>6</v>
      </c>
      <c r="C40" s="10" t="s">
        <v>149</v>
      </c>
      <c r="D40" s="11" t="s">
        <v>13</v>
      </c>
      <c r="E40" s="86">
        <v>412111</v>
      </c>
      <c r="G40" s="30"/>
      <c r="I40" s="69"/>
      <c r="J40" s="69"/>
    </row>
    <row r="41" spans="1:10" s="70" customFormat="1" ht="12.75" customHeight="1" x14ac:dyDescent="0.2">
      <c r="A41" s="127">
        <v>45132</v>
      </c>
      <c r="B41" s="128" t="s">
        <v>6</v>
      </c>
      <c r="C41" s="10" t="s">
        <v>474</v>
      </c>
      <c r="D41" s="11" t="s">
        <v>13</v>
      </c>
      <c r="E41" s="86">
        <v>534214</v>
      </c>
      <c r="G41" s="30"/>
      <c r="I41" s="69"/>
      <c r="J41" s="69"/>
    </row>
    <row r="42" spans="1:10" s="70" customFormat="1" ht="12.75" customHeight="1" x14ac:dyDescent="0.2">
      <c r="A42" s="127">
        <v>45132</v>
      </c>
      <c r="B42" s="128" t="s">
        <v>6</v>
      </c>
      <c r="C42" s="10" t="s">
        <v>145</v>
      </c>
      <c r="D42" s="11" t="s">
        <v>13</v>
      </c>
      <c r="E42" s="86">
        <v>1585857</v>
      </c>
      <c r="G42" s="30"/>
      <c r="I42" s="69"/>
      <c r="J42" s="69"/>
    </row>
    <row r="43" spans="1:10" s="70" customFormat="1" ht="12.75" customHeight="1" x14ac:dyDescent="0.2">
      <c r="A43" s="127">
        <v>45132</v>
      </c>
      <c r="B43" s="128" t="s">
        <v>6</v>
      </c>
      <c r="C43" s="10" t="s">
        <v>200</v>
      </c>
      <c r="D43" s="11" t="s">
        <v>13</v>
      </c>
      <c r="E43" s="86">
        <v>121101</v>
      </c>
      <c r="G43" s="30"/>
      <c r="I43" s="69"/>
      <c r="J43" s="69"/>
    </row>
    <row r="44" spans="1:10" s="70" customFormat="1" ht="12.75" customHeight="1" x14ac:dyDescent="0.2">
      <c r="A44" s="127">
        <v>45132</v>
      </c>
      <c r="B44" s="128" t="s">
        <v>6</v>
      </c>
      <c r="C44" s="10" t="s">
        <v>434</v>
      </c>
      <c r="D44" s="11" t="s">
        <v>13</v>
      </c>
      <c r="E44" s="86">
        <v>1548468</v>
      </c>
      <c r="G44" s="30"/>
      <c r="I44" s="69"/>
      <c r="J44" s="69"/>
    </row>
    <row r="45" spans="1:10" s="70" customFormat="1" ht="12.75" customHeight="1" x14ac:dyDescent="0.2">
      <c r="A45" s="127">
        <v>45132</v>
      </c>
      <c r="B45" s="128" t="s">
        <v>6</v>
      </c>
      <c r="C45" s="10" t="s">
        <v>64</v>
      </c>
      <c r="D45" s="11" t="s">
        <v>13</v>
      </c>
      <c r="E45" s="86">
        <v>6292.78</v>
      </c>
      <c r="G45" s="30"/>
      <c r="I45" s="69"/>
      <c r="J45" s="69"/>
    </row>
    <row r="46" spans="1:10" s="70" customFormat="1" ht="12.75" customHeight="1" x14ac:dyDescent="0.2">
      <c r="A46" s="127">
        <v>45132</v>
      </c>
      <c r="B46" s="128" t="s">
        <v>6</v>
      </c>
      <c r="C46" s="10" t="s">
        <v>345</v>
      </c>
      <c r="D46" s="11" t="s">
        <v>499</v>
      </c>
      <c r="E46" s="86">
        <v>6016</v>
      </c>
      <c r="G46" s="30"/>
      <c r="I46" s="69"/>
      <c r="J46" s="69"/>
    </row>
    <row r="47" spans="1:10" s="70" customFormat="1" ht="12.75" customHeight="1" x14ac:dyDescent="0.2">
      <c r="A47" s="127">
        <v>45132</v>
      </c>
      <c r="B47" s="128" t="s">
        <v>11</v>
      </c>
      <c r="C47" s="10" t="s">
        <v>550</v>
      </c>
      <c r="D47" s="11" t="s">
        <v>29</v>
      </c>
      <c r="E47" s="86"/>
      <c r="F47" s="70">
        <v>224452</v>
      </c>
      <c r="G47" s="30"/>
      <c r="I47" s="69"/>
      <c r="J47" s="69"/>
    </row>
    <row r="48" spans="1:10" s="70" customFormat="1" ht="12.75" customHeight="1" x14ac:dyDescent="0.2">
      <c r="A48" s="127">
        <v>45132</v>
      </c>
      <c r="B48" s="128" t="s">
        <v>11</v>
      </c>
      <c r="C48" s="10" t="s">
        <v>64</v>
      </c>
      <c r="D48" s="11" t="s">
        <v>29</v>
      </c>
      <c r="E48" s="86"/>
      <c r="F48" s="70">
        <v>4130</v>
      </c>
      <c r="G48" s="30"/>
      <c r="I48" s="69"/>
      <c r="J48" s="69"/>
    </row>
    <row r="49" spans="1:10" s="70" customFormat="1" ht="12.75" customHeight="1" x14ac:dyDescent="0.2">
      <c r="A49" s="127">
        <v>45132</v>
      </c>
      <c r="B49" s="128" t="s">
        <v>11</v>
      </c>
      <c r="C49" s="10" t="s">
        <v>449</v>
      </c>
      <c r="D49" s="11" t="s">
        <v>29</v>
      </c>
      <c r="E49" s="86"/>
      <c r="F49" s="70">
        <v>426660.85</v>
      </c>
      <c r="G49" s="30"/>
      <c r="I49" s="69"/>
      <c r="J49" s="69"/>
    </row>
    <row r="50" spans="1:10" s="70" customFormat="1" ht="12.75" customHeight="1" x14ac:dyDescent="0.2">
      <c r="A50" s="127">
        <v>45132</v>
      </c>
      <c r="B50" s="128" t="s">
        <v>11</v>
      </c>
      <c r="C50" s="10" t="s">
        <v>156</v>
      </c>
      <c r="D50" s="11" t="s">
        <v>29</v>
      </c>
      <c r="E50" s="86"/>
      <c r="F50" s="70">
        <v>473.99</v>
      </c>
      <c r="G50" s="30"/>
      <c r="I50" s="69"/>
      <c r="J50" s="69"/>
    </row>
    <row r="51" spans="1:10" s="70" customFormat="1" ht="12.75" customHeight="1" x14ac:dyDescent="0.2">
      <c r="A51" s="127">
        <v>45132</v>
      </c>
      <c r="B51" s="128" t="s">
        <v>11</v>
      </c>
      <c r="C51" s="10" t="s">
        <v>111</v>
      </c>
      <c r="D51" s="11" t="s">
        <v>29</v>
      </c>
      <c r="E51" s="86"/>
      <c r="F51" s="70">
        <v>4248320.83</v>
      </c>
      <c r="G51" s="30"/>
      <c r="I51" s="69"/>
      <c r="J51" s="69"/>
    </row>
    <row r="52" spans="1:10" s="70" customFormat="1" ht="12.75" customHeight="1" x14ac:dyDescent="0.2">
      <c r="A52" s="127">
        <v>45132</v>
      </c>
      <c r="B52" s="128" t="s">
        <v>11</v>
      </c>
      <c r="C52" s="10" t="s">
        <v>107</v>
      </c>
      <c r="D52" s="11" t="s">
        <v>29</v>
      </c>
      <c r="E52" s="86"/>
      <c r="F52" s="70">
        <v>727327.3</v>
      </c>
      <c r="G52" s="30"/>
      <c r="I52" s="69"/>
      <c r="J52" s="69"/>
    </row>
    <row r="53" spans="1:10" s="70" customFormat="1" ht="12.75" customHeight="1" x14ac:dyDescent="0.2">
      <c r="A53" s="127">
        <v>45132</v>
      </c>
      <c r="B53" s="128" t="s">
        <v>11</v>
      </c>
      <c r="C53" s="10" t="s">
        <v>558</v>
      </c>
      <c r="D53" s="11" t="s">
        <v>29</v>
      </c>
      <c r="E53" s="86"/>
      <c r="F53" s="70">
        <v>1650203.7</v>
      </c>
      <c r="G53" s="30"/>
      <c r="I53" s="69"/>
      <c r="J53" s="69"/>
    </row>
    <row r="54" spans="1:10" s="70" customFormat="1" ht="12.75" customHeight="1" x14ac:dyDescent="0.2">
      <c r="A54" s="127">
        <v>45132</v>
      </c>
      <c r="B54" s="128" t="s">
        <v>11</v>
      </c>
      <c r="C54" s="10" t="s">
        <v>118</v>
      </c>
      <c r="D54" s="11" t="s">
        <v>29</v>
      </c>
      <c r="E54" s="86"/>
      <c r="F54" s="70">
        <v>400000</v>
      </c>
      <c r="G54" s="30"/>
      <c r="I54" s="69"/>
      <c r="J54" s="69"/>
    </row>
    <row r="55" spans="1:10" s="70" customFormat="1" ht="12.75" customHeight="1" x14ac:dyDescent="0.2">
      <c r="A55" s="127">
        <v>45132</v>
      </c>
      <c r="B55" s="128" t="s">
        <v>11</v>
      </c>
      <c r="C55" s="10" t="s">
        <v>823</v>
      </c>
      <c r="D55" s="11" t="s">
        <v>29</v>
      </c>
      <c r="E55" s="86"/>
      <c r="F55" s="70">
        <v>15419</v>
      </c>
      <c r="G55" s="30"/>
      <c r="I55" s="69"/>
      <c r="J55" s="69"/>
    </row>
    <row r="56" spans="1:10" s="70" customFormat="1" ht="12.75" customHeight="1" x14ac:dyDescent="0.2">
      <c r="A56" s="127">
        <v>45132</v>
      </c>
      <c r="B56" s="128" t="s">
        <v>11</v>
      </c>
      <c r="C56" s="10" t="s">
        <v>273</v>
      </c>
      <c r="D56" s="11" t="s">
        <v>29</v>
      </c>
      <c r="E56" s="86"/>
      <c r="F56" s="70">
        <v>8781.4599999999991</v>
      </c>
      <c r="G56" s="30"/>
      <c r="I56" s="69"/>
      <c r="J56" s="69"/>
    </row>
    <row r="57" spans="1:10" s="70" customFormat="1" ht="12.75" customHeight="1" x14ac:dyDescent="0.2">
      <c r="A57" s="127">
        <v>45132</v>
      </c>
      <c r="B57" s="128" t="s">
        <v>11</v>
      </c>
      <c r="C57" s="10" t="s">
        <v>171</v>
      </c>
      <c r="D57" s="11" t="s">
        <v>29</v>
      </c>
      <c r="E57" s="86"/>
      <c r="F57" s="70">
        <v>6178</v>
      </c>
      <c r="G57" s="30"/>
      <c r="I57" s="69"/>
      <c r="J57" s="69"/>
    </row>
    <row r="58" spans="1:10" s="70" customFormat="1" ht="12.75" customHeight="1" x14ac:dyDescent="0.2">
      <c r="A58" s="127">
        <v>45132</v>
      </c>
      <c r="B58" s="128" t="s">
        <v>11</v>
      </c>
      <c r="C58" s="10" t="s">
        <v>279</v>
      </c>
      <c r="D58" s="11" t="s">
        <v>29</v>
      </c>
      <c r="E58" s="86"/>
      <c r="F58" s="70">
        <v>2007843</v>
      </c>
      <c r="G58" s="30"/>
      <c r="I58" s="69"/>
      <c r="J58" s="69"/>
    </row>
    <row r="59" spans="1:10" s="70" customFormat="1" ht="12.75" customHeight="1" x14ac:dyDescent="0.2">
      <c r="A59" s="127">
        <v>45132</v>
      </c>
      <c r="B59" s="128" t="s">
        <v>11</v>
      </c>
      <c r="C59" s="10" t="s">
        <v>500</v>
      </c>
      <c r="D59" s="11" t="s">
        <v>29</v>
      </c>
      <c r="E59" s="86"/>
      <c r="F59" s="70">
        <v>3605867</v>
      </c>
      <c r="G59" s="30"/>
      <c r="I59" s="69"/>
      <c r="J59" s="69"/>
    </row>
    <row r="60" spans="1:10" s="70" customFormat="1" ht="12.75" customHeight="1" x14ac:dyDescent="0.2">
      <c r="A60" s="127">
        <v>45132</v>
      </c>
      <c r="B60" s="128" t="s">
        <v>11</v>
      </c>
      <c r="C60" s="10" t="s">
        <v>30</v>
      </c>
      <c r="D60" s="11" t="s">
        <v>29</v>
      </c>
      <c r="E60" s="86"/>
      <c r="F60" s="70">
        <v>3099949</v>
      </c>
      <c r="G60" s="30"/>
      <c r="I60" s="69"/>
      <c r="J60" s="69"/>
    </row>
    <row r="61" spans="1:10" s="70" customFormat="1" ht="12.75" customHeight="1" x14ac:dyDescent="0.2">
      <c r="A61" s="127">
        <v>45132</v>
      </c>
      <c r="B61" s="128" t="s">
        <v>11</v>
      </c>
      <c r="C61" s="10" t="s">
        <v>300</v>
      </c>
      <c r="D61" s="11" t="s">
        <v>29</v>
      </c>
      <c r="E61" s="86"/>
      <c r="F61" s="70">
        <v>187479</v>
      </c>
      <c r="G61" s="30"/>
      <c r="I61" s="69"/>
      <c r="J61" s="69"/>
    </row>
    <row r="62" spans="1:10" s="70" customFormat="1" ht="12.75" customHeight="1" x14ac:dyDescent="0.2">
      <c r="A62" s="127">
        <v>45132</v>
      </c>
      <c r="B62" s="128" t="s">
        <v>11</v>
      </c>
      <c r="C62" s="10" t="s">
        <v>56</v>
      </c>
      <c r="D62" s="11" t="s">
        <v>29</v>
      </c>
      <c r="E62" s="86"/>
      <c r="F62" s="70">
        <v>73392.5</v>
      </c>
      <c r="G62" s="30"/>
      <c r="I62" s="69"/>
      <c r="J62" s="69"/>
    </row>
    <row r="63" spans="1:10" s="70" customFormat="1" ht="12.75" customHeight="1" x14ac:dyDescent="0.2">
      <c r="A63" s="127">
        <v>45132</v>
      </c>
      <c r="B63" s="128" t="s">
        <v>11</v>
      </c>
      <c r="C63" s="10" t="s">
        <v>814</v>
      </c>
      <c r="D63" s="11" t="s">
        <v>29</v>
      </c>
      <c r="E63" s="86"/>
      <c r="F63" s="70">
        <v>807897.5</v>
      </c>
      <c r="G63" s="30"/>
      <c r="I63" s="69"/>
      <c r="J63" s="69"/>
    </row>
    <row r="64" spans="1:10" s="70" customFormat="1" ht="12.75" customHeight="1" x14ac:dyDescent="0.2">
      <c r="A64" s="127">
        <v>45132</v>
      </c>
      <c r="B64" s="128" t="s">
        <v>11</v>
      </c>
      <c r="C64" s="10" t="s">
        <v>193</v>
      </c>
      <c r="D64" s="11" t="s">
        <v>29</v>
      </c>
      <c r="E64" s="86"/>
      <c r="F64" s="70">
        <v>496322</v>
      </c>
      <c r="G64" s="30"/>
      <c r="I64" s="69"/>
      <c r="J64" s="69"/>
    </row>
    <row r="65" spans="1:13" s="70" customFormat="1" ht="12.75" customHeight="1" x14ac:dyDescent="0.2">
      <c r="A65" s="127">
        <v>45132</v>
      </c>
      <c r="B65" s="128" t="s">
        <v>11</v>
      </c>
      <c r="C65" s="10" t="s">
        <v>1140</v>
      </c>
      <c r="D65" s="11" t="s">
        <v>29</v>
      </c>
      <c r="E65" s="86"/>
      <c r="F65" s="70">
        <v>304807</v>
      </c>
      <c r="G65" s="30"/>
      <c r="I65" s="69"/>
      <c r="J65" s="69"/>
    </row>
    <row r="66" spans="1:13" s="70" customFormat="1" ht="12.75" customHeight="1" x14ac:dyDescent="0.2">
      <c r="A66" s="127">
        <v>45132</v>
      </c>
      <c r="B66" s="128" t="s">
        <v>11</v>
      </c>
      <c r="C66" s="10" t="s">
        <v>745</v>
      </c>
      <c r="D66" s="11" t="s">
        <v>29</v>
      </c>
      <c r="E66" s="86"/>
      <c r="F66" s="70">
        <v>217790</v>
      </c>
      <c r="G66" s="30"/>
      <c r="I66" s="69"/>
      <c r="J66" s="69"/>
    </row>
    <row r="67" spans="1:13" s="70" customFormat="1" ht="12.75" customHeight="1" x14ac:dyDescent="0.2">
      <c r="A67" s="127">
        <v>45132</v>
      </c>
      <c r="B67" s="128" t="s">
        <v>11</v>
      </c>
      <c r="C67" s="10" t="s">
        <v>849</v>
      </c>
      <c r="D67" s="11" t="s">
        <v>29</v>
      </c>
      <c r="E67" s="86"/>
      <c r="F67" s="70">
        <v>260295</v>
      </c>
      <c r="G67" s="30"/>
      <c r="I67" s="69"/>
      <c r="J67" s="69"/>
    </row>
    <row r="68" spans="1:13" s="70" customFormat="1" ht="12.75" customHeight="1" x14ac:dyDescent="0.2">
      <c r="A68" s="127">
        <v>45132</v>
      </c>
      <c r="B68" s="128" t="s">
        <v>11</v>
      </c>
      <c r="C68" s="10" t="s">
        <v>194</v>
      </c>
      <c r="D68" s="11" t="s">
        <v>29</v>
      </c>
      <c r="E68" s="86"/>
      <c r="F68" s="70">
        <v>1085390</v>
      </c>
      <c r="G68" s="30"/>
      <c r="I68" s="69"/>
      <c r="J68" s="69"/>
    </row>
    <row r="69" spans="1:13" s="70" customFormat="1" ht="12.75" customHeight="1" x14ac:dyDescent="0.2">
      <c r="A69" s="127">
        <v>45132</v>
      </c>
      <c r="B69" s="128" t="s">
        <v>11</v>
      </c>
      <c r="C69" s="10" t="s">
        <v>790</v>
      </c>
      <c r="D69" s="11" t="s">
        <v>29</v>
      </c>
      <c r="E69" s="86"/>
      <c r="F69" s="70">
        <v>1046300</v>
      </c>
      <c r="G69" s="30"/>
      <c r="I69" s="69"/>
      <c r="J69" s="69"/>
    </row>
    <row r="70" spans="1:13" s="70" customFormat="1" ht="12.75" customHeight="1" x14ac:dyDescent="0.2">
      <c r="A70" s="127">
        <v>45132</v>
      </c>
      <c r="B70" s="128" t="s">
        <v>11</v>
      </c>
      <c r="C70" s="10" t="s">
        <v>416</v>
      </c>
      <c r="D70" s="11" t="s">
        <v>29</v>
      </c>
      <c r="E70" s="86"/>
      <c r="F70" s="70">
        <v>837800</v>
      </c>
      <c r="G70" s="30"/>
      <c r="I70" s="69"/>
      <c r="J70" s="69"/>
    </row>
    <row r="71" spans="1:13" s="70" customFormat="1" ht="12.75" customHeight="1" x14ac:dyDescent="0.2">
      <c r="A71" s="127">
        <v>45132</v>
      </c>
      <c r="B71" s="128" t="s">
        <v>11</v>
      </c>
      <c r="C71" s="10" t="s">
        <v>138</v>
      </c>
      <c r="D71" s="11" t="s">
        <v>29</v>
      </c>
      <c r="E71" s="86"/>
      <c r="F71" s="70">
        <v>1933336</v>
      </c>
      <c r="G71" s="30"/>
      <c r="I71" s="69"/>
      <c r="J71" s="69"/>
    </row>
    <row r="72" spans="1:13" s="70" customFormat="1" ht="12.75" customHeight="1" x14ac:dyDescent="0.2">
      <c r="A72" s="127">
        <v>45132</v>
      </c>
      <c r="B72" s="128" t="s">
        <v>11</v>
      </c>
      <c r="C72" s="10" t="s">
        <v>48</v>
      </c>
      <c r="D72" s="11" t="s">
        <v>29</v>
      </c>
      <c r="E72" s="86"/>
      <c r="F72" s="70">
        <v>401796</v>
      </c>
      <c r="G72" s="30"/>
      <c r="I72" s="69"/>
      <c r="J72" s="69"/>
    </row>
    <row r="73" spans="1:13" s="70" customFormat="1" ht="12.75" customHeight="1" x14ac:dyDescent="0.2">
      <c r="A73" s="127">
        <v>45132</v>
      </c>
      <c r="B73" s="128" t="s">
        <v>11</v>
      </c>
      <c r="C73" s="10" t="s">
        <v>57</v>
      </c>
      <c r="D73" s="11" t="s">
        <v>29</v>
      </c>
      <c r="E73" s="86"/>
      <c r="F73" s="70">
        <v>3500000</v>
      </c>
      <c r="G73" s="30"/>
      <c r="I73" s="69"/>
      <c r="J73" s="69"/>
    </row>
    <row r="74" spans="1:13" s="70" customFormat="1" ht="12.75" customHeight="1" x14ac:dyDescent="0.2">
      <c r="A74" s="127">
        <v>45132</v>
      </c>
      <c r="B74" s="128" t="s">
        <v>11</v>
      </c>
      <c r="C74" s="10" t="s">
        <v>95</v>
      </c>
      <c r="D74" s="11" t="s">
        <v>29</v>
      </c>
      <c r="E74" s="86"/>
      <c r="F74" s="70">
        <v>49500</v>
      </c>
      <c r="G74" s="30"/>
      <c r="I74" s="69"/>
      <c r="J74" s="69"/>
    </row>
    <row r="75" spans="1:13" s="70" customFormat="1" ht="12.75" customHeight="1" x14ac:dyDescent="0.2">
      <c r="A75" s="127">
        <v>45132</v>
      </c>
      <c r="B75" s="128" t="s">
        <v>11</v>
      </c>
      <c r="C75" s="10" t="s">
        <v>129</v>
      </c>
      <c r="D75" s="11" t="s">
        <v>29</v>
      </c>
      <c r="E75" s="86"/>
      <c r="F75" s="70">
        <v>38600</v>
      </c>
      <c r="G75" s="30"/>
      <c r="I75" s="69"/>
      <c r="J75" s="69"/>
    </row>
    <row r="76" spans="1:13" s="70" customFormat="1" ht="12.75" customHeight="1" x14ac:dyDescent="0.2">
      <c r="A76" s="127">
        <v>45132</v>
      </c>
      <c r="B76" s="128" t="s">
        <v>11</v>
      </c>
      <c r="C76" s="10" t="s">
        <v>441</v>
      </c>
      <c r="D76" s="11" t="s">
        <v>29</v>
      </c>
      <c r="E76" s="86"/>
      <c r="F76" s="70">
        <v>964.41</v>
      </c>
      <c r="G76" s="30"/>
      <c r="I76" s="69"/>
      <c r="J76" s="69"/>
    </row>
    <row r="77" spans="1:13" s="70" customFormat="1" ht="12.75" customHeight="1" x14ac:dyDescent="0.2">
      <c r="A77" s="127">
        <v>45132</v>
      </c>
      <c r="B77" s="128" t="s">
        <v>11</v>
      </c>
      <c r="C77" s="10" t="s">
        <v>62</v>
      </c>
      <c r="D77" s="11" t="s">
        <v>29</v>
      </c>
      <c r="E77" s="86"/>
      <c r="F77" s="70">
        <v>197000</v>
      </c>
      <c r="G77" s="30"/>
      <c r="I77" s="69"/>
      <c r="J77" s="69"/>
    </row>
    <row r="78" spans="1:13" s="2" customFormat="1" ht="12.75" customHeight="1" x14ac:dyDescent="0.2">
      <c r="A78" s="32"/>
      <c r="B78" s="33"/>
      <c r="C78" s="14"/>
      <c r="D78" s="34"/>
      <c r="E78" s="16">
        <f>SUM(E27:E77)</f>
        <v>10082997.779999999</v>
      </c>
      <c r="F78" s="16">
        <f>SUM(F27:F77)</f>
        <v>309447352.6099999</v>
      </c>
      <c r="G78" s="30"/>
      <c r="H78" s="1"/>
      <c r="I78" s="38">
        <v>297173581.82999998</v>
      </c>
      <c r="J78" s="2" t="s">
        <v>396</v>
      </c>
      <c r="K78" s="92">
        <f>E79-I78</f>
        <v>2190772.9999999404</v>
      </c>
      <c r="L78" s="41"/>
      <c r="M78" s="42"/>
    </row>
    <row r="79" spans="1:13" s="2" customFormat="1" ht="12.75" customHeight="1" x14ac:dyDescent="0.2">
      <c r="A79" s="36"/>
      <c r="B79" s="28" t="s">
        <v>11</v>
      </c>
      <c r="C79" s="19" t="s">
        <v>65</v>
      </c>
      <c r="D79" s="37"/>
      <c r="E79" s="38">
        <f>F78-E78</f>
        <v>299364354.82999992</v>
      </c>
      <c r="F79" s="22"/>
      <c r="G79" s="1"/>
      <c r="H79" s="1"/>
      <c r="J79" s="1"/>
      <c r="K79" s="1"/>
      <c r="L79" s="1"/>
      <c r="M79" s="1"/>
    </row>
    <row r="80" spans="1:13" s="2" customFormat="1" ht="12.75" customHeight="1" x14ac:dyDescent="0.2">
      <c r="A80" s="36"/>
      <c r="B80" s="28" t="s">
        <v>66</v>
      </c>
      <c r="C80" s="43" t="s">
        <v>67</v>
      </c>
      <c r="D80" s="43"/>
      <c r="E80" s="12">
        <f>59416310-7500000-1600000</f>
        <v>50316310</v>
      </c>
      <c r="F80" s="22"/>
      <c r="G80" s="1"/>
      <c r="H80" s="40"/>
      <c r="I80" s="45">
        <v>3688.85</v>
      </c>
      <c r="J80" s="46"/>
      <c r="K80" s="46"/>
      <c r="L80" s="13"/>
      <c r="M80" s="69" t="s">
        <v>396</v>
      </c>
    </row>
    <row r="81" spans="1:14" s="2" customFormat="1" ht="12.75" customHeight="1" x14ac:dyDescent="0.25">
      <c r="A81" s="36"/>
      <c r="B81" s="28"/>
      <c r="C81" s="44" t="s">
        <v>68</v>
      </c>
      <c r="D81" s="43"/>
      <c r="E81" s="7">
        <f>E79+E80</f>
        <v>349680664.82999992</v>
      </c>
      <c r="F81" s="22"/>
      <c r="G81" s="1"/>
      <c r="H81" s="103" t="s">
        <v>69</v>
      </c>
      <c r="I81" s="45">
        <v>-22.01</v>
      </c>
      <c r="J81" s="46"/>
      <c r="K81" s="46"/>
      <c r="N81" s="1"/>
    </row>
    <row r="82" spans="1:14" s="2" customFormat="1" x14ac:dyDescent="0.2">
      <c r="A82" s="24"/>
      <c r="B82" s="1"/>
      <c r="C82" s="14"/>
      <c r="D82" s="25"/>
      <c r="E82" s="1"/>
      <c r="H82" s="35" t="s">
        <v>70</v>
      </c>
      <c r="I82" s="45">
        <v>0.19</v>
      </c>
      <c r="J82" s="46">
        <f>+I83-D85</f>
        <v>0</v>
      </c>
      <c r="M82" s="2" t="s">
        <v>396</v>
      </c>
      <c r="N82" s="1"/>
    </row>
    <row r="83" spans="1:14" x14ac:dyDescent="0.2">
      <c r="C83" s="56"/>
      <c r="D83" s="56"/>
      <c r="E83" s="104"/>
      <c r="I83" s="49">
        <f>SUM(I80:I82)</f>
        <v>3667.0299999999997</v>
      </c>
      <c r="J83" s="46"/>
      <c r="K83" s="46"/>
      <c r="L83" s="2"/>
      <c r="M83" s="2"/>
      <c r="N83" s="2"/>
    </row>
    <row r="84" spans="1:14" x14ac:dyDescent="0.2">
      <c r="C84" s="78" t="s">
        <v>575</v>
      </c>
      <c r="D84" s="48" t="s">
        <v>576</v>
      </c>
      <c r="E84" s="104"/>
      <c r="I84" s="2"/>
      <c r="J84" s="2"/>
      <c r="K84" s="2"/>
      <c r="L84" s="2"/>
      <c r="M84" s="2"/>
      <c r="N84" s="2"/>
    </row>
    <row r="85" spans="1:14" s="2" customFormat="1" x14ac:dyDescent="0.2">
      <c r="A85" s="24"/>
      <c r="B85" s="1"/>
      <c r="C85" s="47" t="s">
        <v>570</v>
      </c>
      <c r="D85" s="111">
        <v>3667.03</v>
      </c>
      <c r="E85" s="104"/>
      <c r="G85" s="1"/>
      <c r="H85" s="110" t="s">
        <v>581</v>
      </c>
      <c r="N85" s="2" t="s">
        <v>535</v>
      </c>
    </row>
    <row r="86" spans="1:14" s="2" customFormat="1" x14ac:dyDescent="0.2">
      <c r="A86" s="24"/>
      <c r="B86" s="1"/>
      <c r="C86" s="47" t="s">
        <v>931</v>
      </c>
      <c r="D86" s="111">
        <v>314.82</v>
      </c>
      <c r="E86" s="104"/>
      <c r="G86" s="1"/>
      <c r="H86" s="110" t="s">
        <v>580</v>
      </c>
    </row>
    <row r="87" spans="1:14" s="2" customFormat="1" x14ac:dyDescent="0.2">
      <c r="A87" s="24"/>
      <c r="B87" s="1"/>
      <c r="C87" s="47" t="s">
        <v>572</v>
      </c>
      <c r="D87" s="111">
        <f>+D151/100000</f>
        <v>661.33955920000005</v>
      </c>
      <c r="E87" s="104"/>
      <c r="G87" s="1"/>
      <c r="H87" s="90" t="s">
        <v>587</v>
      </c>
    </row>
    <row r="88" spans="1:14" s="2" customFormat="1" x14ac:dyDescent="0.2">
      <c r="A88" s="24"/>
      <c r="B88" s="1"/>
      <c r="C88" s="108" t="s">
        <v>578</v>
      </c>
      <c r="D88" s="48">
        <f>SUM(D85:D87)</f>
        <v>4643.1895592000001</v>
      </c>
      <c r="E88" s="104"/>
      <c r="G88" s="1"/>
    </row>
    <row r="89" spans="1:14" s="2" customFormat="1" x14ac:dyDescent="0.2">
      <c r="A89" s="24"/>
      <c r="B89" s="1"/>
      <c r="C89" s="47"/>
      <c r="D89" s="107"/>
      <c r="E89" s="104"/>
      <c r="G89" s="1"/>
    </row>
    <row r="90" spans="1:14" s="2" customFormat="1" x14ac:dyDescent="0.2">
      <c r="A90" s="24"/>
      <c r="B90" s="1"/>
      <c r="C90" s="47" t="s">
        <v>932</v>
      </c>
      <c r="D90" s="111">
        <v>164.68</v>
      </c>
      <c r="E90" s="104"/>
      <c r="G90" s="1"/>
      <c r="H90" s="110" t="s">
        <v>581</v>
      </c>
    </row>
    <row r="91" spans="1:14" s="2" customFormat="1" x14ac:dyDescent="0.2">
      <c r="A91" s="24"/>
      <c r="B91" s="1"/>
      <c r="C91" s="136" t="s">
        <v>1142</v>
      </c>
      <c r="D91" s="111">
        <f>274.99-55.45</f>
        <v>219.54000000000002</v>
      </c>
      <c r="E91" s="104"/>
      <c r="G91" s="1"/>
      <c r="H91" s="110" t="s">
        <v>581</v>
      </c>
      <c r="J91" s="114" t="s">
        <v>713</v>
      </c>
    </row>
    <row r="92" spans="1:14" s="2" customFormat="1" x14ac:dyDescent="0.2">
      <c r="A92" s="24"/>
      <c r="B92" s="1"/>
      <c r="C92" s="78" t="s">
        <v>579</v>
      </c>
      <c r="D92" s="109">
        <f>D90+D91</f>
        <v>384.22</v>
      </c>
      <c r="E92" s="104"/>
      <c r="G92" s="1"/>
      <c r="I92" s="113"/>
      <c r="J92" s="113" t="s">
        <v>709</v>
      </c>
      <c r="K92" s="113" t="s">
        <v>710</v>
      </c>
      <c r="L92" s="113" t="s">
        <v>711</v>
      </c>
      <c r="M92" s="113" t="s">
        <v>712</v>
      </c>
    </row>
    <row r="93" spans="1:14" s="2" customFormat="1" x14ac:dyDescent="0.2">
      <c r="A93" s="24"/>
      <c r="B93" s="1"/>
      <c r="C93" s="105"/>
      <c r="D93" s="106"/>
      <c r="E93" s="104"/>
      <c r="G93" s="1"/>
      <c r="I93" s="113" t="s">
        <v>706</v>
      </c>
      <c r="J93" s="115"/>
      <c r="K93" s="115">
        <v>968.99</v>
      </c>
      <c r="L93" s="115">
        <v>968.99</v>
      </c>
      <c r="M93" s="113">
        <f>+J93+L93-K93</f>
        <v>0</v>
      </c>
    </row>
    <row r="94" spans="1:14" s="2" customFormat="1" x14ac:dyDescent="0.2">
      <c r="A94" s="24"/>
      <c r="B94" s="1"/>
      <c r="C94" s="78" t="s">
        <v>577</v>
      </c>
      <c r="D94" s="109">
        <f>D85+D92</f>
        <v>4051.25</v>
      </c>
      <c r="E94" s="104"/>
      <c r="G94" s="1"/>
      <c r="I94" s="113" t="s">
        <v>707</v>
      </c>
      <c r="J94" s="115">
        <v>183.1</v>
      </c>
      <c r="K94" s="115">
        <v>2801.09</v>
      </c>
      <c r="L94" s="115">
        <v>3401.79</v>
      </c>
      <c r="M94" s="113">
        <f>+J94+L94-K94</f>
        <v>783.79999999999973</v>
      </c>
    </row>
    <row r="95" spans="1:14" s="2" customFormat="1" x14ac:dyDescent="0.2">
      <c r="A95" s="24"/>
      <c r="B95" s="1"/>
      <c r="C95" s="56"/>
      <c r="D95" s="56"/>
      <c r="E95" s="104"/>
      <c r="G95" s="1"/>
      <c r="I95" s="113" t="s">
        <v>708</v>
      </c>
      <c r="J95" s="115">
        <v>1371.02</v>
      </c>
      <c r="K95" s="115">
        <v>13035.94</v>
      </c>
      <c r="L95" s="115">
        <v>12679.44</v>
      </c>
      <c r="M95" s="113">
        <f>+J95+L95-K95</f>
        <v>1014.5200000000004</v>
      </c>
    </row>
    <row r="96" spans="1:14" s="2" customFormat="1" ht="38.25" x14ac:dyDescent="0.2">
      <c r="A96" s="24"/>
      <c r="B96" s="1"/>
      <c r="C96" s="79" t="str">
        <f>"Particulars ( 01-04-2021 to "&amp;TEXT(A5,"dd-mm-yyyy")&amp;" )"</f>
        <v>Particulars ( 01-04-2021 to 25-07-2023 )</v>
      </c>
      <c r="D96" s="80" t="s">
        <v>73</v>
      </c>
      <c r="E96" s="80" t="s">
        <v>74</v>
      </c>
      <c r="F96" s="81" t="s">
        <v>75</v>
      </c>
      <c r="G96" s="80" t="s">
        <v>76</v>
      </c>
      <c r="J96" s="118">
        <f>SUM(J93:J95)</f>
        <v>1554.12</v>
      </c>
      <c r="K96" s="118">
        <f>SUM(K93:K95)</f>
        <v>16806.02</v>
      </c>
      <c r="L96" s="118">
        <f>SUM(L93:L95)</f>
        <v>17050.22</v>
      </c>
      <c r="M96" s="118">
        <f>SUM(M93:M95)</f>
        <v>1798.3200000000002</v>
      </c>
    </row>
    <row r="97" spans="1:13" s="2" customFormat="1" x14ac:dyDescent="0.2">
      <c r="A97" s="24"/>
      <c r="B97" s="1"/>
      <c r="C97" s="50" t="s">
        <v>444</v>
      </c>
      <c r="D97" s="55">
        <f>+L93+L94+J94</f>
        <v>4553.88</v>
      </c>
      <c r="E97" s="55">
        <f>+K93+K94</f>
        <v>3770.08</v>
      </c>
      <c r="F97" s="55">
        <f>+D97-E97</f>
        <v>783.80000000000018</v>
      </c>
      <c r="G97" s="55">
        <f>1500-F97</f>
        <v>716.19999999999982</v>
      </c>
      <c r="H97" s="2" t="s">
        <v>396</v>
      </c>
    </row>
    <row r="98" spans="1:13" s="2" customFormat="1" x14ac:dyDescent="0.2">
      <c r="A98" s="24"/>
      <c r="B98" s="1"/>
      <c r="C98" s="50" t="s">
        <v>71</v>
      </c>
      <c r="D98" s="55">
        <f>+J95+L95</f>
        <v>14050.460000000001</v>
      </c>
      <c r="E98" s="55">
        <f>+K95</f>
        <v>13035.94</v>
      </c>
      <c r="F98" s="55">
        <f>+D98-E98</f>
        <v>1014.5200000000004</v>
      </c>
      <c r="G98" s="55">
        <f>1500+700-F98</f>
        <v>1185.4799999999996</v>
      </c>
      <c r="H98" s="2" t="s">
        <v>396</v>
      </c>
    </row>
    <row r="99" spans="1:13" s="2" customFormat="1" x14ac:dyDescent="0.2">
      <c r="A99" s="24"/>
      <c r="B99" s="1"/>
      <c r="C99" s="14"/>
      <c r="D99" s="56"/>
      <c r="E99" s="13"/>
      <c r="G99" s="1"/>
    </row>
    <row r="100" spans="1:13" s="2" customFormat="1" x14ac:dyDescent="0.2">
      <c r="A100" s="215" t="s">
        <v>80</v>
      </c>
      <c r="B100" s="216"/>
      <c r="C100" s="216"/>
      <c r="D100" s="217"/>
      <c r="E100" s="69"/>
      <c r="F100" s="70"/>
      <c r="G100" s="1"/>
      <c r="H100" s="53"/>
    </row>
    <row r="101" spans="1:13" s="2" customFormat="1" x14ac:dyDescent="0.2">
      <c r="A101" s="71" t="s">
        <v>81</v>
      </c>
      <c r="B101" s="71"/>
      <c r="C101" s="72" t="s">
        <v>82</v>
      </c>
      <c r="D101" s="73" t="s">
        <v>83</v>
      </c>
      <c r="E101" s="69"/>
      <c r="F101" s="70"/>
      <c r="H101" s="53"/>
    </row>
    <row r="102" spans="1:13" s="2" customFormat="1" x14ac:dyDescent="0.2">
      <c r="A102" s="87">
        <v>45108</v>
      </c>
      <c r="B102" s="120" t="s">
        <v>1052</v>
      </c>
      <c r="C102" s="75" t="s">
        <v>84</v>
      </c>
      <c r="D102" s="88">
        <v>3000000</v>
      </c>
      <c r="G102" s="1"/>
      <c r="L102" s="1"/>
      <c r="M102" s="1"/>
    </row>
    <row r="103" spans="1:13" s="2" customFormat="1" x14ac:dyDescent="0.2">
      <c r="A103" s="87">
        <v>45108</v>
      </c>
      <c r="B103" s="120" t="s">
        <v>1052</v>
      </c>
      <c r="C103" s="75" t="s">
        <v>271</v>
      </c>
      <c r="D103" s="88">
        <v>2323148</v>
      </c>
      <c r="G103" s="1"/>
      <c r="L103" s="1"/>
      <c r="M103" s="1"/>
    </row>
    <row r="104" spans="1:13" s="2" customFormat="1" x14ac:dyDescent="0.2">
      <c r="A104" s="87">
        <v>45110</v>
      </c>
      <c r="B104" s="120" t="s">
        <v>1052</v>
      </c>
      <c r="C104" s="75" t="s">
        <v>85</v>
      </c>
      <c r="D104" s="88">
        <v>732575</v>
      </c>
      <c r="G104" s="1"/>
      <c r="L104" s="1"/>
      <c r="M104" s="1"/>
    </row>
    <row r="105" spans="1:13" s="2" customFormat="1" x14ac:dyDescent="0.2">
      <c r="A105" s="87">
        <v>45110</v>
      </c>
      <c r="B105" s="120" t="s">
        <v>1052</v>
      </c>
      <c r="C105" s="75" t="s">
        <v>86</v>
      </c>
      <c r="D105" s="88">
        <v>2676974</v>
      </c>
      <c r="G105" s="1"/>
      <c r="L105" s="1"/>
      <c r="M105" s="1"/>
    </row>
    <row r="106" spans="1:13" s="2" customFormat="1" x14ac:dyDescent="0.2">
      <c r="A106" s="87">
        <v>45110</v>
      </c>
      <c r="B106" s="120" t="s">
        <v>1052</v>
      </c>
      <c r="C106" s="75" t="s">
        <v>86</v>
      </c>
      <c r="D106" s="88">
        <v>1043475</v>
      </c>
      <c r="G106" s="1"/>
      <c r="L106" s="1"/>
      <c r="M106" s="1"/>
    </row>
    <row r="107" spans="1:13" s="2" customFormat="1" x14ac:dyDescent="0.2">
      <c r="A107" s="87">
        <v>45111</v>
      </c>
      <c r="B107" s="120" t="s">
        <v>1052</v>
      </c>
      <c r="C107" s="75" t="s">
        <v>270</v>
      </c>
      <c r="D107" s="88">
        <v>106093</v>
      </c>
      <c r="G107" s="1"/>
      <c r="L107" s="1"/>
      <c r="M107" s="1"/>
    </row>
    <row r="108" spans="1:13" s="2" customFormat="1" x14ac:dyDescent="0.2">
      <c r="A108" s="87">
        <v>45111</v>
      </c>
      <c r="B108" s="120" t="s">
        <v>1052</v>
      </c>
      <c r="C108" s="75" t="s">
        <v>270</v>
      </c>
      <c r="D108" s="88">
        <v>102393</v>
      </c>
      <c r="G108" s="1"/>
      <c r="L108" s="1"/>
      <c r="M108" s="1"/>
    </row>
    <row r="109" spans="1:13" s="2" customFormat="1" x14ac:dyDescent="0.2">
      <c r="A109" s="87">
        <v>45111</v>
      </c>
      <c r="B109" s="120" t="s">
        <v>1052</v>
      </c>
      <c r="C109" s="75" t="s">
        <v>270</v>
      </c>
      <c r="D109" s="88">
        <v>716336</v>
      </c>
      <c r="G109" s="1"/>
      <c r="L109" s="1"/>
      <c r="M109" s="1"/>
    </row>
    <row r="110" spans="1:13" s="2" customFormat="1" x14ac:dyDescent="0.2">
      <c r="A110" s="87">
        <v>45111</v>
      </c>
      <c r="B110" s="120" t="s">
        <v>1052</v>
      </c>
      <c r="C110" s="75" t="s">
        <v>270</v>
      </c>
      <c r="D110" s="88">
        <v>2504631</v>
      </c>
      <c r="G110" s="1"/>
      <c r="L110" s="1"/>
      <c r="M110" s="1"/>
    </row>
    <row r="111" spans="1:13" s="2" customFormat="1" x14ac:dyDescent="0.2">
      <c r="A111" s="87">
        <v>45111</v>
      </c>
      <c r="B111" s="120" t="s">
        <v>1052</v>
      </c>
      <c r="C111" s="75" t="s">
        <v>270</v>
      </c>
      <c r="D111" s="88">
        <v>141433.92000000001</v>
      </c>
      <c r="G111" s="1"/>
      <c r="L111" s="1"/>
      <c r="M111" s="1"/>
    </row>
    <row r="112" spans="1:13" s="2" customFormat="1" x14ac:dyDescent="0.2">
      <c r="A112" s="87">
        <v>45111</v>
      </c>
      <c r="B112" s="120" t="s">
        <v>1052</v>
      </c>
      <c r="C112" s="75" t="s">
        <v>271</v>
      </c>
      <c r="D112" s="88">
        <v>485258</v>
      </c>
      <c r="G112" s="1"/>
      <c r="L112" s="1"/>
      <c r="M112" s="1"/>
    </row>
    <row r="113" spans="1:13" s="2" customFormat="1" x14ac:dyDescent="0.2">
      <c r="A113" s="87">
        <v>45112</v>
      </c>
      <c r="B113" s="120" t="s">
        <v>1052</v>
      </c>
      <c r="C113" s="75" t="s">
        <v>85</v>
      </c>
      <c r="D113" s="88">
        <v>216478</v>
      </c>
      <c r="G113" s="1"/>
      <c r="L113" s="1"/>
      <c r="M113" s="1"/>
    </row>
    <row r="114" spans="1:13" s="2" customFormat="1" x14ac:dyDescent="0.2">
      <c r="A114" s="87">
        <v>45114</v>
      </c>
      <c r="B114" s="120" t="s">
        <v>1052</v>
      </c>
      <c r="C114" s="75" t="s">
        <v>270</v>
      </c>
      <c r="D114" s="88">
        <v>886333</v>
      </c>
      <c r="G114" s="1"/>
      <c r="L114" s="1"/>
      <c r="M114" s="1"/>
    </row>
    <row r="115" spans="1:13" s="2" customFormat="1" x14ac:dyDescent="0.2">
      <c r="A115" s="87">
        <v>45114</v>
      </c>
      <c r="B115" s="120" t="s">
        <v>1052</v>
      </c>
      <c r="C115" s="75" t="s">
        <v>270</v>
      </c>
      <c r="D115" s="88">
        <v>3119806</v>
      </c>
      <c r="G115" s="1"/>
      <c r="L115" s="1"/>
      <c r="M115" s="1"/>
    </row>
    <row r="116" spans="1:13" s="2" customFormat="1" x14ac:dyDescent="0.2">
      <c r="A116" s="87">
        <v>45114</v>
      </c>
      <c r="B116" s="120" t="s">
        <v>1052</v>
      </c>
      <c r="C116" s="75" t="s">
        <v>271</v>
      </c>
      <c r="D116" s="88">
        <v>151160</v>
      </c>
      <c r="G116" s="1"/>
      <c r="L116" s="1"/>
      <c r="M116" s="1"/>
    </row>
    <row r="117" spans="1:13" s="2" customFormat="1" x14ac:dyDescent="0.2">
      <c r="A117" s="87">
        <v>45114</v>
      </c>
      <c r="B117" s="120" t="s">
        <v>1052</v>
      </c>
      <c r="C117" s="75" t="s">
        <v>271</v>
      </c>
      <c r="D117" s="88">
        <v>285195</v>
      </c>
      <c r="G117" s="1"/>
      <c r="L117" s="1"/>
      <c r="M117" s="1"/>
    </row>
    <row r="118" spans="1:13" s="2" customFormat="1" x14ac:dyDescent="0.2">
      <c r="A118" s="87">
        <v>45114</v>
      </c>
      <c r="B118" s="120" t="s">
        <v>1052</v>
      </c>
      <c r="C118" s="75" t="s">
        <v>201</v>
      </c>
      <c r="D118" s="88">
        <v>128135</v>
      </c>
      <c r="G118" s="1"/>
      <c r="L118" s="1"/>
      <c r="M118" s="1"/>
    </row>
    <row r="119" spans="1:13" s="2" customFormat="1" x14ac:dyDescent="0.2">
      <c r="A119" s="87">
        <v>45114</v>
      </c>
      <c r="B119" s="120" t="s">
        <v>1052</v>
      </c>
      <c r="C119" s="75" t="s">
        <v>323</v>
      </c>
      <c r="D119" s="88">
        <v>2313089</v>
      </c>
      <c r="G119" s="1"/>
      <c r="L119" s="1"/>
      <c r="M119" s="1"/>
    </row>
    <row r="120" spans="1:13" s="2" customFormat="1" x14ac:dyDescent="0.2">
      <c r="A120" s="87">
        <v>45115</v>
      </c>
      <c r="B120" s="120" t="s">
        <v>1052</v>
      </c>
      <c r="C120" s="75" t="s">
        <v>767</v>
      </c>
      <c r="D120" s="88">
        <v>411035</v>
      </c>
      <c r="G120" s="1"/>
      <c r="L120" s="1"/>
      <c r="M120" s="1"/>
    </row>
    <row r="121" spans="1:13" s="2" customFormat="1" x14ac:dyDescent="0.2">
      <c r="A121" s="87">
        <v>45118</v>
      </c>
      <c r="B121" s="120" t="s">
        <v>1052</v>
      </c>
      <c r="C121" s="75" t="s">
        <v>270</v>
      </c>
      <c r="D121" s="88">
        <v>34696</v>
      </c>
      <c r="G121" s="1"/>
      <c r="L121" s="1"/>
      <c r="M121" s="1"/>
    </row>
    <row r="122" spans="1:13" s="2" customFormat="1" x14ac:dyDescent="0.2">
      <c r="A122" s="87">
        <v>45118</v>
      </c>
      <c r="B122" s="120" t="s">
        <v>1052</v>
      </c>
      <c r="C122" s="75" t="s">
        <v>270</v>
      </c>
      <c r="D122" s="88">
        <v>1128922</v>
      </c>
      <c r="G122" s="1"/>
      <c r="L122" s="1"/>
      <c r="M122" s="1"/>
    </row>
    <row r="123" spans="1:13" s="2" customFormat="1" x14ac:dyDescent="0.2">
      <c r="A123" s="87">
        <v>45118</v>
      </c>
      <c r="B123" s="120" t="s">
        <v>1052</v>
      </c>
      <c r="C123" s="75" t="s">
        <v>270</v>
      </c>
      <c r="D123" s="88">
        <v>2865343</v>
      </c>
      <c r="G123" s="1"/>
      <c r="L123" s="1"/>
      <c r="M123" s="1"/>
    </row>
    <row r="124" spans="1:13" s="2" customFormat="1" x14ac:dyDescent="0.2">
      <c r="A124" s="87">
        <v>45118</v>
      </c>
      <c r="B124" s="120" t="s">
        <v>1052</v>
      </c>
      <c r="C124" s="75" t="s">
        <v>270</v>
      </c>
      <c r="D124" s="88">
        <v>1090852</v>
      </c>
      <c r="G124" s="1"/>
      <c r="L124" s="1"/>
      <c r="M124" s="1"/>
    </row>
    <row r="125" spans="1:13" s="2" customFormat="1" x14ac:dyDescent="0.2">
      <c r="A125" s="87">
        <v>45118</v>
      </c>
      <c r="B125" s="120" t="s">
        <v>1052</v>
      </c>
      <c r="C125" s="75" t="s">
        <v>270</v>
      </c>
      <c r="D125" s="88">
        <v>359348</v>
      </c>
      <c r="G125" s="1"/>
      <c r="L125" s="1"/>
      <c r="M125" s="1"/>
    </row>
    <row r="126" spans="1:13" s="2" customFormat="1" x14ac:dyDescent="0.2">
      <c r="A126" s="87">
        <v>45118</v>
      </c>
      <c r="B126" s="120" t="s">
        <v>1052</v>
      </c>
      <c r="C126" s="75" t="s">
        <v>271</v>
      </c>
      <c r="D126" s="88">
        <v>323487</v>
      </c>
      <c r="G126" s="1"/>
      <c r="L126" s="1"/>
      <c r="M126" s="1"/>
    </row>
    <row r="127" spans="1:13" s="2" customFormat="1" x14ac:dyDescent="0.2">
      <c r="A127" s="87">
        <v>45118</v>
      </c>
      <c r="B127" s="120" t="s">
        <v>1052</v>
      </c>
      <c r="C127" s="75" t="s">
        <v>271</v>
      </c>
      <c r="D127" s="88">
        <v>44394</v>
      </c>
      <c r="G127" s="1"/>
      <c r="L127" s="1"/>
      <c r="M127" s="1"/>
    </row>
    <row r="128" spans="1:13" s="2" customFormat="1" x14ac:dyDescent="0.2">
      <c r="A128" s="87">
        <v>45118</v>
      </c>
      <c r="B128" s="120" t="s">
        <v>1052</v>
      </c>
      <c r="C128" s="75" t="s">
        <v>271</v>
      </c>
      <c r="D128" s="88">
        <v>2035052</v>
      </c>
      <c r="G128" s="1"/>
      <c r="L128" s="1"/>
      <c r="M128" s="1"/>
    </row>
    <row r="129" spans="1:13" s="2" customFormat="1" x14ac:dyDescent="0.2">
      <c r="A129" s="87">
        <v>45119</v>
      </c>
      <c r="B129" s="120" t="s">
        <v>1052</v>
      </c>
      <c r="C129" s="75" t="s">
        <v>85</v>
      </c>
      <c r="D129" s="88">
        <v>569516</v>
      </c>
      <c r="G129" s="1"/>
      <c r="L129" s="1"/>
      <c r="M129" s="1"/>
    </row>
    <row r="130" spans="1:13" s="2" customFormat="1" x14ac:dyDescent="0.2">
      <c r="A130" s="87">
        <v>45119</v>
      </c>
      <c r="B130" s="120" t="s">
        <v>1052</v>
      </c>
      <c r="C130" s="75" t="s">
        <v>271</v>
      </c>
      <c r="D130" s="88">
        <v>3074492</v>
      </c>
      <c r="G130" s="1"/>
      <c r="L130" s="1"/>
      <c r="M130" s="1"/>
    </row>
    <row r="131" spans="1:13" s="2" customFormat="1" x14ac:dyDescent="0.2">
      <c r="A131" s="87">
        <v>45119</v>
      </c>
      <c r="B131" s="120" t="s">
        <v>1052</v>
      </c>
      <c r="C131" s="75" t="s">
        <v>270</v>
      </c>
      <c r="D131" s="88">
        <v>1556273</v>
      </c>
      <c r="G131" s="1"/>
      <c r="L131" s="1"/>
      <c r="M131" s="1"/>
    </row>
    <row r="132" spans="1:13" s="2" customFormat="1" x14ac:dyDescent="0.2">
      <c r="A132" s="87">
        <v>45119</v>
      </c>
      <c r="B132" s="120" t="s">
        <v>1052</v>
      </c>
      <c r="C132" s="75" t="s">
        <v>84</v>
      </c>
      <c r="D132" s="88">
        <v>2500000</v>
      </c>
      <c r="G132" s="1"/>
      <c r="L132" s="1"/>
      <c r="M132" s="1"/>
    </row>
    <row r="133" spans="1:13" s="2" customFormat="1" x14ac:dyDescent="0.2">
      <c r="A133" s="87">
        <v>45121</v>
      </c>
      <c r="B133" s="120" t="s">
        <v>1052</v>
      </c>
      <c r="C133" s="75" t="s">
        <v>1084</v>
      </c>
      <c r="D133" s="88">
        <v>5000000</v>
      </c>
      <c r="G133" s="1"/>
      <c r="L133" s="1"/>
      <c r="M133" s="1"/>
    </row>
    <row r="134" spans="1:13" s="2" customFormat="1" x14ac:dyDescent="0.2">
      <c r="A134" s="87">
        <v>45122</v>
      </c>
      <c r="B134" s="120" t="s">
        <v>1052</v>
      </c>
      <c r="C134" s="75" t="s">
        <v>270</v>
      </c>
      <c r="D134" s="88">
        <v>893235</v>
      </c>
      <c r="G134" s="1"/>
      <c r="L134" s="1"/>
      <c r="M134" s="1"/>
    </row>
    <row r="135" spans="1:13" s="2" customFormat="1" x14ac:dyDescent="0.2">
      <c r="A135" s="87">
        <v>45124</v>
      </c>
      <c r="B135" s="120" t="s">
        <v>1052</v>
      </c>
      <c r="C135" s="75" t="s">
        <v>1084</v>
      </c>
      <c r="D135" s="88">
        <v>4000000</v>
      </c>
      <c r="G135" s="1"/>
      <c r="L135" s="1"/>
      <c r="M135" s="1"/>
    </row>
    <row r="136" spans="1:13" s="2" customFormat="1" x14ac:dyDescent="0.2">
      <c r="A136" s="87">
        <v>45125</v>
      </c>
      <c r="B136" s="120" t="s">
        <v>1052</v>
      </c>
      <c r="C136" s="75" t="s">
        <v>85</v>
      </c>
      <c r="D136" s="88">
        <v>209650</v>
      </c>
      <c r="G136" s="1"/>
      <c r="L136" s="1"/>
      <c r="M136" s="1"/>
    </row>
    <row r="137" spans="1:13" s="2" customFormat="1" x14ac:dyDescent="0.2">
      <c r="A137" s="87">
        <v>45125</v>
      </c>
      <c r="B137" s="120" t="s">
        <v>1052</v>
      </c>
      <c r="C137" s="75" t="s">
        <v>270</v>
      </c>
      <c r="D137" s="88">
        <v>891686</v>
      </c>
      <c r="G137" s="1"/>
      <c r="L137" s="1"/>
      <c r="M137" s="1"/>
    </row>
    <row r="138" spans="1:13" s="2" customFormat="1" x14ac:dyDescent="0.2">
      <c r="A138" s="87">
        <v>45125</v>
      </c>
      <c r="B138" s="120" t="s">
        <v>1052</v>
      </c>
      <c r="C138" s="75" t="s">
        <v>85</v>
      </c>
      <c r="D138" s="88">
        <v>75953</v>
      </c>
      <c r="G138" s="1"/>
      <c r="L138" s="1"/>
      <c r="M138" s="1"/>
    </row>
    <row r="139" spans="1:13" s="2" customFormat="1" x14ac:dyDescent="0.2">
      <c r="A139" s="87">
        <v>45125</v>
      </c>
      <c r="B139" s="120" t="s">
        <v>1052</v>
      </c>
      <c r="C139" s="75" t="s">
        <v>767</v>
      </c>
      <c r="D139" s="88">
        <v>691994</v>
      </c>
      <c r="G139" s="1"/>
      <c r="L139" s="1"/>
      <c r="M139" s="1"/>
    </row>
    <row r="140" spans="1:13" s="2" customFormat="1" x14ac:dyDescent="0.2">
      <c r="A140" s="87">
        <v>45126</v>
      </c>
      <c r="B140" s="120" t="s">
        <v>1052</v>
      </c>
      <c r="C140" s="75" t="s">
        <v>271</v>
      </c>
      <c r="D140" s="88">
        <v>415838</v>
      </c>
      <c r="G140" s="1"/>
      <c r="L140" s="1"/>
      <c r="M140" s="1"/>
    </row>
    <row r="141" spans="1:13" s="2" customFormat="1" x14ac:dyDescent="0.2">
      <c r="A141" s="87">
        <v>45127</v>
      </c>
      <c r="B141" s="120" t="s">
        <v>1052</v>
      </c>
      <c r="C141" s="75" t="s">
        <v>606</v>
      </c>
      <c r="D141" s="88">
        <v>564973</v>
      </c>
      <c r="G141" s="1"/>
      <c r="L141" s="1"/>
      <c r="M141" s="1"/>
    </row>
    <row r="142" spans="1:13" s="2" customFormat="1" x14ac:dyDescent="0.2">
      <c r="A142" s="87">
        <v>45127</v>
      </c>
      <c r="B142" s="120" t="s">
        <v>1052</v>
      </c>
      <c r="C142" s="75" t="s">
        <v>84</v>
      </c>
      <c r="D142" s="88">
        <v>2000000</v>
      </c>
      <c r="G142" s="1"/>
      <c r="L142" s="1"/>
      <c r="M142" s="1"/>
    </row>
    <row r="143" spans="1:13" s="2" customFormat="1" x14ac:dyDescent="0.2">
      <c r="A143" s="87">
        <v>45127</v>
      </c>
      <c r="B143" s="120" t="s">
        <v>1052</v>
      </c>
      <c r="C143" s="75" t="s">
        <v>86</v>
      </c>
      <c r="D143" s="88">
        <v>906281</v>
      </c>
      <c r="G143" s="1"/>
      <c r="L143" s="1"/>
      <c r="M143" s="1"/>
    </row>
    <row r="144" spans="1:13" s="2" customFormat="1" x14ac:dyDescent="0.2">
      <c r="A144" s="87">
        <v>45127</v>
      </c>
      <c r="B144" s="120" t="s">
        <v>1052</v>
      </c>
      <c r="C144" s="75" t="s">
        <v>86</v>
      </c>
      <c r="D144" s="88">
        <v>12614</v>
      </c>
      <c r="G144" s="1"/>
      <c r="L144" s="1"/>
      <c r="M144" s="1"/>
    </row>
    <row r="145" spans="1:13" s="2" customFormat="1" x14ac:dyDescent="0.2">
      <c r="A145" s="87">
        <v>45127</v>
      </c>
      <c r="B145" s="120" t="s">
        <v>1052</v>
      </c>
      <c r="C145" s="75" t="s">
        <v>88</v>
      </c>
      <c r="D145" s="88">
        <v>903686</v>
      </c>
      <c r="G145" s="1"/>
      <c r="L145" s="1"/>
      <c r="M145" s="1"/>
    </row>
    <row r="146" spans="1:13" s="2" customFormat="1" x14ac:dyDescent="0.2">
      <c r="A146" s="87">
        <v>45127</v>
      </c>
      <c r="B146" s="120" t="s">
        <v>1052</v>
      </c>
      <c r="C146" s="75" t="s">
        <v>86</v>
      </c>
      <c r="D146" s="88">
        <v>2526490</v>
      </c>
      <c r="G146" s="1"/>
      <c r="L146" s="1"/>
      <c r="M146" s="1"/>
    </row>
    <row r="147" spans="1:13" s="2" customFormat="1" x14ac:dyDescent="0.2">
      <c r="A147" s="87">
        <v>45127</v>
      </c>
      <c r="B147" s="120" t="s">
        <v>1052</v>
      </c>
      <c r="C147" s="75" t="s">
        <v>201</v>
      </c>
      <c r="D147" s="88">
        <v>4999894</v>
      </c>
      <c r="G147" s="1"/>
      <c r="L147" s="1"/>
      <c r="M147" s="1"/>
    </row>
    <row r="148" spans="1:13" s="2" customFormat="1" x14ac:dyDescent="0.2">
      <c r="A148" s="87">
        <v>45128</v>
      </c>
      <c r="B148" s="120" t="s">
        <v>1052</v>
      </c>
      <c r="C148" s="75" t="s">
        <v>1084</v>
      </c>
      <c r="D148" s="88">
        <v>4000000</v>
      </c>
      <c r="G148" s="1"/>
      <c r="L148" s="1"/>
      <c r="M148" s="1"/>
    </row>
    <row r="149" spans="1:13" s="2" customFormat="1" x14ac:dyDescent="0.2">
      <c r="A149" s="87">
        <v>45131</v>
      </c>
      <c r="B149" s="120" t="s">
        <v>1052</v>
      </c>
      <c r="C149" s="75" t="s">
        <v>85</v>
      </c>
      <c r="D149" s="88">
        <v>1044741</v>
      </c>
      <c r="G149" s="1"/>
      <c r="L149" s="1"/>
      <c r="M149" s="1"/>
    </row>
    <row r="150" spans="1:13" s="2" customFormat="1" x14ac:dyDescent="0.2">
      <c r="A150" s="87">
        <v>45132</v>
      </c>
      <c r="B150" s="120" t="s">
        <v>1052</v>
      </c>
      <c r="C150" s="75" t="s">
        <v>85</v>
      </c>
      <c r="D150" s="88">
        <v>70998</v>
      </c>
      <c r="G150" s="1"/>
      <c r="L150" s="1"/>
      <c r="M150" s="1"/>
    </row>
    <row r="151" spans="1:13" s="2" customFormat="1" x14ac:dyDescent="0.2">
      <c r="A151" s="87"/>
      <c r="B151" s="74"/>
      <c r="C151" s="75"/>
      <c r="D151" s="51">
        <f>SUM(D102:D150)</f>
        <v>66133955.920000002</v>
      </c>
      <c r="F151" s="2" t="s">
        <v>396</v>
      </c>
      <c r="G151" s="1"/>
      <c r="L151" s="1"/>
      <c r="M151" s="1"/>
    </row>
    <row r="152" spans="1:13" s="2" customFormat="1" x14ac:dyDescent="0.2">
      <c r="A152" s="24"/>
      <c r="B152" s="1"/>
      <c r="C152" s="14"/>
      <c r="D152" s="56"/>
      <c r="E152" s="13"/>
      <c r="G152" s="1"/>
      <c r="L152" s="1"/>
      <c r="M152" s="1"/>
    </row>
    <row r="153" spans="1:13" s="2" customFormat="1" x14ac:dyDescent="0.2">
      <c r="A153" s="24"/>
      <c r="B153" s="1"/>
      <c r="C153" s="218" t="s">
        <v>77</v>
      </c>
      <c r="D153" s="219"/>
      <c r="E153" s="219"/>
      <c r="F153" s="220"/>
      <c r="G153" s="1"/>
      <c r="L153" s="1"/>
      <c r="M153" s="1"/>
    </row>
    <row r="154" spans="1:13" s="2" customFormat="1" x14ac:dyDescent="0.2">
      <c r="A154" s="24"/>
      <c r="B154" s="1"/>
      <c r="C154" s="50"/>
      <c r="D154" s="57" t="s">
        <v>78</v>
      </c>
      <c r="E154" s="58" t="s">
        <v>79</v>
      </c>
      <c r="F154" s="57" t="s">
        <v>72</v>
      </c>
      <c r="G154" s="1"/>
      <c r="I154" s="1"/>
      <c r="J154" s="1"/>
      <c r="K154" s="1"/>
      <c r="L154" s="1"/>
      <c r="M154" s="1"/>
    </row>
    <row r="155" spans="1:13" s="2" customFormat="1" x14ac:dyDescent="0.2">
      <c r="A155" s="24"/>
      <c r="B155" s="1"/>
      <c r="C155" s="59" t="str">
        <f>"01-07-2023 to "&amp;TEXT(A5-2,"dd-mm-yyyy")</f>
        <v>01-07-2023 to 23-07-2023</v>
      </c>
      <c r="D155" s="60">
        <v>3931.32</v>
      </c>
      <c r="E155" s="60">
        <v>200.06</v>
      </c>
      <c r="F155" s="61">
        <f>SUM(D155:E155)</f>
        <v>4131.38</v>
      </c>
      <c r="G155" s="1"/>
    </row>
    <row r="156" spans="1:13" s="2" customFormat="1" x14ac:dyDescent="0.2">
      <c r="A156" s="24"/>
      <c r="B156" s="1"/>
      <c r="C156" s="62" t="str">
        <f>TEXT(A5-1,"dd-mm-yyyy")</f>
        <v>24-07-2023</v>
      </c>
      <c r="D156" s="60">
        <v>71.599999999999994</v>
      </c>
      <c r="E156" s="60">
        <v>14.43</v>
      </c>
      <c r="F156" s="61">
        <f>SUM(D156:E156)</f>
        <v>86.03</v>
      </c>
      <c r="G156" s="54"/>
      <c r="I156" s="1"/>
      <c r="J156" s="1"/>
      <c r="K156" s="1"/>
      <c r="L156" s="1"/>
      <c r="M156" s="1"/>
    </row>
    <row r="157" spans="1:13" s="2" customFormat="1" ht="13.5" thickBot="1" x14ac:dyDescent="0.25">
      <c r="A157" s="24"/>
      <c r="B157" s="1"/>
      <c r="C157" s="63" t="str">
        <f>"01-07-2023 to "&amp;TEXT(A5-1,"dd-mm-yyyy")</f>
        <v>01-07-2023 to 24-07-2023</v>
      </c>
      <c r="D157" s="64">
        <f>SUM(D155:D156)</f>
        <v>4002.92</v>
      </c>
      <c r="E157" s="64">
        <f>SUM(E155:E156)</f>
        <v>214.49</v>
      </c>
      <c r="F157" s="64">
        <f>SUM(F155:F156)</f>
        <v>4217.41</v>
      </c>
      <c r="G157" s="54"/>
      <c r="I157" s="1"/>
      <c r="J157" s="1"/>
      <c r="K157" s="1"/>
      <c r="L157" s="1"/>
      <c r="M157" s="1"/>
    </row>
    <row r="158" spans="1:13" s="2" customFormat="1" ht="13.5" thickTop="1" x14ac:dyDescent="0.2">
      <c r="A158" s="24"/>
      <c r="B158" s="1"/>
      <c r="C158" s="62"/>
      <c r="D158" s="65"/>
      <c r="E158" s="66"/>
      <c r="F158" s="67"/>
      <c r="G158" s="54"/>
      <c r="I158" s="1"/>
      <c r="J158" s="1"/>
      <c r="K158" s="1"/>
      <c r="L158" s="1"/>
      <c r="M158" s="1"/>
    </row>
    <row r="159" spans="1:13" s="2" customFormat="1" x14ac:dyDescent="0.2">
      <c r="A159" s="24"/>
      <c r="B159" s="1"/>
      <c r="C159" s="62" t="str">
        <f>"01-04-2023 to " &amp;C156</f>
        <v>01-04-2023 to 24-07-2023</v>
      </c>
      <c r="D159" s="68">
        <f>+D157+15505.53</f>
        <v>19508.45</v>
      </c>
      <c r="E159" s="68">
        <f>+E157+1109.72</f>
        <v>1324.21</v>
      </c>
      <c r="F159" s="68">
        <f>+F157+16615.25</f>
        <v>20832.66</v>
      </c>
      <c r="G159" s="54"/>
      <c r="I159" s="1"/>
      <c r="J159" s="1"/>
      <c r="K159" s="1"/>
      <c r="L159" s="1"/>
      <c r="M159" s="1"/>
    </row>
    <row r="160" spans="1:13" x14ac:dyDescent="0.2">
      <c r="C160" s="52"/>
      <c r="D160" s="85"/>
      <c r="E160" s="53"/>
      <c r="F160" s="53"/>
      <c r="G160" s="54"/>
      <c r="H160" s="2" t="s">
        <v>396</v>
      </c>
    </row>
    <row r="161" spans="1:10" s="2" customFormat="1" x14ac:dyDescent="0.2">
      <c r="A161" s="24"/>
      <c r="B161" s="1"/>
      <c r="C161" s="52"/>
      <c r="D161" s="85"/>
      <c r="E161" s="53"/>
      <c r="F161" s="53"/>
      <c r="G161" s="54"/>
      <c r="H161" s="53"/>
    </row>
    <row r="162" spans="1:10" x14ac:dyDescent="0.2">
      <c r="C162" s="52"/>
      <c r="D162" s="85"/>
      <c r="E162" s="53"/>
      <c r="F162" s="53"/>
      <c r="G162" s="54"/>
      <c r="H162" s="53" t="s">
        <v>396</v>
      </c>
    </row>
    <row r="163" spans="1:10" x14ac:dyDescent="0.2">
      <c r="C163" s="52"/>
      <c r="D163" s="85"/>
      <c r="E163" s="53"/>
      <c r="F163" s="53"/>
      <c r="G163" s="54"/>
      <c r="H163" s="53" t="s">
        <v>396</v>
      </c>
      <c r="J163" s="42"/>
    </row>
    <row r="164" spans="1:10" x14ac:dyDescent="0.2">
      <c r="G164" s="54"/>
      <c r="H164" s="53"/>
      <c r="I164" s="101"/>
    </row>
    <row r="165" spans="1:10" x14ac:dyDescent="0.2">
      <c r="G165" s="54"/>
      <c r="H165" s="53"/>
    </row>
    <row r="166" spans="1:10" x14ac:dyDescent="0.2">
      <c r="G166" s="54"/>
      <c r="H166" s="53"/>
    </row>
    <row r="167" spans="1:10" x14ac:dyDescent="0.2">
      <c r="H167" s="53"/>
    </row>
  </sheetData>
  <mergeCells count="6">
    <mergeCell ref="C153:F153"/>
    <mergeCell ref="A1:G1"/>
    <mergeCell ref="A3:F3"/>
    <mergeCell ref="A9:F9"/>
    <mergeCell ref="A25:F25"/>
    <mergeCell ref="A100:D100"/>
  </mergeCells>
  <conditionalFormatting sqref="G97:G98">
    <cfRule type="cellIs" dxfId="397" priority="1" operator="lessThan">
      <formula>0</formula>
    </cfRule>
  </conditionalFormatting>
  <conditionalFormatting sqref="C27">
    <cfRule type="duplicateValues" dxfId="396" priority="2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C00-000000000000}">
  <sheetPr codeName="Sheet388">
    <pageSetUpPr fitToPage="1"/>
  </sheetPr>
  <dimension ref="A1:N160"/>
  <sheetViews>
    <sheetView topLeftCell="A31" zoomScaleNormal="100" workbookViewId="0">
      <selection activeCell="E37" sqref="E37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1262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45133</v>
      </c>
      <c r="B5" s="9" t="s">
        <v>6</v>
      </c>
      <c r="C5" s="10" t="s">
        <v>7</v>
      </c>
      <c r="D5" s="11"/>
      <c r="E5" s="12">
        <v>277691.7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277691.7</v>
      </c>
      <c r="F6" s="16">
        <f>SUM(F5:F5)</f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+E6-F6</f>
        <v>277691.7</v>
      </c>
      <c r="F7" s="22"/>
      <c r="G7" s="23"/>
      <c r="H7" s="112"/>
      <c r="I7" s="112"/>
      <c r="J7" s="13"/>
    </row>
    <row r="8" spans="1:10" ht="12.75" customHeight="1" x14ac:dyDescent="0.4">
      <c r="H8" s="112"/>
      <c r="I8" s="112"/>
    </row>
    <row r="9" spans="1:10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12"/>
    </row>
    <row r="10" spans="1:10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12"/>
    </row>
    <row r="11" spans="1:10" s="2" customFormat="1" ht="14.25" customHeight="1" x14ac:dyDescent="0.2">
      <c r="A11" s="89">
        <v>45133</v>
      </c>
      <c r="B11" s="9" t="s">
        <v>6</v>
      </c>
      <c r="C11" s="10" t="s">
        <v>7</v>
      </c>
      <c r="D11" s="11"/>
      <c r="F11" s="12">
        <v>15895613.890000001</v>
      </c>
      <c r="G11" s="1"/>
      <c r="H11" s="130" t="s">
        <v>396</v>
      </c>
      <c r="I11" s="130"/>
    </row>
    <row r="12" spans="1:10" s="70" customFormat="1" ht="12.75" customHeight="1" x14ac:dyDescent="0.2">
      <c r="A12" s="89">
        <v>45133</v>
      </c>
      <c r="B12" s="128" t="s">
        <v>6</v>
      </c>
      <c r="C12" s="10" t="s">
        <v>16</v>
      </c>
      <c r="D12" s="11" t="s">
        <v>13</v>
      </c>
      <c r="E12" s="86">
        <v>2759789.85</v>
      </c>
      <c r="G12" s="30"/>
      <c r="I12" s="69"/>
      <c r="J12" s="69"/>
    </row>
    <row r="13" spans="1:10" s="2" customFormat="1" ht="14.25" customHeight="1" x14ac:dyDescent="0.2">
      <c r="A13" s="89">
        <v>45133</v>
      </c>
      <c r="B13" s="128" t="s">
        <v>11</v>
      </c>
      <c r="C13" s="10" t="s">
        <v>1137</v>
      </c>
      <c r="D13" s="11" t="s">
        <v>1243</v>
      </c>
      <c r="F13" s="86">
        <v>56428.76</v>
      </c>
      <c r="G13" s="1"/>
      <c r="H13" s="130"/>
      <c r="I13" s="130"/>
    </row>
    <row r="14" spans="1:10" s="2" customFormat="1" ht="14.25" customHeight="1" x14ac:dyDescent="0.2">
      <c r="A14" s="89">
        <v>45133</v>
      </c>
      <c r="B14" s="128" t="s">
        <v>11</v>
      </c>
      <c r="C14" s="76" t="s">
        <v>256</v>
      </c>
      <c r="D14" s="11" t="s">
        <v>1243</v>
      </c>
      <c r="F14" s="86">
        <v>369311</v>
      </c>
      <c r="G14" s="1"/>
      <c r="H14" s="130"/>
      <c r="I14" s="130"/>
    </row>
    <row r="15" spans="1:10" s="2" customFormat="1" ht="14.25" customHeight="1" x14ac:dyDescent="0.2">
      <c r="A15" s="89">
        <v>45133</v>
      </c>
      <c r="B15" s="128" t="s">
        <v>11</v>
      </c>
      <c r="C15" s="76" t="s">
        <v>635</v>
      </c>
      <c r="D15" s="11" t="s">
        <v>1243</v>
      </c>
      <c r="F15" s="86">
        <v>888540</v>
      </c>
      <c r="G15" s="1"/>
      <c r="H15" s="130"/>
      <c r="I15" s="130"/>
    </row>
    <row r="16" spans="1:10" s="2" customFormat="1" ht="14.25" customHeight="1" x14ac:dyDescent="0.2">
      <c r="A16" s="89">
        <v>45133</v>
      </c>
      <c r="B16" s="128" t="s">
        <v>11</v>
      </c>
      <c r="C16" s="76" t="s">
        <v>650</v>
      </c>
      <c r="D16" s="11" t="s">
        <v>1243</v>
      </c>
      <c r="F16" s="86">
        <v>590114</v>
      </c>
      <c r="G16" s="1"/>
      <c r="H16" s="130"/>
      <c r="I16" s="130"/>
    </row>
    <row r="17" spans="1:10" s="2" customFormat="1" ht="14.25" customHeight="1" x14ac:dyDescent="0.2">
      <c r="A17" s="89">
        <v>45133</v>
      </c>
      <c r="B17" s="128" t="s">
        <v>11</v>
      </c>
      <c r="C17" s="76" t="s">
        <v>1256</v>
      </c>
      <c r="D17" s="11" t="s">
        <v>1243</v>
      </c>
      <c r="F17" s="86">
        <v>66080</v>
      </c>
      <c r="G17" s="1"/>
      <c r="H17" s="130"/>
      <c r="I17" s="130"/>
    </row>
    <row r="18" spans="1:10" s="2" customFormat="1" ht="14.25" customHeight="1" x14ac:dyDescent="0.2">
      <c r="A18" s="89">
        <v>45133</v>
      </c>
      <c r="B18" s="128" t="s">
        <v>11</v>
      </c>
      <c r="C18" s="76" t="s">
        <v>236</v>
      </c>
      <c r="D18" s="11" t="s">
        <v>1243</v>
      </c>
      <c r="F18" s="86">
        <v>500000</v>
      </c>
      <c r="G18" s="1"/>
      <c r="H18" s="130"/>
      <c r="I18" s="130"/>
    </row>
    <row r="19" spans="1:10" s="2" customFormat="1" ht="14.25" customHeight="1" x14ac:dyDescent="0.2">
      <c r="A19" s="89">
        <v>45133</v>
      </c>
      <c r="B19" s="128" t="s">
        <v>11</v>
      </c>
      <c r="C19" s="76" t="s">
        <v>1263</v>
      </c>
      <c r="D19" s="11" t="s">
        <v>1243</v>
      </c>
      <c r="F19" s="86">
        <v>2850</v>
      </c>
      <c r="G19" s="1"/>
      <c r="H19" s="130"/>
      <c r="I19" s="130"/>
    </row>
    <row r="20" spans="1:10" s="2" customFormat="1" ht="12.75" customHeight="1" x14ac:dyDescent="0.4">
      <c r="D20" s="11" t="s">
        <v>8</v>
      </c>
      <c r="E20" s="16">
        <f>SUM(E12:E13)</f>
        <v>2759789.85</v>
      </c>
      <c r="F20" s="16">
        <f>SUM(F11:F19)</f>
        <v>18368937.649999999</v>
      </c>
      <c r="G20" s="1"/>
      <c r="H20" s="112"/>
      <c r="I20" s="112"/>
    </row>
    <row r="21" spans="1:10" s="2" customFormat="1" ht="12.75" customHeight="1" x14ac:dyDescent="0.4">
      <c r="A21" s="17"/>
      <c r="B21" s="18"/>
      <c r="C21" s="96" t="s">
        <v>9</v>
      </c>
      <c r="D21" s="20"/>
      <c r="E21" s="21">
        <f>+F20-E20</f>
        <v>15609147.799999999</v>
      </c>
      <c r="G21" s="23"/>
      <c r="H21" s="112"/>
      <c r="I21" s="112"/>
      <c r="J21" s="13"/>
    </row>
    <row r="22" spans="1:10" s="2" customFormat="1" ht="12.75" customHeight="1" x14ac:dyDescent="0.4">
      <c r="A22" s="24"/>
      <c r="B22" s="1"/>
      <c r="C22" s="14"/>
      <c r="D22" s="25"/>
      <c r="G22" s="23"/>
      <c r="H22" s="112"/>
      <c r="I22" s="112"/>
      <c r="J22" s="13"/>
    </row>
    <row r="23" spans="1:10" s="2" customFormat="1" ht="21.75" customHeight="1" x14ac:dyDescent="0.4">
      <c r="A23" s="214" t="s">
        <v>10</v>
      </c>
      <c r="B23" s="214"/>
      <c r="C23" s="214"/>
      <c r="D23" s="214"/>
      <c r="E23" s="214"/>
      <c r="F23" s="214"/>
      <c r="G23" s="13"/>
      <c r="H23" s="112"/>
      <c r="I23" s="112"/>
      <c r="J23" s="13"/>
    </row>
    <row r="24" spans="1:10" s="2" customFormat="1" ht="12.75" customHeight="1" x14ac:dyDescent="0.4">
      <c r="A24" s="26" t="s">
        <v>1</v>
      </c>
      <c r="B24" s="27" t="s">
        <v>2</v>
      </c>
      <c r="C24" s="5"/>
      <c r="D24" s="6" t="s">
        <v>3</v>
      </c>
      <c r="E24" s="7" t="s">
        <v>4</v>
      </c>
      <c r="F24" s="7" t="s">
        <v>5</v>
      </c>
      <c r="G24" s="23"/>
      <c r="H24" s="112"/>
      <c r="I24" s="112"/>
      <c r="J24" s="13"/>
    </row>
    <row r="25" spans="1:10" s="2" customFormat="1" ht="12.75" customHeight="1" x14ac:dyDescent="0.2">
      <c r="A25" s="127">
        <v>45133</v>
      </c>
      <c r="B25" s="128" t="s">
        <v>11</v>
      </c>
      <c r="C25" s="29" t="s">
        <v>7</v>
      </c>
      <c r="D25" s="25"/>
      <c r="E25" s="31"/>
      <c r="F25" s="2">
        <v>299364354.82999992</v>
      </c>
      <c r="G25" s="30"/>
      <c r="I25" s="13"/>
      <c r="J25" s="13"/>
    </row>
    <row r="26" spans="1:10" s="70" customFormat="1" ht="12.75" customHeight="1" x14ac:dyDescent="0.2">
      <c r="A26" s="127">
        <v>45133</v>
      </c>
      <c r="B26" s="128" t="s">
        <v>6</v>
      </c>
      <c r="C26" s="10" t="s">
        <v>1232</v>
      </c>
      <c r="D26" s="11" t="s">
        <v>13</v>
      </c>
      <c r="E26" s="86">
        <v>912616</v>
      </c>
      <c r="G26" s="30"/>
      <c r="I26" s="69"/>
      <c r="J26" s="69"/>
    </row>
    <row r="27" spans="1:10" s="70" customFormat="1" ht="12.75" customHeight="1" x14ac:dyDescent="0.2">
      <c r="A27" s="127">
        <v>45133</v>
      </c>
      <c r="B27" s="128" t="s">
        <v>6</v>
      </c>
      <c r="C27" s="10" t="s">
        <v>325</v>
      </c>
      <c r="D27" s="11" t="s">
        <v>13</v>
      </c>
      <c r="E27" s="86">
        <v>1418</v>
      </c>
      <c r="G27" s="30"/>
      <c r="I27" s="69"/>
      <c r="J27" s="69"/>
    </row>
    <row r="28" spans="1:10" s="70" customFormat="1" ht="12.75" customHeight="1" x14ac:dyDescent="0.2">
      <c r="A28" s="127">
        <v>45133</v>
      </c>
      <c r="B28" s="128" t="s">
        <v>6</v>
      </c>
      <c r="C28" s="10" t="s">
        <v>385</v>
      </c>
      <c r="D28" s="11" t="s">
        <v>13</v>
      </c>
      <c r="E28" s="86">
        <v>28061</v>
      </c>
      <c r="G28" s="30"/>
      <c r="I28" s="69"/>
      <c r="J28" s="69"/>
    </row>
    <row r="29" spans="1:10" s="70" customFormat="1" ht="12.75" customHeight="1" x14ac:dyDescent="0.2">
      <c r="A29" s="127">
        <v>45133</v>
      </c>
      <c r="B29" s="128" t="s">
        <v>6</v>
      </c>
      <c r="C29" s="10" t="s">
        <v>159</v>
      </c>
      <c r="D29" s="11" t="s">
        <v>13</v>
      </c>
      <c r="E29" s="86">
        <v>76563</v>
      </c>
      <c r="G29" s="30"/>
      <c r="I29" s="69"/>
      <c r="J29" s="69"/>
    </row>
    <row r="30" spans="1:10" s="70" customFormat="1" ht="12.75" customHeight="1" x14ac:dyDescent="0.2">
      <c r="A30" s="127">
        <v>45133</v>
      </c>
      <c r="B30" s="128" t="s">
        <v>6</v>
      </c>
      <c r="C30" s="10" t="s">
        <v>299</v>
      </c>
      <c r="D30" s="11" t="s">
        <v>13</v>
      </c>
      <c r="E30" s="86">
        <v>55459</v>
      </c>
      <c r="G30" s="30"/>
      <c r="I30" s="69"/>
      <c r="J30" s="69"/>
    </row>
    <row r="31" spans="1:10" s="70" customFormat="1" ht="12.75" customHeight="1" x14ac:dyDescent="0.2">
      <c r="A31" s="127">
        <v>45133</v>
      </c>
      <c r="B31" s="128" t="s">
        <v>6</v>
      </c>
      <c r="C31" s="10" t="s">
        <v>27</v>
      </c>
      <c r="D31" s="11" t="s">
        <v>13</v>
      </c>
      <c r="E31" s="86">
        <v>9957132.4199999999</v>
      </c>
      <c r="G31" s="30"/>
      <c r="I31" s="69"/>
      <c r="J31" s="69"/>
    </row>
    <row r="32" spans="1:10" s="70" customFormat="1" ht="12.75" customHeight="1" x14ac:dyDescent="0.2">
      <c r="A32" s="127">
        <v>45133</v>
      </c>
      <c r="B32" s="128" t="s">
        <v>6</v>
      </c>
      <c r="C32" s="10" t="s">
        <v>15</v>
      </c>
      <c r="D32" s="11" t="s">
        <v>13</v>
      </c>
      <c r="E32" s="86">
        <v>26266.85</v>
      </c>
      <c r="G32" s="30"/>
      <c r="I32" s="69"/>
      <c r="J32" s="69"/>
    </row>
    <row r="33" spans="1:10" s="70" customFormat="1" ht="12.75" customHeight="1" x14ac:dyDescent="0.2">
      <c r="A33" s="127">
        <v>45133</v>
      </c>
      <c r="B33" s="128" t="s">
        <v>6</v>
      </c>
      <c r="C33" s="10" t="s">
        <v>1221</v>
      </c>
      <c r="D33" s="11" t="s">
        <v>13</v>
      </c>
      <c r="E33" s="86">
        <v>910446</v>
      </c>
      <c r="G33" s="30"/>
      <c r="I33" s="69"/>
      <c r="J33" s="69"/>
    </row>
    <row r="34" spans="1:10" s="70" customFormat="1" ht="12.75" customHeight="1" x14ac:dyDescent="0.2">
      <c r="A34" s="127">
        <v>45133</v>
      </c>
      <c r="B34" s="128" t="s">
        <v>6</v>
      </c>
      <c r="C34" s="10" t="s">
        <v>480</v>
      </c>
      <c r="D34" s="11" t="s">
        <v>13</v>
      </c>
      <c r="E34" s="86">
        <v>7710055</v>
      </c>
      <c r="G34" s="30"/>
      <c r="I34" s="69"/>
      <c r="J34" s="69"/>
    </row>
    <row r="35" spans="1:10" s="70" customFormat="1" ht="12.75" customHeight="1" x14ac:dyDescent="0.2">
      <c r="A35" s="127">
        <v>45133</v>
      </c>
      <c r="B35" s="128" t="s">
        <v>6</v>
      </c>
      <c r="C35" s="10" t="s">
        <v>1264</v>
      </c>
      <c r="D35" s="11" t="s">
        <v>13</v>
      </c>
      <c r="E35" s="86">
        <v>2705773.4</v>
      </c>
      <c r="G35" s="30"/>
      <c r="I35" s="69"/>
      <c r="J35" s="69"/>
    </row>
    <row r="36" spans="1:10" s="70" customFormat="1" ht="12.75" customHeight="1" x14ac:dyDescent="0.2">
      <c r="A36" s="127">
        <v>45133</v>
      </c>
      <c r="B36" s="128" t="s">
        <v>6</v>
      </c>
      <c r="C36" s="10" t="s">
        <v>381</v>
      </c>
      <c r="D36" s="11" t="s">
        <v>13</v>
      </c>
      <c r="E36" s="86">
        <v>526422</v>
      </c>
      <c r="G36" s="30"/>
      <c r="I36" s="69"/>
      <c r="J36" s="69"/>
    </row>
    <row r="37" spans="1:10" s="70" customFormat="1" ht="12.75" customHeight="1" x14ac:dyDescent="0.2">
      <c r="A37" s="127">
        <v>45133</v>
      </c>
      <c r="B37" s="128" t="s">
        <v>6</v>
      </c>
      <c r="C37" s="10" t="s">
        <v>1265</v>
      </c>
      <c r="D37" s="11" t="s">
        <v>13</v>
      </c>
      <c r="E37" s="86">
        <v>60957</v>
      </c>
      <c r="G37" s="30"/>
      <c r="I37" s="69"/>
      <c r="J37" s="69"/>
    </row>
    <row r="38" spans="1:10" s="70" customFormat="1" ht="12.75" customHeight="1" x14ac:dyDescent="0.2">
      <c r="A38" s="127">
        <v>45133</v>
      </c>
      <c r="B38" s="128" t="s">
        <v>11</v>
      </c>
      <c r="C38" s="10" t="s">
        <v>64</v>
      </c>
      <c r="D38" s="11" t="s">
        <v>29</v>
      </c>
      <c r="E38" s="86"/>
      <c r="F38" s="70">
        <v>4583.32</v>
      </c>
      <c r="G38" s="30"/>
      <c r="I38" s="69"/>
      <c r="J38" s="69"/>
    </row>
    <row r="39" spans="1:10" s="70" customFormat="1" ht="12.75" customHeight="1" x14ac:dyDescent="0.2">
      <c r="A39" s="127">
        <v>45133</v>
      </c>
      <c r="B39" s="128" t="s">
        <v>11</v>
      </c>
      <c r="C39" s="10" t="s">
        <v>111</v>
      </c>
      <c r="D39" s="11" t="s">
        <v>29</v>
      </c>
      <c r="E39" s="86"/>
      <c r="F39" s="70">
        <v>1627189.9</v>
      </c>
      <c r="G39" s="30"/>
      <c r="I39" s="69"/>
      <c r="J39" s="69"/>
    </row>
    <row r="40" spans="1:10" s="70" customFormat="1" ht="12.75" customHeight="1" x14ac:dyDescent="0.2">
      <c r="A40" s="127">
        <v>45133</v>
      </c>
      <c r="B40" s="128" t="s">
        <v>11</v>
      </c>
      <c r="C40" s="10" t="s">
        <v>125</v>
      </c>
      <c r="D40" s="11" t="s">
        <v>29</v>
      </c>
      <c r="E40" s="86"/>
      <c r="F40" s="70">
        <v>1859093</v>
      </c>
      <c r="G40" s="30"/>
      <c r="I40" s="69"/>
      <c r="J40" s="69"/>
    </row>
    <row r="41" spans="1:10" s="70" customFormat="1" ht="12.75" customHeight="1" x14ac:dyDescent="0.2">
      <c r="A41" s="127">
        <v>45133</v>
      </c>
      <c r="B41" s="128" t="s">
        <v>11</v>
      </c>
      <c r="C41" s="10" t="s">
        <v>502</v>
      </c>
      <c r="D41" s="11" t="s">
        <v>29</v>
      </c>
      <c r="E41" s="86"/>
      <c r="F41" s="70">
        <v>1070190</v>
      </c>
      <c r="G41" s="30"/>
      <c r="I41" s="69"/>
      <c r="J41" s="69"/>
    </row>
    <row r="42" spans="1:10" s="70" customFormat="1" ht="12.75" customHeight="1" x14ac:dyDescent="0.2">
      <c r="A42" s="127">
        <v>45133</v>
      </c>
      <c r="B42" s="128" t="s">
        <v>11</v>
      </c>
      <c r="C42" s="10" t="s">
        <v>140</v>
      </c>
      <c r="D42" s="11" t="s">
        <v>29</v>
      </c>
      <c r="E42" s="86"/>
      <c r="F42" s="70">
        <v>1863884</v>
      </c>
      <c r="G42" s="30"/>
      <c r="I42" s="69"/>
      <c r="J42" s="69"/>
    </row>
    <row r="43" spans="1:10" s="70" customFormat="1" ht="12.75" customHeight="1" x14ac:dyDescent="0.2">
      <c r="A43" s="127">
        <v>45133</v>
      </c>
      <c r="B43" s="128" t="s">
        <v>11</v>
      </c>
      <c r="C43" s="10" t="s">
        <v>254</v>
      </c>
      <c r="D43" s="11" t="s">
        <v>29</v>
      </c>
      <c r="E43" s="86"/>
      <c r="F43" s="70">
        <v>124969</v>
      </c>
      <c r="G43" s="30"/>
      <c r="I43" s="69"/>
      <c r="J43" s="69"/>
    </row>
    <row r="44" spans="1:10" s="70" customFormat="1" ht="12.75" customHeight="1" x14ac:dyDescent="0.2">
      <c r="A44" s="127">
        <v>45133</v>
      </c>
      <c r="B44" s="128" t="s">
        <v>11</v>
      </c>
      <c r="C44" s="10" t="s">
        <v>340</v>
      </c>
      <c r="D44" s="11" t="s">
        <v>29</v>
      </c>
      <c r="E44" s="86"/>
      <c r="F44" s="70">
        <v>459810</v>
      </c>
      <c r="G44" s="30"/>
      <c r="I44" s="69"/>
      <c r="J44" s="69"/>
    </row>
    <row r="45" spans="1:10" s="70" customFormat="1" ht="12.75" customHeight="1" x14ac:dyDescent="0.2">
      <c r="A45" s="127">
        <v>45133</v>
      </c>
      <c r="B45" s="128" t="s">
        <v>11</v>
      </c>
      <c r="C45" s="10" t="s">
        <v>255</v>
      </c>
      <c r="D45" s="11" t="s">
        <v>29</v>
      </c>
      <c r="E45" s="86"/>
      <c r="F45" s="70">
        <v>27152</v>
      </c>
      <c r="G45" s="30"/>
      <c r="I45" s="69"/>
      <c r="J45" s="69"/>
    </row>
    <row r="46" spans="1:10" s="70" customFormat="1" ht="12.75" customHeight="1" x14ac:dyDescent="0.2">
      <c r="A46" s="127">
        <v>45133</v>
      </c>
      <c r="B46" s="128" t="s">
        <v>11</v>
      </c>
      <c r="C46" s="10" t="s">
        <v>1141</v>
      </c>
      <c r="D46" s="11" t="s">
        <v>29</v>
      </c>
      <c r="E46" s="86"/>
      <c r="F46" s="70">
        <v>266739</v>
      </c>
      <c r="G46" s="30"/>
      <c r="I46" s="69"/>
      <c r="J46" s="69"/>
    </row>
    <row r="47" spans="1:10" s="70" customFormat="1" ht="12.75" customHeight="1" x14ac:dyDescent="0.2">
      <c r="A47" s="127">
        <v>45133</v>
      </c>
      <c r="B47" s="128" t="s">
        <v>11</v>
      </c>
      <c r="C47" s="10" t="s">
        <v>308</v>
      </c>
      <c r="D47" s="11" t="s">
        <v>29</v>
      </c>
      <c r="E47" s="86"/>
      <c r="F47" s="70">
        <v>237475</v>
      </c>
      <c r="G47" s="30"/>
      <c r="I47" s="69"/>
      <c r="J47" s="69"/>
    </row>
    <row r="48" spans="1:10" s="70" customFormat="1" ht="12.75" customHeight="1" x14ac:dyDescent="0.2">
      <c r="A48" s="127">
        <v>45133</v>
      </c>
      <c r="B48" s="128" t="s">
        <v>11</v>
      </c>
      <c r="C48" s="10" t="s">
        <v>365</v>
      </c>
      <c r="D48" s="11" t="s">
        <v>29</v>
      </c>
      <c r="E48" s="86"/>
      <c r="F48" s="70">
        <v>139240</v>
      </c>
      <c r="G48" s="30"/>
      <c r="I48" s="69"/>
      <c r="J48" s="69"/>
    </row>
    <row r="49" spans="1:10" s="70" customFormat="1" ht="12.75" customHeight="1" x14ac:dyDescent="0.2">
      <c r="A49" s="127">
        <v>45133</v>
      </c>
      <c r="B49" s="128" t="s">
        <v>11</v>
      </c>
      <c r="C49" s="10" t="s">
        <v>341</v>
      </c>
      <c r="D49" s="11" t="s">
        <v>29</v>
      </c>
      <c r="E49" s="86"/>
      <c r="F49" s="70">
        <v>92087</v>
      </c>
      <c r="G49" s="30"/>
      <c r="I49" s="69"/>
      <c r="J49" s="69"/>
    </row>
    <row r="50" spans="1:10" s="70" customFormat="1" ht="12.75" customHeight="1" x14ac:dyDescent="0.2">
      <c r="A50" s="127">
        <v>45133</v>
      </c>
      <c r="B50" s="128" t="s">
        <v>11</v>
      </c>
      <c r="C50" s="10" t="s">
        <v>372</v>
      </c>
      <c r="D50" s="11" t="s">
        <v>29</v>
      </c>
      <c r="E50" s="86"/>
      <c r="F50" s="70">
        <v>294570</v>
      </c>
      <c r="G50" s="30"/>
      <c r="I50" s="69"/>
      <c r="J50" s="69"/>
    </row>
    <row r="51" spans="1:10" s="70" customFormat="1" ht="12.75" customHeight="1" x14ac:dyDescent="0.2">
      <c r="A51" s="127">
        <v>45133</v>
      </c>
      <c r="B51" s="128" t="s">
        <v>11</v>
      </c>
      <c r="C51" s="10" t="s">
        <v>63</v>
      </c>
      <c r="D51" s="11" t="s">
        <v>29</v>
      </c>
      <c r="E51" s="86"/>
      <c r="F51" s="70">
        <v>400000</v>
      </c>
      <c r="G51" s="30"/>
      <c r="I51" s="69"/>
      <c r="J51" s="69"/>
    </row>
    <row r="52" spans="1:10" s="70" customFormat="1" ht="12.75" customHeight="1" x14ac:dyDescent="0.2">
      <c r="A52" s="127">
        <v>45133</v>
      </c>
      <c r="B52" s="128" t="s">
        <v>11</v>
      </c>
      <c r="C52" s="10" t="s">
        <v>246</v>
      </c>
      <c r="D52" s="11" t="s">
        <v>29</v>
      </c>
      <c r="E52" s="86"/>
      <c r="F52" s="70">
        <v>1127141</v>
      </c>
      <c r="G52" s="30"/>
      <c r="I52" s="69"/>
      <c r="J52" s="69"/>
    </row>
    <row r="53" spans="1:10" s="70" customFormat="1" ht="12.75" customHeight="1" x14ac:dyDescent="0.2">
      <c r="A53" s="127">
        <v>45133</v>
      </c>
      <c r="B53" s="128" t="s">
        <v>11</v>
      </c>
      <c r="C53" s="10" t="s">
        <v>57</v>
      </c>
      <c r="D53" s="11" t="s">
        <v>29</v>
      </c>
      <c r="E53" s="86"/>
      <c r="F53" s="70">
        <v>5000000</v>
      </c>
      <c r="G53" s="30"/>
      <c r="I53" s="69"/>
      <c r="J53" s="69"/>
    </row>
    <row r="54" spans="1:10" s="70" customFormat="1" ht="12.75" customHeight="1" x14ac:dyDescent="0.2">
      <c r="A54" s="127">
        <v>45133</v>
      </c>
      <c r="B54" s="128" t="s">
        <v>11</v>
      </c>
      <c r="C54" s="10" t="s">
        <v>128</v>
      </c>
      <c r="D54" s="11" t="s">
        <v>29</v>
      </c>
      <c r="E54" s="86"/>
      <c r="F54" s="70">
        <v>50947</v>
      </c>
      <c r="G54" s="30"/>
      <c r="I54" s="69"/>
      <c r="J54" s="69"/>
    </row>
    <row r="55" spans="1:10" s="70" customFormat="1" ht="12.75" customHeight="1" x14ac:dyDescent="0.2">
      <c r="A55" s="127">
        <v>45133</v>
      </c>
      <c r="B55" s="128" t="s">
        <v>11</v>
      </c>
      <c r="C55" s="10" t="s">
        <v>211</v>
      </c>
      <c r="D55" s="11" t="s">
        <v>29</v>
      </c>
      <c r="E55" s="86"/>
      <c r="F55" s="70">
        <v>175000</v>
      </c>
      <c r="G55" s="30"/>
      <c r="I55" s="69"/>
      <c r="J55" s="69"/>
    </row>
    <row r="56" spans="1:10" s="70" customFormat="1" ht="12.75" customHeight="1" x14ac:dyDescent="0.2">
      <c r="A56" s="127">
        <v>45133</v>
      </c>
      <c r="B56" s="128" t="s">
        <v>11</v>
      </c>
      <c r="C56" s="10" t="s">
        <v>44</v>
      </c>
      <c r="D56" s="11" t="s">
        <v>29</v>
      </c>
      <c r="E56" s="86"/>
      <c r="F56" s="70">
        <v>306093</v>
      </c>
      <c r="G56" s="30"/>
      <c r="I56" s="69"/>
      <c r="J56" s="69"/>
    </row>
    <row r="57" spans="1:10" s="70" customFormat="1" ht="12.75" customHeight="1" x14ac:dyDescent="0.2">
      <c r="A57" s="127">
        <v>45133</v>
      </c>
      <c r="B57" s="128" t="s">
        <v>11</v>
      </c>
      <c r="C57" s="10" t="s">
        <v>45</v>
      </c>
      <c r="D57" s="11" t="s">
        <v>29</v>
      </c>
      <c r="E57" s="86"/>
      <c r="F57" s="70">
        <v>365119</v>
      </c>
      <c r="G57" s="30"/>
      <c r="I57" s="69"/>
      <c r="J57" s="69"/>
    </row>
    <row r="58" spans="1:10" s="70" customFormat="1" ht="12.75" customHeight="1" x14ac:dyDescent="0.2">
      <c r="A58" s="127">
        <v>45133</v>
      </c>
      <c r="B58" s="128" t="s">
        <v>11</v>
      </c>
      <c r="C58" s="10" t="s">
        <v>312</v>
      </c>
      <c r="D58" s="11" t="s">
        <v>29</v>
      </c>
      <c r="E58" s="86"/>
      <c r="F58" s="70">
        <v>105177</v>
      </c>
      <c r="G58" s="30"/>
      <c r="I58" s="69"/>
      <c r="J58" s="69"/>
    </row>
    <row r="59" spans="1:10" s="70" customFormat="1" ht="12.75" customHeight="1" x14ac:dyDescent="0.2">
      <c r="A59" s="127">
        <v>45133</v>
      </c>
      <c r="B59" s="128" t="s">
        <v>11</v>
      </c>
      <c r="C59" s="10" t="s">
        <v>46</v>
      </c>
      <c r="D59" s="11" t="s">
        <v>29</v>
      </c>
      <c r="E59" s="86"/>
      <c r="F59" s="70">
        <v>155236</v>
      </c>
      <c r="G59" s="30"/>
      <c r="I59" s="69"/>
      <c r="J59" s="69"/>
    </row>
    <row r="60" spans="1:10" s="70" customFormat="1" ht="12.75" customHeight="1" x14ac:dyDescent="0.2">
      <c r="A60" s="127">
        <v>45133</v>
      </c>
      <c r="B60" s="128" t="s">
        <v>11</v>
      </c>
      <c r="C60" s="10" t="s">
        <v>115</v>
      </c>
      <c r="D60" s="11" t="s">
        <v>29</v>
      </c>
      <c r="E60" s="86"/>
      <c r="F60" s="70">
        <v>315322.17</v>
      </c>
      <c r="G60" s="30"/>
      <c r="I60" s="69"/>
      <c r="J60" s="69"/>
    </row>
    <row r="61" spans="1:10" s="70" customFormat="1" ht="12.75" customHeight="1" x14ac:dyDescent="0.2">
      <c r="A61" s="127">
        <v>45133</v>
      </c>
      <c r="B61" s="128" t="s">
        <v>11</v>
      </c>
      <c r="C61" s="10" t="s">
        <v>28</v>
      </c>
      <c r="D61" s="11" t="s">
        <v>29</v>
      </c>
      <c r="E61" s="86"/>
      <c r="F61" s="70">
        <v>243053.1</v>
      </c>
      <c r="G61" s="30"/>
      <c r="I61" s="69"/>
      <c r="J61" s="69"/>
    </row>
    <row r="62" spans="1:10" s="70" customFormat="1" ht="12.75" customHeight="1" x14ac:dyDescent="0.2">
      <c r="A62" s="127">
        <v>45133</v>
      </c>
      <c r="B62" s="128" t="s">
        <v>11</v>
      </c>
      <c r="C62" s="10" t="s">
        <v>251</v>
      </c>
      <c r="D62" s="11" t="s">
        <v>29</v>
      </c>
      <c r="E62" s="86"/>
      <c r="F62" s="70">
        <v>153400</v>
      </c>
      <c r="G62" s="30"/>
      <c r="I62" s="69"/>
      <c r="J62" s="69"/>
    </row>
    <row r="63" spans="1:10" s="70" customFormat="1" ht="12.75" customHeight="1" x14ac:dyDescent="0.2">
      <c r="A63" s="127">
        <v>45133</v>
      </c>
      <c r="B63" s="128" t="s">
        <v>11</v>
      </c>
      <c r="C63" s="10" t="s">
        <v>798</v>
      </c>
      <c r="D63" s="11" t="s">
        <v>29</v>
      </c>
      <c r="E63" s="86"/>
      <c r="F63" s="70">
        <v>348562</v>
      </c>
      <c r="G63" s="30"/>
      <c r="I63" s="69"/>
      <c r="J63" s="69"/>
    </row>
    <row r="64" spans="1:10" s="70" customFormat="1" ht="12.75" customHeight="1" x14ac:dyDescent="0.2">
      <c r="A64" s="127">
        <v>45133</v>
      </c>
      <c r="B64" s="128" t="s">
        <v>11</v>
      </c>
      <c r="C64" s="10" t="s">
        <v>226</v>
      </c>
      <c r="D64" s="11" t="s">
        <v>29</v>
      </c>
      <c r="E64" s="86"/>
      <c r="F64" s="70">
        <v>50100</v>
      </c>
      <c r="G64" s="30"/>
      <c r="I64" s="69"/>
      <c r="J64" s="69"/>
    </row>
    <row r="65" spans="1:14" s="2" customFormat="1" ht="12.75" customHeight="1" x14ac:dyDescent="0.2">
      <c r="A65" s="32"/>
      <c r="B65" s="33"/>
      <c r="C65" s="14"/>
      <c r="D65" s="34"/>
      <c r="E65" s="16">
        <f>SUM(E25:E64)</f>
        <v>22971169.669999998</v>
      </c>
      <c r="F65" s="16">
        <f>SUM(F25:F64)</f>
        <v>316226487.31999993</v>
      </c>
      <c r="G65" s="30"/>
      <c r="H65" s="1"/>
      <c r="I65" s="38">
        <v>293255317.64999998</v>
      </c>
      <c r="J65" s="2" t="s">
        <v>396</v>
      </c>
      <c r="K65" s="92">
        <f>E66-I65</f>
        <v>0</v>
      </c>
      <c r="L65" s="41"/>
      <c r="M65" s="42"/>
    </row>
    <row r="66" spans="1:14" s="2" customFormat="1" ht="12.75" customHeight="1" x14ac:dyDescent="0.2">
      <c r="A66" s="36"/>
      <c r="B66" s="28" t="s">
        <v>11</v>
      </c>
      <c r="C66" s="19" t="s">
        <v>65</v>
      </c>
      <c r="D66" s="37"/>
      <c r="E66" s="38">
        <f>F65-E65</f>
        <v>293255317.64999992</v>
      </c>
      <c r="F66" s="22"/>
      <c r="G66" s="1"/>
      <c r="H66" s="1"/>
      <c r="J66" s="1"/>
      <c r="K66" s="1"/>
      <c r="L66" s="1"/>
      <c r="M66" s="1"/>
    </row>
    <row r="67" spans="1:14" s="2" customFormat="1" ht="12.75" customHeight="1" x14ac:dyDescent="0.2">
      <c r="A67" s="36"/>
      <c r="B67" s="28" t="s">
        <v>66</v>
      </c>
      <c r="C67" s="43" t="s">
        <v>67</v>
      </c>
      <c r="D67" s="43"/>
      <c r="E67" s="12">
        <f>59416310-7500000-1600000-16700000</f>
        <v>33616310</v>
      </c>
      <c r="F67" s="22"/>
      <c r="G67" s="1"/>
      <c r="H67" s="40"/>
      <c r="I67" s="45">
        <v>3842.48</v>
      </c>
      <c r="J67" s="46"/>
      <c r="K67" s="46"/>
      <c r="L67" s="13"/>
      <c r="M67" s="69" t="s">
        <v>396</v>
      </c>
    </row>
    <row r="68" spans="1:14" s="2" customFormat="1" ht="12.75" customHeight="1" x14ac:dyDescent="0.25">
      <c r="A68" s="36"/>
      <c r="B68" s="28"/>
      <c r="C68" s="44" t="s">
        <v>68</v>
      </c>
      <c r="D68" s="43"/>
      <c r="E68" s="7">
        <f>E66+E67</f>
        <v>326871627.64999992</v>
      </c>
      <c r="F68" s="22"/>
      <c r="G68" s="1"/>
      <c r="H68" s="103" t="s">
        <v>69</v>
      </c>
      <c r="I68" s="45">
        <v>-40.08</v>
      </c>
      <c r="J68" s="46"/>
      <c r="K68" s="46"/>
      <c r="N68" s="1"/>
    </row>
    <row r="69" spans="1:14" s="2" customFormat="1" x14ac:dyDescent="0.2">
      <c r="A69" s="24"/>
      <c r="B69" s="1"/>
      <c r="C69" s="14"/>
      <c r="D69" s="25"/>
      <c r="E69" s="1"/>
      <c r="H69" s="35" t="s">
        <v>70</v>
      </c>
      <c r="I69" s="45">
        <v>0.19</v>
      </c>
      <c r="J69" s="46">
        <f>+I70-D72</f>
        <v>0</v>
      </c>
      <c r="M69" s="2" t="s">
        <v>396</v>
      </c>
      <c r="N69" s="1"/>
    </row>
    <row r="70" spans="1:14" x14ac:dyDescent="0.2">
      <c r="C70" s="56"/>
      <c r="D70" s="56"/>
      <c r="E70" s="104"/>
      <c r="I70" s="49">
        <f>SUM(I67:I69)</f>
        <v>3802.59</v>
      </c>
      <c r="J70" s="46"/>
      <c r="K70" s="46"/>
      <c r="L70" s="2"/>
      <c r="M70" s="2"/>
      <c r="N70" s="2"/>
    </row>
    <row r="71" spans="1:14" x14ac:dyDescent="0.2">
      <c r="C71" s="78" t="s">
        <v>575</v>
      </c>
      <c r="D71" s="48" t="s">
        <v>576</v>
      </c>
      <c r="E71" s="104"/>
      <c r="I71" s="2"/>
      <c r="J71" s="2"/>
      <c r="K71" s="2"/>
      <c r="L71" s="2"/>
      <c r="M71" s="2"/>
      <c r="N71" s="2"/>
    </row>
    <row r="72" spans="1:14" s="2" customFormat="1" x14ac:dyDescent="0.2">
      <c r="A72" s="24"/>
      <c r="B72" s="1"/>
      <c r="C72" s="47" t="s">
        <v>570</v>
      </c>
      <c r="D72" s="111">
        <v>3802.59</v>
      </c>
      <c r="E72" s="104"/>
      <c r="G72" s="1"/>
      <c r="H72" s="110" t="s">
        <v>581</v>
      </c>
      <c r="N72" s="2" t="s">
        <v>535</v>
      </c>
    </row>
    <row r="73" spans="1:14" s="2" customFormat="1" x14ac:dyDescent="0.2">
      <c r="A73" s="24"/>
      <c r="B73" s="1"/>
      <c r="C73" s="47" t="s">
        <v>931</v>
      </c>
      <c r="D73" s="111">
        <v>385.56</v>
      </c>
      <c r="E73" s="104"/>
      <c r="G73" s="1"/>
      <c r="H73" s="110" t="s">
        <v>580</v>
      </c>
    </row>
    <row r="74" spans="1:14" s="2" customFormat="1" x14ac:dyDescent="0.2">
      <c r="A74" s="24"/>
      <c r="B74" s="1"/>
      <c r="C74" s="47" t="s">
        <v>572</v>
      </c>
      <c r="D74" s="111">
        <f>+D144/100000</f>
        <v>741.18678920000002</v>
      </c>
      <c r="E74" s="104"/>
      <c r="G74" s="1"/>
      <c r="H74" s="90" t="s">
        <v>587</v>
      </c>
    </row>
    <row r="75" spans="1:14" s="2" customFormat="1" x14ac:dyDescent="0.2">
      <c r="A75" s="24"/>
      <c r="B75" s="1"/>
      <c r="C75" s="108" t="s">
        <v>578</v>
      </c>
      <c r="D75" s="48">
        <f>SUM(D72:D74)</f>
        <v>4929.3367892000006</v>
      </c>
      <c r="E75" s="104"/>
      <c r="G75" s="1"/>
    </row>
    <row r="76" spans="1:14" s="2" customFormat="1" x14ac:dyDescent="0.2">
      <c r="A76" s="24"/>
      <c r="B76" s="1"/>
      <c r="C76" s="47"/>
      <c r="D76" s="107"/>
      <c r="E76" s="104"/>
      <c r="G76" s="1"/>
    </row>
    <row r="77" spans="1:14" s="2" customFormat="1" x14ac:dyDescent="0.2">
      <c r="A77" s="24"/>
      <c r="B77" s="1"/>
      <c r="C77" s="47" t="s">
        <v>932</v>
      </c>
      <c r="D77" s="111">
        <v>164.68</v>
      </c>
      <c r="E77" s="104"/>
      <c r="G77" s="1"/>
      <c r="H77" s="110" t="s">
        <v>581</v>
      </c>
    </row>
    <row r="78" spans="1:14" s="2" customFormat="1" x14ac:dyDescent="0.2">
      <c r="A78" s="24"/>
      <c r="B78" s="1"/>
      <c r="C78" s="136" t="s">
        <v>1142</v>
      </c>
      <c r="D78" s="111">
        <f>376.73-55.45</f>
        <v>321.28000000000003</v>
      </c>
      <c r="E78" s="104"/>
      <c r="G78" s="1"/>
      <c r="H78" s="110" t="s">
        <v>581</v>
      </c>
      <c r="J78" s="114" t="s">
        <v>713</v>
      </c>
    </row>
    <row r="79" spans="1:14" s="2" customFormat="1" x14ac:dyDescent="0.2">
      <c r="A79" s="24"/>
      <c r="B79" s="1"/>
      <c r="C79" s="78" t="s">
        <v>579</v>
      </c>
      <c r="D79" s="109">
        <f>D77+D78</f>
        <v>485.96000000000004</v>
      </c>
      <c r="E79" s="104"/>
      <c r="G79" s="1"/>
      <c r="I79" s="113"/>
      <c r="J79" s="113" t="s">
        <v>709</v>
      </c>
      <c r="K79" s="113" t="s">
        <v>710</v>
      </c>
      <c r="L79" s="113" t="s">
        <v>711</v>
      </c>
      <c r="M79" s="113" t="s">
        <v>712</v>
      </c>
    </row>
    <row r="80" spans="1:14" s="2" customFormat="1" x14ac:dyDescent="0.2">
      <c r="A80" s="24"/>
      <c r="B80" s="1"/>
      <c r="C80" s="105"/>
      <c r="D80" s="106"/>
      <c r="E80" s="104"/>
      <c r="G80" s="1"/>
      <c r="I80" s="113" t="s">
        <v>706</v>
      </c>
      <c r="J80" s="115"/>
      <c r="K80" s="115">
        <v>968.99</v>
      </c>
      <c r="L80" s="115">
        <v>968.99</v>
      </c>
      <c r="M80" s="113">
        <f>+J80+L80-K80</f>
        <v>0</v>
      </c>
    </row>
    <row r="81" spans="1:13" s="2" customFormat="1" x14ac:dyDescent="0.2">
      <c r="A81" s="24"/>
      <c r="B81" s="1"/>
      <c r="C81" s="78" t="s">
        <v>577</v>
      </c>
      <c r="D81" s="109">
        <f>D72+D79</f>
        <v>4288.55</v>
      </c>
      <c r="E81" s="104"/>
      <c r="G81" s="1"/>
      <c r="I81" s="113" t="s">
        <v>707</v>
      </c>
      <c r="J81" s="115">
        <v>183.1</v>
      </c>
      <c r="K81" s="115">
        <v>2871.83</v>
      </c>
      <c r="L81" s="115">
        <v>3401.79</v>
      </c>
      <c r="M81" s="113">
        <f>+J81+L81-K81</f>
        <v>713.06</v>
      </c>
    </row>
    <row r="82" spans="1:13" s="2" customFormat="1" x14ac:dyDescent="0.2">
      <c r="A82" s="24"/>
      <c r="B82" s="1"/>
      <c r="C82" s="56"/>
      <c r="D82" s="56"/>
      <c r="E82" s="104"/>
      <c r="G82" s="1"/>
      <c r="I82" s="113" t="s">
        <v>708</v>
      </c>
      <c r="J82" s="115">
        <v>1371.02</v>
      </c>
      <c r="K82" s="115">
        <v>13115.79</v>
      </c>
      <c r="L82" s="115">
        <v>12781.19</v>
      </c>
      <c r="M82" s="113">
        <f>+J82+L82-K82</f>
        <v>1036.42</v>
      </c>
    </row>
    <row r="83" spans="1:13" s="2" customFormat="1" ht="38.25" x14ac:dyDescent="0.2">
      <c r="A83" s="24"/>
      <c r="B83" s="1"/>
      <c r="C83" s="79" t="str">
        <f>"Particulars ( 01-04-2021 to "&amp;TEXT(A5,"dd-mm-yyyy")&amp;" )"</f>
        <v>Particulars ( 01-04-2021 to 26-07-2023 )</v>
      </c>
      <c r="D83" s="80" t="s">
        <v>73</v>
      </c>
      <c r="E83" s="80" t="s">
        <v>74</v>
      </c>
      <c r="F83" s="81" t="s">
        <v>75</v>
      </c>
      <c r="G83" s="80" t="s">
        <v>76</v>
      </c>
      <c r="J83" s="118">
        <f>SUM(J80:J82)</f>
        <v>1554.12</v>
      </c>
      <c r="K83" s="118">
        <f>SUM(K80:K82)</f>
        <v>16956.61</v>
      </c>
      <c r="L83" s="118">
        <f>SUM(L80:L82)</f>
        <v>17151.97</v>
      </c>
      <c r="M83" s="118">
        <f>SUM(M80:M82)</f>
        <v>1749.48</v>
      </c>
    </row>
    <row r="84" spans="1:13" s="2" customFormat="1" x14ac:dyDescent="0.2">
      <c r="A84" s="24"/>
      <c r="B84" s="1"/>
      <c r="C84" s="50" t="s">
        <v>444</v>
      </c>
      <c r="D84" s="55">
        <f>+L80+L81+J81</f>
        <v>4553.88</v>
      </c>
      <c r="E84" s="55">
        <f>+K80+K81</f>
        <v>3840.8199999999997</v>
      </c>
      <c r="F84" s="55">
        <f>+D84-E84</f>
        <v>713.0600000000004</v>
      </c>
      <c r="G84" s="55">
        <f>1500-F84</f>
        <v>786.9399999999996</v>
      </c>
      <c r="H84" s="2" t="s">
        <v>396</v>
      </c>
    </row>
    <row r="85" spans="1:13" s="2" customFormat="1" x14ac:dyDescent="0.2">
      <c r="A85" s="24"/>
      <c r="B85" s="1"/>
      <c r="C85" s="50" t="s">
        <v>71</v>
      </c>
      <c r="D85" s="55">
        <f>+J82+L82</f>
        <v>14152.210000000001</v>
      </c>
      <c r="E85" s="55">
        <f>+K82</f>
        <v>13115.79</v>
      </c>
      <c r="F85" s="55">
        <f>+D85-E85</f>
        <v>1036.42</v>
      </c>
      <c r="G85" s="55">
        <f>1500+700-F85</f>
        <v>1163.58</v>
      </c>
      <c r="H85" s="2" t="s">
        <v>396</v>
      </c>
    </row>
    <row r="86" spans="1:13" s="2" customFormat="1" x14ac:dyDescent="0.2">
      <c r="A86" s="24"/>
      <c r="B86" s="1"/>
      <c r="C86" s="14"/>
      <c r="D86" s="56"/>
      <c r="E86" s="13"/>
      <c r="G86" s="1"/>
    </row>
    <row r="87" spans="1:13" s="2" customFormat="1" x14ac:dyDescent="0.2">
      <c r="A87" s="215" t="s">
        <v>80</v>
      </c>
      <c r="B87" s="216"/>
      <c r="C87" s="216"/>
      <c r="D87" s="217"/>
      <c r="E87" s="69"/>
      <c r="F87" s="70"/>
      <c r="G87" s="1"/>
      <c r="H87" s="53"/>
    </row>
    <row r="88" spans="1:13" s="2" customFormat="1" x14ac:dyDescent="0.2">
      <c r="A88" s="71" t="s">
        <v>81</v>
      </c>
      <c r="B88" s="71"/>
      <c r="C88" s="72" t="s">
        <v>82</v>
      </c>
      <c r="D88" s="73" t="s">
        <v>83</v>
      </c>
      <c r="E88" s="69"/>
      <c r="F88" s="70"/>
      <c r="H88" s="53"/>
    </row>
    <row r="89" spans="1:13" s="2" customFormat="1" x14ac:dyDescent="0.2">
      <c r="A89" s="87">
        <v>45108</v>
      </c>
      <c r="B89" s="120" t="s">
        <v>1052</v>
      </c>
      <c r="C89" s="75" t="s">
        <v>84</v>
      </c>
      <c r="D89" s="88">
        <v>3000000</v>
      </c>
      <c r="G89" s="1"/>
      <c r="L89" s="1"/>
      <c r="M89" s="1"/>
    </row>
    <row r="90" spans="1:13" s="2" customFormat="1" x14ac:dyDescent="0.2">
      <c r="A90" s="87">
        <v>45108</v>
      </c>
      <c r="B90" s="120" t="s">
        <v>1052</v>
      </c>
      <c r="C90" s="75" t="s">
        <v>271</v>
      </c>
      <c r="D90" s="88">
        <v>2323148</v>
      </c>
      <c r="G90" s="1"/>
      <c r="L90" s="1"/>
      <c r="M90" s="1"/>
    </row>
    <row r="91" spans="1:13" s="2" customFormat="1" x14ac:dyDescent="0.2">
      <c r="A91" s="87">
        <v>45110</v>
      </c>
      <c r="B91" s="120" t="s">
        <v>1052</v>
      </c>
      <c r="C91" s="75" t="s">
        <v>85</v>
      </c>
      <c r="D91" s="88">
        <v>732575</v>
      </c>
      <c r="G91" s="1"/>
      <c r="L91" s="1"/>
      <c r="M91" s="1"/>
    </row>
    <row r="92" spans="1:13" s="2" customFormat="1" x14ac:dyDescent="0.2">
      <c r="A92" s="87">
        <v>45110</v>
      </c>
      <c r="B92" s="120" t="s">
        <v>1052</v>
      </c>
      <c r="C92" s="75" t="s">
        <v>86</v>
      </c>
      <c r="D92" s="88">
        <v>2676974</v>
      </c>
      <c r="G92" s="1"/>
      <c r="L92" s="1"/>
      <c r="M92" s="1"/>
    </row>
    <row r="93" spans="1:13" s="2" customFormat="1" x14ac:dyDescent="0.2">
      <c r="A93" s="87">
        <v>45110</v>
      </c>
      <c r="B93" s="120" t="s">
        <v>1052</v>
      </c>
      <c r="C93" s="75" t="s">
        <v>86</v>
      </c>
      <c r="D93" s="88">
        <v>1043475</v>
      </c>
      <c r="G93" s="1"/>
      <c r="L93" s="1"/>
      <c r="M93" s="1"/>
    </row>
    <row r="94" spans="1:13" s="2" customFormat="1" x14ac:dyDescent="0.2">
      <c r="A94" s="87">
        <v>45111</v>
      </c>
      <c r="B94" s="120" t="s">
        <v>1052</v>
      </c>
      <c r="C94" s="75" t="s">
        <v>270</v>
      </c>
      <c r="D94" s="88">
        <v>106093</v>
      </c>
      <c r="G94" s="1"/>
      <c r="L94" s="1"/>
      <c r="M94" s="1"/>
    </row>
    <row r="95" spans="1:13" s="2" customFormat="1" x14ac:dyDescent="0.2">
      <c r="A95" s="87">
        <v>45111</v>
      </c>
      <c r="B95" s="120" t="s">
        <v>1052</v>
      </c>
      <c r="C95" s="75" t="s">
        <v>270</v>
      </c>
      <c r="D95" s="88">
        <v>102393</v>
      </c>
      <c r="G95" s="1"/>
      <c r="L95" s="1"/>
      <c r="M95" s="1"/>
    </row>
    <row r="96" spans="1:13" s="2" customFormat="1" x14ac:dyDescent="0.2">
      <c r="A96" s="87">
        <v>45111</v>
      </c>
      <c r="B96" s="120" t="s">
        <v>1052</v>
      </c>
      <c r="C96" s="75" t="s">
        <v>270</v>
      </c>
      <c r="D96" s="88">
        <v>716336</v>
      </c>
      <c r="G96" s="1"/>
      <c r="L96" s="1"/>
      <c r="M96" s="1"/>
    </row>
    <row r="97" spans="1:13" s="2" customFormat="1" x14ac:dyDescent="0.2">
      <c r="A97" s="87">
        <v>45111</v>
      </c>
      <c r="B97" s="120" t="s">
        <v>1052</v>
      </c>
      <c r="C97" s="75" t="s">
        <v>270</v>
      </c>
      <c r="D97" s="88">
        <v>2504631</v>
      </c>
      <c r="G97" s="1"/>
      <c r="L97" s="1"/>
      <c r="M97" s="1"/>
    </row>
    <row r="98" spans="1:13" s="2" customFormat="1" x14ac:dyDescent="0.2">
      <c r="A98" s="87">
        <v>45111</v>
      </c>
      <c r="B98" s="120" t="s">
        <v>1052</v>
      </c>
      <c r="C98" s="75" t="s">
        <v>270</v>
      </c>
      <c r="D98" s="88">
        <v>141433.92000000001</v>
      </c>
      <c r="G98" s="1"/>
      <c r="L98" s="1"/>
      <c r="M98" s="1"/>
    </row>
    <row r="99" spans="1:13" s="2" customFormat="1" x14ac:dyDescent="0.2">
      <c r="A99" s="87">
        <v>45111</v>
      </c>
      <c r="B99" s="120" t="s">
        <v>1052</v>
      </c>
      <c r="C99" s="75" t="s">
        <v>271</v>
      </c>
      <c r="D99" s="88">
        <v>485258</v>
      </c>
      <c r="G99" s="1"/>
      <c r="L99" s="1"/>
      <c r="M99" s="1"/>
    </row>
    <row r="100" spans="1:13" s="2" customFormat="1" x14ac:dyDescent="0.2">
      <c r="A100" s="87">
        <v>45112</v>
      </c>
      <c r="B100" s="120" t="s">
        <v>1052</v>
      </c>
      <c r="C100" s="75" t="s">
        <v>85</v>
      </c>
      <c r="D100" s="88">
        <v>216478</v>
      </c>
      <c r="G100" s="1"/>
      <c r="L100" s="1"/>
      <c r="M100" s="1"/>
    </row>
    <row r="101" spans="1:13" s="2" customFormat="1" x14ac:dyDescent="0.2">
      <c r="A101" s="87">
        <v>45114</v>
      </c>
      <c r="B101" s="120" t="s">
        <v>1052</v>
      </c>
      <c r="C101" s="75" t="s">
        <v>270</v>
      </c>
      <c r="D101" s="88">
        <v>886333</v>
      </c>
      <c r="G101" s="1"/>
      <c r="L101" s="1"/>
      <c r="M101" s="1"/>
    </row>
    <row r="102" spans="1:13" s="2" customFormat="1" x14ac:dyDescent="0.2">
      <c r="A102" s="87">
        <v>45114</v>
      </c>
      <c r="B102" s="120" t="s">
        <v>1052</v>
      </c>
      <c r="C102" s="75" t="s">
        <v>270</v>
      </c>
      <c r="D102" s="88">
        <v>3119806</v>
      </c>
      <c r="G102" s="1"/>
      <c r="L102" s="1"/>
      <c r="M102" s="1"/>
    </row>
    <row r="103" spans="1:13" s="2" customFormat="1" x14ac:dyDescent="0.2">
      <c r="A103" s="87">
        <v>45114</v>
      </c>
      <c r="B103" s="120" t="s">
        <v>1052</v>
      </c>
      <c r="C103" s="75" t="s">
        <v>271</v>
      </c>
      <c r="D103" s="88">
        <v>151160</v>
      </c>
      <c r="G103" s="1"/>
      <c r="L103" s="1"/>
      <c r="M103" s="1"/>
    </row>
    <row r="104" spans="1:13" s="2" customFormat="1" x14ac:dyDescent="0.2">
      <c r="A104" s="87">
        <v>45114</v>
      </c>
      <c r="B104" s="120" t="s">
        <v>1052</v>
      </c>
      <c r="C104" s="75" t="s">
        <v>271</v>
      </c>
      <c r="D104" s="88">
        <v>285195</v>
      </c>
      <c r="G104" s="1"/>
      <c r="L104" s="1"/>
      <c r="M104" s="1"/>
    </row>
    <row r="105" spans="1:13" s="2" customFormat="1" x14ac:dyDescent="0.2">
      <c r="A105" s="87">
        <v>45114</v>
      </c>
      <c r="B105" s="120" t="s">
        <v>1052</v>
      </c>
      <c r="C105" s="75" t="s">
        <v>201</v>
      </c>
      <c r="D105" s="88">
        <v>128135</v>
      </c>
      <c r="G105" s="1"/>
      <c r="L105" s="1"/>
      <c r="M105" s="1"/>
    </row>
    <row r="106" spans="1:13" s="2" customFormat="1" x14ac:dyDescent="0.2">
      <c r="A106" s="87">
        <v>45114</v>
      </c>
      <c r="B106" s="120" t="s">
        <v>1052</v>
      </c>
      <c r="C106" s="75" t="s">
        <v>323</v>
      </c>
      <c r="D106" s="88">
        <v>2313089</v>
      </c>
      <c r="G106" s="1"/>
      <c r="L106" s="1"/>
      <c r="M106" s="1"/>
    </row>
    <row r="107" spans="1:13" s="2" customFormat="1" x14ac:dyDescent="0.2">
      <c r="A107" s="87">
        <v>45115</v>
      </c>
      <c r="B107" s="120" t="s">
        <v>1052</v>
      </c>
      <c r="C107" s="75" t="s">
        <v>767</v>
      </c>
      <c r="D107" s="88">
        <v>411035</v>
      </c>
      <c r="G107" s="1"/>
      <c r="L107" s="1"/>
      <c r="M107" s="1"/>
    </row>
    <row r="108" spans="1:13" s="2" customFormat="1" x14ac:dyDescent="0.2">
      <c r="A108" s="87">
        <v>45118</v>
      </c>
      <c r="B108" s="120" t="s">
        <v>1052</v>
      </c>
      <c r="C108" s="75" t="s">
        <v>270</v>
      </c>
      <c r="D108" s="88">
        <v>34696</v>
      </c>
      <c r="G108" s="1"/>
      <c r="L108" s="1"/>
      <c r="M108" s="1"/>
    </row>
    <row r="109" spans="1:13" s="2" customFormat="1" x14ac:dyDescent="0.2">
      <c r="A109" s="87">
        <v>45118</v>
      </c>
      <c r="B109" s="120" t="s">
        <v>1052</v>
      </c>
      <c r="C109" s="75" t="s">
        <v>270</v>
      </c>
      <c r="D109" s="88">
        <v>1128922</v>
      </c>
      <c r="G109" s="1"/>
      <c r="L109" s="1"/>
      <c r="M109" s="1"/>
    </row>
    <row r="110" spans="1:13" s="2" customFormat="1" x14ac:dyDescent="0.2">
      <c r="A110" s="87">
        <v>45118</v>
      </c>
      <c r="B110" s="120" t="s">
        <v>1052</v>
      </c>
      <c r="C110" s="75" t="s">
        <v>270</v>
      </c>
      <c r="D110" s="88">
        <v>2865343</v>
      </c>
      <c r="G110" s="1"/>
      <c r="L110" s="1"/>
      <c r="M110" s="1"/>
    </row>
    <row r="111" spans="1:13" s="2" customFormat="1" x14ac:dyDescent="0.2">
      <c r="A111" s="87">
        <v>45118</v>
      </c>
      <c r="B111" s="120" t="s">
        <v>1052</v>
      </c>
      <c r="C111" s="75" t="s">
        <v>270</v>
      </c>
      <c r="D111" s="88">
        <v>1090852</v>
      </c>
      <c r="G111" s="1"/>
      <c r="L111" s="1"/>
      <c r="M111" s="1"/>
    </row>
    <row r="112" spans="1:13" s="2" customFormat="1" x14ac:dyDescent="0.2">
      <c r="A112" s="87">
        <v>45118</v>
      </c>
      <c r="B112" s="120" t="s">
        <v>1052</v>
      </c>
      <c r="C112" s="75" t="s">
        <v>270</v>
      </c>
      <c r="D112" s="88">
        <v>359348</v>
      </c>
      <c r="G112" s="1"/>
      <c r="L112" s="1"/>
      <c r="M112" s="1"/>
    </row>
    <row r="113" spans="1:13" s="2" customFormat="1" x14ac:dyDescent="0.2">
      <c r="A113" s="87">
        <v>45118</v>
      </c>
      <c r="B113" s="120" t="s">
        <v>1052</v>
      </c>
      <c r="C113" s="75" t="s">
        <v>271</v>
      </c>
      <c r="D113" s="88">
        <v>323487</v>
      </c>
      <c r="G113" s="1"/>
      <c r="L113" s="1"/>
      <c r="M113" s="1"/>
    </row>
    <row r="114" spans="1:13" s="2" customFormat="1" x14ac:dyDescent="0.2">
      <c r="A114" s="87">
        <v>45118</v>
      </c>
      <c r="B114" s="120" t="s">
        <v>1052</v>
      </c>
      <c r="C114" s="75" t="s">
        <v>271</v>
      </c>
      <c r="D114" s="88">
        <v>44394</v>
      </c>
      <c r="G114" s="1"/>
      <c r="L114" s="1"/>
      <c r="M114" s="1"/>
    </row>
    <row r="115" spans="1:13" s="2" customFormat="1" x14ac:dyDescent="0.2">
      <c r="A115" s="87">
        <v>45118</v>
      </c>
      <c r="B115" s="120" t="s">
        <v>1052</v>
      </c>
      <c r="C115" s="75" t="s">
        <v>271</v>
      </c>
      <c r="D115" s="88">
        <v>2035052</v>
      </c>
      <c r="G115" s="1"/>
      <c r="L115" s="1"/>
      <c r="M115" s="1"/>
    </row>
    <row r="116" spans="1:13" s="2" customFormat="1" x14ac:dyDescent="0.2">
      <c r="A116" s="87">
        <v>45119</v>
      </c>
      <c r="B116" s="120" t="s">
        <v>1052</v>
      </c>
      <c r="C116" s="75" t="s">
        <v>85</v>
      </c>
      <c r="D116" s="88">
        <v>569516</v>
      </c>
      <c r="G116" s="1"/>
      <c r="L116" s="1"/>
      <c r="M116" s="1"/>
    </row>
    <row r="117" spans="1:13" s="2" customFormat="1" x14ac:dyDescent="0.2">
      <c r="A117" s="87">
        <v>45119</v>
      </c>
      <c r="B117" s="120" t="s">
        <v>1052</v>
      </c>
      <c r="C117" s="75" t="s">
        <v>271</v>
      </c>
      <c r="D117" s="88">
        <v>3074492</v>
      </c>
      <c r="G117" s="1"/>
      <c r="L117" s="1"/>
      <c r="M117" s="1"/>
    </row>
    <row r="118" spans="1:13" s="2" customFormat="1" x14ac:dyDescent="0.2">
      <c r="A118" s="87">
        <v>45119</v>
      </c>
      <c r="B118" s="120" t="s">
        <v>1052</v>
      </c>
      <c r="C118" s="75" t="s">
        <v>270</v>
      </c>
      <c r="D118" s="88">
        <v>1556273</v>
      </c>
      <c r="G118" s="1"/>
      <c r="L118" s="1"/>
      <c r="M118" s="1"/>
    </row>
    <row r="119" spans="1:13" s="2" customFormat="1" x14ac:dyDescent="0.2">
      <c r="A119" s="87">
        <v>45119</v>
      </c>
      <c r="B119" s="120" t="s">
        <v>1052</v>
      </c>
      <c r="C119" s="75" t="s">
        <v>84</v>
      </c>
      <c r="D119" s="88">
        <v>2500000</v>
      </c>
      <c r="G119" s="1"/>
      <c r="L119" s="1"/>
      <c r="M119" s="1"/>
    </row>
    <row r="120" spans="1:13" s="2" customFormat="1" x14ac:dyDescent="0.2">
      <c r="A120" s="87">
        <v>45121</v>
      </c>
      <c r="B120" s="120" t="s">
        <v>1052</v>
      </c>
      <c r="C120" s="75" t="s">
        <v>1084</v>
      </c>
      <c r="D120" s="88">
        <v>5000000</v>
      </c>
      <c r="G120" s="1"/>
      <c r="L120" s="1"/>
      <c r="M120" s="1"/>
    </row>
    <row r="121" spans="1:13" s="2" customFormat="1" x14ac:dyDescent="0.2">
      <c r="A121" s="87">
        <v>45122</v>
      </c>
      <c r="B121" s="120" t="s">
        <v>1052</v>
      </c>
      <c r="C121" s="75" t="s">
        <v>270</v>
      </c>
      <c r="D121" s="88">
        <v>893235</v>
      </c>
      <c r="G121" s="1"/>
      <c r="L121" s="1"/>
      <c r="M121" s="1"/>
    </row>
    <row r="122" spans="1:13" s="2" customFormat="1" x14ac:dyDescent="0.2">
      <c r="A122" s="87">
        <v>45124</v>
      </c>
      <c r="B122" s="120" t="s">
        <v>1052</v>
      </c>
      <c r="C122" s="75" t="s">
        <v>1084</v>
      </c>
      <c r="D122" s="88">
        <v>4000000</v>
      </c>
      <c r="G122" s="1"/>
      <c r="L122" s="1"/>
      <c r="M122" s="1"/>
    </row>
    <row r="123" spans="1:13" s="2" customFormat="1" x14ac:dyDescent="0.2">
      <c r="A123" s="87">
        <v>45125</v>
      </c>
      <c r="B123" s="120" t="s">
        <v>1052</v>
      </c>
      <c r="C123" s="75" t="s">
        <v>85</v>
      </c>
      <c r="D123" s="88">
        <v>209650</v>
      </c>
      <c r="G123" s="1"/>
      <c r="L123" s="1"/>
      <c r="M123" s="1"/>
    </row>
    <row r="124" spans="1:13" s="2" customFormat="1" x14ac:dyDescent="0.2">
      <c r="A124" s="87">
        <v>45125</v>
      </c>
      <c r="B124" s="120" t="s">
        <v>1052</v>
      </c>
      <c r="C124" s="75" t="s">
        <v>270</v>
      </c>
      <c r="D124" s="88">
        <v>891686</v>
      </c>
      <c r="G124" s="1"/>
      <c r="L124" s="1"/>
      <c r="M124" s="1"/>
    </row>
    <row r="125" spans="1:13" s="2" customFormat="1" x14ac:dyDescent="0.2">
      <c r="A125" s="87">
        <v>45125</v>
      </c>
      <c r="B125" s="120" t="s">
        <v>1052</v>
      </c>
      <c r="C125" s="75" t="s">
        <v>85</v>
      </c>
      <c r="D125" s="88">
        <v>75953</v>
      </c>
      <c r="G125" s="1"/>
      <c r="L125" s="1"/>
      <c r="M125" s="1"/>
    </row>
    <row r="126" spans="1:13" s="2" customFormat="1" x14ac:dyDescent="0.2">
      <c r="A126" s="87">
        <v>45125</v>
      </c>
      <c r="B126" s="120" t="s">
        <v>1052</v>
      </c>
      <c r="C126" s="75" t="s">
        <v>767</v>
      </c>
      <c r="D126" s="88">
        <v>691994</v>
      </c>
      <c r="G126" s="1"/>
      <c r="L126" s="1"/>
      <c r="M126" s="1"/>
    </row>
    <row r="127" spans="1:13" s="2" customFormat="1" x14ac:dyDescent="0.2">
      <c r="A127" s="87">
        <v>45126</v>
      </c>
      <c r="B127" s="120" t="s">
        <v>1052</v>
      </c>
      <c r="C127" s="75" t="s">
        <v>271</v>
      </c>
      <c r="D127" s="88">
        <v>415838</v>
      </c>
      <c r="G127" s="1"/>
      <c r="L127" s="1"/>
      <c r="M127" s="1"/>
    </row>
    <row r="128" spans="1:13" s="2" customFormat="1" x14ac:dyDescent="0.2">
      <c r="A128" s="87">
        <v>45127</v>
      </c>
      <c r="B128" s="120" t="s">
        <v>1052</v>
      </c>
      <c r="C128" s="75" t="s">
        <v>606</v>
      </c>
      <c r="D128" s="88">
        <v>564973</v>
      </c>
      <c r="G128" s="1"/>
      <c r="L128" s="1"/>
      <c r="M128" s="1"/>
    </row>
    <row r="129" spans="1:13" s="2" customFormat="1" x14ac:dyDescent="0.2">
      <c r="A129" s="87">
        <v>45127</v>
      </c>
      <c r="B129" s="120" t="s">
        <v>1052</v>
      </c>
      <c r="C129" s="75" t="s">
        <v>84</v>
      </c>
      <c r="D129" s="88">
        <v>2000000</v>
      </c>
      <c r="G129" s="1"/>
      <c r="L129" s="1"/>
      <c r="M129" s="1"/>
    </row>
    <row r="130" spans="1:13" s="2" customFormat="1" x14ac:dyDescent="0.2">
      <c r="A130" s="87">
        <v>45127</v>
      </c>
      <c r="B130" s="120" t="s">
        <v>1052</v>
      </c>
      <c r="C130" s="75" t="s">
        <v>86</v>
      </c>
      <c r="D130" s="88">
        <v>906281</v>
      </c>
      <c r="G130" s="1"/>
      <c r="L130" s="1"/>
      <c r="M130" s="1"/>
    </row>
    <row r="131" spans="1:13" s="2" customFormat="1" x14ac:dyDescent="0.2">
      <c r="A131" s="87">
        <v>45127</v>
      </c>
      <c r="B131" s="120" t="s">
        <v>1052</v>
      </c>
      <c r="C131" s="75" t="s">
        <v>86</v>
      </c>
      <c r="D131" s="88">
        <v>12614</v>
      </c>
      <c r="G131" s="1"/>
      <c r="L131" s="1"/>
      <c r="M131" s="1"/>
    </row>
    <row r="132" spans="1:13" s="2" customFormat="1" x14ac:dyDescent="0.2">
      <c r="A132" s="87">
        <v>45127</v>
      </c>
      <c r="B132" s="120" t="s">
        <v>1052</v>
      </c>
      <c r="C132" s="75" t="s">
        <v>88</v>
      </c>
      <c r="D132" s="88">
        <v>903686</v>
      </c>
      <c r="G132" s="1"/>
      <c r="L132" s="1"/>
      <c r="M132" s="1"/>
    </row>
    <row r="133" spans="1:13" s="2" customFormat="1" x14ac:dyDescent="0.2">
      <c r="A133" s="87">
        <v>45127</v>
      </c>
      <c r="B133" s="120" t="s">
        <v>1052</v>
      </c>
      <c r="C133" s="75" t="s">
        <v>86</v>
      </c>
      <c r="D133" s="88">
        <v>2526490</v>
      </c>
      <c r="G133" s="1"/>
      <c r="L133" s="1"/>
      <c r="M133" s="1"/>
    </row>
    <row r="134" spans="1:13" s="2" customFormat="1" x14ac:dyDescent="0.2">
      <c r="A134" s="87">
        <v>45127</v>
      </c>
      <c r="B134" s="120" t="s">
        <v>1052</v>
      </c>
      <c r="C134" s="75" t="s">
        <v>201</v>
      </c>
      <c r="D134" s="88">
        <v>4999894</v>
      </c>
      <c r="G134" s="1"/>
      <c r="L134" s="1"/>
      <c r="M134" s="1"/>
    </row>
    <row r="135" spans="1:13" s="2" customFormat="1" x14ac:dyDescent="0.2">
      <c r="A135" s="87">
        <v>45128</v>
      </c>
      <c r="B135" s="120" t="s">
        <v>1052</v>
      </c>
      <c r="C135" s="75" t="s">
        <v>1084</v>
      </c>
      <c r="D135" s="88">
        <v>4000000</v>
      </c>
      <c r="G135" s="1"/>
      <c r="L135" s="1"/>
      <c r="M135" s="1"/>
    </row>
    <row r="136" spans="1:13" s="2" customFormat="1" x14ac:dyDescent="0.2">
      <c r="A136" s="87">
        <v>45131</v>
      </c>
      <c r="B136" s="120" t="s">
        <v>1052</v>
      </c>
      <c r="C136" s="75" t="s">
        <v>85</v>
      </c>
      <c r="D136" s="88">
        <v>1044741</v>
      </c>
      <c r="G136" s="1"/>
      <c r="L136" s="1"/>
      <c r="M136" s="1"/>
    </row>
    <row r="137" spans="1:13" s="2" customFormat="1" x14ac:dyDescent="0.2">
      <c r="A137" s="87">
        <v>45132</v>
      </c>
      <c r="B137" s="120" t="s">
        <v>1052</v>
      </c>
      <c r="C137" s="75" t="s">
        <v>85</v>
      </c>
      <c r="D137" s="88">
        <v>70998</v>
      </c>
      <c r="G137" s="1"/>
      <c r="L137" s="1"/>
      <c r="M137" s="1"/>
    </row>
    <row r="138" spans="1:13" s="2" customFormat="1" x14ac:dyDescent="0.2">
      <c r="A138" s="87">
        <v>45132</v>
      </c>
      <c r="B138" s="120" t="s">
        <v>1052</v>
      </c>
      <c r="C138" s="75" t="s">
        <v>271</v>
      </c>
      <c r="D138" s="88">
        <v>314598</v>
      </c>
      <c r="G138" s="1"/>
      <c r="L138" s="1"/>
      <c r="M138" s="1"/>
    </row>
    <row r="139" spans="1:13" s="2" customFormat="1" x14ac:dyDescent="0.2">
      <c r="A139" s="87">
        <v>45132</v>
      </c>
      <c r="B139" s="120" t="s">
        <v>1052</v>
      </c>
      <c r="C139" s="75" t="s">
        <v>594</v>
      </c>
      <c r="D139" s="88">
        <v>2163081</v>
      </c>
      <c r="G139" s="1"/>
      <c r="L139" s="1"/>
      <c r="M139" s="1"/>
    </row>
    <row r="140" spans="1:13" s="2" customFormat="1" x14ac:dyDescent="0.2">
      <c r="A140" s="87">
        <v>45133</v>
      </c>
      <c r="B140" s="120" t="s">
        <v>1052</v>
      </c>
      <c r="C140" s="75" t="s">
        <v>87</v>
      </c>
      <c r="D140" s="88">
        <v>299280</v>
      </c>
      <c r="G140" s="1"/>
      <c r="L140" s="1"/>
      <c r="M140" s="1"/>
    </row>
    <row r="141" spans="1:13" s="2" customFormat="1" x14ac:dyDescent="0.2">
      <c r="A141" s="87">
        <v>45133</v>
      </c>
      <c r="B141" s="120" t="s">
        <v>1052</v>
      </c>
      <c r="C141" s="75" t="s">
        <v>323</v>
      </c>
      <c r="D141" s="88">
        <v>1773450</v>
      </c>
      <c r="G141" s="1"/>
      <c r="L141" s="1"/>
      <c r="M141" s="1"/>
    </row>
    <row r="142" spans="1:13" s="2" customFormat="1" x14ac:dyDescent="0.2">
      <c r="A142" s="87">
        <v>45133</v>
      </c>
      <c r="B142" s="120" t="s">
        <v>1052</v>
      </c>
      <c r="C142" s="75" t="s">
        <v>84</v>
      </c>
      <c r="D142" s="88">
        <v>2000000</v>
      </c>
      <c r="G142" s="1"/>
      <c r="L142" s="1"/>
      <c r="M142" s="1"/>
    </row>
    <row r="143" spans="1:13" s="2" customFormat="1" x14ac:dyDescent="0.2">
      <c r="A143" s="87">
        <v>45133</v>
      </c>
      <c r="B143" s="120" t="s">
        <v>1052</v>
      </c>
      <c r="C143" s="75" t="s">
        <v>87</v>
      </c>
      <c r="D143" s="88">
        <v>1434314</v>
      </c>
      <c r="G143" s="1"/>
      <c r="L143" s="1"/>
      <c r="M143" s="1"/>
    </row>
    <row r="144" spans="1:13" s="2" customFormat="1" x14ac:dyDescent="0.2">
      <c r="A144" s="87"/>
      <c r="B144" s="74"/>
      <c r="C144" s="75"/>
      <c r="D144" s="51">
        <f>SUM(D89:D143)</f>
        <v>74118678.920000002</v>
      </c>
      <c r="F144" s="2" t="s">
        <v>396</v>
      </c>
      <c r="G144" s="1"/>
      <c r="L144" s="1"/>
      <c r="M144" s="1"/>
    </row>
    <row r="145" spans="1:13" s="2" customFormat="1" x14ac:dyDescent="0.2">
      <c r="A145" s="24"/>
      <c r="B145" s="1"/>
      <c r="C145" s="14"/>
      <c r="D145" s="56"/>
      <c r="E145" s="13"/>
      <c r="G145" s="1"/>
      <c r="L145" s="1"/>
      <c r="M145" s="1"/>
    </row>
    <row r="146" spans="1:13" s="2" customFormat="1" x14ac:dyDescent="0.2">
      <c r="A146" s="24"/>
      <c r="B146" s="1"/>
      <c r="C146" s="218" t="s">
        <v>77</v>
      </c>
      <c r="D146" s="219"/>
      <c r="E146" s="219"/>
      <c r="F146" s="220"/>
      <c r="G146" s="1"/>
      <c r="L146" s="1"/>
      <c r="M146" s="1"/>
    </row>
    <row r="147" spans="1:13" s="2" customFormat="1" x14ac:dyDescent="0.2">
      <c r="A147" s="24"/>
      <c r="B147" s="1"/>
      <c r="C147" s="50"/>
      <c r="D147" s="57" t="s">
        <v>78</v>
      </c>
      <c r="E147" s="58" t="s">
        <v>79</v>
      </c>
      <c r="F147" s="57" t="s">
        <v>72</v>
      </c>
      <c r="G147" s="1"/>
      <c r="I147" s="1"/>
      <c r="J147" s="1"/>
      <c r="K147" s="1"/>
      <c r="L147" s="1"/>
      <c r="M147" s="1"/>
    </row>
    <row r="148" spans="1:13" s="2" customFormat="1" x14ac:dyDescent="0.2">
      <c r="A148" s="24"/>
      <c r="B148" s="1"/>
      <c r="C148" s="59" t="str">
        <f>"01-07-2023 to "&amp;TEXT(A5-2,"dd-mm-yyyy")</f>
        <v>01-07-2023 to 24-07-2023</v>
      </c>
      <c r="D148" s="60">
        <v>4032.18</v>
      </c>
      <c r="E148" s="60">
        <v>214.49</v>
      </c>
      <c r="F148" s="61">
        <f>SUM(D148:E148)</f>
        <v>4246.67</v>
      </c>
      <c r="G148" s="1"/>
    </row>
    <row r="149" spans="1:13" s="2" customFormat="1" x14ac:dyDescent="0.2">
      <c r="A149" s="24"/>
      <c r="B149" s="1"/>
      <c r="C149" s="62" t="str">
        <f>TEXT(A5-1,"dd-mm-yyyy")</f>
        <v>25-07-2023</v>
      </c>
      <c r="D149" s="60">
        <v>61.25</v>
      </c>
      <c r="E149" s="60">
        <v>1.87</v>
      </c>
      <c r="F149" s="61">
        <f>SUM(D149:E149)</f>
        <v>63.12</v>
      </c>
      <c r="G149" s="54"/>
      <c r="I149" s="1"/>
      <c r="J149" s="1"/>
      <c r="K149" s="1"/>
      <c r="L149" s="1"/>
      <c r="M149" s="1"/>
    </row>
    <row r="150" spans="1:13" s="2" customFormat="1" ht="13.5" thickBot="1" x14ac:dyDescent="0.25">
      <c r="A150" s="24"/>
      <c r="B150" s="1"/>
      <c r="C150" s="63" t="str">
        <f>"01-07-2023 to "&amp;TEXT(A5-1,"dd-mm-yyyy")</f>
        <v>01-07-2023 to 25-07-2023</v>
      </c>
      <c r="D150" s="64">
        <f>SUM(D148:D149)</f>
        <v>4093.43</v>
      </c>
      <c r="E150" s="64">
        <f>SUM(E148:E149)</f>
        <v>216.36</v>
      </c>
      <c r="F150" s="64">
        <f>SUM(F148:F149)</f>
        <v>4309.79</v>
      </c>
      <c r="G150" s="54"/>
      <c r="I150" s="1"/>
      <c r="J150" s="1"/>
      <c r="K150" s="1"/>
      <c r="L150" s="1"/>
      <c r="M150" s="1"/>
    </row>
    <row r="151" spans="1:13" s="2" customFormat="1" ht="13.5" thickTop="1" x14ac:dyDescent="0.2">
      <c r="A151" s="24"/>
      <c r="B151" s="1"/>
      <c r="C151" s="62"/>
      <c r="D151" s="65"/>
      <c r="E151" s="66"/>
      <c r="F151" s="67"/>
      <c r="G151" s="54"/>
      <c r="I151" s="1"/>
      <c r="J151" s="1"/>
      <c r="K151" s="1"/>
      <c r="L151" s="1"/>
      <c r="M151" s="1"/>
    </row>
    <row r="152" spans="1:13" s="2" customFormat="1" x14ac:dyDescent="0.2">
      <c r="A152" s="24"/>
      <c r="B152" s="1"/>
      <c r="C152" s="62" t="str">
        <f>"01-04-2023 to " &amp;C149</f>
        <v>01-04-2023 to 25-07-2023</v>
      </c>
      <c r="D152" s="68">
        <f>+D150+15505.53</f>
        <v>19598.96</v>
      </c>
      <c r="E152" s="68">
        <f>+E150+1109.72</f>
        <v>1326.08</v>
      </c>
      <c r="F152" s="68">
        <f>+F150+16615.25</f>
        <v>20925.04</v>
      </c>
      <c r="G152" s="54"/>
      <c r="I152" s="1"/>
      <c r="J152" s="1"/>
      <c r="K152" s="1"/>
      <c r="L152" s="1"/>
      <c r="M152" s="1"/>
    </row>
    <row r="153" spans="1:13" x14ac:dyDescent="0.2">
      <c r="C153" s="52"/>
      <c r="D153" s="85"/>
      <c r="E153" s="53"/>
      <c r="F153" s="53"/>
      <c r="G153" s="54"/>
      <c r="H153" s="2" t="s">
        <v>396</v>
      </c>
    </row>
    <row r="154" spans="1:13" s="2" customFormat="1" x14ac:dyDescent="0.2">
      <c r="A154" s="24"/>
      <c r="B154" s="1"/>
      <c r="C154" s="52"/>
      <c r="D154" s="85"/>
      <c r="E154" s="53"/>
      <c r="F154" s="53"/>
      <c r="G154" s="54"/>
      <c r="H154" s="53"/>
    </row>
    <row r="155" spans="1:13" x14ac:dyDescent="0.2">
      <c r="C155" s="52"/>
      <c r="D155" s="85"/>
      <c r="E155" s="53"/>
      <c r="F155" s="53"/>
      <c r="G155" s="54"/>
      <c r="H155" s="53" t="s">
        <v>396</v>
      </c>
    </row>
    <row r="156" spans="1:13" x14ac:dyDescent="0.2">
      <c r="C156" s="52"/>
      <c r="D156" s="85"/>
      <c r="E156" s="53"/>
      <c r="F156" s="53"/>
      <c r="G156" s="54"/>
      <c r="H156" s="53" t="s">
        <v>396</v>
      </c>
      <c r="J156" s="42"/>
    </row>
    <row r="157" spans="1:13" x14ac:dyDescent="0.2">
      <c r="G157" s="54"/>
      <c r="H157" s="53"/>
      <c r="I157" s="101"/>
    </row>
    <row r="158" spans="1:13" x14ac:dyDescent="0.2">
      <c r="G158" s="54"/>
      <c r="H158" s="53"/>
    </row>
    <row r="159" spans="1:13" x14ac:dyDescent="0.2">
      <c r="G159" s="54"/>
      <c r="H159" s="53"/>
    </row>
    <row r="160" spans="1:13" x14ac:dyDescent="0.2">
      <c r="H160" s="53"/>
    </row>
  </sheetData>
  <mergeCells count="6">
    <mergeCell ref="C146:F146"/>
    <mergeCell ref="A1:G1"/>
    <mergeCell ref="A3:F3"/>
    <mergeCell ref="A9:F9"/>
    <mergeCell ref="A23:F23"/>
    <mergeCell ref="A87:D87"/>
  </mergeCells>
  <conditionalFormatting sqref="G84:G85">
    <cfRule type="cellIs" dxfId="395" priority="1" operator="lessThan">
      <formula>0</formula>
    </cfRule>
  </conditionalFormatting>
  <conditionalFormatting sqref="C25">
    <cfRule type="duplicateValues" dxfId="394" priority="2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D00-000000000000}">
  <sheetPr codeName="Sheet389">
    <pageSetUpPr fitToPage="1"/>
  </sheetPr>
  <dimension ref="A1:N163"/>
  <sheetViews>
    <sheetView zoomScaleNormal="100" workbookViewId="0">
      <selection activeCell="E27" activeCellId="1" sqref="E23:E25 E27:E38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1266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45134</v>
      </c>
      <c r="B5" s="9" t="s">
        <v>6</v>
      </c>
      <c r="C5" s="10" t="s">
        <v>7</v>
      </c>
      <c r="D5" s="11"/>
      <c r="E5" s="12">
        <v>277691.7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277691.7</v>
      </c>
      <c r="F6" s="16">
        <f>SUM(F5:F5)</f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+E6-F6</f>
        <v>277691.7</v>
      </c>
      <c r="F7" s="22"/>
      <c r="G7" s="23"/>
      <c r="H7" s="112"/>
      <c r="I7" s="112"/>
      <c r="J7" s="13"/>
    </row>
    <row r="8" spans="1:10" ht="12.75" customHeight="1" x14ac:dyDescent="0.4">
      <c r="H8" s="112"/>
      <c r="I8" s="112"/>
    </row>
    <row r="9" spans="1:10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12"/>
    </row>
    <row r="10" spans="1:10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12"/>
    </row>
    <row r="11" spans="1:10" s="2" customFormat="1" ht="14.25" customHeight="1" x14ac:dyDescent="0.2">
      <c r="A11" s="89">
        <v>45134</v>
      </c>
      <c r="B11" s="9" t="s">
        <v>6</v>
      </c>
      <c r="C11" s="10" t="s">
        <v>7</v>
      </c>
      <c r="D11" s="11"/>
      <c r="F11" s="12">
        <v>15609147.799999999</v>
      </c>
      <c r="G11" s="1"/>
      <c r="H11" s="130" t="s">
        <v>396</v>
      </c>
      <c r="I11" s="130"/>
    </row>
    <row r="12" spans="1:10" s="70" customFormat="1" ht="12.75" customHeight="1" x14ac:dyDescent="0.2">
      <c r="A12" s="89">
        <v>45134</v>
      </c>
      <c r="B12" s="128" t="s">
        <v>6</v>
      </c>
      <c r="C12" s="76" t="s">
        <v>16</v>
      </c>
      <c r="D12" s="11" t="s">
        <v>13</v>
      </c>
      <c r="E12" s="31">
        <v>3158571.64</v>
      </c>
      <c r="G12" s="30"/>
      <c r="I12" s="69"/>
      <c r="J12" s="69"/>
    </row>
    <row r="13" spans="1:10" s="2" customFormat="1" ht="14.25" customHeight="1" x14ac:dyDescent="0.2">
      <c r="A13" s="89">
        <v>45134</v>
      </c>
      <c r="B13" s="128" t="s">
        <v>11</v>
      </c>
      <c r="C13" s="76" t="s">
        <v>51</v>
      </c>
      <c r="D13" s="11" t="s">
        <v>1243</v>
      </c>
      <c r="F13" s="31">
        <v>80368</v>
      </c>
      <c r="G13" s="1"/>
      <c r="H13" s="130"/>
      <c r="I13" s="130"/>
    </row>
    <row r="14" spans="1:10" s="2" customFormat="1" ht="14.25" customHeight="1" x14ac:dyDescent="0.2">
      <c r="A14" s="89">
        <v>45134</v>
      </c>
      <c r="B14" s="128" t="s">
        <v>11</v>
      </c>
      <c r="C14" s="76" t="s">
        <v>665</v>
      </c>
      <c r="D14" s="11" t="s">
        <v>1243</v>
      </c>
      <c r="F14" s="31">
        <v>34800</v>
      </c>
      <c r="G14" s="1"/>
      <c r="H14" s="130"/>
      <c r="I14" s="130"/>
    </row>
    <row r="15" spans="1:10" s="2" customFormat="1" ht="14.25" customHeight="1" x14ac:dyDescent="0.2">
      <c r="A15" s="89">
        <v>45134</v>
      </c>
      <c r="B15" s="128" t="s">
        <v>11</v>
      </c>
      <c r="C15" s="76" t="s">
        <v>1267</v>
      </c>
      <c r="D15" s="11" t="s">
        <v>1243</v>
      </c>
      <c r="F15" s="31">
        <v>7080</v>
      </c>
      <c r="G15" s="1"/>
      <c r="H15" s="130"/>
      <c r="I15" s="130"/>
    </row>
    <row r="16" spans="1:10" s="2" customFormat="1" ht="14.25" customHeight="1" x14ac:dyDescent="0.2">
      <c r="A16" s="89">
        <v>45134</v>
      </c>
      <c r="B16" s="128" t="s">
        <v>11</v>
      </c>
      <c r="C16" s="76" t="s">
        <v>1137</v>
      </c>
      <c r="D16" s="11" t="s">
        <v>1243</v>
      </c>
      <c r="F16" s="31">
        <v>4564.54</v>
      </c>
      <c r="G16" s="1"/>
      <c r="H16" s="130"/>
      <c r="I16" s="130"/>
    </row>
    <row r="17" spans="1:10" s="2" customFormat="1" ht="12.75" customHeight="1" x14ac:dyDescent="0.4">
      <c r="D17" s="11" t="s">
        <v>8</v>
      </c>
      <c r="E17" s="16">
        <f>SUM(E12:E13)</f>
        <v>3158571.64</v>
      </c>
      <c r="F17" s="16">
        <f>SUM(F11:F16)</f>
        <v>15735960.339999998</v>
      </c>
      <c r="G17" s="1"/>
      <c r="H17" s="112"/>
      <c r="I17" s="112"/>
    </row>
    <row r="18" spans="1:10" s="2" customFormat="1" ht="12.75" customHeight="1" x14ac:dyDescent="0.4">
      <c r="A18" s="17"/>
      <c r="B18" s="18"/>
      <c r="C18" s="96" t="s">
        <v>9</v>
      </c>
      <c r="D18" s="20"/>
      <c r="E18" s="21">
        <f>+F17-E17</f>
        <v>12577388.699999997</v>
      </c>
      <c r="G18" s="23"/>
      <c r="H18" s="112"/>
      <c r="I18" s="112"/>
      <c r="J18" s="13"/>
    </row>
    <row r="19" spans="1:10" s="2" customFormat="1" ht="12.75" customHeight="1" x14ac:dyDescent="0.4">
      <c r="A19" s="24"/>
      <c r="B19" s="1"/>
      <c r="C19" s="14"/>
      <c r="D19" s="25"/>
      <c r="G19" s="23"/>
      <c r="H19" s="112"/>
      <c r="I19" s="112"/>
      <c r="J19" s="13"/>
    </row>
    <row r="20" spans="1:10" s="2" customFormat="1" ht="21.75" customHeight="1" x14ac:dyDescent="0.4">
      <c r="A20" s="214" t="s">
        <v>10</v>
      </c>
      <c r="B20" s="214"/>
      <c r="C20" s="214"/>
      <c r="D20" s="214"/>
      <c r="E20" s="214"/>
      <c r="F20" s="214"/>
      <c r="G20" s="13"/>
      <c r="H20" s="112"/>
      <c r="I20" s="112"/>
      <c r="J20" s="13"/>
    </row>
    <row r="21" spans="1:10" s="2" customFormat="1" ht="12.75" customHeight="1" x14ac:dyDescent="0.4">
      <c r="A21" s="26" t="s">
        <v>1</v>
      </c>
      <c r="B21" s="27" t="s">
        <v>2</v>
      </c>
      <c r="C21" s="5"/>
      <c r="D21" s="6" t="s">
        <v>3</v>
      </c>
      <c r="E21" s="7" t="s">
        <v>4</v>
      </c>
      <c r="F21" s="7" t="s">
        <v>5</v>
      </c>
      <c r="G21" s="23"/>
      <c r="H21" s="112"/>
      <c r="I21" s="112"/>
      <c r="J21" s="13"/>
    </row>
    <row r="22" spans="1:10" s="2" customFormat="1" ht="12.75" customHeight="1" x14ac:dyDescent="0.2">
      <c r="A22" s="127">
        <v>45134</v>
      </c>
      <c r="B22" s="128" t="s">
        <v>11</v>
      </c>
      <c r="C22" s="29" t="s">
        <v>7</v>
      </c>
      <c r="D22" s="25"/>
      <c r="E22" s="31"/>
      <c r="F22" s="2">
        <v>293255317.64999992</v>
      </c>
      <c r="G22" s="30"/>
      <c r="I22" s="13"/>
      <c r="J22" s="13"/>
    </row>
    <row r="23" spans="1:10" s="70" customFormat="1" ht="12.75" customHeight="1" x14ac:dyDescent="0.2">
      <c r="A23" s="127">
        <v>45134</v>
      </c>
      <c r="B23" s="128" t="s">
        <v>6</v>
      </c>
      <c r="C23" s="10" t="s">
        <v>120</v>
      </c>
      <c r="D23" s="11" t="s">
        <v>13</v>
      </c>
      <c r="E23" s="86">
        <v>294172</v>
      </c>
      <c r="G23" s="30"/>
      <c r="I23" s="69"/>
      <c r="J23" s="69"/>
    </row>
    <row r="24" spans="1:10" s="70" customFormat="1" ht="12.75" customHeight="1" x14ac:dyDescent="0.2">
      <c r="A24" s="127">
        <v>45134</v>
      </c>
      <c r="B24" s="128" t="s">
        <v>6</v>
      </c>
      <c r="C24" s="10" t="s">
        <v>19</v>
      </c>
      <c r="D24" s="11" t="s">
        <v>13</v>
      </c>
      <c r="E24" s="86">
        <v>4057197</v>
      </c>
      <c r="G24" s="30"/>
      <c r="I24" s="69"/>
      <c r="J24" s="69"/>
    </row>
    <row r="25" spans="1:10" s="70" customFormat="1" ht="12.75" customHeight="1" x14ac:dyDescent="0.2">
      <c r="A25" s="127">
        <v>45134</v>
      </c>
      <c r="B25" s="128" t="s">
        <v>6</v>
      </c>
      <c r="C25" s="10" t="s">
        <v>105</v>
      </c>
      <c r="D25" s="11" t="s">
        <v>13</v>
      </c>
      <c r="E25" s="86">
        <v>1803129</v>
      </c>
      <c r="G25" s="30"/>
      <c r="I25" s="69"/>
      <c r="J25" s="69"/>
    </row>
    <row r="26" spans="1:10" s="70" customFormat="1" ht="12.75" customHeight="1" x14ac:dyDescent="0.2">
      <c r="A26" s="127">
        <v>45134</v>
      </c>
      <c r="B26" s="128" t="s">
        <v>6</v>
      </c>
      <c r="C26" s="10" t="s">
        <v>785</v>
      </c>
      <c r="D26" s="11" t="s">
        <v>13</v>
      </c>
      <c r="E26" s="86">
        <v>14934907</v>
      </c>
      <c r="G26" s="30"/>
      <c r="I26" s="69"/>
      <c r="J26" s="69"/>
    </row>
    <row r="27" spans="1:10" s="70" customFormat="1" ht="12.75" customHeight="1" x14ac:dyDescent="0.2">
      <c r="A27" s="127">
        <v>45134</v>
      </c>
      <c r="B27" s="128" t="s">
        <v>6</v>
      </c>
      <c r="C27" s="10" t="s">
        <v>281</v>
      </c>
      <c r="D27" s="11" t="s">
        <v>13</v>
      </c>
      <c r="E27" s="86">
        <v>18677</v>
      </c>
      <c r="G27" s="30"/>
      <c r="I27" s="69"/>
      <c r="J27" s="69"/>
    </row>
    <row r="28" spans="1:10" s="70" customFormat="1" ht="12.75" customHeight="1" x14ac:dyDescent="0.2">
      <c r="A28" s="127">
        <v>45134</v>
      </c>
      <c r="B28" s="128" t="s">
        <v>6</v>
      </c>
      <c r="C28" s="10" t="s">
        <v>93</v>
      </c>
      <c r="D28" s="11" t="s">
        <v>13</v>
      </c>
      <c r="E28" s="86">
        <v>4104422</v>
      </c>
      <c r="G28" s="30"/>
      <c r="I28" s="69"/>
      <c r="J28" s="69"/>
    </row>
    <row r="29" spans="1:10" s="70" customFormat="1" ht="12.75" customHeight="1" x14ac:dyDescent="0.2">
      <c r="A29" s="127">
        <v>45134</v>
      </c>
      <c r="B29" s="128" t="s">
        <v>6</v>
      </c>
      <c r="C29" s="10" t="s">
        <v>947</v>
      </c>
      <c r="D29" s="11" t="s">
        <v>13</v>
      </c>
      <c r="E29" s="86">
        <v>1791251</v>
      </c>
      <c r="G29" s="30"/>
      <c r="I29" s="69"/>
      <c r="J29" s="69"/>
    </row>
    <row r="30" spans="1:10" s="70" customFormat="1" ht="12.75" customHeight="1" x14ac:dyDescent="0.2">
      <c r="A30" s="127">
        <v>45134</v>
      </c>
      <c r="B30" s="128" t="s">
        <v>6</v>
      </c>
      <c r="C30" s="10" t="s">
        <v>24</v>
      </c>
      <c r="D30" s="11" t="s">
        <v>13</v>
      </c>
      <c r="E30" s="86">
        <v>48612</v>
      </c>
      <c r="G30" s="30"/>
      <c r="I30" s="69"/>
      <c r="J30" s="69"/>
    </row>
    <row r="31" spans="1:10" s="70" customFormat="1" ht="12.75" customHeight="1" x14ac:dyDescent="0.2">
      <c r="A31" s="127">
        <v>45134</v>
      </c>
      <c r="B31" s="128" t="s">
        <v>6</v>
      </c>
      <c r="C31" s="10" t="s">
        <v>760</v>
      </c>
      <c r="D31" s="11" t="s">
        <v>13</v>
      </c>
      <c r="E31" s="86">
        <v>126799.5</v>
      </c>
      <c r="G31" s="30"/>
      <c r="I31" s="69"/>
      <c r="J31" s="69"/>
    </row>
    <row r="32" spans="1:10" s="70" customFormat="1" ht="12.75" customHeight="1" x14ac:dyDescent="0.2">
      <c r="A32" s="127">
        <v>45134</v>
      </c>
      <c r="B32" s="128" t="s">
        <v>6</v>
      </c>
      <c r="C32" s="10" t="s">
        <v>773</v>
      </c>
      <c r="D32" s="11" t="s">
        <v>13</v>
      </c>
      <c r="E32" s="86">
        <v>106803.4</v>
      </c>
      <c r="G32" s="30"/>
      <c r="I32" s="69"/>
      <c r="J32" s="69"/>
    </row>
    <row r="33" spans="1:10" s="70" customFormat="1" ht="12.75" customHeight="1" x14ac:dyDescent="0.2">
      <c r="A33" s="127">
        <v>45134</v>
      </c>
      <c r="B33" s="128" t="s">
        <v>6</v>
      </c>
      <c r="C33" s="10" t="s">
        <v>742</v>
      </c>
      <c r="D33" s="11" t="s">
        <v>13</v>
      </c>
      <c r="E33" s="86">
        <v>222051</v>
      </c>
      <c r="G33" s="30"/>
      <c r="I33" s="69"/>
      <c r="J33" s="69"/>
    </row>
    <row r="34" spans="1:10" s="70" customFormat="1" ht="12.75" customHeight="1" x14ac:dyDescent="0.2">
      <c r="A34" s="127">
        <v>45134</v>
      </c>
      <c r="B34" s="128" t="s">
        <v>6</v>
      </c>
      <c r="C34" s="10" t="s">
        <v>1270</v>
      </c>
      <c r="D34" s="11" t="s">
        <v>13</v>
      </c>
      <c r="E34" s="86">
        <v>512640</v>
      </c>
      <c r="G34" s="30"/>
      <c r="I34" s="69"/>
      <c r="J34" s="69"/>
    </row>
    <row r="35" spans="1:10" s="70" customFormat="1" ht="12.75" customHeight="1" x14ac:dyDescent="0.2">
      <c r="A35" s="127">
        <v>45134</v>
      </c>
      <c r="B35" s="128" t="s">
        <v>6</v>
      </c>
      <c r="C35" s="10" t="s">
        <v>964</v>
      </c>
      <c r="D35" s="11" t="s">
        <v>13</v>
      </c>
      <c r="E35" s="86">
        <v>57750</v>
      </c>
      <c r="G35" s="30"/>
      <c r="I35" s="69"/>
      <c r="J35" s="69"/>
    </row>
    <row r="36" spans="1:10" s="70" customFormat="1" ht="12.75" customHeight="1" x14ac:dyDescent="0.2">
      <c r="A36" s="127">
        <v>45134</v>
      </c>
      <c r="B36" s="128" t="s">
        <v>6</v>
      </c>
      <c r="C36" s="10" t="s">
        <v>1271</v>
      </c>
      <c r="D36" s="11" t="s">
        <v>13</v>
      </c>
      <c r="E36" s="86">
        <v>432460</v>
      </c>
      <c r="G36" s="30"/>
      <c r="I36" s="69"/>
      <c r="J36" s="69"/>
    </row>
    <row r="37" spans="1:10" s="70" customFormat="1" ht="12.75" customHeight="1" x14ac:dyDescent="0.2">
      <c r="A37" s="127">
        <v>45134</v>
      </c>
      <c r="B37" s="128" t="s">
        <v>6</v>
      </c>
      <c r="C37" s="10" t="s">
        <v>16</v>
      </c>
      <c r="D37" s="11" t="s">
        <v>13</v>
      </c>
      <c r="E37" s="86">
        <v>919</v>
      </c>
      <c r="G37" s="30"/>
      <c r="I37" s="69"/>
      <c r="J37" s="69"/>
    </row>
    <row r="38" spans="1:10" s="70" customFormat="1" ht="12.75" customHeight="1" x14ac:dyDescent="0.2">
      <c r="A38" s="127">
        <v>45134</v>
      </c>
      <c r="B38" s="128" t="s">
        <v>6</v>
      </c>
      <c r="C38" s="10" t="s">
        <v>15</v>
      </c>
      <c r="D38" s="11" t="s">
        <v>13</v>
      </c>
      <c r="E38" s="86">
        <v>17482.96</v>
      </c>
      <c r="G38" s="30"/>
      <c r="I38" s="69"/>
      <c r="J38" s="69"/>
    </row>
    <row r="39" spans="1:10" s="70" customFormat="1" ht="12.75" customHeight="1" x14ac:dyDescent="0.2">
      <c r="A39" s="127">
        <v>45134</v>
      </c>
      <c r="B39" s="128" t="s">
        <v>11</v>
      </c>
      <c r="C39" s="10" t="s">
        <v>16</v>
      </c>
      <c r="D39" s="11" t="s">
        <v>29</v>
      </c>
      <c r="E39" s="86"/>
      <c r="F39" s="70">
        <v>44205.84</v>
      </c>
      <c r="G39" s="30"/>
      <c r="I39" s="69"/>
      <c r="J39" s="69"/>
    </row>
    <row r="40" spans="1:10" s="70" customFormat="1" ht="12.75" customHeight="1" x14ac:dyDescent="0.2">
      <c r="A40" s="127">
        <v>45134</v>
      </c>
      <c r="B40" s="128" t="s">
        <v>11</v>
      </c>
      <c r="C40" s="10" t="s">
        <v>15</v>
      </c>
      <c r="D40" s="11" t="s">
        <v>29</v>
      </c>
      <c r="E40" s="86"/>
      <c r="F40" s="70">
        <v>246570.95</v>
      </c>
      <c r="G40" s="30"/>
      <c r="I40" s="69"/>
      <c r="J40" s="69"/>
    </row>
    <row r="41" spans="1:10" s="70" customFormat="1" ht="12.75" customHeight="1" x14ac:dyDescent="0.2">
      <c r="A41" s="127">
        <v>45134</v>
      </c>
      <c r="B41" s="128" t="s">
        <v>11</v>
      </c>
      <c r="C41" s="10" t="s">
        <v>64</v>
      </c>
      <c r="D41" s="11" t="s">
        <v>29</v>
      </c>
      <c r="E41" s="86"/>
      <c r="F41" s="70">
        <v>10058.32</v>
      </c>
      <c r="G41" s="30"/>
      <c r="I41" s="69"/>
      <c r="J41" s="69"/>
    </row>
    <row r="42" spans="1:10" s="70" customFormat="1" ht="12.75" customHeight="1" x14ac:dyDescent="0.2">
      <c r="A42" s="127">
        <v>45134</v>
      </c>
      <c r="B42" s="128" t="s">
        <v>11</v>
      </c>
      <c r="C42" s="10" t="s">
        <v>284</v>
      </c>
      <c r="D42" s="11" t="s">
        <v>29</v>
      </c>
      <c r="E42" s="86"/>
      <c r="F42" s="70">
        <v>530861</v>
      </c>
      <c r="G42" s="30"/>
      <c r="I42" s="69"/>
      <c r="J42" s="69"/>
    </row>
    <row r="43" spans="1:10" s="70" customFormat="1" ht="12.75" customHeight="1" x14ac:dyDescent="0.2">
      <c r="A43" s="127">
        <v>45134</v>
      </c>
      <c r="B43" s="128" t="s">
        <v>11</v>
      </c>
      <c r="C43" s="10" t="s">
        <v>352</v>
      </c>
      <c r="D43" s="11" t="s">
        <v>29</v>
      </c>
      <c r="E43" s="86"/>
      <c r="F43" s="70">
        <v>67500</v>
      </c>
      <c r="G43" s="30"/>
      <c r="I43" s="69"/>
      <c r="J43" s="69"/>
    </row>
    <row r="44" spans="1:10" s="70" customFormat="1" ht="12.75" customHeight="1" x14ac:dyDescent="0.2">
      <c r="A44" s="127">
        <v>45134</v>
      </c>
      <c r="B44" s="128" t="s">
        <v>11</v>
      </c>
      <c r="C44" s="10" t="s">
        <v>382</v>
      </c>
      <c r="D44" s="11" t="s">
        <v>29</v>
      </c>
      <c r="E44" s="86"/>
      <c r="F44" s="70">
        <v>26944</v>
      </c>
      <c r="G44" s="30"/>
      <c r="I44" s="69"/>
      <c r="J44" s="69"/>
    </row>
    <row r="45" spans="1:10" s="70" customFormat="1" ht="12.75" customHeight="1" x14ac:dyDescent="0.2">
      <c r="A45" s="127">
        <v>45134</v>
      </c>
      <c r="B45" s="128" t="s">
        <v>11</v>
      </c>
      <c r="C45" s="10" t="s">
        <v>242</v>
      </c>
      <c r="D45" s="11" t="s">
        <v>29</v>
      </c>
      <c r="E45" s="86"/>
      <c r="F45" s="70">
        <v>290000</v>
      </c>
      <c r="G45" s="30"/>
      <c r="I45" s="69"/>
      <c r="J45" s="69"/>
    </row>
    <row r="46" spans="1:10" s="70" customFormat="1" ht="12.75" customHeight="1" x14ac:dyDescent="0.2">
      <c r="A46" s="127">
        <v>45134</v>
      </c>
      <c r="B46" s="128" t="s">
        <v>11</v>
      </c>
      <c r="C46" s="10" t="s">
        <v>509</v>
      </c>
      <c r="D46" s="11" t="s">
        <v>29</v>
      </c>
      <c r="E46" s="86"/>
      <c r="F46" s="70">
        <v>34208.199999999997</v>
      </c>
      <c r="G46" s="30"/>
      <c r="I46" s="69"/>
      <c r="J46" s="69"/>
    </row>
    <row r="47" spans="1:10" s="70" customFormat="1" ht="12.75" customHeight="1" x14ac:dyDescent="0.2">
      <c r="A47" s="127">
        <v>45134</v>
      </c>
      <c r="B47" s="128" t="s">
        <v>11</v>
      </c>
      <c r="C47" s="10" t="s">
        <v>437</v>
      </c>
      <c r="D47" s="11" t="s">
        <v>29</v>
      </c>
      <c r="E47" s="86"/>
      <c r="F47" s="70">
        <v>15500</v>
      </c>
      <c r="G47" s="30"/>
      <c r="I47" s="69"/>
      <c r="J47" s="69"/>
    </row>
    <row r="48" spans="1:10" s="70" customFormat="1" ht="12.75" customHeight="1" x14ac:dyDescent="0.2">
      <c r="A48" s="127">
        <v>45134</v>
      </c>
      <c r="B48" s="128" t="s">
        <v>11</v>
      </c>
      <c r="C48" s="10" t="s">
        <v>493</v>
      </c>
      <c r="D48" s="11" t="s">
        <v>29</v>
      </c>
      <c r="E48" s="86"/>
      <c r="F48" s="70">
        <v>15660</v>
      </c>
      <c r="G48" s="30"/>
      <c r="I48" s="69"/>
      <c r="J48" s="69"/>
    </row>
    <row r="49" spans="1:10" s="70" customFormat="1" ht="12.75" customHeight="1" x14ac:dyDescent="0.2">
      <c r="A49" s="127">
        <v>45134</v>
      </c>
      <c r="B49" s="128" t="s">
        <v>11</v>
      </c>
      <c r="C49" s="10" t="s">
        <v>57</v>
      </c>
      <c r="D49" s="11" t="s">
        <v>29</v>
      </c>
      <c r="E49" s="86"/>
      <c r="F49" s="70">
        <v>23500000</v>
      </c>
      <c r="G49" s="30"/>
      <c r="I49" s="69"/>
      <c r="J49" s="69"/>
    </row>
    <row r="50" spans="1:10" s="70" customFormat="1" ht="12.75" customHeight="1" x14ac:dyDescent="0.2">
      <c r="A50" s="127">
        <v>45134</v>
      </c>
      <c r="B50" s="128" t="s">
        <v>11</v>
      </c>
      <c r="C50" s="10" t="s">
        <v>63</v>
      </c>
      <c r="D50" s="11" t="s">
        <v>29</v>
      </c>
      <c r="E50" s="86"/>
      <c r="F50" s="70">
        <v>6000000</v>
      </c>
      <c r="G50" s="30"/>
      <c r="I50" s="69"/>
      <c r="J50" s="69"/>
    </row>
    <row r="51" spans="1:10" s="70" customFormat="1" ht="12.75" customHeight="1" x14ac:dyDescent="0.2">
      <c r="A51" s="127">
        <v>45134</v>
      </c>
      <c r="B51" s="128" t="s">
        <v>11</v>
      </c>
      <c r="C51" s="10" t="s">
        <v>58</v>
      </c>
      <c r="D51" s="11" t="s">
        <v>29</v>
      </c>
      <c r="E51" s="86"/>
      <c r="F51" s="70">
        <v>324571</v>
      </c>
      <c r="G51" s="30"/>
      <c r="I51" s="69"/>
      <c r="J51" s="69"/>
    </row>
    <row r="52" spans="1:10" s="70" customFormat="1" ht="12.75" customHeight="1" x14ac:dyDescent="0.2">
      <c r="A52" s="127">
        <v>45134</v>
      </c>
      <c r="B52" s="128" t="s">
        <v>11</v>
      </c>
      <c r="C52" s="10" t="s">
        <v>243</v>
      </c>
      <c r="D52" s="11" t="s">
        <v>29</v>
      </c>
      <c r="E52" s="86"/>
      <c r="F52" s="70">
        <v>4714.1000000000004</v>
      </c>
      <c r="G52" s="30"/>
      <c r="I52" s="69"/>
      <c r="J52" s="69"/>
    </row>
    <row r="53" spans="1:10" s="70" customFormat="1" ht="12.75" customHeight="1" x14ac:dyDescent="0.2">
      <c r="A53" s="127">
        <v>45134</v>
      </c>
      <c r="B53" s="128" t="s">
        <v>11</v>
      </c>
      <c r="C53" s="10" t="s">
        <v>447</v>
      </c>
      <c r="D53" s="11" t="s">
        <v>29</v>
      </c>
      <c r="E53" s="86"/>
      <c r="F53" s="70">
        <v>495000</v>
      </c>
      <c r="G53" s="30"/>
      <c r="I53" s="69"/>
      <c r="J53" s="69"/>
    </row>
    <row r="54" spans="1:10" s="70" customFormat="1" ht="12.75" customHeight="1" x14ac:dyDescent="0.2">
      <c r="A54" s="127">
        <v>45134</v>
      </c>
      <c r="B54" s="128" t="s">
        <v>11</v>
      </c>
      <c r="C54" s="10" t="s">
        <v>1268</v>
      </c>
      <c r="D54" s="11" t="s">
        <v>29</v>
      </c>
      <c r="E54" s="86"/>
      <c r="F54" s="70">
        <v>8500</v>
      </c>
      <c r="G54" s="30"/>
      <c r="I54" s="69"/>
      <c r="J54" s="69"/>
    </row>
    <row r="55" spans="1:10" s="70" customFormat="1" ht="12.75" customHeight="1" x14ac:dyDescent="0.2">
      <c r="A55" s="127">
        <v>45134</v>
      </c>
      <c r="B55" s="128" t="s">
        <v>11</v>
      </c>
      <c r="C55" s="10" t="s">
        <v>1269</v>
      </c>
      <c r="D55" s="11" t="s">
        <v>29</v>
      </c>
      <c r="E55" s="86"/>
      <c r="F55" s="70">
        <v>160747</v>
      </c>
      <c r="G55" s="30"/>
      <c r="I55" s="69"/>
      <c r="J55" s="69"/>
    </row>
    <row r="56" spans="1:10" s="70" customFormat="1" ht="12.75" customHeight="1" x14ac:dyDescent="0.2">
      <c r="A56" s="127">
        <v>45134</v>
      </c>
      <c r="B56" s="128" t="s">
        <v>11</v>
      </c>
      <c r="C56" s="10" t="s">
        <v>42</v>
      </c>
      <c r="D56" s="11" t="s">
        <v>29</v>
      </c>
      <c r="E56" s="86"/>
      <c r="F56" s="70">
        <v>6776</v>
      </c>
      <c r="G56" s="30"/>
      <c r="I56" s="69"/>
      <c r="J56" s="69"/>
    </row>
    <row r="57" spans="1:10" s="70" customFormat="1" ht="12.75" customHeight="1" x14ac:dyDescent="0.2">
      <c r="A57" s="127">
        <v>45134</v>
      </c>
      <c r="B57" s="128" t="s">
        <v>11</v>
      </c>
      <c r="C57" s="10" t="s">
        <v>277</v>
      </c>
      <c r="D57" s="11" t="s">
        <v>29</v>
      </c>
      <c r="E57" s="86"/>
      <c r="F57" s="70">
        <v>42840</v>
      </c>
      <c r="G57" s="30"/>
      <c r="I57" s="69"/>
      <c r="J57" s="69"/>
    </row>
    <row r="58" spans="1:10" s="70" customFormat="1" ht="12.75" customHeight="1" x14ac:dyDescent="0.2">
      <c r="A58" s="127">
        <v>45134</v>
      </c>
      <c r="B58" s="128" t="s">
        <v>11</v>
      </c>
      <c r="C58" s="10" t="s">
        <v>43</v>
      </c>
      <c r="D58" s="11" t="s">
        <v>29</v>
      </c>
      <c r="E58" s="86"/>
      <c r="F58" s="70">
        <v>5900</v>
      </c>
      <c r="G58" s="30"/>
      <c r="I58" s="69"/>
      <c r="J58" s="69"/>
    </row>
    <row r="59" spans="1:10" s="70" customFormat="1" ht="12.75" customHeight="1" x14ac:dyDescent="0.2">
      <c r="A59" s="127">
        <v>45134</v>
      </c>
      <c r="B59" s="128" t="s">
        <v>11</v>
      </c>
      <c r="C59" s="10" t="s">
        <v>61</v>
      </c>
      <c r="D59" s="11" t="s">
        <v>29</v>
      </c>
      <c r="E59" s="86"/>
      <c r="F59" s="70">
        <v>61124</v>
      </c>
      <c r="G59" s="30"/>
      <c r="I59" s="69"/>
      <c r="J59" s="69"/>
    </row>
    <row r="60" spans="1:10" s="70" customFormat="1" ht="12.75" customHeight="1" x14ac:dyDescent="0.2">
      <c r="A60" s="127">
        <v>45134</v>
      </c>
      <c r="B60" s="128" t="s">
        <v>11</v>
      </c>
      <c r="C60" s="10" t="s">
        <v>462</v>
      </c>
      <c r="D60" s="11" t="s">
        <v>29</v>
      </c>
      <c r="E60" s="86"/>
      <c r="F60" s="70">
        <v>3980.19</v>
      </c>
      <c r="G60" s="30"/>
      <c r="I60" s="69"/>
      <c r="J60" s="69"/>
    </row>
    <row r="61" spans="1:10" s="70" customFormat="1" ht="12.75" customHeight="1" x14ac:dyDescent="0.2">
      <c r="A61" s="127">
        <v>45134</v>
      </c>
      <c r="B61" s="128" t="s">
        <v>11</v>
      </c>
      <c r="C61" s="10" t="s">
        <v>37</v>
      </c>
      <c r="D61" s="11" t="s">
        <v>29</v>
      </c>
      <c r="E61" s="86"/>
      <c r="F61" s="70">
        <v>12213</v>
      </c>
      <c r="G61" s="30"/>
      <c r="I61" s="69"/>
      <c r="J61" s="69"/>
    </row>
    <row r="62" spans="1:10" s="70" customFormat="1" ht="12.75" customHeight="1" x14ac:dyDescent="0.2">
      <c r="A62" s="127">
        <v>45134</v>
      </c>
      <c r="B62" s="128" t="s">
        <v>11</v>
      </c>
      <c r="C62" s="10" t="s">
        <v>548</v>
      </c>
      <c r="D62" s="11" t="s">
        <v>29</v>
      </c>
      <c r="E62" s="86"/>
      <c r="F62" s="70">
        <v>48946</v>
      </c>
      <c r="G62" s="30"/>
      <c r="I62" s="69"/>
      <c r="J62" s="69"/>
    </row>
    <row r="63" spans="1:10" s="70" customFormat="1" ht="12.75" customHeight="1" x14ac:dyDescent="0.2">
      <c r="A63" s="127">
        <v>45134</v>
      </c>
      <c r="B63" s="128" t="s">
        <v>11</v>
      </c>
      <c r="C63" s="10" t="s">
        <v>409</v>
      </c>
      <c r="D63" s="11" t="s">
        <v>29</v>
      </c>
      <c r="E63" s="86"/>
      <c r="F63" s="70">
        <v>3359.46</v>
      </c>
      <c r="G63" s="30"/>
      <c r="I63" s="69"/>
      <c r="J63" s="69"/>
    </row>
    <row r="64" spans="1:10" s="70" customFormat="1" ht="12.75" customHeight="1" x14ac:dyDescent="0.2">
      <c r="A64" s="127">
        <v>45134</v>
      </c>
      <c r="B64" s="128" t="s">
        <v>11</v>
      </c>
      <c r="C64" s="10" t="s">
        <v>290</v>
      </c>
      <c r="D64" s="11" t="s">
        <v>29</v>
      </c>
      <c r="E64" s="86"/>
      <c r="F64" s="70">
        <v>4280</v>
      </c>
      <c r="G64" s="30"/>
      <c r="I64" s="69"/>
      <c r="J64" s="69"/>
    </row>
    <row r="65" spans="1:14" s="70" customFormat="1" ht="12.75" customHeight="1" x14ac:dyDescent="0.2">
      <c r="A65" s="127">
        <v>45134</v>
      </c>
      <c r="B65" s="128" t="s">
        <v>11</v>
      </c>
      <c r="C65" s="10" t="s">
        <v>117</v>
      </c>
      <c r="D65" s="11" t="s">
        <v>29</v>
      </c>
      <c r="E65" s="86"/>
      <c r="F65" s="70">
        <v>79749</v>
      </c>
      <c r="G65" s="30"/>
      <c r="I65" s="69"/>
      <c r="J65" s="69"/>
    </row>
    <row r="66" spans="1:14" s="70" customFormat="1" ht="12.75" customHeight="1" x14ac:dyDescent="0.2">
      <c r="A66" s="127">
        <v>45134</v>
      </c>
      <c r="B66" s="128" t="s">
        <v>11</v>
      </c>
      <c r="C66" s="10" t="s">
        <v>392</v>
      </c>
      <c r="D66" s="11" t="s">
        <v>29</v>
      </c>
      <c r="E66" s="86"/>
      <c r="F66" s="70">
        <v>44875</v>
      </c>
      <c r="G66" s="30"/>
      <c r="I66" s="69"/>
      <c r="J66" s="69"/>
    </row>
    <row r="67" spans="1:14" s="70" customFormat="1" ht="12.75" customHeight="1" x14ac:dyDescent="0.2">
      <c r="A67" s="127">
        <v>45134</v>
      </c>
      <c r="B67" s="128" t="s">
        <v>11</v>
      </c>
      <c r="C67" s="10" t="s">
        <v>38</v>
      </c>
      <c r="D67" s="11" t="s">
        <v>29</v>
      </c>
      <c r="E67" s="86"/>
      <c r="F67" s="70">
        <v>25418.5</v>
      </c>
      <c r="G67" s="30"/>
      <c r="I67" s="69"/>
      <c r="J67" s="69"/>
    </row>
    <row r="68" spans="1:14" s="2" customFormat="1" ht="12.75" customHeight="1" x14ac:dyDescent="0.2">
      <c r="A68" s="32"/>
      <c r="B68" s="33"/>
      <c r="C68" s="14"/>
      <c r="D68" s="34"/>
      <c r="E68" s="16">
        <f>SUM(E22:E67)</f>
        <v>28529272.859999999</v>
      </c>
      <c r="F68" s="16">
        <f>SUM(F22:F67)</f>
        <v>325369819.20999986</v>
      </c>
      <c r="G68" s="30"/>
      <c r="H68" s="1"/>
      <c r="I68" s="38">
        <v>296840546.35000002</v>
      </c>
      <c r="J68" s="2" t="s">
        <v>396</v>
      </c>
      <c r="K68" s="92">
        <f>E69-I68</f>
        <v>0</v>
      </c>
      <c r="L68" s="41"/>
      <c r="M68" s="42"/>
    </row>
    <row r="69" spans="1:14" s="2" customFormat="1" ht="12.75" customHeight="1" x14ac:dyDescent="0.2">
      <c r="A69" s="36"/>
      <c r="B69" s="28" t="s">
        <v>11</v>
      </c>
      <c r="C69" s="19" t="s">
        <v>65</v>
      </c>
      <c r="D69" s="37"/>
      <c r="E69" s="38">
        <f>F68-E68</f>
        <v>296840546.34999985</v>
      </c>
      <c r="F69" s="22"/>
      <c r="G69" s="1"/>
      <c r="H69" s="1"/>
      <c r="J69" s="1"/>
      <c r="K69" s="1"/>
      <c r="L69" s="1"/>
      <c r="M69" s="1"/>
    </row>
    <row r="70" spans="1:14" s="2" customFormat="1" ht="12.75" customHeight="1" x14ac:dyDescent="0.2">
      <c r="A70" s="36"/>
      <c r="B70" s="28" t="s">
        <v>66</v>
      </c>
      <c r="C70" s="43" t="s">
        <v>67</v>
      </c>
      <c r="D70" s="43"/>
      <c r="E70" s="12">
        <f>59416310-26000000</f>
        <v>33416310</v>
      </c>
      <c r="F70" s="22"/>
      <c r="G70" s="1"/>
      <c r="H70" s="40"/>
      <c r="I70" s="45">
        <v>4014.84</v>
      </c>
      <c r="J70" s="46"/>
      <c r="K70" s="46"/>
      <c r="L70" s="13"/>
      <c r="M70" s="69" t="s">
        <v>396</v>
      </c>
    </row>
    <row r="71" spans="1:14" s="2" customFormat="1" ht="12.75" customHeight="1" x14ac:dyDescent="0.25">
      <c r="A71" s="36"/>
      <c r="B71" s="28"/>
      <c r="C71" s="44" t="s">
        <v>68</v>
      </c>
      <c r="D71" s="43"/>
      <c r="E71" s="7">
        <f>E69+E70</f>
        <v>330256856.34999985</v>
      </c>
      <c r="F71" s="22"/>
      <c r="G71" s="1"/>
      <c r="H71" s="103" t="s">
        <v>69</v>
      </c>
      <c r="I71" s="45">
        <v>-40.53</v>
      </c>
      <c r="J71" s="46"/>
      <c r="K71" s="46"/>
      <c r="N71" s="1"/>
    </row>
    <row r="72" spans="1:14" s="2" customFormat="1" x14ac:dyDescent="0.2">
      <c r="A72" s="24"/>
      <c r="B72" s="1"/>
      <c r="C72" s="14"/>
      <c r="D72" s="25"/>
      <c r="E72" s="1"/>
      <c r="H72" s="35" t="s">
        <v>70</v>
      </c>
      <c r="I72" s="45">
        <v>0.19</v>
      </c>
      <c r="J72" s="46">
        <f>+I73-D75</f>
        <v>0</v>
      </c>
      <c r="M72" s="2" t="s">
        <v>396</v>
      </c>
      <c r="N72" s="1"/>
    </row>
    <row r="73" spans="1:14" x14ac:dyDescent="0.2">
      <c r="C73" s="56"/>
      <c r="D73" s="56"/>
      <c r="E73" s="104"/>
      <c r="I73" s="49">
        <f>SUM(I70:I72)</f>
        <v>3974.5</v>
      </c>
      <c r="J73" s="46"/>
      <c r="K73" s="46"/>
      <c r="L73" s="2"/>
      <c r="M73" s="2"/>
      <c r="N73" s="2"/>
    </row>
    <row r="74" spans="1:14" x14ac:dyDescent="0.2">
      <c r="C74" s="78" t="s">
        <v>575</v>
      </c>
      <c r="D74" s="48" t="s">
        <v>576</v>
      </c>
      <c r="E74" s="104"/>
      <c r="I74" s="2"/>
      <c r="J74" s="2"/>
      <c r="K74" s="2"/>
      <c r="L74" s="2"/>
      <c r="M74" s="2"/>
      <c r="N74" s="2"/>
    </row>
    <row r="75" spans="1:14" s="2" customFormat="1" x14ac:dyDescent="0.2">
      <c r="A75" s="24"/>
      <c r="B75" s="1"/>
      <c r="C75" s="47" t="s">
        <v>570</v>
      </c>
      <c r="D75" s="111">
        <v>3974.5</v>
      </c>
      <c r="E75" s="104"/>
      <c r="G75" s="1"/>
      <c r="H75" s="110" t="s">
        <v>581</v>
      </c>
      <c r="N75" s="2" t="s">
        <v>535</v>
      </c>
    </row>
    <row r="76" spans="1:14" s="2" customFormat="1" x14ac:dyDescent="0.2">
      <c r="A76" s="24"/>
      <c r="B76" s="1"/>
      <c r="C76" s="47" t="s">
        <v>931</v>
      </c>
      <c r="D76" s="111">
        <v>385.56</v>
      </c>
      <c r="E76" s="104"/>
      <c r="G76" s="1"/>
      <c r="H76" s="110" t="s">
        <v>580</v>
      </c>
    </row>
    <row r="77" spans="1:14" s="2" customFormat="1" x14ac:dyDescent="0.2">
      <c r="A77" s="24"/>
      <c r="B77" s="1"/>
      <c r="C77" s="47" t="s">
        <v>572</v>
      </c>
      <c r="D77" s="111">
        <f>+D147/100000</f>
        <v>741.32635920000007</v>
      </c>
      <c r="E77" s="104"/>
      <c r="G77" s="1"/>
      <c r="H77" s="90" t="s">
        <v>587</v>
      </c>
    </row>
    <row r="78" spans="1:14" s="2" customFormat="1" x14ac:dyDescent="0.2">
      <c r="A78" s="24"/>
      <c r="B78" s="1"/>
      <c r="C78" s="108" t="s">
        <v>578</v>
      </c>
      <c r="D78" s="48">
        <f>SUM(D75:D77)</f>
        <v>5101.3863592000007</v>
      </c>
      <c r="E78" s="104"/>
      <c r="G78" s="1"/>
    </row>
    <row r="79" spans="1:14" s="2" customFormat="1" x14ac:dyDescent="0.2">
      <c r="A79" s="24"/>
      <c r="B79" s="1"/>
      <c r="C79" s="47"/>
      <c r="D79" s="107"/>
      <c r="E79" s="104"/>
      <c r="G79" s="1"/>
    </row>
    <row r="80" spans="1:14" s="2" customFormat="1" x14ac:dyDescent="0.2">
      <c r="A80" s="24"/>
      <c r="B80" s="1"/>
      <c r="C80" s="47" t="s">
        <v>932</v>
      </c>
      <c r="D80" s="111">
        <v>164.68</v>
      </c>
      <c r="E80" s="104"/>
      <c r="G80" s="1"/>
      <c r="H80" s="110" t="s">
        <v>581</v>
      </c>
    </row>
    <row r="81" spans="1:13" s="2" customFormat="1" x14ac:dyDescent="0.2">
      <c r="A81" s="24"/>
      <c r="B81" s="1"/>
      <c r="C81" s="136" t="s">
        <v>1142</v>
      </c>
      <c r="D81" s="111">
        <v>314.02999999999997</v>
      </c>
      <c r="E81" s="104"/>
      <c r="G81" s="1"/>
      <c r="H81" s="110" t="s">
        <v>581</v>
      </c>
      <c r="J81" s="114" t="s">
        <v>713</v>
      </c>
    </row>
    <row r="82" spans="1:13" s="2" customFormat="1" x14ac:dyDescent="0.2">
      <c r="A82" s="24"/>
      <c r="B82" s="1"/>
      <c r="C82" s="78" t="s">
        <v>579</v>
      </c>
      <c r="D82" s="109">
        <f>D80+D81</f>
        <v>478.71</v>
      </c>
      <c r="E82" s="104"/>
      <c r="G82" s="1"/>
      <c r="I82" s="113"/>
      <c r="J82" s="113" t="s">
        <v>709</v>
      </c>
      <c r="K82" s="113" t="s">
        <v>710</v>
      </c>
      <c r="L82" s="113" t="s">
        <v>711</v>
      </c>
      <c r="M82" s="113" t="s">
        <v>712</v>
      </c>
    </row>
    <row r="83" spans="1:13" s="2" customFormat="1" x14ac:dyDescent="0.2">
      <c r="A83" s="24"/>
      <c r="B83" s="1"/>
      <c r="C83" s="105"/>
      <c r="D83" s="106"/>
      <c r="E83" s="104"/>
      <c r="G83" s="1"/>
      <c r="I83" s="113" t="s">
        <v>706</v>
      </c>
      <c r="J83" s="115"/>
      <c r="K83" s="115">
        <v>968.99</v>
      </c>
      <c r="L83" s="115">
        <v>968.99</v>
      </c>
      <c r="M83" s="113">
        <f>+J83+L83-K83</f>
        <v>0</v>
      </c>
    </row>
    <row r="84" spans="1:13" s="2" customFormat="1" x14ac:dyDescent="0.2">
      <c r="A84" s="24"/>
      <c r="B84" s="1"/>
      <c r="C84" s="78" t="s">
        <v>577</v>
      </c>
      <c r="D84" s="109">
        <f>D75+D82</f>
        <v>4453.21</v>
      </c>
      <c r="E84" s="104"/>
      <c r="G84" s="1"/>
      <c r="I84" s="113" t="s">
        <v>707</v>
      </c>
      <c r="J84" s="115">
        <v>183.1</v>
      </c>
      <c r="K84" s="115">
        <v>2871.83</v>
      </c>
      <c r="L84" s="115">
        <v>3551.14</v>
      </c>
      <c r="M84" s="113">
        <f>+J84+L84-K84</f>
        <v>862.40999999999985</v>
      </c>
    </row>
    <row r="85" spans="1:13" s="2" customFormat="1" x14ac:dyDescent="0.2">
      <c r="A85" s="24"/>
      <c r="B85" s="1"/>
      <c r="C85" s="56"/>
      <c r="D85" s="56"/>
      <c r="E85" s="104"/>
      <c r="G85" s="1"/>
      <c r="I85" s="113" t="s">
        <v>708</v>
      </c>
      <c r="J85" s="115">
        <v>1371.02</v>
      </c>
      <c r="K85" s="115">
        <v>13115.79</v>
      </c>
      <c r="L85" s="115">
        <v>12783.52</v>
      </c>
      <c r="M85" s="113">
        <f>+J85+L85-K85</f>
        <v>1038.75</v>
      </c>
    </row>
    <row r="86" spans="1:13" s="2" customFormat="1" ht="38.25" x14ac:dyDescent="0.2">
      <c r="A86" s="24"/>
      <c r="B86" s="1"/>
      <c r="C86" s="79" t="str">
        <f>"Particulars ( 01-04-2021 to "&amp;TEXT(A5,"dd-mm-yyyy")&amp;" )"</f>
        <v>Particulars ( 01-04-2021 to 27-07-2023 )</v>
      </c>
      <c r="D86" s="80" t="s">
        <v>73</v>
      </c>
      <c r="E86" s="80" t="s">
        <v>74</v>
      </c>
      <c r="F86" s="81" t="s">
        <v>75</v>
      </c>
      <c r="G86" s="80" t="s">
        <v>76</v>
      </c>
      <c r="J86" s="118">
        <f>SUM(J83:J85)</f>
        <v>1554.12</v>
      </c>
      <c r="K86" s="118">
        <f>SUM(K83:K85)</f>
        <v>16956.61</v>
      </c>
      <c r="L86" s="118">
        <f>SUM(L83:L85)</f>
        <v>17303.650000000001</v>
      </c>
      <c r="M86" s="118">
        <f>SUM(M83:M85)</f>
        <v>1901.1599999999999</v>
      </c>
    </row>
    <row r="87" spans="1:13" s="2" customFormat="1" x14ac:dyDescent="0.2">
      <c r="A87" s="24"/>
      <c r="B87" s="1"/>
      <c r="C87" s="50" t="s">
        <v>444</v>
      </c>
      <c r="D87" s="55">
        <f>+L83+L84+J84</f>
        <v>4703.2300000000005</v>
      </c>
      <c r="E87" s="55">
        <f>+K83+K84</f>
        <v>3840.8199999999997</v>
      </c>
      <c r="F87" s="55">
        <f>+D87-E87</f>
        <v>862.41000000000076</v>
      </c>
      <c r="G87" s="55">
        <f>1500-F87</f>
        <v>637.58999999999924</v>
      </c>
      <c r="H87" s="2" t="s">
        <v>396</v>
      </c>
    </row>
    <row r="88" spans="1:13" s="2" customFormat="1" x14ac:dyDescent="0.2">
      <c r="A88" s="24"/>
      <c r="B88" s="1"/>
      <c r="C88" s="50" t="s">
        <v>71</v>
      </c>
      <c r="D88" s="55">
        <f>+J85+L85</f>
        <v>14154.54</v>
      </c>
      <c r="E88" s="55">
        <f>+K85</f>
        <v>13115.79</v>
      </c>
      <c r="F88" s="55">
        <f>+D88-E88</f>
        <v>1038.75</v>
      </c>
      <c r="G88" s="55">
        <f>1500+700-F88</f>
        <v>1161.25</v>
      </c>
      <c r="H88" s="2" t="s">
        <v>396</v>
      </c>
    </row>
    <row r="89" spans="1:13" s="2" customFormat="1" x14ac:dyDescent="0.2">
      <c r="A89" s="24"/>
      <c r="B89" s="1"/>
      <c r="C89" s="14"/>
      <c r="D89" s="56"/>
      <c r="E89" s="13"/>
      <c r="G89" s="1"/>
    </row>
    <row r="90" spans="1:13" s="2" customFormat="1" x14ac:dyDescent="0.2">
      <c r="A90" s="215" t="s">
        <v>80</v>
      </c>
      <c r="B90" s="216"/>
      <c r="C90" s="216"/>
      <c r="D90" s="217"/>
      <c r="E90" s="69"/>
      <c r="F90" s="70"/>
      <c r="G90" s="1"/>
      <c r="H90" s="53"/>
    </row>
    <row r="91" spans="1:13" s="2" customFormat="1" x14ac:dyDescent="0.2">
      <c r="A91" s="71" t="s">
        <v>81</v>
      </c>
      <c r="B91" s="71"/>
      <c r="C91" s="72" t="s">
        <v>82</v>
      </c>
      <c r="D91" s="73" t="s">
        <v>83</v>
      </c>
      <c r="E91" s="69"/>
      <c r="F91" s="70"/>
      <c r="H91" s="53"/>
    </row>
    <row r="92" spans="1:13" s="2" customFormat="1" x14ac:dyDescent="0.2">
      <c r="A92" s="87">
        <v>45108</v>
      </c>
      <c r="B92" s="120" t="s">
        <v>1052</v>
      </c>
      <c r="C92" s="75" t="s">
        <v>84</v>
      </c>
      <c r="D92" s="88">
        <v>3000000</v>
      </c>
      <c r="G92" s="1"/>
      <c r="L92" s="1"/>
      <c r="M92" s="1"/>
    </row>
    <row r="93" spans="1:13" s="2" customFormat="1" x14ac:dyDescent="0.2">
      <c r="A93" s="87">
        <v>45108</v>
      </c>
      <c r="B93" s="120" t="s">
        <v>1052</v>
      </c>
      <c r="C93" s="75" t="s">
        <v>271</v>
      </c>
      <c r="D93" s="88">
        <v>2323148</v>
      </c>
      <c r="G93" s="1"/>
      <c r="L93" s="1"/>
      <c r="M93" s="1"/>
    </row>
    <row r="94" spans="1:13" s="2" customFormat="1" x14ac:dyDescent="0.2">
      <c r="A94" s="87">
        <v>45110</v>
      </c>
      <c r="B94" s="120" t="s">
        <v>1052</v>
      </c>
      <c r="C94" s="75" t="s">
        <v>85</v>
      </c>
      <c r="D94" s="88">
        <v>732575</v>
      </c>
      <c r="G94" s="1"/>
      <c r="L94" s="1"/>
      <c r="M94" s="1"/>
    </row>
    <row r="95" spans="1:13" s="2" customFormat="1" x14ac:dyDescent="0.2">
      <c r="A95" s="87">
        <v>45110</v>
      </c>
      <c r="B95" s="120" t="s">
        <v>1052</v>
      </c>
      <c r="C95" s="75" t="s">
        <v>86</v>
      </c>
      <c r="D95" s="88">
        <v>2676974</v>
      </c>
      <c r="G95" s="1"/>
      <c r="L95" s="1"/>
      <c r="M95" s="1"/>
    </row>
    <row r="96" spans="1:13" s="2" customFormat="1" x14ac:dyDescent="0.2">
      <c r="A96" s="87">
        <v>45110</v>
      </c>
      <c r="B96" s="120" t="s">
        <v>1052</v>
      </c>
      <c r="C96" s="75" t="s">
        <v>86</v>
      </c>
      <c r="D96" s="88">
        <f>1043475+13957</f>
        <v>1057432</v>
      </c>
      <c r="G96" s="1"/>
      <c r="L96" s="1"/>
      <c r="M96" s="1"/>
    </row>
    <row r="97" spans="1:13" s="2" customFormat="1" x14ac:dyDescent="0.2">
      <c r="A97" s="87">
        <v>45111</v>
      </c>
      <c r="B97" s="120" t="s">
        <v>1052</v>
      </c>
      <c r="C97" s="75" t="s">
        <v>270</v>
      </c>
      <c r="D97" s="88">
        <v>106093</v>
      </c>
      <c r="G97" s="1"/>
      <c r="L97" s="1"/>
      <c r="M97" s="1"/>
    </row>
    <row r="98" spans="1:13" s="2" customFormat="1" x14ac:dyDescent="0.2">
      <c r="A98" s="87">
        <v>45111</v>
      </c>
      <c r="B98" s="120" t="s">
        <v>1052</v>
      </c>
      <c r="C98" s="75" t="s">
        <v>270</v>
      </c>
      <c r="D98" s="88">
        <v>102393</v>
      </c>
      <c r="G98" s="1"/>
      <c r="L98" s="1"/>
      <c r="M98" s="1"/>
    </row>
    <row r="99" spans="1:13" s="2" customFormat="1" x14ac:dyDescent="0.2">
      <c r="A99" s="87">
        <v>45111</v>
      </c>
      <c r="B99" s="120" t="s">
        <v>1052</v>
      </c>
      <c r="C99" s="75" t="s">
        <v>270</v>
      </c>
      <c r="D99" s="88">
        <v>716336</v>
      </c>
      <c r="G99" s="1"/>
      <c r="L99" s="1"/>
      <c r="M99" s="1"/>
    </row>
    <row r="100" spans="1:13" s="2" customFormat="1" x14ac:dyDescent="0.2">
      <c r="A100" s="87">
        <v>45111</v>
      </c>
      <c r="B100" s="120" t="s">
        <v>1052</v>
      </c>
      <c r="C100" s="75" t="s">
        <v>270</v>
      </c>
      <c r="D100" s="88">
        <v>2504631</v>
      </c>
      <c r="G100" s="1"/>
      <c r="L100" s="1"/>
      <c r="M100" s="1"/>
    </row>
    <row r="101" spans="1:13" s="2" customFormat="1" x14ac:dyDescent="0.2">
      <c r="A101" s="87">
        <v>45111</v>
      </c>
      <c r="B101" s="120" t="s">
        <v>1052</v>
      </c>
      <c r="C101" s="75" t="s">
        <v>270</v>
      </c>
      <c r="D101" s="88">
        <v>141433.92000000001</v>
      </c>
      <c r="G101" s="1"/>
      <c r="L101" s="1"/>
      <c r="M101" s="1"/>
    </row>
    <row r="102" spans="1:13" s="2" customFormat="1" x14ac:dyDescent="0.2">
      <c r="A102" s="87">
        <v>45111</v>
      </c>
      <c r="B102" s="120" t="s">
        <v>1052</v>
      </c>
      <c r="C102" s="75" t="s">
        <v>271</v>
      </c>
      <c r="D102" s="88">
        <v>485258</v>
      </c>
      <c r="G102" s="1"/>
      <c r="L102" s="1"/>
      <c r="M102" s="1"/>
    </row>
    <row r="103" spans="1:13" s="2" customFormat="1" x14ac:dyDescent="0.2">
      <c r="A103" s="87">
        <v>45112</v>
      </c>
      <c r="B103" s="120" t="s">
        <v>1052</v>
      </c>
      <c r="C103" s="75" t="s">
        <v>85</v>
      </c>
      <c r="D103" s="88">
        <v>216478</v>
      </c>
      <c r="G103" s="1"/>
      <c r="L103" s="1"/>
      <c r="M103" s="1"/>
    </row>
    <row r="104" spans="1:13" s="2" customFormat="1" x14ac:dyDescent="0.2">
      <c r="A104" s="87">
        <v>45114</v>
      </c>
      <c r="B104" s="120" t="s">
        <v>1052</v>
      </c>
      <c r="C104" s="75" t="s">
        <v>270</v>
      </c>
      <c r="D104" s="88">
        <v>886333</v>
      </c>
      <c r="G104" s="1"/>
      <c r="L104" s="1"/>
      <c r="M104" s="1"/>
    </row>
    <row r="105" spans="1:13" s="2" customFormat="1" x14ac:dyDescent="0.2">
      <c r="A105" s="87">
        <v>45114</v>
      </c>
      <c r="B105" s="120" t="s">
        <v>1052</v>
      </c>
      <c r="C105" s="75" t="s">
        <v>270</v>
      </c>
      <c r="D105" s="88">
        <v>3119806</v>
      </c>
      <c r="G105" s="1"/>
      <c r="L105" s="1"/>
      <c r="M105" s="1"/>
    </row>
    <row r="106" spans="1:13" s="2" customFormat="1" x14ac:dyDescent="0.2">
      <c r="A106" s="87">
        <v>45114</v>
      </c>
      <c r="B106" s="120" t="s">
        <v>1052</v>
      </c>
      <c r="C106" s="75" t="s">
        <v>271</v>
      </c>
      <c r="D106" s="88">
        <v>151160</v>
      </c>
      <c r="G106" s="1"/>
      <c r="L106" s="1"/>
      <c r="M106" s="1"/>
    </row>
    <row r="107" spans="1:13" s="2" customFormat="1" x14ac:dyDescent="0.2">
      <c r="A107" s="87">
        <v>45114</v>
      </c>
      <c r="B107" s="120" t="s">
        <v>1052</v>
      </c>
      <c r="C107" s="75" t="s">
        <v>271</v>
      </c>
      <c r="D107" s="88">
        <v>285195</v>
      </c>
      <c r="G107" s="1"/>
      <c r="L107" s="1"/>
      <c r="M107" s="1"/>
    </row>
    <row r="108" spans="1:13" s="2" customFormat="1" x14ac:dyDescent="0.2">
      <c r="A108" s="87">
        <v>45114</v>
      </c>
      <c r="B108" s="120" t="s">
        <v>1052</v>
      </c>
      <c r="C108" s="75" t="s">
        <v>201</v>
      </c>
      <c r="D108" s="88">
        <v>128135</v>
      </c>
      <c r="G108" s="1"/>
      <c r="L108" s="1"/>
      <c r="M108" s="1"/>
    </row>
    <row r="109" spans="1:13" s="2" customFormat="1" x14ac:dyDescent="0.2">
      <c r="A109" s="87">
        <v>45114</v>
      </c>
      <c r="B109" s="120" t="s">
        <v>1052</v>
      </c>
      <c r="C109" s="75" t="s">
        <v>323</v>
      </c>
      <c r="D109" s="88">
        <v>2313089</v>
      </c>
      <c r="G109" s="1"/>
      <c r="L109" s="1"/>
      <c r="M109" s="1"/>
    </row>
    <row r="110" spans="1:13" s="2" customFormat="1" x14ac:dyDescent="0.2">
      <c r="A110" s="87">
        <v>45115</v>
      </c>
      <c r="B110" s="120" t="s">
        <v>1052</v>
      </c>
      <c r="C110" s="75" t="s">
        <v>767</v>
      </c>
      <c r="D110" s="88">
        <v>411035</v>
      </c>
      <c r="G110" s="1"/>
      <c r="L110" s="1"/>
      <c r="M110" s="1"/>
    </row>
    <row r="111" spans="1:13" s="2" customFormat="1" x14ac:dyDescent="0.2">
      <c r="A111" s="87">
        <v>45118</v>
      </c>
      <c r="B111" s="120" t="s">
        <v>1052</v>
      </c>
      <c r="C111" s="75" t="s">
        <v>270</v>
      </c>
      <c r="D111" s="88">
        <v>34696</v>
      </c>
      <c r="G111" s="1"/>
      <c r="L111" s="1"/>
      <c r="M111" s="1"/>
    </row>
    <row r="112" spans="1:13" s="2" customFormat="1" x14ac:dyDescent="0.2">
      <c r="A112" s="87">
        <v>45118</v>
      </c>
      <c r="B112" s="120" t="s">
        <v>1052</v>
      </c>
      <c r="C112" s="75" t="s">
        <v>270</v>
      </c>
      <c r="D112" s="88">
        <v>1128922</v>
      </c>
      <c r="G112" s="1"/>
      <c r="L112" s="1"/>
      <c r="M112" s="1"/>
    </row>
    <row r="113" spans="1:13" s="2" customFormat="1" x14ac:dyDescent="0.2">
      <c r="A113" s="87">
        <v>45118</v>
      </c>
      <c r="B113" s="120" t="s">
        <v>1052</v>
      </c>
      <c r="C113" s="75" t="s">
        <v>270</v>
      </c>
      <c r="D113" s="88">
        <v>2865343</v>
      </c>
      <c r="G113" s="1"/>
      <c r="L113" s="1"/>
      <c r="M113" s="1"/>
    </row>
    <row r="114" spans="1:13" s="2" customFormat="1" x14ac:dyDescent="0.2">
      <c r="A114" s="87">
        <v>45118</v>
      </c>
      <c r="B114" s="120" t="s">
        <v>1052</v>
      </c>
      <c r="C114" s="75" t="s">
        <v>270</v>
      </c>
      <c r="D114" s="88">
        <v>1090852</v>
      </c>
      <c r="G114" s="1"/>
      <c r="L114" s="1"/>
      <c r="M114" s="1"/>
    </row>
    <row r="115" spans="1:13" s="2" customFormat="1" x14ac:dyDescent="0.2">
      <c r="A115" s="87">
        <v>45118</v>
      </c>
      <c r="B115" s="120" t="s">
        <v>1052</v>
      </c>
      <c r="C115" s="75" t="s">
        <v>270</v>
      </c>
      <c r="D115" s="88">
        <v>359348</v>
      </c>
      <c r="G115" s="1"/>
      <c r="L115" s="1"/>
      <c r="M115" s="1"/>
    </row>
    <row r="116" spans="1:13" s="2" customFormat="1" x14ac:dyDescent="0.2">
      <c r="A116" s="87">
        <v>45118</v>
      </c>
      <c r="B116" s="120" t="s">
        <v>1052</v>
      </c>
      <c r="C116" s="75" t="s">
        <v>271</v>
      </c>
      <c r="D116" s="88">
        <v>323487</v>
      </c>
      <c r="G116" s="1"/>
      <c r="L116" s="1"/>
      <c r="M116" s="1"/>
    </row>
    <row r="117" spans="1:13" s="2" customFormat="1" x14ac:dyDescent="0.2">
      <c r="A117" s="87">
        <v>45118</v>
      </c>
      <c r="B117" s="120" t="s">
        <v>1052</v>
      </c>
      <c r="C117" s="75" t="s">
        <v>271</v>
      </c>
      <c r="D117" s="88">
        <v>44394</v>
      </c>
      <c r="G117" s="1"/>
      <c r="L117" s="1"/>
      <c r="M117" s="1"/>
    </row>
    <row r="118" spans="1:13" s="2" customFormat="1" x14ac:dyDescent="0.2">
      <c r="A118" s="87">
        <v>45118</v>
      </c>
      <c r="B118" s="120" t="s">
        <v>1052</v>
      </c>
      <c r="C118" s="75" t="s">
        <v>271</v>
      </c>
      <c r="D118" s="88">
        <v>2035052</v>
      </c>
      <c r="G118" s="1"/>
      <c r="L118" s="1"/>
      <c r="M118" s="1"/>
    </row>
    <row r="119" spans="1:13" s="2" customFormat="1" x14ac:dyDescent="0.2">
      <c r="A119" s="87">
        <v>45119</v>
      </c>
      <c r="B119" s="120" t="s">
        <v>1052</v>
      </c>
      <c r="C119" s="75" t="s">
        <v>85</v>
      </c>
      <c r="D119" s="88">
        <v>569516</v>
      </c>
      <c r="G119" s="1"/>
      <c r="L119" s="1"/>
      <c r="M119" s="1"/>
    </row>
    <row r="120" spans="1:13" s="2" customFormat="1" x14ac:dyDescent="0.2">
      <c r="A120" s="87">
        <v>45119</v>
      </c>
      <c r="B120" s="120" t="s">
        <v>1052</v>
      </c>
      <c r="C120" s="75" t="s">
        <v>271</v>
      </c>
      <c r="D120" s="88">
        <v>3074492</v>
      </c>
      <c r="G120" s="1"/>
      <c r="L120" s="1"/>
      <c r="M120" s="1"/>
    </row>
    <row r="121" spans="1:13" s="2" customFormat="1" x14ac:dyDescent="0.2">
      <c r="A121" s="87">
        <v>45119</v>
      </c>
      <c r="B121" s="120" t="s">
        <v>1052</v>
      </c>
      <c r="C121" s="75" t="s">
        <v>270</v>
      </c>
      <c r="D121" s="88">
        <v>1556273</v>
      </c>
      <c r="G121" s="1"/>
      <c r="L121" s="1"/>
      <c r="M121" s="1"/>
    </row>
    <row r="122" spans="1:13" s="2" customFormat="1" x14ac:dyDescent="0.2">
      <c r="A122" s="87">
        <v>45119</v>
      </c>
      <c r="B122" s="120" t="s">
        <v>1052</v>
      </c>
      <c r="C122" s="75" t="s">
        <v>84</v>
      </c>
      <c r="D122" s="88">
        <v>2500000</v>
      </c>
      <c r="G122" s="1"/>
      <c r="L122" s="1"/>
      <c r="M122" s="1"/>
    </row>
    <row r="123" spans="1:13" s="2" customFormat="1" x14ac:dyDescent="0.2">
      <c r="A123" s="87">
        <v>45121</v>
      </c>
      <c r="B123" s="120" t="s">
        <v>1052</v>
      </c>
      <c r="C123" s="75" t="s">
        <v>1084</v>
      </c>
      <c r="D123" s="88">
        <v>5000000</v>
      </c>
      <c r="G123" s="1"/>
      <c r="L123" s="1"/>
      <c r="M123" s="1"/>
    </row>
    <row r="124" spans="1:13" s="2" customFormat="1" x14ac:dyDescent="0.2">
      <c r="A124" s="87">
        <v>45122</v>
      </c>
      <c r="B124" s="120" t="s">
        <v>1052</v>
      </c>
      <c r="C124" s="75" t="s">
        <v>270</v>
      </c>
      <c r="D124" s="88">
        <v>893235</v>
      </c>
      <c r="G124" s="1"/>
      <c r="L124" s="1"/>
      <c r="M124" s="1"/>
    </row>
    <row r="125" spans="1:13" s="2" customFormat="1" x14ac:dyDescent="0.2">
      <c r="A125" s="87">
        <v>45124</v>
      </c>
      <c r="B125" s="120" t="s">
        <v>1052</v>
      </c>
      <c r="C125" s="75" t="s">
        <v>1084</v>
      </c>
      <c r="D125" s="88">
        <v>4000000</v>
      </c>
      <c r="G125" s="1"/>
      <c r="L125" s="1"/>
      <c r="M125" s="1"/>
    </row>
    <row r="126" spans="1:13" s="2" customFormat="1" x14ac:dyDescent="0.2">
      <c r="A126" s="87">
        <v>45125</v>
      </c>
      <c r="B126" s="120" t="s">
        <v>1052</v>
      </c>
      <c r="C126" s="75" t="s">
        <v>85</v>
      </c>
      <c r="D126" s="88">
        <v>209650</v>
      </c>
      <c r="G126" s="1"/>
      <c r="L126" s="1"/>
      <c r="M126" s="1"/>
    </row>
    <row r="127" spans="1:13" s="2" customFormat="1" x14ac:dyDescent="0.2">
      <c r="A127" s="87">
        <v>45125</v>
      </c>
      <c r="B127" s="120" t="s">
        <v>1052</v>
      </c>
      <c r="C127" s="75" t="s">
        <v>270</v>
      </c>
      <c r="D127" s="88">
        <v>891686</v>
      </c>
      <c r="G127" s="1"/>
      <c r="L127" s="1"/>
      <c r="M127" s="1"/>
    </row>
    <row r="128" spans="1:13" s="2" customFormat="1" x14ac:dyDescent="0.2">
      <c r="A128" s="87">
        <v>45125</v>
      </c>
      <c r="B128" s="120" t="s">
        <v>1052</v>
      </c>
      <c r="C128" s="75" t="s">
        <v>85</v>
      </c>
      <c r="D128" s="88">
        <v>75953</v>
      </c>
      <c r="G128" s="1"/>
      <c r="L128" s="1"/>
      <c r="M128" s="1"/>
    </row>
    <row r="129" spans="1:13" s="2" customFormat="1" x14ac:dyDescent="0.2">
      <c r="A129" s="87">
        <v>45125</v>
      </c>
      <c r="B129" s="120" t="s">
        <v>1052</v>
      </c>
      <c r="C129" s="75" t="s">
        <v>767</v>
      </c>
      <c r="D129" s="88">
        <v>691994</v>
      </c>
      <c r="G129" s="1"/>
      <c r="L129" s="1"/>
      <c r="M129" s="1"/>
    </row>
    <row r="130" spans="1:13" s="2" customFormat="1" x14ac:dyDescent="0.2">
      <c r="A130" s="87">
        <v>45126</v>
      </c>
      <c r="B130" s="120" t="s">
        <v>1052</v>
      </c>
      <c r="C130" s="75" t="s">
        <v>271</v>
      </c>
      <c r="D130" s="88">
        <v>415838</v>
      </c>
      <c r="G130" s="1"/>
      <c r="L130" s="1"/>
      <c r="M130" s="1"/>
    </row>
    <row r="131" spans="1:13" s="2" customFormat="1" x14ac:dyDescent="0.2">
      <c r="A131" s="87">
        <v>45127</v>
      </c>
      <c r="B131" s="120" t="s">
        <v>1052</v>
      </c>
      <c r="C131" s="75" t="s">
        <v>606</v>
      </c>
      <c r="D131" s="88">
        <v>564973</v>
      </c>
      <c r="G131" s="1"/>
      <c r="L131" s="1"/>
      <c r="M131" s="1"/>
    </row>
    <row r="132" spans="1:13" s="2" customFormat="1" x14ac:dyDescent="0.2">
      <c r="A132" s="87">
        <v>45127</v>
      </c>
      <c r="B132" s="120" t="s">
        <v>1052</v>
      </c>
      <c r="C132" s="75" t="s">
        <v>84</v>
      </c>
      <c r="D132" s="88">
        <v>2000000</v>
      </c>
      <c r="G132" s="1"/>
      <c r="L132" s="1"/>
      <c r="M132" s="1"/>
    </row>
    <row r="133" spans="1:13" s="2" customFormat="1" x14ac:dyDescent="0.2">
      <c r="A133" s="87">
        <v>45127</v>
      </c>
      <c r="B133" s="120" t="s">
        <v>1052</v>
      </c>
      <c r="C133" s="75" t="s">
        <v>86</v>
      </c>
      <c r="D133" s="88">
        <v>906281</v>
      </c>
      <c r="G133" s="1"/>
      <c r="L133" s="1"/>
      <c r="M133" s="1"/>
    </row>
    <row r="134" spans="1:13" s="2" customFormat="1" x14ac:dyDescent="0.2">
      <c r="A134" s="87">
        <v>45127</v>
      </c>
      <c r="B134" s="120" t="s">
        <v>1052</v>
      </c>
      <c r="C134" s="75" t="s">
        <v>86</v>
      </c>
      <c r="D134" s="88">
        <v>12614</v>
      </c>
      <c r="G134" s="1"/>
      <c r="L134" s="1"/>
      <c r="M134" s="1"/>
    </row>
    <row r="135" spans="1:13" s="2" customFormat="1" x14ac:dyDescent="0.2">
      <c r="A135" s="87">
        <v>45127</v>
      </c>
      <c r="B135" s="120" t="s">
        <v>1052</v>
      </c>
      <c r="C135" s="75" t="s">
        <v>88</v>
      </c>
      <c r="D135" s="88">
        <v>903686</v>
      </c>
      <c r="G135" s="1"/>
      <c r="L135" s="1"/>
      <c r="M135" s="1"/>
    </row>
    <row r="136" spans="1:13" s="2" customFormat="1" x14ac:dyDescent="0.2">
      <c r="A136" s="87">
        <v>45127</v>
      </c>
      <c r="B136" s="120" t="s">
        <v>1052</v>
      </c>
      <c r="C136" s="75" t="s">
        <v>86</v>
      </c>
      <c r="D136" s="88">
        <v>2526490</v>
      </c>
      <c r="G136" s="1"/>
      <c r="L136" s="1"/>
      <c r="M136" s="1"/>
    </row>
    <row r="137" spans="1:13" s="2" customFormat="1" x14ac:dyDescent="0.2">
      <c r="A137" s="87">
        <v>45127</v>
      </c>
      <c r="B137" s="120" t="s">
        <v>1052</v>
      </c>
      <c r="C137" s="75" t="s">
        <v>201</v>
      </c>
      <c r="D137" s="88">
        <v>4999894</v>
      </c>
      <c r="G137" s="1"/>
      <c r="L137" s="1"/>
      <c r="M137" s="1"/>
    </row>
    <row r="138" spans="1:13" s="2" customFormat="1" x14ac:dyDescent="0.2">
      <c r="A138" s="87">
        <v>45128</v>
      </c>
      <c r="B138" s="120" t="s">
        <v>1052</v>
      </c>
      <c r="C138" s="75" t="s">
        <v>1084</v>
      </c>
      <c r="D138" s="88">
        <v>4000000</v>
      </c>
      <c r="G138" s="1"/>
      <c r="L138" s="1"/>
      <c r="M138" s="1"/>
    </row>
    <row r="139" spans="1:13" s="2" customFormat="1" x14ac:dyDescent="0.2">
      <c r="A139" s="87">
        <v>45131</v>
      </c>
      <c r="B139" s="120" t="s">
        <v>1052</v>
      </c>
      <c r="C139" s="75" t="s">
        <v>85</v>
      </c>
      <c r="D139" s="88">
        <v>1044741</v>
      </c>
      <c r="G139" s="1"/>
      <c r="L139" s="1"/>
      <c r="M139" s="1"/>
    </row>
    <row r="140" spans="1:13" s="2" customFormat="1" x14ac:dyDescent="0.2">
      <c r="A140" s="87">
        <v>45132</v>
      </c>
      <c r="B140" s="120" t="s">
        <v>1052</v>
      </c>
      <c r="C140" s="75" t="s">
        <v>85</v>
      </c>
      <c r="D140" s="88">
        <v>70998</v>
      </c>
      <c r="G140" s="1"/>
      <c r="L140" s="1"/>
      <c r="M140" s="1"/>
    </row>
    <row r="141" spans="1:13" s="2" customFormat="1" x14ac:dyDescent="0.2">
      <c r="A141" s="87">
        <v>45132</v>
      </c>
      <c r="B141" s="120" t="s">
        <v>1052</v>
      </c>
      <c r="C141" s="75" t="s">
        <v>271</v>
      </c>
      <c r="D141" s="88">
        <v>314598</v>
      </c>
      <c r="G141" s="1"/>
      <c r="L141" s="1"/>
      <c r="M141" s="1"/>
    </row>
    <row r="142" spans="1:13" s="2" customFormat="1" x14ac:dyDescent="0.2">
      <c r="A142" s="87">
        <v>45132</v>
      </c>
      <c r="B142" s="120" t="s">
        <v>1052</v>
      </c>
      <c r="C142" s="75" t="s">
        <v>594</v>
      </c>
      <c r="D142" s="88">
        <v>2163081</v>
      </c>
      <c r="G142" s="1"/>
      <c r="L142" s="1"/>
      <c r="M142" s="1"/>
    </row>
    <row r="143" spans="1:13" s="2" customFormat="1" x14ac:dyDescent="0.2">
      <c r="A143" s="87">
        <v>45133</v>
      </c>
      <c r="B143" s="120" t="s">
        <v>1052</v>
      </c>
      <c r="C143" s="75" t="s">
        <v>87</v>
      </c>
      <c r="D143" s="88">
        <v>299280</v>
      </c>
      <c r="G143" s="1"/>
      <c r="L143" s="1"/>
      <c r="M143" s="1"/>
    </row>
    <row r="144" spans="1:13" s="2" customFormat="1" x14ac:dyDescent="0.2">
      <c r="A144" s="87">
        <v>45133</v>
      </c>
      <c r="B144" s="120" t="s">
        <v>1052</v>
      </c>
      <c r="C144" s="75" t="s">
        <v>323</v>
      </c>
      <c r="D144" s="88">
        <v>1773450</v>
      </c>
      <c r="G144" s="1"/>
      <c r="L144" s="1"/>
      <c r="M144" s="1"/>
    </row>
    <row r="145" spans="1:13" s="2" customFormat="1" x14ac:dyDescent="0.2">
      <c r="A145" s="87">
        <v>45133</v>
      </c>
      <c r="B145" s="120" t="s">
        <v>1052</v>
      </c>
      <c r="C145" s="75" t="s">
        <v>84</v>
      </c>
      <c r="D145" s="88">
        <v>2000000</v>
      </c>
      <c r="G145" s="1"/>
      <c r="L145" s="1"/>
      <c r="M145" s="1"/>
    </row>
    <row r="146" spans="1:13" s="2" customFormat="1" x14ac:dyDescent="0.2">
      <c r="A146" s="87">
        <v>45133</v>
      </c>
      <c r="B146" s="120" t="s">
        <v>1052</v>
      </c>
      <c r="C146" s="75" t="s">
        <v>87</v>
      </c>
      <c r="D146" s="88">
        <v>1434314</v>
      </c>
      <c r="G146" s="1"/>
      <c r="L146" s="1"/>
      <c r="M146" s="1"/>
    </row>
    <row r="147" spans="1:13" s="2" customFormat="1" x14ac:dyDescent="0.2">
      <c r="A147" s="87"/>
      <c r="B147" s="74"/>
      <c r="C147" s="75"/>
      <c r="D147" s="51">
        <f>SUM(D92:D146)</f>
        <v>74132635.920000002</v>
      </c>
      <c r="F147" s="2" t="s">
        <v>396</v>
      </c>
      <c r="G147" s="1"/>
      <c r="L147" s="1"/>
      <c r="M147" s="1"/>
    </row>
    <row r="148" spans="1:13" s="2" customFormat="1" x14ac:dyDescent="0.2">
      <c r="A148" s="24"/>
      <c r="B148" s="1"/>
      <c r="C148" s="14"/>
      <c r="D148" s="56"/>
      <c r="E148" s="13"/>
      <c r="G148" s="1"/>
      <c r="L148" s="1"/>
      <c r="M148" s="1"/>
    </row>
    <row r="149" spans="1:13" s="2" customFormat="1" x14ac:dyDescent="0.2">
      <c r="A149" s="24"/>
      <c r="B149" s="1"/>
      <c r="C149" s="218" t="s">
        <v>77</v>
      </c>
      <c r="D149" s="219"/>
      <c r="E149" s="219"/>
      <c r="F149" s="220"/>
      <c r="G149" s="1"/>
      <c r="L149" s="1"/>
      <c r="M149" s="1"/>
    </row>
    <row r="150" spans="1:13" s="2" customFormat="1" x14ac:dyDescent="0.2">
      <c r="A150" s="24"/>
      <c r="B150" s="1"/>
      <c r="C150" s="50"/>
      <c r="D150" s="57" t="s">
        <v>78</v>
      </c>
      <c r="E150" s="58" t="s">
        <v>79</v>
      </c>
      <c r="F150" s="57" t="s">
        <v>72</v>
      </c>
      <c r="G150" s="1"/>
      <c r="I150" s="1"/>
      <c r="J150" s="1"/>
      <c r="K150" s="1"/>
      <c r="L150" s="1"/>
      <c r="M150" s="1"/>
    </row>
    <row r="151" spans="1:13" s="2" customFormat="1" x14ac:dyDescent="0.2">
      <c r="A151" s="24"/>
      <c r="B151" s="1"/>
      <c r="C151" s="59" t="str">
        <f>"01-07-2023 to "&amp;TEXT(A5-2,"dd-mm-yyyy")</f>
        <v>01-07-2023 to 25-07-2023</v>
      </c>
      <c r="D151" s="60">
        <v>4093.43</v>
      </c>
      <c r="E151" s="60">
        <v>216.36</v>
      </c>
      <c r="F151" s="61">
        <f>SUM(D151:E151)</f>
        <v>4309.79</v>
      </c>
      <c r="G151" s="1"/>
    </row>
    <row r="152" spans="1:13" s="2" customFormat="1" x14ac:dyDescent="0.2">
      <c r="A152" s="24"/>
      <c r="B152" s="1"/>
      <c r="C152" s="62" t="str">
        <f>TEXT(A5-1,"dd-mm-yyyy")</f>
        <v>26-07-2023</v>
      </c>
      <c r="D152" s="60">
        <v>278.89</v>
      </c>
      <c r="E152" s="60">
        <v>11.52</v>
      </c>
      <c r="F152" s="61">
        <f>SUM(D152:E152)</f>
        <v>290.40999999999997</v>
      </c>
      <c r="G152" s="54"/>
      <c r="I152" s="1"/>
      <c r="J152" s="1"/>
      <c r="K152" s="1"/>
      <c r="L152" s="1"/>
      <c r="M152" s="1"/>
    </row>
    <row r="153" spans="1:13" s="2" customFormat="1" ht="13.5" thickBot="1" x14ac:dyDescent="0.25">
      <c r="A153" s="24"/>
      <c r="B153" s="1"/>
      <c r="C153" s="63" t="str">
        <f>"01-07-2023 to "&amp;TEXT(A5-1,"dd-mm-yyyy")</f>
        <v>01-07-2023 to 26-07-2023</v>
      </c>
      <c r="D153" s="64">
        <f>SUM(D151:D152)</f>
        <v>4372.32</v>
      </c>
      <c r="E153" s="64">
        <f>SUM(E151:E152)</f>
        <v>227.88000000000002</v>
      </c>
      <c r="F153" s="64">
        <f>SUM(F151:F152)</f>
        <v>4600.2</v>
      </c>
      <c r="G153" s="54"/>
      <c r="I153" s="1"/>
      <c r="J153" s="1"/>
      <c r="K153" s="1"/>
      <c r="L153" s="1"/>
      <c r="M153" s="1"/>
    </row>
    <row r="154" spans="1:13" s="2" customFormat="1" ht="13.5" thickTop="1" x14ac:dyDescent="0.2">
      <c r="A154" s="24"/>
      <c r="B154" s="1"/>
      <c r="C154" s="62"/>
      <c r="D154" s="65"/>
      <c r="E154" s="66"/>
      <c r="F154" s="67"/>
      <c r="G154" s="54"/>
      <c r="I154" s="1"/>
      <c r="J154" s="1"/>
      <c r="K154" s="1"/>
      <c r="L154" s="1"/>
      <c r="M154" s="1"/>
    </row>
    <row r="155" spans="1:13" s="2" customFormat="1" x14ac:dyDescent="0.2">
      <c r="A155" s="24"/>
      <c r="B155" s="1"/>
      <c r="C155" s="62" t="str">
        <f>"01-04-2023 to " &amp;C152</f>
        <v>01-04-2023 to 26-07-2023</v>
      </c>
      <c r="D155" s="68">
        <f>+D153+15505.53</f>
        <v>19877.849999999999</v>
      </c>
      <c r="E155" s="68">
        <f>+E153+1109.72</f>
        <v>1337.6000000000001</v>
      </c>
      <c r="F155" s="68">
        <f>+F153+16615.25</f>
        <v>21215.45</v>
      </c>
      <c r="G155" s="54"/>
      <c r="I155" s="1"/>
      <c r="J155" s="1"/>
      <c r="K155" s="1"/>
      <c r="L155" s="1"/>
      <c r="M155" s="1"/>
    </row>
    <row r="156" spans="1:13" x14ac:dyDescent="0.2">
      <c r="C156" s="52"/>
      <c r="D156" s="85"/>
      <c r="E156" s="53"/>
      <c r="F156" s="53"/>
      <c r="G156" s="54"/>
      <c r="H156" s="2" t="s">
        <v>396</v>
      </c>
    </row>
    <row r="157" spans="1:13" s="2" customFormat="1" x14ac:dyDescent="0.2">
      <c r="A157" s="24"/>
      <c r="B157" s="1"/>
      <c r="C157" s="52"/>
      <c r="D157" s="85"/>
      <c r="E157" s="53"/>
      <c r="F157" s="53"/>
      <c r="G157" s="54"/>
      <c r="H157" s="53"/>
    </row>
    <row r="158" spans="1:13" x14ac:dyDescent="0.2">
      <c r="C158" s="52"/>
      <c r="D158" s="85"/>
      <c r="E158" s="53"/>
      <c r="F158" s="53"/>
      <c r="G158" s="54"/>
      <c r="H158" s="53" t="s">
        <v>396</v>
      </c>
    </row>
    <row r="159" spans="1:13" x14ac:dyDescent="0.2">
      <c r="C159" s="52"/>
      <c r="D159" s="85"/>
      <c r="E159" s="53"/>
      <c r="F159" s="53"/>
      <c r="G159" s="54"/>
      <c r="H159" s="53" t="s">
        <v>396</v>
      </c>
      <c r="J159" s="42"/>
    </row>
    <row r="160" spans="1:13" x14ac:dyDescent="0.2">
      <c r="G160" s="54"/>
      <c r="H160" s="53"/>
      <c r="I160" s="101"/>
    </row>
    <row r="161" spans="7:8" x14ac:dyDescent="0.2">
      <c r="G161" s="54"/>
      <c r="H161" s="53"/>
    </row>
    <row r="162" spans="7:8" x14ac:dyDescent="0.2">
      <c r="G162" s="54"/>
      <c r="H162" s="53"/>
    </row>
    <row r="163" spans="7:8" x14ac:dyDescent="0.2">
      <c r="H163" s="53"/>
    </row>
  </sheetData>
  <mergeCells count="6">
    <mergeCell ref="C149:F149"/>
    <mergeCell ref="A1:G1"/>
    <mergeCell ref="A3:F3"/>
    <mergeCell ref="A9:F9"/>
    <mergeCell ref="A20:F20"/>
    <mergeCell ref="A90:D90"/>
  </mergeCells>
  <conditionalFormatting sqref="G87:G88">
    <cfRule type="cellIs" dxfId="393" priority="1" operator="lessThan">
      <formula>0</formula>
    </cfRule>
  </conditionalFormatting>
  <conditionalFormatting sqref="C22">
    <cfRule type="duplicateValues" dxfId="392" priority="2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E00-000000000000}">
  <sheetPr codeName="Sheet390">
    <pageSetUpPr fitToPage="1"/>
  </sheetPr>
  <dimension ref="A1:N175"/>
  <sheetViews>
    <sheetView topLeftCell="A67" zoomScaleNormal="100" workbookViewId="0">
      <selection activeCell="E81" sqref="E81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1272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45135</v>
      </c>
      <c r="B5" s="9" t="s">
        <v>6</v>
      </c>
      <c r="C5" s="10" t="s">
        <v>7</v>
      </c>
      <c r="D5" s="11"/>
      <c r="E5" s="12">
        <v>277691.7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277691.7</v>
      </c>
      <c r="F6" s="16">
        <f>SUM(F5:F5)</f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+E6-F6</f>
        <v>277691.7</v>
      </c>
      <c r="F7" s="22"/>
      <c r="G7" s="23"/>
      <c r="H7" s="112"/>
      <c r="I7" s="112"/>
      <c r="J7" s="13"/>
    </row>
    <row r="8" spans="1:10" ht="12.75" customHeight="1" x14ac:dyDescent="0.4">
      <c r="H8" s="112"/>
      <c r="I8" s="112"/>
    </row>
    <row r="9" spans="1:10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12"/>
    </row>
    <row r="10" spans="1:10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12"/>
    </row>
    <row r="11" spans="1:10" s="2" customFormat="1" ht="14.25" customHeight="1" x14ac:dyDescent="0.2">
      <c r="A11" s="89">
        <v>45135</v>
      </c>
      <c r="B11" s="9" t="s">
        <v>6</v>
      </c>
      <c r="C11" s="10" t="s">
        <v>7</v>
      </c>
      <c r="D11" s="11"/>
      <c r="F11" s="12">
        <v>12577388.699999997</v>
      </c>
      <c r="G11" s="1"/>
      <c r="H11" s="130" t="s">
        <v>396</v>
      </c>
      <c r="I11" s="130"/>
    </row>
    <row r="12" spans="1:10" s="70" customFormat="1" ht="12.75" customHeight="1" x14ac:dyDescent="0.2">
      <c r="A12" s="89">
        <v>45135</v>
      </c>
      <c r="B12" s="128" t="s">
        <v>11</v>
      </c>
      <c r="C12" s="76" t="s">
        <v>718</v>
      </c>
      <c r="D12" s="11" t="s">
        <v>1243</v>
      </c>
      <c r="E12" s="31"/>
      <c r="F12" s="31">
        <v>11898</v>
      </c>
      <c r="G12" s="30"/>
      <c r="I12" s="69"/>
      <c r="J12" s="69"/>
    </row>
    <row r="13" spans="1:10" s="2" customFormat="1" ht="14.25" customHeight="1" x14ac:dyDescent="0.2">
      <c r="A13" s="89">
        <v>45135</v>
      </c>
      <c r="B13" s="128" t="s">
        <v>11</v>
      </c>
      <c r="C13" s="76" t="s">
        <v>287</v>
      </c>
      <c r="D13" s="11" t="s">
        <v>1243</v>
      </c>
      <c r="F13" s="31">
        <v>10600</v>
      </c>
      <c r="G13" s="1"/>
      <c r="H13" s="130"/>
      <c r="I13" s="130"/>
    </row>
    <row r="14" spans="1:10" s="2" customFormat="1" ht="14.25" customHeight="1" x14ac:dyDescent="0.2">
      <c r="A14" s="89">
        <v>45135</v>
      </c>
      <c r="B14" s="128" t="s">
        <v>11</v>
      </c>
      <c r="C14" s="76" t="s">
        <v>51</v>
      </c>
      <c r="D14" s="11" t="s">
        <v>1243</v>
      </c>
      <c r="F14" s="31">
        <v>17860</v>
      </c>
      <c r="G14" s="1"/>
      <c r="H14" s="130"/>
      <c r="I14" s="130"/>
    </row>
    <row r="15" spans="1:10" s="2" customFormat="1" ht="14.25" customHeight="1" x14ac:dyDescent="0.2">
      <c r="A15" s="89">
        <v>45135</v>
      </c>
      <c r="B15" s="128" t="s">
        <v>11</v>
      </c>
      <c r="C15" s="76" t="s">
        <v>225</v>
      </c>
      <c r="D15" s="11" t="s">
        <v>1243</v>
      </c>
      <c r="F15" s="31">
        <v>6903</v>
      </c>
      <c r="G15" s="1"/>
      <c r="H15" s="130"/>
      <c r="I15" s="130"/>
    </row>
    <row r="16" spans="1:10" s="2" customFormat="1" ht="14.25" customHeight="1" x14ac:dyDescent="0.2">
      <c r="A16" s="89">
        <v>45135</v>
      </c>
      <c r="B16" s="128" t="s">
        <v>11</v>
      </c>
      <c r="C16" s="76" t="s">
        <v>658</v>
      </c>
      <c r="D16" s="11" t="s">
        <v>1243</v>
      </c>
      <c r="F16" s="31">
        <v>4720</v>
      </c>
      <c r="G16" s="1"/>
      <c r="H16" s="130"/>
      <c r="I16" s="130"/>
    </row>
    <row r="17" spans="1:10" s="2" customFormat="1" ht="14.25" customHeight="1" x14ac:dyDescent="0.2">
      <c r="A17" s="89">
        <v>45135</v>
      </c>
      <c r="B17" s="128" t="s">
        <v>11</v>
      </c>
      <c r="C17" s="76" t="s">
        <v>49</v>
      </c>
      <c r="D17" s="11" t="s">
        <v>1243</v>
      </c>
      <c r="F17" s="31">
        <v>119795</v>
      </c>
      <c r="G17" s="1"/>
      <c r="H17" s="130"/>
      <c r="I17" s="130"/>
    </row>
    <row r="18" spans="1:10" s="2" customFormat="1" ht="14.25" customHeight="1" x14ac:dyDescent="0.2">
      <c r="A18" s="89">
        <v>45135</v>
      </c>
      <c r="B18" s="128" t="s">
        <v>11</v>
      </c>
      <c r="C18" s="76" t="s">
        <v>1273</v>
      </c>
      <c r="D18" s="11" t="s">
        <v>1243</v>
      </c>
      <c r="F18" s="31">
        <v>222306.02</v>
      </c>
      <c r="G18" s="1"/>
      <c r="H18" s="130"/>
      <c r="I18" s="130"/>
    </row>
    <row r="19" spans="1:10" s="2" customFormat="1" ht="14.25" customHeight="1" x14ac:dyDescent="0.2">
      <c r="A19" s="89">
        <v>45135</v>
      </c>
      <c r="B19" s="128" t="s">
        <v>11</v>
      </c>
      <c r="C19" s="76" t="s">
        <v>232</v>
      </c>
      <c r="D19" s="11" t="s">
        <v>1243</v>
      </c>
      <c r="F19" s="31">
        <v>12118</v>
      </c>
      <c r="G19" s="1"/>
      <c r="H19" s="130"/>
      <c r="I19" s="130"/>
    </row>
    <row r="20" spans="1:10" s="2" customFormat="1" ht="14.25" customHeight="1" x14ac:dyDescent="0.2">
      <c r="A20" s="89">
        <v>45135</v>
      </c>
      <c r="B20" s="128" t="s">
        <v>11</v>
      </c>
      <c r="C20" s="76" t="s">
        <v>1057</v>
      </c>
      <c r="D20" s="11" t="s">
        <v>1243</v>
      </c>
      <c r="F20" s="31">
        <v>590</v>
      </c>
      <c r="G20" s="1"/>
      <c r="H20" s="130"/>
      <c r="I20" s="130"/>
    </row>
    <row r="21" spans="1:10" s="2" customFormat="1" ht="12.75" customHeight="1" x14ac:dyDescent="0.4">
      <c r="D21" s="11" t="s">
        <v>8</v>
      </c>
      <c r="E21" s="16">
        <f>SUM(E12:E13)</f>
        <v>0</v>
      </c>
      <c r="F21" s="16">
        <f>SUM(F11:F20)</f>
        <v>12984178.719999997</v>
      </c>
      <c r="G21" s="1"/>
      <c r="H21" s="112"/>
      <c r="I21" s="112"/>
    </row>
    <row r="22" spans="1:10" s="2" customFormat="1" ht="12.75" customHeight="1" x14ac:dyDescent="0.4">
      <c r="A22" s="17"/>
      <c r="B22" s="18"/>
      <c r="C22" s="96" t="s">
        <v>9</v>
      </c>
      <c r="D22" s="20"/>
      <c r="E22" s="21">
        <f>+F21-E21</f>
        <v>12984178.719999997</v>
      </c>
      <c r="G22" s="23"/>
      <c r="H22" s="112"/>
      <c r="I22" s="112"/>
      <c r="J22" s="13"/>
    </row>
    <row r="23" spans="1:10" s="2" customFormat="1" ht="12.75" customHeight="1" x14ac:dyDescent="0.4">
      <c r="A23" s="24"/>
      <c r="B23" s="1"/>
      <c r="C23" s="14"/>
      <c r="D23" s="25"/>
      <c r="G23" s="23"/>
      <c r="H23" s="112"/>
      <c r="I23" s="112"/>
      <c r="J23" s="13"/>
    </row>
    <row r="24" spans="1:10" s="2" customFormat="1" ht="21.75" customHeight="1" x14ac:dyDescent="0.4">
      <c r="A24" s="214" t="s">
        <v>10</v>
      </c>
      <c r="B24" s="214"/>
      <c r="C24" s="214"/>
      <c r="D24" s="214"/>
      <c r="E24" s="214"/>
      <c r="F24" s="214"/>
      <c r="G24" s="13"/>
      <c r="H24" s="112"/>
      <c r="I24" s="112"/>
      <c r="J24" s="13"/>
    </row>
    <row r="25" spans="1:10" s="2" customFormat="1" ht="12.75" customHeight="1" x14ac:dyDescent="0.4">
      <c r="A25" s="26" t="s">
        <v>1</v>
      </c>
      <c r="B25" s="27" t="s">
        <v>2</v>
      </c>
      <c r="C25" s="5"/>
      <c r="D25" s="6" t="s">
        <v>3</v>
      </c>
      <c r="E25" s="7" t="s">
        <v>4</v>
      </c>
      <c r="F25" s="7" t="s">
        <v>5</v>
      </c>
      <c r="G25" s="23"/>
      <c r="H25" s="112"/>
      <c r="I25" s="112"/>
      <c r="J25" s="13"/>
    </row>
    <row r="26" spans="1:10" s="2" customFormat="1" ht="12.75" customHeight="1" x14ac:dyDescent="0.2">
      <c r="A26" s="127">
        <v>45135</v>
      </c>
      <c r="B26" s="128" t="s">
        <v>11</v>
      </c>
      <c r="C26" s="29" t="s">
        <v>7</v>
      </c>
      <c r="D26" s="25"/>
      <c r="E26" s="31"/>
      <c r="F26" s="2">
        <v>296840546.34999985</v>
      </c>
      <c r="G26" s="30"/>
      <c r="I26" s="13"/>
      <c r="J26" s="13"/>
    </row>
    <row r="27" spans="1:10" s="70" customFormat="1" ht="12.75" customHeight="1" x14ac:dyDescent="0.2">
      <c r="A27" s="127">
        <v>45135</v>
      </c>
      <c r="B27" s="128" t="s">
        <v>6</v>
      </c>
      <c r="C27" s="10" t="s">
        <v>19</v>
      </c>
      <c r="D27" s="11" t="s">
        <v>13</v>
      </c>
      <c r="E27" s="86">
        <v>823647</v>
      </c>
      <c r="G27" s="30"/>
      <c r="I27" s="69"/>
      <c r="J27" s="69"/>
    </row>
    <row r="28" spans="1:10" s="70" customFormat="1" ht="12.75" customHeight="1" x14ac:dyDescent="0.2">
      <c r="A28" s="127">
        <v>45135</v>
      </c>
      <c r="B28" s="128" t="s">
        <v>6</v>
      </c>
      <c r="C28" s="10" t="s">
        <v>819</v>
      </c>
      <c r="D28" s="11" t="s">
        <v>13</v>
      </c>
      <c r="E28" s="86">
        <v>596000</v>
      </c>
      <c r="G28" s="30"/>
      <c r="I28" s="69"/>
      <c r="J28" s="69"/>
    </row>
    <row r="29" spans="1:10" s="70" customFormat="1" ht="12.75" customHeight="1" x14ac:dyDescent="0.2">
      <c r="A29" s="127">
        <v>45135</v>
      </c>
      <c r="B29" s="128" t="s">
        <v>6</v>
      </c>
      <c r="C29" s="10" t="s">
        <v>257</v>
      </c>
      <c r="D29" s="11" t="s">
        <v>13</v>
      </c>
      <c r="E29" s="86">
        <v>6280579.7699999996</v>
      </c>
      <c r="G29" s="30"/>
      <c r="I29" s="69"/>
      <c r="J29" s="69"/>
    </row>
    <row r="30" spans="1:10" s="70" customFormat="1" ht="12.75" customHeight="1" x14ac:dyDescent="0.2">
      <c r="A30" s="127">
        <v>45135</v>
      </c>
      <c r="B30" s="128" t="s">
        <v>6</v>
      </c>
      <c r="C30" s="10" t="s">
        <v>17</v>
      </c>
      <c r="D30" s="11" t="s">
        <v>13</v>
      </c>
      <c r="E30" s="86">
        <v>245615</v>
      </c>
      <c r="G30" s="30"/>
      <c r="I30" s="69"/>
      <c r="J30" s="69"/>
    </row>
    <row r="31" spans="1:10" s="70" customFormat="1" ht="12.75" customHeight="1" x14ac:dyDescent="0.2">
      <c r="A31" s="127">
        <v>45135</v>
      </c>
      <c r="B31" s="128" t="s">
        <v>6</v>
      </c>
      <c r="C31" s="10" t="s">
        <v>403</v>
      </c>
      <c r="D31" s="11" t="s">
        <v>13</v>
      </c>
      <c r="E31" s="86">
        <v>298769</v>
      </c>
      <c r="G31" s="30"/>
      <c r="I31" s="69"/>
      <c r="J31" s="69"/>
    </row>
    <row r="32" spans="1:10" s="70" customFormat="1" ht="12.75" customHeight="1" x14ac:dyDescent="0.2">
      <c r="A32" s="127">
        <v>45135</v>
      </c>
      <c r="B32" s="128" t="s">
        <v>6</v>
      </c>
      <c r="C32" s="10" t="s">
        <v>381</v>
      </c>
      <c r="D32" s="11" t="s">
        <v>13</v>
      </c>
      <c r="E32" s="86">
        <v>1859</v>
      </c>
      <c r="G32" s="30"/>
      <c r="I32" s="69"/>
      <c r="J32" s="69"/>
    </row>
    <row r="33" spans="1:10" s="70" customFormat="1" ht="12.75" customHeight="1" x14ac:dyDescent="0.2">
      <c r="A33" s="127">
        <v>45135</v>
      </c>
      <c r="B33" s="128" t="s">
        <v>6</v>
      </c>
      <c r="C33" s="10" t="s">
        <v>326</v>
      </c>
      <c r="D33" s="11" t="s">
        <v>13</v>
      </c>
      <c r="E33" s="86">
        <v>785921</v>
      </c>
      <c r="G33" s="30"/>
      <c r="I33" s="69"/>
      <c r="J33" s="69"/>
    </row>
    <row r="34" spans="1:10" s="70" customFormat="1" ht="12.75" customHeight="1" x14ac:dyDescent="0.2">
      <c r="A34" s="127">
        <v>45135</v>
      </c>
      <c r="B34" s="128" t="s">
        <v>6</v>
      </c>
      <c r="C34" s="10" t="s">
        <v>1241</v>
      </c>
      <c r="D34" s="11" t="s">
        <v>13</v>
      </c>
      <c r="E34" s="86">
        <v>90899</v>
      </c>
      <c r="G34" s="30"/>
      <c r="I34" s="69"/>
      <c r="J34" s="69"/>
    </row>
    <row r="35" spans="1:10" s="70" customFormat="1" ht="12.75" customHeight="1" x14ac:dyDescent="0.2">
      <c r="A35" s="127">
        <v>45135</v>
      </c>
      <c r="B35" s="128" t="s">
        <v>6</v>
      </c>
      <c r="C35" s="10" t="s">
        <v>514</v>
      </c>
      <c r="D35" s="11" t="s">
        <v>13</v>
      </c>
      <c r="E35" s="86">
        <v>417690</v>
      </c>
      <c r="G35" s="30"/>
      <c r="I35" s="69"/>
      <c r="J35" s="69"/>
    </row>
    <row r="36" spans="1:10" s="70" customFormat="1" ht="12.75" customHeight="1" x14ac:dyDescent="0.2">
      <c r="A36" s="127">
        <v>45135</v>
      </c>
      <c r="B36" s="128" t="s">
        <v>6</v>
      </c>
      <c r="C36" s="10" t="s">
        <v>614</v>
      </c>
      <c r="D36" s="11" t="s">
        <v>13</v>
      </c>
      <c r="E36" s="86">
        <v>6048</v>
      </c>
      <c r="G36" s="30"/>
      <c r="I36" s="69"/>
      <c r="J36" s="69"/>
    </row>
    <row r="37" spans="1:10" s="70" customFormat="1" ht="12.75" customHeight="1" x14ac:dyDescent="0.2">
      <c r="A37" s="127">
        <v>45135</v>
      </c>
      <c r="B37" s="128" t="s">
        <v>6</v>
      </c>
      <c r="C37" s="10" t="s">
        <v>234</v>
      </c>
      <c r="D37" s="11" t="s">
        <v>13</v>
      </c>
      <c r="E37" s="86">
        <v>15627</v>
      </c>
      <c r="G37" s="30"/>
      <c r="I37" s="69"/>
      <c r="J37" s="69"/>
    </row>
    <row r="38" spans="1:10" s="70" customFormat="1" ht="12.75" customHeight="1" x14ac:dyDescent="0.2">
      <c r="A38" s="127">
        <v>45135</v>
      </c>
      <c r="B38" s="128" t="s">
        <v>6</v>
      </c>
      <c r="C38" s="10" t="s">
        <v>144</v>
      </c>
      <c r="D38" s="11" t="s">
        <v>13</v>
      </c>
      <c r="E38" s="86">
        <v>5056385</v>
      </c>
      <c r="G38" s="30"/>
      <c r="I38" s="69"/>
      <c r="J38" s="69"/>
    </row>
    <row r="39" spans="1:10" s="70" customFormat="1" ht="12.75" customHeight="1" x14ac:dyDescent="0.2">
      <c r="A39" s="127">
        <v>45135</v>
      </c>
      <c r="B39" s="128" t="s">
        <v>6</v>
      </c>
      <c r="C39" s="10" t="s">
        <v>695</v>
      </c>
      <c r="D39" s="11" t="s">
        <v>13</v>
      </c>
      <c r="E39" s="86">
        <v>224800</v>
      </c>
      <c r="G39" s="30"/>
      <c r="I39" s="69"/>
      <c r="J39" s="69"/>
    </row>
    <row r="40" spans="1:10" s="70" customFormat="1" ht="12.75" customHeight="1" x14ac:dyDescent="0.2">
      <c r="A40" s="127">
        <v>45135</v>
      </c>
      <c r="B40" s="128" t="s">
        <v>6</v>
      </c>
      <c r="C40" s="10" t="s">
        <v>679</v>
      </c>
      <c r="D40" s="11" t="s">
        <v>13</v>
      </c>
      <c r="E40" s="86">
        <v>722474</v>
      </c>
      <c r="G40" s="30"/>
      <c r="I40" s="69"/>
      <c r="J40" s="69"/>
    </row>
    <row r="41" spans="1:10" s="70" customFormat="1" ht="12.75" customHeight="1" x14ac:dyDescent="0.2">
      <c r="A41" s="127">
        <v>45135</v>
      </c>
      <c r="B41" s="128" t="s">
        <v>6</v>
      </c>
      <c r="C41" s="10" t="s">
        <v>450</v>
      </c>
      <c r="D41" s="11" t="s">
        <v>13</v>
      </c>
      <c r="E41" s="86">
        <v>558934</v>
      </c>
      <c r="G41" s="30"/>
      <c r="I41" s="69"/>
      <c r="J41" s="69"/>
    </row>
    <row r="42" spans="1:10" s="70" customFormat="1" ht="12.75" customHeight="1" x14ac:dyDescent="0.2">
      <c r="A42" s="127">
        <v>45135</v>
      </c>
      <c r="B42" s="128" t="s">
        <v>6</v>
      </c>
      <c r="C42" s="10" t="s">
        <v>556</v>
      </c>
      <c r="D42" s="11" t="s">
        <v>13</v>
      </c>
      <c r="E42" s="86">
        <v>354791</v>
      </c>
      <c r="G42" s="30"/>
      <c r="I42" s="69"/>
      <c r="J42" s="69"/>
    </row>
    <row r="43" spans="1:10" s="70" customFormat="1" ht="12.75" customHeight="1" x14ac:dyDescent="0.2">
      <c r="A43" s="127">
        <v>45135</v>
      </c>
      <c r="B43" s="128" t="s">
        <v>6</v>
      </c>
      <c r="C43" s="10" t="s">
        <v>1274</v>
      </c>
      <c r="D43" s="11" t="s">
        <v>13</v>
      </c>
      <c r="E43" s="86">
        <v>19606</v>
      </c>
      <c r="G43" s="30"/>
      <c r="I43" s="69"/>
      <c r="J43" s="69"/>
    </row>
    <row r="44" spans="1:10" s="70" customFormat="1" ht="12.75" customHeight="1" x14ac:dyDescent="0.2">
      <c r="A44" s="127">
        <v>45135</v>
      </c>
      <c r="B44" s="128" t="s">
        <v>6</v>
      </c>
      <c r="C44" s="10" t="s">
        <v>276</v>
      </c>
      <c r="D44" s="11" t="s">
        <v>13</v>
      </c>
      <c r="E44" s="86">
        <v>966889</v>
      </c>
      <c r="G44" s="30"/>
      <c r="I44" s="69"/>
      <c r="J44" s="69"/>
    </row>
    <row r="45" spans="1:10" s="70" customFormat="1" ht="12.75" customHeight="1" x14ac:dyDescent="0.2">
      <c r="A45" s="127">
        <v>45135</v>
      </c>
      <c r="B45" s="128" t="s">
        <v>6</v>
      </c>
      <c r="C45" s="10" t="s">
        <v>633</v>
      </c>
      <c r="D45" s="11" t="s">
        <v>13</v>
      </c>
      <c r="E45" s="86">
        <v>1275410</v>
      </c>
      <c r="G45" s="30"/>
      <c r="I45" s="69"/>
      <c r="J45" s="69"/>
    </row>
    <row r="46" spans="1:10" s="70" customFormat="1" ht="12.75" customHeight="1" x14ac:dyDescent="0.2">
      <c r="A46" s="127">
        <v>45135</v>
      </c>
      <c r="B46" s="128" t="s">
        <v>6</v>
      </c>
      <c r="C46" s="10" t="s">
        <v>249</v>
      </c>
      <c r="D46" s="11" t="s">
        <v>13</v>
      </c>
      <c r="E46" s="86">
        <v>1093710</v>
      </c>
      <c r="G46" s="30"/>
      <c r="I46" s="69"/>
      <c r="J46" s="69"/>
    </row>
    <row r="47" spans="1:10" s="70" customFormat="1" ht="12.75" customHeight="1" x14ac:dyDescent="0.2">
      <c r="A47" s="127">
        <v>45135</v>
      </c>
      <c r="B47" s="128" t="s">
        <v>6</v>
      </c>
      <c r="C47" s="10" t="s">
        <v>1231</v>
      </c>
      <c r="D47" s="11" t="s">
        <v>13</v>
      </c>
      <c r="E47" s="86">
        <v>1284</v>
      </c>
      <c r="G47" s="30"/>
      <c r="I47" s="69"/>
      <c r="J47" s="69"/>
    </row>
    <row r="48" spans="1:10" s="70" customFormat="1" ht="12.75" customHeight="1" x14ac:dyDescent="0.2">
      <c r="A48" s="127">
        <v>45135</v>
      </c>
      <c r="B48" s="128" t="s">
        <v>6</v>
      </c>
      <c r="C48" s="10" t="s">
        <v>756</v>
      </c>
      <c r="D48" s="11" t="s">
        <v>13</v>
      </c>
      <c r="E48" s="86">
        <v>1092679</v>
      </c>
      <c r="G48" s="30"/>
      <c r="I48" s="69"/>
      <c r="J48" s="69"/>
    </row>
    <row r="49" spans="1:10" s="70" customFormat="1" ht="12.75" customHeight="1" x14ac:dyDescent="0.2">
      <c r="A49" s="127">
        <v>45135</v>
      </c>
      <c r="B49" s="128" t="s">
        <v>6</v>
      </c>
      <c r="C49" s="10" t="s">
        <v>177</v>
      </c>
      <c r="D49" s="11" t="s">
        <v>13</v>
      </c>
      <c r="E49" s="86">
        <v>195300</v>
      </c>
      <c r="G49" s="30"/>
      <c r="I49" s="69"/>
      <c r="J49" s="69"/>
    </row>
    <row r="50" spans="1:10" s="70" customFormat="1" ht="12.75" customHeight="1" x14ac:dyDescent="0.2">
      <c r="A50" s="127">
        <v>45135</v>
      </c>
      <c r="B50" s="128" t="s">
        <v>6</v>
      </c>
      <c r="C50" s="10" t="s">
        <v>149</v>
      </c>
      <c r="D50" s="11" t="s">
        <v>13</v>
      </c>
      <c r="E50" s="86">
        <v>3096</v>
      </c>
      <c r="G50" s="30"/>
      <c r="I50" s="69"/>
      <c r="J50" s="69"/>
    </row>
    <row r="51" spans="1:10" s="70" customFormat="1" ht="12.75" customHeight="1" x14ac:dyDescent="0.2">
      <c r="A51" s="127">
        <v>45135</v>
      </c>
      <c r="B51" s="128" t="s">
        <v>6</v>
      </c>
      <c r="C51" s="10" t="s">
        <v>1275</v>
      </c>
      <c r="D51" s="11" t="s">
        <v>13</v>
      </c>
      <c r="E51" s="86">
        <v>398276</v>
      </c>
      <c r="G51" s="30"/>
      <c r="I51" s="69"/>
      <c r="J51" s="69"/>
    </row>
    <row r="52" spans="1:10" s="70" customFormat="1" ht="12.75" customHeight="1" x14ac:dyDescent="0.2">
      <c r="A52" s="127">
        <v>45135</v>
      </c>
      <c r="B52" s="128" t="s">
        <v>6</v>
      </c>
      <c r="C52" s="10" t="s">
        <v>180</v>
      </c>
      <c r="D52" s="11" t="s">
        <v>13</v>
      </c>
      <c r="E52" s="86">
        <v>8085</v>
      </c>
      <c r="G52" s="30"/>
      <c r="I52" s="69"/>
      <c r="J52" s="69"/>
    </row>
    <row r="53" spans="1:10" s="70" customFormat="1" ht="12.75" customHeight="1" x14ac:dyDescent="0.2">
      <c r="A53" s="127">
        <v>45135</v>
      </c>
      <c r="B53" s="128" t="s">
        <v>6</v>
      </c>
      <c r="C53" s="10" t="s">
        <v>200</v>
      </c>
      <c r="D53" s="11" t="s">
        <v>13</v>
      </c>
      <c r="E53" s="86">
        <v>29031</v>
      </c>
      <c r="G53" s="30"/>
      <c r="I53" s="69"/>
      <c r="J53" s="69"/>
    </row>
    <row r="54" spans="1:10" s="70" customFormat="1" ht="12.75" customHeight="1" x14ac:dyDescent="0.2">
      <c r="A54" s="127">
        <v>45135</v>
      </c>
      <c r="B54" s="128" t="s">
        <v>6</v>
      </c>
      <c r="C54" s="10" t="s">
        <v>121</v>
      </c>
      <c r="D54" s="11" t="s">
        <v>13</v>
      </c>
      <c r="E54" s="86">
        <v>250000</v>
      </c>
      <c r="G54" s="30"/>
      <c r="I54" s="69"/>
      <c r="J54" s="69"/>
    </row>
    <row r="55" spans="1:10" s="70" customFormat="1" ht="12.75" customHeight="1" x14ac:dyDescent="0.2">
      <c r="A55" s="127">
        <v>45135</v>
      </c>
      <c r="B55" s="128" t="s">
        <v>6</v>
      </c>
      <c r="C55" s="10" t="s">
        <v>947</v>
      </c>
      <c r="D55" s="11" t="s">
        <v>13</v>
      </c>
      <c r="E55" s="86">
        <v>4413875</v>
      </c>
      <c r="G55" s="30"/>
      <c r="I55" s="69"/>
      <c r="J55" s="69"/>
    </row>
    <row r="56" spans="1:10" s="70" customFormat="1" ht="12.75" customHeight="1" x14ac:dyDescent="0.2">
      <c r="A56" s="127">
        <v>45135</v>
      </c>
      <c r="B56" s="128" t="s">
        <v>6</v>
      </c>
      <c r="C56" s="10" t="s">
        <v>120</v>
      </c>
      <c r="D56" s="11" t="s">
        <v>13</v>
      </c>
      <c r="E56" s="86">
        <v>485513</v>
      </c>
      <c r="G56" s="30"/>
      <c r="I56" s="69"/>
      <c r="J56" s="69"/>
    </row>
    <row r="57" spans="1:10" s="70" customFormat="1" ht="12.75" customHeight="1" x14ac:dyDescent="0.2">
      <c r="A57" s="127">
        <v>45135</v>
      </c>
      <c r="B57" s="128" t="s">
        <v>6</v>
      </c>
      <c r="C57" s="10" t="s">
        <v>122</v>
      </c>
      <c r="D57" s="11" t="s">
        <v>13</v>
      </c>
      <c r="E57" s="86">
        <v>120056</v>
      </c>
      <c r="G57" s="30"/>
      <c r="I57" s="69"/>
      <c r="J57" s="69"/>
    </row>
    <row r="58" spans="1:10" s="70" customFormat="1" ht="12.75" customHeight="1" x14ac:dyDescent="0.2">
      <c r="A58" s="127">
        <v>45135</v>
      </c>
      <c r="B58" s="128" t="s">
        <v>6</v>
      </c>
      <c r="C58" s="10" t="s">
        <v>24</v>
      </c>
      <c r="D58" s="11" t="s">
        <v>13</v>
      </c>
      <c r="E58" s="86">
        <v>35161</v>
      </c>
      <c r="G58" s="30"/>
      <c r="I58" s="69"/>
      <c r="J58" s="69"/>
    </row>
    <row r="59" spans="1:10" s="70" customFormat="1" ht="12.75" customHeight="1" x14ac:dyDescent="0.2">
      <c r="A59" s="127">
        <v>45135</v>
      </c>
      <c r="B59" s="128" t="s">
        <v>11</v>
      </c>
      <c r="C59" s="10" t="s">
        <v>64</v>
      </c>
      <c r="D59" s="11" t="s">
        <v>29</v>
      </c>
      <c r="E59" s="86"/>
      <c r="F59" s="70">
        <v>28.32</v>
      </c>
      <c r="G59" s="30"/>
      <c r="I59" s="69"/>
      <c r="J59" s="69"/>
    </row>
    <row r="60" spans="1:10" s="70" customFormat="1" ht="12.75" customHeight="1" x14ac:dyDescent="0.2">
      <c r="A60" s="127">
        <v>45135</v>
      </c>
      <c r="B60" s="128" t="s">
        <v>11</v>
      </c>
      <c r="C60" s="10" t="s">
        <v>109</v>
      </c>
      <c r="D60" s="11" t="s">
        <v>29</v>
      </c>
      <c r="E60" s="86"/>
      <c r="F60" s="70">
        <v>1528710</v>
      </c>
      <c r="G60" s="30"/>
      <c r="I60" s="69"/>
      <c r="J60" s="69"/>
    </row>
    <row r="61" spans="1:10" s="70" customFormat="1" ht="12.75" customHeight="1" x14ac:dyDescent="0.2">
      <c r="A61" s="127">
        <v>45135</v>
      </c>
      <c r="B61" s="128" t="s">
        <v>11</v>
      </c>
      <c r="C61" s="10" t="s">
        <v>111</v>
      </c>
      <c r="D61" s="11" t="s">
        <v>29</v>
      </c>
      <c r="E61" s="86"/>
      <c r="F61" s="70">
        <v>6616274.2299999995</v>
      </c>
      <c r="G61" s="30"/>
      <c r="I61" s="69"/>
      <c r="J61" s="69"/>
    </row>
    <row r="62" spans="1:10" s="70" customFormat="1" ht="12.75" customHeight="1" x14ac:dyDescent="0.2">
      <c r="A62" s="127">
        <v>45135</v>
      </c>
      <c r="B62" s="128" t="s">
        <v>11</v>
      </c>
      <c r="C62" s="10" t="s">
        <v>437</v>
      </c>
      <c r="D62" s="11" t="s">
        <v>29</v>
      </c>
      <c r="E62" s="86"/>
      <c r="F62" s="70">
        <v>50040</v>
      </c>
      <c r="G62" s="30"/>
      <c r="I62" s="69"/>
      <c r="J62" s="69"/>
    </row>
    <row r="63" spans="1:10" s="70" customFormat="1" ht="12.75" customHeight="1" x14ac:dyDescent="0.2">
      <c r="A63" s="127">
        <v>45135</v>
      </c>
      <c r="B63" s="128" t="s">
        <v>11</v>
      </c>
      <c r="C63" s="10" t="s">
        <v>63</v>
      </c>
      <c r="D63" s="11" t="s">
        <v>29</v>
      </c>
      <c r="E63" s="86"/>
      <c r="F63" s="70">
        <v>12500000</v>
      </c>
      <c r="G63" s="30"/>
      <c r="I63" s="69"/>
      <c r="J63" s="69"/>
    </row>
    <row r="64" spans="1:10" s="70" customFormat="1" ht="12.75" customHeight="1" x14ac:dyDescent="0.2">
      <c r="A64" s="127">
        <v>45135</v>
      </c>
      <c r="B64" s="128" t="s">
        <v>11</v>
      </c>
      <c r="C64" s="10" t="s">
        <v>370</v>
      </c>
      <c r="D64" s="11" t="s">
        <v>29</v>
      </c>
      <c r="E64" s="86"/>
      <c r="F64" s="70">
        <v>13795.16</v>
      </c>
      <c r="G64" s="30"/>
      <c r="I64" s="69"/>
      <c r="J64" s="69"/>
    </row>
    <row r="65" spans="1:14" s="70" customFormat="1" ht="12.75" customHeight="1" x14ac:dyDescent="0.2">
      <c r="A65" s="127">
        <v>45135</v>
      </c>
      <c r="B65" s="128" t="s">
        <v>11</v>
      </c>
      <c r="C65" s="10" t="s">
        <v>926</v>
      </c>
      <c r="D65" s="11" t="s">
        <v>29</v>
      </c>
      <c r="E65" s="86"/>
      <c r="F65" s="70">
        <v>525336</v>
      </c>
      <c r="G65" s="30"/>
      <c r="I65" s="69"/>
      <c r="J65" s="69"/>
    </row>
    <row r="66" spans="1:14" s="70" customFormat="1" ht="12.75" customHeight="1" x14ac:dyDescent="0.2">
      <c r="A66" s="127">
        <v>45135</v>
      </c>
      <c r="B66" s="128" t="s">
        <v>11</v>
      </c>
      <c r="C66" s="10" t="s">
        <v>338</v>
      </c>
      <c r="D66" s="11" t="s">
        <v>29</v>
      </c>
      <c r="E66" s="86"/>
      <c r="F66" s="70">
        <v>2593.48</v>
      </c>
      <c r="G66" s="30"/>
      <c r="I66" s="69"/>
      <c r="J66" s="69"/>
    </row>
    <row r="67" spans="1:14" s="70" customFormat="1" ht="12.75" customHeight="1" x14ac:dyDescent="0.2">
      <c r="A67" s="127">
        <v>45135</v>
      </c>
      <c r="B67" s="128" t="s">
        <v>11</v>
      </c>
      <c r="C67" s="10" t="s">
        <v>59</v>
      </c>
      <c r="D67" s="11" t="s">
        <v>29</v>
      </c>
      <c r="E67" s="86"/>
      <c r="F67" s="70">
        <v>4720</v>
      </c>
      <c r="G67" s="30"/>
      <c r="I67" s="69"/>
      <c r="J67" s="69"/>
    </row>
    <row r="68" spans="1:14" s="70" customFormat="1" ht="12.75" customHeight="1" x14ac:dyDescent="0.2">
      <c r="A68" s="127">
        <v>45135</v>
      </c>
      <c r="B68" s="128" t="s">
        <v>11</v>
      </c>
      <c r="C68" s="10" t="s">
        <v>303</v>
      </c>
      <c r="D68" s="11" t="s">
        <v>29</v>
      </c>
      <c r="E68" s="86"/>
      <c r="F68" s="70">
        <v>34085</v>
      </c>
      <c r="G68" s="30"/>
      <c r="I68" s="69"/>
      <c r="J68" s="69"/>
    </row>
    <row r="69" spans="1:14" s="70" customFormat="1" ht="12.75" customHeight="1" x14ac:dyDescent="0.2">
      <c r="A69" s="127">
        <v>45135</v>
      </c>
      <c r="B69" s="128" t="s">
        <v>11</v>
      </c>
      <c r="C69" s="10" t="s">
        <v>885</v>
      </c>
      <c r="D69" s="11" t="s">
        <v>29</v>
      </c>
      <c r="E69" s="86"/>
      <c r="F69" s="70">
        <v>11900</v>
      </c>
      <c r="G69" s="30"/>
      <c r="I69" s="69"/>
      <c r="J69" s="69"/>
    </row>
    <row r="70" spans="1:14" s="70" customFormat="1" ht="12.75" customHeight="1" x14ac:dyDescent="0.2">
      <c r="A70" s="127">
        <v>45135</v>
      </c>
      <c r="B70" s="128" t="s">
        <v>11</v>
      </c>
      <c r="C70" s="10" t="s">
        <v>626</v>
      </c>
      <c r="D70" s="11" t="s">
        <v>29</v>
      </c>
      <c r="E70" s="86"/>
      <c r="F70" s="70">
        <v>1100</v>
      </c>
      <c r="G70" s="30"/>
      <c r="I70" s="69"/>
      <c r="J70" s="69"/>
    </row>
    <row r="71" spans="1:14" s="70" customFormat="1" ht="12.75" customHeight="1" x14ac:dyDescent="0.2">
      <c r="A71" s="127">
        <v>45135</v>
      </c>
      <c r="B71" s="128" t="s">
        <v>11</v>
      </c>
      <c r="C71" s="10" t="s">
        <v>362</v>
      </c>
      <c r="D71" s="11" t="s">
        <v>29</v>
      </c>
      <c r="E71" s="86"/>
      <c r="F71" s="70">
        <v>84803.08</v>
      </c>
      <c r="G71" s="30"/>
      <c r="I71" s="69"/>
      <c r="J71" s="69"/>
    </row>
    <row r="72" spans="1:14" s="70" customFormat="1" ht="12.75" customHeight="1" x14ac:dyDescent="0.2">
      <c r="A72" s="127">
        <v>45135</v>
      </c>
      <c r="B72" s="128" t="s">
        <v>11</v>
      </c>
      <c r="C72" s="10" t="s">
        <v>970</v>
      </c>
      <c r="D72" s="11" t="s">
        <v>29</v>
      </c>
      <c r="E72" s="86"/>
      <c r="F72" s="70">
        <v>40831</v>
      </c>
      <c r="G72" s="30"/>
      <c r="I72" s="69"/>
      <c r="J72" s="69"/>
    </row>
    <row r="73" spans="1:14" s="70" customFormat="1" ht="12.75" customHeight="1" x14ac:dyDescent="0.2">
      <c r="A73" s="127">
        <v>45135</v>
      </c>
      <c r="B73" s="128" t="s">
        <v>11</v>
      </c>
      <c r="C73" s="10" t="s">
        <v>353</v>
      </c>
      <c r="D73" s="11" t="s">
        <v>29</v>
      </c>
      <c r="E73" s="86"/>
      <c r="F73" s="70">
        <v>17700</v>
      </c>
      <c r="G73" s="30"/>
      <c r="I73" s="69"/>
      <c r="J73" s="69"/>
    </row>
    <row r="74" spans="1:14" s="70" customFormat="1" ht="12.75" customHeight="1" x14ac:dyDescent="0.2">
      <c r="A74" s="127">
        <v>45135</v>
      </c>
      <c r="B74" s="128" t="s">
        <v>11</v>
      </c>
      <c r="C74" s="10" t="s">
        <v>54</v>
      </c>
      <c r="D74" s="11" t="s">
        <v>29</v>
      </c>
      <c r="E74" s="86"/>
      <c r="F74" s="70">
        <v>27915</v>
      </c>
      <c r="G74" s="30"/>
      <c r="I74" s="69"/>
      <c r="J74" s="69"/>
    </row>
    <row r="75" spans="1:14" s="70" customFormat="1" ht="12.75" customHeight="1" x14ac:dyDescent="0.2">
      <c r="A75" s="127">
        <v>45135</v>
      </c>
      <c r="B75" s="128" t="s">
        <v>11</v>
      </c>
      <c r="C75" s="10" t="s">
        <v>352</v>
      </c>
      <c r="D75" s="11" t="s">
        <v>29</v>
      </c>
      <c r="E75" s="86"/>
      <c r="F75" s="70">
        <v>28251</v>
      </c>
      <c r="G75" s="30"/>
      <c r="I75" s="69"/>
      <c r="J75" s="69"/>
    </row>
    <row r="76" spans="1:14" s="70" customFormat="1" ht="12.75" customHeight="1" x14ac:dyDescent="0.2">
      <c r="A76" s="127">
        <v>45135</v>
      </c>
      <c r="B76" s="128" t="s">
        <v>11</v>
      </c>
      <c r="C76" s="10" t="s">
        <v>156</v>
      </c>
      <c r="D76" s="11" t="s">
        <v>29</v>
      </c>
      <c r="E76" s="86"/>
      <c r="F76" s="70">
        <v>3512.08</v>
      </c>
      <c r="G76" s="30"/>
      <c r="I76" s="69"/>
      <c r="J76" s="69"/>
    </row>
    <row r="77" spans="1:14" s="2" customFormat="1" ht="12.75" customHeight="1" x14ac:dyDescent="0.2">
      <c r="A77" s="32"/>
      <c r="B77" s="33"/>
      <c r="C77" s="14"/>
      <c r="D77" s="34"/>
      <c r="E77" s="16">
        <f>SUM(E26:E76)</f>
        <v>26868009.77</v>
      </c>
      <c r="F77" s="16">
        <f>SUM(F26:F76)</f>
        <v>318332140.69999987</v>
      </c>
      <c r="G77" s="30"/>
      <c r="H77" s="1"/>
      <c r="I77" s="38">
        <v>291464130.93000001</v>
      </c>
      <c r="J77" s="2" t="s">
        <v>396</v>
      </c>
      <c r="K77" s="92">
        <f>E78-I77</f>
        <v>0</v>
      </c>
      <c r="L77" s="41"/>
      <c r="M77" s="42"/>
    </row>
    <row r="78" spans="1:14" s="2" customFormat="1" ht="12.75" customHeight="1" x14ac:dyDescent="0.2">
      <c r="A78" s="36"/>
      <c r="B78" s="28" t="s">
        <v>11</v>
      </c>
      <c r="C78" s="19" t="s">
        <v>65</v>
      </c>
      <c r="D78" s="37"/>
      <c r="E78" s="38">
        <f>F77-E77</f>
        <v>291464130.92999989</v>
      </c>
      <c r="F78" s="22"/>
      <c r="G78" s="1"/>
      <c r="H78" s="1"/>
      <c r="J78" s="1"/>
      <c r="K78" s="1"/>
      <c r="L78" s="1"/>
      <c r="M78" s="1"/>
    </row>
    <row r="79" spans="1:14" s="2" customFormat="1" ht="12.75" customHeight="1" x14ac:dyDescent="0.2">
      <c r="A79" s="36"/>
      <c r="B79" s="28" t="s">
        <v>66</v>
      </c>
      <c r="C79" s="43" t="s">
        <v>67</v>
      </c>
      <c r="D79" s="43"/>
      <c r="E79" s="12">
        <f>59416310-26000000</f>
        <v>33416310</v>
      </c>
      <c r="F79" s="22"/>
      <c r="G79" s="1"/>
      <c r="H79" s="40"/>
      <c r="I79" s="45">
        <v>4321.74</v>
      </c>
      <c r="J79" s="46"/>
      <c r="K79" s="46"/>
      <c r="L79" s="13"/>
      <c r="M79" s="69" t="s">
        <v>396</v>
      </c>
    </row>
    <row r="80" spans="1:14" s="2" customFormat="1" ht="12.75" customHeight="1" x14ac:dyDescent="0.25">
      <c r="A80" s="36"/>
      <c r="B80" s="28"/>
      <c r="C80" s="44" t="s">
        <v>68</v>
      </c>
      <c r="D80" s="43"/>
      <c r="E80" s="7">
        <f>E78+E79</f>
        <v>324880440.92999989</v>
      </c>
      <c r="F80" s="22"/>
      <c r="G80" s="1"/>
      <c r="H80" s="103" t="s">
        <v>69</v>
      </c>
      <c r="I80" s="45">
        <v>-42.43</v>
      </c>
      <c r="J80" s="46"/>
      <c r="K80" s="46"/>
      <c r="N80" s="1"/>
    </row>
    <row r="81" spans="1:14" s="2" customFormat="1" x14ac:dyDescent="0.2">
      <c r="A81" s="24"/>
      <c r="B81" s="1"/>
      <c r="C81" s="14"/>
      <c r="D81" s="25"/>
      <c r="E81" s="1"/>
      <c r="H81" s="35" t="s">
        <v>70</v>
      </c>
      <c r="I81" s="45">
        <v>0.19</v>
      </c>
      <c r="J81" s="46">
        <f>+I82-D84</f>
        <v>0</v>
      </c>
      <c r="M81" s="2" t="s">
        <v>396</v>
      </c>
      <c r="N81" s="1"/>
    </row>
    <row r="82" spans="1:14" x14ac:dyDescent="0.2">
      <c r="C82" s="56"/>
      <c r="D82" s="56"/>
      <c r="E82" s="104"/>
      <c r="I82" s="49">
        <f>SUM(I79:I81)</f>
        <v>4279.4999999999991</v>
      </c>
      <c r="J82" s="46"/>
      <c r="K82" s="46"/>
      <c r="L82" s="2"/>
      <c r="M82" s="2"/>
      <c r="N82" s="2"/>
    </row>
    <row r="83" spans="1:14" x14ac:dyDescent="0.2">
      <c r="C83" s="78" t="s">
        <v>575</v>
      </c>
      <c r="D83" s="48" t="s">
        <v>576</v>
      </c>
      <c r="E83" s="104"/>
      <c r="I83" s="2"/>
      <c r="J83" s="2"/>
      <c r="K83" s="2"/>
      <c r="L83" s="2"/>
      <c r="M83" s="2"/>
      <c r="N83" s="2"/>
    </row>
    <row r="84" spans="1:14" s="2" customFormat="1" x14ac:dyDescent="0.2">
      <c r="A84" s="24"/>
      <c r="B84" s="1"/>
      <c r="C84" s="47" t="s">
        <v>570</v>
      </c>
      <c r="D84" s="111">
        <v>4279.5</v>
      </c>
      <c r="E84" s="104"/>
      <c r="G84" s="1"/>
      <c r="H84" s="110" t="s">
        <v>581</v>
      </c>
      <c r="N84" s="2" t="s">
        <v>535</v>
      </c>
    </row>
    <row r="85" spans="1:14" s="2" customFormat="1" x14ac:dyDescent="0.2">
      <c r="A85" s="24"/>
      <c r="B85" s="1"/>
      <c r="C85" s="47" t="s">
        <v>931</v>
      </c>
      <c r="D85" s="111">
        <v>385.56</v>
      </c>
      <c r="E85" s="104"/>
      <c r="G85" s="1"/>
      <c r="H85" s="110" t="s">
        <v>580</v>
      </c>
    </row>
    <row r="86" spans="1:14" s="2" customFormat="1" x14ac:dyDescent="0.2">
      <c r="A86" s="24"/>
      <c r="B86" s="1"/>
      <c r="C86" s="47" t="s">
        <v>572</v>
      </c>
      <c r="D86" s="111">
        <f>+D159/100000</f>
        <v>785.84980919999998</v>
      </c>
      <c r="E86" s="104"/>
      <c r="G86" s="1"/>
      <c r="H86" s="90" t="s">
        <v>587</v>
      </c>
    </row>
    <row r="87" spans="1:14" s="2" customFormat="1" x14ac:dyDescent="0.2">
      <c r="A87" s="24"/>
      <c r="B87" s="1"/>
      <c r="C87" s="108" t="s">
        <v>578</v>
      </c>
      <c r="D87" s="48">
        <f>SUM(D84:D86)</f>
        <v>5450.9098092000004</v>
      </c>
      <c r="E87" s="104"/>
      <c r="G87" s="1"/>
    </row>
    <row r="88" spans="1:14" s="2" customFormat="1" x14ac:dyDescent="0.2">
      <c r="A88" s="24"/>
      <c r="B88" s="1"/>
      <c r="C88" s="47"/>
      <c r="D88" s="107"/>
      <c r="E88" s="104"/>
      <c r="G88" s="1"/>
    </row>
    <row r="89" spans="1:14" s="2" customFormat="1" x14ac:dyDescent="0.2">
      <c r="A89" s="24"/>
      <c r="B89" s="1"/>
      <c r="C89" s="47" t="s">
        <v>932</v>
      </c>
      <c r="D89" s="111">
        <v>314.02999999999997</v>
      </c>
      <c r="E89" s="104"/>
      <c r="G89" s="1"/>
      <c r="H89" s="110" t="s">
        <v>581</v>
      </c>
    </row>
    <row r="90" spans="1:14" s="2" customFormat="1" x14ac:dyDescent="0.2">
      <c r="A90" s="24"/>
      <c r="B90" s="1"/>
      <c r="C90" s="136" t="s">
        <v>1142</v>
      </c>
      <c r="D90" s="111">
        <f>379.07-55.45</f>
        <v>323.62</v>
      </c>
      <c r="E90" s="104"/>
      <c r="G90" s="1"/>
      <c r="H90" s="110" t="s">
        <v>581</v>
      </c>
      <c r="J90" s="114" t="s">
        <v>713</v>
      </c>
    </row>
    <row r="91" spans="1:14" s="2" customFormat="1" x14ac:dyDescent="0.2">
      <c r="A91" s="24"/>
      <c r="B91" s="1"/>
      <c r="C91" s="78" t="s">
        <v>579</v>
      </c>
      <c r="D91" s="109">
        <f>D89+D90</f>
        <v>637.65</v>
      </c>
      <c r="E91" s="104"/>
      <c r="G91" s="1"/>
      <c r="I91" s="113"/>
      <c r="J91" s="113" t="s">
        <v>709</v>
      </c>
      <c r="K91" s="113" t="s">
        <v>710</v>
      </c>
      <c r="L91" s="113" t="s">
        <v>711</v>
      </c>
      <c r="M91" s="113" t="s">
        <v>712</v>
      </c>
    </row>
    <row r="92" spans="1:14" s="2" customFormat="1" x14ac:dyDescent="0.2">
      <c r="A92" s="24"/>
      <c r="B92" s="1"/>
      <c r="C92" s="105"/>
      <c r="D92" s="106"/>
      <c r="E92" s="104"/>
      <c r="G92" s="1"/>
      <c r="I92" s="113" t="s">
        <v>706</v>
      </c>
      <c r="J92" s="115"/>
      <c r="K92" s="115">
        <v>968.99</v>
      </c>
      <c r="L92" s="115">
        <v>968.99</v>
      </c>
      <c r="M92" s="113">
        <f>+J92+L92-K92</f>
        <v>0</v>
      </c>
    </row>
    <row r="93" spans="1:14" s="2" customFormat="1" x14ac:dyDescent="0.2">
      <c r="A93" s="24"/>
      <c r="B93" s="1"/>
      <c r="C93" s="78" t="s">
        <v>577</v>
      </c>
      <c r="D93" s="109">
        <f>D84+D91</f>
        <v>4917.1499999999996</v>
      </c>
      <c r="E93" s="104"/>
      <c r="G93" s="1"/>
      <c r="I93" s="113" t="s">
        <v>707</v>
      </c>
      <c r="J93" s="115">
        <v>183.1</v>
      </c>
      <c r="K93" s="115">
        <v>2871.83</v>
      </c>
      <c r="L93" s="115">
        <v>3551.14</v>
      </c>
      <c r="M93" s="113">
        <f>+J93+L93-K93</f>
        <v>862.40999999999985</v>
      </c>
    </row>
    <row r="94" spans="1:14" s="2" customFormat="1" x14ac:dyDescent="0.2">
      <c r="A94" s="24"/>
      <c r="B94" s="1"/>
      <c r="C94" s="56"/>
      <c r="D94" s="56"/>
      <c r="E94" s="104"/>
      <c r="G94" s="1"/>
      <c r="I94" s="113" t="s">
        <v>708</v>
      </c>
      <c r="J94" s="115">
        <v>1371.02</v>
      </c>
      <c r="K94" s="115">
        <v>13160.31</v>
      </c>
      <c r="L94" s="115">
        <v>12783.52</v>
      </c>
      <c r="M94" s="113">
        <f>+J94+L94-K94</f>
        <v>994.23000000000138</v>
      </c>
    </row>
    <row r="95" spans="1:14" s="2" customFormat="1" ht="38.25" x14ac:dyDescent="0.2">
      <c r="A95" s="24"/>
      <c r="B95" s="1"/>
      <c r="C95" s="79" t="str">
        <f>"Particulars ( 01-04-2021 to "&amp;TEXT(A5,"dd-mm-yyyy")&amp;" )"</f>
        <v>Particulars ( 01-04-2021 to 28-07-2023 )</v>
      </c>
      <c r="D95" s="80" t="s">
        <v>73</v>
      </c>
      <c r="E95" s="80" t="s">
        <v>74</v>
      </c>
      <c r="F95" s="81" t="s">
        <v>75</v>
      </c>
      <c r="G95" s="80" t="s">
        <v>76</v>
      </c>
      <c r="J95" s="118">
        <f>SUM(J92:J94)</f>
        <v>1554.12</v>
      </c>
      <c r="K95" s="118">
        <f>SUM(K92:K94)</f>
        <v>17001.129999999997</v>
      </c>
      <c r="L95" s="118">
        <f>SUM(L92:L94)</f>
        <v>17303.650000000001</v>
      </c>
      <c r="M95" s="118">
        <f>SUM(M92:M94)</f>
        <v>1856.6400000000012</v>
      </c>
    </row>
    <row r="96" spans="1:14" s="2" customFormat="1" x14ac:dyDescent="0.2">
      <c r="A96" s="24"/>
      <c r="B96" s="1"/>
      <c r="C96" s="50" t="s">
        <v>444</v>
      </c>
      <c r="D96" s="55">
        <f>+L92+L93+J93</f>
        <v>4703.2300000000005</v>
      </c>
      <c r="E96" s="55">
        <f>+K92+K93</f>
        <v>3840.8199999999997</v>
      </c>
      <c r="F96" s="55">
        <f>+D96-E96</f>
        <v>862.41000000000076</v>
      </c>
      <c r="G96" s="55">
        <f>1500-F96</f>
        <v>637.58999999999924</v>
      </c>
      <c r="H96" s="2" t="s">
        <v>396</v>
      </c>
    </row>
    <row r="97" spans="1:13" s="2" customFormat="1" x14ac:dyDescent="0.2">
      <c r="A97" s="24"/>
      <c r="B97" s="1"/>
      <c r="C97" s="50" t="s">
        <v>71</v>
      </c>
      <c r="D97" s="55">
        <f>+J94+L94</f>
        <v>14154.54</v>
      </c>
      <c r="E97" s="55">
        <f>+K94</f>
        <v>13160.31</v>
      </c>
      <c r="F97" s="55">
        <f>+D97-E97</f>
        <v>994.23000000000138</v>
      </c>
      <c r="G97" s="55">
        <f>1500+700-F97</f>
        <v>1205.7699999999986</v>
      </c>
      <c r="H97" s="2" t="s">
        <v>396</v>
      </c>
    </row>
    <row r="98" spans="1:13" s="2" customFormat="1" x14ac:dyDescent="0.2">
      <c r="A98" s="24"/>
      <c r="B98" s="1"/>
      <c r="C98" s="14"/>
      <c r="D98" s="56"/>
      <c r="E98" s="13"/>
      <c r="G98" s="1"/>
    </row>
    <row r="99" spans="1:13" s="2" customFormat="1" x14ac:dyDescent="0.2">
      <c r="A99" s="215" t="s">
        <v>80</v>
      </c>
      <c r="B99" s="216"/>
      <c r="C99" s="216"/>
      <c r="D99" s="217"/>
      <c r="E99" s="69"/>
      <c r="F99" s="70"/>
      <c r="G99" s="1"/>
      <c r="H99" s="53"/>
    </row>
    <row r="100" spans="1:13" s="2" customFormat="1" x14ac:dyDescent="0.2">
      <c r="A100" s="71" t="s">
        <v>81</v>
      </c>
      <c r="B100" s="71"/>
      <c r="C100" s="72" t="s">
        <v>82</v>
      </c>
      <c r="D100" s="73" t="s">
        <v>83</v>
      </c>
      <c r="E100" s="69"/>
      <c r="F100" s="70"/>
      <c r="H100" s="53"/>
    </row>
    <row r="101" spans="1:13" s="2" customFormat="1" x14ac:dyDescent="0.2">
      <c r="A101" s="87">
        <v>45108</v>
      </c>
      <c r="B101" s="120" t="s">
        <v>1052</v>
      </c>
      <c r="C101" s="75" t="s">
        <v>84</v>
      </c>
      <c r="D101" s="88">
        <v>3000000</v>
      </c>
      <c r="G101" s="1"/>
      <c r="L101" s="1"/>
      <c r="M101" s="1"/>
    </row>
    <row r="102" spans="1:13" s="2" customFormat="1" x14ac:dyDescent="0.2">
      <c r="A102" s="87">
        <v>45108</v>
      </c>
      <c r="B102" s="120" t="s">
        <v>1052</v>
      </c>
      <c r="C102" s="75" t="s">
        <v>271</v>
      </c>
      <c r="D102" s="88">
        <v>2323148</v>
      </c>
      <c r="G102" s="1"/>
      <c r="L102" s="1"/>
      <c r="M102" s="1"/>
    </row>
    <row r="103" spans="1:13" s="2" customFormat="1" x14ac:dyDescent="0.2">
      <c r="A103" s="87">
        <v>45110</v>
      </c>
      <c r="B103" s="120" t="s">
        <v>1052</v>
      </c>
      <c r="C103" s="75" t="s">
        <v>85</v>
      </c>
      <c r="D103" s="88">
        <v>732575</v>
      </c>
      <c r="G103" s="1"/>
      <c r="L103" s="1"/>
      <c r="M103" s="1"/>
    </row>
    <row r="104" spans="1:13" s="2" customFormat="1" x14ac:dyDescent="0.2">
      <c r="A104" s="87">
        <v>45110</v>
      </c>
      <c r="B104" s="120" t="s">
        <v>1052</v>
      </c>
      <c r="C104" s="75" t="s">
        <v>86</v>
      </c>
      <c r="D104" s="88">
        <v>2676974</v>
      </c>
      <c r="G104" s="1"/>
      <c r="L104" s="1"/>
      <c r="M104" s="1"/>
    </row>
    <row r="105" spans="1:13" s="2" customFormat="1" x14ac:dyDescent="0.2">
      <c r="A105" s="87">
        <v>45110</v>
      </c>
      <c r="B105" s="120" t="s">
        <v>1052</v>
      </c>
      <c r="C105" s="75" t="s">
        <v>86</v>
      </c>
      <c r="D105" s="88">
        <f>1043475+13957</f>
        <v>1057432</v>
      </c>
      <c r="G105" s="1"/>
      <c r="L105" s="1"/>
      <c r="M105" s="1"/>
    </row>
    <row r="106" spans="1:13" s="2" customFormat="1" x14ac:dyDescent="0.2">
      <c r="A106" s="87">
        <v>45111</v>
      </c>
      <c r="B106" s="120" t="s">
        <v>1052</v>
      </c>
      <c r="C106" s="75" t="s">
        <v>270</v>
      </c>
      <c r="D106" s="88">
        <v>106093</v>
      </c>
      <c r="G106" s="1"/>
      <c r="L106" s="1"/>
      <c r="M106" s="1"/>
    </row>
    <row r="107" spans="1:13" s="2" customFormat="1" x14ac:dyDescent="0.2">
      <c r="A107" s="87">
        <v>45111</v>
      </c>
      <c r="B107" s="120" t="s">
        <v>1052</v>
      </c>
      <c r="C107" s="75" t="s">
        <v>270</v>
      </c>
      <c r="D107" s="88">
        <v>102393</v>
      </c>
      <c r="G107" s="1"/>
      <c r="L107" s="1"/>
      <c r="M107" s="1"/>
    </row>
    <row r="108" spans="1:13" s="2" customFormat="1" x14ac:dyDescent="0.2">
      <c r="A108" s="87">
        <v>45111</v>
      </c>
      <c r="B108" s="120" t="s">
        <v>1052</v>
      </c>
      <c r="C108" s="75" t="s">
        <v>270</v>
      </c>
      <c r="D108" s="88">
        <v>716336</v>
      </c>
      <c r="G108" s="1"/>
      <c r="L108" s="1"/>
      <c r="M108" s="1"/>
    </row>
    <row r="109" spans="1:13" s="2" customFormat="1" x14ac:dyDescent="0.2">
      <c r="A109" s="87">
        <v>45111</v>
      </c>
      <c r="B109" s="120" t="s">
        <v>1052</v>
      </c>
      <c r="C109" s="75" t="s">
        <v>270</v>
      </c>
      <c r="D109" s="88">
        <v>2504631</v>
      </c>
      <c r="G109" s="1"/>
      <c r="L109" s="1"/>
      <c r="M109" s="1"/>
    </row>
    <row r="110" spans="1:13" s="2" customFormat="1" x14ac:dyDescent="0.2">
      <c r="A110" s="87">
        <v>45111</v>
      </c>
      <c r="B110" s="120" t="s">
        <v>1052</v>
      </c>
      <c r="C110" s="75" t="s">
        <v>270</v>
      </c>
      <c r="D110" s="88">
        <v>141433.92000000001</v>
      </c>
      <c r="G110" s="1"/>
      <c r="L110" s="1"/>
      <c r="M110" s="1"/>
    </row>
    <row r="111" spans="1:13" s="2" customFormat="1" x14ac:dyDescent="0.2">
      <c r="A111" s="87">
        <v>45111</v>
      </c>
      <c r="B111" s="120" t="s">
        <v>1052</v>
      </c>
      <c r="C111" s="75" t="s">
        <v>271</v>
      </c>
      <c r="D111" s="88">
        <v>485258</v>
      </c>
      <c r="G111" s="1"/>
      <c r="L111" s="1"/>
      <c r="M111" s="1"/>
    </row>
    <row r="112" spans="1:13" s="2" customFormat="1" x14ac:dyDescent="0.2">
      <c r="A112" s="87">
        <v>45112</v>
      </c>
      <c r="B112" s="120" t="s">
        <v>1052</v>
      </c>
      <c r="C112" s="75" t="s">
        <v>85</v>
      </c>
      <c r="D112" s="88">
        <v>216478</v>
      </c>
      <c r="G112" s="1"/>
      <c r="L112" s="1"/>
      <c r="M112" s="1"/>
    </row>
    <row r="113" spans="1:13" s="2" customFormat="1" x14ac:dyDescent="0.2">
      <c r="A113" s="87">
        <v>45114</v>
      </c>
      <c r="B113" s="120" t="s">
        <v>1052</v>
      </c>
      <c r="C113" s="75" t="s">
        <v>270</v>
      </c>
      <c r="D113" s="88">
        <v>886333</v>
      </c>
      <c r="G113" s="1"/>
      <c r="L113" s="1"/>
      <c r="M113" s="1"/>
    </row>
    <row r="114" spans="1:13" s="2" customFormat="1" x14ac:dyDescent="0.2">
      <c r="A114" s="87">
        <v>45114</v>
      </c>
      <c r="B114" s="120" t="s">
        <v>1052</v>
      </c>
      <c r="C114" s="75" t="s">
        <v>270</v>
      </c>
      <c r="D114" s="88">
        <v>3119806</v>
      </c>
      <c r="G114" s="1"/>
      <c r="L114" s="1"/>
      <c r="M114" s="1"/>
    </row>
    <row r="115" spans="1:13" s="2" customFormat="1" x14ac:dyDescent="0.2">
      <c r="A115" s="87">
        <v>45114</v>
      </c>
      <c r="B115" s="120" t="s">
        <v>1052</v>
      </c>
      <c r="C115" s="75" t="s">
        <v>271</v>
      </c>
      <c r="D115" s="88">
        <v>151160</v>
      </c>
      <c r="G115" s="1"/>
      <c r="L115" s="1"/>
      <c r="M115" s="1"/>
    </row>
    <row r="116" spans="1:13" s="2" customFormat="1" x14ac:dyDescent="0.2">
      <c r="A116" s="87">
        <v>45114</v>
      </c>
      <c r="B116" s="120" t="s">
        <v>1052</v>
      </c>
      <c r="C116" s="75" t="s">
        <v>271</v>
      </c>
      <c r="D116" s="88">
        <v>285195</v>
      </c>
      <c r="G116" s="1"/>
      <c r="L116" s="1"/>
      <c r="M116" s="1"/>
    </row>
    <row r="117" spans="1:13" s="2" customFormat="1" x14ac:dyDescent="0.2">
      <c r="A117" s="87">
        <v>45114</v>
      </c>
      <c r="B117" s="120" t="s">
        <v>1052</v>
      </c>
      <c r="C117" s="75" t="s">
        <v>201</v>
      </c>
      <c r="D117" s="88">
        <v>128135</v>
      </c>
      <c r="G117" s="1"/>
      <c r="L117" s="1"/>
      <c r="M117" s="1"/>
    </row>
    <row r="118" spans="1:13" s="2" customFormat="1" x14ac:dyDescent="0.2">
      <c r="A118" s="87">
        <v>45114</v>
      </c>
      <c r="B118" s="120" t="s">
        <v>1052</v>
      </c>
      <c r="C118" s="75" t="s">
        <v>323</v>
      </c>
      <c r="D118" s="88">
        <v>2313089</v>
      </c>
      <c r="G118" s="1"/>
      <c r="L118" s="1"/>
      <c r="M118" s="1"/>
    </row>
    <row r="119" spans="1:13" s="2" customFormat="1" x14ac:dyDescent="0.2">
      <c r="A119" s="87">
        <v>45115</v>
      </c>
      <c r="B119" s="120" t="s">
        <v>1052</v>
      </c>
      <c r="C119" s="75" t="s">
        <v>767</v>
      </c>
      <c r="D119" s="88">
        <v>411035</v>
      </c>
      <c r="G119" s="1"/>
      <c r="L119" s="1"/>
      <c r="M119" s="1"/>
    </row>
    <row r="120" spans="1:13" s="2" customFormat="1" x14ac:dyDescent="0.2">
      <c r="A120" s="87">
        <v>45118</v>
      </c>
      <c r="B120" s="120" t="s">
        <v>1052</v>
      </c>
      <c r="C120" s="75" t="s">
        <v>270</v>
      </c>
      <c r="D120" s="88">
        <v>34696</v>
      </c>
      <c r="G120" s="1"/>
      <c r="L120" s="1"/>
      <c r="M120" s="1"/>
    </row>
    <row r="121" spans="1:13" s="2" customFormat="1" x14ac:dyDescent="0.2">
      <c r="A121" s="87">
        <v>45118</v>
      </c>
      <c r="B121" s="120" t="s">
        <v>1052</v>
      </c>
      <c r="C121" s="75" t="s">
        <v>270</v>
      </c>
      <c r="D121" s="88">
        <v>1128922</v>
      </c>
      <c r="G121" s="1"/>
      <c r="L121" s="1"/>
      <c r="M121" s="1"/>
    </row>
    <row r="122" spans="1:13" s="2" customFormat="1" x14ac:dyDescent="0.2">
      <c r="A122" s="87">
        <v>45118</v>
      </c>
      <c r="B122" s="120" t="s">
        <v>1052</v>
      </c>
      <c r="C122" s="75" t="s">
        <v>270</v>
      </c>
      <c r="D122" s="88">
        <v>2865343</v>
      </c>
      <c r="G122" s="1"/>
      <c r="L122" s="1"/>
      <c r="M122" s="1"/>
    </row>
    <row r="123" spans="1:13" s="2" customFormat="1" x14ac:dyDescent="0.2">
      <c r="A123" s="87">
        <v>45118</v>
      </c>
      <c r="B123" s="120" t="s">
        <v>1052</v>
      </c>
      <c r="C123" s="75" t="s">
        <v>270</v>
      </c>
      <c r="D123" s="88">
        <v>1090852</v>
      </c>
      <c r="G123" s="1"/>
      <c r="L123" s="1"/>
      <c r="M123" s="1"/>
    </row>
    <row r="124" spans="1:13" s="2" customFormat="1" x14ac:dyDescent="0.2">
      <c r="A124" s="87">
        <v>45118</v>
      </c>
      <c r="B124" s="120" t="s">
        <v>1052</v>
      </c>
      <c r="C124" s="75" t="s">
        <v>270</v>
      </c>
      <c r="D124" s="88">
        <v>359348</v>
      </c>
      <c r="G124" s="1"/>
      <c r="L124" s="1"/>
      <c r="M124" s="1"/>
    </row>
    <row r="125" spans="1:13" s="2" customFormat="1" x14ac:dyDescent="0.2">
      <c r="A125" s="87">
        <v>45118</v>
      </c>
      <c r="B125" s="120" t="s">
        <v>1052</v>
      </c>
      <c r="C125" s="75" t="s">
        <v>271</v>
      </c>
      <c r="D125" s="88">
        <v>323487</v>
      </c>
      <c r="G125" s="1"/>
      <c r="L125" s="1"/>
      <c r="M125" s="1"/>
    </row>
    <row r="126" spans="1:13" s="2" customFormat="1" x14ac:dyDescent="0.2">
      <c r="A126" s="87">
        <v>45118</v>
      </c>
      <c r="B126" s="120" t="s">
        <v>1052</v>
      </c>
      <c r="C126" s="75" t="s">
        <v>271</v>
      </c>
      <c r="D126" s="88">
        <v>44394</v>
      </c>
      <c r="G126" s="1"/>
      <c r="L126" s="1"/>
      <c r="M126" s="1"/>
    </row>
    <row r="127" spans="1:13" s="2" customFormat="1" x14ac:dyDescent="0.2">
      <c r="A127" s="87">
        <v>45118</v>
      </c>
      <c r="B127" s="120" t="s">
        <v>1052</v>
      </c>
      <c r="C127" s="75" t="s">
        <v>271</v>
      </c>
      <c r="D127" s="88">
        <v>2035052</v>
      </c>
      <c r="G127" s="1"/>
      <c r="L127" s="1"/>
      <c r="M127" s="1"/>
    </row>
    <row r="128" spans="1:13" s="2" customFormat="1" x14ac:dyDescent="0.2">
      <c r="A128" s="87">
        <v>45119</v>
      </c>
      <c r="B128" s="120" t="s">
        <v>1052</v>
      </c>
      <c r="C128" s="75" t="s">
        <v>85</v>
      </c>
      <c r="D128" s="88">
        <v>569516</v>
      </c>
      <c r="G128" s="1"/>
      <c r="L128" s="1"/>
      <c r="M128" s="1"/>
    </row>
    <row r="129" spans="1:13" s="2" customFormat="1" x14ac:dyDescent="0.2">
      <c r="A129" s="87">
        <v>45119</v>
      </c>
      <c r="B129" s="120" t="s">
        <v>1052</v>
      </c>
      <c r="C129" s="75" t="s">
        <v>271</v>
      </c>
      <c r="D129" s="88">
        <v>3074492</v>
      </c>
      <c r="G129" s="1"/>
      <c r="L129" s="1"/>
      <c r="M129" s="1"/>
    </row>
    <row r="130" spans="1:13" s="2" customFormat="1" x14ac:dyDescent="0.2">
      <c r="A130" s="87">
        <v>45119</v>
      </c>
      <c r="B130" s="120" t="s">
        <v>1052</v>
      </c>
      <c r="C130" s="75" t="s">
        <v>270</v>
      </c>
      <c r="D130" s="88">
        <v>1556273</v>
      </c>
      <c r="G130" s="1"/>
      <c r="L130" s="1"/>
      <c r="M130" s="1"/>
    </row>
    <row r="131" spans="1:13" s="2" customFormat="1" x14ac:dyDescent="0.2">
      <c r="A131" s="87">
        <v>45119</v>
      </c>
      <c r="B131" s="120" t="s">
        <v>1052</v>
      </c>
      <c r="C131" s="75" t="s">
        <v>84</v>
      </c>
      <c r="D131" s="88">
        <v>2500000</v>
      </c>
      <c r="G131" s="1"/>
      <c r="L131" s="1"/>
      <c r="M131" s="1"/>
    </row>
    <row r="132" spans="1:13" s="2" customFormat="1" x14ac:dyDescent="0.2">
      <c r="A132" s="87">
        <v>45121</v>
      </c>
      <c r="B132" s="120" t="s">
        <v>1052</v>
      </c>
      <c r="C132" s="75" t="s">
        <v>1084</v>
      </c>
      <c r="D132" s="88">
        <v>5000000</v>
      </c>
      <c r="G132" s="1"/>
      <c r="L132" s="1"/>
      <c r="M132" s="1"/>
    </row>
    <row r="133" spans="1:13" s="2" customFormat="1" x14ac:dyDescent="0.2">
      <c r="A133" s="87">
        <v>45122</v>
      </c>
      <c r="B133" s="120" t="s">
        <v>1052</v>
      </c>
      <c r="C133" s="75" t="s">
        <v>270</v>
      </c>
      <c r="D133" s="88">
        <v>893235</v>
      </c>
      <c r="G133" s="1"/>
      <c r="L133" s="1"/>
      <c r="M133" s="1"/>
    </row>
    <row r="134" spans="1:13" s="2" customFormat="1" x14ac:dyDescent="0.2">
      <c r="A134" s="87">
        <v>45124</v>
      </c>
      <c r="B134" s="120" t="s">
        <v>1052</v>
      </c>
      <c r="C134" s="75" t="s">
        <v>1084</v>
      </c>
      <c r="D134" s="88">
        <v>4000000</v>
      </c>
      <c r="G134" s="1"/>
      <c r="L134" s="1"/>
      <c r="M134" s="1"/>
    </row>
    <row r="135" spans="1:13" s="2" customFormat="1" x14ac:dyDescent="0.2">
      <c r="A135" s="87">
        <v>45125</v>
      </c>
      <c r="B135" s="120" t="s">
        <v>1052</v>
      </c>
      <c r="C135" s="75" t="s">
        <v>85</v>
      </c>
      <c r="D135" s="88">
        <v>209650</v>
      </c>
      <c r="G135" s="1"/>
      <c r="L135" s="1"/>
      <c r="M135" s="1"/>
    </row>
    <row r="136" spans="1:13" s="2" customFormat="1" x14ac:dyDescent="0.2">
      <c r="A136" s="87">
        <v>45125</v>
      </c>
      <c r="B136" s="120" t="s">
        <v>1052</v>
      </c>
      <c r="C136" s="75" t="s">
        <v>270</v>
      </c>
      <c r="D136" s="88">
        <v>891686</v>
      </c>
      <c r="G136" s="1"/>
      <c r="L136" s="1"/>
      <c r="M136" s="1"/>
    </row>
    <row r="137" spans="1:13" s="2" customFormat="1" x14ac:dyDescent="0.2">
      <c r="A137" s="87">
        <v>45125</v>
      </c>
      <c r="B137" s="120" t="s">
        <v>1052</v>
      </c>
      <c r="C137" s="75" t="s">
        <v>85</v>
      </c>
      <c r="D137" s="88">
        <v>75953</v>
      </c>
      <c r="G137" s="1"/>
      <c r="L137" s="1"/>
      <c r="M137" s="1"/>
    </row>
    <row r="138" spans="1:13" s="2" customFormat="1" x14ac:dyDescent="0.2">
      <c r="A138" s="87">
        <v>45125</v>
      </c>
      <c r="B138" s="120" t="s">
        <v>1052</v>
      </c>
      <c r="C138" s="75" t="s">
        <v>767</v>
      </c>
      <c r="D138" s="88">
        <v>691994</v>
      </c>
      <c r="G138" s="1"/>
      <c r="L138" s="1"/>
      <c r="M138" s="1"/>
    </row>
    <row r="139" spans="1:13" s="2" customFormat="1" x14ac:dyDescent="0.2">
      <c r="A139" s="87">
        <v>45126</v>
      </c>
      <c r="B139" s="120" t="s">
        <v>1052</v>
      </c>
      <c r="C139" s="75" t="s">
        <v>271</v>
      </c>
      <c r="D139" s="88">
        <v>415838</v>
      </c>
      <c r="G139" s="1"/>
      <c r="L139" s="1"/>
      <c r="M139" s="1"/>
    </row>
    <row r="140" spans="1:13" s="2" customFormat="1" x14ac:dyDescent="0.2">
      <c r="A140" s="87">
        <v>45127</v>
      </c>
      <c r="B140" s="120" t="s">
        <v>1052</v>
      </c>
      <c r="C140" s="75" t="s">
        <v>606</v>
      </c>
      <c r="D140" s="88">
        <v>564973</v>
      </c>
      <c r="G140" s="1"/>
      <c r="L140" s="1"/>
      <c r="M140" s="1"/>
    </row>
    <row r="141" spans="1:13" s="2" customFormat="1" x14ac:dyDescent="0.2">
      <c r="A141" s="87">
        <v>45127</v>
      </c>
      <c r="B141" s="120" t="s">
        <v>1052</v>
      </c>
      <c r="C141" s="75" t="s">
        <v>84</v>
      </c>
      <c r="D141" s="88">
        <v>2000000</v>
      </c>
      <c r="G141" s="1"/>
      <c r="L141" s="1"/>
      <c r="M141" s="1"/>
    </row>
    <row r="142" spans="1:13" s="2" customFormat="1" x14ac:dyDescent="0.2">
      <c r="A142" s="87">
        <v>45127</v>
      </c>
      <c r="B142" s="120" t="s">
        <v>1052</v>
      </c>
      <c r="C142" s="75" t="s">
        <v>86</v>
      </c>
      <c r="D142" s="88">
        <v>906281</v>
      </c>
      <c r="G142" s="1"/>
      <c r="L142" s="1"/>
      <c r="M142" s="1"/>
    </row>
    <row r="143" spans="1:13" s="2" customFormat="1" x14ac:dyDescent="0.2">
      <c r="A143" s="87">
        <v>45127</v>
      </c>
      <c r="B143" s="120" t="s">
        <v>1052</v>
      </c>
      <c r="C143" s="75" t="s">
        <v>86</v>
      </c>
      <c r="D143" s="88">
        <v>12614</v>
      </c>
      <c r="G143" s="1"/>
      <c r="L143" s="1"/>
      <c r="M143" s="1"/>
    </row>
    <row r="144" spans="1:13" s="2" customFormat="1" x14ac:dyDescent="0.2">
      <c r="A144" s="87">
        <v>45127</v>
      </c>
      <c r="B144" s="120" t="s">
        <v>1052</v>
      </c>
      <c r="C144" s="75" t="s">
        <v>88</v>
      </c>
      <c r="D144" s="88">
        <v>903686</v>
      </c>
      <c r="G144" s="1"/>
      <c r="L144" s="1"/>
      <c r="M144" s="1"/>
    </row>
    <row r="145" spans="1:13" s="2" customFormat="1" x14ac:dyDescent="0.2">
      <c r="A145" s="87">
        <v>45127</v>
      </c>
      <c r="B145" s="120" t="s">
        <v>1052</v>
      </c>
      <c r="C145" s="75" t="s">
        <v>86</v>
      </c>
      <c r="D145" s="88">
        <v>2526490</v>
      </c>
      <c r="G145" s="1"/>
      <c r="L145" s="1"/>
      <c r="M145" s="1"/>
    </row>
    <row r="146" spans="1:13" s="2" customFormat="1" x14ac:dyDescent="0.2">
      <c r="A146" s="87">
        <v>45127</v>
      </c>
      <c r="B146" s="120" t="s">
        <v>1052</v>
      </c>
      <c r="C146" s="75" t="s">
        <v>201</v>
      </c>
      <c r="D146" s="88">
        <v>4999894</v>
      </c>
      <c r="G146" s="1"/>
      <c r="L146" s="1"/>
      <c r="M146" s="1"/>
    </row>
    <row r="147" spans="1:13" s="2" customFormat="1" x14ac:dyDescent="0.2">
      <c r="A147" s="87">
        <v>45128</v>
      </c>
      <c r="B147" s="120" t="s">
        <v>1052</v>
      </c>
      <c r="C147" s="75" t="s">
        <v>1084</v>
      </c>
      <c r="D147" s="88">
        <v>4000000</v>
      </c>
      <c r="G147" s="1"/>
      <c r="L147" s="1"/>
      <c r="M147" s="1"/>
    </row>
    <row r="148" spans="1:13" s="2" customFormat="1" x14ac:dyDescent="0.2">
      <c r="A148" s="87">
        <v>45131</v>
      </c>
      <c r="B148" s="120" t="s">
        <v>1052</v>
      </c>
      <c r="C148" s="75" t="s">
        <v>85</v>
      </c>
      <c r="D148" s="88">
        <v>1044741</v>
      </c>
      <c r="G148" s="1"/>
      <c r="L148" s="1"/>
      <c r="M148" s="1"/>
    </row>
    <row r="149" spans="1:13" s="2" customFormat="1" x14ac:dyDescent="0.2">
      <c r="A149" s="87">
        <v>45132</v>
      </c>
      <c r="B149" s="120" t="s">
        <v>1052</v>
      </c>
      <c r="C149" s="75" t="s">
        <v>85</v>
      </c>
      <c r="D149" s="88">
        <v>70998</v>
      </c>
      <c r="G149" s="1"/>
      <c r="L149" s="1"/>
      <c r="M149" s="1"/>
    </row>
    <row r="150" spans="1:13" s="2" customFormat="1" x14ac:dyDescent="0.2">
      <c r="A150" s="87">
        <v>45132</v>
      </c>
      <c r="B150" s="120" t="s">
        <v>1052</v>
      </c>
      <c r="C150" s="75" t="s">
        <v>271</v>
      </c>
      <c r="D150" s="88">
        <v>314598</v>
      </c>
      <c r="G150" s="1"/>
      <c r="L150" s="1"/>
      <c r="M150" s="1"/>
    </row>
    <row r="151" spans="1:13" s="2" customFormat="1" x14ac:dyDescent="0.2">
      <c r="A151" s="87">
        <v>45132</v>
      </c>
      <c r="B151" s="120" t="s">
        <v>1052</v>
      </c>
      <c r="C151" s="75" t="s">
        <v>594</v>
      </c>
      <c r="D151" s="88">
        <v>2163081</v>
      </c>
      <c r="G151" s="1"/>
      <c r="L151" s="1"/>
      <c r="M151" s="1"/>
    </row>
    <row r="152" spans="1:13" s="2" customFormat="1" x14ac:dyDescent="0.2">
      <c r="A152" s="87">
        <v>45133</v>
      </c>
      <c r="B152" s="120" t="s">
        <v>1052</v>
      </c>
      <c r="C152" s="75" t="s">
        <v>87</v>
      </c>
      <c r="D152" s="88">
        <v>299280</v>
      </c>
      <c r="G152" s="1"/>
      <c r="L152" s="1"/>
      <c r="M152" s="1"/>
    </row>
    <row r="153" spans="1:13" s="2" customFormat="1" x14ac:dyDescent="0.2">
      <c r="A153" s="87">
        <v>45133</v>
      </c>
      <c r="B153" s="120" t="s">
        <v>1052</v>
      </c>
      <c r="C153" s="75" t="s">
        <v>323</v>
      </c>
      <c r="D153" s="88">
        <v>1773450</v>
      </c>
      <c r="G153" s="1"/>
      <c r="L153" s="1"/>
      <c r="M153" s="1"/>
    </row>
    <row r="154" spans="1:13" s="2" customFormat="1" x14ac:dyDescent="0.2">
      <c r="A154" s="87">
        <v>45133</v>
      </c>
      <c r="B154" s="120" t="s">
        <v>1052</v>
      </c>
      <c r="C154" s="75" t="s">
        <v>84</v>
      </c>
      <c r="D154" s="88">
        <v>2000000</v>
      </c>
      <c r="G154" s="1"/>
      <c r="L154" s="1"/>
      <c r="M154" s="1"/>
    </row>
    <row r="155" spans="1:13" s="2" customFormat="1" x14ac:dyDescent="0.2">
      <c r="A155" s="87">
        <v>45133</v>
      </c>
      <c r="B155" s="120" t="s">
        <v>1052</v>
      </c>
      <c r="C155" s="75" t="s">
        <v>87</v>
      </c>
      <c r="D155" s="88">
        <v>1434314</v>
      </c>
      <c r="G155" s="1"/>
      <c r="L155" s="1"/>
      <c r="M155" s="1"/>
    </row>
    <row r="156" spans="1:13" s="2" customFormat="1" x14ac:dyDescent="0.2">
      <c r="A156" s="87">
        <v>45135</v>
      </c>
      <c r="B156" s="120" t="s">
        <v>1052</v>
      </c>
      <c r="C156" s="75" t="s">
        <v>270</v>
      </c>
      <c r="D156" s="88">
        <v>102576</v>
      </c>
      <c r="G156" s="1"/>
      <c r="L156" s="1"/>
      <c r="M156" s="1"/>
    </row>
    <row r="157" spans="1:13" s="2" customFormat="1" x14ac:dyDescent="0.2">
      <c r="A157" s="87">
        <v>45135</v>
      </c>
      <c r="B157" s="120" t="s">
        <v>1052</v>
      </c>
      <c r="C157" s="75" t="s">
        <v>270</v>
      </c>
      <c r="D157" s="88">
        <v>885672</v>
      </c>
      <c r="G157" s="1"/>
      <c r="L157" s="1"/>
      <c r="M157" s="1"/>
    </row>
    <row r="158" spans="1:13" s="2" customFormat="1" x14ac:dyDescent="0.2">
      <c r="A158" s="87">
        <v>45135</v>
      </c>
      <c r="B158" s="120" t="s">
        <v>1052</v>
      </c>
      <c r="C158" s="75" t="s">
        <v>271</v>
      </c>
      <c r="D158" s="88">
        <v>3464097</v>
      </c>
      <c r="G158" s="1"/>
      <c r="L158" s="1"/>
      <c r="M158" s="1"/>
    </row>
    <row r="159" spans="1:13" s="2" customFormat="1" x14ac:dyDescent="0.2">
      <c r="A159" s="87"/>
      <c r="B159" s="74"/>
      <c r="C159" s="75"/>
      <c r="D159" s="51">
        <f>SUM(D101:D158)</f>
        <v>78584980.920000002</v>
      </c>
      <c r="F159" s="2" t="s">
        <v>396</v>
      </c>
      <c r="G159" s="1"/>
      <c r="L159" s="1"/>
      <c r="M159" s="1"/>
    </row>
    <row r="160" spans="1:13" s="2" customFormat="1" x14ac:dyDescent="0.2">
      <c r="A160" s="24"/>
      <c r="B160" s="1"/>
      <c r="C160" s="14"/>
      <c r="D160" s="56"/>
      <c r="E160" s="13"/>
      <c r="G160" s="1"/>
      <c r="L160" s="1"/>
      <c r="M160" s="1"/>
    </row>
    <row r="161" spans="1:13" s="2" customFormat="1" x14ac:dyDescent="0.2">
      <c r="A161" s="24"/>
      <c r="B161" s="1"/>
      <c r="C161" s="218" t="s">
        <v>77</v>
      </c>
      <c r="D161" s="219"/>
      <c r="E161" s="219"/>
      <c r="F161" s="220"/>
      <c r="G161" s="1"/>
      <c r="L161" s="1"/>
      <c r="M161" s="1"/>
    </row>
    <row r="162" spans="1:13" s="2" customFormat="1" x14ac:dyDescent="0.2">
      <c r="A162" s="24"/>
      <c r="B162" s="1"/>
      <c r="C162" s="50"/>
      <c r="D162" s="57" t="s">
        <v>78</v>
      </c>
      <c r="E162" s="58" t="s">
        <v>79</v>
      </c>
      <c r="F162" s="57" t="s">
        <v>72</v>
      </c>
      <c r="G162" s="1"/>
      <c r="I162" s="1"/>
      <c r="J162" s="1"/>
      <c r="K162" s="1"/>
      <c r="L162" s="1"/>
      <c r="M162" s="1"/>
    </row>
    <row r="163" spans="1:13" s="2" customFormat="1" x14ac:dyDescent="0.2">
      <c r="A163" s="24"/>
      <c r="B163" s="1"/>
      <c r="C163" s="59" t="str">
        <f>"01-07-2023 to "&amp;TEXT(A5-2,"dd-mm-yyyy")</f>
        <v>01-07-2023 to 26-07-2023</v>
      </c>
      <c r="D163" s="60">
        <v>4371.47</v>
      </c>
      <c r="E163" s="60">
        <v>227.88</v>
      </c>
      <c r="F163" s="61">
        <f>SUM(D163:E163)</f>
        <v>4599.3500000000004</v>
      </c>
      <c r="G163" s="1"/>
    </row>
    <row r="164" spans="1:13" s="2" customFormat="1" x14ac:dyDescent="0.2">
      <c r="A164" s="24"/>
      <c r="B164" s="1"/>
      <c r="C164" s="62" t="str">
        <f>TEXT(A5-1,"dd-mm-yyyy")</f>
        <v>27-07-2023</v>
      </c>
      <c r="D164" s="60">
        <v>284.45</v>
      </c>
      <c r="E164" s="60">
        <v>6.13</v>
      </c>
      <c r="F164" s="61">
        <f>SUM(D164:E164)</f>
        <v>290.58</v>
      </c>
      <c r="G164" s="54"/>
      <c r="I164" s="1"/>
      <c r="J164" s="1"/>
      <c r="K164" s="1"/>
      <c r="L164" s="1"/>
      <c r="M164" s="1"/>
    </row>
    <row r="165" spans="1:13" s="2" customFormat="1" ht="13.5" thickBot="1" x14ac:dyDescent="0.25">
      <c r="A165" s="24"/>
      <c r="B165" s="1"/>
      <c r="C165" s="63" t="str">
        <f>"01-07-2023 to "&amp;TEXT(A5-1,"dd-mm-yyyy")</f>
        <v>01-07-2023 to 27-07-2023</v>
      </c>
      <c r="D165" s="64">
        <f>SUM(D163:D164)</f>
        <v>4655.92</v>
      </c>
      <c r="E165" s="64">
        <f>SUM(E163:E164)</f>
        <v>234.01</v>
      </c>
      <c r="F165" s="64">
        <f>SUM(F163:F164)</f>
        <v>4889.93</v>
      </c>
      <c r="G165" s="54"/>
      <c r="I165" s="1"/>
      <c r="J165" s="1"/>
      <c r="K165" s="1"/>
      <c r="L165" s="1"/>
      <c r="M165" s="1"/>
    </row>
    <row r="166" spans="1:13" s="2" customFormat="1" ht="13.5" thickTop="1" x14ac:dyDescent="0.2">
      <c r="A166" s="24"/>
      <c r="B166" s="1"/>
      <c r="C166" s="62"/>
      <c r="D166" s="65"/>
      <c r="E166" s="66"/>
      <c r="F166" s="67"/>
      <c r="G166" s="54"/>
      <c r="I166" s="1"/>
      <c r="J166" s="1"/>
      <c r="K166" s="1"/>
      <c r="L166" s="1"/>
      <c r="M166" s="1"/>
    </row>
    <row r="167" spans="1:13" s="2" customFormat="1" x14ac:dyDescent="0.2">
      <c r="A167" s="24"/>
      <c r="B167" s="1"/>
      <c r="C167" s="62" t="str">
        <f>"01-04-2023 to " &amp;C164</f>
        <v>01-04-2023 to 27-07-2023</v>
      </c>
      <c r="D167" s="68">
        <f>+D165+15505.53</f>
        <v>20161.45</v>
      </c>
      <c r="E167" s="68">
        <f>+E165+1109.72</f>
        <v>1343.73</v>
      </c>
      <c r="F167" s="68">
        <f>+F165+16615.25</f>
        <v>21505.18</v>
      </c>
      <c r="G167" s="54"/>
      <c r="I167" s="1"/>
      <c r="J167" s="1"/>
      <c r="K167" s="1"/>
      <c r="L167" s="1"/>
      <c r="M167" s="1"/>
    </row>
    <row r="168" spans="1:13" x14ac:dyDescent="0.2">
      <c r="C168" s="52"/>
      <c r="D168" s="85"/>
      <c r="E168" s="53"/>
      <c r="F168" s="53"/>
      <c r="G168" s="54"/>
      <c r="H168" s="2" t="s">
        <v>396</v>
      </c>
    </row>
    <row r="169" spans="1:13" s="2" customFormat="1" x14ac:dyDescent="0.2">
      <c r="A169" s="24"/>
      <c r="B169" s="1"/>
      <c r="C169" s="52"/>
      <c r="D169" s="85"/>
      <c r="E169" s="53"/>
      <c r="F169" s="53"/>
      <c r="G169" s="54"/>
      <c r="H169" s="53"/>
    </row>
    <row r="170" spans="1:13" x14ac:dyDescent="0.2">
      <c r="C170" s="52"/>
      <c r="D170" s="85"/>
      <c r="E170" s="53"/>
      <c r="F170" s="53"/>
      <c r="G170" s="54"/>
      <c r="H170" s="53" t="s">
        <v>396</v>
      </c>
    </row>
    <row r="171" spans="1:13" x14ac:dyDescent="0.2">
      <c r="C171" s="52"/>
      <c r="D171" s="85"/>
      <c r="E171" s="53"/>
      <c r="F171" s="53"/>
      <c r="G171" s="54"/>
      <c r="H171" s="53" t="s">
        <v>396</v>
      </c>
      <c r="J171" s="42"/>
    </row>
    <row r="172" spans="1:13" x14ac:dyDescent="0.2">
      <c r="G172" s="54"/>
      <c r="H172" s="53"/>
      <c r="I172" s="101"/>
    </row>
    <row r="173" spans="1:13" x14ac:dyDescent="0.2">
      <c r="G173" s="54"/>
      <c r="H173" s="53"/>
    </row>
    <row r="174" spans="1:13" x14ac:dyDescent="0.2">
      <c r="G174" s="54"/>
      <c r="H174" s="53"/>
    </row>
    <row r="175" spans="1:13" x14ac:dyDescent="0.2">
      <c r="H175" s="53"/>
    </row>
  </sheetData>
  <mergeCells count="6">
    <mergeCell ref="C161:F161"/>
    <mergeCell ref="A1:G1"/>
    <mergeCell ref="A3:F3"/>
    <mergeCell ref="A9:F9"/>
    <mergeCell ref="A24:F24"/>
    <mergeCell ref="A99:D99"/>
  </mergeCells>
  <conditionalFormatting sqref="G96:G97">
    <cfRule type="cellIs" dxfId="391" priority="1" operator="lessThan">
      <formula>0</formula>
    </cfRule>
  </conditionalFormatting>
  <conditionalFormatting sqref="C26">
    <cfRule type="duplicateValues" dxfId="390" priority="2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F00-000000000000}">
  <sheetPr codeName="Sheet391">
    <pageSetUpPr fitToPage="1"/>
  </sheetPr>
  <dimension ref="A1:N144"/>
  <sheetViews>
    <sheetView topLeftCell="A115" zoomScaleNormal="100" workbookViewId="0">
      <selection activeCell="E39" sqref="E39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1276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45136</v>
      </c>
      <c r="B5" s="9" t="s">
        <v>6</v>
      </c>
      <c r="C5" s="10" t="s">
        <v>7</v>
      </c>
      <c r="D5" s="11"/>
      <c r="E5" s="12">
        <v>277691.7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277691.7</v>
      </c>
      <c r="F6" s="16">
        <f>SUM(F5:F5)</f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+E6-F6</f>
        <v>277691.7</v>
      </c>
      <c r="F7" s="22"/>
      <c r="G7" s="23"/>
      <c r="H7" s="112"/>
      <c r="I7" s="112"/>
      <c r="J7" s="13"/>
    </row>
    <row r="8" spans="1:10" ht="12.75" customHeight="1" x14ac:dyDescent="0.4">
      <c r="H8" s="112"/>
      <c r="I8" s="112"/>
    </row>
    <row r="9" spans="1:10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12"/>
    </row>
    <row r="10" spans="1:10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12"/>
    </row>
    <row r="11" spans="1:10" s="2" customFormat="1" ht="14.25" customHeight="1" x14ac:dyDescent="0.2">
      <c r="A11" s="89">
        <v>45136</v>
      </c>
      <c r="B11" s="9" t="s">
        <v>6</v>
      </c>
      <c r="C11" s="10" t="s">
        <v>7</v>
      </c>
      <c r="D11" s="11"/>
      <c r="F11" s="12">
        <v>12984178.719999997</v>
      </c>
      <c r="G11" s="1"/>
      <c r="H11" s="130" t="s">
        <v>396</v>
      </c>
      <c r="I11" s="130"/>
    </row>
    <row r="12" spans="1:10" s="70" customFormat="1" ht="12.75" customHeight="1" x14ac:dyDescent="0.2">
      <c r="A12" s="89">
        <v>45136</v>
      </c>
      <c r="B12" s="128" t="s">
        <v>6</v>
      </c>
      <c r="C12" s="76" t="s">
        <v>1277</v>
      </c>
      <c r="D12" s="11" t="s">
        <v>13</v>
      </c>
      <c r="E12" s="31">
        <v>1469378.77</v>
      </c>
      <c r="F12" s="31"/>
      <c r="G12" s="30"/>
      <c r="I12" s="69"/>
      <c r="J12" s="69"/>
    </row>
    <row r="13" spans="1:10" s="2" customFormat="1" ht="14.25" customHeight="1" x14ac:dyDescent="0.2">
      <c r="A13" s="89">
        <v>45136</v>
      </c>
      <c r="B13" s="128" t="s">
        <v>6</v>
      </c>
      <c r="C13" s="76" t="s">
        <v>763</v>
      </c>
      <c r="D13" s="11" t="s">
        <v>13</v>
      </c>
      <c r="E13" s="2">
        <v>7063</v>
      </c>
      <c r="F13" s="31"/>
      <c r="G13" s="1"/>
      <c r="H13" s="130"/>
      <c r="I13" s="130"/>
    </row>
    <row r="14" spans="1:10" s="2" customFormat="1" ht="14.25" customHeight="1" x14ac:dyDescent="0.2">
      <c r="A14" s="89">
        <v>45136</v>
      </c>
      <c r="B14" s="128" t="s">
        <v>6</v>
      </c>
      <c r="C14" s="76" t="s">
        <v>1278</v>
      </c>
      <c r="D14" s="11" t="s">
        <v>13</v>
      </c>
      <c r="E14" s="2">
        <v>3947400.4</v>
      </c>
      <c r="F14" s="31"/>
      <c r="G14" s="1"/>
      <c r="H14" s="130"/>
      <c r="I14" s="130"/>
    </row>
    <row r="15" spans="1:10" s="2" customFormat="1" ht="14.25" customHeight="1" x14ac:dyDescent="0.2">
      <c r="A15" s="89">
        <v>45136</v>
      </c>
      <c r="B15" s="128" t="s">
        <v>6</v>
      </c>
      <c r="C15" s="76" t="s">
        <v>1242</v>
      </c>
      <c r="D15" s="11" t="s">
        <v>13</v>
      </c>
      <c r="E15" s="2">
        <v>4144945.37</v>
      </c>
      <c r="F15" s="31"/>
      <c r="G15" s="1"/>
      <c r="H15" s="130"/>
      <c r="I15" s="130"/>
    </row>
    <row r="16" spans="1:10" s="2" customFormat="1" ht="14.25" customHeight="1" x14ac:dyDescent="0.2">
      <c r="A16" s="89">
        <v>45136</v>
      </c>
      <c r="B16" s="128" t="s">
        <v>11</v>
      </c>
      <c r="C16" s="76" t="s">
        <v>1137</v>
      </c>
      <c r="D16" s="11" t="s">
        <v>29</v>
      </c>
      <c r="F16" s="31">
        <v>210741.1</v>
      </c>
      <c r="G16" s="1"/>
      <c r="H16" s="130"/>
      <c r="I16" s="130"/>
    </row>
    <row r="17" spans="1:10" s="2" customFormat="1" ht="14.25" customHeight="1" x14ac:dyDescent="0.2">
      <c r="A17" s="89">
        <v>45136</v>
      </c>
      <c r="B17" s="128" t="s">
        <v>11</v>
      </c>
      <c r="C17" s="76" t="s">
        <v>63</v>
      </c>
      <c r="D17" s="11" t="s">
        <v>29</v>
      </c>
      <c r="F17" s="31">
        <v>2000000</v>
      </c>
      <c r="G17" s="1"/>
      <c r="H17" s="130"/>
      <c r="I17" s="130"/>
    </row>
    <row r="18" spans="1:10" s="2" customFormat="1" ht="14.25" customHeight="1" x14ac:dyDescent="0.2">
      <c r="A18" s="89">
        <v>45136</v>
      </c>
      <c r="B18" s="128" t="s">
        <v>11</v>
      </c>
      <c r="C18" s="76" t="s">
        <v>998</v>
      </c>
      <c r="D18" s="11" t="s">
        <v>29</v>
      </c>
      <c r="F18" s="31">
        <v>2544241.4300000002</v>
      </c>
      <c r="G18" s="1"/>
      <c r="H18" s="130"/>
      <c r="I18" s="130"/>
    </row>
    <row r="19" spans="1:10" s="2" customFormat="1" ht="14.25" customHeight="1" x14ac:dyDescent="0.2">
      <c r="A19" s="89">
        <v>45136</v>
      </c>
      <c r="B19" s="128" t="s">
        <v>11</v>
      </c>
      <c r="C19" s="76" t="s">
        <v>735</v>
      </c>
      <c r="D19" s="11" t="s">
        <v>29</v>
      </c>
      <c r="F19" s="31">
        <v>598182</v>
      </c>
      <c r="G19" s="1"/>
      <c r="H19" s="130"/>
      <c r="I19" s="130"/>
    </row>
    <row r="20" spans="1:10" s="2" customFormat="1" ht="14.25" customHeight="1" x14ac:dyDescent="0.2">
      <c r="A20" s="89">
        <v>45136</v>
      </c>
      <c r="B20" s="128" t="s">
        <v>11</v>
      </c>
      <c r="C20" s="76" t="s">
        <v>98</v>
      </c>
      <c r="D20" s="11" t="s">
        <v>29</v>
      </c>
      <c r="F20" s="31">
        <v>4920</v>
      </c>
      <c r="G20" s="1"/>
      <c r="H20" s="130"/>
      <c r="I20" s="130"/>
    </row>
    <row r="21" spans="1:10" s="2" customFormat="1" ht="14.25" customHeight="1" x14ac:dyDescent="0.2">
      <c r="A21" s="89">
        <v>45136</v>
      </c>
      <c r="B21" s="128" t="s">
        <v>11</v>
      </c>
      <c r="C21" s="76" t="s">
        <v>1079</v>
      </c>
      <c r="D21" s="11" t="s">
        <v>29</v>
      </c>
      <c r="F21" s="31">
        <v>6018</v>
      </c>
      <c r="G21" s="1"/>
      <c r="H21" s="130"/>
      <c r="I21" s="130"/>
    </row>
    <row r="22" spans="1:10" s="2" customFormat="1" ht="14.25" customHeight="1" x14ac:dyDescent="0.2">
      <c r="A22" s="89">
        <v>45136</v>
      </c>
      <c r="B22" s="128" t="s">
        <v>11</v>
      </c>
      <c r="C22" s="76" t="s">
        <v>57</v>
      </c>
      <c r="D22" s="11" t="s">
        <v>29</v>
      </c>
      <c r="F22" s="31">
        <v>1500000</v>
      </c>
      <c r="G22" s="1"/>
      <c r="H22" s="130"/>
      <c r="I22" s="130"/>
    </row>
    <row r="23" spans="1:10" s="2" customFormat="1" ht="14.25" customHeight="1" x14ac:dyDescent="0.2">
      <c r="A23" s="89">
        <v>45136</v>
      </c>
      <c r="B23" s="128" t="s">
        <v>11</v>
      </c>
      <c r="C23" s="76" t="s">
        <v>209</v>
      </c>
      <c r="D23" s="11" t="s">
        <v>29</v>
      </c>
      <c r="F23" s="31">
        <v>50000</v>
      </c>
      <c r="G23" s="1"/>
      <c r="H23" s="130"/>
      <c r="I23" s="130"/>
    </row>
    <row r="24" spans="1:10" s="2" customFormat="1" ht="14.25" customHeight="1" x14ac:dyDescent="0.2">
      <c r="A24" s="89">
        <v>45136</v>
      </c>
      <c r="B24" s="128" t="s">
        <v>11</v>
      </c>
      <c r="C24" s="76" t="s">
        <v>1279</v>
      </c>
      <c r="D24" s="11" t="s">
        <v>29</v>
      </c>
      <c r="F24" s="31">
        <v>16000</v>
      </c>
      <c r="G24" s="1"/>
      <c r="H24" s="130"/>
      <c r="I24" s="130"/>
    </row>
    <row r="25" spans="1:10" s="2" customFormat="1" ht="14.25" customHeight="1" x14ac:dyDescent="0.2">
      <c r="A25" s="89">
        <v>45136</v>
      </c>
      <c r="B25" s="128" t="s">
        <v>11</v>
      </c>
      <c r="C25" s="76" t="s">
        <v>363</v>
      </c>
      <c r="D25" s="11" t="s">
        <v>29</v>
      </c>
      <c r="F25" s="31">
        <v>61974</v>
      </c>
      <c r="G25" s="1"/>
      <c r="H25" s="130"/>
      <c r="I25" s="130"/>
    </row>
    <row r="26" spans="1:10" s="2" customFormat="1" ht="12.75" customHeight="1" x14ac:dyDescent="0.4">
      <c r="D26" s="11" t="s">
        <v>8</v>
      </c>
      <c r="E26" s="16">
        <f>SUM(E12:E25)</f>
        <v>9568787.5399999991</v>
      </c>
      <c r="F26" s="16">
        <f>SUM(F11:F25)</f>
        <v>19976255.249999996</v>
      </c>
      <c r="G26" s="1"/>
      <c r="H26" s="112"/>
      <c r="I26" s="112"/>
    </row>
    <row r="27" spans="1:10" s="2" customFormat="1" ht="12.75" customHeight="1" x14ac:dyDescent="0.4">
      <c r="A27" s="17"/>
      <c r="B27" s="18"/>
      <c r="C27" s="96" t="s">
        <v>9</v>
      </c>
      <c r="D27" s="20"/>
      <c r="E27" s="21">
        <f>+F26-E26</f>
        <v>10407467.709999997</v>
      </c>
      <c r="G27" s="23"/>
      <c r="H27" s="112"/>
      <c r="I27" s="112"/>
      <c r="J27" s="13"/>
    </row>
    <row r="28" spans="1:10" s="2" customFormat="1" ht="12.75" customHeight="1" x14ac:dyDescent="0.4">
      <c r="A28" s="24"/>
      <c r="B28" s="1"/>
      <c r="C28" s="14"/>
      <c r="D28" s="25"/>
      <c r="G28" s="23"/>
      <c r="H28" s="112"/>
      <c r="I28" s="112"/>
      <c r="J28" s="13"/>
    </row>
    <row r="29" spans="1:10" s="2" customFormat="1" ht="21.75" customHeight="1" x14ac:dyDescent="0.4">
      <c r="A29" s="214" t="s">
        <v>10</v>
      </c>
      <c r="B29" s="214"/>
      <c r="C29" s="214"/>
      <c r="D29" s="214"/>
      <c r="E29" s="214"/>
      <c r="F29" s="214"/>
      <c r="G29" s="13"/>
      <c r="H29" s="112"/>
      <c r="I29" s="112"/>
      <c r="J29" s="13"/>
    </row>
    <row r="30" spans="1:10" s="2" customFormat="1" ht="12.75" customHeight="1" x14ac:dyDescent="0.4">
      <c r="A30" s="26" t="s">
        <v>1</v>
      </c>
      <c r="B30" s="27" t="s">
        <v>2</v>
      </c>
      <c r="C30" s="5"/>
      <c r="D30" s="6" t="s">
        <v>3</v>
      </c>
      <c r="E30" s="7" t="s">
        <v>4</v>
      </c>
      <c r="F30" s="7" t="s">
        <v>5</v>
      </c>
      <c r="G30" s="23"/>
      <c r="H30" s="112"/>
      <c r="I30" s="112"/>
      <c r="J30" s="13"/>
    </row>
    <row r="31" spans="1:10" s="2" customFormat="1" ht="12.75" customHeight="1" x14ac:dyDescent="0.2">
      <c r="A31" s="127">
        <v>45136</v>
      </c>
      <c r="B31" s="128" t="s">
        <v>11</v>
      </c>
      <c r="C31" s="29" t="s">
        <v>7</v>
      </c>
      <c r="D31" s="25"/>
      <c r="E31" s="31"/>
      <c r="F31" s="2">
        <v>291464130.92999989</v>
      </c>
      <c r="G31" s="30"/>
      <c r="I31" s="13"/>
      <c r="J31" s="13"/>
    </row>
    <row r="32" spans="1:10" s="70" customFormat="1" ht="12.75" customHeight="1" x14ac:dyDescent="0.2">
      <c r="A32" s="127">
        <v>45136</v>
      </c>
      <c r="B32" s="128" t="s">
        <v>6</v>
      </c>
      <c r="C32" s="10" t="s">
        <v>180</v>
      </c>
      <c r="D32" s="11" t="s">
        <v>13</v>
      </c>
      <c r="E32" s="86">
        <v>141149</v>
      </c>
      <c r="G32" s="30"/>
      <c r="I32" s="69"/>
      <c r="J32" s="69"/>
    </row>
    <row r="33" spans="1:14" s="70" customFormat="1" ht="12.75" customHeight="1" x14ac:dyDescent="0.2">
      <c r="A33" s="127">
        <v>45136</v>
      </c>
      <c r="B33" s="128" t="s">
        <v>6</v>
      </c>
      <c r="C33" s="10" t="s">
        <v>1021</v>
      </c>
      <c r="D33" s="11" t="s">
        <v>13</v>
      </c>
      <c r="E33" s="86">
        <v>450897</v>
      </c>
      <c r="G33" s="30"/>
      <c r="I33" s="69"/>
      <c r="J33" s="69"/>
    </row>
    <row r="34" spans="1:14" s="70" customFormat="1" ht="12.75" customHeight="1" x14ac:dyDescent="0.2">
      <c r="A34" s="127">
        <v>45136</v>
      </c>
      <c r="B34" s="128" t="s">
        <v>6</v>
      </c>
      <c r="C34" s="10" t="s">
        <v>947</v>
      </c>
      <c r="D34" s="11" t="s">
        <v>13</v>
      </c>
      <c r="E34" s="86">
        <v>18110</v>
      </c>
      <c r="G34" s="30"/>
      <c r="I34" s="69"/>
      <c r="J34" s="69"/>
    </row>
    <row r="35" spans="1:14" s="70" customFormat="1" ht="12.75" customHeight="1" x14ac:dyDescent="0.2">
      <c r="A35" s="127">
        <v>45136</v>
      </c>
      <c r="B35" s="128" t="s">
        <v>6</v>
      </c>
      <c r="C35" s="10" t="s">
        <v>992</v>
      </c>
      <c r="D35" s="11" t="s">
        <v>13</v>
      </c>
      <c r="E35" s="86">
        <v>63882</v>
      </c>
      <c r="G35" s="30"/>
      <c r="I35" s="69"/>
      <c r="J35" s="69"/>
    </row>
    <row r="36" spans="1:14" s="70" customFormat="1" ht="12.75" customHeight="1" x14ac:dyDescent="0.2">
      <c r="A36" s="127">
        <v>45136</v>
      </c>
      <c r="B36" s="128" t="s">
        <v>6</v>
      </c>
      <c r="C36" s="10" t="s">
        <v>966</v>
      </c>
      <c r="D36" s="11" t="s">
        <v>13</v>
      </c>
      <c r="E36" s="86">
        <v>21479</v>
      </c>
      <c r="G36" s="30"/>
      <c r="I36" s="69"/>
      <c r="J36" s="69"/>
    </row>
    <row r="37" spans="1:14" s="70" customFormat="1" ht="12.75" customHeight="1" x14ac:dyDescent="0.2">
      <c r="A37" s="127">
        <v>45136</v>
      </c>
      <c r="B37" s="128" t="s">
        <v>6</v>
      </c>
      <c r="C37" s="10" t="s">
        <v>1280</v>
      </c>
      <c r="D37" s="11" t="s">
        <v>13</v>
      </c>
      <c r="E37" s="86">
        <v>1638</v>
      </c>
      <c r="G37" s="30"/>
      <c r="I37" s="69"/>
      <c r="J37" s="69"/>
    </row>
    <row r="38" spans="1:14" s="70" customFormat="1" ht="12.75" customHeight="1" x14ac:dyDescent="0.2">
      <c r="A38" s="127">
        <v>45136</v>
      </c>
      <c r="B38" s="128" t="s">
        <v>6</v>
      </c>
      <c r="C38" s="10" t="s">
        <v>1222</v>
      </c>
      <c r="D38" s="11" t="s">
        <v>13</v>
      </c>
      <c r="E38" s="86">
        <v>34325</v>
      </c>
      <c r="G38" s="30"/>
      <c r="I38" s="69"/>
      <c r="J38" s="69"/>
    </row>
    <row r="39" spans="1:14" s="70" customFormat="1" ht="12.75" customHeight="1" x14ac:dyDescent="0.2">
      <c r="A39" s="127">
        <v>45136</v>
      </c>
      <c r="B39" s="128" t="s">
        <v>6</v>
      </c>
      <c r="C39" s="10" t="s">
        <v>15</v>
      </c>
      <c r="D39" s="11" t="s">
        <v>13</v>
      </c>
      <c r="E39" s="86">
        <v>80.3</v>
      </c>
      <c r="G39" s="30"/>
      <c r="I39" s="69"/>
      <c r="J39" s="69"/>
    </row>
    <row r="40" spans="1:14" s="70" customFormat="1" ht="12.75" customHeight="1" x14ac:dyDescent="0.2">
      <c r="A40" s="127">
        <v>45136</v>
      </c>
      <c r="B40" s="128" t="s">
        <v>11</v>
      </c>
      <c r="C40" s="10" t="s">
        <v>15</v>
      </c>
      <c r="D40" s="11" t="s">
        <v>29</v>
      </c>
      <c r="E40" s="86"/>
      <c r="F40" s="70">
        <v>1593</v>
      </c>
      <c r="G40" s="30"/>
      <c r="I40" s="69"/>
      <c r="J40" s="69"/>
    </row>
    <row r="41" spans="1:14" s="70" customFormat="1" ht="12.75" customHeight="1" x14ac:dyDescent="0.2">
      <c r="A41" s="127">
        <v>45136</v>
      </c>
      <c r="B41" s="128" t="s">
        <v>11</v>
      </c>
      <c r="C41" s="10" t="s">
        <v>156</v>
      </c>
      <c r="D41" s="11" t="s">
        <v>29</v>
      </c>
      <c r="E41" s="86"/>
      <c r="F41" s="70">
        <v>4124.78</v>
      </c>
      <c r="G41" s="30"/>
      <c r="I41" s="69"/>
      <c r="J41" s="69"/>
    </row>
    <row r="42" spans="1:14" s="70" customFormat="1" ht="12.75" customHeight="1" x14ac:dyDescent="0.2">
      <c r="A42" s="127">
        <v>45136</v>
      </c>
      <c r="B42" s="128" t="s">
        <v>11</v>
      </c>
      <c r="C42" s="10" t="s">
        <v>64</v>
      </c>
      <c r="D42" s="11" t="s">
        <v>29</v>
      </c>
      <c r="E42" s="86"/>
      <c r="F42" s="70">
        <v>21.240000000000002</v>
      </c>
      <c r="G42" s="30"/>
      <c r="I42" s="69"/>
      <c r="J42" s="69"/>
    </row>
    <row r="43" spans="1:14" s="70" customFormat="1" ht="12.75" customHeight="1" x14ac:dyDescent="0.2">
      <c r="A43" s="127">
        <v>45136</v>
      </c>
      <c r="B43" s="128" t="s">
        <v>11</v>
      </c>
      <c r="C43" s="10" t="s">
        <v>109</v>
      </c>
      <c r="D43" s="11" t="s">
        <v>29</v>
      </c>
      <c r="E43" s="86"/>
      <c r="F43" s="70">
        <v>309046</v>
      </c>
      <c r="G43" s="30"/>
      <c r="I43" s="69"/>
      <c r="J43" s="69"/>
    </row>
    <row r="44" spans="1:14" s="70" customFormat="1" ht="12.75" customHeight="1" x14ac:dyDescent="0.2">
      <c r="A44" s="127">
        <v>45136</v>
      </c>
      <c r="B44" s="128" t="s">
        <v>11</v>
      </c>
      <c r="C44" s="10" t="s">
        <v>695</v>
      </c>
      <c r="D44" s="11" t="s">
        <v>258</v>
      </c>
      <c r="E44" s="86"/>
      <c r="F44" s="70">
        <v>224800</v>
      </c>
      <c r="G44" s="30"/>
      <c r="I44" s="69"/>
      <c r="J44" s="69"/>
    </row>
    <row r="45" spans="1:14" s="2" customFormat="1" ht="12.75" customHeight="1" x14ac:dyDescent="0.2">
      <c r="A45" s="32"/>
      <c r="B45" s="33"/>
      <c r="C45" s="14"/>
      <c r="D45" s="34"/>
      <c r="E45" s="16">
        <f>SUM(E31:E44)</f>
        <v>731560.3</v>
      </c>
      <c r="F45" s="16">
        <f>SUM(F31:F44)</f>
        <v>292003715.94999987</v>
      </c>
      <c r="G45" s="30"/>
      <c r="H45" s="1"/>
      <c r="I45" s="38">
        <v>291272155.64999998</v>
      </c>
      <c r="J45" s="2" t="s">
        <v>396</v>
      </c>
      <c r="K45" s="92">
        <f>E46-I45</f>
        <v>0</v>
      </c>
      <c r="L45" s="41"/>
      <c r="M45" s="42"/>
    </row>
    <row r="46" spans="1:14" s="2" customFormat="1" ht="12.75" customHeight="1" x14ac:dyDescent="0.2">
      <c r="A46" s="36"/>
      <c r="B46" s="28" t="s">
        <v>11</v>
      </c>
      <c r="C46" s="19" t="s">
        <v>65</v>
      </c>
      <c r="D46" s="37"/>
      <c r="E46" s="38">
        <f>F45-E45</f>
        <v>291272155.64999986</v>
      </c>
      <c r="F46" s="22"/>
      <c r="G46" s="1"/>
      <c r="H46" s="1"/>
      <c r="J46" s="1"/>
      <c r="K46" s="1"/>
      <c r="L46" s="1"/>
      <c r="M46" s="1"/>
    </row>
    <row r="47" spans="1:14" s="2" customFormat="1" ht="12.75" customHeight="1" x14ac:dyDescent="0.2">
      <c r="A47" s="36"/>
      <c r="B47" s="28" t="s">
        <v>66</v>
      </c>
      <c r="C47" s="43" t="s">
        <v>67</v>
      </c>
      <c r="D47" s="43"/>
      <c r="E47" s="12">
        <f>59416310-35800000</f>
        <v>23616310</v>
      </c>
      <c r="F47" s="22"/>
      <c r="G47" s="1"/>
      <c r="H47" s="40"/>
      <c r="I47" s="45">
        <v>4420.3</v>
      </c>
      <c r="J47" s="46"/>
      <c r="K47" s="46"/>
      <c r="L47" s="13"/>
      <c r="M47" s="69" t="s">
        <v>396</v>
      </c>
    </row>
    <row r="48" spans="1:14" s="2" customFormat="1" ht="12.75" customHeight="1" x14ac:dyDescent="0.25">
      <c r="A48" s="36"/>
      <c r="B48" s="28"/>
      <c r="C48" s="44" t="s">
        <v>68</v>
      </c>
      <c r="D48" s="43"/>
      <c r="E48" s="7">
        <f>E46+E47</f>
        <v>314888465.64999986</v>
      </c>
      <c r="F48" s="22"/>
      <c r="G48" s="1"/>
      <c r="H48" s="103" t="s">
        <v>69</v>
      </c>
      <c r="I48" s="45">
        <v>-44.67</v>
      </c>
      <c r="J48" s="46"/>
      <c r="K48" s="46"/>
      <c r="N48" s="1"/>
    </row>
    <row r="49" spans="1:14" s="2" customFormat="1" x14ac:dyDescent="0.2">
      <c r="A49" s="24"/>
      <c r="B49" s="1"/>
      <c r="C49" s="14"/>
      <c r="D49" s="25"/>
      <c r="E49" s="1"/>
      <c r="H49" s="35" t="s">
        <v>70</v>
      </c>
      <c r="I49" s="45">
        <v>0.19</v>
      </c>
      <c r="J49" s="46">
        <f>+I50-D52</f>
        <v>0</v>
      </c>
      <c r="M49" s="2" t="s">
        <v>396</v>
      </c>
      <c r="N49" s="1"/>
    </row>
    <row r="50" spans="1:14" x14ac:dyDescent="0.2">
      <c r="C50" s="56"/>
      <c r="D50" s="56"/>
      <c r="E50" s="104"/>
      <c r="I50" s="49">
        <f>SUM(I47:I49)</f>
        <v>4375.82</v>
      </c>
      <c r="J50" s="46"/>
      <c r="K50" s="46"/>
      <c r="L50" s="2"/>
      <c r="M50" s="2"/>
      <c r="N50" s="2"/>
    </row>
    <row r="51" spans="1:14" x14ac:dyDescent="0.2">
      <c r="C51" s="78" t="s">
        <v>575</v>
      </c>
      <c r="D51" s="48" t="s">
        <v>576</v>
      </c>
      <c r="E51" s="104"/>
      <c r="I51" s="2"/>
      <c r="J51" s="2"/>
      <c r="K51" s="2"/>
      <c r="L51" s="2"/>
      <c r="M51" s="2"/>
      <c r="N51" s="2"/>
    </row>
    <row r="52" spans="1:14" s="2" customFormat="1" x14ac:dyDescent="0.2">
      <c r="A52" s="24"/>
      <c r="B52" s="1"/>
      <c r="C52" s="47" t="s">
        <v>570</v>
      </c>
      <c r="D52" s="111">
        <v>4375.82</v>
      </c>
      <c r="E52" s="104"/>
      <c r="G52" s="1"/>
      <c r="H52" s="110" t="s">
        <v>581</v>
      </c>
      <c r="N52" s="2" t="s">
        <v>535</v>
      </c>
    </row>
    <row r="53" spans="1:14" s="2" customFormat="1" x14ac:dyDescent="0.2">
      <c r="A53" s="24"/>
      <c r="B53" s="1"/>
      <c r="C53" s="47" t="s">
        <v>931</v>
      </c>
      <c r="D53" s="111">
        <v>386.77</v>
      </c>
      <c r="E53" s="104"/>
      <c r="G53" s="1"/>
      <c r="H53" s="110" t="s">
        <v>580</v>
      </c>
    </row>
    <row r="54" spans="1:14" s="2" customFormat="1" x14ac:dyDescent="0.2">
      <c r="A54" s="24"/>
      <c r="B54" s="1"/>
      <c r="C54" s="47" t="s">
        <v>572</v>
      </c>
      <c r="D54" s="111">
        <f>+D128/100000</f>
        <v>825.36415920000002</v>
      </c>
      <c r="E54" s="104"/>
      <c r="G54" s="1"/>
      <c r="H54" s="90" t="s">
        <v>587</v>
      </c>
    </row>
    <row r="55" spans="1:14" s="2" customFormat="1" x14ac:dyDescent="0.2">
      <c r="A55" s="24"/>
      <c r="B55" s="1"/>
      <c r="C55" s="108" t="s">
        <v>578</v>
      </c>
      <c r="D55" s="48">
        <f>SUM(D52:D54)</f>
        <v>5587.9541592000005</v>
      </c>
      <c r="E55" s="104"/>
      <c r="G55" s="1"/>
    </row>
    <row r="56" spans="1:14" s="2" customFormat="1" x14ac:dyDescent="0.2">
      <c r="A56" s="24"/>
      <c r="B56" s="1"/>
      <c r="C56" s="47"/>
      <c r="D56" s="107"/>
      <c r="E56" s="104"/>
      <c r="G56" s="1"/>
    </row>
    <row r="57" spans="1:14" s="2" customFormat="1" x14ac:dyDescent="0.2">
      <c r="A57" s="24"/>
      <c r="B57" s="1"/>
      <c r="C57" s="47" t="s">
        <v>932</v>
      </c>
      <c r="D57" s="111">
        <v>314.02999999999997</v>
      </c>
      <c r="E57" s="104"/>
      <c r="G57" s="1"/>
      <c r="H57" s="110" t="s">
        <v>581</v>
      </c>
    </row>
    <row r="58" spans="1:14" s="2" customFormat="1" x14ac:dyDescent="0.2">
      <c r="A58" s="24"/>
      <c r="B58" s="1"/>
      <c r="C58" s="136" t="s">
        <v>1142</v>
      </c>
      <c r="D58" s="111">
        <f>384.35-55.45</f>
        <v>328.90000000000003</v>
      </c>
      <c r="E58" s="104"/>
      <c r="G58" s="1"/>
      <c r="H58" s="110" t="s">
        <v>581</v>
      </c>
      <c r="J58" s="114" t="s">
        <v>713</v>
      </c>
    </row>
    <row r="59" spans="1:14" s="2" customFormat="1" x14ac:dyDescent="0.2">
      <c r="A59" s="24"/>
      <c r="B59" s="1"/>
      <c r="C59" s="78" t="s">
        <v>579</v>
      </c>
      <c r="D59" s="109">
        <f>D57+D58</f>
        <v>642.93000000000006</v>
      </c>
      <c r="E59" s="104"/>
      <c r="G59" s="1"/>
      <c r="I59" s="113"/>
      <c r="J59" s="113" t="s">
        <v>709</v>
      </c>
      <c r="K59" s="113" t="s">
        <v>710</v>
      </c>
      <c r="L59" s="113" t="s">
        <v>711</v>
      </c>
      <c r="M59" s="113" t="s">
        <v>712</v>
      </c>
    </row>
    <row r="60" spans="1:14" s="2" customFormat="1" x14ac:dyDescent="0.2">
      <c r="A60" s="24"/>
      <c r="B60" s="1"/>
      <c r="C60" s="105"/>
      <c r="D60" s="106"/>
      <c r="E60" s="104"/>
      <c r="G60" s="1"/>
      <c r="I60" s="113" t="s">
        <v>706</v>
      </c>
      <c r="J60" s="115"/>
      <c r="K60" s="115">
        <v>968.99</v>
      </c>
      <c r="L60" s="115">
        <v>968.99</v>
      </c>
      <c r="M60" s="113">
        <f>+J60+L60-K60</f>
        <v>0</v>
      </c>
    </row>
    <row r="61" spans="1:14" s="2" customFormat="1" x14ac:dyDescent="0.2">
      <c r="A61" s="24"/>
      <c r="B61" s="1"/>
      <c r="C61" s="78" t="s">
        <v>577</v>
      </c>
      <c r="D61" s="109">
        <f>D52+D59</f>
        <v>5018.75</v>
      </c>
      <c r="E61" s="104"/>
      <c r="G61" s="1"/>
      <c r="I61" s="113" t="s">
        <v>707</v>
      </c>
      <c r="J61" s="115">
        <v>183.1</v>
      </c>
      <c r="K61" s="115">
        <v>2873.05</v>
      </c>
      <c r="L61" s="115">
        <v>3551.14</v>
      </c>
      <c r="M61" s="113">
        <f>+J61+L61-K61</f>
        <v>861.1899999999996</v>
      </c>
    </row>
    <row r="62" spans="1:14" s="2" customFormat="1" x14ac:dyDescent="0.2">
      <c r="A62" s="24"/>
      <c r="B62" s="1"/>
      <c r="C62" s="56"/>
      <c r="D62" s="56"/>
      <c r="E62" s="104"/>
      <c r="G62" s="1"/>
      <c r="I62" s="113" t="s">
        <v>708</v>
      </c>
      <c r="J62" s="115">
        <v>1371.02</v>
      </c>
      <c r="K62" s="115">
        <v>13200.15</v>
      </c>
      <c r="L62" s="115">
        <v>12788.8</v>
      </c>
      <c r="M62" s="113">
        <f>+J62+L62-K62</f>
        <v>959.67000000000007</v>
      </c>
    </row>
    <row r="63" spans="1:14" s="2" customFormat="1" ht="38.25" x14ac:dyDescent="0.2">
      <c r="A63" s="24"/>
      <c r="B63" s="1"/>
      <c r="C63" s="79" t="str">
        <f>"Particulars ( 01-04-2021 to "&amp;TEXT(A5,"dd-mm-yyyy")&amp;" )"</f>
        <v>Particulars ( 01-04-2021 to 29-07-2023 )</v>
      </c>
      <c r="D63" s="80" t="s">
        <v>73</v>
      </c>
      <c r="E63" s="80" t="s">
        <v>74</v>
      </c>
      <c r="F63" s="81" t="s">
        <v>75</v>
      </c>
      <c r="G63" s="80" t="s">
        <v>76</v>
      </c>
      <c r="J63" s="118">
        <f>SUM(J60:J62)</f>
        <v>1554.12</v>
      </c>
      <c r="K63" s="118">
        <f>SUM(K60:K62)</f>
        <v>17042.189999999999</v>
      </c>
      <c r="L63" s="118">
        <f>SUM(L60:L62)</f>
        <v>17308.93</v>
      </c>
      <c r="M63" s="118">
        <f>SUM(M60:M62)</f>
        <v>1820.8599999999997</v>
      </c>
    </row>
    <row r="64" spans="1:14" s="2" customFormat="1" x14ac:dyDescent="0.2">
      <c r="A64" s="24"/>
      <c r="B64" s="1"/>
      <c r="C64" s="50" t="s">
        <v>444</v>
      </c>
      <c r="D64" s="55">
        <f>+L60+L61+J61</f>
        <v>4703.2300000000005</v>
      </c>
      <c r="E64" s="55">
        <f>+K60+K61</f>
        <v>3842.04</v>
      </c>
      <c r="F64" s="55">
        <f>+D64-E64</f>
        <v>861.19000000000051</v>
      </c>
      <c r="G64" s="55">
        <f>1500-F64</f>
        <v>638.80999999999949</v>
      </c>
      <c r="H64" s="2" t="s">
        <v>396</v>
      </c>
    </row>
    <row r="65" spans="1:13" s="2" customFormat="1" x14ac:dyDescent="0.2">
      <c r="A65" s="24"/>
      <c r="B65" s="1"/>
      <c r="C65" s="50" t="s">
        <v>71</v>
      </c>
      <c r="D65" s="55">
        <f>+J62+L62</f>
        <v>14159.82</v>
      </c>
      <c r="E65" s="55">
        <f>+K62</f>
        <v>13200.15</v>
      </c>
      <c r="F65" s="55">
        <f>+D65-E65</f>
        <v>959.67000000000007</v>
      </c>
      <c r="G65" s="55">
        <f>1500+700-F65</f>
        <v>1240.33</v>
      </c>
      <c r="H65" s="2" t="s">
        <v>396</v>
      </c>
    </row>
    <row r="66" spans="1:13" s="2" customFormat="1" x14ac:dyDescent="0.2">
      <c r="A66" s="24"/>
      <c r="B66" s="1"/>
      <c r="C66" s="14"/>
      <c r="D66" s="56"/>
      <c r="E66" s="13"/>
      <c r="G66" s="1"/>
    </row>
    <row r="67" spans="1:13" s="2" customFormat="1" x14ac:dyDescent="0.2">
      <c r="A67" s="215" t="s">
        <v>80</v>
      </c>
      <c r="B67" s="216"/>
      <c r="C67" s="216"/>
      <c r="D67" s="217"/>
      <c r="E67" s="69"/>
      <c r="F67" s="70"/>
      <c r="G67" s="1"/>
      <c r="H67" s="53"/>
    </row>
    <row r="68" spans="1:13" s="2" customFormat="1" x14ac:dyDescent="0.2">
      <c r="A68" s="71" t="s">
        <v>81</v>
      </c>
      <c r="B68" s="71"/>
      <c r="C68" s="72" t="s">
        <v>82</v>
      </c>
      <c r="D68" s="73" t="s">
        <v>83</v>
      </c>
      <c r="E68" s="69"/>
      <c r="F68" s="70"/>
      <c r="H68" s="53"/>
    </row>
    <row r="69" spans="1:13" s="2" customFormat="1" x14ac:dyDescent="0.2">
      <c r="A69" s="87">
        <v>45108</v>
      </c>
      <c r="B69" s="120" t="s">
        <v>1052</v>
      </c>
      <c r="C69" s="75" t="s">
        <v>84</v>
      </c>
      <c r="D69" s="88">
        <v>3000000</v>
      </c>
      <c r="G69" s="1"/>
      <c r="L69" s="1"/>
      <c r="M69" s="1"/>
    </row>
    <row r="70" spans="1:13" s="2" customFormat="1" x14ac:dyDescent="0.2">
      <c r="A70" s="87">
        <v>45108</v>
      </c>
      <c r="B70" s="120" t="s">
        <v>1052</v>
      </c>
      <c r="C70" s="75" t="s">
        <v>271</v>
      </c>
      <c r="D70" s="88">
        <v>2323148</v>
      </c>
      <c r="G70" s="1"/>
      <c r="L70" s="1"/>
      <c r="M70" s="1"/>
    </row>
    <row r="71" spans="1:13" s="2" customFormat="1" x14ac:dyDescent="0.2">
      <c r="A71" s="87">
        <v>45110</v>
      </c>
      <c r="B71" s="120" t="s">
        <v>1052</v>
      </c>
      <c r="C71" s="75" t="s">
        <v>85</v>
      </c>
      <c r="D71" s="88">
        <v>732575</v>
      </c>
      <c r="G71" s="1"/>
      <c r="L71" s="1"/>
      <c r="M71" s="1"/>
    </row>
    <row r="72" spans="1:13" s="2" customFormat="1" x14ac:dyDescent="0.2">
      <c r="A72" s="87">
        <v>45110</v>
      </c>
      <c r="B72" s="120" t="s">
        <v>1052</v>
      </c>
      <c r="C72" s="75" t="s">
        <v>86</v>
      </c>
      <c r="D72" s="88">
        <v>2676974</v>
      </c>
      <c r="G72" s="1"/>
      <c r="L72" s="1"/>
      <c r="M72" s="1"/>
    </row>
    <row r="73" spans="1:13" s="2" customFormat="1" x14ac:dyDescent="0.2">
      <c r="A73" s="87">
        <v>45110</v>
      </c>
      <c r="B73" s="120" t="s">
        <v>1052</v>
      </c>
      <c r="C73" s="75" t="s">
        <v>86</v>
      </c>
      <c r="D73" s="88">
        <f>1043475+13957</f>
        <v>1057432</v>
      </c>
      <c r="G73" s="1"/>
      <c r="L73" s="1"/>
      <c r="M73" s="1"/>
    </row>
    <row r="74" spans="1:13" s="2" customFormat="1" x14ac:dyDescent="0.2">
      <c r="A74" s="87">
        <v>45111</v>
      </c>
      <c r="B74" s="120" t="s">
        <v>1052</v>
      </c>
      <c r="C74" s="75" t="s">
        <v>270</v>
      </c>
      <c r="D74" s="88">
        <v>106093</v>
      </c>
      <c r="G74" s="1"/>
      <c r="L74" s="1"/>
      <c r="M74" s="1"/>
    </row>
    <row r="75" spans="1:13" s="2" customFormat="1" x14ac:dyDescent="0.2">
      <c r="A75" s="87">
        <v>45111</v>
      </c>
      <c r="B75" s="120" t="s">
        <v>1052</v>
      </c>
      <c r="C75" s="75" t="s">
        <v>270</v>
      </c>
      <c r="D75" s="88">
        <v>102393</v>
      </c>
      <c r="G75" s="1"/>
      <c r="L75" s="1"/>
      <c r="M75" s="1"/>
    </row>
    <row r="76" spans="1:13" s="2" customFormat="1" x14ac:dyDescent="0.2">
      <c r="A76" s="87">
        <v>45111</v>
      </c>
      <c r="B76" s="120" t="s">
        <v>1052</v>
      </c>
      <c r="C76" s="75" t="s">
        <v>270</v>
      </c>
      <c r="D76" s="88">
        <v>716336</v>
      </c>
      <c r="G76" s="1"/>
      <c r="L76" s="1"/>
      <c r="M76" s="1"/>
    </row>
    <row r="77" spans="1:13" s="2" customFormat="1" x14ac:dyDescent="0.2">
      <c r="A77" s="87">
        <v>45111</v>
      </c>
      <c r="B77" s="120" t="s">
        <v>1052</v>
      </c>
      <c r="C77" s="75" t="s">
        <v>270</v>
      </c>
      <c r="D77" s="88">
        <v>2504631</v>
      </c>
      <c r="G77" s="1"/>
      <c r="L77" s="1"/>
      <c r="M77" s="1"/>
    </row>
    <row r="78" spans="1:13" s="2" customFormat="1" x14ac:dyDescent="0.2">
      <c r="A78" s="87">
        <v>45111</v>
      </c>
      <c r="B78" s="120" t="s">
        <v>1052</v>
      </c>
      <c r="C78" s="75" t="s">
        <v>270</v>
      </c>
      <c r="D78" s="88">
        <v>141433.92000000001</v>
      </c>
      <c r="G78" s="1"/>
      <c r="L78" s="1"/>
      <c r="M78" s="1"/>
    </row>
    <row r="79" spans="1:13" s="2" customFormat="1" x14ac:dyDescent="0.2">
      <c r="A79" s="87">
        <v>45111</v>
      </c>
      <c r="B79" s="120" t="s">
        <v>1052</v>
      </c>
      <c r="C79" s="75" t="s">
        <v>271</v>
      </c>
      <c r="D79" s="88">
        <v>485258</v>
      </c>
      <c r="G79" s="1"/>
      <c r="L79" s="1"/>
      <c r="M79" s="1"/>
    </row>
    <row r="80" spans="1:13" s="2" customFormat="1" x14ac:dyDescent="0.2">
      <c r="A80" s="87">
        <v>45112</v>
      </c>
      <c r="B80" s="120" t="s">
        <v>1052</v>
      </c>
      <c r="C80" s="75" t="s">
        <v>85</v>
      </c>
      <c r="D80" s="88">
        <v>216478</v>
      </c>
      <c r="G80" s="1"/>
      <c r="L80" s="1"/>
      <c r="M80" s="1"/>
    </row>
    <row r="81" spans="1:13" s="2" customFormat="1" x14ac:dyDescent="0.2">
      <c r="A81" s="87">
        <v>45114</v>
      </c>
      <c r="B81" s="120" t="s">
        <v>1052</v>
      </c>
      <c r="C81" s="75" t="s">
        <v>270</v>
      </c>
      <c r="D81" s="88">
        <v>886333</v>
      </c>
      <c r="G81" s="1"/>
      <c r="L81" s="1"/>
      <c r="M81" s="1"/>
    </row>
    <row r="82" spans="1:13" s="2" customFormat="1" x14ac:dyDescent="0.2">
      <c r="A82" s="87">
        <v>45114</v>
      </c>
      <c r="B82" s="120" t="s">
        <v>1052</v>
      </c>
      <c r="C82" s="75" t="s">
        <v>270</v>
      </c>
      <c r="D82" s="88">
        <v>3119806</v>
      </c>
      <c r="G82" s="1"/>
      <c r="L82" s="1"/>
      <c r="M82" s="1"/>
    </row>
    <row r="83" spans="1:13" s="2" customFormat="1" x14ac:dyDescent="0.2">
      <c r="A83" s="87">
        <v>45114</v>
      </c>
      <c r="B83" s="120" t="s">
        <v>1052</v>
      </c>
      <c r="C83" s="75" t="s">
        <v>271</v>
      </c>
      <c r="D83" s="88">
        <v>151160</v>
      </c>
      <c r="G83" s="1"/>
      <c r="L83" s="1"/>
      <c r="M83" s="1"/>
    </row>
    <row r="84" spans="1:13" s="2" customFormat="1" x14ac:dyDescent="0.2">
      <c r="A84" s="87">
        <v>45114</v>
      </c>
      <c r="B84" s="120" t="s">
        <v>1052</v>
      </c>
      <c r="C84" s="75" t="s">
        <v>271</v>
      </c>
      <c r="D84" s="88">
        <v>285195</v>
      </c>
      <c r="G84" s="1"/>
      <c r="L84" s="1"/>
      <c r="M84" s="1"/>
    </row>
    <row r="85" spans="1:13" s="2" customFormat="1" x14ac:dyDescent="0.2">
      <c r="A85" s="87">
        <v>45114</v>
      </c>
      <c r="B85" s="120" t="s">
        <v>1052</v>
      </c>
      <c r="C85" s="75" t="s">
        <v>201</v>
      </c>
      <c r="D85" s="88">
        <v>128135</v>
      </c>
      <c r="G85" s="1"/>
      <c r="L85" s="1"/>
      <c r="M85" s="1"/>
    </row>
    <row r="86" spans="1:13" s="2" customFormat="1" x14ac:dyDescent="0.2">
      <c r="A86" s="87">
        <v>45114</v>
      </c>
      <c r="B86" s="120" t="s">
        <v>1052</v>
      </c>
      <c r="C86" s="75" t="s">
        <v>323</v>
      </c>
      <c r="D86" s="88">
        <v>2313089</v>
      </c>
      <c r="G86" s="1"/>
      <c r="L86" s="1"/>
      <c r="M86" s="1"/>
    </row>
    <row r="87" spans="1:13" s="2" customFormat="1" x14ac:dyDescent="0.2">
      <c r="A87" s="87">
        <v>45115</v>
      </c>
      <c r="B87" s="120" t="s">
        <v>1052</v>
      </c>
      <c r="C87" s="75" t="s">
        <v>767</v>
      </c>
      <c r="D87" s="88">
        <v>411035</v>
      </c>
      <c r="G87" s="1"/>
      <c r="L87" s="1"/>
      <c r="M87" s="1"/>
    </row>
    <row r="88" spans="1:13" s="2" customFormat="1" x14ac:dyDescent="0.2">
      <c r="A88" s="87">
        <v>45118</v>
      </c>
      <c r="B88" s="120" t="s">
        <v>1052</v>
      </c>
      <c r="C88" s="75" t="s">
        <v>270</v>
      </c>
      <c r="D88" s="88">
        <v>34696</v>
      </c>
      <c r="G88" s="1"/>
      <c r="L88" s="1"/>
      <c r="M88" s="1"/>
    </row>
    <row r="89" spans="1:13" s="2" customFormat="1" x14ac:dyDescent="0.2">
      <c r="A89" s="87">
        <v>45118</v>
      </c>
      <c r="B89" s="120" t="s">
        <v>1052</v>
      </c>
      <c r="C89" s="75" t="s">
        <v>270</v>
      </c>
      <c r="D89" s="88">
        <v>1128922</v>
      </c>
      <c r="G89" s="1"/>
      <c r="L89" s="1"/>
      <c r="M89" s="1"/>
    </row>
    <row r="90" spans="1:13" s="2" customFormat="1" x14ac:dyDescent="0.2">
      <c r="A90" s="87">
        <v>45118</v>
      </c>
      <c r="B90" s="120" t="s">
        <v>1052</v>
      </c>
      <c r="C90" s="75" t="s">
        <v>270</v>
      </c>
      <c r="D90" s="88">
        <v>2865343</v>
      </c>
      <c r="G90" s="1"/>
      <c r="L90" s="1"/>
      <c r="M90" s="1"/>
    </row>
    <row r="91" spans="1:13" s="2" customFormat="1" x14ac:dyDescent="0.2">
      <c r="A91" s="87">
        <v>45118</v>
      </c>
      <c r="B91" s="120" t="s">
        <v>1052</v>
      </c>
      <c r="C91" s="75" t="s">
        <v>270</v>
      </c>
      <c r="D91" s="88">
        <v>1090852</v>
      </c>
      <c r="G91" s="1"/>
      <c r="L91" s="1"/>
      <c r="M91" s="1"/>
    </row>
    <row r="92" spans="1:13" s="2" customFormat="1" x14ac:dyDescent="0.2">
      <c r="A92" s="87">
        <v>45118</v>
      </c>
      <c r="B92" s="120" t="s">
        <v>1052</v>
      </c>
      <c r="C92" s="75" t="s">
        <v>270</v>
      </c>
      <c r="D92" s="88">
        <v>359348</v>
      </c>
      <c r="G92" s="1"/>
      <c r="L92" s="1"/>
      <c r="M92" s="1"/>
    </row>
    <row r="93" spans="1:13" s="2" customFormat="1" x14ac:dyDescent="0.2">
      <c r="A93" s="87">
        <v>45118</v>
      </c>
      <c r="B93" s="120" t="s">
        <v>1052</v>
      </c>
      <c r="C93" s="75" t="s">
        <v>271</v>
      </c>
      <c r="D93" s="88">
        <v>323487</v>
      </c>
      <c r="G93" s="1"/>
      <c r="L93" s="1"/>
      <c r="M93" s="1"/>
    </row>
    <row r="94" spans="1:13" s="2" customFormat="1" x14ac:dyDescent="0.2">
      <c r="A94" s="87">
        <v>45118</v>
      </c>
      <c r="B94" s="120" t="s">
        <v>1052</v>
      </c>
      <c r="C94" s="75" t="s">
        <v>271</v>
      </c>
      <c r="D94" s="88">
        <v>44394</v>
      </c>
      <c r="G94" s="1"/>
      <c r="L94" s="1"/>
      <c r="M94" s="1"/>
    </row>
    <row r="95" spans="1:13" s="2" customFormat="1" x14ac:dyDescent="0.2">
      <c r="A95" s="87">
        <v>45118</v>
      </c>
      <c r="B95" s="120" t="s">
        <v>1052</v>
      </c>
      <c r="C95" s="75" t="s">
        <v>271</v>
      </c>
      <c r="D95" s="88">
        <v>2035052</v>
      </c>
      <c r="G95" s="1"/>
      <c r="L95" s="1"/>
      <c r="M95" s="1"/>
    </row>
    <row r="96" spans="1:13" s="2" customFormat="1" x14ac:dyDescent="0.2">
      <c r="A96" s="87">
        <v>45119</v>
      </c>
      <c r="B96" s="120" t="s">
        <v>1052</v>
      </c>
      <c r="C96" s="75" t="s">
        <v>85</v>
      </c>
      <c r="D96" s="88">
        <v>569516</v>
      </c>
      <c r="G96" s="1"/>
      <c r="L96" s="1"/>
      <c r="M96" s="1"/>
    </row>
    <row r="97" spans="1:13" s="2" customFormat="1" x14ac:dyDescent="0.2">
      <c r="A97" s="87">
        <v>45119</v>
      </c>
      <c r="B97" s="120" t="s">
        <v>1052</v>
      </c>
      <c r="C97" s="75" t="s">
        <v>271</v>
      </c>
      <c r="D97" s="88">
        <v>3074492</v>
      </c>
      <c r="G97" s="1"/>
      <c r="L97" s="1"/>
      <c r="M97" s="1"/>
    </row>
    <row r="98" spans="1:13" s="2" customFormat="1" x14ac:dyDescent="0.2">
      <c r="A98" s="87">
        <v>45119</v>
      </c>
      <c r="B98" s="120" t="s">
        <v>1052</v>
      </c>
      <c r="C98" s="75" t="s">
        <v>270</v>
      </c>
      <c r="D98" s="88">
        <v>1556273</v>
      </c>
      <c r="G98" s="1"/>
      <c r="L98" s="1"/>
      <c r="M98" s="1"/>
    </row>
    <row r="99" spans="1:13" s="2" customFormat="1" x14ac:dyDescent="0.2">
      <c r="A99" s="87">
        <v>45119</v>
      </c>
      <c r="B99" s="120" t="s">
        <v>1052</v>
      </c>
      <c r="C99" s="75" t="s">
        <v>84</v>
      </c>
      <c r="D99" s="88">
        <v>2500000</v>
      </c>
      <c r="G99" s="1"/>
      <c r="L99" s="1"/>
      <c r="M99" s="1"/>
    </row>
    <row r="100" spans="1:13" s="2" customFormat="1" x14ac:dyDescent="0.2">
      <c r="A100" s="87">
        <v>45121</v>
      </c>
      <c r="B100" s="120" t="s">
        <v>1052</v>
      </c>
      <c r="C100" s="75" t="s">
        <v>1084</v>
      </c>
      <c r="D100" s="88">
        <v>5000000</v>
      </c>
      <c r="G100" s="1"/>
      <c r="L100" s="1"/>
      <c r="M100" s="1"/>
    </row>
    <row r="101" spans="1:13" s="2" customFormat="1" x14ac:dyDescent="0.2">
      <c r="A101" s="87">
        <v>45122</v>
      </c>
      <c r="B101" s="120" t="s">
        <v>1052</v>
      </c>
      <c r="C101" s="75" t="s">
        <v>270</v>
      </c>
      <c r="D101" s="88">
        <v>893235</v>
      </c>
      <c r="G101" s="1"/>
      <c r="L101" s="1"/>
      <c r="M101" s="1"/>
    </row>
    <row r="102" spans="1:13" s="2" customFormat="1" x14ac:dyDescent="0.2">
      <c r="A102" s="87">
        <v>45124</v>
      </c>
      <c r="B102" s="120" t="s">
        <v>1052</v>
      </c>
      <c r="C102" s="75" t="s">
        <v>1084</v>
      </c>
      <c r="D102" s="88">
        <v>4000000</v>
      </c>
      <c r="G102" s="1"/>
      <c r="L102" s="1"/>
      <c r="M102" s="1"/>
    </row>
    <row r="103" spans="1:13" s="2" customFormat="1" x14ac:dyDescent="0.2">
      <c r="A103" s="87">
        <v>45125</v>
      </c>
      <c r="B103" s="120" t="s">
        <v>1052</v>
      </c>
      <c r="C103" s="75" t="s">
        <v>85</v>
      </c>
      <c r="D103" s="88">
        <v>209650</v>
      </c>
      <c r="G103" s="1"/>
      <c r="L103" s="1"/>
      <c r="M103" s="1"/>
    </row>
    <row r="104" spans="1:13" s="2" customFormat="1" x14ac:dyDescent="0.2">
      <c r="A104" s="87">
        <v>45125</v>
      </c>
      <c r="B104" s="120" t="s">
        <v>1052</v>
      </c>
      <c r="C104" s="75" t="s">
        <v>270</v>
      </c>
      <c r="D104" s="88">
        <v>891686</v>
      </c>
      <c r="G104" s="1"/>
      <c r="L104" s="1"/>
      <c r="M104" s="1"/>
    </row>
    <row r="105" spans="1:13" s="2" customFormat="1" x14ac:dyDescent="0.2">
      <c r="A105" s="87">
        <v>45125</v>
      </c>
      <c r="B105" s="120" t="s">
        <v>1052</v>
      </c>
      <c r="C105" s="75" t="s">
        <v>85</v>
      </c>
      <c r="D105" s="88">
        <v>75953</v>
      </c>
      <c r="G105" s="1"/>
      <c r="L105" s="1"/>
      <c r="M105" s="1"/>
    </row>
    <row r="106" spans="1:13" s="2" customFormat="1" x14ac:dyDescent="0.2">
      <c r="A106" s="87">
        <v>45125</v>
      </c>
      <c r="B106" s="120" t="s">
        <v>1052</v>
      </c>
      <c r="C106" s="75" t="s">
        <v>767</v>
      </c>
      <c r="D106" s="88">
        <v>691994</v>
      </c>
      <c r="G106" s="1"/>
      <c r="L106" s="1"/>
      <c r="M106" s="1"/>
    </row>
    <row r="107" spans="1:13" s="2" customFormat="1" x14ac:dyDescent="0.2">
      <c r="A107" s="87">
        <v>45126</v>
      </c>
      <c r="B107" s="120" t="s">
        <v>1052</v>
      </c>
      <c r="C107" s="75" t="s">
        <v>271</v>
      </c>
      <c r="D107" s="88">
        <v>415838</v>
      </c>
      <c r="G107" s="1"/>
      <c r="L107" s="1"/>
      <c r="M107" s="1"/>
    </row>
    <row r="108" spans="1:13" s="2" customFormat="1" x14ac:dyDescent="0.2">
      <c r="A108" s="87">
        <v>45127</v>
      </c>
      <c r="B108" s="120" t="s">
        <v>1052</v>
      </c>
      <c r="C108" s="75" t="s">
        <v>606</v>
      </c>
      <c r="D108" s="88">
        <v>564973</v>
      </c>
      <c r="G108" s="1"/>
      <c r="L108" s="1"/>
      <c r="M108" s="1"/>
    </row>
    <row r="109" spans="1:13" s="2" customFormat="1" x14ac:dyDescent="0.2">
      <c r="A109" s="87">
        <v>45127</v>
      </c>
      <c r="B109" s="120" t="s">
        <v>1052</v>
      </c>
      <c r="C109" s="75" t="s">
        <v>84</v>
      </c>
      <c r="D109" s="88">
        <v>2000000</v>
      </c>
      <c r="G109" s="1"/>
      <c r="L109" s="1"/>
      <c r="M109" s="1"/>
    </row>
    <row r="110" spans="1:13" s="2" customFormat="1" x14ac:dyDescent="0.2">
      <c r="A110" s="87">
        <v>45127</v>
      </c>
      <c r="B110" s="120" t="s">
        <v>1052</v>
      </c>
      <c r="C110" s="75" t="s">
        <v>86</v>
      </c>
      <c r="D110" s="88">
        <v>906281</v>
      </c>
      <c r="G110" s="1"/>
      <c r="L110" s="1"/>
      <c r="M110" s="1"/>
    </row>
    <row r="111" spans="1:13" s="2" customFormat="1" x14ac:dyDescent="0.2">
      <c r="A111" s="87">
        <v>45127</v>
      </c>
      <c r="B111" s="120" t="s">
        <v>1052</v>
      </c>
      <c r="C111" s="75" t="s">
        <v>86</v>
      </c>
      <c r="D111" s="88">
        <v>12614</v>
      </c>
      <c r="G111" s="1"/>
      <c r="L111" s="1"/>
      <c r="M111" s="1"/>
    </row>
    <row r="112" spans="1:13" s="2" customFormat="1" x14ac:dyDescent="0.2">
      <c r="A112" s="87">
        <v>45127</v>
      </c>
      <c r="B112" s="120" t="s">
        <v>1052</v>
      </c>
      <c r="C112" s="75" t="s">
        <v>88</v>
      </c>
      <c r="D112" s="88">
        <v>903686</v>
      </c>
      <c r="G112" s="1"/>
      <c r="L112" s="1"/>
      <c r="M112" s="1"/>
    </row>
    <row r="113" spans="1:13" s="2" customFormat="1" x14ac:dyDescent="0.2">
      <c r="A113" s="87">
        <v>45127</v>
      </c>
      <c r="B113" s="120" t="s">
        <v>1052</v>
      </c>
      <c r="C113" s="75" t="s">
        <v>86</v>
      </c>
      <c r="D113" s="88">
        <v>2526490</v>
      </c>
      <c r="G113" s="1"/>
      <c r="L113" s="1"/>
      <c r="M113" s="1"/>
    </row>
    <row r="114" spans="1:13" s="2" customFormat="1" x14ac:dyDescent="0.2">
      <c r="A114" s="87">
        <v>45127</v>
      </c>
      <c r="B114" s="120" t="s">
        <v>1052</v>
      </c>
      <c r="C114" s="75" t="s">
        <v>201</v>
      </c>
      <c r="D114" s="88">
        <v>4999894</v>
      </c>
      <c r="G114" s="1"/>
      <c r="L114" s="1"/>
      <c r="M114" s="1"/>
    </row>
    <row r="115" spans="1:13" s="2" customFormat="1" x14ac:dyDescent="0.2">
      <c r="A115" s="87">
        <v>45128</v>
      </c>
      <c r="B115" s="120" t="s">
        <v>1052</v>
      </c>
      <c r="C115" s="75" t="s">
        <v>1084</v>
      </c>
      <c r="D115" s="88">
        <v>4000000</v>
      </c>
      <c r="G115" s="1"/>
      <c r="L115" s="1"/>
      <c r="M115" s="1"/>
    </row>
    <row r="116" spans="1:13" s="2" customFormat="1" x14ac:dyDescent="0.2">
      <c r="A116" s="87">
        <v>45131</v>
      </c>
      <c r="B116" s="120" t="s">
        <v>1052</v>
      </c>
      <c r="C116" s="75" t="s">
        <v>85</v>
      </c>
      <c r="D116" s="88">
        <v>1044741</v>
      </c>
      <c r="G116" s="1"/>
      <c r="L116" s="1"/>
      <c r="M116" s="1"/>
    </row>
    <row r="117" spans="1:13" s="2" customFormat="1" x14ac:dyDescent="0.2">
      <c r="A117" s="87">
        <v>45132</v>
      </c>
      <c r="B117" s="120" t="s">
        <v>1052</v>
      </c>
      <c r="C117" s="75" t="s">
        <v>85</v>
      </c>
      <c r="D117" s="88">
        <v>70998</v>
      </c>
      <c r="G117" s="1"/>
      <c r="L117" s="1"/>
      <c r="M117" s="1"/>
    </row>
    <row r="118" spans="1:13" s="2" customFormat="1" x14ac:dyDescent="0.2">
      <c r="A118" s="87">
        <v>45132</v>
      </c>
      <c r="B118" s="120" t="s">
        <v>1052</v>
      </c>
      <c r="C118" s="75" t="s">
        <v>271</v>
      </c>
      <c r="D118" s="88">
        <v>314598</v>
      </c>
      <c r="G118" s="1"/>
      <c r="L118" s="1"/>
      <c r="M118" s="1"/>
    </row>
    <row r="119" spans="1:13" s="2" customFormat="1" x14ac:dyDescent="0.2">
      <c r="A119" s="87">
        <v>45132</v>
      </c>
      <c r="B119" s="120" t="s">
        <v>1052</v>
      </c>
      <c r="C119" s="75" t="s">
        <v>594</v>
      </c>
      <c r="D119" s="88">
        <v>2163081</v>
      </c>
      <c r="G119" s="1"/>
      <c r="L119" s="1"/>
      <c r="M119" s="1"/>
    </row>
    <row r="120" spans="1:13" s="2" customFormat="1" x14ac:dyDescent="0.2">
      <c r="A120" s="87">
        <v>45133</v>
      </c>
      <c r="B120" s="120" t="s">
        <v>1052</v>
      </c>
      <c r="C120" s="75" t="s">
        <v>87</v>
      </c>
      <c r="D120" s="88">
        <v>299280</v>
      </c>
      <c r="G120" s="1"/>
      <c r="L120" s="1"/>
      <c r="M120" s="1"/>
    </row>
    <row r="121" spans="1:13" s="2" customFormat="1" x14ac:dyDescent="0.2">
      <c r="A121" s="87">
        <v>45133</v>
      </c>
      <c r="B121" s="120" t="s">
        <v>1052</v>
      </c>
      <c r="C121" s="75" t="s">
        <v>323</v>
      </c>
      <c r="D121" s="88">
        <v>1773450</v>
      </c>
      <c r="G121" s="1"/>
      <c r="L121" s="1"/>
      <c r="M121" s="1"/>
    </row>
    <row r="122" spans="1:13" s="2" customFormat="1" x14ac:dyDescent="0.2">
      <c r="A122" s="87">
        <v>45133</v>
      </c>
      <c r="B122" s="120" t="s">
        <v>1052</v>
      </c>
      <c r="C122" s="75" t="s">
        <v>84</v>
      </c>
      <c r="D122" s="88">
        <v>2000000</v>
      </c>
      <c r="G122" s="1"/>
      <c r="L122" s="1"/>
      <c r="M122" s="1"/>
    </row>
    <row r="123" spans="1:13" s="2" customFormat="1" x14ac:dyDescent="0.2">
      <c r="A123" s="87">
        <v>45133</v>
      </c>
      <c r="B123" s="120" t="s">
        <v>1052</v>
      </c>
      <c r="C123" s="75" t="s">
        <v>87</v>
      </c>
      <c r="D123" s="88">
        <v>1434314</v>
      </c>
      <c r="G123" s="1"/>
      <c r="L123" s="1"/>
      <c r="M123" s="1"/>
    </row>
    <row r="124" spans="1:13" s="2" customFormat="1" x14ac:dyDescent="0.2">
      <c r="A124" s="87">
        <v>45135</v>
      </c>
      <c r="B124" s="120" t="s">
        <v>1052</v>
      </c>
      <c r="C124" s="75" t="s">
        <v>270</v>
      </c>
      <c r="D124" s="88">
        <v>102576</v>
      </c>
      <c r="G124" s="1"/>
      <c r="L124" s="1"/>
      <c r="M124" s="1"/>
    </row>
    <row r="125" spans="1:13" s="2" customFormat="1" x14ac:dyDescent="0.2">
      <c r="A125" s="87">
        <v>45135</v>
      </c>
      <c r="B125" s="120" t="s">
        <v>1052</v>
      </c>
      <c r="C125" s="75" t="s">
        <v>270</v>
      </c>
      <c r="D125" s="88">
        <v>885672</v>
      </c>
      <c r="G125" s="1"/>
      <c r="L125" s="1"/>
      <c r="M125" s="1"/>
    </row>
    <row r="126" spans="1:13" s="2" customFormat="1" x14ac:dyDescent="0.2">
      <c r="A126" s="87">
        <v>45135</v>
      </c>
      <c r="B126" s="120" t="s">
        <v>1052</v>
      </c>
      <c r="C126" s="75" t="s">
        <v>271</v>
      </c>
      <c r="D126" s="88">
        <v>3464097</v>
      </c>
      <c r="G126" s="1"/>
      <c r="L126" s="1"/>
      <c r="M126" s="1"/>
    </row>
    <row r="127" spans="1:13" s="2" customFormat="1" x14ac:dyDescent="0.2">
      <c r="A127" s="87">
        <v>45136</v>
      </c>
      <c r="B127" s="120" t="s">
        <v>1052</v>
      </c>
      <c r="C127" s="75" t="s">
        <v>1084</v>
      </c>
      <c r="D127" s="88">
        <v>3951435</v>
      </c>
      <c r="G127" s="1"/>
      <c r="L127" s="1"/>
      <c r="M127" s="1"/>
    </row>
    <row r="128" spans="1:13" s="2" customFormat="1" x14ac:dyDescent="0.2">
      <c r="A128" s="87"/>
      <c r="B128" s="74"/>
      <c r="C128" s="75"/>
      <c r="D128" s="51">
        <f>SUM(D69:D127)</f>
        <v>82536415.920000002</v>
      </c>
      <c r="F128" s="2" t="s">
        <v>396</v>
      </c>
      <c r="G128" s="1"/>
      <c r="L128" s="1"/>
      <c r="M128" s="1"/>
    </row>
    <row r="129" spans="1:13" s="2" customFormat="1" x14ac:dyDescent="0.2">
      <c r="A129" s="24"/>
      <c r="B129" s="1"/>
      <c r="C129" s="14"/>
      <c r="D129" s="56"/>
      <c r="E129" s="13"/>
      <c r="G129" s="1"/>
      <c r="L129" s="1"/>
      <c r="M129" s="1"/>
    </row>
    <row r="130" spans="1:13" s="2" customFormat="1" x14ac:dyDescent="0.2">
      <c r="A130" s="24"/>
      <c r="B130" s="1"/>
      <c r="C130" s="218" t="s">
        <v>77</v>
      </c>
      <c r="D130" s="219"/>
      <c r="E130" s="219"/>
      <c r="F130" s="220"/>
      <c r="G130" s="1"/>
      <c r="L130" s="1"/>
      <c r="M130" s="1"/>
    </row>
    <row r="131" spans="1:13" s="2" customFormat="1" x14ac:dyDescent="0.2">
      <c r="A131" s="24"/>
      <c r="B131" s="1"/>
      <c r="C131" s="50"/>
      <c r="D131" s="57" t="s">
        <v>78</v>
      </c>
      <c r="E131" s="58" t="s">
        <v>79</v>
      </c>
      <c r="F131" s="57" t="s">
        <v>72</v>
      </c>
      <c r="G131" s="1"/>
      <c r="I131" s="1"/>
      <c r="J131" s="1"/>
      <c r="K131" s="1"/>
      <c r="L131" s="1"/>
      <c r="M131" s="1"/>
    </row>
    <row r="132" spans="1:13" s="2" customFormat="1" x14ac:dyDescent="0.2">
      <c r="A132" s="24"/>
      <c r="B132" s="1"/>
      <c r="C132" s="59" t="str">
        <f>"01-07-2023 to "&amp;TEXT(A5-2,"dd-mm-yyyy")</f>
        <v>01-07-2023 to 27-07-2023</v>
      </c>
      <c r="D132" s="60">
        <v>4729.28</v>
      </c>
      <c r="E132" s="60">
        <v>234.02</v>
      </c>
      <c r="F132" s="61">
        <f>SUM(D132:E132)</f>
        <v>4963.3</v>
      </c>
      <c r="G132" s="1"/>
    </row>
    <row r="133" spans="1:13" s="2" customFormat="1" x14ac:dyDescent="0.2">
      <c r="A133" s="24"/>
      <c r="B133" s="1"/>
      <c r="C133" s="62" t="str">
        <f>TEXT(A5-1,"dd-mm-yyyy")</f>
        <v>28-07-2023</v>
      </c>
      <c r="D133" s="60">
        <v>260.39999999999998</v>
      </c>
      <c r="E133" s="60">
        <v>16.75</v>
      </c>
      <c r="F133" s="61">
        <f>SUM(D133:E133)</f>
        <v>277.14999999999998</v>
      </c>
      <c r="G133" s="54"/>
      <c r="I133" s="1"/>
      <c r="J133" s="1"/>
      <c r="K133" s="1"/>
      <c r="L133" s="1"/>
      <c r="M133" s="1"/>
    </row>
    <row r="134" spans="1:13" s="2" customFormat="1" ht="13.5" thickBot="1" x14ac:dyDescent="0.25">
      <c r="A134" s="24"/>
      <c r="B134" s="1"/>
      <c r="C134" s="63" t="str">
        <f>"01-07-2023 to "&amp;TEXT(A5-1,"dd-mm-yyyy")</f>
        <v>01-07-2023 to 28-07-2023</v>
      </c>
      <c r="D134" s="64">
        <f>SUM(D132:D133)</f>
        <v>4989.6799999999994</v>
      </c>
      <c r="E134" s="64">
        <f>SUM(E132:E133)</f>
        <v>250.77</v>
      </c>
      <c r="F134" s="64">
        <f>SUM(F132:F133)</f>
        <v>5240.45</v>
      </c>
      <c r="G134" s="54"/>
      <c r="I134" s="1"/>
      <c r="J134" s="1"/>
      <c r="K134" s="1"/>
      <c r="L134" s="1"/>
      <c r="M134" s="1"/>
    </row>
    <row r="135" spans="1:13" s="2" customFormat="1" ht="13.5" thickTop="1" x14ac:dyDescent="0.2">
      <c r="A135" s="24"/>
      <c r="B135" s="1"/>
      <c r="C135" s="62"/>
      <c r="D135" s="65"/>
      <c r="E135" s="66"/>
      <c r="F135" s="67"/>
      <c r="G135" s="54"/>
      <c r="I135" s="1"/>
      <c r="J135" s="1"/>
      <c r="K135" s="1"/>
      <c r="L135" s="1"/>
      <c r="M135" s="1"/>
    </row>
    <row r="136" spans="1:13" s="2" customFormat="1" x14ac:dyDescent="0.2">
      <c r="A136" s="24"/>
      <c r="B136" s="1"/>
      <c r="C136" s="62" t="str">
        <f>"01-04-2023 to " &amp;C133</f>
        <v>01-04-2023 to 28-07-2023</v>
      </c>
      <c r="D136" s="68">
        <f>+D134+15505.53</f>
        <v>20495.21</v>
      </c>
      <c r="E136" s="68">
        <f>+E134+1109.72</f>
        <v>1360.49</v>
      </c>
      <c r="F136" s="68">
        <f>+F134+16615.25</f>
        <v>21855.7</v>
      </c>
      <c r="G136" s="54"/>
      <c r="I136" s="1"/>
      <c r="J136" s="1"/>
      <c r="K136" s="1"/>
      <c r="L136" s="1"/>
      <c r="M136" s="1"/>
    </row>
    <row r="137" spans="1:13" x14ac:dyDescent="0.2">
      <c r="C137" s="52"/>
      <c r="D137" s="85"/>
      <c r="E137" s="53"/>
      <c r="F137" s="53"/>
      <c r="G137" s="54"/>
      <c r="H137" s="2" t="s">
        <v>396</v>
      </c>
    </row>
    <row r="138" spans="1:13" s="2" customFormat="1" x14ac:dyDescent="0.2">
      <c r="A138" s="24"/>
      <c r="B138" s="1"/>
      <c r="C138" s="52"/>
      <c r="D138" s="85"/>
      <c r="E138" s="53"/>
      <c r="F138" s="53"/>
      <c r="G138" s="54"/>
      <c r="H138" s="53"/>
    </row>
    <row r="139" spans="1:13" x14ac:dyDescent="0.2">
      <c r="C139" s="52"/>
      <c r="D139" s="85"/>
      <c r="E139" s="53"/>
      <c r="F139" s="53"/>
      <c r="G139" s="54"/>
      <c r="H139" s="53" t="s">
        <v>396</v>
      </c>
    </row>
    <row r="140" spans="1:13" x14ac:dyDescent="0.2">
      <c r="C140" s="52"/>
      <c r="D140" s="85"/>
      <c r="E140" s="53"/>
      <c r="F140" s="53"/>
      <c r="G140" s="54"/>
      <c r="H140" s="53" t="s">
        <v>396</v>
      </c>
      <c r="J140" s="42"/>
    </row>
    <row r="141" spans="1:13" x14ac:dyDescent="0.2">
      <c r="G141" s="54"/>
      <c r="H141" s="53"/>
      <c r="I141" s="101"/>
    </row>
    <row r="142" spans="1:13" x14ac:dyDescent="0.2">
      <c r="G142" s="54"/>
      <c r="H142" s="53"/>
    </row>
    <row r="143" spans="1:13" x14ac:dyDescent="0.2">
      <c r="G143" s="54"/>
      <c r="H143" s="53"/>
    </row>
    <row r="144" spans="1:13" x14ac:dyDescent="0.2">
      <c r="H144" s="53"/>
    </row>
  </sheetData>
  <mergeCells count="6">
    <mergeCell ref="C130:F130"/>
    <mergeCell ref="A1:G1"/>
    <mergeCell ref="A3:F3"/>
    <mergeCell ref="A9:F9"/>
    <mergeCell ref="A29:F29"/>
    <mergeCell ref="A67:D67"/>
  </mergeCells>
  <conditionalFormatting sqref="G64:G65">
    <cfRule type="cellIs" dxfId="389" priority="1" operator="lessThan">
      <formula>0</formula>
    </cfRule>
  </conditionalFormatting>
  <conditionalFormatting sqref="C31">
    <cfRule type="duplicateValues" dxfId="388" priority="2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000-000000000000}">
  <sheetPr codeName="Sheet392">
    <pageSetUpPr fitToPage="1"/>
  </sheetPr>
  <dimension ref="A1:N161"/>
  <sheetViews>
    <sheetView topLeftCell="A49" zoomScaleNormal="100" workbookViewId="0">
      <selection activeCell="I63" sqref="I63:I64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1281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45138</v>
      </c>
      <c r="B5" s="9" t="s">
        <v>6</v>
      </c>
      <c r="C5" s="10" t="s">
        <v>7</v>
      </c>
      <c r="D5" s="11"/>
      <c r="E5" s="12">
        <v>277691.7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277691.7</v>
      </c>
      <c r="F6" s="16">
        <f>SUM(F5:F5)</f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+E6-F6</f>
        <v>277691.7</v>
      </c>
      <c r="F7" s="22"/>
      <c r="G7" s="23"/>
      <c r="H7" s="112"/>
      <c r="I7" s="112"/>
      <c r="J7" s="13"/>
    </row>
    <row r="8" spans="1:10" ht="12.75" customHeight="1" x14ac:dyDescent="0.4">
      <c r="H8" s="112"/>
      <c r="I8" s="112"/>
    </row>
    <row r="9" spans="1:10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12"/>
    </row>
    <row r="10" spans="1:10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12"/>
    </row>
    <row r="11" spans="1:10" s="2" customFormat="1" ht="14.25" customHeight="1" x14ac:dyDescent="0.2">
      <c r="A11" s="89">
        <v>45138</v>
      </c>
      <c r="B11" s="9" t="s">
        <v>6</v>
      </c>
      <c r="C11" s="10" t="s">
        <v>7</v>
      </c>
      <c r="D11" s="11"/>
      <c r="F11" s="12">
        <v>10407467.709999997</v>
      </c>
      <c r="G11" s="1"/>
      <c r="H11" s="130" t="s">
        <v>396</v>
      </c>
      <c r="I11" s="130"/>
    </row>
    <row r="12" spans="1:10" s="70" customFormat="1" ht="12.75" customHeight="1" x14ac:dyDescent="0.2">
      <c r="A12" s="89">
        <v>45138</v>
      </c>
      <c r="B12" s="128" t="s">
        <v>6</v>
      </c>
      <c r="C12" s="76" t="s">
        <v>468</v>
      </c>
      <c r="D12" s="11" t="s">
        <v>13</v>
      </c>
      <c r="E12" s="31">
        <v>14038</v>
      </c>
      <c r="F12" s="31"/>
      <c r="G12" s="30"/>
      <c r="I12" s="69"/>
      <c r="J12" s="69"/>
    </row>
    <row r="13" spans="1:10" s="70" customFormat="1" ht="12.75" customHeight="1" x14ac:dyDescent="0.2">
      <c r="A13" s="89">
        <v>45138</v>
      </c>
      <c r="B13" s="128" t="s">
        <v>6</v>
      </c>
      <c r="C13" s="76" t="s">
        <v>158</v>
      </c>
      <c r="D13" s="11" t="s">
        <v>13</v>
      </c>
      <c r="E13" s="31">
        <v>117375</v>
      </c>
      <c r="F13" s="31"/>
      <c r="G13" s="30"/>
      <c r="I13" s="69"/>
      <c r="J13" s="69"/>
    </row>
    <row r="14" spans="1:10" s="70" customFormat="1" ht="12.75" customHeight="1" x14ac:dyDescent="0.2">
      <c r="A14" s="89">
        <v>45138</v>
      </c>
      <c r="B14" s="128" t="s">
        <v>6</v>
      </c>
      <c r="C14" s="76" t="s">
        <v>763</v>
      </c>
      <c r="D14" s="11" t="s">
        <v>13</v>
      </c>
      <c r="E14" s="31">
        <v>205044</v>
      </c>
      <c r="F14" s="31"/>
      <c r="G14" s="30"/>
      <c r="I14" s="69"/>
      <c r="J14" s="69"/>
    </row>
    <row r="15" spans="1:10" s="70" customFormat="1" ht="12.75" customHeight="1" x14ac:dyDescent="0.2">
      <c r="A15" s="89">
        <v>45138</v>
      </c>
      <c r="B15" s="128" t="s">
        <v>11</v>
      </c>
      <c r="C15" s="76" t="s">
        <v>1282</v>
      </c>
      <c r="D15" s="11" t="s">
        <v>29</v>
      </c>
      <c r="E15" s="31"/>
      <c r="F15" s="31">
        <v>50000</v>
      </c>
      <c r="G15" s="30"/>
      <c r="I15" s="69"/>
      <c r="J15" s="69"/>
    </row>
    <row r="16" spans="1:10" s="70" customFormat="1" ht="12.75" customHeight="1" x14ac:dyDescent="0.2">
      <c r="A16" s="89">
        <v>45138</v>
      </c>
      <c r="B16" s="128" t="s">
        <v>11</v>
      </c>
      <c r="C16" s="76" t="s">
        <v>113</v>
      </c>
      <c r="D16" s="11" t="s">
        <v>29</v>
      </c>
      <c r="E16" s="31"/>
      <c r="F16" s="31">
        <v>245000</v>
      </c>
      <c r="G16" s="30"/>
      <c r="I16" s="69"/>
      <c r="J16" s="69"/>
    </row>
    <row r="17" spans="1:10" s="70" customFormat="1" ht="12.75" customHeight="1" x14ac:dyDescent="0.2">
      <c r="A17" s="89">
        <v>45138</v>
      </c>
      <c r="B17" s="128" t="s">
        <v>11</v>
      </c>
      <c r="C17" s="76" t="s">
        <v>194</v>
      </c>
      <c r="D17" s="11" t="s">
        <v>29</v>
      </c>
      <c r="E17" s="31"/>
      <c r="F17" s="31">
        <v>1505020</v>
      </c>
      <c r="G17" s="30"/>
      <c r="I17" s="69"/>
      <c r="J17" s="69"/>
    </row>
    <row r="18" spans="1:10" s="70" customFormat="1" ht="12.75" customHeight="1" x14ac:dyDescent="0.2">
      <c r="A18" s="89">
        <v>45138</v>
      </c>
      <c r="B18" s="128" t="s">
        <v>11</v>
      </c>
      <c r="C18" s="76" t="s">
        <v>790</v>
      </c>
      <c r="D18" s="11" t="s">
        <v>29</v>
      </c>
      <c r="E18" s="31"/>
      <c r="F18" s="31">
        <v>295651</v>
      </c>
      <c r="G18" s="30"/>
      <c r="I18" s="69"/>
      <c r="J18" s="69"/>
    </row>
    <row r="19" spans="1:10" s="70" customFormat="1" ht="12.75" customHeight="1" x14ac:dyDescent="0.2">
      <c r="A19" s="89">
        <v>45138</v>
      </c>
      <c r="B19" s="128" t="s">
        <v>11</v>
      </c>
      <c r="C19" s="76" t="s">
        <v>849</v>
      </c>
      <c r="D19" s="11" t="s">
        <v>29</v>
      </c>
      <c r="E19" s="31"/>
      <c r="F19" s="31">
        <v>483426</v>
      </c>
      <c r="G19" s="30"/>
      <c r="I19" s="69"/>
      <c r="J19" s="69"/>
    </row>
    <row r="20" spans="1:10" s="70" customFormat="1" ht="12.75" customHeight="1" x14ac:dyDescent="0.2">
      <c r="A20" s="89">
        <v>45138</v>
      </c>
      <c r="B20" s="128" t="s">
        <v>11</v>
      </c>
      <c r="C20" s="76" t="s">
        <v>745</v>
      </c>
      <c r="D20" s="11" t="s">
        <v>29</v>
      </c>
      <c r="E20" s="31"/>
      <c r="F20" s="31">
        <v>771597</v>
      </c>
      <c r="G20" s="30"/>
      <c r="I20" s="69"/>
      <c r="J20" s="69"/>
    </row>
    <row r="21" spans="1:10" s="70" customFormat="1" ht="12.75" customHeight="1" x14ac:dyDescent="0.2">
      <c r="A21" s="89">
        <v>45138</v>
      </c>
      <c r="B21" s="128" t="s">
        <v>11</v>
      </c>
      <c r="C21" s="76" t="s">
        <v>56</v>
      </c>
      <c r="D21" s="11" t="s">
        <v>29</v>
      </c>
      <c r="E21" s="31"/>
      <c r="F21" s="31">
        <v>259702.5</v>
      </c>
      <c r="G21" s="30"/>
      <c r="I21" s="69"/>
      <c r="J21" s="69"/>
    </row>
    <row r="22" spans="1:10" s="70" customFormat="1" ht="12.75" customHeight="1" x14ac:dyDescent="0.2">
      <c r="A22" s="89">
        <v>45138</v>
      </c>
      <c r="B22" s="128" t="s">
        <v>11</v>
      </c>
      <c r="C22" s="76" t="s">
        <v>1140</v>
      </c>
      <c r="D22" s="11" t="s">
        <v>29</v>
      </c>
      <c r="E22" s="31"/>
      <c r="F22" s="31">
        <v>313641</v>
      </c>
      <c r="G22" s="30"/>
      <c r="I22" s="69"/>
      <c r="J22" s="69"/>
    </row>
    <row r="23" spans="1:10" s="70" customFormat="1" ht="12.75" customHeight="1" x14ac:dyDescent="0.2">
      <c r="A23" s="89">
        <v>45138</v>
      </c>
      <c r="B23" s="128" t="s">
        <v>11</v>
      </c>
      <c r="C23" s="76" t="s">
        <v>814</v>
      </c>
      <c r="D23" s="11" t="s">
        <v>29</v>
      </c>
      <c r="E23" s="31"/>
      <c r="F23" s="31">
        <v>54250</v>
      </c>
      <c r="G23" s="30"/>
      <c r="I23" s="69"/>
      <c r="J23" s="69"/>
    </row>
    <row r="24" spans="1:10" s="2" customFormat="1" ht="14.25" customHeight="1" x14ac:dyDescent="0.2">
      <c r="A24" s="89">
        <v>45138</v>
      </c>
      <c r="B24" s="128" t="s">
        <v>11</v>
      </c>
      <c r="C24" s="76" t="s">
        <v>193</v>
      </c>
      <c r="D24" s="11" t="s">
        <v>29</v>
      </c>
      <c r="F24" s="31">
        <v>621578</v>
      </c>
      <c r="G24" s="1"/>
      <c r="H24" s="130"/>
      <c r="I24" s="130"/>
    </row>
    <row r="25" spans="1:10" s="2" customFormat="1" ht="14.25" customHeight="1" x14ac:dyDescent="0.2">
      <c r="A25" s="89">
        <v>45138</v>
      </c>
      <c r="B25" s="128" t="s">
        <v>11</v>
      </c>
      <c r="C25" s="76" t="s">
        <v>300</v>
      </c>
      <c r="D25" s="11" t="s">
        <v>29</v>
      </c>
      <c r="F25" s="31">
        <v>173251</v>
      </c>
      <c r="G25" s="1"/>
      <c r="H25" s="130"/>
      <c r="I25" s="130"/>
    </row>
    <row r="26" spans="1:10" s="2" customFormat="1" ht="14.25" customHeight="1" x14ac:dyDescent="0.2">
      <c r="A26" s="89">
        <v>45138</v>
      </c>
      <c r="B26" s="128" t="s">
        <v>11</v>
      </c>
      <c r="C26" s="76" t="s">
        <v>302</v>
      </c>
      <c r="D26" s="11" t="s">
        <v>29</v>
      </c>
      <c r="F26" s="31">
        <v>6342</v>
      </c>
      <c r="G26" s="1"/>
      <c r="H26" s="130"/>
      <c r="I26" s="130"/>
    </row>
    <row r="27" spans="1:10" s="2" customFormat="1" ht="14.25" customHeight="1" x14ac:dyDescent="0.2">
      <c r="A27" s="89">
        <v>45138</v>
      </c>
      <c r="B27" s="128" t="s">
        <v>11</v>
      </c>
      <c r="C27" s="76" t="s">
        <v>57</v>
      </c>
      <c r="D27" s="11" t="s">
        <v>29</v>
      </c>
      <c r="F27" s="31">
        <v>5000000</v>
      </c>
      <c r="G27" s="1"/>
      <c r="H27" s="130"/>
      <c r="I27" s="130"/>
    </row>
    <row r="28" spans="1:10" s="2" customFormat="1" ht="14.25" customHeight="1" x14ac:dyDescent="0.2">
      <c r="A28" s="89">
        <v>45138</v>
      </c>
      <c r="B28" s="128" t="s">
        <v>11</v>
      </c>
      <c r="C28" s="76" t="s">
        <v>63</v>
      </c>
      <c r="D28" s="11" t="s">
        <v>29</v>
      </c>
      <c r="F28" s="31">
        <v>5000000</v>
      </c>
      <c r="G28" s="1"/>
      <c r="H28" s="130"/>
      <c r="I28" s="130"/>
    </row>
    <row r="29" spans="1:10" s="2" customFormat="1" ht="14.25" customHeight="1" x14ac:dyDescent="0.2">
      <c r="A29" s="89">
        <v>45138</v>
      </c>
      <c r="B29" s="128" t="s">
        <v>11</v>
      </c>
      <c r="C29" s="76" t="s">
        <v>198</v>
      </c>
      <c r="D29" s="11" t="s">
        <v>29</v>
      </c>
      <c r="F29" s="31">
        <v>750000</v>
      </c>
      <c r="G29" s="1"/>
      <c r="H29" s="130"/>
      <c r="I29" s="130"/>
    </row>
    <row r="30" spans="1:10" s="2" customFormat="1" ht="14.25" customHeight="1" x14ac:dyDescent="0.2">
      <c r="A30" s="89">
        <v>45138</v>
      </c>
      <c r="B30" s="128" t="s">
        <v>11</v>
      </c>
      <c r="C30" s="76" t="s">
        <v>443</v>
      </c>
      <c r="D30" s="11" t="s">
        <v>29</v>
      </c>
      <c r="F30" s="31">
        <v>750000</v>
      </c>
      <c r="G30" s="1"/>
      <c r="H30" s="130"/>
      <c r="I30" s="130"/>
    </row>
    <row r="31" spans="1:10" s="2" customFormat="1" ht="14.25" customHeight="1" x14ac:dyDescent="0.2">
      <c r="A31" s="89">
        <v>45138</v>
      </c>
      <c r="B31" s="128" t="s">
        <v>11</v>
      </c>
      <c r="C31" s="76" t="s">
        <v>729</v>
      </c>
      <c r="D31" s="11" t="s">
        <v>29</v>
      </c>
      <c r="F31" s="31">
        <v>8300</v>
      </c>
      <c r="G31" s="1"/>
      <c r="H31" s="130"/>
      <c r="I31" s="130"/>
    </row>
    <row r="32" spans="1:10" s="2" customFormat="1" ht="14.25" customHeight="1" x14ac:dyDescent="0.2">
      <c r="A32" s="89">
        <v>45138</v>
      </c>
      <c r="B32" s="128" t="s">
        <v>11</v>
      </c>
      <c r="C32" s="76" t="s">
        <v>769</v>
      </c>
      <c r="D32" s="11" t="s">
        <v>29</v>
      </c>
      <c r="F32" s="31">
        <v>279964</v>
      </c>
      <c r="G32" s="1"/>
      <c r="H32" s="130"/>
      <c r="I32" s="130"/>
    </row>
    <row r="33" spans="1:10" s="2" customFormat="1" ht="14.25" customHeight="1" x14ac:dyDescent="0.2">
      <c r="A33" s="89">
        <v>45138</v>
      </c>
      <c r="B33" s="128" t="s">
        <v>11</v>
      </c>
      <c r="C33" s="76" t="s">
        <v>1256</v>
      </c>
      <c r="D33" s="11" t="s">
        <v>29</v>
      </c>
      <c r="F33" s="31">
        <v>31816</v>
      </c>
      <c r="G33" s="1"/>
      <c r="H33" s="130"/>
      <c r="I33" s="130"/>
    </row>
    <row r="34" spans="1:10" s="2" customFormat="1" ht="14.25" customHeight="1" x14ac:dyDescent="0.2">
      <c r="A34" s="89">
        <v>45138</v>
      </c>
      <c r="B34" s="128" t="s">
        <v>11</v>
      </c>
      <c r="C34" s="76" t="s">
        <v>1091</v>
      </c>
      <c r="D34" s="11" t="s">
        <v>29</v>
      </c>
      <c r="F34" s="31">
        <v>1180</v>
      </c>
      <c r="G34" s="1"/>
      <c r="H34" s="130"/>
      <c r="I34" s="130"/>
    </row>
    <row r="35" spans="1:10" s="2" customFormat="1" ht="12.75" customHeight="1" x14ac:dyDescent="0.4">
      <c r="D35" s="11" t="s">
        <v>8</v>
      </c>
      <c r="E35" s="16">
        <f>SUM(E12:E34)</f>
        <v>336457</v>
      </c>
      <c r="F35" s="16">
        <f>SUM(F11:F34)</f>
        <v>27008186.209999997</v>
      </c>
      <c r="G35" s="1"/>
      <c r="H35" s="112"/>
      <c r="I35" s="112"/>
    </row>
    <row r="36" spans="1:10" s="2" customFormat="1" ht="12.75" customHeight="1" x14ac:dyDescent="0.4">
      <c r="A36" s="17"/>
      <c r="B36" s="18"/>
      <c r="C36" s="96" t="s">
        <v>9</v>
      </c>
      <c r="D36" s="20"/>
      <c r="E36" s="21">
        <f>+F35-E35</f>
        <v>26671729.209999997</v>
      </c>
      <c r="G36" s="23"/>
      <c r="H36" s="112"/>
      <c r="I36" s="112"/>
      <c r="J36" s="13"/>
    </row>
    <row r="37" spans="1:10" s="2" customFormat="1" ht="12.75" customHeight="1" x14ac:dyDescent="0.4">
      <c r="A37" s="24"/>
      <c r="B37" s="1"/>
      <c r="C37" s="14"/>
      <c r="D37" s="25"/>
      <c r="G37" s="23"/>
      <c r="H37" s="112"/>
      <c r="I37" s="112"/>
      <c r="J37" s="13"/>
    </row>
    <row r="38" spans="1:10" s="2" customFormat="1" ht="21.75" customHeight="1" x14ac:dyDescent="0.4">
      <c r="A38" s="214" t="s">
        <v>10</v>
      </c>
      <c r="B38" s="214"/>
      <c r="C38" s="214"/>
      <c r="D38" s="214"/>
      <c r="E38" s="214"/>
      <c r="F38" s="214"/>
      <c r="G38" s="13"/>
      <c r="H38" s="112"/>
      <c r="I38" s="112"/>
      <c r="J38" s="13"/>
    </row>
    <row r="39" spans="1:10" s="2" customFormat="1" ht="12.75" customHeight="1" x14ac:dyDescent="0.4">
      <c r="A39" s="26" t="s">
        <v>1</v>
      </c>
      <c r="B39" s="27" t="s">
        <v>2</v>
      </c>
      <c r="C39" s="5"/>
      <c r="D39" s="6" t="s">
        <v>3</v>
      </c>
      <c r="E39" s="7" t="s">
        <v>4</v>
      </c>
      <c r="F39" s="7" t="s">
        <v>5</v>
      </c>
      <c r="G39" s="23"/>
      <c r="H39" s="112"/>
      <c r="I39" s="112"/>
      <c r="J39" s="13"/>
    </row>
    <row r="40" spans="1:10" s="2" customFormat="1" ht="12.75" customHeight="1" x14ac:dyDescent="0.2">
      <c r="A40" s="127">
        <v>45138</v>
      </c>
      <c r="B40" s="128" t="s">
        <v>11</v>
      </c>
      <c r="C40" s="29" t="s">
        <v>7</v>
      </c>
      <c r="D40" s="25"/>
      <c r="E40" s="31"/>
      <c r="F40" s="2">
        <v>291272155.64999986</v>
      </c>
      <c r="G40" s="30"/>
      <c r="I40" s="13"/>
      <c r="J40" s="13"/>
    </row>
    <row r="41" spans="1:10" s="70" customFormat="1" ht="12.75" customHeight="1" x14ac:dyDescent="0.2">
      <c r="A41" s="127">
        <v>45138</v>
      </c>
      <c r="B41" s="128" t="s">
        <v>6</v>
      </c>
      <c r="C41" s="10" t="s">
        <v>366</v>
      </c>
      <c r="D41" s="11" t="s">
        <v>13</v>
      </c>
      <c r="E41" s="86">
        <v>5005737</v>
      </c>
      <c r="G41" s="30"/>
      <c r="I41" s="69"/>
      <c r="J41" s="69"/>
    </row>
    <row r="42" spans="1:10" s="70" customFormat="1" ht="12.75" customHeight="1" x14ac:dyDescent="0.2">
      <c r="A42" s="127">
        <v>45138</v>
      </c>
      <c r="B42" s="128" t="s">
        <v>6</v>
      </c>
      <c r="C42" s="10" t="s">
        <v>316</v>
      </c>
      <c r="D42" s="11" t="s">
        <v>13</v>
      </c>
      <c r="E42" s="86">
        <v>364942</v>
      </c>
      <c r="G42" s="30"/>
      <c r="I42" s="69"/>
      <c r="J42" s="69"/>
    </row>
    <row r="43" spans="1:10" s="70" customFormat="1" ht="12.75" customHeight="1" x14ac:dyDescent="0.2">
      <c r="A43" s="127">
        <v>45138</v>
      </c>
      <c r="B43" s="128" t="s">
        <v>6</v>
      </c>
      <c r="C43" s="10" t="s">
        <v>1241</v>
      </c>
      <c r="D43" s="11" t="s">
        <v>13</v>
      </c>
      <c r="E43" s="86">
        <v>165201</v>
      </c>
      <c r="G43" s="30"/>
      <c r="I43" s="69"/>
      <c r="J43" s="69"/>
    </row>
    <row r="44" spans="1:10" s="70" customFormat="1" ht="12.75" customHeight="1" x14ac:dyDescent="0.2">
      <c r="A44" s="127">
        <v>45138</v>
      </c>
      <c r="B44" s="128" t="s">
        <v>6</v>
      </c>
      <c r="C44" s="10" t="s">
        <v>455</v>
      </c>
      <c r="D44" s="11" t="s">
        <v>13</v>
      </c>
      <c r="E44" s="86">
        <v>22775</v>
      </c>
      <c r="G44" s="30"/>
      <c r="I44" s="69"/>
      <c r="J44" s="69"/>
    </row>
    <row r="45" spans="1:10" s="70" customFormat="1" ht="12.75" customHeight="1" x14ac:dyDescent="0.2">
      <c r="A45" s="127">
        <v>45138</v>
      </c>
      <c r="B45" s="128" t="s">
        <v>6</v>
      </c>
      <c r="C45" s="10" t="s">
        <v>1283</v>
      </c>
      <c r="D45" s="11" t="s">
        <v>13</v>
      </c>
      <c r="E45" s="86">
        <v>3780</v>
      </c>
      <c r="G45" s="30"/>
      <c r="I45" s="69"/>
      <c r="J45" s="69"/>
    </row>
    <row r="46" spans="1:10" s="70" customFormat="1" ht="12.75" customHeight="1" x14ac:dyDescent="0.2">
      <c r="A46" s="127">
        <v>45138</v>
      </c>
      <c r="B46" s="128" t="s">
        <v>6</v>
      </c>
      <c r="C46" s="10" t="s">
        <v>1212</v>
      </c>
      <c r="D46" s="11" t="s">
        <v>13</v>
      </c>
      <c r="E46" s="86">
        <v>4434897</v>
      </c>
      <c r="G46" s="30"/>
      <c r="I46" s="69"/>
      <c r="J46" s="69"/>
    </row>
    <row r="47" spans="1:10" s="70" customFormat="1" ht="12.75" customHeight="1" x14ac:dyDescent="0.2">
      <c r="A47" s="127">
        <v>45138</v>
      </c>
      <c r="B47" s="128" t="s">
        <v>6</v>
      </c>
      <c r="C47" s="10" t="s">
        <v>105</v>
      </c>
      <c r="D47" s="11" t="s">
        <v>13</v>
      </c>
      <c r="E47" s="86">
        <v>7998</v>
      </c>
      <c r="G47" s="30"/>
      <c r="I47" s="69"/>
      <c r="J47" s="69"/>
    </row>
    <row r="48" spans="1:10" s="70" customFormat="1" ht="12.75" customHeight="1" x14ac:dyDescent="0.2">
      <c r="A48" s="127">
        <v>45138</v>
      </c>
      <c r="B48" s="128" t="s">
        <v>6</v>
      </c>
      <c r="C48" s="10" t="s">
        <v>160</v>
      </c>
      <c r="D48" s="11" t="s">
        <v>13</v>
      </c>
      <c r="E48" s="86">
        <v>354638</v>
      </c>
      <c r="G48" s="30"/>
      <c r="I48" s="69"/>
      <c r="J48" s="69"/>
    </row>
    <row r="49" spans="1:14" s="70" customFormat="1" ht="12.75" customHeight="1" x14ac:dyDescent="0.2">
      <c r="A49" s="127">
        <v>45138</v>
      </c>
      <c r="B49" s="128" t="s">
        <v>6</v>
      </c>
      <c r="C49" s="10" t="s">
        <v>164</v>
      </c>
      <c r="D49" s="11" t="s">
        <v>13</v>
      </c>
      <c r="E49" s="86">
        <v>500000</v>
      </c>
      <c r="G49" s="30"/>
      <c r="I49" s="69"/>
      <c r="J49" s="69"/>
    </row>
    <row r="50" spans="1:14" s="70" customFormat="1" ht="12.75" customHeight="1" x14ac:dyDescent="0.2">
      <c r="A50" s="127">
        <v>45138</v>
      </c>
      <c r="B50" s="128" t="s">
        <v>6</v>
      </c>
      <c r="C50" s="10" t="s">
        <v>1235</v>
      </c>
      <c r="D50" s="11" t="s">
        <v>13</v>
      </c>
      <c r="E50" s="86">
        <v>2177801</v>
      </c>
      <c r="G50" s="30"/>
      <c r="I50" s="69"/>
      <c r="J50" s="69"/>
    </row>
    <row r="51" spans="1:14" s="70" customFormat="1" ht="12.75" customHeight="1" x14ac:dyDescent="0.2">
      <c r="A51" s="127">
        <v>45138</v>
      </c>
      <c r="B51" s="128" t="s">
        <v>6</v>
      </c>
      <c r="C51" s="10" t="s">
        <v>177</v>
      </c>
      <c r="D51" s="11" t="s">
        <v>13</v>
      </c>
      <c r="E51" s="86">
        <v>1000113</v>
      </c>
      <c r="G51" s="30"/>
      <c r="I51" s="69"/>
      <c r="J51" s="69"/>
    </row>
    <row r="52" spans="1:14" s="70" customFormat="1" ht="12.75" customHeight="1" x14ac:dyDescent="0.2">
      <c r="A52" s="127">
        <v>45138</v>
      </c>
      <c r="B52" s="128" t="s">
        <v>6</v>
      </c>
      <c r="C52" s="10" t="s">
        <v>1265</v>
      </c>
      <c r="D52" s="11" t="s">
        <v>13</v>
      </c>
      <c r="E52" s="86">
        <v>100340</v>
      </c>
      <c r="G52" s="30"/>
      <c r="I52" s="69"/>
      <c r="J52" s="69"/>
    </row>
    <row r="53" spans="1:14" s="70" customFormat="1" ht="12.75" customHeight="1" x14ac:dyDescent="0.2">
      <c r="A53" s="127">
        <v>45138</v>
      </c>
      <c r="B53" s="128" t="s">
        <v>6</v>
      </c>
      <c r="C53" s="10" t="s">
        <v>877</v>
      </c>
      <c r="D53" s="11" t="s">
        <v>13</v>
      </c>
      <c r="E53" s="86">
        <v>142013</v>
      </c>
      <c r="G53" s="30"/>
      <c r="I53" s="69"/>
      <c r="J53" s="69"/>
    </row>
    <row r="54" spans="1:14" s="70" customFormat="1" ht="12.75" customHeight="1" x14ac:dyDescent="0.2">
      <c r="A54" s="127">
        <v>45138</v>
      </c>
      <c r="B54" s="128" t="s">
        <v>6</v>
      </c>
      <c r="C54" s="10" t="s">
        <v>19</v>
      </c>
      <c r="D54" s="11" t="s">
        <v>13</v>
      </c>
      <c r="E54" s="86">
        <v>26120</v>
      </c>
      <c r="G54" s="30"/>
      <c r="I54" s="69"/>
      <c r="J54" s="69"/>
    </row>
    <row r="55" spans="1:14" s="70" customFormat="1" ht="12.75" customHeight="1" x14ac:dyDescent="0.2">
      <c r="A55" s="127">
        <v>45138</v>
      </c>
      <c r="B55" s="128" t="s">
        <v>6</v>
      </c>
      <c r="C55" s="10" t="s">
        <v>947</v>
      </c>
      <c r="D55" s="11" t="s">
        <v>13</v>
      </c>
      <c r="E55" s="86">
        <v>838038</v>
      </c>
      <c r="G55" s="30"/>
      <c r="I55" s="69"/>
      <c r="J55" s="69"/>
    </row>
    <row r="56" spans="1:14" s="70" customFormat="1" ht="12.75" customHeight="1" x14ac:dyDescent="0.2">
      <c r="A56" s="127">
        <v>45138</v>
      </c>
      <c r="B56" s="128" t="s">
        <v>6</v>
      </c>
      <c r="C56" s="10" t="s">
        <v>213</v>
      </c>
      <c r="D56" s="11" t="s">
        <v>13</v>
      </c>
      <c r="E56" s="86">
        <v>418429</v>
      </c>
      <c r="G56" s="30"/>
      <c r="I56" s="69"/>
      <c r="J56" s="69"/>
    </row>
    <row r="57" spans="1:14" s="70" customFormat="1" ht="12.75" customHeight="1" x14ac:dyDescent="0.2">
      <c r="A57" s="127">
        <v>45138</v>
      </c>
      <c r="B57" s="128" t="s">
        <v>11</v>
      </c>
      <c r="C57" s="10" t="s">
        <v>733</v>
      </c>
      <c r="D57" s="11" t="s">
        <v>29</v>
      </c>
      <c r="E57" s="86"/>
      <c r="F57" s="70">
        <v>2215556</v>
      </c>
      <c r="G57" s="30"/>
      <c r="I57" s="69"/>
      <c r="J57" s="69"/>
    </row>
    <row r="58" spans="1:14" s="70" customFormat="1" ht="12.75" customHeight="1" x14ac:dyDescent="0.2">
      <c r="A58" s="127">
        <v>45138</v>
      </c>
      <c r="B58" s="128" t="s">
        <v>11</v>
      </c>
      <c r="C58" s="10" t="s">
        <v>732</v>
      </c>
      <c r="D58" s="11" t="s">
        <v>29</v>
      </c>
      <c r="E58" s="86"/>
      <c r="F58" s="70">
        <v>3323334</v>
      </c>
      <c r="G58" s="30"/>
      <c r="I58" s="69"/>
      <c r="J58" s="69"/>
    </row>
    <row r="59" spans="1:14" s="70" customFormat="1" ht="12.75" customHeight="1" x14ac:dyDescent="0.2">
      <c r="A59" s="127">
        <v>45138</v>
      </c>
      <c r="B59" s="128" t="s">
        <v>11</v>
      </c>
      <c r="C59" s="10" t="s">
        <v>63</v>
      </c>
      <c r="D59" s="11" t="s">
        <v>29</v>
      </c>
      <c r="E59" s="86"/>
      <c r="F59" s="70">
        <v>11000000</v>
      </c>
      <c r="G59" s="30"/>
      <c r="I59" s="69"/>
      <c r="J59" s="69"/>
    </row>
    <row r="60" spans="1:14" s="70" customFormat="1" ht="12.75" customHeight="1" x14ac:dyDescent="0.2">
      <c r="A60" s="127">
        <v>45138</v>
      </c>
      <c r="B60" s="128" t="s">
        <v>11</v>
      </c>
      <c r="C60" s="10" t="s">
        <v>64</v>
      </c>
      <c r="D60" s="11" t="s">
        <v>29</v>
      </c>
      <c r="E60" s="86"/>
      <c r="F60" s="70">
        <v>11310.98</v>
      </c>
      <c r="G60" s="30"/>
      <c r="I60" s="69"/>
      <c r="J60" s="69"/>
    </row>
    <row r="61" spans="1:14" s="2" customFormat="1" ht="12.75" customHeight="1" x14ac:dyDescent="0.2">
      <c r="A61" s="32"/>
      <c r="B61" s="33"/>
      <c r="C61" s="14"/>
      <c r="D61" s="34"/>
      <c r="E61" s="16">
        <f>SUM(E40:E60)</f>
        <v>15562822</v>
      </c>
      <c r="F61" s="16">
        <f>SUM(F40:F60)</f>
        <v>307822356.62999988</v>
      </c>
      <c r="G61" s="30"/>
      <c r="H61" s="1"/>
      <c r="I61" s="38">
        <v>292259534.63</v>
      </c>
      <c r="J61" s="2" t="s">
        <v>396</v>
      </c>
      <c r="K61" s="92">
        <f>E62-I61</f>
        <v>0</v>
      </c>
      <c r="L61" s="41"/>
      <c r="M61" s="42"/>
    </row>
    <row r="62" spans="1:14" s="2" customFormat="1" ht="12.75" customHeight="1" x14ac:dyDescent="0.2">
      <c r="A62" s="36"/>
      <c r="B62" s="28" t="s">
        <v>11</v>
      </c>
      <c r="C62" s="19" t="s">
        <v>65</v>
      </c>
      <c r="D62" s="37"/>
      <c r="E62" s="38">
        <f>F61-E61</f>
        <v>292259534.62999988</v>
      </c>
      <c r="F62" s="22"/>
      <c r="G62" s="1"/>
      <c r="H62" s="1"/>
      <c r="J62" s="1"/>
      <c r="K62" s="1"/>
      <c r="L62" s="1"/>
      <c r="M62" s="1"/>
    </row>
    <row r="63" spans="1:14" s="2" customFormat="1" ht="12.75" customHeight="1" x14ac:dyDescent="0.2">
      <c r="A63" s="36"/>
      <c r="B63" s="28" t="s">
        <v>66</v>
      </c>
      <c r="C63" s="43" t="s">
        <v>67</v>
      </c>
      <c r="D63" s="43"/>
      <c r="E63" s="12">
        <f>59416310-35800000</f>
        <v>23616310</v>
      </c>
      <c r="F63" s="22"/>
      <c r="G63" s="1"/>
      <c r="H63" s="40"/>
      <c r="I63" s="45">
        <v>4579.74</v>
      </c>
      <c r="J63" s="46"/>
      <c r="K63" s="46"/>
      <c r="L63" s="13"/>
      <c r="M63" s="69" t="s">
        <v>396</v>
      </c>
    </row>
    <row r="64" spans="1:14" s="2" customFormat="1" ht="12.75" customHeight="1" x14ac:dyDescent="0.25">
      <c r="A64" s="36"/>
      <c r="B64" s="28"/>
      <c r="C64" s="44" t="s">
        <v>68</v>
      </c>
      <c r="D64" s="43"/>
      <c r="E64" s="7">
        <f>E62+E63</f>
        <v>315875844.62999988</v>
      </c>
      <c r="F64" s="22"/>
      <c r="G64" s="1"/>
      <c r="H64" s="103" t="s">
        <v>69</v>
      </c>
      <c r="I64" s="45">
        <v>-45.07</v>
      </c>
      <c r="J64" s="46"/>
      <c r="K64" s="46"/>
      <c r="N64" s="1"/>
    </row>
    <row r="65" spans="1:14" s="2" customFormat="1" x14ac:dyDescent="0.2">
      <c r="A65" s="24"/>
      <c r="B65" s="1"/>
      <c r="C65" s="14"/>
      <c r="D65" s="25"/>
      <c r="E65" s="1"/>
      <c r="H65" s="35" t="s">
        <v>70</v>
      </c>
      <c r="I65" s="45">
        <v>0.19</v>
      </c>
      <c r="J65" s="46">
        <f>+I66-D68</f>
        <v>0</v>
      </c>
      <c r="M65" s="2" t="s">
        <v>396</v>
      </c>
      <c r="N65" s="1"/>
    </row>
    <row r="66" spans="1:14" x14ac:dyDescent="0.2">
      <c r="C66" s="56"/>
      <c r="D66" s="56"/>
      <c r="E66" s="104"/>
      <c r="I66" s="49">
        <f>SUM(I63:I65)</f>
        <v>4534.8599999999997</v>
      </c>
      <c r="J66" s="46"/>
      <c r="K66" s="46"/>
      <c r="L66" s="2"/>
      <c r="M66" s="2"/>
      <c r="N66" s="2"/>
    </row>
    <row r="67" spans="1:14" x14ac:dyDescent="0.2">
      <c r="C67" s="78" t="s">
        <v>575</v>
      </c>
      <c r="D67" s="48" t="s">
        <v>576</v>
      </c>
      <c r="E67" s="104"/>
      <c r="I67" s="2"/>
      <c r="J67" s="2"/>
      <c r="K67" s="2"/>
      <c r="L67" s="2"/>
      <c r="M67" s="2"/>
      <c r="N67" s="2"/>
    </row>
    <row r="68" spans="1:14" s="2" customFormat="1" x14ac:dyDescent="0.2">
      <c r="A68" s="24"/>
      <c r="B68" s="1"/>
      <c r="C68" s="47" t="s">
        <v>570</v>
      </c>
      <c r="D68" s="111">
        <v>4534.8599999999997</v>
      </c>
      <c r="E68" s="104"/>
      <c r="G68" s="1"/>
      <c r="H68" s="110" t="s">
        <v>581</v>
      </c>
      <c r="N68" s="2" t="s">
        <v>535</v>
      </c>
    </row>
    <row r="69" spans="1:14" s="2" customFormat="1" x14ac:dyDescent="0.2">
      <c r="A69" s="24"/>
      <c r="B69" s="1"/>
      <c r="C69" s="47" t="s">
        <v>931</v>
      </c>
      <c r="D69" s="111">
        <v>386.77</v>
      </c>
      <c r="E69" s="104"/>
      <c r="G69" s="1"/>
      <c r="H69" s="110" t="s">
        <v>580</v>
      </c>
    </row>
    <row r="70" spans="1:14" s="2" customFormat="1" x14ac:dyDescent="0.2">
      <c r="A70" s="24"/>
      <c r="B70" s="1"/>
      <c r="C70" s="47" t="s">
        <v>572</v>
      </c>
      <c r="D70" s="111">
        <f>+D145/100000</f>
        <v>834.43346919999999</v>
      </c>
      <c r="E70" s="104"/>
      <c r="G70" s="1"/>
      <c r="H70" s="90" t="s">
        <v>587</v>
      </c>
    </row>
    <row r="71" spans="1:14" s="2" customFormat="1" x14ac:dyDescent="0.2">
      <c r="A71" s="24"/>
      <c r="B71" s="1"/>
      <c r="C71" s="108" t="s">
        <v>578</v>
      </c>
      <c r="D71" s="48">
        <f>SUM(D68:D70)</f>
        <v>5756.0634691999994</v>
      </c>
      <c r="E71" s="104"/>
      <c r="G71" s="1"/>
    </row>
    <row r="72" spans="1:14" s="2" customFormat="1" x14ac:dyDescent="0.2">
      <c r="A72" s="24"/>
      <c r="B72" s="1"/>
      <c r="C72" s="47"/>
      <c r="D72" s="107"/>
      <c r="E72" s="104"/>
      <c r="G72" s="1"/>
    </row>
    <row r="73" spans="1:14" s="2" customFormat="1" x14ac:dyDescent="0.2">
      <c r="A73" s="24"/>
      <c r="B73" s="1"/>
      <c r="C73" s="47" t="s">
        <v>932</v>
      </c>
      <c r="D73" s="111">
        <v>314.02999999999997</v>
      </c>
      <c r="E73" s="104"/>
      <c r="G73" s="1"/>
      <c r="H73" s="110" t="s">
        <v>581</v>
      </c>
    </row>
    <row r="74" spans="1:14" s="2" customFormat="1" x14ac:dyDescent="0.2">
      <c r="A74" s="24"/>
      <c r="B74" s="1"/>
      <c r="C74" s="136" t="s">
        <v>1142</v>
      </c>
      <c r="D74" s="111">
        <f>384.35-55.45</f>
        <v>328.90000000000003</v>
      </c>
      <c r="E74" s="104"/>
      <c r="G74" s="1"/>
      <c r="H74" s="110" t="s">
        <v>581</v>
      </c>
      <c r="J74" s="114" t="s">
        <v>713</v>
      </c>
    </row>
    <row r="75" spans="1:14" s="2" customFormat="1" x14ac:dyDescent="0.2">
      <c r="A75" s="24"/>
      <c r="B75" s="1"/>
      <c r="C75" s="78" t="s">
        <v>579</v>
      </c>
      <c r="D75" s="109">
        <f>D73+D74</f>
        <v>642.93000000000006</v>
      </c>
      <c r="E75" s="104"/>
      <c r="G75" s="1"/>
      <c r="I75" s="113"/>
      <c r="J75" s="113" t="s">
        <v>709</v>
      </c>
      <c r="K75" s="113" t="s">
        <v>710</v>
      </c>
      <c r="L75" s="113" t="s">
        <v>711</v>
      </c>
      <c r="M75" s="113" t="s">
        <v>712</v>
      </c>
    </row>
    <row r="76" spans="1:14" s="2" customFormat="1" x14ac:dyDescent="0.2">
      <c r="A76" s="24"/>
      <c r="B76" s="1"/>
      <c r="C76" s="105"/>
      <c r="D76" s="106"/>
      <c r="E76" s="104"/>
      <c r="G76" s="1"/>
      <c r="I76" s="113" t="s">
        <v>706</v>
      </c>
      <c r="J76" s="115"/>
      <c r="K76" s="115">
        <v>968.99</v>
      </c>
      <c r="L76" s="115">
        <v>968.99</v>
      </c>
      <c r="M76" s="113">
        <f>+J76+L76-K76</f>
        <v>0</v>
      </c>
    </row>
    <row r="77" spans="1:14" s="2" customFormat="1" x14ac:dyDescent="0.2">
      <c r="A77" s="24"/>
      <c r="B77" s="1"/>
      <c r="C77" s="78" t="s">
        <v>577</v>
      </c>
      <c r="D77" s="109">
        <f>D68+D75</f>
        <v>5177.79</v>
      </c>
      <c r="E77" s="104"/>
      <c r="G77" s="1"/>
      <c r="I77" s="113" t="s">
        <v>707</v>
      </c>
      <c r="J77" s="115">
        <v>183.1</v>
      </c>
      <c r="K77" s="115">
        <v>2873.05</v>
      </c>
      <c r="L77" s="115">
        <v>3551.14</v>
      </c>
      <c r="M77" s="113">
        <f>+J77+L77-K77</f>
        <v>861.1899999999996</v>
      </c>
    </row>
    <row r="78" spans="1:14" s="2" customFormat="1" x14ac:dyDescent="0.2">
      <c r="A78" s="24"/>
      <c r="B78" s="1"/>
      <c r="C78" s="56"/>
      <c r="D78" s="56"/>
      <c r="E78" s="104"/>
      <c r="G78" s="1"/>
      <c r="I78" s="113" t="s">
        <v>708</v>
      </c>
      <c r="J78" s="115">
        <v>1371.02</v>
      </c>
      <c r="K78" s="115">
        <v>13209.22</v>
      </c>
      <c r="L78" s="115">
        <v>12788.8</v>
      </c>
      <c r="M78" s="113">
        <f>+J78+L78-K78</f>
        <v>950.60000000000036</v>
      </c>
    </row>
    <row r="79" spans="1:14" s="2" customFormat="1" ht="38.25" x14ac:dyDescent="0.2">
      <c r="A79" s="24"/>
      <c r="B79" s="1"/>
      <c r="C79" s="79" t="str">
        <f>"Particulars ( 01-04-2021 to "&amp;TEXT(A5,"dd-mm-yyyy")&amp;" )"</f>
        <v>Particulars ( 01-04-2021 to 31-07-2023 )</v>
      </c>
      <c r="D79" s="80" t="s">
        <v>73</v>
      </c>
      <c r="E79" s="80" t="s">
        <v>74</v>
      </c>
      <c r="F79" s="81" t="s">
        <v>75</v>
      </c>
      <c r="G79" s="80" t="s">
        <v>76</v>
      </c>
      <c r="J79" s="118">
        <f>SUM(J76:J78)</f>
        <v>1554.12</v>
      </c>
      <c r="K79" s="118">
        <f>SUM(K76:K78)</f>
        <v>17051.259999999998</v>
      </c>
      <c r="L79" s="118">
        <f>SUM(L76:L78)</f>
        <v>17308.93</v>
      </c>
      <c r="M79" s="118">
        <f>SUM(M76:M78)</f>
        <v>1811.79</v>
      </c>
    </row>
    <row r="80" spans="1:14" s="2" customFormat="1" x14ac:dyDescent="0.2">
      <c r="A80" s="24"/>
      <c r="B80" s="1"/>
      <c r="C80" s="50" t="s">
        <v>444</v>
      </c>
      <c r="D80" s="55">
        <f>+L76+L77+J77</f>
        <v>4703.2300000000005</v>
      </c>
      <c r="E80" s="55">
        <f>+K76+K77</f>
        <v>3842.04</v>
      </c>
      <c r="F80" s="55">
        <f>+D80-E80</f>
        <v>861.19000000000051</v>
      </c>
      <c r="G80" s="55">
        <f>1500-F80</f>
        <v>638.80999999999949</v>
      </c>
      <c r="H80" s="2" t="s">
        <v>396</v>
      </c>
    </row>
    <row r="81" spans="1:13" s="2" customFormat="1" x14ac:dyDescent="0.2">
      <c r="A81" s="24"/>
      <c r="B81" s="1"/>
      <c r="C81" s="50" t="s">
        <v>71</v>
      </c>
      <c r="D81" s="55">
        <f>+J78+L78</f>
        <v>14159.82</v>
      </c>
      <c r="E81" s="55">
        <f>+K78</f>
        <v>13209.22</v>
      </c>
      <c r="F81" s="55">
        <f>+D81-E81</f>
        <v>950.60000000000036</v>
      </c>
      <c r="G81" s="55">
        <f>1500+700-F81</f>
        <v>1249.3999999999996</v>
      </c>
      <c r="H81" s="2" t="s">
        <v>396</v>
      </c>
    </row>
    <row r="82" spans="1:13" s="2" customFormat="1" x14ac:dyDescent="0.2">
      <c r="A82" s="24"/>
      <c r="B82" s="1"/>
      <c r="C82" s="14"/>
      <c r="D82" s="56"/>
      <c r="E82" s="13"/>
      <c r="G82" s="1"/>
    </row>
    <row r="83" spans="1:13" s="2" customFormat="1" x14ac:dyDescent="0.2">
      <c r="A83" s="215" t="s">
        <v>80</v>
      </c>
      <c r="B83" s="216"/>
      <c r="C83" s="216"/>
      <c r="D83" s="217"/>
      <c r="E83" s="69"/>
      <c r="F83" s="70"/>
      <c r="G83" s="1"/>
      <c r="H83" s="53"/>
    </row>
    <row r="84" spans="1:13" s="2" customFormat="1" x14ac:dyDescent="0.2">
      <c r="A84" s="71" t="s">
        <v>81</v>
      </c>
      <c r="B84" s="71"/>
      <c r="C84" s="72" t="s">
        <v>82</v>
      </c>
      <c r="D84" s="73" t="s">
        <v>83</v>
      </c>
      <c r="E84" s="69"/>
      <c r="F84" s="70"/>
      <c r="H84" s="53"/>
    </row>
    <row r="85" spans="1:13" s="2" customFormat="1" x14ac:dyDescent="0.2">
      <c r="A85" s="87">
        <v>45108</v>
      </c>
      <c r="B85" s="120" t="s">
        <v>1052</v>
      </c>
      <c r="C85" s="75" t="s">
        <v>84</v>
      </c>
      <c r="D85" s="88">
        <v>3000000</v>
      </c>
      <c r="G85" s="1"/>
      <c r="L85" s="1"/>
      <c r="M85" s="1"/>
    </row>
    <row r="86" spans="1:13" s="2" customFormat="1" x14ac:dyDescent="0.2">
      <c r="A86" s="87">
        <v>45108</v>
      </c>
      <c r="B86" s="120" t="s">
        <v>1052</v>
      </c>
      <c r="C86" s="75" t="s">
        <v>271</v>
      </c>
      <c r="D86" s="88">
        <v>2323148</v>
      </c>
      <c r="G86" s="1"/>
      <c r="L86" s="1"/>
      <c r="M86" s="1"/>
    </row>
    <row r="87" spans="1:13" s="2" customFormat="1" x14ac:dyDescent="0.2">
      <c r="A87" s="87">
        <v>45110</v>
      </c>
      <c r="B87" s="120" t="s">
        <v>1052</v>
      </c>
      <c r="C87" s="75" t="s">
        <v>85</v>
      </c>
      <c r="D87" s="88">
        <v>732575</v>
      </c>
      <c r="G87" s="1"/>
      <c r="L87" s="1"/>
      <c r="M87" s="1"/>
    </row>
    <row r="88" spans="1:13" s="2" customFormat="1" x14ac:dyDescent="0.2">
      <c r="A88" s="87">
        <v>45110</v>
      </c>
      <c r="B88" s="120" t="s">
        <v>1052</v>
      </c>
      <c r="C88" s="75" t="s">
        <v>86</v>
      </c>
      <c r="D88" s="88">
        <v>2676974</v>
      </c>
      <c r="G88" s="1"/>
      <c r="L88" s="1"/>
      <c r="M88" s="1"/>
    </row>
    <row r="89" spans="1:13" s="2" customFormat="1" x14ac:dyDescent="0.2">
      <c r="A89" s="87">
        <v>45110</v>
      </c>
      <c r="B89" s="120" t="s">
        <v>1052</v>
      </c>
      <c r="C89" s="75" t="s">
        <v>86</v>
      </c>
      <c r="D89" s="88">
        <f>1043475+13957</f>
        <v>1057432</v>
      </c>
      <c r="G89" s="1"/>
      <c r="L89" s="1"/>
      <c r="M89" s="1"/>
    </row>
    <row r="90" spans="1:13" s="2" customFormat="1" x14ac:dyDescent="0.2">
      <c r="A90" s="87">
        <v>45111</v>
      </c>
      <c r="B90" s="120" t="s">
        <v>1052</v>
      </c>
      <c r="C90" s="75" t="s">
        <v>270</v>
      </c>
      <c r="D90" s="88">
        <v>106093</v>
      </c>
      <c r="G90" s="1"/>
      <c r="L90" s="1"/>
      <c r="M90" s="1"/>
    </row>
    <row r="91" spans="1:13" s="2" customFormat="1" x14ac:dyDescent="0.2">
      <c r="A91" s="87">
        <v>45111</v>
      </c>
      <c r="B91" s="120" t="s">
        <v>1052</v>
      </c>
      <c r="C91" s="75" t="s">
        <v>270</v>
      </c>
      <c r="D91" s="88">
        <v>102393</v>
      </c>
      <c r="G91" s="1"/>
      <c r="L91" s="1"/>
      <c r="M91" s="1"/>
    </row>
    <row r="92" spans="1:13" s="2" customFormat="1" x14ac:dyDescent="0.2">
      <c r="A92" s="87">
        <v>45111</v>
      </c>
      <c r="B92" s="120" t="s">
        <v>1052</v>
      </c>
      <c r="C92" s="75" t="s">
        <v>270</v>
      </c>
      <c r="D92" s="88">
        <v>716336</v>
      </c>
      <c r="G92" s="1"/>
      <c r="L92" s="1"/>
      <c r="M92" s="1"/>
    </row>
    <row r="93" spans="1:13" s="2" customFormat="1" x14ac:dyDescent="0.2">
      <c r="A93" s="87">
        <v>45111</v>
      </c>
      <c r="B93" s="120" t="s">
        <v>1052</v>
      </c>
      <c r="C93" s="75" t="s">
        <v>270</v>
      </c>
      <c r="D93" s="88">
        <v>2504631</v>
      </c>
      <c r="G93" s="1"/>
      <c r="L93" s="1"/>
      <c r="M93" s="1"/>
    </row>
    <row r="94" spans="1:13" s="2" customFormat="1" x14ac:dyDescent="0.2">
      <c r="A94" s="87">
        <v>45111</v>
      </c>
      <c r="B94" s="120" t="s">
        <v>1052</v>
      </c>
      <c r="C94" s="75" t="s">
        <v>270</v>
      </c>
      <c r="D94" s="88">
        <v>141433.92000000001</v>
      </c>
      <c r="G94" s="1"/>
      <c r="L94" s="1"/>
      <c r="M94" s="1"/>
    </row>
    <row r="95" spans="1:13" s="2" customFormat="1" x14ac:dyDescent="0.2">
      <c r="A95" s="87">
        <v>45111</v>
      </c>
      <c r="B95" s="120" t="s">
        <v>1052</v>
      </c>
      <c r="C95" s="75" t="s">
        <v>271</v>
      </c>
      <c r="D95" s="88">
        <v>485258</v>
      </c>
      <c r="G95" s="1"/>
      <c r="L95" s="1"/>
      <c r="M95" s="1"/>
    </row>
    <row r="96" spans="1:13" s="2" customFormat="1" x14ac:dyDescent="0.2">
      <c r="A96" s="87">
        <v>45112</v>
      </c>
      <c r="B96" s="120" t="s">
        <v>1052</v>
      </c>
      <c r="C96" s="75" t="s">
        <v>85</v>
      </c>
      <c r="D96" s="88">
        <v>216478</v>
      </c>
      <c r="G96" s="1"/>
      <c r="L96" s="1"/>
      <c r="M96" s="1"/>
    </row>
    <row r="97" spans="1:13" s="2" customFormat="1" x14ac:dyDescent="0.2">
      <c r="A97" s="87">
        <v>45114</v>
      </c>
      <c r="B97" s="120" t="s">
        <v>1052</v>
      </c>
      <c r="C97" s="75" t="s">
        <v>270</v>
      </c>
      <c r="D97" s="88">
        <v>886333</v>
      </c>
      <c r="G97" s="1"/>
      <c r="L97" s="1"/>
      <c r="M97" s="1"/>
    </row>
    <row r="98" spans="1:13" s="2" customFormat="1" x14ac:dyDescent="0.2">
      <c r="A98" s="87">
        <v>45114</v>
      </c>
      <c r="B98" s="120" t="s">
        <v>1052</v>
      </c>
      <c r="C98" s="75" t="s">
        <v>270</v>
      </c>
      <c r="D98" s="88">
        <v>3119806</v>
      </c>
      <c r="G98" s="1"/>
      <c r="L98" s="1"/>
      <c r="M98" s="1"/>
    </row>
    <row r="99" spans="1:13" s="2" customFormat="1" x14ac:dyDescent="0.2">
      <c r="A99" s="87">
        <v>45114</v>
      </c>
      <c r="B99" s="120" t="s">
        <v>1052</v>
      </c>
      <c r="C99" s="75" t="s">
        <v>271</v>
      </c>
      <c r="D99" s="88">
        <v>151160</v>
      </c>
      <c r="G99" s="1"/>
      <c r="L99" s="1"/>
      <c r="M99" s="1"/>
    </row>
    <row r="100" spans="1:13" s="2" customFormat="1" x14ac:dyDescent="0.2">
      <c r="A100" s="87">
        <v>45114</v>
      </c>
      <c r="B100" s="120" t="s">
        <v>1052</v>
      </c>
      <c r="C100" s="75" t="s">
        <v>271</v>
      </c>
      <c r="D100" s="88">
        <v>285195</v>
      </c>
      <c r="G100" s="1"/>
      <c r="L100" s="1"/>
      <c r="M100" s="1"/>
    </row>
    <row r="101" spans="1:13" s="2" customFormat="1" x14ac:dyDescent="0.2">
      <c r="A101" s="87">
        <v>45114</v>
      </c>
      <c r="B101" s="120" t="s">
        <v>1052</v>
      </c>
      <c r="C101" s="75" t="s">
        <v>201</v>
      </c>
      <c r="D101" s="88">
        <v>128135</v>
      </c>
      <c r="G101" s="1"/>
      <c r="L101" s="1"/>
      <c r="M101" s="1"/>
    </row>
    <row r="102" spans="1:13" s="2" customFormat="1" x14ac:dyDescent="0.2">
      <c r="A102" s="87">
        <v>45114</v>
      </c>
      <c r="B102" s="120" t="s">
        <v>1052</v>
      </c>
      <c r="C102" s="75" t="s">
        <v>323</v>
      </c>
      <c r="D102" s="88">
        <v>2313089</v>
      </c>
      <c r="G102" s="1"/>
      <c r="L102" s="1"/>
      <c r="M102" s="1"/>
    </row>
    <row r="103" spans="1:13" s="2" customFormat="1" x14ac:dyDescent="0.2">
      <c r="A103" s="87">
        <v>45115</v>
      </c>
      <c r="B103" s="120" t="s">
        <v>1052</v>
      </c>
      <c r="C103" s="75" t="s">
        <v>767</v>
      </c>
      <c r="D103" s="88">
        <v>411035</v>
      </c>
      <c r="G103" s="1"/>
      <c r="L103" s="1"/>
      <c r="M103" s="1"/>
    </row>
    <row r="104" spans="1:13" s="2" customFormat="1" x14ac:dyDescent="0.2">
      <c r="A104" s="87">
        <v>45118</v>
      </c>
      <c r="B104" s="120" t="s">
        <v>1052</v>
      </c>
      <c r="C104" s="75" t="s">
        <v>270</v>
      </c>
      <c r="D104" s="88">
        <v>34696</v>
      </c>
      <c r="G104" s="1"/>
      <c r="L104" s="1"/>
      <c r="M104" s="1"/>
    </row>
    <row r="105" spans="1:13" s="2" customFormat="1" x14ac:dyDescent="0.2">
      <c r="A105" s="87">
        <v>45118</v>
      </c>
      <c r="B105" s="120" t="s">
        <v>1052</v>
      </c>
      <c r="C105" s="75" t="s">
        <v>270</v>
      </c>
      <c r="D105" s="88">
        <v>1128922</v>
      </c>
      <c r="G105" s="1"/>
      <c r="L105" s="1"/>
      <c r="M105" s="1"/>
    </row>
    <row r="106" spans="1:13" s="2" customFormat="1" x14ac:dyDescent="0.2">
      <c r="A106" s="87">
        <v>45118</v>
      </c>
      <c r="B106" s="120" t="s">
        <v>1052</v>
      </c>
      <c r="C106" s="75" t="s">
        <v>270</v>
      </c>
      <c r="D106" s="88">
        <v>2865343</v>
      </c>
      <c r="G106" s="1"/>
      <c r="L106" s="1"/>
      <c r="M106" s="1"/>
    </row>
    <row r="107" spans="1:13" s="2" customFormat="1" x14ac:dyDescent="0.2">
      <c r="A107" s="87">
        <v>45118</v>
      </c>
      <c r="B107" s="120" t="s">
        <v>1052</v>
      </c>
      <c r="C107" s="75" t="s">
        <v>270</v>
      </c>
      <c r="D107" s="88">
        <v>1090852</v>
      </c>
      <c r="G107" s="1"/>
      <c r="L107" s="1"/>
      <c r="M107" s="1"/>
    </row>
    <row r="108" spans="1:13" s="2" customFormat="1" x14ac:dyDescent="0.2">
      <c r="A108" s="87">
        <v>45118</v>
      </c>
      <c r="B108" s="120" t="s">
        <v>1052</v>
      </c>
      <c r="C108" s="75" t="s">
        <v>270</v>
      </c>
      <c r="D108" s="88">
        <v>359348</v>
      </c>
      <c r="G108" s="1"/>
      <c r="L108" s="1"/>
      <c r="M108" s="1"/>
    </row>
    <row r="109" spans="1:13" s="2" customFormat="1" x14ac:dyDescent="0.2">
      <c r="A109" s="87">
        <v>45118</v>
      </c>
      <c r="B109" s="120" t="s">
        <v>1052</v>
      </c>
      <c r="C109" s="75" t="s">
        <v>271</v>
      </c>
      <c r="D109" s="88">
        <v>323487</v>
      </c>
      <c r="G109" s="1"/>
      <c r="L109" s="1"/>
      <c r="M109" s="1"/>
    </row>
    <row r="110" spans="1:13" s="2" customFormat="1" x14ac:dyDescent="0.2">
      <c r="A110" s="87">
        <v>45118</v>
      </c>
      <c r="B110" s="120" t="s">
        <v>1052</v>
      </c>
      <c r="C110" s="75" t="s">
        <v>271</v>
      </c>
      <c r="D110" s="88">
        <v>44394</v>
      </c>
      <c r="G110" s="1"/>
      <c r="L110" s="1"/>
      <c r="M110" s="1"/>
    </row>
    <row r="111" spans="1:13" s="2" customFormat="1" x14ac:dyDescent="0.2">
      <c r="A111" s="87">
        <v>45118</v>
      </c>
      <c r="B111" s="120" t="s">
        <v>1052</v>
      </c>
      <c r="C111" s="75" t="s">
        <v>271</v>
      </c>
      <c r="D111" s="88">
        <v>2035052</v>
      </c>
      <c r="G111" s="1"/>
      <c r="L111" s="1"/>
      <c r="M111" s="1"/>
    </row>
    <row r="112" spans="1:13" s="2" customFormat="1" x14ac:dyDescent="0.2">
      <c r="A112" s="87">
        <v>45119</v>
      </c>
      <c r="B112" s="120" t="s">
        <v>1052</v>
      </c>
      <c r="C112" s="75" t="s">
        <v>85</v>
      </c>
      <c r="D112" s="88">
        <v>569516</v>
      </c>
      <c r="G112" s="1"/>
      <c r="L112" s="1"/>
      <c r="M112" s="1"/>
    </row>
    <row r="113" spans="1:13" s="2" customFormat="1" x14ac:dyDescent="0.2">
      <c r="A113" s="87">
        <v>45119</v>
      </c>
      <c r="B113" s="120" t="s">
        <v>1052</v>
      </c>
      <c r="C113" s="75" t="s">
        <v>271</v>
      </c>
      <c r="D113" s="88">
        <v>3074492</v>
      </c>
      <c r="G113" s="1"/>
      <c r="L113" s="1"/>
      <c r="M113" s="1"/>
    </row>
    <row r="114" spans="1:13" s="2" customFormat="1" x14ac:dyDescent="0.2">
      <c r="A114" s="87">
        <v>45119</v>
      </c>
      <c r="B114" s="120" t="s">
        <v>1052</v>
      </c>
      <c r="C114" s="75" t="s">
        <v>270</v>
      </c>
      <c r="D114" s="88">
        <v>1556273</v>
      </c>
      <c r="G114" s="1"/>
      <c r="L114" s="1"/>
      <c r="M114" s="1"/>
    </row>
    <row r="115" spans="1:13" s="2" customFormat="1" x14ac:dyDescent="0.2">
      <c r="A115" s="87">
        <v>45119</v>
      </c>
      <c r="B115" s="120" t="s">
        <v>1052</v>
      </c>
      <c r="C115" s="75" t="s">
        <v>84</v>
      </c>
      <c r="D115" s="88">
        <v>2500000</v>
      </c>
      <c r="G115" s="1"/>
      <c r="L115" s="1"/>
      <c r="M115" s="1"/>
    </row>
    <row r="116" spans="1:13" s="2" customFormat="1" x14ac:dyDescent="0.2">
      <c r="A116" s="87">
        <v>45121</v>
      </c>
      <c r="B116" s="120" t="s">
        <v>1052</v>
      </c>
      <c r="C116" s="75" t="s">
        <v>1084</v>
      </c>
      <c r="D116" s="88">
        <v>5000000</v>
      </c>
      <c r="G116" s="1"/>
      <c r="L116" s="1"/>
      <c r="M116" s="1"/>
    </row>
    <row r="117" spans="1:13" s="2" customFormat="1" x14ac:dyDescent="0.2">
      <c r="A117" s="87">
        <v>45122</v>
      </c>
      <c r="B117" s="120" t="s">
        <v>1052</v>
      </c>
      <c r="C117" s="75" t="s">
        <v>270</v>
      </c>
      <c r="D117" s="88">
        <v>893235</v>
      </c>
      <c r="G117" s="1"/>
      <c r="L117" s="1"/>
      <c r="M117" s="1"/>
    </row>
    <row r="118" spans="1:13" s="2" customFormat="1" x14ac:dyDescent="0.2">
      <c r="A118" s="87">
        <v>45124</v>
      </c>
      <c r="B118" s="120" t="s">
        <v>1052</v>
      </c>
      <c r="C118" s="75" t="s">
        <v>1084</v>
      </c>
      <c r="D118" s="88">
        <v>4000000</v>
      </c>
      <c r="G118" s="1"/>
      <c r="L118" s="1"/>
      <c r="M118" s="1"/>
    </row>
    <row r="119" spans="1:13" s="2" customFormat="1" x14ac:dyDescent="0.2">
      <c r="A119" s="87">
        <v>45125</v>
      </c>
      <c r="B119" s="120" t="s">
        <v>1052</v>
      </c>
      <c r="C119" s="75" t="s">
        <v>85</v>
      </c>
      <c r="D119" s="88">
        <v>209650</v>
      </c>
      <c r="G119" s="1"/>
      <c r="L119" s="1"/>
      <c r="M119" s="1"/>
    </row>
    <row r="120" spans="1:13" s="2" customFormat="1" x14ac:dyDescent="0.2">
      <c r="A120" s="87">
        <v>45125</v>
      </c>
      <c r="B120" s="120" t="s">
        <v>1052</v>
      </c>
      <c r="C120" s="75" t="s">
        <v>270</v>
      </c>
      <c r="D120" s="88">
        <v>891686</v>
      </c>
      <c r="G120" s="1"/>
      <c r="L120" s="1"/>
      <c r="M120" s="1"/>
    </row>
    <row r="121" spans="1:13" s="2" customFormat="1" x14ac:dyDescent="0.2">
      <c r="A121" s="87">
        <v>45125</v>
      </c>
      <c r="B121" s="120" t="s">
        <v>1052</v>
      </c>
      <c r="C121" s="75" t="s">
        <v>85</v>
      </c>
      <c r="D121" s="88">
        <v>75953</v>
      </c>
      <c r="G121" s="1"/>
      <c r="L121" s="1"/>
      <c r="M121" s="1"/>
    </row>
    <row r="122" spans="1:13" s="2" customFormat="1" x14ac:dyDescent="0.2">
      <c r="A122" s="87">
        <v>45125</v>
      </c>
      <c r="B122" s="120" t="s">
        <v>1052</v>
      </c>
      <c r="C122" s="75" t="s">
        <v>767</v>
      </c>
      <c r="D122" s="88">
        <v>691994</v>
      </c>
      <c r="G122" s="1"/>
      <c r="L122" s="1"/>
      <c r="M122" s="1"/>
    </row>
    <row r="123" spans="1:13" s="2" customFormat="1" x14ac:dyDescent="0.2">
      <c r="A123" s="87">
        <v>45126</v>
      </c>
      <c r="B123" s="120" t="s">
        <v>1052</v>
      </c>
      <c r="C123" s="75" t="s">
        <v>271</v>
      </c>
      <c r="D123" s="88">
        <v>415838</v>
      </c>
      <c r="G123" s="1"/>
      <c r="L123" s="1"/>
      <c r="M123" s="1"/>
    </row>
    <row r="124" spans="1:13" s="2" customFormat="1" x14ac:dyDescent="0.2">
      <c r="A124" s="87">
        <v>45127</v>
      </c>
      <c r="B124" s="120" t="s">
        <v>1052</v>
      </c>
      <c r="C124" s="75" t="s">
        <v>606</v>
      </c>
      <c r="D124" s="88">
        <v>564973</v>
      </c>
      <c r="G124" s="1"/>
      <c r="L124" s="1"/>
      <c r="M124" s="1"/>
    </row>
    <row r="125" spans="1:13" s="2" customFormat="1" x14ac:dyDescent="0.2">
      <c r="A125" s="87">
        <v>45127</v>
      </c>
      <c r="B125" s="120" t="s">
        <v>1052</v>
      </c>
      <c r="C125" s="75" t="s">
        <v>84</v>
      </c>
      <c r="D125" s="88">
        <v>2000000</v>
      </c>
      <c r="G125" s="1"/>
      <c r="L125" s="1"/>
      <c r="M125" s="1"/>
    </row>
    <row r="126" spans="1:13" s="2" customFormat="1" x14ac:dyDescent="0.2">
      <c r="A126" s="87">
        <v>45127</v>
      </c>
      <c r="B126" s="120" t="s">
        <v>1052</v>
      </c>
      <c r="C126" s="75" t="s">
        <v>86</v>
      </c>
      <c r="D126" s="88">
        <v>906281</v>
      </c>
      <c r="G126" s="1"/>
      <c r="L126" s="1"/>
      <c r="M126" s="1"/>
    </row>
    <row r="127" spans="1:13" s="2" customFormat="1" x14ac:dyDescent="0.2">
      <c r="A127" s="87">
        <v>45127</v>
      </c>
      <c r="B127" s="120" t="s">
        <v>1052</v>
      </c>
      <c r="C127" s="75" t="s">
        <v>86</v>
      </c>
      <c r="D127" s="88">
        <v>12614</v>
      </c>
      <c r="G127" s="1"/>
      <c r="L127" s="1"/>
      <c r="M127" s="1"/>
    </row>
    <row r="128" spans="1:13" s="2" customFormat="1" x14ac:dyDescent="0.2">
      <c r="A128" s="87">
        <v>45127</v>
      </c>
      <c r="B128" s="120" t="s">
        <v>1052</v>
      </c>
      <c r="C128" s="75" t="s">
        <v>88</v>
      </c>
      <c r="D128" s="88">
        <v>903686</v>
      </c>
      <c r="G128" s="1"/>
      <c r="L128" s="1"/>
      <c r="M128" s="1"/>
    </row>
    <row r="129" spans="1:13" s="2" customFormat="1" x14ac:dyDescent="0.2">
      <c r="A129" s="87">
        <v>45127</v>
      </c>
      <c r="B129" s="120" t="s">
        <v>1052</v>
      </c>
      <c r="C129" s="75" t="s">
        <v>86</v>
      </c>
      <c r="D129" s="88">
        <v>2526490</v>
      </c>
      <c r="G129" s="1"/>
      <c r="L129" s="1"/>
      <c r="M129" s="1"/>
    </row>
    <row r="130" spans="1:13" s="2" customFormat="1" x14ac:dyDescent="0.2">
      <c r="A130" s="87">
        <v>45127</v>
      </c>
      <c r="B130" s="120" t="s">
        <v>1052</v>
      </c>
      <c r="C130" s="75" t="s">
        <v>201</v>
      </c>
      <c r="D130" s="88">
        <v>4999894</v>
      </c>
      <c r="G130" s="1"/>
      <c r="L130" s="1"/>
      <c r="M130" s="1"/>
    </row>
    <row r="131" spans="1:13" s="2" customFormat="1" x14ac:dyDescent="0.2">
      <c r="A131" s="87">
        <v>45128</v>
      </c>
      <c r="B131" s="120" t="s">
        <v>1052</v>
      </c>
      <c r="C131" s="75" t="s">
        <v>1084</v>
      </c>
      <c r="D131" s="88">
        <v>4000000</v>
      </c>
      <c r="G131" s="1"/>
      <c r="L131" s="1"/>
      <c r="M131" s="1"/>
    </row>
    <row r="132" spans="1:13" s="2" customFormat="1" x14ac:dyDescent="0.2">
      <c r="A132" s="87">
        <v>45131</v>
      </c>
      <c r="B132" s="120" t="s">
        <v>1052</v>
      </c>
      <c r="C132" s="75" t="s">
        <v>85</v>
      </c>
      <c r="D132" s="88">
        <v>1044741</v>
      </c>
      <c r="G132" s="1"/>
      <c r="L132" s="1"/>
      <c r="M132" s="1"/>
    </row>
    <row r="133" spans="1:13" s="2" customFormat="1" x14ac:dyDescent="0.2">
      <c r="A133" s="87">
        <v>45132</v>
      </c>
      <c r="B133" s="120" t="s">
        <v>1052</v>
      </c>
      <c r="C133" s="75" t="s">
        <v>85</v>
      </c>
      <c r="D133" s="88">
        <v>70998</v>
      </c>
      <c r="G133" s="1"/>
      <c r="L133" s="1"/>
      <c r="M133" s="1"/>
    </row>
    <row r="134" spans="1:13" s="2" customFormat="1" x14ac:dyDescent="0.2">
      <c r="A134" s="87">
        <v>45132</v>
      </c>
      <c r="B134" s="120" t="s">
        <v>1052</v>
      </c>
      <c r="C134" s="75" t="s">
        <v>271</v>
      </c>
      <c r="D134" s="88">
        <v>314598</v>
      </c>
      <c r="G134" s="1"/>
      <c r="L134" s="1"/>
      <c r="M134" s="1"/>
    </row>
    <row r="135" spans="1:13" s="2" customFormat="1" x14ac:dyDescent="0.2">
      <c r="A135" s="87">
        <v>45132</v>
      </c>
      <c r="B135" s="120" t="s">
        <v>1052</v>
      </c>
      <c r="C135" s="75" t="s">
        <v>594</v>
      </c>
      <c r="D135" s="88">
        <v>2163081</v>
      </c>
      <c r="G135" s="1"/>
      <c r="L135" s="1"/>
      <c r="M135" s="1"/>
    </row>
    <row r="136" spans="1:13" s="2" customFormat="1" x14ac:dyDescent="0.2">
      <c r="A136" s="87">
        <v>45133</v>
      </c>
      <c r="B136" s="120" t="s">
        <v>1052</v>
      </c>
      <c r="C136" s="75" t="s">
        <v>87</v>
      </c>
      <c r="D136" s="88">
        <v>299280</v>
      </c>
      <c r="G136" s="1"/>
      <c r="L136" s="1"/>
      <c r="M136" s="1"/>
    </row>
    <row r="137" spans="1:13" s="2" customFormat="1" x14ac:dyDescent="0.2">
      <c r="A137" s="87">
        <v>45133</v>
      </c>
      <c r="B137" s="120" t="s">
        <v>1052</v>
      </c>
      <c r="C137" s="75" t="s">
        <v>323</v>
      </c>
      <c r="D137" s="88">
        <v>1773450</v>
      </c>
      <c r="G137" s="1"/>
      <c r="L137" s="1"/>
      <c r="M137" s="1"/>
    </row>
    <row r="138" spans="1:13" s="2" customFormat="1" x14ac:dyDescent="0.2">
      <c r="A138" s="87">
        <v>45133</v>
      </c>
      <c r="B138" s="120" t="s">
        <v>1052</v>
      </c>
      <c r="C138" s="75" t="s">
        <v>84</v>
      </c>
      <c r="D138" s="88">
        <v>2000000</v>
      </c>
      <c r="G138" s="1"/>
      <c r="L138" s="1"/>
      <c r="M138" s="1"/>
    </row>
    <row r="139" spans="1:13" s="2" customFormat="1" x14ac:dyDescent="0.2">
      <c r="A139" s="87">
        <v>45133</v>
      </c>
      <c r="B139" s="120" t="s">
        <v>1052</v>
      </c>
      <c r="C139" s="75" t="s">
        <v>87</v>
      </c>
      <c r="D139" s="88">
        <v>1434314</v>
      </c>
      <c r="G139" s="1"/>
      <c r="L139" s="1"/>
      <c r="M139" s="1"/>
    </row>
    <row r="140" spans="1:13" s="2" customFormat="1" x14ac:dyDescent="0.2">
      <c r="A140" s="87">
        <v>45135</v>
      </c>
      <c r="B140" s="120" t="s">
        <v>1052</v>
      </c>
      <c r="C140" s="75" t="s">
        <v>270</v>
      </c>
      <c r="D140" s="88">
        <v>102576</v>
      </c>
      <c r="G140" s="1"/>
      <c r="L140" s="1"/>
      <c r="M140" s="1"/>
    </row>
    <row r="141" spans="1:13" s="2" customFormat="1" x14ac:dyDescent="0.2">
      <c r="A141" s="87">
        <v>45135</v>
      </c>
      <c r="B141" s="120" t="s">
        <v>1052</v>
      </c>
      <c r="C141" s="75" t="s">
        <v>270</v>
      </c>
      <c r="D141" s="88">
        <v>885672</v>
      </c>
      <c r="G141" s="1"/>
      <c r="L141" s="1"/>
      <c r="M141" s="1"/>
    </row>
    <row r="142" spans="1:13" s="2" customFormat="1" x14ac:dyDescent="0.2">
      <c r="A142" s="87">
        <v>45135</v>
      </c>
      <c r="B142" s="120" t="s">
        <v>1052</v>
      </c>
      <c r="C142" s="75" t="s">
        <v>271</v>
      </c>
      <c r="D142" s="88">
        <v>3464097</v>
      </c>
      <c r="G142" s="1"/>
      <c r="L142" s="1"/>
      <c r="M142" s="1"/>
    </row>
    <row r="143" spans="1:13" s="2" customFormat="1" x14ac:dyDescent="0.2">
      <c r="A143" s="87">
        <v>45136</v>
      </c>
      <c r="B143" s="120" t="s">
        <v>1052</v>
      </c>
      <c r="C143" s="75" t="s">
        <v>1084</v>
      </c>
      <c r="D143" s="88">
        <v>3951435</v>
      </c>
      <c r="G143" s="1"/>
      <c r="L143" s="1"/>
      <c r="M143" s="1"/>
    </row>
    <row r="144" spans="1:13" s="2" customFormat="1" x14ac:dyDescent="0.2">
      <c r="A144" s="87">
        <v>45138</v>
      </c>
      <c r="B144" s="120" t="s">
        <v>1052</v>
      </c>
      <c r="C144" s="75" t="s">
        <v>85</v>
      </c>
      <c r="D144" s="88">
        <v>906931</v>
      </c>
      <c r="G144" s="1"/>
      <c r="L144" s="1"/>
      <c r="M144" s="1"/>
    </row>
    <row r="145" spans="1:13" s="2" customFormat="1" x14ac:dyDescent="0.2">
      <c r="A145" s="87"/>
      <c r="B145" s="74"/>
      <c r="C145" s="75"/>
      <c r="D145" s="51">
        <f>SUM(D85:D144)</f>
        <v>83443346.920000002</v>
      </c>
      <c r="F145" s="2" t="s">
        <v>396</v>
      </c>
      <c r="G145" s="1"/>
      <c r="L145" s="1"/>
      <c r="M145" s="1"/>
    </row>
    <row r="146" spans="1:13" s="2" customFormat="1" x14ac:dyDescent="0.2">
      <c r="A146" s="24"/>
      <c r="B146" s="1"/>
      <c r="C146" s="14"/>
      <c r="D146" s="56"/>
      <c r="E146" s="13"/>
      <c r="G146" s="1"/>
      <c r="L146" s="1"/>
      <c r="M146" s="1"/>
    </row>
    <row r="147" spans="1:13" s="2" customFormat="1" x14ac:dyDescent="0.2">
      <c r="A147" s="24"/>
      <c r="B147" s="1"/>
      <c r="C147" s="218" t="s">
        <v>77</v>
      </c>
      <c r="D147" s="219"/>
      <c r="E147" s="219"/>
      <c r="F147" s="220"/>
      <c r="G147" s="1"/>
      <c r="L147" s="1"/>
      <c r="M147" s="1"/>
    </row>
    <row r="148" spans="1:13" s="2" customFormat="1" x14ac:dyDescent="0.2">
      <c r="A148" s="24"/>
      <c r="B148" s="1"/>
      <c r="C148" s="50"/>
      <c r="D148" s="57" t="s">
        <v>78</v>
      </c>
      <c r="E148" s="58" t="s">
        <v>79</v>
      </c>
      <c r="F148" s="57" t="s">
        <v>72</v>
      </c>
      <c r="G148" s="1"/>
      <c r="I148" s="1"/>
      <c r="J148" s="1"/>
      <c r="K148" s="1"/>
      <c r="L148" s="1"/>
      <c r="M148" s="1"/>
    </row>
    <row r="149" spans="1:13" s="2" customFormat="1" x14ac:dyDescent="0.2">
      <c r="A149" s="24"/>
      <c r="B149" s="1"/>
      <c r="C149" s="59" t="str">
        <f>"01-07-2023 to "&amp;TEXT(A5-2,"dd-mm-yyyy")</f>
        <v>01-07-2023 to 29-07-2023</v>
      </c>
      <c r="D149" s="60">
        <v>5181.38</v>
      </c>
      <c r="E149" s="60">
        <v>258.89</v>
      </c>
      <c r="F149" s="61">
        <f>SUM(D149:E149)</f>
        <v>5440.27</v>
      </c>
      <c r="G149" s="1"/>
    </row>
    <row r="150" spans="1:13" s="2" customFormat="1" x14ac:dyDescent="0.2">
      <c r="A150" s="24"/>
      <c r="B150" s="1"/>
      <c r="C150" s="62" t="str">
        <f>TEXT(A5-1,"dd-mm-yyyy")</f>
        <v>30-07-2023</v>
      </c>
      <c r="D150" s="60">
        <v>57</v>
      </c>
      <c r="E150" s="60">
        <v>7.0000000000000007E-2</v>
      </c>
      <c r="F150" s="61">
        <f>SUM(D150:E150)</f>
        <v>57.07</v>
      </c>
      <c r="G150" s="54"/>
      <c r="I150" s="1"/>
      <c r="J150" s="1"/>
      <c r="K150" s="1"/>
      <c r="L150" s="1"/>
      <c r="M150" s="1"/>
    </row>
    <row r="151" spans="1:13" s="2" customFormat="1" ht="13.5" thickBot="1" x14ac:dyDescent="0.25">
      <c r="A151" s="24"/>
      <c r="B151" s="1"/>
      <c r="C151" s="63" t="str">
        <f>"01-07-2023 to "&amp;TEXT(A5-1,"dd-mm-yyyy")</f>
        <v>01-07-2023 to 30-07-2023</v>
      </c>
      <c r="D151" s="64">
        <f>SUM(D149:D150)</f>
        <v>5238.38</v>
      </c>
      <c r="E151" s="64">
        <f>SUM(E149:E150)</f>
        <v>258.95999999999998</v>
      </c>
      <c r="F151" s="64">
        <f>SUM(F149:F150)</f>
        <v>5497.34</v>
      </c>
      <c r="G151" s="54"/>
      <c r="I151" s="1"/>
      <c r="J151" s="1"/>
      <c r="K151" s="1"/>
      <c r="L151" s="1"/>
      <c r="M151" s="1"/>
    </row>
    <row r="152" spans="1:13" s="2" customFormat="1" ht="13.5" thickTop="1" x14ac:dyDescent="0.2">
      <c r="A152" s="24"/>
      <c r="B152" s="1"/>
      <c r="C152" s="62"/>
      <c r="D152" s="65"/>
      <c r="E152" s="66"/>
      <c r="F152" s="67"/>
      <c r="G152" s="54"/>
      <c r="I152" s="1"/>
      <c r="J152" s="1"/>
      <c r="K152" s="1"/>
      <c r="L152" s="1"/>
      <c r="M152" s="1"/>
    </row>
    <row r="153" spans="1:13" s="2" customFormat="1" x14ac:dyDescent="0.2">
      <c r="A153" s="24"/>
      <c r="B153" s="1"/>
      <c r="C153" s="62" t="str">
        <f>"01-04-2023 to " &amp;C150</f>
        <v>01-04-2023 to 30-07-2023</v>
      </c>
      <c r="D153" s="68">
        <f>+D151+15504.74</f>
        <v>20743.12</v>
      </c>
      <c r="E153" s="68">
        <f>+E151+1109.72</f>
        <v>1368.68</v>
      </c>
      <c r="F153" s="68">
        <f>+F151+16614.46</f>
        <v>22111.8</v>
      </c>
      <c r="G153" s="54"/>
      <c r="I153" s="1"/>
      <c r="J153" s="1"/>
      <c r="K153" s="1"/>
      <c r="L153" s="1"/>
      <c r="M153" s="1"/>
    </row>
    <row r="154" spans="1:13" x14ac:dyDescent="0.2">
      <c r="C154" s="52"/>
      <c r="D154" s="85"/>
      <c r="E154" s="53"/>
      <c r="F154" s="53"/>
      <c r="G154" s="54"/>
      <c r="H154" s="2" t="s">
        <v>396</v>
      </c>
    </row>
    <row r="155" spans="1:13" s="2" customFormat="1" x14ac:dyDescent="0.2">
      <c r="A155" s="24"/>
      <c r="B155" s="1"/>
      <c r="C155" s="52"/>
      <c r="D155" s="85"/>
      <c r="E155" s="53"/>
      <c r="F155" s="53"/>
      <c r="G155" s="54"/>
      <c r="H155" s="53"/>
    </row>
    <row r="156" spans="1:13" x14ac:dyDescent="0.2">
      <c r="C156" s="52"/>
      <c r="D156" s="85"/>
      <c r="E156" s="53"/>
      <c r="F156" s="53"/>
      <c r="G156" s="54"/>
      <c r="H156" s="53" t="s">
        <v>396</v>
      </c>
    </row>
    <row r="157" spans="1:13" x14ac:dyDescent="0.2">
      <c r="C157" s="52"/>
      <c r="D157" s="85"/>
      <c r="E157" s="53"/>
      <c r="F157" s="53"/>
      <c r="G157" s="54"/>
      <c r="H157" s="53" t="s">
        <v>396</v>
      </c>
      <c r="J157" s="42"/>
    </row>
    <row r="158" spans="1:13" x14ac:dyDescent="0.2">
      <c r="G158" s="54"/>
      <c r="H158" s="53"/>
      <c r="I158" s="101"/>
    </row>
    <row r="159" spans="1:13" x14ac:dyDescent="0.2">
      <c r="G159" s="54"/>
      <c r="H159" s="53"/>
    </row>
    <row r="160" spans="1:13" x14ac:dyDescent="0.2">
      <c r="G160" s="54"/>
      <c r="H160" s="53"/>
    </row>
    <row r="161" spans="8:8" x14ac:dyDescent="0.2">
      <c r="H161" s="53"/>
    </row>
  </sheetData>
  <mergeCells count="6">
    <mergeCell ref="C147:F147"/>
    <mergeCell ref="A1:G1"/>
    <mergeCell ref="A3:F3"/>
    <mergeCell ref="A9:F9"/>
    <mergeCell ref="A38:F38"/>
    <mergeCell ref="A83:D83"/>
  </mergeCells>
  <conditionalFormatting sqref="G80:G81">
    <cfRule type="cellIs" dxfId="387" priority="1" operator="lessThan">
      <formula>0</formula>
    </cfRule>
  </conditionalFormatting>
  <conditionalFormatting sqref="C40">
    <cfRule type="duplicateValues" dxfId="386" priority="2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100-000000000000}">
  <sheetPr codeName="Sheet393">
    <pageSetUpPr fitToPage="1"/>
  </sheetPr>
  <dimension ref="A1:N103"/>
  <sheetViews>
    <sheetView topLeftCell="A16" zoomScaleNormal="100" workbookViewId="0">
      <selection activeCell="C12" sqref="C12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1284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45139</v>
      </c>
      <c r="B5" s="9" t="s">
        <v>6</v>
      </c>
      <c r="C5" s="10" t="s">
        <v>7</v>
      </c>
      <c r="D5" s="11"/>
      <c r="E5" s="12">
        <v>277691.7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277691.7</v>
      </c>
      <c r="F6" s="16">
        <f>SUM(F5:F5)</f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+E6-F6</f>
        <v>277691.7</v>
      </c>
      <c r="F7" s="22"/>
      <c r="G7" s="23"/>
      <c r="H7" s="112"/>
      <c r="I7" s="112"/>
      <c r="J7" s="13"/>
    </row>
    <row r="8" spans="1:10" ht="12.75" customHeight="1" x14ac:dyDescent="0.4">
      <c r="H8" s="112"/>
      <c r="I8" s="112"/>
    </row>
    <row r="9" spans="1:10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12"/>
    </row>
    <row r="10" spans="1:10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12"/>
    </row>
    <row r="11" spans="1:10" s="2" customFormat="1" ht="14.25" customHeight="1" x14ac:dyDescent="0.2">
      <c r="A11" s="89">
        <v>45139</v>
      </c>
      <c r="B11" s="9" t="s">
        <v>6</v>
      </c>
      <c r="C11" s="10" t="s">
        <v>7</v>
      </c>
      <c r="D11" s="11"/>
      <c r="F11" s="12">
        <v>26671729.209999997</v>
      </c>
      <c r="G11" s="1"/>
      <c r="H11" s="130" t="s">
        <v>396</v>
      </c>
      <c r="I11" s="130"/>
    </row>
    <row r="12" spans="1:10" s="70" customFormat="1" ht="12.75" customHeight="1" x14ac:dyDescent="0.2">
      <c r="A12" s="89">
        <v>45139</v>
      </c>
      <c r="B12" s="128" t="s">
        <v>6</v>
      </c>
      <c r="C12" s="76" t="s">
        <v>1011</v>
      </c>
      <c r="D12" s="11" t="s">
        <v>13</v>
      </c>
      <c r="E12" s="31">
        <v>637033.74</v>
      </c>
      <c r="F12" s="31"/>
      <c r="G12" s="30"/>
      <c r="I12" s="69"/>
      <c r="J12" s="69"/>
    </row>
    <row r="13" spans="1:10" s="70" customFormat="1" ht="12.75" customHeight="1" x14ac:dyDescent="0.2">
      <c r="A13" s="89">
        <v>45139</v>
      </c>
      <c r="B13" s="128" t="s">
        <v>6</v>
      </c>
      <c r="C13" s="76" t="s">
        <v>1137</v>
      </c>
      <c r="D13" s="11" t="s">
        <v>29</v>
      </c>
      <c r="E13" s="31"/>
      <c r="F13" s="31">
        <v>35488.33</v>
      </c>
      <c r="G13" s="30"/>
      <c r="I13" s="69"/>
      <c r="J13" s="69"/>
    </row>
    <row r="14" spans="1:10" s="70" customFormat="1" ht="12.75" customHeight="1" x14ac:dyDescent="0.2">
      <c r="A14" s="89">
        <v>45139</v>
      </c>
      <c r="B14" s="128" t="s">
        <v>6</v>
      </c>
      <c r="C14" s="76" t="s">
        <v>494</v>
      </c>
      <c r="D14" s="11" t="s">
        <v>29</v>
      </c>
      <c r="E14" s="31"/>
      <c r="F14" s="31">
        <v>19539.32</v>
      </c>
      <c r="G14" s="30"/>
      <c r="I14" s="69"/>
      <c r="J14" s="69"/>
    </row>
    <row r="15" spans="1:10" s="70" customFormat="1" ht="12.75" customHeight="1" x14ac:dyDescent="0.2">
      <c r="A15" s="89">
        <v>45139</v>
      </c>
      <c r="B15" s="128" t="s">
        <v>11</v>
      </c>
      <c r="C15" s="76" t="s">
        <v>1068</v>
      </c>
      <c r="D15" s="11" t="s">
        <v>29</v>
      </c>
      <c r="E15" s="31"/>
      <c r="F15" s="31">
        <v>11195</v>
      </c>
      <c r="G15" s="30"/>
      <c r="I15" s="69"/>
      <c r="J15" s="69"/>
    </row>
    <row r="16" spans="1:10" s="70" customFormat="1" ht="12.75" customHeight="1" x14ac:dyDescent="0.2">
      <c r="A16" s="89">
        <v>45139</v>
      </c>
      <c r="B16" s="128" t="s">
        <v>11</v>
      </c>
      <c r="C16" s="76" t="s">
        <v>1285</v>
      </c>
      <c r="D16" s="11" t="s">
        <v>29</v>
      </c>
      <c r="E16" s="31"/>
      <c r="F16" s="31">
        <v>115742</v>
      </c>
      <c r="G16" s="30"/>
      <c r="I16" s="69"/>
      <c r="J16" s="69"/>
    </row>
    <row r="17" spans="1:10" s="70" customFormat="1" ht="12.75" customHeight="1" x14ac:dyDescent="0.2">
      <c r="A17" s="89">
        <v>45139</v>
      </c>
      <c r="B17" s="128" t="s">
        <v>11</v>
      </c>
      <c r="C17" s="76" t="s">
        <v>1286</v>
      </c>
      <c r="D17" s="11" t="s">
        <v>29</v>
      </c>
      <c r="E17" s="31"/>
      <c r="F17" s="31">
        <v>181272</v>
      </c>
      <c r="G17" s="30"/>
      <c r="I17" s="69"/>
      <c r="J17" s="69"/>
    </row>
    <row r="18" spans="1:10" s="70" customFormat="1" ht="12.75" customHeight="1" x14ac:dyDescent="0.2">
      <c r="A18" s="89">
        <v>45139</v>
      </c>
      <c r="B18" s="128" t="s">
        <v>11</v>
      </c>
      <c r="C18" s="76" t="s">
        <v>871</v>
      </c>
      <c r="D18" s="11" t="s">
        <v>29</v>
      </c>
      <c r="E18" s="31"/>
      <c r="F18" s="31">
        <v>40380</v>
      </c>
      <c r="G18" s="30"/>
      <c r="I18" s="69"/>
      <c r="J18" s="69"/>
    </row>
    <row r="19" spans="1:10" s="70" customFormat="1" ht="12.75" customHeight="1" x14ac:dyDescent="0.2">
      <c r="A19" s="89">
        <v>45139</v>
      </c>
      <c r="B19" s="128" t="s">
        <v>11</v>
      </c>
      <c r="C19" s="76" t="s">
        <v>486</v>
      </c>
      <c r="D19" s="11" t="s">
        <v>29</v>
      </c>
      <c r="E19" s="31"/>
      <c r="F19" s="31">
        <v>1000000</v>
      </c>
      <c r="G19" s="30"/>
      <c r="I19" s="69"/>
      <c r="J19" s="69"/>
    </row>
    <row r="20" spans="1:10" s="2" customFormat="1" ht="12.75" customHeight="1" x14ac:dyDescent="0.4">
      <c r="D20" s="11" t="s">
        <v>8</v>
      </c>
      <c r="E20" s="16">
        <f>SUM(E12:E19)</f>
        <v>637033.74</v>
      </c>
      <c r="F20" s="16">
        <f>SUM(F11:F19)</f>
        <v>28075345.859999996</v>
      </c>
      <c r="G20" s="1"/>
      <c r="H20" s="112"/>
      <c r="I20" s="112"/>
    </row>
    <row r="21" spans="1:10" s="2" customFormat="1" ht="12.75" customHeight="1" x14ac:dyDescent="0.4">
      <c r="A21" s="17"/>
      <c r="B21" s="18"/>
      <c r="C21" s="96" t="s">
        <v>9</v>
      </c>
      <c r="D21" s="20"/>
      <c r="E21" s="21">
        <f>+F20-E20</f>
        <v>27438312.119999997</v>
      </c>
      <c r="G21" s="23"/>
      <c r="H21" s="112"/>
      <c r="I21" s="112"/>
      <c r="J21" s="13"/>
    </row>
    <row r="22" spans="1:10" s="2" customFormat="1" ht="12.75" customHeight="1" x14ac:dyDescent="0.4">
      <c r="A22" s="24"/>
      <c r="B22" s="1"/>
      <c r="C22" s="14"/>
      <c r="D22" s="25"/>
      <c r="G22" s="23"/>
      <c r="H22" s="112"/>
      <c r="I22" s="112"/>
      <c r="J22" s="13"/>
    </row>
    <row r="23" spans="1:10" s="2" customFormat="1" ht="21.75" customHeight="1" x14ac:dyDescent="0.4">
      <c r="A23" s="214" t="s">
        <v>10</v>
      </c>
      <c r="B23" s="214"/>
      <c r="C23" s="214"/>
      <c r="D23" s="214"/>
      <c r="E23" s="214"/>
      <c r="F23" s="214"/>
      <c r="G23" s="13"/>
      <c r="H23" s="112"/>
      <c r="I23" s="112"/>
      <c r="J23" s="13"/>
    </row>
    <row r="24" spans="1:10" s="2" customFormat="1" ht="12.75" customHeight="1" x14ac:dyDescent="0.4">
      <c r="A24" s="26" t="s">
        <v>1</v>
      </c>
      <c r="B24" s="27" t="s">
        <v>2</v>
      </c>
      <c r="C24" s="5"/>
      <c r="D24" s="6" t="s">
        <v>3</v>
      </c>
      <c r="E24" s="7" t="s">
        <v>4</v>
      </c>
      <c r="F24" s="7" t="s">
        <v>5</v>
      </c>
      <c r="G24" s="23"/>
      <c r="H24" s="112"/>
      <c r="I24" s="112"/>
      <c r="J24" s="13"/>
    </row>
    <row r="25" spans="1:10" s="2" customFormat="1" ht="12.75" customHeight="1" x14ac:dyDescent="0.2">
      <c r="A25" s="89">
        <v>45139</v>
      </c>
      <c r="B25" s="128" t="s">
        <v>11</v>
      </c>
      <c r="C25" s="29" t="s">
        <v>7</v>
      </c>
      <c r="D25" s="25"/>
      <c r="E25" s="31"/>
      <c r="F25" s="2">
        <v>292259534.62999988</v>
      </c>
      <c r="G25" s="30"/>
      <c r="I25" s="13"/>
      <c r="J25" s="13"/>
    </row>
    <row r="26" spans="1:10" s="70" customFormat="1" ht="12.75" customHeight="1" x14ac:dyDescent="0.2">
      <c r="A26" s="89">
        <v>45139</v>
      </c>
      <c r="B26" s="128" t="s">
        <v>6</v>
      </c>
      <c r="C26" s="10" t="s">
        <v>149</v>
      </c>
      <c r="D26" s="11" t="s">
        <v>13</v>
      </c>
      <c r="E26" s="86">
        <v>22937</v>
      </c>
      <c r="G26" s="30"/>
      <c r="I26" s="69"/>
      <c r="J26" s="69"/>
    </row>
    <row r="27" spans="1:10" s="70" customFormat="1" ht="12.75" customHeight="1" x14ac:dyDescent="0.2">
      <c r="A27" s="89">
        <v>45139</v>
      </c>
      <c r="B27" s="128" t="s">
        <v>6</v>
      </c>
      <c r="C27" s="10" t="s">
        <v>1287</v>
      </c>
      <c r="D27" s="11" t="s">
        <v>13</v>
      </c>
      <c r="E27" s="86">
        <v>1181</v>
      </c>
      <c r="G27" s="30"/>
      <c r="I27" s="69"/>
      <c r="J27" s="69"/>
    </row>
    <row r="28" spans="1:10" s="70" customFormat="1" ht="12.75" customHeight="1" x14ac:dyDescent="0.2">
      <c r="A28" s="89">
        <v>45139</v>
      </c>
      <c r="B28" s="128" t="s">
        <v>6</v>
      </c>
      <c r="C28" s="10" t="s">
        <v>448</v>
      </c>
      <c r="D28" s="11" t="s">
        <v>13</v>
      </c>
      <c r="E28" s="86">
        <v>869431</v>
      </c>
      <c r="G28" s="30"/>
      <c r="I28" s="69"/>
      <c r="J28" s="69"/>
    </row>
    <row r="29" spans="1:10" s="70" customFormat="1" ht="12.75" customHeight="1" x14ac:dyDescent="0.2">
      <c r="A29" s="89">
        <v>45139</v>
      </c>
      <c r="B29" s="128" t="s">
        <v>6</v>
      </c>
      <c r="C29" s="10" t="s">
        <v>843</v>
      </c>
      <c r="D29" s="11" t="s">
        <v>13</v>
      </c>
      <c r="E29" s="86">
        <v>24586.79</v>
      </c>
      <c r="G29" s="30"/>
      <c r="I29" s="69"/>
      <c r="J29" s="69"/>
    </row>
    <row r="30" spans="1:10" s="70" customFormat="1" ht="12.75" customHeight="1" x14ac:dyDescent="0.2">
      <c r="A30" s="89">
        <v>45139</v>
      </c>
      <c r="B30" s="128" t="s">
        <v>6</v>
      </c>
      <c r="C30" s="10" t="s">
        <v>332</v>
      </c>
      <c r="D30" s="11" t="s">
        <v>13</v>
      </c>
      <c r="E30" s="86">
        <v>215976</v>
      </c>
      <c r="G30" s="30"/>
      <c r="I30" s="69"/>
      <c r="J30" s="69"/>
    </row>
    <row r="31" spans="1:10" s="70" customFormat="1" ht="12.75" customHeight="1" x14ac:dyDescent="0.2">
      <c r="A31" s="89">
        <v>45139</v>
      </c>
      <c r="B31" s="128" t="s">
        <v>6</v>
      </c>
      <c r="C31" s="10" t="s">
        <v>1217</v>
      </c>
      <c r="D31" s="11" t="s">
        <v>13</v>
      </c>
      <c r="E31" s="86">
        <v>100000</v>
      </c>
      <c r="G31" s="30"/>
      <c r="I31" s="69"/>
      <c r="J31" s="69"/>
    </row>
    <row r="32" spans="1:10" s="70" customFormat="1" ht="12.75" customHeight="1" x14ac:dyDescent="0.2">
      <c r="A32" s="89">
        <v>45139</v>
      </c>
      <c r="B32" s="128" t="s">
        <v>6</v>
      </c>
      <c r="C32" s="10" t="s">
        <v>695</v>
      </c>
      <c r="D32" s="11" t="s">
        <v>13</v>
      </c>
      <c r="E32" s="86">
        <v>224800</v>
      </c>
      <c r="G32" s="30"/>
      <c r="I32" s="69"/>
      <c r="J32" s="69"/>
    </row>
    <row r="33" spans="1:10" s="70" customFormat="1" ht="12.75" customHeight="1" x14ac:dyDescent="0.2">
      <c r="A33" s="89">
        <v>45139</v>
      </c>
      <c r="B33" s="128" t="s">
        <v>6</v>
      </c>
      <c r="C33" s="10" t="s">
        <v>1291</v>
      </c>
      <c r="D33" s="11" t="s">
        <v>13</v>
      </c>
      <c r="E33" s="86">
        <v>2625</v>
      </c>
      <c r="G33" s="30"/>
      <c r="I33" s="69"/>
      <c r="J33" s="69"/>
    </row>
    <row r="34" spans="1:10" s="70" customFormat="1" ht="12.75" customHeight="1" x14ac:dyDescent="0.2">
      <c r="A34" s="89">
        <v>45139</v>
      </c>
      <c r="B34" s="128" t="s">
        <v>6</v>
      </c>
      <c r="C34" s="10" t="s">
        <v>1290</v>
      </c>
      <c r="D34" s="11" t="s">
        <v>13</v>
      </c>
      <c r="E34" s="86">
        <v>2520</v>
      </c>
      <c r="G34" s="30"/>
      <c r="I34" s="69"/>
      <c r="J34" s="69"/>
    </row>
    <row r="35" spans="1:10" s="70" customFormat="1" ht="12.75" customHeight="1" x14ac:dyDescent="0.2">
      <c r="A35" s="89">
        <v>45139</v>
      </c>
      <c r="B35" s="128" t="s">
        <v>6</v>
      </c>
      <c r="C35" s="10" t="s">
        <v>316</v>
      </c>
      <c r="D35" s="11" t="s">
        <v>13</v>
      </c>
      <c r="E35" s="86">
        <v>1381348</v>
      </c>
      <c r="G35" s="30"/>
      <c r="I35" s="69"/>
      <c r="J35" s="69"/>
    </row>
    <row r="36" spans="1:10" s="70" customFormat="1" ht="12.75" customHeight="1" x14ac:dyDescent="0.2">
      <c r="A36" s="89">
        <v>45139</v>
      </c>
      <c r="B36" s="128" t="s">
        <v>6</v>
      </c>
      <c r="C36" s="10" t="s">
        <v>104</v>
      </c>
      <c r="D36" s="11" t="s">
        <v>13</v>
      </c>
      <c r="E36" s="86">
        <v>26022</v>
      </c>
      <c r="G36" s="30"/>
      <c r="I36" s="69"/>
      <c r="J36" s="69"/>
    </row>
    <row r="37" spans="1:10" s="70" customFormat="1" ht="12.75" customHeight="1" x14ac:dyDescent="0.2">
      <c r="A37" s="89">
        <v>45139</v>
      </c>
      <c r="B37" s="128" t="s">
        <v>6</v>
      </c>
      <c r="C37" s="10" t="s">
        <v>759</v>
      </c>
      <c r="D37" s="11" t="s">
        <v>13</v>
      </c>
      <c r="E37" s="86">
        <v>703907.9</v>
      </c>
      <c r="G37" s="30"/>
      <c r="I37" s="69"/>
      <c r="J37" s="69"/>
    </row>
    <row r="38" spans="1:10" s="70" customFormat="1" ht="12.75" customHeight="1" x14ac:dyDescent="0.2">
      <c r="A38" s="89">
        <v>45139</v>
      </c>
      <c r="B38" s="128" t="s">
        <v>6</v>
      </c>
      <c r="C38" s="10" t="s">
        <v>15</v>
      </c>
      <c r="D38" s="11" t="s">
        <v>13</v>
      </c>
      <c r="E38" s="86">
        <v>153690.76999999999</v>
      </c>
      <c r="G38" s="30"/>
      <c r="I38" s="69"/>
      <c r="J38" s="69"/>
    </row>
    <row r="39" spans="1:10" s="70" customFormat="1" ht="12.75" customHeight="1" x14ac:dyDescent="0.2">
      <c r="A39" s="89">
        <v>45139</v>
      </c>
      <c r="B39" s="128" t="s">
        <v>6</v>
      </c>
      <c r="C39" s="10" t="s">
        <v>236</v>
      </c>
      <c r="D39" s="11" t="s">
        <v>13</v>
      </c>
      <c r="E39" s="86">
        <v>1000000</v>
      </c>
      <c r="G39" s="30"/>
      <c r="I39" s="69"/>
      <c r="J39" s="69"/>
    </row>
    <row r="40" spans="1:10" s="70" customFormat="1" ht="12.75" customHeight="1" x14ac:dyDescent="0.2">
      <c r="A40" s="89">
        <v>45139</v>
      </c>
      <c r="B40" s="128" t="s">
        <v>6</v>
      </c>
      <c r="C40" s="10" t="s">
        <v>750</v>
      </c>
      <c r="D40" s="11" t="s">
        <v>13</v>
      </c>
      <c r="E40" s="86">
        <v>767640.79999999993</v>
      </c>
      <c r="G40" s="30"/>
      <c r="I40" s="69"/>
      <c r="J40" s="69"/>
    </row>
    <row r="41" spans="1:10" s="70" customFormat="1" ht="12.75" customHeight="1" x14ac:dyDescent="0.2">
      <c r="A41" s="89">
        <v>45139</v>
      </c>
      <c r="B41" s="128" t="s">
        <v>6</v>
      </c>
      <c r="C41" s="10" t="s">
        <v>755</v>
      </c>
      <c r="D41" s="11" t="s">
        <v>13</v>
      </c>
      <c r="E41" s="86">
        <v>105287</v>
      </c>
      <c r="G41" s="30"/>
      <c r="I41" s="69"/>
      <c r="J41" s="69"/>
    </row>
    <row r="42" spans="1:10" s="70" customFormat="1" ht="12.75" customHeight="1" x14ac:dyDescent="0.2">
      <c r="A42" s="89">
        <v>45139</v>
      </c>
      <c r="B42" s="128" t="s">
        <v>6</v>
      </c>
      <c r="C42" s="10" t="s">
        <v>1031</v>
      </c>
      <c r="D42" s="11" t="s">
        <v>13</v>
      </c>
      <c r="E42" s="86">
        <v>74459.409999999989</v>
      </c>
      <c r="G42" s="30"/>
      <c r="I42" s="69"/>
      <c r="J42" s="69"/>
    </row>
    <row r="43" spans="1:10" s="70" customFormat="1" ht="12.75" customHeight="1" x14ac:dyDescent="0.2">
      <c r="A43" s="89">
        <v>45139</v>
      </c>
      <c r="B43" s="128" t="s">
        <v>11</v>
      </c>
      <c r="C43" s="10" t="s">
        <v>64</v>
      </c>
      <c r="D43" s="11" t="s">
        <v>29</v>
      </c>
      <c r="E43" s="86"/>
      <c r="F43" s="70">
        <v>5533.52</v>
      </c>
      <c r="G43" s="30"/>
      <c r="I43" s="69"/>
      <c r="J43" s="69"/>
    </row>
    <row r="44" spans="1:10" s="70" customFormat="1" ht="12.75" customHeight="1" x14ac:dyDescent="0.2">
      <c r="A44" s="89">
        <v>45139</v>
      </c>
      <c r="B44" s="128" t="s">
        <v>11</v>
      </c>
      <c r="C44" s="10" t="s">
        <v>1031</v>
      </c>
      <c r="D44" s="11" t="s">
        <v>29</v>
      </c>
      <c r="E44" s="86"/>
      <c r="F44" s="70">
        <v>333205.87</v>
      </c>
      <c r="G44" s="30"/>
      <c r="I44" s="69"/>
      <c r="J44" s="69"/>
    </row>
    <row r="45" spans="1:10" s="70" customFormat="1" ht="12.75" customHeight="1" x14ac:dyDescent="0.2">
      <c r="A45" s="89">
        <v>45139</v>
      </c>
      <c r="B45" s="128" t="s">
        <v>11</v>
      </c>
      <c r="C45" s="10" t="s">
        <v>102</v>
      </c>
      <c r="D45" s="11" t="s">
        <v>29</v>
      </c>
      <c r="E45" s="86"/>
      <c r="F45" s="70">
        <v>2198734</v>
      </c>
      <c r="G45" s="30"/>
      <c r="I45" s="69"/>
      <c r="J45" s="69"/>
    </row>
    <row r="46" spans="1:10" s="70" customFormat="1" ht="12.75" customHeight="1" x14ac:dyDescent="0.2">
      <c r="A46" s="89">
        <v>45139</v>
      </c>
      <c r="B46" s="128" t="s">
        <v>11</v>
      </c>
      <c r="C46" s="10" t="s">
        <v>57</v>
      </c>
      <c r="D46" s="11" t="s">
        <v>29</v>
      </c>
      <c r="E46" s="86"/>
      <c r="F46" s="70">
        <v>1500000</v>
      </c>
      <c r="G46" s="30"/>
      <c r="I46" s="69"/>
      <c r="J46" s="69"/>
    </row>
    <row r="47" spans="1:10" s="70" customFormat="1" ht="12.75" customHeight="1" x14ac:dyDescent="0.2">
      <c r="A47" s="89">
        <v>45139</v>
      </c>
      <c r="B47" s="128" t="s">
        <v>11</v>
      </c>
      <c r="C47" s="10" t="s">
        <v>92</v>
      </c>
      <c r="D47" s="11" t="s">
        <v>29</v>
      </c>
      <c r="E47" s="86"/>
      <c r="F47" s="70">
        <v>16615</v>
      </c>
      <c r="G47" s="30"/>
      <c r="I47" s="69"/>
      <c r="J47" s="69"/>
    </row>
    <row r="48" spans="1:10" s="70" customFormat="1" ht="12.75" customHeight="1" x14ac:dyDescent="0.2">
      <c r="A48" s="89">
        <v>45139</v>
      </c>
      <c r="B48" s="128" t="s">
        <v>11</v>
      </c>
      <c r="C48" s="10" t="s">
        <v>518</v>
      </c>
      <c r="D48" s="11" t="s">
        <v>29</v>
      </c>
      <c r="E48" s="86"/>
      <c r="F48" s="70">
        <v>20302</v>
      </c>
      <c r="G48" s="30"/>
      <c r="I48" s="69"/>
      <c r="J48" s="69"/>
    </row>
    <row r="49" spans="1:13" s="70" customFormat="1" ht="12.75" customHeight="1" x14ac:dyDescent="0.2">
      <c r="A49" s="89">
        <v>45139</v>
      </c>
      <c r="B49" s="128" t="s">
        <v>11</v>
      </c>
      <c r="C49" s="10" t="s">
        <v>111</v>
      </c>
      <c r="D49" s="11" t="s">
        <v>29</v>
      </c>
      <c r="E49" s="86"/>
      <c r="F49" s="70">
        <v>273233.76</v>
      </c>
      <c r="G49" s="30"/>
      <c r="I49" s="69"/>
      <c r="J49" s="69"/>
    </row>
    <row r="50" spans="1:13" s="70" customFormat="1" ht="12.75" customHeight="1" x14ac:dyDescent="0.2">
      <c r="A50" s="89">
        <v>45139</v>
      </c>
      <c r="B50" s="128" t="s">
        <v>11</v>
      </c>
      <c r="C50" s="10" t="s">
        <v>740</v>
      </c>
      <c r="D50" s="11" t="s">
        <v>29</v>
      </c>
      <c r="E50" s="86"/>
      <c r="F50" s="70">
        <v>44098</v>
      </c>
      <c r="G50" s="30"/>
      <c r="I50" s="69"/>
      <c r="J50" s="69"/>
    </row>
    <row r="51" spans="1:13" s="70" customFormat="1" ht="12.75" customHeight="1" x14ac:dyDescent="0.2">
      <c r="A51" s="89">
        <v>45139</v>
      </c>
      <c r="B51" s="128" t="s">
        <v>11</v>
      </c>
      <c r="C51" s="10" t="s">
        <v>715</v>
      </c>
      <c r="D51" s="11" t="s">
        <v>29</v>
      </c>
      <c r="E51" s="86"/>
      <c r="F51" s="70">
        <v>2899050</v>
      </c>
      <c r="G51" s="30"/>
      <c r="I51" s="69"/>
      <c r="J51" s="69"/>
    </row>
    <row r="52" spans="1:13" s="70" customFormat="1" ht="12.75" customHeight="1" x14ac:dyDescent="0.2">
      <c r="A52" s="89">
        <v>45139</v>
      </c>
      <c r="B52" s="128" t="s">
        <v>11</v>
      </c>
      <c r="C52" s="10" t="s">
        <v>107</v>
      </c>
      <c r="D52" s="11" t="s">
        <v>29</v>
      </c>
      <c r="E52" s="86"/>
      <c r="F52" s="70">
        <v>146900.76999999999</v>
      </c>
      <c r="G52" s="30"/>
      <c r="I52" s="69"/>
      <c r="J52" s="69"/>
    </row>
    <row r="53" spans="1:13" s="70" customFormat="1" ht="12.75" customHeight="1" x14ac:dyDescent="0.2">
      <c r="A53" s="89">
        <v>45139</v>
      </c>
      <c r="B53" s="128" t="s">
        <v>11</v>
      </c>
      <c r="C53" s="10" t="s">
        <v>1288</v>
      </c>
      <c r="D53" s="11" t="s">
        <v>29</v>
      </c>
      <c r="E53" s="86"/>
      <c r="F53" s="70">
        <v>595582.18999999994</v>
      </c>
      <c r="G53" s="30"/>
      <c r="I53" s="69"/>
      <c r="J53" s="69"/>
    </row>
    <row r="54" spans="1:13" s="70" customFormat="1" ht="12.75" customHeight="1" x14ac:dyDescent="0.2">
      <c r="A54" s="89">
        <v>45139</v>
      </c>
      <c r="B54" s="128" t="s">
        <v>11</v>
      </c>
      <c r="C54" s="10" t="s">
        <v>108</v>
      </c>
      <c r="D54" s="11" t="s">
        <v>29</v>
      </c>
      <c r="E54" s="86"/>
      <c r="F54" s="70">
        <v>289686.23</v>
      </c>
      <c r="G54" s="30"/>
      <c r="I54" s="69"/>
      <c r="J54" s="69"/>
    </row>
    <row r="55" spans="1:13" s="70" customFormat="1" ht="12.75" customHeight="1" x14ac:dyDescent="0.2">
      <c r="A55" s="89">
        <v>45139</v>
      </c>
      <c r="B55" s="128" t="s">
        <v>11</v>
      </c>
      <c r="C55" s="10" t="s">
        <v>273</v>
      </c>
      <c r="D55" s="11" t="s">
        <v>29</v>
      </c>
      <c r="E55" s="86"/>
      <c r="F55" s="70">
        <v>20264.07</v>
      </c>
      <c r="G55" s="30"/>
      <c r="I55" s="69"/>
      <c r="J55" s="69"/>
    </row>
    <row r="56" spans="1:13" s="70" customFormat="1" ht="12.75" customHeight="1" x14ac:dyDescent="0.2">
      <c r="A56" s="89">
        <v>45139</v>
      </c>
      <c r="B56" s="128" t="s">
        <v>11</v>
      </c>
      <c r="C56" s="10" t="s">
        <v>1289</v>
      </c>
      <c r="D56" s="11" t="s">
        <v>29</v>
      </c>
      <c r="E56" s="86"/>
      <c r="F56" s="70">
        <v>15491.05</v>
      </c>
      <c r="G56" s="30"/>
      <c r="I56" s="69"/>
      <c r="J56" s="69"/>
    </row>
    <row r="57" spans="1:13" s="70" customFormat="1" ht="12.75" customHeight="1" x14ac:dyDescent="0.2">
      <c r="A57" s="89">
        <v>45139</v>
      </c>
      <c r="B57" s="128" t="s">
        <v>11</v>
      </c>
      <c r="C57" s="10" t="s">
        <v>95</v>
      </c>
      <c r="D57" s="11" t="s">
        <v>29</v>
      </c>
      <c r="E57" s="86"/>
      <c r="F57" s="70">
        <v>108900</v>
      </c>
      <c r="G57" s="30"/>
      <c r="I57" s="69"/>
      <c r="J57" s="69"/>
    </row>
    <row r="58" spans="1:13" s="70" customFormat="1" ht="12.75" customHeight="1" x14ac:dyDescent="0.2">
      <c r="A58" s="89">
        <v>45139</v>
      </c>
      <c r="B58" s="128" t="s">
        <v>11</v>
      </c>
      <c r="C58" s="10" t="s">
        <v>96</v>
      </c>
      <c r="D58" s="11" t="s">
        <v>29</v>
      </c>
      <c r="E58" s="86"/>
      <c r="F58" s="70">
        <v>7547</v>
      </c>
      <c r="G58" s="30"/>
      <c r="I58" s="69"/>
      <c r="J58" s="69"/>
    </row>
    <row r="59" spans="1:13" s="70" customFormat="1" ht="12.75" customHeight="1" x14ac:dyDescent="0.2">
      <c r="A59" s="89">
        <v>45139</v>
      </c>
      <c r="B59" s="128" t="s">
        <v>11</v>
      </c>
      <c r="C59" s="10" t="s">
        <v>34</v>
      </c>
      <c r="D59" s="11" t="s">
        <v>29</v>
      </c>
      <c r="E59" s="86"/>
      <c r="F59" s="70">
        <v>25000</v>
      </c>
      <c r="G59" s="30"/>
      <c r="I59" s="69"/>
      <c r="J59" s="69"/>
    </row>
    <row r="60" spans="1:13" s="70" customFormat="1" ht="12.75" customHeight="1" x14ac:dyDescent="0.2">
      <c r="A60" s="89">
        <v>45139</v>
      </c>
      <c r="B60" s="128" t="s">
        <v>11</v>
      </c>
      <c r="C60" s="10" t="s">
        <v>663</v>
      </c>
      <c r="D60" s="11" t="s">
        <v>29</v>
      </c>
      <c r="E60" s="86"/>
      <c r="F60" s="70">
        <v>55440</v>
      </c>
      <c r="G60" s="30"/>
      <c r="I60" s="69"/>
      <c r="J60" s="69"/>
    </row>
    <row r="61" spans="1:13" s="70" customFormat="1" ht="12.75" customHeight="1" x14ac:dyDescent="0.2">
      <c r="A61" s="89">
        <v>45139</v>
      </c>
      <c r="B61" s="128" t="s">
        <v>11</v>
      </c>
      <c r="C61" s="10" t="s">
        <v>483</v>
      </c>
      <c r="D61" s="11" t="s">
        <v>29</v>
      </c>
      <c r="E61" s="86"/>
      <c r="F61" s="70">
        <v>3500</v>
      </c>
      <c r="G61" s="30"/>
      <c r="I61" s="69"/>
      <c r="J61" s="69"/>
    </row>
    <row r="62" spans="1:13" s="2" customFormat="1" ht="12.75" customHeight="1" x14ac:dyDescent="0.2">
      <c r="A62" s="32"/>
      <c r="B62" s="33"/>
      <c r="C62" s="14"/>
      <c r="D62" s="34"/>
      <c r="E62" s="16">
        <f>SUM(E25:E61)</f>
        <v>5676412.6699999999</v>
      </c>
      <c r="F62" s="16">
        <f>SUM(F25:F61)</f>
        <v>300818618.08999985</v>
      </c>
      <c r="G62" s="30"/>
      <c r="H62" s="1"/>
      <c r="I62" s="38">
        <v>295142205.42000002</v>
      </c>
      <c r="J62" s="2" t="s">
        <v>396</v>
      </c>
      <c r="K62" s="92">
        <f>E63-I62</f>
        <v>0</v>
      </c>
      <c r="L62" s="41"/>
      <c r="M62" s="42"/>
    </row>
    <row r="63" spans="1:13" s="2" customFormat="1" ht="12.75" customHeight="1" x14ac:dyDescent="0.2">
      <c r="A63" s="36"/>
      <c r="B63" s="28" t="s">
        <v>11</v>
      </c>
      <c r="C63" s="19" t="s">
        <v>65</v>
      </c>
      <c r="D63" s="37"/>
      <c r="E63" s="38">
        <f>F62-E62</f>
        <v>295142205.41999984</v>
      </c>
      <c r="F63" s="22"/>
      <c r="G63" s="1"/>
      <c r="H63" s="1"/>
      <c r="J63" s="1"/>
      <c r="K63" s="1"/>
      <c r="L63" s="1"/>
      <c r="M63" s="1"/>
    </row>
    <row r="64" spans="1:13" s="2" customFormat="1" ht="12.75" customHeight="1" x14ac:dyDescent="0.2">
      <c r="A64" s="36"/>
      <c r="B64" s="28" t="s">
        <v>66</v>
      </c>
      <c r="C64" s="43" t="s">
        <v>67</v>
      </c>
      <c r="D64" s="43"/>
      <c r="E64" s="12">
        <f>59416310-35800000</f>
        <v>23616310</v>
      </c>
      <c r="F64" s="22"/>
      <c r="G64" s="1"/>
      <c r="H64" s="40"/>
      <c r="I64" s="45">
        <v>4579.74</v>
      </c>
      <c r="J64" s="46"/>
      <c r="K64" s="46"/>
      <c r="L64" s="13"/>
      <c r="M64" s="69" t="s">
        <v>396</v>
      </c>
    </row>
    <row r="65" spans="1:14" s="2" customFormat="1" ht="12.75" customHeight="1" x14ac:dyDescent="0.25">
      <c r="A65" s="36"/>
      <c r="B65" s="28"/>
      <c r="C65" s="44" t="s">
        <v>68</v>
      </c>
      <c r="D65" s="43"/>
      <c r="E65" s="7">
        <f>E63+E64</f>
        <v>318758515.41999984</v>
      </c>
      <c r="F65" s="22"/>
      <c r="G65" s="1"/>
      <c r="H65" s="103" t="s">
        <v>69</v>
      </c>
      <c r="I65" s="45">
        <v>-45.07</v>
      </c>
      <c r="J65" s="46"/>
      <c r="K65" s="46"/>
      <c r="N65" s="1"/>
    </row>
    <row r="66" spans="1:14" s="2" customFormat="1" x14ac:dyDescent="0.2">
      <c r="A66" s="24"/>
      <c r="B66" s="1"/>
      <c r="C66" s="14"/>
      <c r="D66" s="25"/>
      <c r="E66" s="1"/>
      <c r="H66" s="35" t="s">
        <v>70</v>
      </c>
      <c r="I66" s="45">
        <v>0.19</v>
      </c>
      <c r="J66" s="46">
        <f>+I67-D69</f>
        <v>4532.2999999999993</v>
      </c>
      <c r="M66" s="2" t="s">
        <v>396</v>
      </c>
      <c r="N66" s="1"/>
    </row>
    <row r="67" spans="1:14" x14ac:dyDescent="0.2">
      <c r="C67" s="56"/>
      <c r="D67" s="56"/>
      <c r="E67" s="104"/>
      <c r="I67" s="49">
        <f>SUM(I64:I66)</f>
        <v>4534.8599999999997</v>
      </c>
      <c r="J67" s="46"/>
      <c r="K67" s="46"/>
      <c r="L67" s="2"/>
      <c r="M67" s="2"/>
      <c r="N67" s="2"/>
    </row>
    <row r="68" spans="1:14" x14ac:dyDescent="0.2">
      <c r="C68" s="78" t="s">
        <v>575</v>
      </c>
      <c r="D68" s="48" t="s">
        <v>576</v>
      </c>
      <c r="E68" s="104"/>
      <c r="I68" s="2"/>
      <c r="J68" s="2"/>
      <c r="K68" s="2"/>
      <c r="L68" s="2"/>
      <c r="M68" s="2"/>
      <c r="N68" s="2"/>
    </row>
    <row r="69" spans="1:14" s="2" customFormat="1" x14ac:dyDescent="0.2">
      <c r="A69" s="24"/>
      <c r="B69" s="1"/>
      <c r="C69" s="47" t="s">
        <v>570</v>
      </c>
      <c r="D69" s="111">
        <v>2.56</v>
      </c>
      <c r="E69" s="104"/>
      <c r="G69" s="1"/>
      <c r="H69" s="110" t="s">
        <v>581</v>
      </c>
      <c r="N69" s="2" t="s">
        <v>535</v>
      </c>
    </row>
    <row r="70" spans="1:14" s="2" customFormat="1" x14ac:dyDescent="0.2">
      <c r="A70" s="24"/>
      <c r="B70" s="1"/>
      <c r="C70" s="47" t="s">
        <v>931</v>
      </c>
      <c r="D70" s="111">
        <v>0</v>
      </c>
      <c r="E70" s="104"/>
      <c r="G70" s="1"/>
      <c r="H70" s="110" t="s">
        <v>580</v>
      </c>
    </row>
    <row r="71" spans="1:14" s="2" customFormat="1" x14ac:dyDescent="0.2">
      <c r="A71" s="24"/>
      <c r="B71" s="1"/>
      <c r="C71" s="47" t="s">
        <v>572</v>
      </c>
      <c r="D71" s="111">
        <f>+D87/100000</f>
        <v>5.5234300000000003</v>
      </c>
      <c r="E71" s="104"/>
      <c r="G71" s="1"/>
      <c r="H71" s="90" t="s">
        <v>587</v>
      </c>
    </row>
    <row r="72" spans="1:14" s="2" customFormat="1" x14ac:dyDescent="0.2">
      <c r="A72" s="24"/>
      <c r="B72" s="1"/>
      <c r="C72" s="108" t="s">
        <v>578</v>
      </c>
      <c r="D72" s="48">
        <f>SUM(D69:D71)</f>
        <v>8.0834299999999999</v>
      </c>
      <c r="E72" s="104"/>
      <c r="G72" s="1"/>
    </row>
    <row r="73" spans="1:14" s="2" customFormat="1" x14ac:dyDescent="0.2">
      <c r="A73" s="24"/>
      <c r="B73" s="1"/>
      <c r="C73" s="47"/>
      <c r="D73" s="107"/>
      <c r="E73" s="104"/>
      <c r="G73" s="1"/>
    </row>
    <row r="74" spans="1:14" s="2" customFormat="1" x14ac:dyDescent="0.2">
      <c r="A74" s="24"/>
      <c r="B74" s="1"/>
      <c r="C74" s="47" t="s">
        <v>932</v>
      </c>
      <c r="D74" s="111">
        <v>0</v>
      </c>
      <c r="E74" s="104"/>
      <c r="G74" s="1"/>
      <c r="H74" s="110" t="s">
        <v>581</v>
      </c>
    </row>
    <row r="75" spans="1:14" s="2" customFormat="1" x14ac:dyDescent="0.2">
      <c r="A75" s="24"/>
      <c r="B75" s="1"/>
      <c r="C75" s="136" t="s">
        <v>1142</v>
      </c>
      <c r="D75" s="111">
        <v>0</v>
      </c>
      <c r="E75" s="104"/>
      <c r="G75" s="1"/>
      <c r="H75" s="110" t="s">
        <v>581</v>
      </c>
      <c r="J75" s="114" t="s">
        <v>713</v>
      </c>
    </row>
    <row r="76" spans="1:14" s="2" customFormat="1" x14ac:dyDescent="0.2">
      <c r="A76" s="24"/>
      <c r="B76" s="1"/>
      <c r="C76" s="78" t="s">
        <v>579</v>
      </c>
      <c r="D76" s="109">
        <f>D74+D75</f>
        <v>0</v>
      </c>
      <c r="E76" s="104"/>
      <c r="G76" s="1"/>
      <c r="I76" s="113"/>
      <c r="J76" s="113" t="s">
        <v>709</v>
      </c>
      <c r="K76" s="113" t="s">
        <v>710</v>
      </c>
      <c r="L76" s="113" t="s">
        <v>711</v>
      </c>
      <c r="M76" s="113" t="s">
        <v>712</v>
      </c>
    </row>
    <row r="77" spans="1:14" s="2" customFormat="1" x14ac:dyDescent="0.2">
      <c r="A77" s="24"/>
      <c r="B77" s="1"/>
      <c r="C77" s="105"/>
      <c r="D77" s="106"/>
      <c r="E77" s="104"/>
      <c r="G77" s="1"/>
      <c r="I77" s="113" t="s">
        <v>706</v>
      </c>
      <c r="J77" s="115"/>
      <c r="K77" s="115">
        <v>968.99</v>
      </c>
      <c r="L77" s="115">
        <v>968.99</v>
      </c>
      <c r="M77" s="113">
        <f>+J77+L77-K77</f>
        <v>0</v>
      </c>
    </row>
    <row r="78" spans="1:14" s="2" customFormat="1" x14ac:dyDescent="0.2">
      <c r="A78" s="24"/>
      <c r="B78" s="1"/>
      <c r="C78" s="78" t="s">
        <v>577</v>
      </c>
      <c r="D78" s="109">
        <f>D69+D76</f>
        <v>2.56</v>
      </c>
      <c r="E78" s="104"/>
      <c r="G78" s="1"/>
      <c r="I78" s="113" t="s">
        <v>707</v>
      </c>
      <c r="J78" s="115">
        <v>183.1</v>
      </c>
      <c r="K78" s="115">
        <v>2873.05</v>
      </c>
      <c r="L78" s="115">
        <v>3551.14</v>
      </c>
      <c r="M78" s="113">
        <f>+J78+L78-K78</f>
        <v>861.1899999999996</v>
      </c>
    </row>
    <row r="79" spans="1:14" s="2" customFormat="1" x14ac:dyDescent="0.2">
      <c r="A79" s="24"/>
      <c r="B79" s="1"/>
      <c r="C79" s="56"/>
      <c r="D79" s="56"/>
      <c r="E79" s="104"/>
      <c r="G79" s="1"/>
      <c r="I79" s="113" t="s">
        <v>708</v>
      </c>
      <c r="J79" s="115">
        <v>1371.02</v>
      </c>
      <c r="K79" s="115">
        <v>13225.78</v>
      </c>
      <c r="L79" s="115">
        <v>12804.57</v>
      </c>
      <c r="M79" s="113">
        <f>+J79+L79-K79</f>
        <v>949.80999999999949</v>
      </c>
    </row>
    <row r="80" spans="1:14" s="2" customFormat="1" ht="38.25" x14ac:dyDescent="0.2">
      <c r="A80" s="24"/>
      <c r="B80" s="1"/>
      <c r="C80" s="79" t="str">
        <f>"Particulars ( 01-04-2021 to "&amp;TEXT(A5,"dd-mm-yyyy")&amp;" )"</f>
        <v>Particulars ( 01-04-2021 to 01-08-2023 )</v>
      </c>
      <c r="D80" s="80" t="s">
        <v>73</v>
      </c>
      <c r="E80" s="80" t="s">
        <v>74</v>
      </c>
      <c r="F80" s="81" t="s">
        <v>75</v>
      </c>
      <c r="G80" s="80" t="s">
        <v>76</v>
      </c>
      <c r="J80" s="118">
        <f>SUM(J77:J79)</f>
        <v>1554.12</v>
      </c>
      <c r="K80" s="118">
        <f>SUM(K77:K79)</f>
        <v>17067.82</v>
      </c>
      <c r="L80" s="118">
        <f>SUM(L77:L79)</f>
        <v>17324.7</v>
      </c>
      <c r="M80" s="118">
        <f>SUM(M77:M79)</f>
        <v>1810.9999999999991</v>
      </c>
    </row>
    <row r="81" spans="1:13" s="2" customFormat="1" x14ac:dyDescent="0.2">
      <c r="A81" s="24"/>
      <c r="B81" s="1"/>
      <c r="C81" s="50" t="s">
        <v>444</v>
      </c>
      <c r="D81" s="55">
        <f>+L77+L78+J78</f>
        <v>4703.2300000000005</v>
      </c>
      <c r="E81" s="55">
        <f>+K77+K78</f>
        <v>3842.04</v>
      </c>
      <c r="F81" s="55">
        <f>+D81-E81</f>
        <v>861.19000000000051</v>
      </c>
      <c r="G81" s="55">
        <f>1500-F81</f>
        <v>638.80999999999949</v>
      </c>
      <c r="H81" s="2" t="s">
        <v>396</v>
      </c>
    </row>
    <row r="82" spans="1:13" s="2" customFormat="1" x14ac:dyDescent="0.2">
      <c r="A82" s="24"/>
      <c r="B82" s="1"/>
      <c r="C82" s="50" t="s">
        <v>71</v>
      </c>
      <c r="D82" s="55">
        <f>+J79+L79</f>
        <v>14175.59</v>
      </c>
      <c r="E82" s="55">
        <f>+K79</f>
        <v>13225.78</v>
      </c>
      <c r="F82" s="55">
        <f>+D82-E82</f>
        <v>949.80999999999949</v>
      </c>
      <c r="G82" s="55">
        <f>1500+700-F82</f>
        <v>1250.1900000000005</v>
      </c>
      <c r="H82" s="2" t="s">
        <v>396</v>
      </c>
    </row>
    <row r="83" spans="1:13" s="2" customFormat="1" x14ac:dyDescent="0.2">
      <c r="A83" s="24"/>
      <c r="B83" s="1"/>
      <c r="C83" s="14"/>
      <c r="D83" s="56"/>
      <c r="E83" s="13"/>
      <c r="G83" s="1"/>
    </row>
    <row r="84" spans="1:13" s="2" customFormat="1" x14ac:dyDescent="0.2">
      <c r="A84" s="215" t="s">
        <v>80</v>
      </c>
      <c r="B84" s="216"/>
      <c r="C84" s="216"/>
      <c r="D84" s="217"/>
      <c r="E84" s="69"/>
      <c r="F84" s="70"/>
      <c r="G84" s="1"/>
      <c r="H84" s="53"/>
    </row>
    <row r="85" spans="1:13" s="2" customFormat="1" x14ac:dyDescent="0.2">
      <c r="A85" s="71" t="s">
        <v>81</v>
      </c>
      <c r="B85" s="71"/>
      <c r="C85" s="72" t="s">
        <v>82</v>
      </c>
      <c r="D85" s="73" t="s">
        <v>83</v>
      </c>
      <c r="E85" s="69"/>
      <c r="F85" s="70"/>
      <c r="H85" s="53"/>
    </row>
    <row r="86" spans="1:13" s="2" customFormat="1" x14ac:dyDescent="0.2">
      <c r="A86" s="87">
        <v>45139</v>
      </c>
      <c r="B86" s="120" t="s">
        <v>1052</v>
      </c>
      <c r="C86" s="75" t="s">
        <v>784</v>
      </c>
      <c r="D86" s="88">
        <v>552343</v>
      </c>
      <c r="G86" s="1"/>
      <c r="L86" s="1"/>
      <c r="M86" s="1"/>
    </row>
    <row r="87" spans="1:13" s="2" customFormat="1" x14ac:dyDescent="0.2">
      <c r="A87" s="87"/>
      <c r="B87" s="74"/>
      <c r="C87" s="75"/>
      <c r="D87" s="51">
        <f>SUM(D86:D86)</f>
        <v>552343</v>
      </c>
      <c r="F87" s="2" t="s">
        <v>396</v>
      </c>
      <c r="G87" s="1"/>
      <c r="L87" s="1"/>
      <c r="M87" s="1"/>
    </row>
    <row r="88" spans="1:13" s="2" customFormat="1" x14ac:dyDescent="0.2">
      <c r="A88" s="24"/>
      <c r="B88" s="1"/>
      <c r="C88" s="14"/>
      <c r="D88" s="56"/>
      <c r="E88" s="13"/>
      <c r="G88" s="1"/>
      <c r="L88" s="1"/>
      <c r="M88" s="1"/>
    </row>
    <row r="89" spans="1:13" s="2" customFormat="1" x14ac:dyDescent="0.2">
      <c r="A89" s="24"/>
      <c r="B89" s="1"/>
      <c r="C89" s="218" t="s">
        <v>77</v>
      </c>
      <c r="D89" s="219"/>
      <c r="E89" s="219"/>
      <c r="F89" s="220"/>
      <c r="G89" s="1"/>
      <c r="L89" s="1"/>
      <c r="M89" s="1"/>
    </row>
    <row r="90" spans="1:13" s="2" customFormat="1" x14ac:dyDescent="0.2">
      <c r="A90" s="24"/>
      <c r="B90" s="1"/>
      <c r="C90" s="50"/>
      <c r="D90" s="57" t="s">
        <v>78</v>
      </c>
      <c r="E90" s="58" t="s">
        <v>79</v>
      </c>
      <c r="F90" s="57" t="s">
        <v>72</v>
      </c>
      <c r="G90" s="1"/>
      <c r="I90" s="1"/>
      <c r="J90" s="1"/>
      <c r="K90" s="1"/>
      <c r="L90" s="1"/>
      <c r="M90" s="1"/>
    </row>
    <row r="91" spans="1:13" s="2" customFormat="1" x14ac:dyDescent="0.2">
      <c r="A91" s="24"/>
      <c r="B91" s="1"/>
      <c r="C91" s="59" t="str">
        <f>"01-07-2023 to "&amp;TEXT(A5-2,"dd-mm-yyyy")</f>
        <v>01-07-2023 to 30-07-2023</v>
      </c>
      <c r="D91" s="60">
        <v>5238.38</v>
      </c>
      <c r="E91" s="60">
        <v>258.97000000000003</v>
      </c>
      <c r="F91" s="61">
        <f>SUM(D91:E91)</f>
        <v>5497.35</v>
      </c>
      <c r="G91" s="1"/>
    </row>
    <row r="92" spans="1:13" s="2" customFormat="1" x14ac:dyDescent="0.2">
      <c r="A92" s="24"/>
      <c r="B92" s="1"/>
      <c r="C92" s="62" t="str">
        <f>TEXT(A5-1,"dd-mm-yyyy")</f>
        <v>31-07-2023</v>
      </c>
      <c r="D92" s="60">
        <v>83.51</v>
      </c>
      <c r="E92" s="60">
        <v>8.07</v>
      </c>
      <c r="F92" s="61">
        <f>SUM(D92:E92)</f>
        <v>91.580000000000013</v>
      </c>
      <c r="G92" s="54"/>
      <c r="I92" s="1"/>
      <c r="J92" s="1"/>
      <c r="K92" s="1"/>
      <c r="L92" s="1"/>
      <c r="M92" s="1"/>
    </row>
    <row r="93" spans="1:13" s="2" customFormat="1" ht="13.5" thickBot="1" x14ac:dyDescent="0.25">
      <c r="A93" s="24"/>
      <c r="B93" s="1"/>
      <c r="C93" s="63" t="str">
        <f>"01-07-2023 to "&amp;TEXT(A5-1,"dd-mm-yyyy")</f>
        <v>01-07-2023 to 31-07-2023</v>
      </c>
      <c r="D93" s="64">
        <f>SUM(D91:D92)</f>
        <v>5321.89</v>
      </c>
      <c r="E93" s="64">
        <f>SUM(E91:E92)</f>
        <v>267.04000000000002</v>
      </c>
      <c r="F93" s="64">
        <f>SUM(F91:F92)</f>
        <v>5588.93</v>
      </c>
      <c r="G93" s="54"/>
      <c r="I93" s="1"/>
      <c r="J93" s="1"/>
      <c r="K93" s="1"/>
      <c r="L93" s="1"/>
      <c r="M93" s="1"/>
    </row>
    <row r="94" spans="1:13" s="2" customFormat="1" ht="13.5" thickTop="1" x14ac:dyDescent="0.2">
      <c r="A94" s="24"/>
      <c r="B94" s="1"/>
      <c r="C94" s="62"/>
      <c r="D94" s="65"/>
      <c r="E94" s="66"/>
      <c r="F94" s="67"/>
      <c r="G94" s="54"/>
      <c r="I94" s="1"/>
      <c r="J94" s="1"/>
      <c r="K94" s="1"/>
      <c r="L94" s="1"/>
      <c r="M94" s="1"/>
    </row>
    <row r="95" spans="1:13" s="2" customFormat="1" x14ac:dyDescent="0.2">
      <c r="A95" s="24"/>
      <c r="B95" s="1"/>
      <c r="C95" s="62" t="str">
        <f>"01-04-2023 to " &amp;C92</f>
        <v>01-04-2023 to 31-07-2023</v>
      </c>
      <c r="D95" s="68">
        <f>+D93+15504.74</f>
        <v>20826.63</v>
      </c>
      <c r="E95" s="68">
        <f>+E93+1109.72</f>
        <v>1376.76</v>
      </c>
      <c r="F95" s="68">
        <f>+F93+16614.46</f>
        <v>22203.39</v>
      </c>
      <c r="G95" s="54"/>
      <c r="I95" s="1"/>
      <c r="J95" s="1"/>
      <c r="K95" s="1"/>
      <c r="L95" s="1"/>
      <c r="M95" s="1"/>
    </row>
    <row r="96" spans="1:13" x14ac:dyDescent="0.2">
      <c r="C96" s="52"/>
      <c r="D96" s="85"/>
      <c r="E96" s="53"/>
      <c r="F96" s="53"/>
      <c r="G96" s="54"/>
      <c r="H96" s="2" t="s">
        <v>396</v>
      </c>
    </row>
    <row r="97" spans="1:10" s="2" customFormat="1" x14ac:dyDescent="0.2">
      <c r="A97" s="24"/>
      <c r="B97" s="1"/>
      <c r="C97" s="52"/>
      <c r="D97" s="85"/>
      <c r="E97" s="53"/>
      <c r="F97" s="53"/>
      <c r="G97" s="54"/>
      <c r="H97" s="53"/>
    </row>
    <row r="98" spans="1:10" x14ac:dyDescent="0.2">
      <c r="C98" s="52"/>
      <c r="D98" s="85"/>
      <c r="E98" s="53"/>
      <c r="F98" s="53"/>
      <c r="G98" s="54"/>
      <c r="H98" s="53" t="s">
        <v>396</v>
      </c>
    </row>
    <row r="99" spans="1:10" x14ac:dyDescent="0.2">
      <c r="C99" s="52"/>
      <c r="D99" s="85"/>
      <c r="E99" s="53"/>
      <c r="F99" s="53"/>
      <c r="G99" s="54"/>
      <c r="H99" s="53" t="s">
        <v>396</v>
      </c>
      <c r="J99" s="42"/>
    </row>
    <row r="100" spans="1:10" x14ac:dyDescent="0.2">
      <c r="G100" s="54"/>
      <c r="H100" s="53"/>
      <c r="I100" s="101"/>
    </row>
    <row r="101" spans="1:10" x14ac:dyDescent="0.2">
      <c r="G101" s="54"/>
      <c r="H101" s="53"/>
    </row>
    <row r="102" spans="1:10" x14ac:dyDescent="0.2">
      <c r="G102" s="54"/>
      <c r="H102" s="53"/>
    </row>
    <row r="103" spans="1:10" x14ac:dyDescent="0.2">
      <c r="H103" s="53"/>
    </row>
  </sheetData>
  <mergeCells count="6">
    <mergeCell ref="C89:F89"/>
    <mergeCell ref="A1:G1"/>
    <mergeCell ref="A3:F3"/>
    <mergeCell ref="A9:F9"/>
    <mergeCell ref="A23:F23"/>
    <mergeCell ref="A84:D84"/>
  </mergeCells>
  <conditionalFormatting sqref="G81:G82">
    <cfRule type="cellIs" dxfId="385" priority="1" operator="lessThan">
      <formula>0</formula>
    </cfRule>
  </conditionalFormatting>
  <conditionalFormatting sqref="C25">
    <cfRule type="duplicateValues" dxfId="384" priority="2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200-000000000000}">
  <sheetPr codeName="Sheet394">
    <pageSetUpPr fitToPage="1"/>
  </sheetPr>
  <dimension ref="A1:N107"/>
  <sheetViews>
    <sheetView topLeftCell="A7" zoomScaleNormal="100" workbookViewId="0">
      <selection activeCell="C35" sqref="C35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1292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45140</v>
      </c>
      <c r="B5" s="9" t="s">
        <v>6</v>
      </c>
      <c r="C5" s="10" t="s">
        <v>7</v>
      </c>
      <c r="D5" s="11"/>
      <c r="E5" s="12">
        <v>277691.7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277691.7</v>
      </c>
      <c r="F6" s="16">
        <f>SUM(F5:F5)</f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+E6-F6</f>
        <v>277691.7</v>
      </c>
      <c r="F7" s="22"/>
      <c r="G7" s="23"/>
      <c r="H7" s="112"/>
      <c r="I7" s="112"/>
      <c r="J7" s="13"/>
    </row>
    <row r="8" spans="1:10" ht="12.75" customHeight="1" x14ac:dyDescent="0.4">
      <c r="H8" s="112"/>
      <c r="I8" s="112"/>
    </row>
    <row r="9" spans="1:10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12"/>
    </row>
    <row r="10" spans="1:10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12"/>
    </row>
    <row r="11" spans="1:10" s="2" customFormat="1" ht="14.25" customHeight="1" x14ac:dyDescent="0.2">
      <c r="A11" s="89">
        <v>45140</v>
      </c>
      <c r="B11" s="9" t="s">
        <v>6</v>
      </c>
      <c r="C11" s="10" t="s">
        <v>7</v>
      </c>
      <c r="D11" s="11"/>
      <c r="F11" s="12">
        <v>27438312.119999997</v>
      </c>
      <c r="G11" s="1"/>
      <c r="H11" s="130" t="s">
        <v>396</v>
      </c>
      <c r="I11" s="130"/>
    </row>
    <row r="12" spans="1:10" s="70" customFormat="1" ht="12.75" customHeight="1" x14ac:dyDescent="0.2">
      <c r="A12" s="89">
        <v>45140</v>
      </c>
      <c r="B12" s="128" t="s">
        <v>6</v>
      </c>
      <c r="C12" s="76" t="s">
        <v>494</v>
      </c>
      <c r="D12" s="11" t="s">
        <v>499</v>
      </c>
      <c r="E12" s="31">
        <v>19539.32</v>
      </c>
      <c r="F12" s="31"/>
      <c r="G12" s="30"/>
      <c r="I12" s="69"/>
      <c r="J12" s="69"/>
    </row>
    <row r="13" spans="1:10" s="70" customFormat="1" ht="12.75" customHeight="1" x14ac:dyDescent="0.2">
      <c r="A13" s="89">
        <v>45140</v>
      </c>
      <c r="B13" s="128" t="s">
        <v>6</v>
      </c>
      <c r="C13" s="76" t="s">
        <v>1068</v>
      </c>
      <c r="D13" s="11" t="s">
        <v>499</v>
      </c>
      <c r="E13" s="31">
        <v>11195</v>
      </c>
      <c r="F13" s="31"/>
      <c r="G13" s="30"/>
      <c r="I13" s="69"/>
      <c r="J13" s="69"/>
    </row>
    <row r="14" spans="1:10" s="70" customFormat="1" ht="12.75" customHeight="1" x14ac:dyDescent="0.2">
      <c r="A14" s="89">
        <v>45140</v>
      </c>
      <c r="B14" s="128" t="s">
        <v>6</v>
      </c>
      <c r="C14" s="76" t="s">
        <v>1285</v>
      </c>
      <c r="D14" s="11" t="s">
        <v>499</v>
      </c>
      <c r="E14" s="31">
        <v>115742</v>
      </c>
      <c r="F14" s="31"/>
      <c r="G14" s="30"/>
      <c r="I14" s="69"/>
      <c r="J14" s="69"/>
    </row>
    <row r="15" spans="1:10" s="70" customFormat="1" ht="12.75" customHeight="1" x14ac:dyDescent="0.2">
      <c r="A15" s="89">
        <v>45140</v>
      </c>
      <c r="B15" s="128" t="s">
        <v>6</v>
      </c>
      <c r="C15" s="76" t="s">
        <v>1286</v>
      </c>
      <c r="D15" s="11" t="s">
        <v>499</v>
      </c>
      <c r="E15" s="31">
        <v>181272</v>
      </c>
      <c r="F15" s="31"/>
      <c r="G15" s="30"/>
      <c r="I15" s="69"/>
      <c r="J15" s="69"/>
    </row>
    <row r="16" spans="1:10" s="70" customFormat="1" ht="12.75" customHeight="1" x14ac:dyDescent="0.2">
      <c r="A16" s="89">
        <v>45140</v>
      </c>
      <c r="B16" s="128" t="s">
        <v>6</v>
      </c>
      <c r="C16" s="76" t="s">
        <v>871</v>
      </c>
      <c r="D16" s="11" t="s">
        <v>499</v>
      </c>
      <c r="E16" s="31">
        <v>40380</v>
      </c>
      <c r="F16" s="31"/>
      <c r="G16" s="30"/>
      <c r="I16" s="69"/>
      <c r="J16" s="69"/>
    </row>
    <row r="17" spans="1:10" s="70" customFormat="1" ht="12.75" customHeight="1" x14ac:dyDescent="0.2">
      <c r="A17" s="89">
        <v>45140</v>
      </c>
      <c r="B17" s="128" t="s">
        <v>6</v>
      </c>
      <c r="C17" s="76" t="s">
        <v>486</v>
      </c>
      <c r="D17" s="11" t="s">
        <v>499</v>
      </c>
      <c r="E17" s="31">
        <v>1000000</v>
      </c>
      <c r="F17" s="31"/>
      <c r="G17" s="30"/>
      <c r="I17" s="69"/>
      <c r="J17" s="69"/>
    </row>
    <row r="18" spans="1:10" s="70" customFormat="1" ht="12.75" customHeight="1" x14ac:dyDescent="0.2">
      <c r="A18" s="89">
        <v>45140</v>
      </c>
      <c r="B18" s="128" t="s">
        <v>6</v>
      </c>
      <c r="C18" s="76" t="s">
        <v>420</v>
      </c>
      <c r="D18" s="11" t="s">
        <v>13</v>
      </c>
      <c r="E18" s="31">
        <v>55347</v>
      </c>
      <c r="F18" s="31"/>
      <c r="G18" s="30"/>
      <c r="I18" s="69"/>
      <c r="J18" s="69"/>
    </row>
    <row r="19" spans="1:10" s="70" customFormat="1" ht="12.75" customHeight="1" x14ac:dyDescent="0.2">
      <c r="A19" s="89">
        <v>45140</v>
      </c>
      <c r="B19" s="128" t="s">
        <v>6</v>
      </c>
      <c r="C19" s="76" t="s">
        <v>1011</v>
      </c>
      <c r="D19" s="11" t="s">
        <v>13</v>
      </c>
      <c r="E19" s="31">
        <v>549852.98</v>
      </c>
      <c r="F19" s="31"/>
      <c r="G19" s="30"/>
      <c r="I19" s="69"/>
      <c r="J19" s="69"/>
    </row>
    <row r="20" spans="1:10" s="70" customFormat="1" ht="12.75" customHeight="1" x14ac:dyDescent="0.2">
      <c r="A20" s="89">
        <v>45140</v>
      </c>
      <c r="B20" s="128" t="s">
        <v>6</v>
      </c>
      <c r="C20" s="76" t="s">
        <v>763</v>
      </c>
      <c r="D20" s="11" t="s">
        <v>13</v>
      </c>
      <c r="E20" s="31">
        <v>1291924</v>
      </c>
      <c r="F20" s="31"/>
      <c r="G20" s="30"/>
      <c r="I20" s="69"/>
      <c r="J20" s="69"/>
    </row>
    <row r="21" spans="1:10" s="70" customFormat="1" ht="12.75" customHeight="1" x14ac:dyDescent="0.2">
      <c r="A21" s="89">
        <v>45140</v>
      </c>
      <c r="B21" s="128" t="s">
        <v>11</v>
      </c>
      <c r="C21" s="76" t="s">
        <v>102</v>
      </c>
      <c r="D21" s="11" t="s">
        <v>29</v>
      </c>
      <c r="E21" s="31"/>
      <c r="F21" s="31">
        <v>165612</v>
      </c>
      <c r="G21" s="30"/>
      <c r="I21" s="69"/>
      <c r="J21" s="69"/>
    </row>
    <row r="22" spans="1:10" s="2" customFormat="1" ht="12.75" customHeight="1" x14ac:dyDescent="0.4">
      <c r="D22" s="11" t="s">
        <v>8</v>
      </c>
      <c r="E22" s="16">
        <f>SUM(E12:E20)</f>
        <v>3265252.3</v>
      </c>
      <c r="F22" s="16">
        <f>SUM(F11:F21)</f>
        <v>27603924.119999997</v>
      </c>
      <c r="G22" s="1"/>
      <c r="H22" s="112"/>
      <c r="I22" s="112"/>
    </row>
    <row r="23" spans="1:10" s="2" customFormat="1" ht="12.75" customHeight="1" x14ac:dyDescent="0.4">
      <c r="A23" s="17"/>
      <c r="B23" s="18"/>
      <c r="C23" s="96" t="s">
        <v>9</v>
      </c>
      <c r="D23" s="20"/>
      <c r="E23" s="21">
        <f>+F22-E22</f>
        <v>24338671.819999997</v>
      </c>
      <c r="G23" s="23"/>
      <c r="H23" s="112"/>
      <c r="I23" s="112"/>
      <c r="J23" s="13"/>
    </row>
    <row r="24" spans="1:10" s="2" customFormat="1" ht="12.75" customHeight="1" x14ac:dyDescent="0.4">
      <c r="A24" s="24"/>
      <c r="B24" s="1"/>
      <c r="C24" s="14"/>
      <c r="D24" s="25"/>
      <c r="G24" s="23"/>
      <c r="H24" s="112"/>
      <c r="I24" s="112"/>
      <c r="J24" s="13"/>
    </row>
    <row r="25" spans="1:10" s="2" customFormat="1" ht="21.75" customHeight="1" x14ac:dyDescent="0.4">
      <c r="A25" s="214" t="s">
        <v>10</v>
      </c>
      <c r="B25" s="214"/>
      <c r="C25" s="214"/>
      <c r="D25" s="214"/>
      <c r="E25" s="214"/>
      <c r="F25" s="214"/>
      <c r="G25" s="13"/>
      <c r="H25" s="112"/>
      <c r="I25" s="112"/>
      <c r="J25" s="13"/>
    </row>
    <row r="26" spans="1:10" s="2" customFormat="1" ht="12.75" customHeight="1" x14ac:dyDescent="0.4">
      <c r="A26" s="26" t="s">
        <v>1</v>
      </c>
      <c r="B26" s="27" t="s">
        <v>2</v>
      </c>
      <c r="C26" s="5"/>
      <c r="D26" s="6" t="s">
        <v>3</v>
      </c>
      <c r="E26" s="7" t="s">
        <v>4</v>
      </c>
      <c r="F26" s="7" t="s">
        <v>5</v>
      </c>
      <c r="G26" s="23"/>
      <c r="H26" s="112"/>
      <c r="I26" s="112"/>
      <c r="J26" s="13"/>
    </row>
    <row r="27" spans="1:10" s="2" customFormat="1" ht="12.75" customHeight="1" x14ac:dyDescent="0.2">
      <c r="A27" s="89">
        <v>45140</v>
      </c>
      <c r="B27" s="128" t="s">
        <v>11</v>
      </c>
      <c r="C27" s="29" t="s">
        <v>7</v>
      </c>
      <c r="D27" s="25"/>
      <c r="E27" s="31"/>
      <c r="F27" s="2">
        <v>295142205.41999984</v>
      </c>
      <c r="G27" s="30"/>
      <c r="I27" s="13"/>
      <c r="J27" s="13"/>
    </row>
    <row r="28" spans="1:10" s="70" customFormat="1" ht="12.75" customHeight="1" x14ac:dyDescent="0.2">
      <c r="A28" s="89">
        <v>45140</v>
      </c>
      <c r="B28" s="128" t="s">
        <v>6</v>
      </c>
      <c r="C28" s="10" t="s">
        <v>748</v>
      </c>
      <c r="D28" s="11" t="s">
        <v>13</v>
      </c>
      <c r="E28" s="86">
        <v>89006.7</v>
      </c>
      <c r="G28" s="30"/>
      <c r="I28" s="69"/>
      <c r="J28" s="69"/>
    </row>
    <row r="29" spans="1:10" s="70" customFormat="1" ht="12.75" customHeight="1" x14ac:dyDescent="0.2">
      <c r="A29" s="89">
        <v>45140</v>
      </c>
      <c r="B29" s="128" t="s">
        <v>6</v>
      </c>
      <c r="C29" s="10" t="s">
        <v>15</v>
      </c>
      <c r="D29" s="11" t="s">
        <v>13</v>
      </c>
      <c r="E29" s="86">
        <v>7178.09</v>
      </c>
      <c r="G29" s="30"/>
      <c r="I29" s="69"/>
      <c r="J29" s="69"/>
    </row>
    <row r="30" spans="1:10" s="70" customFormat="1" ht="12.75" customHeight="1" x14ac:dyDescent="0.2">
      <c r="A30" s="89">
        <v>45140</v>
      </c>
      <c r="B30" s="128" t="s">
        <v>6</v>
      </c>
      <c r="C30" s="10" t="s">
        <v>14</v>
      </c>
      <c r="D30" s="11" t="s">
        <v>13</v>
      </c>
      <c r="E30" s="86">
        <v>1313325</v>
      </c>
      <c r="G30" s="30"/>
      <c r="I30" s="69"/>
      <c r="J30" s="69"/>
    </row>
    <row r="31" spans="1:10" s="70" customFormat="1" ht="12.75" customHeight="1" x14ac:dyDescent="0.2">
      <c r="A31" s="89">
        <v>45140</v>
      </c>
      <c r="B31" s="128" t="s">
        <v>6</v>
      </c>
      <c r="C31" s="10" t="s">
        <v>332</v>
      </c>
      <c r="D31" s="11" t="s">
        <v>13</v>
      </c>
      <c r="E31" s="86">
        <v>40754</v>
      </c>
      <c r="G31" s="30"/>
      <c r="I31" s="69"/>
      <c r="J31" s="69"/>
    </row>
    <row r="32" spans="1:10" s="70" customFormat="1" ht="12.75" customHeight="1" x14ac:dyDescent="0.2">
      <c r="A32" s="89">
        <v>45140</v>
      </c>
      <c r="B32" s="128" t="s">
        <v>6</v>
      </c>
      <c r="C32" s="10" t="s">
        <v>1231</v>
      </c>
      <c r="D32" s="11" t="s">
        <v>13</v>
      </c>
      <c r="E32" s="86">
        <v>2384478</v>
      </c>
      <c r="G32" s="30"/>
      <c r="I32" s="69"/>
      <c r="J32" s="69"/>
    </row>
    <row r="33" spans="1:10" s="70" customFormat="1" ht="12.75" customHeight="1" x14ac:dyDescent="0.2">
      <c r="A33" s="89">
        <v>45140</v>
      </c>
      <c r="B33" s="128" t="s">
        <v>6</v>
      </c>
      <c r="C33" s="10" t="s">
        <v>93</v>
      </c>
      <c r="D33" s="11" t="s">
        <v>13</v>
      </c>
      <c r="E33" s="86">
        <v>4396501</v>
      </c>
      <c r="G33" s="30"/>
      <c r="I33" s="69"/>
      <c r="J33" s="69"/>
    </row>
    <row r="34" spans="1:10" s="70" customFormat="1" ht="12.75" customHeight="1" x14ac:dyDescent="0.2">
      <c r="A34" s="89">
        <v>45140</v>
      </c>
      <c r="B34" s="128" t="s">
        <v>6</v>
      </c>
      <c r="C34" s="10" t="s">
        <v>1294</v>
      </c>
      <c r="D34" s="11" t="s">
        <v>13</v>
      </c>
      <c r="E34" s="86">
        <v>14700</v>
      </c>
      <c r="G34" s="30"/>
      <c r="I34" s="69"/>
      <c r="J34" s="69"/>
    </row>
    <row r="35" spans="1:10" s="70" customFormat="1" ht="12.75" customHeight="1" x14ac:dyDescent="0.2">
      <c r="A35" s="89">
        <v>45140</v>
      </c>
      <c r="B35" s="128" t="s">
        <v>6</v>
      </c>
      <c r="C35" s="10" t="s">
        <v>149</v>
      </c>
      <c r="D35" s="11" t="s">
        <v>13</v>
      </c>
      <c r="E35" s="86">
        <v>59852</v>
      </c>
      <c r="G35" s="30"/>
      <c r="I35" s="69"/>
      <c r="J35" s="69"/>
    </row>
    <row r="36" spans="1:10" s="70" customFormat="1" ht="12.75" customHeight="1" x14ac:dyDescent="0.2">
      <c r="A36" s="89">
        <v>45140</v>
      </c>
      <c r="B36" s="128" t="s">
        <v>6</v>
      </c>
      <c r="C36" s="10" t="s">
        <v>144</v>
      </c>
      <c r="D36" s="11" t="s">
        <v>13</v>
      </c>
      <c r="E36" s="86">
        <v>17129146</v>
      </c>
      <c r="G36" s="30"/>
      <c r="I36" s="69"/>
      <c r="J36" s="69"/>
    </row>
    <row r="37" spans="1:10" s="70" customFormat="1" ht="12.75" customHeight="1" x14ac:dyDescent="0.2">
      <c r="A37" s="89">
        <v>45140</v>
      </c>
      <c r="B37" s="128" t="s">
        <v>6</v>
      </c>
      <c r="C37" s="10" t="s">
        <v>456</v>
      </c>
      <c r="D37" s="11" t="s">
        <v>13</v>
      </c>
      <c r="E37" s="86">
        <v>200000</v>
      </c>
      <c r="G37" s="30"/>
      <c r="I37" s="69"/>
      <c r="J37" s="69"/>
    </row>
    <row r="38" spans="1:10" s="70" customFormat="1" ht="12.75" customHeight="1" x14ac:dyDescent="0.2">
      <c r="A38" s="89">
        <v>45140</v>
      </c>
      <c r="B38" s="128" t="s">
        <v>6</v>
      </c>
      <c r="C38" s="10" t="s">
        <v>179</v>
      </c>
      <c r="D38" s="11" t="s">
        <v>13</v>
      </c>
      <c r="E38" s="86">
        <v>95000</v>
      </c>
      <c r="G38" s="30"/>
      <c r="I38" s="69"/>
      <c r="J38" s="69"/>
    </row>
    <row r="39" spans="1:10" s="70" customFormat="1" ht="12.75" customHeight="1" x14ac:dyDescent="0.2">
      <c r="A39" s="89">
        <v>45140</v>
      </c>
      <c r="B39" s="128" t="s">
        <v>6</v>
      </c>
      <c r="C39" s="10" t="s">
        <v>304</v>
      </c>
      <c r="D39" s="11" t="s">
        <v>13</v>
      </c>
      <c r="E39" s="86">
        <v>500000</v>
      </c>
      <c r="G39" s="30"/>
      <c r="I39" s="69"/>
      <c r="J39" s="69"/>
    </row>
    <row r="40" spans="1:10" s="70" customFormat="1" ht="12.75" customHeight="1" x14ac:dyDescent="0.2">
      <c r="A40" s="89">
        <v>45140</v>
      </c>
      <c r="B40" s="128" t="s">
        <v>6</v>
      </c>
      <c r="C40" s="10" t="s">
        <v>320</v>
      </c>
      <c r="D40" s="11" t="s">
        <v>13</v>
      </c>
      <c r="E40" s="86">
        <v>1889988</v>
      </c>
      <c r="G40" s="30"/>
      <c r="I40" s="69"/>
      <c r="J40" s="69"/>
    </row>
    <row r="41" spans="1:10" s="70" customFormat="1" ht="12.75" customHeight="1" x14ac:dyDescent="0.2">
      <c r="A41" s="89">
        <v>45140</v>
      </c>
      <c r="B41" s="128" t="s">
        <v>6</v>
      </c>
      <c r="C41" s="10" t="s">
        <v>450</v>
      </c>
      <c r="D41" s="11" t="s">
        <v>13</v>
      </c>
      <c r="E41" s="86">
        <v>575389</v>
      </c>
      <c r="G41" s="30"/>
      <c r="I41" s="69"/>
      <c r="J41" s="69"/>
    </row>
    <row r="42" spans="1:10" s="70" customFormat="1" ht="12.75" customHeight="1" x14ac:dyDescent="0.2">
      <c r="A42" s="89">
        <v>45140</v>
      </c>
      <c r="B42" s="128" t="s">
        <v>6</v>
      </c>
      <c r="C42" s="10" t="s">
        <v>143</v>
      </c>
      <c r="D42" s="11" t="s">
        <v>13</v>
      </c>
      <c r="E42" s="86">
        <v>22029</v>
      </c>
      <c r="G42" s="30"/>
      <c r="I42" s="69"/>
      <c r="J42" s="69"/>
    </row>
    <row r="43" spans="1:10" s="70" customFormat="1" ht="12.75" customHeight="1" x14ac:dyDescent="0.2">
      <c r="A43" s="89">
        <v>45140</v>
      </c>
      <c r="B43" s="128" t="s">
        <v>6</v>
      </c>
      <c r="C43" s="10" t="s">
        <v>633</v>
      </c>
      <c r="D43" s="11" t="s">
        <v>13</v>
      </c>
      <c r="E43" s="86">
        <v>616732</v>
      </c>
      <c r="G43" s="30"/>
      <c r="I43" s="69"/>
      <c r="J43" s="69"/>
    </row>
    <row r="44" spans="1:10" s="70" customFormat="1" ht="12.75" customHeight="1" x14ac:dyDescent="0.2">
      <c r="A44" s="89">
        <v>45140</v>
      </c>
      <c r="B44" s="128" t="s">
        <v>6</v>
      </c>
      <c r="C44" s="10" t="s">
        <v>200</v>
      </c>
      <c r="D44" s="11" t="s">
        <v>13</v>
      </c>
      <c r="E44" s="86">
        <v>401216</v>
      </c>
      <c r="G44" s="30"/>
      <c r="I44" s="69"/>
      <c r="J44" s="69"/>
    </row>
    <row r="45" spans="1:10" s="70" customFormat="1" ht="12.75" customHeight="1" x14ac:dyDescent="0.2">
      <c r="A45" s="89">
        <v>45140</v>
      </c>
      <c r="B45" s="128" t="s">
        <v>6</v>
      </c>
      <c r="C45" s="10" t="s">
        <v>1087</v>
      </c>
      <c r="D45" s="11" t="s">
        <v>13</v>
      </c>
      <c r="E45" s="86">
        <v>948708.36</v>
      </c>
      <c r="G45" s="30"/>
      <c r="I45" s="69"/>
      <c r="J45" s="69"/>
    </row>
    <row r="46" spans="1:10" s="70" customFormat="1" ht="12.75" customHeight="1" x14ac:dyDescent="0.2">
      <c r="A46" s="89">
        <v>45140</v>
      </c>
      <c r="B46" s="128" t="s">
        <v>11</v>
      </c>
      <c r="C46" s="10" t="s">
        <v>593</v>
      </c>
      <c r="D46" s="11" t="s">
        <v>29</v>
      </c>
      <c r="E46" s="86"/>
      <c r="F46" s="70">
        <v>873631</v>
      </c>
      <c r="G46" s="30"/>
      <c r="I46" s="69"/>
      <c r="J46" s="69"/>
    </row>
    <row r="47" spans="1:10" s="70" customFormat="1" ht="12.75" customHeight="1" x14ac:dyDescent="0.2">
      <c r="A47" s="89">
        <v>45140</v>
      </c>
      <c r="B47" s="128" t="s">
        <v>11</v>
      </c>
      <c r="C47" s="10" t="s">
        <v>156</v>
      </c>
      <c r="D47" s="11" t="s">
        <v>29</v>
      </c>
      <c r="E47" s="86"/>
      <c r="F47" s="70">
        <v>45</v>
      </c>
      <c r="G47" s="30"/>
      <c r="I47" s="69"/>
      <c r="J47" s="69"/>
    </row>
    <row r="48" spans="1:10" s="70" customFormat="1" ht="12.75" customHeight="1" x14ac:dyDescent="0.2">
      <c r="A48" s="89">
        <v>45140</v>
      </c>
      <c r="B48" s="128" t="s">
        <v>11</v>
      </c>
      <c r="C48" s="10" t="s">
        <v>64</v>
      </c>
      <c r="D48" s="11" t="s">
        <v>29</v>
      </c>
      <c r="E48" s="86"/>
      <c r="F48" s="70">
        <v>6163.66</v>
      </c>
      <c r="G48" s="30"/>
      <c r="I48" s="69"/>
      <c r="J48" s="69"/>
    </row>
    <row r="49" spans="1:14" s="70" customFormat="1" ht="12.75" customHeight="1" x14ac:dyDescent="0.2">
      <c r="A49" s="89">
        <v>45140</v>
      </c>
      <c r="B49" s="128" t="s">
        <v>11</v>
      </c>
      <c r="C49" s="10" t="s">
        <v>1293</v>
      </c>
      <c r="D49" s="11" t="s">
        <v>29</v>
      </c>
      <c r="E49" s="86"/>
      <c r="F49" s="70">
        <v>629103</v>
      </c>
      <c r="G49" s="30"/>
      <c r="I49" s="69"/>
      <c r="J49" s="69"/>
    </row>
    <row r="50" spans="1:14" s="70" customFormat="1" ht="12.75" customHeight="1" x14ac:dyDescent="0.2">
      <c r="A50" s="89">
        <v>45140</v>
      </c>
      <c r="B50" s="128" t="s">
        <v>11</v>
      </c>
      <c r="C50" s="10" t="s">
        <v>109</v>
      </c>
      <c r="D50" s="11" t="s">
        <v>29</v>
      </c>
      <c r="E50" s="86"/>
      <c r="F50" s="70">
        <v>137340</v>
      </c>
      <c r="G50" s="30"/>
      <c r="I50" s="69"/>
      <c r="J50" s="69"/>
    </row>
    <row r="51" spans="1:14" s="70" customFormat="1" ht="12.75" customHeight="1" x14ac:dyDescent="0.2">
      <c r="A51" s="89">
        <v>45140</v>
      </c>
      <c r="B51" s="128" t="s">
        <v>11</v>
      </c>
      <c r="C51" s="10" t="s">
        <v>886</v>
      </c>
      <c r="D51" s="11" t="s">
        <v>29</v>
      </c>
      <c r="E51" s="86"/>
      <c r="F51" s="70">
        <v>2842</v>
      </c>
      <c r="G51" s="30"/>
      <c r="I51" s="69"/>
      <c r="J51" s="69"/>
    </row>
    <row r="52" spans="1:14" s="70" customFormat="1" ht="12.75" customHeight="1" x14ac:dyDescent="0.2">
      <c r="A52" s="89">
        <v>45140</v>
      </c>
      <c r="B52" s="128" t="s">
        <v>11</v>
      </c>
      <c r="C52" s="10" t="s">
        <v>1289</v>
      </c>
      <c r="D52" s="11" t="s">
        <v>29</v>
      </c>
      <c r="E52" s="86"/>
      <c r="F52" s="70">
        <v>7668.93</v>
      </c>
      <c r="G52" s="30"/>
      <c r="I52" s="69"/>
      <c r="J52" s="69"/>
    </row>
    <row r="53" spans="1:14" s="70" customFormat="1" ht="12.75" customHeight="1" x14ac:dyDescent="0.2">
      <c r="A53" s="89">
        <v>45140</v>
      </c>
      <c r="B53" s="128" t="s">
        <v>11</v>
      </c>
      <c r="C53" s="10" t="s">
        <v>513</v>
      </c>
      <c r="D53" s="11" t="s">
        <v>29</v>
      </c>
      <c r="E53" s="86"/>
      <c r="F53" s="70">
        <v>2317560</v>
      </c>
      <c r="G53" s="30"/>
      <c r="I53" s="69"/>
      <c r="J53" s="69"/>
    </row>
    <row r="54" spans="1:14" s="70" customFormat="1" ht="12.75" customHeight="1" x14ac:dyDescent="0.2">
      <c r="A54" s="89">
        <v>45140</v>
      </c>
      <c r="B54" s="128" t="s">
        <v>11</v>
      </c>
      <c r="C54" s="10" t="s">
        <v>167</v>
      </c>
      <c r="D54" s="11" t="s">
        <v>29</v>
      </c>
      <c r="E54" s="86"/>
      <c r="F54" s="70">
        <v>65884</v>
      </c>
      <c r="G54" s="30"/>
      <c r="I54" s="69"/>
      <c r="J54" s="69"/>
    </row>
    <row r="55" spans="1:14" s="70" customFormat="1" ht="12.75" customHeight="1" x14ac:dyDescent="0.2">
      <c r="A55" s="89">
        <v>45140</v>
      </c>
      <c r="B55" s="128" t="s">
        <v>11</v>
      </c>
      <c r="C55" s="10" t="s">
        <v>170</v>
      </c>
      <c r="D55" s="11" t="s">
        <v>29</v>
      </c>
      <c r="E55" s="86"/>
      <c r="F55" s="70">
        <v>10000</v>
      </c>
      <c r="G55" s="30"/>
      <c r="I55" s="69"/>
      <c r="J55" s="69"/>
    </row>
    <row r="56" spans="1:14" s="70" customFormat="1" ht="12.75" customHeight="1" x14ac:dyDescent="0.2">
      <c r="A56" s="89">
        <v>45140</v>
      </c>
      <c r="B56" s="128" t="s">
        <v>11</v>
      </c>
      <c r="C56" s="10" t="s">
        <v>169</v>
      </c>
      <c r="D56" s="11" t="s">
        <v>29</v>
      </c>
      <c r="E56" s="86"/>
      <c r="F56" s="70">
        <v>8500</v>
      </c>
      <c r="G56" s="30"/>
      <c r="I56" s="69"/>
      <c r="J56" s="69"/>
    </row>
    <row r="57" spans="1:14" s="70" customFormat="1" ht="12.75" customHeight="1" x14ac:dyDescent="0.2">
      <c r="A57" s="89">
        <v>45140</v>
      </c>
      <c r="B57" s="128" t="s">
        <v>11</v>
      </c>
      <c r="C57" s="10" t="s">
        <v>168</v>
      </c>
      <c r="D57" s="11" t="s">
        <v>29</v>
      </c>
      <c r="E57" s="86"/>
      <c r="F57" s="70">
        <v>3600</v>
      </c>
      <c r="G57" s="30"/>
      <c r="I57" s="69"/>
      <c r="J57" s="69"/>
    </row>
    <row r="58" spans="1:14" s="70" customFormat="1" ht="12.75" customHeight="1" x14ac:dyDescent="0.2">
      <c r="A58" s="89">
        <v>45140</v>
      </c>
      <c r="B58" s="128" t="s">
        <v>11</v>
      </c>
      <c r="C58" s="10" t="s">
        <v>242</v>
      </c>
      <c r="D58" s="11" t="s">
        <v>29</v>
      </c>
      <c r="E58" s="86"/>
      <c r="F58" s="70">
        <v>113224.17</v>
      </c>
      <c r="G58" s="30"/>
      <c r="I58" s="69"/>
      <c r="J58" s="69"/>
    </row>
    <row r="59" spans="1:14" s="70" customFormat="1" ht="12.75" customHeight="1" x14ac:dyDescent="0.2">
      <c r="A59" s="89">
        <v>45140</v>
      </c>
      <c r="B59" s="128" t="s">
        <v>11</v>
      </c>
      <c r="C59" s="10" t="s">
        <v>823</v>
      </c>
      <c r="D59" s="11" t="s">
        <v>29</v>
      </c>
      <c r="E59" s="86"/>
      <c r="F59" s="70">
        <v>20667</v>
      </c>
      <c r="G59" s="30"/>
      <c r="I59" s="69"/>
      <c r="J59" s="69"/>
    </row>
    <row r="60" spans="1:14" s="70" customFormat="1" ht="12.75" customHeight="1" x14ac:dyDescent="0.2">
      <c r="A60" s="89">
        <v>45140</v>
      </c>
      <c r="B60" s="128" t="s">
        <v>11</v>
      </c>
      <c r="C60" s="10" t="s">
        <v>329</v>
      </c>
      <c r="D60" s="11" t="s">
        <v>29</v>
      </c>
      <c r="E60" s="86"/>
      <c r="F60" s="70">
        <v>1000000</v>
      </c>
      <c r="G60" s="30"/>
      <c r="I60" s="69"/>
      <c r="J60" s="69"/>
    </row>
    <row r="61" spans="1:14" s="2" customFormat="1" ht="12.75" customHeight="1" x14ac:dyDescent="0.2">
      <c r="A61" s="32"/>
      <c r="B61" s="33"/>
      <c r="C61" s="14"/>
      <c r="D61" s="34"/>
      <c r="E61" s="16">
        <f>SUM(E27:E60)</f>
        <v>30684003.149999999</v>
      </c>
      <c r="F61" s="16">
        <f>SUM(F27:F60)</f>
        <v>300338434.17999989</v>
      </c>
      <c r="G61" s="30"/>
      <c r="H61" s="1"/>
      <c r="I61" s="38">
        <v>269654431.02999997</v>
      </c>
      <c r="J61" s="2" t="s">
        <v>396</v>
      </c>
      <c r="K61" s="92">
        <f>E62-I61</f>
        <v>0</v>
      </c>
      <c r="L61" s="41"/>
      <c r="M61" s="42"/>
    </row>
    <row r="62" spans="1:14" s="2" customFormat="1" ht="12.75" customHeight="1" x14ac:dyDescent="0.2">
      <c r="A62" s="36"/>
      <c r="B62" s="28" t="s">
        <v>11</v>
      </c>
      <c r="C62" s="19" t="s">
        <v>65</v>
      </c>
      <c r="D62" s="37"/>
      <c r="E62" s="38">
        <f>F61-E61</f>
        <v>269654431.02999991</v>
      </c>
      <c r="F62" s="22"/>
      <c r="G62" s="1"/>
      <c r="H62" s="1"/>
      <c r="J62" s="1"/>
      <c r="K62" s="1"/>
      <c r="L62" s="1"/>
      <c r="M62" s="1"/>
    </row>
    <row r="63" spans="1:14" s="2" customFormat="1" ht="12.75" customHeight="1" x14ac:dyDescent="0.2">
      <c r="A63" s="36"/>
      <c r="B63" s="28" t="s">
        <v>66</v>
      </c>
      <c r="C63" s="43" t="s">
        <v>67</v>
      </c>
      <c r="D63" s="43"/>
      <c r="E63" s="12">
        <f>59416310-35800000</f>
        <v>23616310</v>
      </c>
      <c r="F63" s="22"/>
      <c r="G63" s="1"/>
      <c r="H63" s="40"/>
      <c r="I63" s="45">
        <v>326.72000000000003</v>
      </c>
      <c r="J63" s="46"/>
      <c r="K63" s="46"/>
      <c r="L63" s="13"/>
      <c r="M63" s="69" t="s">
        <v>396</v>
      </c>
    </row>
    <row r="64" spans="1:14" s="2" customFormat="1" ht="12.75" customHeight="1" x14ac:dyDescent="0.25">
      <c r="A64" s="36"/>
      <c r="B64" s="28"/>
      <c r="C64" s="44" t="s">
        <v>68</v>
      </c>
      <c r="D64" s="43"/>
      <c r="E64" s="7">
        <f>E62+E63</f>
        <v>293270741.02999991</v>
      </c>
      <c r="F64" s="22"/>
      <c r="G64" s="1"/>
      <c r="H64" s="103" t="s">
        <v>69</v>
      </c>
      <c r="I64" s="45">
        <v>10</v>
      </c>
      <c r="J64" s="46"/>
      <c r="K64" s="46"/>
      <c r="N64" s="1"/>
    </row>
    <row r="65" spans="1:14" s="2" customFormat="1" x14ac:dyDescent="0.2">
      <c r="A65" s="24"/>
      <c r="B65" s="1"/>
      <c r="C65" s="14"/>
      <c r="D65" s="25"/>
      <c r="E65" s="1"/>
      <c r="H65" s="35" t="s">
        <v>70</v>
      </c>
      <c r="I65" s="45">
        <v>-10</v>
      </c>
      <c r="J65" s="46">
        <f>+I66-D68</f>
        <v>0</v>
      </c>
      <c r="M65" s="2" t="s">
        <v>396</v>
      </c>
      <c r="N65" s="1"/>
    </row>
    <row r="66" spans="1:14" x14ac:dyDescent="0.2">
      <c r="C66" s="56"/>
      <c r="D66" s="56"/>
      <c r="E66" s="104"/>
      <c r="I66" s="49">
        <f>SUM(I63:I65)</f>
        <v>326.72000000000003</v>
      </c>
      <c r="J66" s="46"/>
      <c r="K66" s="46"/>
      <c r="L66" s="2"/>
      <c r="M66" s="2"/>
      <c r="N66" s="2"/>
    </row>
    <row r="67" spans="1:14" x14ac:dyDescent="0.2">
      <c r="C67" s="78" t="s">
        <v>575</v>
      </c>
      <c r="D67" s="48" t="s">
        <v>576</v>
      </c>
      <c r="E67" s="104"/>
      <c r="I67" s="2"/>
      <c r="J67" s="2"/>
      <c r="K67" s="2"/>
      <c r="L67" s="2"/>
      <c r="M67" s="2"/>
      <c r="N67" s="2"/>
    </row>
    <row r="68" spans="1:14" s="2" customFormat="1" x14ac:dyDescent="0.2">
      <c r="A68" s="24"/>
      <c r="B68" s="1"/>
      <c r="C68" s="47" t="s">
        <v>570</v>
      </c>
      <c r="D68" s="111">
        <v>326.72000000000003</v>
      </c>
      <c r="E68" s="104"/>
      <c r="G68" s="1"/>
      <c r="H68" s="110" t="s">
        <v>581</v>
      </c>
      <c r="N68" s="2" t="s">
        <v>535</v>
      </c>
    </row>
    <row r="69" spans="1:14" s="2" customFormat="1" x14ac:dyDescent="0.2">
      <c r="A69" s="24"/>
      <c r="B69" s="1"/>
      <c r="C69" s="47" t="s">
        <v>931</v>
      </c>
      <c r="D69" s="111">
        <v>56.78</v>
      </c>
      <c r="E69" s="104"/>
      <c r="G69" s="1"/>
      <c r="H69" s="110" t="s">
        <v>580</v>
      </c>
    </row>
    <row r="70" spans="1:14" s="2" customFormat="1" x14ac:dyDescent="0.2">
      <c r="A70" s="24"/>
      <c r="B70" s="1"/>
      <c r="C70" s="47" t="s">
        <v>572</v>
      </c>
      <c r="D70" s="111">
        <f>+D91/100000</f>
        <v>20.677889099999998</v>
      </c>
      <c r="E70" s="104"/>
      <c r="G70" s="1"/>
      <c r="H70" s="90" t="s">
        <v>587</v>
      </c>
    </row>
    <row r="71" spans="1:14" s="2" customFormat="1" x14ac:dyDescent="0.2">
      <c r="A71" s="24"/>
      <c r="B71" s="1"/>
      <c r="C71" s="108" t="s">
        <v>578</v>
      </c>
      <c r="D71" s="48">
        <f>SUM(D68:D70)</f>
        <v>404.17788910000002</v>
      </c>
      <c r="E71" s="104"/>
      <c r="G71" s="1"/>
    </row>
    <row r="72" spans="1:14" s="2" customFormat="1" x14ac:dyDescent="0.2">
      <c r="A72" s="24"/>
      <c r="B72" s="1"/>
      <c r="C72" s="47"/>
      <c r="D72" s="107"/>
      <c r="E72" s="104"/>
      <c r="G72" s="1"/>
    </row>
    <row r="73" spans="1:14" s="2" customFormat="1" x14ac:dyDescent="0.2">
      <c r="A73" s="24"/>
      <c r="B73" s="1"/>
      <c r="C73" s="47" t="s">
        <v>932</v>
      </c>
      <c r="D73" s="111">
        <v>0</v>
      </c>
      <c r="E73" s="104"/>
      <c r="G73" s="1"/>
      <c r="H73" s="110" t="s">
        <v>581</v>
      </c>
    </row>
    <row r="74" spans="1:14" s="2" customFormat="1" x14ac:dyDescent="0.2">
      <c r="A74" s="24"/>
      <c r="B74" s="1"/>
      <c r="C74" s="136" t="s">
        <v>1142</v>
      </c>
      <c r="D74" s="111">
        <v>0</v>
      </c>
      <c r="E74" s="104"/>
      <c r="G74" s="1"/>
      <c r="H74" s="110" t="s">
        <v>581</v>
      </c>
      <c r="J74" s="114" t="s">
        <v>713</v>
      </c>
    </row>
    <row r="75" spans="1:14" s="2" customFormat="1" x14ac:dyDescent="0.2">
      <c r="A75" s="24"/>
      <c r="B75" s="1"/>
      <c r="C75" s="78" t="s">
        <v>579</v>
      </c>
      <c r="D75" s="109">
        <f>D73+D74</f>
        <v>0</v>
      </c>
      <c r="E75" s="104"/>
      <c r="G75" s="1"/>
      <c r="I75" s="113"/>
      <c r="J75" s="113" t="s">
        <v>709</v>
      </c>
      <c r="K75" s="113" t="s">
        <v>710</v>
      </c>
      <c r="L75" s="113" t="s">
        <v>711</v>
      </c>
      <c r="M75" s="113" t="s">
        <v>712</v>
      </c>
    </row>
    <row r="76" spans="1:14" s="2" customFormat="1" x14ac:dyDescent="0.2">
      <c r="A76" s="24"/>
      <c r="B76" s="1"/>
      <c r="C76" s="105"/>
      <c r="D76" s="106"/>
      <c r="E76" s="104"/>
      <c r="G76" s="1"/>
      <c r="I76" s="113" t="s">
        <v>706</v>
      </c>
      <c r="J76" s="115"/>
      <c r="K76" s="115">
        <v>968.99</v>
      </c>
      <c r="L76" s="115">
        <v>968.99</v>
      </c>
      <c r="M76" s="113">
        <f>+J76+L76-K76</f>
        <v>0</v>
      </c>
    </row>
    <row r="77" spans="1:14" s="2" customFormat="1" x14ac:dyDescent="0.2">
      <c r="A77" s="24"/>
      <c r="B77" s="1"/>
      <c r="C77" s="78" t="s">
        <v>577</v>
      </c>
      <c r="D77" s="109">
        <f>D68+D75</f>
        <v>326.72000000000003</v>
      </c>
      <c r="E77" s="104"/>
      <c r="G77" s="1"/>
      <c r="I77" s="113" t="s">
        <v>707</v>
      </c>
      <c r="J77" s="115">
        <v>183.1</v>
      </c>
      <c r="K77" s="115">
        <v>2929.83</v>
      </c>
      <c r="L77" s="115">
        <v>3551.14</v>
      </c>
      <c r="M77" s="113">
        <f>+J77+L77-K77</f>
        <v>804.40999999999985</v>
      </c>
    </row>
    <row r="78" spans="1:14" s="2" customFormat="1" x14ac:dyDescent="0.2">
      <c r="A78" s="24"/>
      <c r="B78" s="1"/>
      <c r="C78" s="56"/>
      <c r="D78" s="56"/>
      <c r="E78" s="104"/>
      <c r="G78" s="1"/>
      <c r="I78" s="113" t="s">
        <v>708</v>
      </c>
      <c r="J78" s="115">
        <v>1371.02</v>
      </c>
      <c r="K78" s="115">
        <v>13364.6</v>
      </c>
      <c r="L78" s="115">
        <v>12805.46</v>
      </c>
      <c r="M78" s="113">
        <f>+J78+L78-K78</f>
        <v>811.8799999999992</v>
      </c>
    </row>
    <row r="79" spans="1:14" s="2" customFormat="1" ht="38.25" x14ac:dyDescent="0.2">
      <c r="A79" s="24"/>
      <c r="B79" s="1"/>
      <c r="C79" s="79" t="str">
        <f>"Particulars ( 01-04-2021 to "&amp;TEXT(A5,"dd-mm-yyyy")&amp;" )"</f>
        <v>Particulars ( 01-04-2021 to 02-08-2023 )</v>
      </c>
      <c r="D79" s="80" t="s">
        <v>73</v>
      </c>
      <c r="E79" s="80" t="s">
        <v>74</v>
      </c>
      <c r="F79" s="81" t="s">
        <v>75</v>
      </c>
      <c r="G79" s="80" t="s">
        <v>76</v>
      </c>
      <c r="J79" s="118">
        <f>SUM(J76:J78)</f>
        <v>1554.12</v>
      </c>
      <c r="K79" s="118">
        <f>SUM(K76:K78)</f>
        <v>17263.419999999998</v>
      </c>
      <c r="L79" s="118">
        <f>SUM(L76:L78)</f>
        <v>17325.59</v>
      </c>
      <c r="M79" s="118">
        <f>SUM(M76:M78)</f>
        <v>1616.2899999999991</v>
      </c>
    </row>
    <row r="80" spans="1:14" s="2" customFormat="1" x14ac:dyDescent="0.2">
      <c r="A80" s="24"/>
      <c r="B80" s="1"/>
      <c r="C80" s="50" t="s">
        <v>444</v>
      </c>
      <c r="D80" s="55">
        <f>+L76+L77+J77</f>
        <v>4703.2300000000005</v>
      </c>
      <c r="E80" s="55">
        <f>+K76+K77</f>
        <v>3898.8199999999997</v>
      </c>
      <c r="F80" s="55">
        <f>+D80-E80</f>
        <v>804.41000000000076</v>
      </c>
      <c r="G80" s="55">
        <f>1500-F80</f>
        <v>695.58999999999924</v>
      </c>
      <c r="H80" s="2" t="s">
        <v>396</v>
      </c>
    </row>
    <row r="81" spans="1:13" s="2" customFormat="1" x14ac:dyDescent="0.2">
      <c r="A81" s="24"/>
      <c r="B81" s="1"/>
      <c r="C81" s="50" t="s">
        <v>71</v>
      </c>
      <c r="D81" s="55">
        <f>+J78+L78</f>
        <v>14176.48</v>
      </c>
      <c r="E81" s="55">
        <f>+K78</f>
        <v>13364.6</v>
      </c>
      <c r="F81" s="55">
        <f>+D81-E81</f>
        <v>811.8799999999992</v>
      </c>
      <c r="G81" s="55">
        <f>1500+700-F81</f>
        <v>1388.1200000000008</v>
      </c>
      <c r="H81" s="2" t="s">
        <v>396</v>
      </c>
    </row>
    <row r="82" spans="1:13" s="2" customFormat="1" x14ac:dyDescent="0.2">
      <c r="A82" s="24"/>
      <c r="B82" s="1"/>
      <c r="C82" s="14"/>
      <c r="D82" s="56"/>
      <c r="E82" s="13"/>
      <c r="G82" s="1"/>
    </row>
    <row r="83" spans="1:13" s="2" customFormat="1" x14ac:dyDescent="0.2">
      <c r="A83" s="215" t="s">
        <v>80</v>
      </c>
      <c r="B83" s="216"/>
      <c r="C83" s="216"/>
      <c r="D83" s="217"/>
      <c r="E83" s="69"/>
      <c r="F83" s="70"/>
      <c r="G83" s="1"/>
      <c r="H83" s="53"/>
    </row>
    <row r="84" spans="1:13" s="2" customFormat="1" x14ac:dyDescent="0.2">
      <c r="A84" s="71" t="s">
        <v>81</v>
      </c>
      <c r="B84" s="71"/>
      <c r="C84" s="72" t="s">
        <v>82</v>
      </c>
      <c r="D84" s="73" t="s">
        <v>83</v>
      </c>
      <c r="E84" s="69"/>
      <c r="F84" s="70"/>
      <c r="H84" s="53"/>
    </row>
    <row r="85" spans="1:13" s="2" customFormat="1" x14ac:dyDescent="0.2">
      <c r="A85" s="8">
        <v>45139</v>
      </c>
      <c r="B85" s="120" t="s">
        <v>1052</v>
      </c>
      <c r="C85" s="75" t="s">
        <v>85</v>
      </c>
      <c r="D85" s="88">
        <v>552343</v>
      </c>
      <c r="G85" s="1"/>
      <c r="L85" s="1"/>
      <c r="M85" s="1"/>
    </row>
    <row r="86" spans="1:13" s="2" customFormat="1" x14ac:dyDescent="0.2">
      <c r="A86" s="8">
        <v>45140</v>
      </c>
      <c r="B86" s="120" t="s">
        <v>1052</v>
      </c>
      <c r="C86" s="75" t="s">
        <v>270</v>
      </c>
      <c r="D86" s="88">
        <v>244404</v>
      </c>
      <c r="G86" s="1"/>
      <c r="L86" s="1"/>
      <c r="M86" s="1"/>
    </row>
    <row r="87" spans="1:13" s="2" customFormat="1" x14ac:dyDescent="0.2">
      <c r="A87" s="8">
        <v>45140</v>
      </c>
      <c r="B87" s="120" t="s">
        <v>1052</v>
      </c>
      <c r="C87" s="75" t="s">
        <v>270</v>
      </c>
      <c r="D87" s="88">
        <v>550256</v>
      </c>
      <c r="G87" s="1"/>
      <c r="L87" s="1"/>
      <c r="M87" s="1"/>
    </row>
    <row r="88" spans="1:13" s="2" customFormat="1" x14ac:dyDescent="0.2">
      <c r="A88" s="8">
        <v>45140</v>
      </c>
      <c r="B88" s="120" t="s">
        <v>1052</v>
      </c>
      <c r="C88" s="75" t="s">
        <v>270</v>
      </c>
      <c r="D88" s="88">
        <v>191589</v>
      </c>
      <c r="G88" s="1"/>
      <c r="L88" s="1"/>
      <c r="M88" s="1"/>
    </row>
    <row r="89" spans="1:13" s="2" customFormat="1" x14ac:dyDescent="0.2">
      <c r="A89" s="8">
        <v>45140</v>
      </c>
      <c r="B89" s="120" t="s">
        <v>1052</v>
      </c>
      <c r="C89" s="75" t="s">
        <v>270</v>
      </c>
      <c r="D89" s="88">
        <v>74415.91</v>
      </c>
      <c r="G89" s="1"/>
      <c r="L89" s="1"/>
      <c r="M89" s="1"/>
    </row>
    <row r="90" spans="1:13" s="2" customFormat="1" x14ac:dyDescent="0.2">
      <c r="A90" s="8">
        <v>45140</v>
      </c>
      <c r="B90" s="120" t="s">
        <v>1052</v>
      </c>
      <c r="C90" s="75" t="s">
        <v>271</v>
      </c>
      <c r="D90" s="88">
        <v>454781</v>
      </c>
      <c r="G90" s="1"/>
      <c r="L90" s="1"/>
      <c r="M90" s="1"/>
    </row>
    <row r="91" spans="1:13" s="2" customFormat="1" x14ac:dyDescent="0.2">
      <c r="A91" s="87"/>
      <c r="B91" s="74"/>
      <c r="C91" s="75"/>
      <c r="D91" s="51">
        <f>SUM(D85:D90)</f>
        <v>2067788.91</v>
      </c>
      <c r="F91" s="2" t="s">
        <v>396</v>
      </c>
      <c r="G91" s="1"/>
      <c r="L91" s="1"/>
      <c r="M91" s="1"/>
    </row>
    <row r="92" spans="1:13" s="2" customFormat="1" x14ac:dyDescent="0.2">
      <c r="A92" s="24"/>
      <c r="B92" s="1"/>
      <c r="C92" s="14"/>
      <c r="D92" s="56"/>
      <c r="E92" s="13"/>
      <c r="G92" s="1"/>
      <c r="L92" s="1"/>
      <c r="M92" s="1"/>
    </row>
    <row r="93" spans="1:13" s="2" customFormat="1" x14ac:dyDescent="0.2">
      <c r="A93" s="24"/>
      <c r="B93" s="1"/>
      <c r="C93" s="218" t="s">
        <v>77</v>
      </c>
      <c r="D93" s="219"/>
      <c r="E93" s="219"/>
      <c r="F93" s="220"/>
      <c r="G93" s="1"/>
      <c r="L93" s="1"/>
      <c r="M93" s="1"/>
    </row>
    <row r="94" spans="1:13" s="2" customFormat="1" x14ac:dyDescent="0.2">
      <c r="A94" s="24"/>
      <c r="B94" s="1"/>
      <c r="C94" s="50"/>
      <c r="D94" s="57" t="s">
        <v>78</v>
      </c>
      <c r="E94" s="58" t="s">
        <v>79</v>
      </c>
      <c r="F94" s="57" t="s">
        <v>72</v>
      </c>
      <c r="G94" s="1"/>
      <c r="I94" s="1"/>
      <c r="J94" s="1"/>
      <c r="K94" s="1"/>
      <c r="L94" s="1"/>
      <c r="M94" s="1"/>
    </row>
    <row r="95" spans="1:13" s="2" customFormat="1" x14ac:dyDescent="0.2">
      <c r="A95" s="24"/>
      <c r="B95" s="1"/>
      <c r="C95" s="59" t="str">
        <f>"01-07-2023 to "&amp;TEXT(A5-2,"dd-mm-yyyy")</f>
        <v>01-07-2023 to 31-07-2023</v>
      </c>
      <c r="D95" s="60">
        <v>5322.58</v>
      </c>
      <c r="E95" s="60">
        <v>267.04000000000002</v>
      </c>
      <c r="F95" s="61">
        <f>SUM(D95:E95)</f>
        <v>5589.62</v>
      </c>
      <c r="G95" s="1"/>
    </row>
    <row r="96" spans="1:13" s="2" customFormat="1" x14ac:dyDescent="0.2">
      <c r="A96" s="24"/>
      <c r="B96" s="1"/>
      <c r="C96" s="62" t="str">
        <f>TEXT(A5-1,"dd-mm-yyyy")</f>
        <v>01-08-2023</v>
      </c>
      <c r="D96" s="60">
        <v>265.11</v>
      </c>
      <c r="E96" s="60">
        <v>6.99</v>
      </c>
      <c r="F96" s="61">
        <f>SUM(D96:E96)</f>
        <v>272.10000000000002</v>
      </c>
      <c r="G96" s="54"/>
      <c r="I96" s="1"/>
      <c r="J96" s="1"/>
      <c r="K96" s="1"/>
      <c r="L96" s="1"/>
      <c r="M96" s="1"/>
    </row>
    <row r="97" spans="1:13" s="2" customFormat="1" ht="13.5" thickBot="1" x14ac:dyDescent="0.25">
      <c r="A97" s="24"/>
      <c r="B97" s="1"/>
      <c r="C97" s="63" t="str">
        <f>"01-07-2023 to "&amp;TEXT(A5-1,"dd-mm-yyyy")</f>
        <v>01-07-2023 to 01-08-2023</v>
      </c>
      <c r="D97" s="64">
        <f>SUM(D95:D96)</f>
        <v>5587.69</v>
      </c>
      <c r="E97" s="64">
        <f>SUM(E95:E96)</f>
        <v>274.03000000000003</v>
      </c>
      <c r="F97" s="64">
        <f>SUM(F95:F96)</f>
        <v>5861.72</v>
      </c>
      <c r="G97" s="54"/>
      <c r="I97" s="1"/>
      <c r="J97" s="1"/>
      <c r="K97" s="1"/>
      <c r="L97" s="1"/>
      <c r="M97" s="1"/>
    </row>
    <row r="98" spans="1:13" s="2" customFormat="1" ht="13.5" thickTop="1" x14ac:dyDescent="0.2">
      <c r="A98" s="24"/>
      <c r="B98" s="1"/>
      <c r="C98" s="62"/>
      <c r="D98" s="65"/>
      <c r="E98" s="66"/>
      <c r="F98" s="67"/>
      <c r="G98" s="54"/>
      <c r="I98" s="1"/>
      <c r="J98" s="1"/>
      <c r="K98" s="1"/>
      <c r="L98" s="1"/>
      <c r="M98" s="1"/>
    </row>
    <row r="99" spans="1:13" s="2" customFormat="1" x14ac:dyDescent="0.2">
      <c r="A99" s="24"/>
      <c r="B99" s="1"/>
      <c r="C99" s="62" t="str">
        <f>"01-04-2023 to " &amp;C96</f>
        <v>01-04-2023 to 01-08-2023</v>
      </c>
      <c r="D99" s="68">
        <f>+D97+15504.74</f>
        <v>21092.43</v>
      </c>
      <c r="E99" s="68">
        <f>+E97+1109.72</f>
        <v>1383.75</v>
      </c>
      <c r="F99" s="68">
        <f>+F97+16614.46</f>
        <v>22476.18</v>
      </c>
      <c r="G99" s="54"/>
      <c r="I99" s="1"/>
      <c r="J99" s="1"/>
      <c r="K99" s="1"/>
      <c r="L99" s="1"/>
      <c r="M99" s="1"/>
    </row>
    <row r="100" spans="1:13" x14ac:dyDescent="0.2">
      <c r="C100" s="52"/>
      <c r="D100" s="85"/>
      <c r="E100" s="53"/>
      <c r="F100" s="53"/>
      <c r="G100" s="54"/>
      <c r="H100" s="2" t="s">
        <v>396</v>
      </c>
    </row>
    <row r="101" spans="1:13" s="2" customFormat="1" x14ac:dyDescent="0.2">
      <c r="A101" s="24"/>
      <c r="B101" s="1"/>
      <c r="C101" s="52"/>
      <c r="D101" s="85"/>
      <c r="E101" s="53"/>
      <c r="F101" s="53"/>
      <c r="G101" s="54"/>
      <c r="H101" s="53"/>
    </row>
    <row r="102" spans="1:13" x14ac:dyDescent="0.2">
      <c r="C102" s="52"/>
      <c r="D102" s="85"/>
      <c r="E102" s="53"/>
      <c r="F102" s="53"/>
      <c r="G102" s="54"/>
      <c r="H102" s="53" t="s">
        <v>396</v>
      </c>
    </row>
    <row r="103" spans="1:13" x14ac:dyDescent="0.2">
      <c r="C103" s="52"/>
      <c r="D103" s="85"/>
      <c r="E103" s="53"/>
      <c r="F103" s="53"/>
      <c r="G103" s="54"/>
      <c r="H103" s="53" t="s">
        <v>396</v>
      </c>
      <c r="J103" s="42"/>
    </row>
    <row r="104" spans="1:13" x14ac:dyDescent="0.2">
      <c r="G104" s="54"/>
      <c r="H104" s="53"/>
      <c r="I104" s="101"/>
    </row>
    <row r="105" spans="1:13" x14ac:dyDescent="0.2">
      <c r="G105" s="54"/>
      <c r="H105" s="53"/>
    </row>
    <row r="106" spans="1:13" x14ac:dyDescent="0.2">
      <c r="G106" s="54"/>
      <c r="H106" s="53"/>
    </row>
    <row r="107" spans="1:13" x14ac:dyDescent="0.2">
      <c r="H107" s="53"/>
    </row>
  </sheetData>
  <mergeCells count="6">
    <mergeCell ref="C93:F93"/>
    <mergeCell ref="A1:G1"/>
    <mergeCell ref="A3:F3"/>
    <mergeCell ref="A9:F9"/>
    <mergeCell ref="A25:F25"/>
    <mergeCell ref="A83:D83"/>
  </mergeCells>
  <conditionalFormatting sqref="G80:G81">
    <cfRule type="cellIs" dxfId="383" priority="1" operator="lessThan">
      <formula>0</formula>
    </cfRule>
  </conditionalFormatting>
  <conditionalFormatting sqref="C27">
    <cfRule type="duplicateValues" dxfId="382" priority="2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300-000000000000}">
  <sheetPr codeName="Sheet395">
    <pageSetUpPr fitToPage="1"/>
  </sheetPr>
  <dimension ref="A1:N135"/>
  <sheetViews>
    <sheetView zoomScaleNormal="100" workbookViewId="0">
      <selection activeCell="E151" sqref="E151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1295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45141</v>
      </c>
      <c r="B5" s="9" t="s">
        <v>6</v>
      </c>
      <c r="C5" s="10" t="s">
        <v>7</v>
      </c>
      <c r="D5" s="11"/>
      <c r="E5" s="12">
        <v>277691.7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277691.7</v>
      </c>
      <c r="F6" s="16">
        <f>SUM(F5:F5)</f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+E6-F6</f>
        <v>277691.7</v>
      </c>
      <c r="F7" s="22"/>
      <c r="G7" s="23"/>
      <c r="H7" s="112"/>
      <c r="I7" s="112"/>
      <c r="J7" s="13"/>
    </row>
    <row r="8" spans="1:10" ht="12.75" customHeight="1" x14ac:dyDescent="0.4">
      <c r="H8" s="112"/>
      <c r="I8" s="112"/>
    </row>
    <row r="9" spans="1:10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12"/>
    </row>
    <row r="10" spans="1:10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12"/>
    </row>
    <row r="11" spans="1:10" s="2" customFormat="1" ht="14.25" customHeight="1" x14ac:dyDescent="0.2">
      <c r="A11" s="89">
        <v>45141</v>
      </c>
      <c r="B11" s="9" t="s">
        <v>6</v>
      </c>
      <c r="C11" s="10" t="s">
        <v>7</v>
      </c>
      <c r="D11" s="11"/>
      <c r="F11" s="12">
        <v>24338671.819999997</v>
      </c>
      <c r="G11" s="1"/>
      <c r="H11" s="130" t="s">
        <v>396</v>
      </c>
      <c r="I11" s="130"/>
    </row>
    <row r="12" spans="1:10" s="70" customFormat="1" ht="12.75" customHeight="1" x14ac:dyDescent="0.2">
      <c r="A12" s="89">
        <v>45141</v>
      </c>
      <c r="B12" s="128" t="s">
        <v>6</v>
      </c>
      <c r="C12" s="76" t="s">
        <v>1242</v>
      </c>
      <c r="D12" s="11" t="s">
        <v>13</v>
      </c>
      <c r="E12" s="31">
        <v>6456331.4100000001</v>
      </c>
      <c r="F12" s="31"/>
      <c r="G12" s="30"/>
      <c r="I12" s="69"/>
      <c r="J12" s="69"/>
    </row>
    <row r="13" spans="1:10" s="70" customFormat="1" ht="12.75" customHeight="1" x14ac:dyDescent="0.2">
      <c r="A13" s="89">
        <v>45141</v>
      </c>
      <c r="B13" s="128" t="s">
        <v>6</v>
      </c>
      <c r="C13" s="76" t="s">
        <v>1296</v>
      </c>
      <c r="D13" s="11" t="s">
        <v>13</v>
      </c>
      <c r="E13" s="31">
        <v>9775739.6799999997</v>
      </c>
      <c r="F13" s="31"/>
      <c r="G13" s="30"/>
      <c r="I13" s="69"/>
      <c r="J13" s="69"/>
    </row>
    <row r="14" spans="1:10" s="70" customFormat="1" ht="12.75" customHeight="1" x14ac:dyDescent="0.2">
      <c r="A14" s="89">
        <v>45141</v>
      </c>
      <c r="B14" s="128" t="s">
        <v>6</v>
      </c>
      <c r="C14" s="76" t="s">
        <v>1297</v>
      </c>
      <c r="D14" s="11" t="s">
        <v>13</v>
      </c>
      <c r="E14" s="31">
        <v>6976087.5499999998</v>
      </c>
      <c r="F14" s="31"/>
      <c r="G14" s="30"/>
      <c r="I14" s="69"/>
      <c r="J14" s="69"/>
    </row>
    <row r="15" spans="1:10" s="70" customFormat="1" ht="12.75" customHeight="1" x14ac:dyDescent="0.2">
      <c r="A15" s="89">
        <v>45141</v>
      </c>
      <c r="B15" s="128" t="s">
        <v>11</v>
      </c>
      <c r="C15" s="76" t="s">
        <v>1137</v>
      </c>
      <c r="D15" s="11" t="s">
        <v>29</v>
      </c>
      <c r="E15" s="31"/>
      <c r="F15" s="31">
        <v>400385.45</v>
      </c>
      <c r="G15" s="30"/>
      <c r="I15" s="69"/>
      <c r="J15" s="69"/>
    </row>
    <row r="16" spans="1:10" s="70" customFormat="1" ht="12.75" customHeight="1" x14ac:dyDescent="0.2">
      <c r="A16" s="89">
        <v>45141</v>
      </c>
      <c r="B16" s="128" t="s">
        <v>11</v>
      </c>
      <c r="C16" s="76" t="s">
        <v>131</v>
      </c>
      <c r="D16" s="11" t="s">
        <v>29</v>
      </c>
      <c r="E16" s="31"/>
      <c r="F16" s="31">
        <v>10454</v>
      </c>
      <c r="G16" s="30"/>
      <c r="I16" s="69"/>
      <c r="J16" s="69"/>
    </row>
    <row r="17" spans="1:10" s="70" customFormat="1" ht="12.75" customHeight="1" x14ac:dyDescent="0.2">
      <c r="A17" s="89">
        <v>45141</v>
      </c>
      <c r="B17" s="128" t="s">
        <v>11</v>
      </c>
      <c r="C17" s="76" t="s">
        <v>1298</v>
      </c>
      <c r="D17" s="11" t="s">
        <v>29</v>
      </c>
      <c r="E17" s="31"/>
      <c r="F17" s="31">
        <v>12744</v>
      </c>
      <c r="G17" s="30"/>
      <c r="I17" s="69"/>
      <c r="J17" s="69"/>
    </row>
    <row r="18" spans="1:10" s="70" customFormat="1" ht="12.75" customHeight="1" x14ac:dyDescent="0.2">
      <c r="A18" s="89">
        <v>45141</v>
      </c>
      <c r="B18" s="128" t="s">
        <v>11</v>
      </c>
      <c r="C18" s="76" t="s">
        <v>883</v>
      </c>
      <c r="D18" s="11" t="s">
        <v>29</v>
      </c>
      <c r="E18" s="31"/>
      <c r="F18" s="31">
        <v>4720</v>
      </c>
      <c r="G18" s="30"/>
      <c r="I18" s="69"/>
      <c r="J18" s="69"/>
    </row>
    <row r="19" spans="1:10" s="70" customFormat="1" ht="12.75" customHeight="1" x14ac:dyDescent="0.2">
      <c r="A19" s="89">
        <v>45141</v>
      </c>
      <c r="B19" s="128" t="s">
        <v>11</v>
      </c>
      <c r="C19" s="76" t="s">
        <v>52</v>
      </c>
      <c r="D19" s="11" t="s">
        <v>29</v>
      </c>
      <c r="E19" s="31"/>
      <c r="F19" s="31">
        <v>139685</v>
      </c>
      <c r="G19" s="30"/>
      <c r="I19" s="69"/>
      <c r="J19" s="69"/>
    </row>
    <row r="20" spans="1:10" s="70" customFormat="1" ht="12.75" customHeight="1" x14ac:dyDescent="0.2">
      <c r="A20" s="89">
        <v>45141</v>
      </c>
      <c r="B20" s="128" t="s">
        <v>11</v>
      </c>
      <c r="C20" s="76" t="s">
        <v>207</v>
      </c>
      <c r="D20" s="11" t="s">
        <v>29</v>
      </c>
      <c r="E20" s="31"/>
      <c r="F20" s="31">
        <v>264160</v>
      </c>
      <c r="G20" s="30"/>
      <c r="I20" s="69"/>
      <c r="J20" s="69"/>
    </row>
    <row r="21" spans="1:10" s="70" customFormat="1" ht="12.75" customHeight="1" x14ac:dyDescent="0.2">
      <c r="A21" s="89">
        <v>45141</v>
      </c>
      <c r="B21" s="128" t="s">
        <v>11</v>
      </c>
      <c r="C21" s="76" t="s">
        <v>186</v>
      </c>
      <c r="D21" s="11" t="s">
        <v>29</v>
      </c>
      <c r="E21" s="31"/>
      <c r="F21" s="31">
        <v>476307</v>
      </c>
      <c r="G21" s="30"/>
      <c r="I21" s="69"/>
      <c r="J21" s="69"/>
    </row>
    <row r="22" spans="1:10" s="70" customFormat="1" ht="12.75" customHeight="1" x14ac:dyDescent="0.2">
      <c r="A22" s="89">
        <v>45141</v>
      </c>
      <c r="B22" s="128" t="s">
        <v>11</v>
      </c>
      <c r="C22" s="76" t="s">
        <v>57</v>
      </c>
      <c r="D22" s="11" t="s">
        <v>29</v>
      </c>
      <c r="E22" s="31"/>
      <c r="F22" s="31">
        <v>10000000</v>
      </c>
      <c r="G22" s="30"/>
      <c r="I22" s="69"/>
      <c r="J22" s="69"/>
    </row>
    <row r="23" spans="1:10" s="70" customFormat="1" ht="12.75" customHeight="1" x14ac:dyDescent="0.2">
      <c r="A23" s="89">
        <v>45141</v>
      </c>
      <c r="B23" s="128" t="s">
        <v>11</v>
      </c>
      <c r="C23" s="76" t="s">
        <v>702</v>
      </c>
      <c r="D23" s="11" t="s">
        <v>29</v>
      </c>
      <c r="E23" s="31"/>
      <c r="F23" s="31">
        <v>100000</v>
      </c>
      <c r="G23" s="30"/>
      <c r="I23" s="69"/>
      <c r="J23" s="69"/>
    </row>
    <row r="24" spans="1:10" s="70" customFormat="1" ht="12.75" customHeight="1" x14ac:dyDescent="0.2">
      <c r="A24" s="89">
        <v>45141</v>
      </c>
      <c r="B24" s="128" t="s">
        <v>11</v>
      </c>
      <c r="C24" s="76" t="s">
        <v>63</v>
      </c>
      <c r="D24" s="11" t="s">
        <v>29</v>
      </c>
      <c r="E24" s="31"/>
      <c r="F24" s="31">
        <v>11000000</v>
      </c>
      <c r="G24" s="30"/>
      <c r="I24" s="69"/>
      <c r="J24" s="69"/>
    </row>
    <row r="25" spans="1:10" s="70" customFormat="1" ht="12.75" customHeight="1" x14ac:dyDescent="0.2">
      <c r="A25" s="89">
        <v>45141</v>
      </c>
      <c r="B25" s="128" t="s">
        <v>11</v>
      </c>
      <c r="C25" s="76" t="s">
        <v>1299</v>
      </c>
      <c r="D25" s="11" t="s">
        <v>29</v>
      </c>
      <c r="E25" s="31"/>
      <c r="F25" s="31">
        <v>274386</v>
      </c>
      <c r="G25" s="30"/>
      <c r="I25" s="69"/>
      <c r="J25" s="69"/>
    </row>
    <row r="26" spans="1:10" s="70" customFormat="1" ht="12.75" customHeight="1" x14ac:dyDescent="0.2">
      <c r="A26" s="89">
        <v>45141</v>
      </c>
      <c r="B26" s="128" t="s">
        <v>11</v>
      </c>
      <c r="C26" s="76" t="s">
        <v>210</v>
      </c>
      <c r="D26" s="11" t="s">
        <v>29</v>
      </c>
      <c r="E26" s="31"/>
      <c r="F26" s="31">
        <v>8791</v>
      </c>
      <c r="G26" s="30"/>
      <c r="I26" s="69"/>
      <c r="J26" s="69"/>
    </row>
    <row r="27" spans="1:10" s="70" customFormat="1" ht="12.75" customHeight="1" x14ac:dyDescent="0.2">
      <c r="A27" s="89">
        <v>45141</v>
      </c>
      <c r="B27" s="128" t="s">
        <v>11</v>
      </c>
      <c r="C27" s="76" t="s">
        <v>592</v>
      </c>
      <c r="D27" s="11" t="s">
        <v>29</v>
      </c>
      <c r="E27" s="31"/>
      <c r="F27" s="31">
        <v>620969</v>
      </c>
      <c r="G27" s="30"/>
      <c r="I27" s="69"/>
      <c r="J27" s="69"/>
    </row>
    <row r="28" spans="1:10" s="70" customFormat="1" ht="12.75" customHeight="1" x14ac:dyDescent="0.2">
      <c r="A28" s="89">
        <v>45141</v>
      </c>
      <c r="B28" s="128" t="s">
        <v>11</v>
      </c>
      <c r="C28" s="76" t="s">
        <v>1046</v>
      </c>
      <c r="D28" s="11" t="s">
        <v>29</v>
      </c>
      <c r="E28" s="31"/>
      <c r="F28" s="31">
        <v>189669</v>
      </c>
      <c r="G28" s="30"/>
      <c r="I28" s="69"/>
      <c r="J28" s="69"/>
    </row>
    <row r="29" spans="1:10" s="70" customFormat="1" ht="12.75" customHeight="1" x14ac:dyDescent="0.2">
      <c r="A29" s="89">
        <v>45141</v>
      </c>
      <c r="B29" s="128" t="s">
        <v>11</v>
      </c>
      <c r="C29" s="76" t="s">
        <v>1047</v>
      </c>
      <c r="D29" s="11" t="s">
        <v>29</v>
      </c>
      <c r="E29" s="31"/>
      <c r="F29" s="31">
        <v>188569</v>
      </c>
      <c r="G29" s="30"/>
      <c r="I29" s="69"/>
      <c r="J29" s="69"/>
    </row>
    <row r="30" spans="1:10" s="70" customFormat="1" ht="12.75" customHeight="1" x14ac:dyDescent="0.2">
      <c r="A30" s="89">
        <v>45141</v>
      </c>
      <c r="B30" s="128" t="s">
        <v>11</v>
      </c>
      <c r="C30" s="76" t="s">
        <v>1300</v>
      </c>
      <c r="D30" s="11" t="s">
        <v>29</v>
      </c>
      <c r="E30" s="31"/>
      <c r="F30" s="31">
        <v>325569</v>
      </c>
      <c r="G30" s="30"/>
      <c r="I30" s="69"/>
      <c r="J30" s="69"/>
    </row>
    <row r="31" spans="1:10" s="70" customFormat="1" ht="12.75" customHeight="1" x14ac:dyDescent="0.2">
      <c r="A31" s="89">
        <v>45141</v>
      </c>
      <c r="B31" s="128" t="s">
        <v>11</v>
      </c>
      <c r="C31" s="76" t="s">
        <v>62</v>
      </c>
      <c r="D31" s="11" t="s">
        <v>29</v>
      </c>
      <c r="E31" s="31"/>
      <c r="F31" s="31">
        <v>200000</v>
      </c>
      <c r="G31" s="30"/>
      <c r="I31" s="69"/>
      <c r="J31" s="69"/>
    </row>
    <row r="32" spans="1:10" s="2" customFormat="1" ht="12.75" customHeight="1" x14ac:dyDescent="0.4">
      <c r="D32" s="11" t="s">
        <v>8</v>
      </c>
      <c r="E32" s="16">
        <f>SUM(E12:E31)</f>
        <v>23208158.640000001</v>
      </c>
      <c r="F32" s="16">
        <f>SUM(F11:F31)</f>
        <v>48555080.269999996</v>
      </c>
      <c r="G32" s="1"/>
      <c r="H32" s="112"/>
      <c r="I32" s="112"/>
    </row>
    <row r="33" spans="1:10" s="2" customFormat="1" ht="12.75" customHeight="1" x14ac:dyDescent="0.4">
      <c r="A33" s="17"/>
      <c r="B33" s="18"/>
      <c r="C33" s="96" t="s">
        <v>9</v>
      </c>
      <c r="D33" s="20"/>
      <c r="E33" s="21">
        <f>+F32-E32</f>
        <v>25346921.629999995</v>
      </c>
      <c r="G33" s="23"/>
      <c r="H33" s="112"/>
      <c r="I33" s="112"/>
      <c r="J33" s="13"/>
    </row>
    <row r="34" spans="1:10" s="2" customFormat="1" ht="12.75" customHeight="1" x14ac:dyDescent="0.4">
      <c r="A34" s="24"/>
      <c r="B34" s="1"/>
      <c r="C34" s="14"/>
      <c r="D34" s="25"/>
      <c r="G34" s="23"/>
      <c r="H34" s="112"/>
      <c r="I34" s="112"/>
      <c r="J34" s="13"/>
    </row>
    <row r="35" spans="1:10" s="2" customFormat="1" ht="21.75" customHeight="1" x14ac:dyDescent="0.4">
      <c r="A35" s="214" t="s">
        <v>10</v>
      </c>
      <c r="B35" s="214"/>
      <c r="C35" s="214"/>
      <c r="D35" s="214"/>
      <c r="E35" s="214"/>
      <c r="F35" s="214"/>
      <c r="G35" s="13"/>
      <c r="H35" s="112"/>
      <c r="I35" s="112"/>
      <c r="J35" s="13"/>
    </row>
    <row r="36" spans="1:10" s="2" customFormat="1" ht="12.75" customHeight="1" x14ac:dyDescent="0.4">
      <c r="A36" s="26" t="s">
        <v>1</v>
      </c>
      <c r="B36" s="27" t="s">
        <v>2</v>
      </c>
      <c r="C36" s="5"/>
      <c r="D36" s="6" t="s">
        <v>3</v>
      </c>
      <c r="E36" s="7" t="s">
        <v>4</v>
      </c>
      <c r="F36" s="7" t="s">
        <v>5</v>
      </c>
      <c r="G36" s="23"/>
      <c r="H36" s="112"/>
      <c r="I36" s="112"/>
      <c r="J36" s="13"/>
    </row>
    <row r="37" spans="1:10" s="2" customFormat="1" ht="12.75" customHeight="1" x14ac:dyDescent="0.2">
      <c r="A37" s="89">
        <v>45141</v>
      </c>
      <c r="B37" s="128" t="s">
        <v>11</v>
      </c>
      <c r="C37" s="29" t="s">
        <v>7</v>
      </c>
      <c r="D37" s="25"/>
      <c r="E37" s="31"/>
      <c r="F37" s="2">
        <v>269654431.02999991</v>
      </c>
      <c r="G37" s="30"/>
      <c r="I37" s="13"/>
      <c r="J37" s="13"/>
    </row>
    <row r="38" spans="1:10" s="70" customFormat="1" ht="12.75" customHeight="1" x14ac:dyDescent="0.2">
      <c r="A38" s="89">
        <v>45141</v>
      </c>
      <c r="B38" s="128" t="s">
        <v>6</v>
      </c>
      <c r="C38" s="10" t="s">
        <v>465</v>
      </c>
      <c r="D38" s="11" t="s">
        <v>13</v>
      </c>
      <c r="E38" s="86">
        <v>800000</v>
      </c>
      <c r="G38" s="30"/>
      <c r="I38" s="69"/>
      <c r="J38" s="69"/>
    </row>
    <row r="39" spans="1:10" s="70" customFormat="1" ht="12.75" customHeight="1" x14ac:dyDescent="0.2">
      <c r="A39" s="89">
        <v>45141</v>
      </c>
      <c r="B39" s="128" t="s">
        <v>6</v>
      </c>
      <c r="C39" s="10" t="s">
        <v>1301</v>
      </c>
      <c r="D39" s="11" t="s">
        <v>13</v>
      </c>
      <c r="E39" s="86">
        <v>4478116.2</v>
      </c>
      <c r="G39" s="30"/>
      <c r="I39" s="69"/>
      <c r="J39" s="69"/>
    </row>
    <row r="40" spans="1:10" s="70" customFormat="1" ht="12.75" customHeight="1" x14ac:dyDescent="0.2">
      <c r="A40" s="89">
        <v>45141</v>
      </c>
      <c r="B40" s="128" t="s">
        <v>6</v>
      </c>
      <c r="C40" s="10" t="s">
        <v>947</v>
      </c>
      <c r="D40" s="11" t="s">
        <v>13</v>
      </c>
      <c r="E40" s="86">
        <v>4199757</v>
      </c>
      <c r="G40" s="30"/>
      <c r="I40" s="69"/>
      <c r="J40" s="69"/>
    </row>
    <row r="41" spans="1:10" s="70" customFormat="1" ht="12.75" customHeight="1" x14ac:dyDescent="0.2">
      <c r="A41" s="89">
        <v>45141</v>
      </c>
      <c r="B41" s="128" t="s">
        <v>6</v>
      </c>
      <c r="C41" s="10" t="s">
        <v>19</v>
      </c>
      <c r="D41" s="11" t="s">
        <v>13</v>
      </c>
      <c r="E41" s="86">
        <v>19307</v>
      </c>
      <c r="G41" s="30"/>
      <c r="I41" s="69"/>
      <c r="J41" s="69"/>
    </row>
    <row r="42" spans="1:10" s="70" customFormat="1" ht="12.75" customHeight="1" x14ac:dyDescent="0.2">
      <c r="A42" s="89">
        <v>45141</v>
      </c>
      <c r="B42" s="128" t="s">
        <v>6</v>
      </c>
      <c r="C42" s="10" t="s">
        <v>564</v>
      </c>
      <c r="D42" s="11" t="s">
        <v>13</v>
      </c>
      <c r="E42" s="86">
        <v>1314116.8600000001</v>
      </c>
      <c r="G42" s="30"/>
      <c r="I42" s="69"/>
      <c r="J42" s="69"/>
    </row>
    <row r="43" spans="1:10" s="70" customFormat="1" ht="12.75" customHeight="1" x14ac:dyDescent="0.2">
      <c r="A43" s="89">
        <v>45141</v>
      </c>
      <c r="B43" s="128" t="s">
        <v>6</v>
      </c>
      <c r="C43" s="10" t="s">
        <v>450</v>
      </c>
      <c r="D43" s="11" t="s">
        <v>13</v>
      </c>
      <c r="E43" s="86">
        <v>14331</v>
      </c>
      <c r="G43" s="30"/>
      <c r="I43" s="69"/>
      <c r="J43" s="69"/>
    </row>
    <row r="44" spans="1:10" s="70" customFormat="1" ht="12.75" customHeight="1" x14ac:dyDescent="0.2">
      <c r="A44" s="89">
        <v>45141</v>
      </c>
      <c r="B44" s="128" t="s">
        <v>6</v>
      </c>
      <c r="C44" s="10" t="s">
        <v>103</v>
      </c>
      <c r="D44" s="11" t="s">
        <v>13</v>
      </c>
      <c r="E44" s="86">
        <v>498035</v>
      </c>
      <c r="G44" s="30"/>
      <c r="I44" s="69"/>
      <c r="J44" s="69"/>
    </row>
    <row r="45" spans="1:10" s="70" customFormat="1" ht="12.75" customHeight="1" x14ac:dyDescent="0.2">
      <c r="A45" s="89">
        <v>45141</v>
      </c>
      <c r="B45" s="128" t="s">
        <v>6</v>
      </c>
      <c r="C45" s="10" t="s">
        <v>177</v>
      </c>
      <c r="D45" s="11" t="s">
        <v>13</v>
      </c>
      <c r="E45" s="86">
        <v>1459007</v>
      </c>
      <c r="G45" s="30"/>
      <c r="I45" s="69"/>
      <c r="J45" s="69"/>
    </row>
    <row r="46" spans="1:10" s="70" customFormat="1" ht="12.75" customHeight="1" x14ac:dyDescent="0.2">
      <c r="A46" s="89">
        <v>45141</v>
      </c>
      <c r="B46" s="128" t="s">
        <v>6</v>
      </c>
      <c r="C46" s="10" t="s">
        <v>14</v>
      </c>
      <c r="D46" s="11" t="s">
        <v>13</v>
      </c>
      <c r="E46" s="86">
        <v>1156425</v>
      </c>
      <c r="G46" s="30"/>
      <c r="I46" s="69"/>
      <c r="J46" s="69"/>
    </row>
    <row r="47" spans="1:10" s="70" customFormat="1" ht="12.75" customHeight="1" x14ac:dyDescent="0.2">
      <c r="A47" s="89">
        <v>45141</v>
      </c>
      <c r="B47" s="128" t="s">
        <v>6</v>
      </c>
      <c r="C47" s="10" t="s">
        <v>121</v>
      </c>
      <c r="D47" s="11" t="s">
        <v>13</v>
      </c>
      <c r="E47" s="86">
        <v>500000</v>
      </c>
      <c r="G47" s="30"/>
      <c r="I47" s="69"/>
      <c r="J47" s="69"/>
    </row>
    <row r="48" spans="1:10" s="70" customFormat="1" ht="12.75" customHeight="1" x14ac:dyDescent="0.2">
      <c r="A48" s="89">
        <v>45141</v>
      </c>
      <c r="B48" s="128" t="s">
        <v>6</v>
      </c>
      <c r="C48" s="10" t="s">
        <v>403</v>
      </c>
      <c r="D48" s="11" t="s">
        <v>13</v>
      </c>
      <c r="E48" s="86">
        <v>113684</v>
      </c>
      <c r="G48" s="30"/>
      <c r="I48" s="69"/>
      <c r="J48" s="69"/>
    </row>
    <row r="49" spans="1:10" s="70" customFormat="1" ht="12.75" customHeight="1" x14ac:dyDescent="0.2">
      <c r="A49" s="89">
        <v>45141</v>
      </c>
      <c r="B49" s="128" t="s">
        <v>6</v>
      </c>
      <c r="C49" s="10" t="s">
        <v>434</v>
      </c>
      <c r="D49" s="11" t="s">
        <v>13</v>
      </c>
      <c r="E49" s="86">
        <v>407310</v>
      </c>
      <c r="G49" s="30"/>
      <c r="I49" s="69"/>
      <c r="J49" s="69"/>
    </row>
    <row r="50" spans="1:10" s="70" customFormat="1" ht="12.75" customHeight="1" x14ac:dyDescent="0.2">
      <c r="A50" s="89">
        <v>45141</v>
      </c>
      <c r="B50" s="128" t="s">
        <v>6</v>
      </c>
      <c r="C50" s="10" t="s">
        <v>237</v>
      </c>
      <c r="D50" s="11" t="s">
        <v>13</v>
      </c>
      <c r="E50" s="86">
        <v>921765</v>
      </c>
      <c r="G50" s="30"/>
      <c r="I50" s="69"/>
      <c r="J50" s="69"/>
    </row>
    <row r="51" spans="1:10" s="70" customFormat="1" ht="12.75" customHeight="1" x14ac:dyDescent="0.2">
      <c r="A51" s="89">
        <v>45141</v>
      </c>
      <c r="B51" s="128" t="s">
        <v>6</v>
      </c>
      <c r="C51" s="10" t="s">
        <v>1212</v>
      </c>
      <c r="D51" s="11" t="s">
        <v>13</v>
      </c>
      <c r="E51" s="86">
        <v>4275468</v>
      </c>
      <c r="G51" s="30"/>
      <c r="I51" s="69"/>
      <c r="J51" s="69"/>
    </row>
    <row r="52" spans="1:10" s="70" customFormat="1" ht="12.75" customHeight="1" x14ac:dyDescent="0.2">
      <c r="A52" s="89">
        <v>45141</v>
      </c>
      <c r="B52" s="128" t="s">
        <v>6</v>
      </c>
      <c r="C52" s="10" t="s">
        <v>283</v>
      </c>
      <c r="D52" s="11" t="s">
        <v>13</v>
      </c>
      <c r="E52" s="86">
        <v>2760531.5</v>
      </c>
      <c r="G52" s="30"/>
      <c r="I52" s="69"/>
      <c r="J52" s="69"/>
    </row>
    <row r="53" spans="1:10" s="70" customFormat="1" ht="12.75" customHeight="1" x14ac:dyDescent="0.2">
      <c r="A53" s="89">
        <v>45141</v>
      </c>
      <c r="B53" s="128" t="s">
        <v>6</v>
      </c>
      <c r="C53" s="10" t="s">
        <v>843</v>
      </c>
      <c r="D53" s="11" t="s">
        <v>13</v>
      </c>
      <c r="E53" s="86">
        <v>63000</v>
      </c>
      <c r="G53" s="30"/>
      <c r="I53" s="69"/>
      <c r="J53" s="69"/>
    </row>
    <row r="54" spans="1:10" s="70" customFormat="1" ht="12.75" customHeight="1" x14ac:dyDescent="0.2">
      <c r="A54" s="89">
        <v>45141</v>
      </c>
      <c r="B54" s="128" t="s">
        <v>11</v>
      </c>
      <c r="C54" s="10" t="s">
        <v>64</v>
      </c>
      <c r="D54" s="11" t="s">
        <v>29</v>
      </c>
      <c r="E54" s="86"/>
      <c r="F54" s="70">
        <f>36373.15+3540</f>
        <v>39913.15</v>
      </c>
      <c r="G54" s="30"/>
      <c r="I54" s="69"/>
      <c r="J54" s="69"/>
    </row>
    <row r="55" spans="1:10" s="70" customFormat="1" ht="12.75" customHeight="1" x14ac:dyDescent="0.2">
      <c r="A55" s="89">
        <v>45141</v>
      </c>
      <c r="B55" s="128" t="s">
        <v>11</v>
      </c>
      <c r="C55" s="10" t="s">
        <v>1212</v>
      </c>
      <c r="D55" s="11" t="s">
        <v>29</v>
      </c>
      <c r="E55" s="86"/>
      <c r="F55" s="70">
        <v>4429279</v>
      </c>
      <c r="G55" s="30"/>
      <c r="I55" s="69"/>
      <c r="J55" s="69"/>
    </row>
    <row r="56" spans="1:10" s="70" customFormat="1" ht="12.75" customHeight="1" x14ac:dyDescent="0.2">
      <c r="A56" s="89">
        <v>45141</v>
      </c>
      <c r="B56" s="128" t="s">
        <v>11</v>
      </c>
      <c r="C56" s="10" t="s">
        <v>111</v>
      </c>
      <c r="D56" s="11" t="s">
        <v>29</v>
      </c>
      <c r="E56" s="86"/>
      <c r="F56" s="70">
        <v>4800981.5</v>
      </c>
      <c r="G56" s="30"/>
      <c r="I56" s="69"/>
      <c r="J56" s="69"/>
    </row>
    <row r="57" spans="1:10" s="70" customFormat="1" ht="12.75" customHeight="1" x14ac:dyDescent="0.2">
      <c r="A57" s="89">
        <v>45141</v>
      </c>
      <c r="B57" s="128" t="s">
        <v>11</v>
      </c>
      <c r="C57" s="10" t="s">
        <v>140</v>
      </c>
      <c r="D57" s="11" t="s">
        <v>29</v>
      </c>
      <c r="E57" s="86"/>
      <c r="F57" s="70">
        <v>383051</v>
      </c>
      <c r="G57" s="30"/>
      <c r="I57" s="69"/>
      <c r="J57" s="69"/>
    </row>
    <row r="58" spans="1:10" s="70" customFormat="1" ht="12.75" customHeight="1" x14ac:dyDescent="0.2">
      <c r="A58" s="89">
        <v>45141</v>
      </c>
      <c r="B58" s="128" t="s">
        <v>11</v>
      </c>
      <c r="C58" s="10" t="s">
        <v>1094</v>
      </c>
      <c r="D58" s="11" t="s">
        <v>29</v>
      </c>
      <c r="E58" s="86"/>
      <c r="F58" s="70">
        <v>234</v>
      </c>
      <c r="G58" s="30"/>
      <c r="I58" s="69"/>
      <c r="J58" s="69"/>
    </row>
    <row r="59" spans="1:10" s="70" customFormat="1" ht="12.75" customHeight="1" x14ac:dyDescent="0.2">
      <c r="A59" s="89">
        <v>45141</v>
      </c>
      <c r="B59" s="128" t="s">
        <v>11</v>
      </c>
      <c r="C59" s="10" t="s">
        <v>301</v>
      </c>
      <c r="D59" s="11" t="s">
        <v>29</v>
      </c>
      <c r="E59" s="86"/>
      <c r="F59" s="70">
        <v>1381152</v>
      </c>
      <c r="G59" s="30"/>
      <c r="I59" s="69"/>
      <c r="J59" s="69"/>
    </row>
    <row r="60" spans="1:10" s="70" customFormat="1" ht="12.75" customHeight="1" x14ac:dyDescent="0.2">
      <c r="A60" s="89">
        <v>45141</v>
      </c>
      <c r="B60" s="128" t="s">
        <v>11</v>
      </c>
      <c r="C60" s="10" t="s">
        <v>696</v>
      </c>
      <c r="D60" s="11" t="s">
        <v>29</v>
      </c>
      <c r="E60" s="86"/>
      <c r="F60" s="70">
        <v>1794986</v>
      </c>
      <c r="G60" s="30"/>
      <c r="I60" s="69"/>
      <c r="J60" s="69"/>
    </row>
    <row r="61" spans="1:10" s="70" customFormat="1" ht="12.75" customHeight="1" x14ac:dyDescent="0.2">
      <c r="A61" s="89">
        <v>45141</v>
      </c>
      <c r="B61" s="128" t="s">
        <v>11</v>
      </c>
      <c r="C61" s="10" t="s">
        <v>937</v>
      </c>
      <c r="D61" s="11" t="s">
        <v>29</v>
      </c>
      <c r="E61" s="86"/>
      <c r="F61" s="70">
        <v>4953</v>
      </c>
      <c r="G61" s="30"/>
      <c r="I61" s="69"/>
      <c r="J61" s="69"/>
    </row>
    <row r="62" spans="1:10" s="70" customFormat="1" ht="12.75" customHeight="1" x14ac:dyDescent="0.2">
      <c r="A62" s="89">
        <v>45141</v>
      </c>
      <c r="B62" s="128" t="s">
        <v>11</v>
      </c>
      <c r="C62" s="10" t="s">
        <v>171</v>
      </c>
      <c r="D62" s="11" t="s">
        <v>29</v>
      </c>
      <c r="E62" s="86"/>
      <c r="F62" s="70">
        <v>5988</v>
      </c>
      <c r="G62" s="30"/>
      <c r="I62" s="69"/>
      <c r="J62" s="69"/>
    </row>
    <row r="63" spans="1:10" s="70" customFormat="1" ht="12.75" customHeight="1" x14ac:dyDescent="0.2">
      <c r="A63" s="89">
        <v>45141</v>
      </c>
      <c r="B63" s="128" t="s">
        <v>11</v>
      </c>
      <c r="C63" s="10" t="s">
        <v>525</v>
      </c>
      <c r="D63" s="11" t="s">
        <v>29</v>
      </c>
      <c r="E63" s="86"/>
      <c r="F63" s="70">
        <v>1500000</v>
      </c>
      <c r="G63" s="30"/>
      <c r="I63" s="69"/>
      <c r="J63" s="69"/>
    </row>
    <row r="64" spans="1:10" s="70" customFormat="1" ht="12.75" customHeight="1" x14ac:dyDescent="0.2">
      <c r="A64" s="89">
        <v>45141</v>
      </c>
      <c r="B64" s="128" t="s">
        <v>11</v>
      </c>
      <c r="C64" s="10" t="s">
        <v>1302</v>
      </c>
      <c r="D64" s="11" t="s">
        <v>29</v>
      </c>
      <c r="E64" s="86"/>
      <c r="F64" s="70">
        <v>1280300</v>
      </c>
      <c r="G64" s="30"/>
      <c r="I64" s="69"/>
      <c r="J64" s="69"/>
    </row>
    <row r="65" spans="1:10" s="70" customFormat="1" ht="12.75" customHeight="1" x14ac:dyDescent="0.2">
      <c r="A65" s="89">
        <v>45141</v>
      </c>
      <c r="B65" s="128" t="s">
        <v>11</v>
      </c>
      <c r="C65" s="10" t="s">
        <v>184</v>
      </c>
      <c r="D65" s="11" t="s">
        <v>29</v>
      </c>
      <c r="E65" s="86"/>
      <c r="F65" s="70">
        <v>49500</v>
      </c>
      <c r="G65" s="30"/>
      <c r="I65" s="69"/>
      <c r="J65" s="69"/>
    </row>
    <row r="66" spans="1:10" s="70" customFormat="1" ht="12.75" customHeight="1" x14ac:dyDescent="0.2">
      <c r="A66" s="89">
        <v>45141</v>
      </c>
      <c r="B66" s="128" t="s">
        <v>11</v>
      </c>
      <c r="C66" s="10" t="s">
        <v>185</v>
      </c>
      <c r="D66" s="11" t="s">
        <v>29</v>
      </c>
      <c r="E66" s="86"/>
      <c r="F66" s="70">
        <v>890500</v>
      </c>
      <c r="G66" s="30"/>
      <c r="I66" s="69"/>
      <c r="J66" s="69"/>
    </row>
    <row r="67" spans="1:10" s="70" customFormat="1" ht="12.75" customHeight="1" x14ac:dyDescent="0.2">
      <c r="A67" s="89">
        <v>45141</v>
      </c>
      <c r="B67" s="128" t="s">
        <v>11</v>
      </c>
      <c r="C67" s="10" t="s">
        <v>187</v>
      </c>
      <c r="D67" s="11" t="s">
        <v>29</v>
      </c>
      <c r="E67" s="86"/>
      <c r="F67" s="70">
        <v>1209492</v>
      </c>
      <c r="G67" s="30"/>
      <c r="I67" s="69"/>
      <c r="J67" s="69"/>
    </row>
    <row r="68" spans="1:10" s="70" customFormat="1" ht="12.75" customHeight="1" x14ac:dyDescent="0.2">
      <c r="A68" s="89">
        <v>45141</v>
      </c>
      <c r="B68" s="128" t="s">
        <v>11</v>
      </c>
      <c r="C68" s="10" t="s">
        <v>188</v>
      </c>
      <c r="D68" s="11" t="s">
        <v>29</v>
      </c>
      <c r="E68" s="86"/>
      <c r="F68" s="70">
        <v>172290</v>
      </c>
      <c r="G68" s="30"/>
      <c r="I68" s="69"/>
      <c r="J68" s="69"/>
    </row>
    <row r="69" spans="1:10" s="70" customFormat="1" ht="12.75" customHeight="1" x14ac:dyDescent="0.2">
      <c r="A69" s="89">
        <v>45141</v>
      </c>
      <c r="B69" s="128" t="s">
        <v>11</v>
      </c>
      <c r="C69" s="10" t="s">
        <v>630</v>
      </c>
      <c r="D69" s="11" t="s">
        <v>29</v>
      </c>
      <c r="E69" s="86"/>
      <c r="F69" s="70">
        <v>22500</v>
      </c>
      <c r="G69" s="30"/>
      <c r="I69" s="69"/>
      <c r="J69" s="69"/>
    </row>
    <row r="70" spans="1:10" s="70" customFormat="1" ht="12.75" customHeight="1" x14ac:dyDescent="0.2">
      <c r="A70" s="89">
        <v>45141</v>
      </c>
      <c r="B70" s="128" t="s">
        <v>11</v>
      </c>
      <c r="C70" s="10" t="s">
        <v>189</v>
      </c>
      <c r="D70" s="11" t="s">
        <v>29</v>
      </c>
      <c r="E70" s="86"/>
      <c r="F70" s="70">
        <v>498478</v>
      </c>
      <c r="G70" s="30"/>
      <c r="I70" s="69"/>
      <c r="J70" s="69"/>
    </row>
    <row r="71" spans="1:10" s="70" customFormat="1" ht="12.75" customHeight="1" x14ac:dyDescent="0.2">
      <c r="A71" s="89">
        <v>45141</v>
      </c>
      <c r="B71" s="128" t="s">
        <v>11</v>
      </c>
      <c r="C71" s="10" t="s">
        <v>190</v>
      </c>
      <c r="D71" s="11" t="s">
        <v>29</v>
      </c>
      <c r="E71" s="86"/>
      <c r="F71" s="70">
        <v>1515356</v>
      </c>
      <c r="G71" s="30"/>
      <c r="I71" s="69"/>
      <c r="J71" s="69"/>
    </row>
    <row r="72" spans="1:10" s="70" customFormat="1" ht="12.75" customHeight="1" x14ac:dyDescent="0.2">
      <c r="A72" s="89">
        <v>45141</v>
      </c>
      <c r="B72" s="128" t="s">
        <v>11</v>
      </c>
      <c r="C72" s="10" t="s">
        <v>191</v>
      </c>
      <c r="D72" s="11" t="s">
        <v>29</v>
      </c>
      <c r="E72" s="86"/>
      <c r="F72" s="70">
        <v>153359</v>
      </c>
      <c r="G72" s="30"/>
      <c r="I72" s="69"/>
      <c r="J72" s="69"/>
    </row>
    <row r="73" spans="1:10" s="70" customFormat="1" ht="12.75" customHeight="1" x14ac:dyDescent="0.2">
      <c r="A73" s="89">
        <v>45141</v>
      </c>
      <c r="B73" s="128" t="s">
        <v>11</v>
      </c>
      <c r="C73" s="10" t="s">
        <v>588</v>
      </c>
      <c r="D73" s="11" t="s">
        <v>29</v>
      </c>
      <c r="E73" s="86"/>
      <c r="F73" s="70">
        <v>230145</v>
      </c>
      <c r="G73" s="30"/>
      <c r="I73" s="69"/>
      <c r="J73" s="69"/>
    </row>
    <row r="74" spans="1:10" s="70" customFormat="1" ht="12.75" customHeight="1" x14ac:dyDescent="0.2">
      <c r="A74" s="89">
        <v>45141</v>
      </c>
      <c r="B74" s="128" t="s">
        <v>11</v>
      </c>
      <c r="C74" s="10" t="s">
        <v>206</v>
      </c>
      <c r="D74" s="11" t="s">
        <v>29</v>
      </c>
      <c r="E74" s="86"/>
      <c r="F74" s="70">
        <v>1508403</v>
      </c>
      <c r="G74" s="30"/>
      <c r="I74" s="69"/>
      <c r="J74" s="69"/>
    </row>
    <row r="75" spans="1:10" s="70" customFormat="1" ht="12.75" customHeight="1" x14ac:dyDescent="0.2">
      <c r="A75" s="89">
        <v>45141</v>
      </c>
      <c r="B75" s="128" t="s">
        <v>11</v>
      </c>
      <c r="C75" s="10" t="s">
        <v>192</v>
      </c>
      <c r="D75" s="11" t="s">
        <v>29</v>
      </c>
      <c r="E75" s="86"/>
      <c r="F75" s="70">
        <v>644815</v>
      </c>
      <c r="G75" s="30"/>
      <c r="I75" s="69"/>
      <c r="J75" s="69"/>
    </row>
    <row r="76" spans="1:10" s="70" customFormat="1" ht="12.75" customHeight="1" x14ac:dyDescent="0.2">
      <c r="A76" s="89">
        <v>45141</v>
      </c>
      <c r="B76" s="128" t="s">
        <v>11</v>
      </c>
      <c r="C76" s="10" t="s">
        <v>804</v>
      </c>
      <c r="D76" s="11" t="s">
        <v>29</v>
      </c>
      <c r="E76" s="86"/>
      <c r="F76" s="70">
        <v>416163</v>
      </c>
      <c r="G76" s="30"/>
      <c r="I76" s="69"/>
      <c r="J76" s="69"/>
    </row>
    <row r="77" spans="1:10" s="70" customFormat="1" ht="12.75" customHeight="1" x14ac:dyDescent="0.2">
      <c r="A77" s="89">
        <v>45141</v>
      </c>
      <c r="B77" s="128" t="s">
        <v>11</v>
      </c>
      <c r="C77" s="10" t="s">
        <v>664</v>
      </c>
      <c r="D77" s="11" t="s">
        <v>29</v>
      </c>
      <c r="E77" s="86"/>
      <c r="F77" s="70">
        <v>26700</v>
      </c>
      <c r="G77" s="30"/>
      <c r="I77" s="69"/>
      <c r="J77" s="69"/>
    </row>
    <row r="78" spans="1:10" s="70" customFormat="1" ht="12.75" customHeight="1" x14ac:dyDescent="0.2">
      <c r="A78" s="89">
        <v>45141</v>
      </c>
      <c r="B78" s="128" t="s">
        <v>11</v>
      </c>
      <c r="C78" s="10" t="s">
        <v>387</v>
      </c>
      <c r="D78" s="11" t="s">
        <v>29</v>
      </c>
      <c r="E78" s="86"/>
      <c r="F78" s="70">
        <v>34987</v>
      </c>
      <c r="G78" s="30"/>
      <c r="I78" s="69"/>
      <c r="J78" s="69"/>
    </row>
    <row r="79" spans="1:10" s="70" customFormat="1" ht="12.75" customHeight="1" x14ac:dyDescent="0.2">
      <c r="A79" s="89">
        <v>45141</v>
      </c>
      <c r="B79" s="128" t="s">
        <v>11</v>
      </c>
      <c r="C79" s="10" t="s">
        <v>181</v>
      </c>
      <c r="D79" s="11" t="s">
        <v>29</v>
      </c>
      <c r="E79" s="86"/>
      <c r="F79" s="70">
        <v>48600</v>
      </c>
      <c r="G79" s="30"/>
      <c r="I79" s="69"/>
      <c r="J79" s="69"/>
    </row>
    <row r="80" spans="1:10" s="70" customFormat="1" ht="12.75" customHeight="1" x14ac:dyDescent="0.2">
      <c r="A80" s="89">
        <v>45141</v>
      </c>
      <c r="B80" s="128" t="s">
        <v>11</v>
      </c>
      <c r="C80" s="10" t="s">
        <v>789</v>
      </c>
      <c r="D80" s="11" t="s">
        <v>29</v>
      </c>
      <c r="E80" s="86"/>
      <c r="F80" s="70">
        <v>634549</v>
      </c>
      <c r="G80" s="30"/>
      <c r="I80" s="69"/>
      <c r="J80" s="69"/>
    </row>
    <row r="81" spans="1:14" s="70" customFormat="1" ht="12.75" customHeight="1" x14ac:dyDescent="0.2">
      <c r="A81" s="89">
        <v>45141</v>
      </c>
      <c r="B81" s="128" t="s">
        <v>11</v>
      </c>
      <c r="C81" s="10" t="s">
        <v>33</v>
      </c>
      <c r="D81" s="11" t="s">
        <v>29</v>
      </c>
      <c r="E81" s="86"/>
      <c r="F81" s="70">
        <v>458749</v>
      </c>
      <c r="G81" s="30"/>
      <c r="I81" s="69"/>
      <c r="J81" s="69"/>
    </row>
    <row r="82" spans="1:14" s="70" customFormat="1" ht="12.75" customHeight="1" x14ac:dyDescent="0.2">
      <c r="A82" s="89">
        <v>45141</v>
      </c>
      <c r="B82" s="128" t="s">
        <v>11</v>
      </c>
      <c r="C82" s="10" t="s">
        <v>333</v>
      </c>
      <c r="D82" s="11" t="s">
        <v>29</v>
      </c>
      <c r="E82" s="86"/>
      <c r="F82" s="70">
        <v>1946625</v>
      </c>
      <c r="G82" s="30"/>
      <c r="I82" s="69"/>
      <c r="J82" s="69"/>
    </row>
    <row r="83" spans="1:14" s="70" customFormat="1" ht="12.75" customHeight="1" x14ac:dyDescent="0.2">
      <c r="A83" s="89">
        <v>45141</v>
      </c>
      <c r="B83" s="128" t="s">
        <v>11</v>
      </c>
      <c r="C83" s="10" t="s">
        <v>591</v>
      </c>
      <c r="D83" s="11" t="s">
        <v>29</v>
      </c>
      <c r="E83" s="86"/>
      <c r="F83" s="70">
        <v>493069</v>
      </c>
      <c r="G83" s="30"/>
      <c r="I83" s="69"/>
      <c r="J83" s="69"/>
    </row>
    <row r="84" spans="1:14" s="70" customFormat="1" ht="12.75" customHeight="1" x14ac:dyDescent="0.2">
      <c r="A84" s="89">
        <v>45141</v>
      </c>
      <c r="B84" s="128" t="s">
        <v>11</v>
      </c>
      <c r="C84" s="10" t="s">
        <v>1303</v>
      </c>
      <c r="D84" s="11" t="s">
        <v>29</v>
      </c>
      <c r="E84" s="86"/>
      <c r="F84" s="70">
        <v>338169</v>
      </c>
      <c r="G84" s="30"/>
      <c r="I84" s="69"/>
      <c r="J84" s="69"/>
    </row>
    <row r="85" spans="1:14" s="70" customFormat="1" ht="12.75" customHeight="1" x14ac:dyDescent="0.2">
      <c r="A85" s="89">
        <v>45141</v>
      </c>
      <c r="B85" s="128" t="s">
        <v>11</v>
      </c>
      <c r="C85" s="10" t="s">
        <v>1304</v>
      </c>
      <c r="D85" s="11" t="s">
        <v>29</v>
      </c>
      <c r="E85" s="86"/>
      <c r="F85" s="70">
        <v>603669</v>
      </c>
      <c r="G85" s="30"/>
      <c r="I85" s="69"/>
      <c r="J85" s="69"/>
    </row>
    <row r="86" spans="1:14" s="70" customFormat="1" ht="12.75" customHeight="1" x14ac:dyDescent="0.2">
      <c r="A86" s="89">
        <v>45141</v>
      </c>
      <c r="B86" s="128" t="s">
        <v>11</v>
      </c>
      <c r="C86" s="10" t="s">
        <v>1305</v>
      </c>
      <c r="D86" s="11" t="s">
        <v>29</v>
      </c>
      <c r="E86" s="86"/>
      <c r="F86" s="70">
        <v>307239</v>
      </c>
      <c r="G86" s="30"/>
      <c r="I86" s="69"/>
      <c r="J86" s="69"/>
    </row>
    <row r="87" spans="1:14" s="70" customFormat="1" ht="12.75" customHeight="1" x14ac:dyDescent="0.2">
      <c r="A87" s="89">
        <v>45141</v>
      </c>
      <c r="B87" s="128" t="s">
        <v>11</v>
      </c>
      <c r="C87" s="10" t="s">
        <v>156</v>
      </c>
      <c r="D87" s="11" t="s">
        <v>29</v>
      </c>
      <c r="E87" s="86"/>
      <c r="F87" s="70">
        <v>8</v>
      </c>
      <c r="G87" s="30"/>
      <c r="I87" s="69"/>
      <c r="J87" s="69"/>
    </row>
    <row r="88" spans="1:14" x14ac:dyDescent="0.2">
      <c r="A88" s="89">
        <v>45141</v>
      </c>
      <c r="B88" s="128" t="s">
        <v>11</v>
      </c>
      <c r="C88" s="14" t="s">
        <v>15</v>
      </c>
      <c r="D88" s="11" t="s">
        <v>29</v>
      </c>
      <c r="F88" s="2">
        <v>27109.32</v>
      </c>
    </row>
    <row r="89" spans="1:14" s="2" customFormat="1" ht="12.75" customHeight="1" x14ac:dyDescent="0.2">
      <c r="A89" s="32"/>
      <c r="B89" s="33"/>
      <c r="C89" s="14"/>
      <c r="D89" s="34"/>
      <c r="E89" s="16">
        <f>SUM(E37:E87)</f>
        <v>22980853.559999999</v>
      </c>
      <c r="F89" s="16">
        <f>SUM(F37:F88)</f>
        <v>297505742.99999988</v>
      </c>
      <c r="G89" s="30"/>
      <c r="H89" s="1"/>
      <c r="I89" s="38">
        <v>274524889.44</v>
      </c>
      <c r="J89" s="2" t="s">
        <v>396</v>
      </c>
      <c r="K89" s="92">
        <f>E90-I89</f>
        <v>0</v>
      </c>
      <c r="L89" s="41"/>
      <c r="M89" s="42"/>
    </row>
    <row r="90" spans="1:14" s="2" customFormat="1" ht="12.75" customHeight="1" x14ac:dyDescent="0.2">
      <c r="A90" s="36"/>
      <c r="B90" s="28" t="s">
        <v>11</v>
      </c>
      <c r="C90" s="19" t="s">
        <v>65</v>
      </c>
      <c r="D90" s="37"/>
      <c r="E90" s="38">
        <f>F89-E89</f>
        <v>274524889.43999988</v>
      </c>
      <c r="F90" s="22"/>
      <c r="G90" s="1"/>
      <c r="H90" s="1"/>
      <c r="J90" s="1"/>
      <c r="K90" s="1"/>
      <c r="L90" s="1"/>
      <c r="M90" s="1"/>
    </row>
    <row r="91" spans="1:14" s="2" customFormat="1" ht="12.75" customHeight="1" x14ac:dyDescent="0.2">
      <c r="A91" s="36"/>
      <c r="B91" s="28" t="s">
        <v>66</v>
      </c>
      <c r="C91" s="43" t="s">
        <v>67</v>
      </c>
      <c r="D91" s="43"/>
      <c r="E91" s="12">
        <f>59416310-35800000</f>
        <v>23616310</v>
      </c>
      <c r="F91" s="22"/>
      <c r="G91" s="1"/>
      <c r="H91" s="40"/>
      <c r="I91" s="45">
        <v>772.87</v>
      </c>
      <c r="J91" s="46"/>
      <c r="K91" s="46"/>
      <c r="L91" s="13"/>
      <c r="M91" s="69" t="s">
        <v>396</v>
      </c>
    </row>
    <row r="92" spans="1:14" s="2" customFormat="1" ht="12.75" customHeight="1" x14ac:dyDescent="0.25">
      <c r="A92" s="36"/>
      <c r="B92" s="28"/>
      <c r="C92" s="44" t="s">
        <v>68</v>
      </c>
      <c r="D92" s="43"/>
      <c r="E92" s="7">
        <f>E90+E91</f>
        <v>298141199.43999988</v>
      </c>
      <c r="F92" s="22"/>
      <c r="G92" s="1"/>
      <c r="H92" s="103" t="s">
        <v>69</v>
      </c>
      <c r="I92" s="45">
        <v>54.3</v>
      </c>
      <c r="J92" s="46"/>
      <c r="K92" s="46"/>
      <c r="N92" s="1"/>
    </row>
    <row r="93" spans="1:14" s="2" customFormat="1" x14ac:dyDescent="0.2">
      <c r="A93" s="24"/>
      <c r="B93" s="1"/>
      <c r="C93" s="14"/>
      <c r="D93" s="25"/>
      <c r="E93" s="1"/>
      <c r="H93" s="35" t="s">
        <v>70</v>
      </c>
      <c r="I93" s="45">
        <v>0</v>
      </c>
      <c r="J93" s="46">
        <f>+I94-D96</f>
        <v>0</v>
      </c>
      <c r="M93" s="2" t="s">
        <v>396</v>
      </c>
      <c r="N93" s="1"/>
    </row>
    <row r="94" spans="1:14" x14ac:dyDescent="0.2">
      <c r="C94" s="56"/>
      <c r="D94" s="56"/>
      <c r="E94" s="104"/>
      <c r="I94" s="49">
        <f>SUM(I91:I93)</f>
        <v>827.17</v>
      </c>
      <c r="J94" s="46"/>
      <c r="K94" s="46"/>
      <c r="L94" s="2"/>
      <c r="M94" s="2"/>
      <c r="N94" s="2"/>
    </row>
    <row r="95" spans="1:14" x14ac:dyDescent="0.2">
      <c r="C95" s="78" t="s">
        <v>575</v>
      </c>
      <c r="D95" s="48" t="s">
        <v>576</v>
      </c>
      <c r="E95" s="104"/>
      <c r="I95" s="2"/>
      <c r="J95" s="2"/>
      <c r="K95" s="2"/>
      <c r="L95" s="2"/>
      <c r="M95" s="2"/>
      <c r="N95" s="2"/>
    </row>
    <row r="96" spans="1:14" s="2" customFormat="1" x14ac:dyDescent="0.2">
      <c r="A96" s="24"/>
      <c r="B96" s="1"/>
      <c r="C96" s="47" t="s">
        <v>570</v>
      </c>
      <c r="D96" s="111">
        <v>827.17</v>
      </c>
      <c r="E96" s="104"/>
      <c r="G96" s="1"/>
      <c r="H96" s="110" t="s">
        <v>581</v>
      </c>
      <c r="N96" s="2" t="s">
        <v>535</v>
      </c>
    </row>
    <row r="97" spans="1:13" s="2" customFormat="1" x14ac:dyDescent="0.2">
      <c r="A97" s="24"/>
      <c r="B97" s="1"/>
      <c r="C97" s="47" t="s">
        <v>931</v>
      </c>
      <c r="D97" s="111">
        <v>56.78</v>
      </c>
      <c r="E97" s="104"/>
      <c r="G97" s="1"/>
      <c r="H97" s="110" t="s">
        <v>580</v>
      </c>
    </row>
    <row r="98" spans="1:13" s="2" customFormat="1" x14ac:dyDescent="0.2">
      <c r="A98" s="24"/>
      <c r="B98" s="1"/>
      <c r="C98" s="47" t="s">
        <v>572</v>
      </c>
      <c r="D98" s="111">
        <f>+D119/100000</f>
        <v>20.677889099999998</v>
      </c>
      <c r="E98" s="104"/>
      <c r="G98" s="1"/>
      <c r="H98" s="90" t="s">
        <v>587</v>
      </c>
    </row>
    <row r="99" spans="1:13" s="2" customFormat="1" x14ac:dyDescent="0.2">
      <c r="A99" s="24"/>
      <c r="B99" s="1"/>
      <c r="C99" s="108" t="s">
        <v>578</v>
      </c>
      <c r="D99" s="48">
        <f>SUM(D96:D98)</f>
        <v>904.62788909999995</v>
      </c>
      <c r="E99" s="104"/>
      <c r="G99" s="1"/>
    </row>
    <row r="100" spans="1:13" s="2" customFormat="1" x14ac:dyDescent="0.2">
      <c r="A100" s="24"/>
      <c r="B100" s="1"/>
      <c r="C100" s="47"/>
      <c r="D100" s="107"/>
      <c r="E100" s="104"/>
      <c r="G100" s="1"/>
    </row>
    <row r="101" spans="1:13" s="2" customFormat="1" x14ac:dyDescent="0.2">
      <c r="A101" s="24"/>
      <c r="B101" s="1"/>
      <c r="C101" s="47" t="s">
        <v>932</v>
      </c>
      <c r="D101" s="111">
        <v>27.61</v>
      </c>
      <c r="E101" s="104"/>
      <c r="G101" s="1"/>
      <c r="H101" s="110" t="s">
        <v>581</v>
      </c>
    </row>
    <row r="102" spans="1:13" s="2" customFormat="1" x14ac:dyDescent="0.2">
      <c r="A102" s="24"/>
      <c r="B102" s="1"/>
      <c r="C102" s="136" t="s">
        <v>1142</v>
      </c>
      <c r="D102" s="111">
        <v>0</v>
      </c>
      <c r="E102" s="104"/>
      <c r="G102" s="1"/>
      <c r="H102" s="110" t="s">
        <v>581</v>
      </c>
      <c r="J102" s="114" t="s">
        <v>713</v>
      </c>
    </row>
    <row r="103" spans="1:13" s="2" customFormat="1" x14ac:dyDescent="0.2">
      <c r="A103" s="24"/>
      <c r="B103" s="1"/>
      <c r="C103" s="78" t="s">
        <v>579</v>
      </c>
      <c r="D103" s="109">
        <f>D101+D102</f>
        <v>27.61</v>
      </c>
      <c r="E103" s="104"/>
      <c r="G103" s="1"/>
      <c r="I103" s="113"/>
      <c r="J103" s="113" t="s">
        <v>709</v>
      </c>
      <c r="K103" s="113" t="s">
        <v>710</v>
      </c>
      <c r="L103" s="113" t="s">
        <v>711</v>
      </c>
      <c r="M103" s="113" t="s">
        <v>712</v>
      </c>
    </row>
    <row r="104" spans="1:13" s="2" customFormat="1" x14ac:dyDescent="0.2">
      <c r="A104" s="24"/>
      <c r="B104" s="1"/>
      <c r="C104" s="105"/>
      <c r="D104" s="106"/>
      <c r="E104" s="104"/>
      <c r="G104" s="1"/>
      <c r="I104" s="113" t="s">
        <v>706</v>
      </c>
      <c r="J104" s="115"/>
      <c r="K104" s="115">
        <v>968.99</v>
      </c>
      <c r="L104" s="115">
        <v>968.99</v>
      </c>
      <c r="M104" s="113">
        <f>+J104+L104-K104</f>
        <v>0</v>
      </c>
    </row>
    <row r="105" spans="1:13" s="2" customFormat="1" x14ac:dyDescent="0.2">
      <c r="A105" s="24"/>
      <c r="B105" s="1"/>
      <c r="C105" s="78" t="s">
        <v>577</v>
      </c>
      <c r="D105" s="109">
        <f>D96+D103</f>
        <v>854.78</v>
      </c>
      <c r="E105" s="104"/>
      <c r="G105" s="1"/>
      <c r="I105" s="113" t="s">
        <v>707</v>
      </c>
      <c r="J105" s="115">
        <v>183.1</v>
      </c>
      <c r="K105" s="115">
        <v>2929.83</v>
      </c>
      <c r="L105" s="115">
        <v>3578.74</v>
      </c>
      <c r="M105" s="113">
        <f>+J105+L105-K105</f>
        <v>832.00999999999976</v>
      </c>
    </row>
    <row r="106" spans="1:13" s="2" customFormat="1" x14ac:dyDescent="0.2">
      <c r="A106" s="24"/>
      <c r="B106" s="1"/>
      <c r="C106" s="56"/>
      <c r="D106" s="56"/>
      <c r="E106" s="104"/>
      <c r="G106" s="1"/>
      <c r="I106" s="113" t="s">
        <v>708</v>
      </c>
      <c r="J106" s="115">
        <v>1371.02</v>
      </c>
      <c r="K106" s="115">
        <v>13377.39</v>
      </c>
      <c r="L106" s="115">
        <v>12805.46</v>
      </c>
      <c r="M106" s="113">
        <f>+J106+L106-K106</f>
        <v>799.09000000000015</v>
      </c>
    </row>
    <row r="107" spans="1:13" s="2" customFormat="1" ht="38.25" x14ac:dyDescent="0.2">
      <c r="A107" s="24"/>
      <c r="B107" s="1"/>
      <c r="C107" s="79" t="str">
        <f>"Particulars ( 01-04-2021 to "&amp;TEXT(A5,"dd-mm-yyyy")&amp;" )"</f>
        <v>Particulars ( 01-04-2021 to 03-08-2023 )</v>
      </c>
      <c r="D107" s="80" t="s">
        <v>73</v>
      </c>
      <c r="E107" s="80" t="s">
        <v>74</v>
      </c>
      <c r="F107" s="81" t="s">
        <v>75</v>
      </c>
      <c r="G107" s="80" t="s">
        <v>76</v>
      </c>
      <c r="J107" s="118">
        <f>SUM(J104:J106)</f>
        <v>1554.12</v>
      </c>
      <c r="K107" s="118">
        <f>SUM(K104:K106)</f>
        <v>17276.21</v>
      </c>
      <c r="L107" s="118">
        <f>SUM(L104:L106)</f>
        <v>17353.189999999999</v>
      </c>
      <c r="M107" s="118">
        <f>SUM(M104:M106)</f>
        <v>1631.1</v>
      </c>
    </row>
    <row r="108" spans="1:13" s="2" customFormat="1" x14ac:dyDescent="0.2">
      <c r="A108" s="24"/>
      <c r="B108" s="1"/>
      <c r="C108" s="50" t="s">
        <v>444</v>
      </c>
      <c r="D108" s="55">
        <f>+L104+L105+J105</f>
        <v>4730.83</v>
      </c>
      <c r="E108" s="55">
        <f>+K104+K105</f>
        <v>3898.8199999999997</v>
      </c>
      <c r="F108" s="55">
        <f>+D108-E108</f>
        <v>832.01000000000022</v>
      </c>
      <c r="G108" s="55">
        <f>1500-F108</f>
        <v>667.98999999999978</v>
      </c>
      <c r="H108" s="2" t="s">
        <v>396</v>
      </c>
    </row>
    <row r="109" spans="1:13" s="2" customFormat="1" x14ac:dyDescent="0.2">
      <c r="A109" s="24"/>
      <c r="B109" s="1"/>
      <c r="C109" s="50" t="s">
        <v>71</v>
      </c>
      <c r="D109" s="55">
        <f>+J106+L106</f>
        <v>14176.48</v>
      </c>
      <c r="E109" s="55">
        <f>+K106</f>
        <v>13377.39</v>
      </c>
      <c r="F109" s="55">
        <f>+D109-E109</f>
        <v>799.09000000000015</v>
      </c>
      <c r="G109" s="55">
        <f>1500+700-F109</f>
        <v>1400.9099999999999</v>
      </c>
      <c r="H109" s="2" t="s">
        <v>396</v>
      </c>
    </row>
    <row r="110" spans="1:13" s="2" customFormat="1" x14ac:dyDescent="0.2">
      <c r="A110" s="24"/>
      <c r="B110" s="1"/>
      <c r="C110" s="14"/>
      <c r="D110" s="56"/>
      <c r="E110" s="13"/>
      <c r="G110" s="1"/>
    </row>
    <row r="111" spans="1:13" s="2" customFormat="1" x14ac:dyDescent="0.2">
      <c r="A111" s="215" t="s">
        <v>80</v>
      </c>
      <c r="B111" s="216"/>
      <c r="C111" s="216"/>
      <c r="D111" s="217"/>
      <c r="E111" s="69"/>
      <c r="F111" s="70"/>
      <c r="G111" s="1"/>
      <c r="H111" s="53"/>
    </row>
    <row r="112" spans="1:13" s="2" customFormat="1" x14ac:dyDescent="0.2">
      <c r="A112" s="71" t="s">
        <v>81</v>
      </c>
      <c r="B112" s="71"/>
      <c r="C112" s="72" t="s">
        <v>82</v>
      </c>
      <c r="D112" s="73" t="s">
        <v>83</v>
      </c>
      <c r="E112" s="69"/>
      <c r="F112" s="70"/>
      <c r="H112" s="53"/>
    </row>
    <row r="113" spans="1:13" s="2" customFormat="1" x14ac:dyDescent="0.2">
      <c r="A113" s="8">
        <v>45139</v>
      </c>
      <c r="B113" s="120" t="s">
        <v>1052</v>
      </c>
      <c r="C113" s="75" t="s">
        <v>85</v>
      </c>
      <c r="D113" s="88">
        <v>552343</v>
      </c>
      <c r="G113" s="1"/>
      <c r="L113" s="1"/>
      <c r="M113" s="1"/>
    </row>
    <row r="114" spans="1:13" s="2" customFormat="1" x14ac:dyDescent="0.2">
      <c r="A114" s="8">
        <v>45140</v>
      </c>
      <c r="B114" s="120" t="s">
        <v>1052</v>
      </c>
      <c r="C114" s="75" t="s">
        <v>270</v>
      </c>
      <c r="D114" s="88">
        <v>244404</v>
      </c>
      <c r="G114" s="1"/>
      <c r="L114" s="1"/>
      <c r="M114" s="1"/>
    </row>
    <row r="115" spans="1:13" s="2" customFormat="1" x14ac:dyDescent="0.2">
      <c r="A115" s="8">
        <v>45140</v>
      </c>
      <c r="B115" s="120" t="s">
        <v>1052</v>
      </c>
      <c r="C115" s="75" t="s">
        <v>270</v>
      </c>
      <c r="D115" s="88">
        <v>550256</v>
      </c>
      <c r="G115" s="1"/>
      <c r="L115" s="1"/>
      <c r="M115" s="1"/>
    </row>
    <row r="116" spans="1:13" s="2" customFormat="1" x14ac:dyDescent="0.2">
      <c r="A116" s="8">
        <v>45140</v>
      </c>
      <c r="B116" s="120" t="s">
        <v>1052</v>
      </c>
      <c r="C116" s="75" t="s">
        <v>270</v>
      </c>
      <c r="D116" s="88">
        <v>191589</v>
      </c>
      <c r="G116" s="1"/>
      <c r="L116" s="1"/>
      <c r="M116" s="1"/>
    </row>
    <row r="117" spans="1:13" s="2" customFormat="1" x14ac:dyDescent="0.2">
      <c r="A117" s="8">
        <v>45140</v>
      </c>
      <c r="B117" s="120" t="s">
        <v>1052</v>
      </c>
      <c r="C117" s="75" t="s">
        <v>270</v>
      </c>
      <c r="D117" s="88">
        <v>74415.91</v>
      </c>
      <c r="G117" s="1"/>
      <c r="L117" s="1"/>
      <c r="M117" s="1"/>
    </row>
    <row r="118" spans="1:13" s="2" customFormat="1" x14ac:dyDescent="0.2">
      <c r="A118" s="8">
        <v>45140</v>
      </c>
      <c r="B118" s="120" t="s">
        <v>1052</v>
      </c>
      <c r="C118" s="75" t="s">
        <v>271</v>
      </c>
      <c r="D118" s="88">
        <v>454781</v>
      </c>
      <c r="G118" s="1"/>
      <c r="L118" s="1"/>
      <c r="M118" s="1"/>
    </row>
    <row r="119" spans="1:13" s="2" customFormat="1" x14ac:dyDescent="0.2">
      <c r="A119" s="87"/>
      <c r="B119" s="74"/>
      <c r="C119" s="75"/>
      <c r="D119" s="51">
        <f>SUM(D113:D118)</f>
        <v>2067788.91</v>
      </c>
      <c r="F119" s="2" t="s">
        <v>396</v>
      </c>
      <c r="G119" s="1"/>
      <c r="L119" s="1"/>
      <c r="M119" s="1"/>
    </row>
    <row r="120" spans="1:13" s="2" customFormat="1" x14ac:dyDescent="0.2">
      <c r="A120" s="24"/>
      <c r="B120" s="1"/>
      <c r="C120" s="14"/>
      <c r="D120" s="56"/>
      <c r="E120" s="13"/>
      <c r="G120" s="1"/>
      <c r="L120" s="1"/>
      <c r="M120" s="1"/>
    </row>
    <row r="121" spans="1:13" s="2" customFormat="1" x14ac:dyDescent="0.2">
      <c r="A121" s="24"/>
      <c r="B121" s="1"/>
      <c r="C121" s="218" t="s">
        <v>77</v>
      </c>
      <c r="D121" s="219"/>
      <c r="E121" s="219"/>
      <c r="F121" s="220"/>
      <c r="G121" s="1"/>
      <c r="L121" s="1"/>
      <c r="M121" s="1"/>
    </row>
    <row r="122" spans="1:13" s="2" customFormat="1" x14ac:dyDescent="0.2">
      <c r="A122" s="24"/>
      <c r="B122" s="1"/>
      <c r="C122" s="50"/>
      <c r="D122" s="57" t="s">
        <v>78</v>
      </c>
      <c r="E122" s="58" t="s">
        <v>79</v>
      </c>
      <c r="F122" s="57" t="s">
        <v>72</v>
      </c>
      <c r="G122" s="1"/>
      <c r="I122" s="1"/>
      <c r="J122" s="1"/>
      <c r="K122" s="1"/>
      <c r="L122" s="1"/>
      <c r="M122" s="1"/>
    </row>
    <row r="123" spans="1:13" s="2" customFormat="1" x14ac:dyDescent="0.2">
      <c r="A123" s="24"/>
      <c r="B123" s="1"/>
      <c r="C123" s="59" t="str">
        <f>"01-08-2023 to "&amp;TEXT(A5-2,"dd-mm-yyyy")</f>
        <v>01-08-2023 to 01-08-2023</v>
      </c>
      <c r="D123" s="60">
        <v>265.11</v>
      </c>
      <c r="E123" s="60">
        <v>6.99</v>
      </c>
      <c r="F123" s="61">
        <f>SUM(D123:E123)</f>
        <v>272.10000000000002</v>
      </c>
      <c r="G123" s="1"/>
    </row>
    <row r="124" spans="1:13" s="2" customFormat="1" x14ac:dyDescent="0.2">
      <c r="A124" s="24"/>
      <c r="B124" s="1"/>
      <c r="C124" s="62" t="str">
        <f>TEXT(A5-1,"dd-mm-yyyy")</f>
        <v>02-08-2023</v>
      </c>
      <c r="D124" s="60">
        <v>101.56</v>
      </c>
      <c r="E124" s="60">
        <v>8.52</v>
      </c>
      <c r="F124" s="61">
        <f>SUM(D124:E124)</f>
        <v>110.08</v>
      </c>
      <c r="G124" s="54"/>
      <c r="I124" s="1"/>
      <c r="J124" s="1"/>
      <c r="K124" s="1"/>
      <c r="L124" s="1"/>
      <c r="M124" s="1"/>
    </row>
    <row r="125" spans="1:13" s="2" customFormat="1" ht="13.5" thickBot="1" x14ac:dyDescent="0.25">
      <c r="A125" s="24"/>
      <c r="B125" s="1"/>
      <c r="C125" s="63" t="str">
        <f>"01-08-2023 to "&amp;TEXT(A5-1,"dd-mm-yyyy")</f>
        <v>01-08-2023 to 02-08-2023</v>
      </c>
      <c r="D125" s="64">
        <f>SUM(D123:D124)</f>
        <v>366.67</v>
      </c>
      <c r="E125" s="64">
        <f>SUM(E123:E124)</f>
        <v>15.51</v>
      </c>
      <c r="F125" s="64">
        <f>SUM(F123:F124)</f>
        <v>382.18</v>
      </c>
      <c r="G125" s="54"/>
      <c r="I125" s="1"/>
      <c r="J125" s="1"/>
      <c r="K125" s="1"/>
      <c r="L125" s="1"/>
      <c r="M125" s="1"/>
    </row>
    <row r="126" spans="1:13" s="2" customFormat="1" ht="13.5" thickTop="1" x14ac:dyDescent="0.2">
      <c r="A126" s="24"/>
      <c r="B126" s="1"/>
      <c r="C126" s="62"/>
      <c r="D126" s="65"/>
      <c r="E126" s="66"/>
      <c r="F126" s="67"/>
      <c r="G126" s="54"/>
      <c r="I126" s="1"/>
      <c r="J126" s="1"/>
      <c r="K126" s="1"/>
      <c r="L126" s="1"/>
      <c r="M126" s="1"/>
    </row>
    <row r="127" spans="1:13" s="2" customFormat="1" x14ac:dyDescent="0.2">
      <c r="A127" s="24"/>
      <c r="B127" s="1"/>
      <c r="C127" s="62" t="str">
        <f>"01-04-2023 to " &amp;C124</f>
        <v>01-04-2023 to 02-08-2023</v>
      </c>
      <c r="D127" s="68">
        <f>+D125+20827.32</f>
        <v>21193.989999999998</v>
      </c>
      <c r="E127" s="68">
        <f>+E125+1376.76</f>
        <v>1392.27</v>
      </c>
      <c r="F127" s="68">
        <f>+F125+22204.08</f>
        <v>22586.260000000002</v>
      </c>
      <c r="G127" s="54"/>
      <c r="I127" s="1"/>
      <c r="J127" s="1"/>
      <c r="K127" s="1"/>
      <c r="L127" s="1"/>
      <c r="M127" s="1"/>
    </row>
    <row r="128" spans="1:13" x14ac:dyDescent="0.2">
      <c r="C128" s="52"/>
      <c r="D128" s="85"/>
      <c r="E128" s="53"/>
      <c r="F128" s="53"/>
      <c r="G128" s="54"/>
      <c r="H128" s="2" t="s">
        <v>396</v>
      </c>
    </row>
    <row r="129" spans="1:10" s="2" customFormat="1" x14ac:dyDescent="0.2">
      <c r="A129" s="24"/>
      <c r="B129" s="1"/>
      <c r="C129" s="52"/>
      <c r="D129" s="85"/>
      <c r="E129" s="53"/>
      <c r="F129" s="53"/>
      <c r="G129" s="54"/>
      <c r="H129" s="53"/>
    </row>
    <row r="130" spans="1:10" x14ac:dyDescent="0.2">
      <c r="C130" s="52"/>
      <c r="D130" s="85"/>
      <c r="E130" s="53"/>
      <c r="F130" s="53"/>
      <c r="G130" s="54"/>
      <c r="H130" s="53" t="s">
        <v>396</v>
      </c>
    </row>
    <row r="131" spans="1:10" x14ac:dyDescent="0.2">
      <c r="C131" s="52"/>
      <c r="D131" s="85"/>
      <c r="E131" s="53"/>
      <c r="F131" s="53"/>
      <c r="G131" s="54"/>
      <c r="H131" s="53" t="s">
        <v>396</v>
      </c>
      <c r="J131" s="42"/>
    </row>
    <row r="132" spans="1:10" x14ac:dyDescent="0.2">
      <c r="G132" s="54"/>
      <c r="H132" s="53"/>
      <c r="I132" s="101"/>
    </row>
    <row r="133" spans="1:10" x14ac:dyDescent="0.2">
      <c r="G133" s="54"/>
      <c r="H133" s="53"/>
    </row>
    <row r="134" spans="1:10" x14ac:dyDescent="0.2">
      <c r="G134" s="54"/>
      <c r="H134" s="53"/>
    </row>
    <row r="135" spans="1:10" x14ac:dyDescent="0.2">
      <c r="H135" s="53"/>
    </row>
  </sheetData>
  <mergeCells count="6">
    <mergeCell ref="C121:F121"/>
    <mergeCell ref="A1:G1"/>
    <mergeCell ref="A3:F3"/>
    <mergeCell ref="A9:F9"/>
    <mergeCell ref="A35:F35"/>
    <mergeCell ref="A111:D111"/>
  </mergeCells>
  <conditionalFormatting sqref="G108:G109">
    <cfRule type="cellIs" dxfId="381" priority="1" operator="lessThan">
      <formula>0</formula>
    </cfRule>
  </conditionalFormatting>
  <conditionalFormatting sqref="C37">
    <cfRule type="duplicateValues" dxfId="380" priority="2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400-000000000000}">
  <sheetPr codeName="Sheet396">
    <pageSetUpPr fitToPage="1"/>
  </sheetPr>
  <dimension ref="A1:N88"/>
  <sheetViews>
    <sheetView topLeftCell="A28" zoomScaleNormal="100" workbookViewId="0">
      <selection activeCell="E42" sqref="B42:E42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1306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45142</v>
      </c>
      <c r="B5" s="9" t="s">
        <v>6</v>
      </c>
      <c r="C5" s="10" t="s">
        <v>7</v>
      </c>
      <c r="D5" s="11"/>
      <c r="E5" s="12">
        <v>277691.7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277691.7</v>
      </c>
      <c r="F6" s="16">
        <f>SUM(F5:F5)</f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+E6-F6</f>
        <v>277691.7</v>
      </c>
      <c r="F7" s="22"/>
      <c r="G7" s="23"/>
      <c r="H7" s="112"/>
      <c r="I7" s="112"/>
      <c r="J7" s="13"/>
    </row>
    <row r="8" spans="1:10" ht="12.75" customHeight="1" x14ac:dyDescent="0.4">
      <c r="H8" s="112"/>
      <c r="I8" s="112"/>
    </row>
    <row r="9" spans="1:10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12"/>
    </row>
    <row r="10" spans="1:10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12"/>
    </row>
    <row r="11" spans="1:10" s="2" customFormat="1" ht="14.25" customHeight="1" x14ac:dyDescent="0.2">
      <c r="A11" s="89">
        <v>45142</v>
      </c>
      <c r="B11" s="9" t="s">
        <v>6</v>
      </c>
      <c r="C11" s="10" t="s">
        <v>7</v>
      </c>
      <c r="D11" s="11"/>
      <c r="F11" s="12">
        <v>25346921.629999995</v>
      </c>
      <c r="G11" s="1"/>
      <c r="H11" s="130" t="s">
        <v>396</v>
      </c>
      <c r="I11" s="130"/>
    </row>
    <row r="12" spans="1:10" s="70" customFormat="1" ht="12.75" customHeight="1" x14ac:dyDescent="0.2">
      <c r="A12" s="89">
        <v>45142</v>
      </c>
      <c r="B12" s="128" t="s">
        <v>6</v>
      </c>
      <c r="C12" s="76" t="s">
        <v>1097</v>
      </c>
      <c r="D12" s="11" t="s">
        <v>13</v>
      </c>
      <c r="E12" s="31">
        <v>5875430.0300000003</v>
      </c>
      <c r="F12" s="31"/>
      <c r="G12" s="30"/>
      <c r="I12" s="69"/>
      <c r="J12" s="69"/>
    </row>
    <row r="13" spans="1:10" s="70" customFormat="1" ht="12.75" customHeight="1" x14ac:dyDescent="0.2">
      <c r="A13" s="89">
        <v>45142</v>
      </c>
      <c r="B13" s="128" t="s">
        <v>6</v>
      </c>
      <c r="C13" s="76" t="s">
        <v>1103</v>
      </c>
      <c r="D13" s="11" t="s">
        <v>13</v>
      </c>
      <c r="E13" s="31">
        <v>6043685.29</v>
      </c>
      <c r="F13" s="31"/>
      <c r="G13" s="30"/>
      <c r="I13" s="69"/>
      <c r="J13" s="69"/>
    </row>
    <row r="14" spans="1:10" s="70" customFormat="1" ht="12.75" customHeight="1" x14ac:dyDescent="0.2">
      <c r="A14" s="89">
        <v>45142</v>
      </c>
      <c r="B14" s="128" t="s">
        <v>6</v>
      </c>
      <c r="C14" s="76" t="s">
        <v>1307</v>
      </c>
      <c r="D14" s="11" t="s">
        <v>13</v>
      </c>
      <c r="E14" s="31">
        <v>3262590.89</v>
      </c>
      <c r="F14" s="31"/>
      <c r="G14" s="30"/>
      <c r="I14" s="69"/>
      <c r="J14" s="69"/>
    </row>
    <row r="15" spans="1:10" s="70" customFormat="1" ht="12.75" customHeight="1" x14ac:dyDescent="0.2">
      <c r="A15" s="89">
        <v>45142</v>
      </c>
      <c r="B15" s="128" t="s">
        <v>11</v>
      </c>
      <c r="C15" s="76" t="s">
        <v>1137</v>
      </c>
      <c r="D15" s="11" t="s">
        <v>29</v>
      </c>
      <c r="E15" s="31"/>
      <c r="F15" s="31">
        <v>84435.26</v>
      </c>
      <c r="G15" s="30"/>
      <c r="I15" s="69"/>
      <c r="J15" s="69"/>
    </row>
    <row r="16" spans="1:10" s="70" customFormat="1" ht="12.75" customHeight="1" x14ac:dyDescent="0.2">
      <c r="A16" s="89">
        <v>45142</v>
      </c>
      <c r="B16" s="128" t="s">
        <v>11</v>
      </c>
      <c r="C16" s="76" t="s">
        <v>57</v>
      </c>
      <c r="D16" s="11" t="s">
        <v>29</v>
      </c>
      <c r="E16" s="31"/>
      <c r="F16" s="31">
        <v>12000000</v>
      </c>
      <c r="G16" s="30"/>
      <c r="I16" s="69"/>
      <c r="J16" s="69"/>
    </row>
    <row r="17" spans="1:10" s="70" customFormat="1" ht="12.75" customHeight="1" x14ac:dyDescent="0.2">
      <c r="A17" s="89">
        <v>45142</v>
      </c>
      <c r="B17" s="128" t="s">
        <v>11</v>
      </c>
      <c r="C17" s="76" t="s">
        <v>610</v>
      </c>
      <c r="D17" s="11" t="s">
        <v>29</v>
      </c>
      <c r="E17" s="31"/>
      <c r="F17" s="31">
        <v>31860</v>
      </c>
      <c r="G17" s="30"/>
      <c r="I17" s="69"/>
      <c r="J17" s="69"/>
    </row>
    <row r="18" spans="1:10" s="70" customFormat="1" ht="12.75" customHeight="1" x14ac:dyDescent="0.2">
      <c r="A18" s="89">
        <v>45142</v>
      </c>
      <c r="B18" s="128" t="s">
        <v>11</v>
      </c>
      <c r="C18" s="76" t="s">
        <v>1164</v>
      </c>
      <c r="D18" s="11" t="s">
        <v>29</v>
      </c>
      <c r="E18" s="31"/>
      <c r="F18" s="31">
        <v>50000</v>
      </c>
      <c r="G18" s="30"/>
      <c r="I18" s="69"/>
      <c r="J18" s="69"/>
    </row>
    <row r="19" spans="1:10" s="2" customFormat="1" ht="12.75" customHeight="1" x14ac:dyDescent="0.4">
      <c r="D19" s="11" t="s">
        <v>8</v>
      </c>
      <c r="E19" s="16">
        <f>SUM(E12:E18)</f>
        <v>15181706.210000001</v>
      </c>
      <c r="F19" s="16">
        <f>SUM(F11:F18)</f>
        <v>37513216.890000001</v>
      </c>
      <c r="G19" s="1"/>
      <c r="H19" s="112"/>
      <c r="I19" s="112"/>
    </row>
    <row r="20" spans="1:10" s="2" customFormat="1" ht="12.75" customHeight="1" x14ac:dyDescent="0.4">
      <c r="A20" s="17"/>
      <c r="B20" s="18"/>
      <c r="C20" s="96" t="s">
        <v>9</v>
      </c>
      <c r="D20" s="20"/>
      <c r="E20" s="21">
        <f>+F19-E19</f>
        <v>22331510.68</v>
      </c>
      <c r="G20" s="23"/>
      <c r="H20" s="112"/>
      <c r="I20" s="112"/>
      <c r="J20" s="13"/>
    </row>
    <row r="21" spans="1:10" s="2" customFormat="1" ht="12.75" customHeight="1" x14ac:dyDescent="0.4">
      <c r="A21" s="24"/>
      <c r="B21" s="1"/>
      <c r="C21" s="14"/>
      <c r="D21" s="25"/>
      <c r="G21" s="23"/>
      <c r="H21" s="112"/>
      <c r="I21" s="112"/>
      <c r="J21" s="13"/>
    </row>
    <row r="22" spans="1:10" s="2" customFormat="1" ht="21.75" customHeight="1" x14ac:dyDescent="0.4">
      <c r="A22" s="214" t="s">
        <v>10</v>
      </c>
      <c r="B22" s="214"/>
      <c r="C22" s="214"/>
      <c r="D22" s="214"/>
      <c r="E22" s="214"/>
      <c r="F22" s="214"/>
      <c r="G22" s="13"/>
      <c r="H22" s="112"/>
      <c r="I22" s="112"/>
      <c r="J22" s="13"/>
    </row>
    <row r="23" spans="1:10" s="2" customFormat="1" ht="12.75" customHeight="1" x14ac:dyDescent="0.4">
      <c r="A23" s="26" t="s">
        <v>1</v>
      </c>
      <c r="B23" s="27" t="s">
        <v>2</v>
      </c>
      <c r="C23" s="5"/>
      <c r="D23" s="6" t="s">
        <v>3</v>
      </c>
      <c r="E23" s="7" t="s">
        <v>4</v>
      </c>
      <c r="F23" s="7" t="s">
        <v>5</v>
      </c>
      <c r="G23" s="23"/>
      <c r="H23" s="112"/>
      <c r="I23" s="112"/>
      <c r="J23" s="13"/>
    </row>
    <row r="24" spans="1:10" s="2" customFormat="1" ht="12.75" customHeight="1" x14ac:dyDescent="0.2">
      <c r="A24" s="89">
        <v>45142</v>
      </c>
      <c r="B24" s="128" t="s">
        <v>11</v>
      </c>
      <c r="C24" s="29" t="s">
        <v>7</v>
      </c>
      <c r="D24" s="25"/>
      <c r="E24" s="31"/>
      <c r="F24" s="2">
        <v>274524889.43999988</v>
      </c>
      <c r="G24" s="30"/>
      <c r="I24" s="13"/>
      <c r="J24" s="13"/>
    </row>
    <row r="25" spans="1:10" s="70" customFormat="1" ht="12.75" customHeight="1" x14ac:dyDescent="0.2">
      <c r="A25" s="89">
        <v>45142</v>
      </c>
      <c r="B25" s="128" t="s">
        <v>6</v>
      </c>
      <c r="C25" s="10" t="s">
        <v>304</v>
      </c>
      <c r="D25" s="11" t="s">
        <v>13</v>
      </c>
      <c r="E25" s="86">
        <v>48607</v>
      </c>
      <c r="G25" s="30"/>
      <c r="I25" s="69"/>
      <c r="J25" s="69"/>
    </row>
    <row r="26" spans="1:10" s="70" customFormat="1" ht="12.75" customHeight="1" x14ac:dyDescent="0.2">
      <c r="A26" s="89">
        <v>45142</v>
      </c>
      <c r="B26" s="128" t="s">
        <v>6</v>
      </c>
      <c r="C26" s="10" t="s">
        <v>244</v>
      </c>
      <c r="D26" s="11" t="s">
        <v>13</v>
      </c>
      <c r="E26" s="86">
        <v>630822</v>
      </c>
      <c r="G26" s="30"/>
      <c r="I26" s="69"/>
      <c r="J26" s="69"/>
    </row>
    <row r="27" spans="1:10" s="70" customFormat="1" ht="12.75" customHeight="1" x14ac:dyDescent="0.2">
      <c r="A27" s="89">
        <v>45142</v>
      </c>
      <c r="B27" s="128" t="s">
        <v>6</v>
      </c>
      <c r="C27" s="10" t="s">
        <v>15</v>
      </c>
      <c r="D27" s="11" t="s">
        <v>13</v>
      </c>
      <c r="E27" s="86">
        <v>10715.66</v>
      </c>
      <c r="G27" s="30"/>
      <c r="I27" s="69"/>
      <c r="J27" s="69"/>
    </row>
    <row r="28" spans="1:10" s="70" customFormat="1" ht="12.75" customHeight="1" x14ac:dyDescent="0.2">
      <c r="A28" s="89">
        <v>45142</v>
      </c>
      <c r="B28" s="128" t="s">
        <v>6</v>
      </c>
      <c r="C28" s="10" t="s">
        <v>316</v>
      </c>
      <c r="D28" s="11" t="s">
        <v>13</v>
      </c>
      <c r="E28" s="86">
        <v>103178</v>
      </c>
      <c r="G28" s="30"/>
      <c r="I28" s="69"/>
      <c r="J28" s="69"/>
    </row>
    <row r="29" spans="1:10" s="70" customFormat="1" ht="12.75" customHeight="1" x14ac:dyDescent="0.2">
      <c r="A29" s="89">
        <v>45142</v>
      </c>
      <c r="B29" s="128" t="s">
        <v>6</v>
      </c>
      <c r="C29" s="10" t="s">
        <v>332</v>
      </c>
      <c r="D29" s="11" t="s">
        <v>13</v>
      </c>
      <c r="E29" s="86">
        <v>18882</v>
      </c>
      <c r="G29" s="30"/>
      <c r="I29" s="69"/>
      <c r="J29" s="69"/>
    </row>
    <row r="30" spans="1:10" s="70" customFormat="1" ht="12.75" customHeight="1" x14ac:dyDescent="0.2">
      <c r="A30" s="89">
        <v>45142</v>
      </c>
      <c r="B30" s="128" t="s">
        <v>6</v>
      </c>
      <c r="C30" s="10" t="s">
        <v>145</v>
      </c>
      <c r="D30" s="11" t="s">
        <v>13</v>
      </c>
      <c r="E30" s="86">
        <v>334640</v>
      </c>
      <c r="G30" s="30"/>
      <c r="I30" s="69"/>
      <c r="J30" s="69"/>
    </row>
    <row r="31" spans="1:10" s="70" customFormat="1" ht="12.75" customHeight="1" x14ac:dyDescent="0.2">
      <c r="A31" s="89">
        <v>45142</v>
      </c>
      <c r="B31" s="128" t="s">
        <v>6</v>
      </c>
      <c r="C31" s="10" t="s">
        <v>1308</v>
      </c>
      <c r="D31" s="11" t="s">
        <v>13</v>
      </c>
      <c r="E31" s="86">
        <v>2573</v>
      </c>
      <c r="G31" s="30"/>
      <c r="I31" s="69"/>
      <c r="J31" s="69"/>
    </row>
    <row r="32" spans="1:10" s="70" customFormat="1" ht="12.75" customHeight="1" x14ac:dyDescent="0.2">
      <c r="A32" s="89">
        <v>45142</v>
      </c>
      <c r="B32" s="128" t="s">
        <v>6</v>
      </c>
      <c r="C32" s="10" t="s">
        <v>219</v>
      </c>
      <c r="D32" s="11" t="s">
        <v>13</v>
      </c>
      <c r="E32" s="86">
        <v>1265893</v>
      </c>
      <c r="G32" s="30"/>
      <c r="I32" s="69"/>
      <c r="J32" s="69"/>
    </row>
    <row r="33" spans="1:14" s="70" customFormat="1" ht="12.75" customHeight="1" x14ac:dyDescent="0.2">
      <c r="A33" s="89">
        <v>45142</v>
      </c>
      <c r="B33" s="128" t="s">
        <v>11</v>
      </c>
      <c r="C33" s="10" t="s">
        <v>27</v>
      </c>
      <c r="D33" s="11" t="s">
        <v>29</v>
      </c>
      <c r="E33" s="86"/>
      <c r="F33" s="70">
        <v>1563126.2000000002</v>
      </c>
      <c r="G33" s="30"/>
      <c r="I33" s="69"/>
      <c r="J33" s="69"/>
    </row>
    <row r="34" spans="1:14" s="70" customFormat="1" ht="12.75" customHeight="1" x14ac:dyDescent="0.2">
      <c r="A34" s="89">
        <v>45142</v>
      </c>
      <c r="B34" s="128" t="s">
        <v>11</v>
      </c>
      <c r="C34" s="10" t="s">
        <v>64</v>
      </c>
      <c r="D34" s="11" t="s">
        <v>29</v>
      </c>
      <c r="E34" s="86"/>
      <c r="F34" s="70">
        <v>6466.4</v>
      </c>
      <c r="G34" s="30"/>
      <c r="I34" s="69"/>
      <c r="J34" s="69"/>
    </row>
    <row r="35" spans="1:14" s="70" customFormat="1" ht="12.75" customHeight="1" x14ac:dyDescent="0.2">
      <c r="A35" s="89">
        <v>45142</v>
      </c>
      <c r="B35" s="128" t="s">
        <v>11</v>
      </c>
      <c r="C35" s="10" t="s">
        <v>109</v>
      </c>
      <c r="D35" s="11" t="s">
        <v>29</v>
      </c>
      <c r="E35" s="86"/>
      <c r="F35" s="70">
        <v>1195803</v>
      </c>
      <c r="G35" s="30"/>
      <c r="I35" s="69"/>
      <c r="J35" s="69"/>
    </row>
    <row r="36" spans="1:14" s="70" customFormat="1" ht="12.75" customHeight="1" x14ac:dyDescent="0.2">
      <c r="A36" s="89">
        <v>45142</v>
      </c>
      <c r="B36" s="128" t="s">
        <v>11</v>
      </c>
      <c r="C36" s="10" t="s">
        <v>57</v>
      </c>
      <c r="D36" s="11" t="s">
        <v>29</v>
      </c>
      <c r="E36" s="86"/>
      <c r="F36" s="70">
        <v>8000000</v>
      </c>
      <c r="G36" s="30"/>
      <c r="I36" s="69"/>
      <c r="J36" s="69"/>
    </row>
    <row r="37" spans="1:14" s="70" customFormat="1" ht="12.75" customHeight="1" x14ac:dyDescent="0.2">
      <c r="A37" s="89">
        <v>45142</v>
      </c>
      <c r="B37" s="128" t="s">
        <v>11</v>
      </c>
      <c r="C37" s="10" t="s">
        <v>32</v>
      </c>
      <c r="D37" s="11" t="s">
        <v>29</v>
      </c>
      <c r="E37" s="86"/>
      <c r="F37" s="70">
        <v>18257220</v>
      </c>
      <c r="G37" s="30"/>
      <c r="I37" s="69"/>
      <c r="J37" s="69"/>
    </row>
    <row r="38" spans="1:14" s="70" customFormat="1" ht="12.75" customHeight="1" x14ac:dyDescent="0.2">
      <c r="A38" s="89">
        <v>45142</v>
      </c>
      <c r="B38" s="128" t="s">
        <v>11</v>
      </c>
      <c r="C38" s="10" t="s">
        <v>123</v>
      </c>
      <c r="D38" s="11" t="s">
        <v>29</v>
      </c>
      <c r="E38" s="86"/>
      <c r="F38" s="70">
        <v>3064386</v>
      </c>
      <c r="G38" s="30"/>
      <c r="I38" s="69"/>
      <c r="J38" s="69"/>
    </row>
    <row r="39" spans="1:14" s="70" customFormat="1" ht="12.75" customHeight="1" x14ac:dyDescent="0.2">
      <c r="A39" s="89">
        <v>45142</v>
      </c>
      <c r="B39" s="128" t="s">
        <v>11</v>
      </c>
      <c r="C39" s="10" t="s">
        <v>223</v>
      </c>
      <c r="D39" s="11" t="s">
        <v>29</v>
      </c>
      <c r="E39" s="86"/>
      <c r="F39" s="70">
        <v>4923842</v>
      </c>
      <c r="G39" s="30"/>
      <c r="I39" s="69"/>
      <c r="J39" s="69"/>
    </row>
    <row r="40" spans="1:14" s="2" customFormat="1" ht="12.75" customHeight="1" x14ac:dyDescent="0.2">
      <c r="A40" s="32"/>
      <c r="B40" s="33"/>
      <c r="C40" s="14"/>
      <c r="D40" s="34"/>
      <c r="E40" s="16">
        <f>SUM(E24:E39)</f>
        <v>2415310.66</v>
      </c>
      <c r="F40" s="16">
        <f>SUM(F24:F39)</f>
        <v>311535733.03999984</v>
      </c>
      <c r="G40" s="30"/>
      <c r="H40" s="1"/>
      <c r="I40" s="38">
        <v>309120422.38</v>
      </c>
      <c r="J40" s="2" t="s">
        <v>396</v>
      </c>
      <c r="K40" s="92">
        <f>E41-I40</f>
        <v>0</v>
      </c>
      <c r="L40" s="41"/>
      <c r="M40" s="42"/>
    </row>
    <row r="41" spans="1:14" s="2" customFormat="1" ht="12.75" customHeight="1" x14ac:dyDescent="0.2">
      <c r="A41" s="36"/>
      <c r="B41" s="28" t="s">
        <v>11</v>
      </c>
      <c r="C41" s="19" t="s">
        <v>65</v>
      </c>
      <c r="D41" s="37"/>
      <c r="E41" s="38">
        <f>F40-E40</f>
        <v>309120422.37999982</v>
      </c>
      <c r="F41" s="22"/>
      <c r="G41" s="1"/>
      <c r="H41" s="1"/>
      <c r="J41" s="1"/>
      <c r="K41" s="1"/>
      <c r="L41" s="1"/>
      <c r="M41" s="1"/>
    </row>
    <row r="42" spans="1:14" s="2" customFormat="1" ht="12.75" customHeight="1" x14ac:dyDescent="0.2">
      <c r="A42" s="36"/>
      <c r="B42" s="28" t="s">
        <v>66</v>
      </c>
      <c r="C42" s="43" t="s">
        <v>67</v>
      </c>
      <c r="D42" s="43"/>
      <c r="E42" s="12">
        <v>0</v>
      </c>
      <c r="F42" s="22"/>
      <c r="G42" s="1"/>
      <c r="H42" s="40"/>
      <c r="I42" s="45">
        <v>835.91</v>
      </c>
      <c r="J42" s="46"/>
      <c r="K42" s="46"/>
      <c r="L42" s="13"/>
      <c r="M42" s="69" t="s">
        <v>396</v>
      </c>
    </row>
    <row r="43" spans="1:14" s="2" customFormat="1" ht="12.75" customHeight="1" x14ac:dyDescent="0.25">
      <c r="A43" s="36"/>
      <c r="B43" s="28"/>
      <c r="C43" s="44" t="s">
        <v>68</v>
      </c>
      <c r="D43" s="43"/>
      <c r="E43" s="7">
        <f>E41+E42</f>
        <v>309120422.37999982</v>
      </c>
      <c r="F43" s="22"/>
      <c r="G43" s="1"/>
      <c r="H43" s="103" t="s">
        <v>69</v>
      </c>
      <c r="I43" s="45">
        <v>54.3</v>
      </c>
      <c r="J43" s="46"/>
      <c r="K43" s="46"/>
      <c r="N43" s="1"/>
    </row>
    <row r="44" spans="1:14" s="2" customFormat="1" x14ac:dyDescent="0.2">
      <c r="A44" s="24"/>
      <c r="B44" s="1"/>
      <c r="C44" s="14"/>
      <c r="D44" s="25"/>
      <c r="E44" s="1"/>
      <c r="H44" s="35" t="s">
        <v>70</v>
      </c>
      <c r="I44" s="45">
        <v>0</v>
      </c>
      <c r="J44" s="46">
        <f>+I45-D47</f>
        <v>0</v>
      </c>
      <c r="M44" s="2" t="s">
        <v>396</v>
      </c>
      <c r="N44" s="1"/>
    </row>
    <row r="45" spans="1:14" x14ac:dyDescent="0.2">
      <c r="C45" s="56"/>
      <c r="D45" s="56"/>
      <c r="E45" s="104"/>
      <c r="I45" s="49">
        <f>SUM(I42:I44)</f>
        <v>890.20999999999992</v>
      </c>
      <c r="J45" s="46"/>
      <c r="K45" s="46"/>
      <c r="L45" s="2"/>
      <c r="M45" s="2"/>
      <c r="N45" s="2"/>
    </row>
    <row r="46" spans="1:14" x14ac:dyDescent="0.2">
      <c r="C46" s="78" t="s">
        <v>575</v>
      </c>
      <c r="D46" s="48" t="s">
        <v>576</v>
      </c>
      <c r="E46" s="104"/>
      <c r="I46" s="2"/>
      <c r="J46" s="2"/>
      <c r="K46" s="2"/>
      <c r="L46" s="2"/>
      <c r="M46" s="2"/>
      <c r="N46" s="2"/>
    </row>
    <row r="47" spans="1:14" s="2" customFormat="1" x14ac:dyDescent="0.2">
      <c r="A47" s="24"/>
      <c r="B47" s="1"/>
      <c r="C47" s="47" t="s">
        <v>570</v>
      </c>
      <c r="D47" s="111">
        <v>890.21</v>
      </c>
      <c r="E47" s="104"/>
      <c r="G47" s="1"/>
      <c r="H47" s="110" t="s">
        <v>581</v>
      </c>
      <c r="N47" s="2" t="s">
        <v>535</v>
      </c>
    </row>
    <row r="48" spans="1:14" s="2" customFormat="1" x14ac:dyDescent="0.2">
      <c r="A48" s="24"/>
      <c r="B48" s="1"/>
      <c r="C48" s="47" t="s">
        <v>931</v>
      </c>
      <c r="D48" s="111">
        <v>56.78</v>
      </c>
      <c r="E48" s="104"/>
      <c r="G48" s="1"/>
      <c r="H48" s="110" t="s">
        <v>580</v>
      </c>
    </row>
    <row r="49" spans="1:13" s="2" customFormat="1" x14ac:dyDescent="0.2">
      <c r="A49" s="24"/>
      <c r="B49" s="1"/>
      <c r="C49" s="47" t="s">
        <v>572</v>
      </c>
      <c r="D49" s="111">
        <f>+D72/100000</f>
        <v>44.033929100000002</v>
      </c>
      <c r="E49" s="104"/>
      <c r="G49" s="1"/>
      <c r="H49" s="90" t="s">
        <v>587</v>
      </c>
    </row>
    <row r="50" spans="1:13" s="2" customFormat="1" x14ac:dyDescent="0.2">
      <c r="A50" s="24"/>
      <c r="B50" s="1"/>
      <c r="C50" s="108" t="s">
        <v>578</v>
      </c>
      <c r="D50" s="48">
        <f>SUM(D47:D49)</f>
        <v>991.02392910000003</v>
      </c>
      <c r="E50" s="104"/>
      <c r="G50" s="1"/>
    </row>
    <row r="51" spans="1:13" s="2" customFormat="1" x14ac:dyDescent="0.2">
      <c r="A51" s="24"/>
      <c r="B51" s="1"/>
      <c r="C51" s="47"/>
      <c r="D51" s="107"/>
      <c r="E51" s="104"/>
      <c r="G51" s="1"/>
    </row>
    <row r="52" spans="1:13" s="2" customFormat="1" x14ac:dyDescent="0.2">
      <c r="A52" s="24"/>
      <c r="B52" s="1"/>
      <c r="C52" s="47" t="s">
        <v>932</v>
      </c>
      <c r="D52" s="111">
        <v>27.61</v>
      </c>
      <c r="E52" s="104"/>
      <c r="G52" s="1"/>
      <c r="H52" s="110" t="s">
        <v>581</v>
      </c>
    </row>
    <row r="53" spans="1:13" s="2" customFormat="1" x14ac:dyDescent="0.2">
      <c r="A53" s="24"/>
      <c r="B53" s="1"/>
      <c r="C53" s="136" t="s">
        <v>1142</v>
      </c>
      <c r="D53" s="111">
        <v>47.98</v>
      </c>
      <c r="E53" s="104"/>
      <c r="G53" s="1"/>
      <c r="H53" s="110" t="s">
        <v>581</v>
      </c>
      <c r="J53" s="114" t="s">
        <v>713</v>
      </c>
    </row>
    <row r="54" spans="1:13" s="2" customFormat="1" x14ac:dyDescent="0.2">
      <c r="A54" s="24"/>
      <c r="B54" s="1"/>
      <c r="C54" s="78" t="s">
        <v>579</v>
      </c>
      <c r="D54" s="109">
        <f>D52+D53</f>
        <v>75.59</v>
      </c>
      <c r="E54" s="104"/>
      <c r="G54" s="1"/>
      <c r="I54" s="113"/>
      <c r="J54" s="113" t="s">
        <v>709</v>
      </c>
      <c r="K54" s="113" t="s">
        <v>710</v>
      </c>
      <c r="L54" s="113" t="s">
        <v>711</v>
      </c>
      <c r="M54" s="113" t="s">
        <v>712</v>
      </c>
    </row>
    <row r="55" spans="1:13" s="2" customFormat="1" x14ac:dyDescent="0.2">
      <c r="A55" s="24"/>
      <c r="B55" s="1"/>
      <c r="C55" s="105"/>
      <c r="D55" s="106"/>
      <c r="E55" s="104"/>
      <c r="G55" s="1"/>
      <c r="I55" s="113" t="s">
        <v>706</v>
      </c>
      <c r="J55" s="115"/>
      <c r="K55" s="115">
        <v>968.99</v>
      </c>
      <c r="L55" s="115">
        <v>968.99</v>
      </c>
      <c r="M55" s="113">
        <f>+J55+L55-K55</f>
        <v>0</v>
      </c>
    </row>
    <row r="56" spans="1:13" s="2" customFormat="1" x14ac:dyDescent="0.2">
      <c r="A56" s="24"/>
      <c r="B56" s="1"/>
      <c r="C56" s="78" t="s">
        <v>577</v>
      </c>
      <c r="D56" s="109">
        <f>D47+D54</f>
        <v>965.80000000000007</v>
      </c>
      <c r="E56" s="104"/>
      <c r="G56" s="1"/>
      <c r="I56" s="113" t="s">
        <v>707</v>
      </c>
      <c r="J56" s="115">
        <v>183.1</v>
      </c>
      <c r="K56" s="115">
        <v>2929.83</v>
      </c>
      <c r="L56" s="115">
        <v>3578.74</v>
      </c>
      <c r="M56" s="113">
        <f>+J56+L56-K56</f>
        <v>832.00999999999976</v>
      </c>
    </row>
    <row r="57" spans="1:13" s="2" customFormat="1" x14ac:dyDescent="0.2">
      <c r="A57" s="24"/>
      <c r="B57" s="1"/>
      <c r="C57" s="56"/>
      <c r="D57" s="56"/>
      <c r="E57" s="104"/>
      <c r="G57" s="1"/>
      <c r="I57" s="113" t="s">
        <v>708</v>
      </c>
      <c r="J57" s="115">
        <v>1371.02</v>
      </c>
      <c r="K57" s="115">
        <v>13416.37</v>
      </c>
      <c r="L57" s="115">
        <v>12988.86</v>
      </c>
      <c r="M57" s="113">
        <f>+J57+L57-K57</f>
        <v>943.51000000000022</v>
      </c>
    </row>
    <row r="58" spans="1:13" s="2" customFormat="1" ht="38.25" x14ac:dyDescent="0.2">
      <c r="A58" s="24"/>
      <c r="B58" s="1"/>
      <c r="C58" s="79" t="str">
        <f>"Particulars ( 01-04-2021 to "&amp;TEXT(A5,"dd-mm-yyyy")&amp;" )"</f>
        <v>Particulars ( 01-04-2021 to 04-08-2023 )</v>
      </c>
      <c r="D58" s="80" t="s">
        <v>73</v>
      </c>
      <c r="E58" s="80" t="s">
        <v>74</v>
      </c>
      <c r="F58" s="81" t="s">
        <v>75</v>
      </c>
      <c r="G58" s="80" t="s">
        <v>76</v>
      </c>
      <c r="J58" s="118">
        <f>SUM(J55:J57)</f>
        <v>1554.12</v>
      </c>
      <c r="K58" s="118">
        <f>SUM(K55:K57)</f>
        <v>17315.190000000002</v>
      </c>
      <c r="L58" s="118">
        <f>SUM(L55:L57)</f>
        <v>17536.59</v>
      </c>
      <c r="M58" s="118">
        <f>SUM(M55:M57)</f>
        <v>1775.52</v>
      </c>
    </row>
    <row r="59" spans="1:13" s="2" customFormat="1" x14ac:dyDescent="0.2">
      <c r="A59" s="24"/>
      <c r="B59" s="1"/>
      <c r="C59" s="50" t="s">
        <v>444</v>
      </c>
      <c r="D59" s="55">
        <f>+L55+L56+J56</f>
        <v>4730.83</v>
      </c>
      <c r="E59" s="55">
        <f>+K55+K56</f>
        <v>3898.8199999999997</v>
      </c>
      <c r="F59" s="55">
        <f>+D59-E59</f>
        <v>832.01000000000022</v>
      </c>
      <c r="G59" s="55">
        <f>1500-F59</f>
        <v>667.98999999999978</v>
      </c>
      <c r="H59" s="2" t="s">
        <v>396</v>
      </c>
    </row>
    <row r="60" spans="1:13" s="2" customFormat="1" x14ac:dyDescent="0.2">
      <c r="A60" s="24"/>
      <c r="B60" s="1"/>
      <c r="C60" s="50" t="s">
        <v>71</v>
      </c>
      <c r="D60" s="55">
        <f>+J57+L57</f>
        <v>14359.880000000001</v>
      </c>
      <c r="E60" s="55">
        <f>+K57</f>
        <v>13416.37</v>
      </c>
      <c r="F60" s="55">
        <f>+D60-E60</f>
        <v>943.51000000000022</v>
      </c>
      <c r="G60" s="55">
        <f>1500+700-F60</f>
        <v>1256.4899999999998</v>
      </c>
      <c r="H60" s="2" t="s">
        <v>396</v>
      </c>
    </row>
    <row r="61" spans="1:13" s="2" customFormat="1" x14ac:dyDescent="0.2">
      <c r="A61" s="24"/>
      <c r="B61" s="1"/>
      <c r="C61" s="14"/>
      <c r="D61" s="56"/>
      <c r="E61" s="13"/>
      <c r="G61" s="1"/>
    </row>
    <row r="62" spans="1:13" s="2" customFormat="1" x14ac:dyDescent="0.2">
      <c r="A62" s="215" t="s">
        <v>80</v>
      </c>
      <c r="B62" s="216"/>
      <c r="C62" s="216"/>
      <c r="D62" s="217"/>
      <c r="E62" s="69"/>
      <c r="F62" s="70"/>
      <c r="G62" s="1"/>
      <c r="H62" s="53"/>
    </row>
    <row r="63" spans="1:13" s="2" customFormat="1" x14ac:dyDescent="0.2">
      <c r="A63" s="71" t="s">
        <v>81</v>
      </c>
      <c r="B63" s="71"/>
      <c r="C63" s="72" t="s">
        <v>82</v>
      </c>
      <c r="D63" s="73" t="s">
        <v>83</v>
      </c>
      <c r="E63" s="69"/>
      <c r="F63" s="70"/>
      <c r="H63" s="53"/>
    </row>
    <row r="64" spans="1:13" s="2" customFormat="1" x14ac:dyDescent="0.2">
      <c r="A64" s="8">
        <v>45139</v>
      </c>
      <c r="B64" s="120" t="s">
        <v>1052</v>
      </c>
      <c r="C64" s="75" t="s">
        <v>85</v>
      </c>
      <c r="D64" s="88">
        <v>552343</v>
      </c>
      <c r="G64" s="1"/>
      <c r="L64" s="1"/>
      <c r="M64" s="1"/>
    </row>
    <row r="65" spans="1:13" s="2" customFormat="1" x14ac:dyDescent="0.2">
      <c r="A65" s="8">
        <v>45140</v>
      </c>
      <c r="B65" s="120" t="s">
        <v>1052</v>
      </c>
      <c r="C65" s="75" t="s">
        <v>270</v>
      </c>
      <c r="D65" s="88">
        <v>244404</v>
      </c>
      <c r="G65" s="1"/>
      <c r="L65" s="1"/>
      <c r="M65" s="1"/>
    </row>
    <row r="66" spans="1:13" s="2" customFormat="1" x14ac:dyDescent="0.2">
      <c r="A66" s="8">
        <v>45140</v>
      </c>
      <c r="B66" s="120" t="s">
        <v>1052</v>
      </c>
      <c r="C66" s="75" t="s">
        <v>270</v>
      </c>
      <c r="D66" s="88">
        <v>550256</v>
      </c>
      <c r="G66" s="1"/>
      <c r="L66" s="1"/>
      <c r="M66" s="1"/>
    </row>
    <row r="67" spans="1:13" s="2" customFormat="1" x14ac:dyDescent="0.2">
      <c r="A67" s="8">
        <v>45140</v>
      </c>
      <c r="B67" s="120" t="s">
        <v>1052</v>
      </c>
      <c r="C67" s="75" t="s">
        <v>270</v>
      </c>
      <c r="D67" s="88">
        <v>191589</v>
      </c>
      <c r="G67" s="1"/>
      <c r="L67" s="1"/>
      <c r="M67" s="1"/>
    </row>
    <row r="68" spans="1:13" s="2" customFormat="1" x14ac:dyDescent="0.2">
      <c r="A68" s="8">
        <v>45140</v>
      </c>
      <c r="B68" s="120" t="s">
        <v>1052</v>
      </c>
      <c r="C68" s="75" t="s">
        <v>270</v>
      </c>
      <c r="D68" s="88">
        <v>74415.91</v>
      </c>
      <c r="G68" s="1"/>
      <c r="L68" s="1"/>
      <c r="M68" s="1"/>
    </row>
    <row r="69" spans="1:13" s="2" customFormat="1" x14ac:dyDescent="0.2">
      <c r="A69" s="8">
        <v>45140</v>
      </c>
      <c r="B69" s="120" t="s">
        <v>1052</v>
      </c>
      <c r="C69" s="75" t="s">
        <v>271</v>
      </c>
      <c r="D69" s="88">
        <v>454781</v>
      </c>
      <c r="G69" s="1"/>
      <c r="L69" s="1"/>
      <c r="M69" s="1"/>
    </row>
    <row r="70" spans="1:13" s="2" customFormat="1" x14ac:dyDescent="0.2">
      <c r="A70" s="8">
        <v>45141</v>
      </c>
      <c r="B70" s="120" t="s">
        <v>1052</v>
      </c>
      <c r="C70" s="75" t="s">
        <v>909</v>
      </c>
      <c r="D70" s="88">
        <v>910969</v>
      </c>
      <c r="G70" s="1"/>
      <c r="L70" s="1"/>
      <c r="M70" s="1"/>
    </row>
    <row r="71" spans="1:13" s="2" customFormat="1" x14ac:dyDescent="0.2">
      <c r="A71" s="8">
        <v>45141</v>
      </c>
      <c r="B71" s="120" t="s">
        <v>1052</v>
      </c>
      <c r="C71" s="75" t="s">
        <v>909</v>
      </c>
      <c r="D71" s="88">
        <v>1424635</v>
      </c>
      <c r="G71" s="1"/>
      <c r="L71" s="1"/>
      <c r="M71" s="1"/>
    </row>
    <row r="72" spans="1:13" s="2" customFormat="1" x14ac:dyDescent="0.2">
      <c r="A72" s="87"/>
      <c r="B72" s="74"/>
      <c r="C72" s="75"/>
      <c r="D72" s="51">
        <f>SUM(D64:D71)</f>
        <v>4403392.91</v>
      </c>
      <c r="F72" s="2" t="s">
        <v>396</v>
      </c>
      <c r="G72" s="1"/>
      <c r="L72" s="1"/>
      <c r="M72" s="1"/>
    </row>
    <row r="73" spans="1:13" s="2" customFormat="1" x14ac:dyDescent="0.2">
      <c r="A73" s="24"/>
      <c r="B73" s="1"/>
      <c r="C73" s="14"/>
      <c r="D73" s="56"/>
      <c r="E73" s="13"/>
      <c r="G73" s="1"/>
      <c r="L73" s="1"/>
      <c r="M73" s="1"/>
    </row>
    <row r="74" spans="1:13" s="2" customFormat="1" x14ac:dyDescent="0.2">
      <c r="A74" s="24"/>
      <c r="B74" s="1"/>
      <c r="C74" s="218" t="s">
        <v>77</v>
      </c>
      <c r="D74" s="219"/>
      <c r="E74" s="219"/>
      <c r="F74" s="220"/>
      <c r="G74" s="1"/>
      <c r="L74" s="1"/>
      <c r="M74" s="1"/>
    </row>
    <row r="75" spans="1:13" s="2" customFormat="1" x14ac:dyDescent="0.2">
      <c r="A75" s="24"/>
      <c r="B75" s="1"/>
      <c r="C75" s="50"/>
      <c r="D75" s="57" t="s">
        <v>78</v>
      </c>
      <c r="E75" s="58" t="s">
        <v>79</v>
      </c>
      <c r="F75" s="57" t="s">
        <v>72</v>
      </c>
      <c r="G75" s="1"/>
      <c r="I75" s="1"/>
      <c r="J75" s="1"/>
      <c r="K75" s="1"/>
      <c r="L75" s="1"/>
      <c r="M75" s="1"/>
    </row>
    <row r="76" spans="1:13" s="2" customFormat="1" x14ac:dyDescent="0.2">
      <c r="A76" s="24"/>
      <c r="B76" s="1"/>
      <c r="C76" s="59" t="str">
        <f>"01-08-2023 to "&amp;TEXT(A5-2,"dd-mm-yyyy")</f>
        <v>01-08-2023 to 02-08-2023</v>
      </c>
      <c r="D76" s="60">
        <v>366.68</v>
      </c>
      <c r="E76" s="60">
        <v>15.51</v>
      </c>
      <c r="F76" s="61">
        <f>SUM(D76:E76)</f>
        <v>382.19</v>
      </c>
      <c r="G76" s="1"/>
    </row>
    <row r="77" spans="1:13" s="2" customFormat="1" x14ac:dyDescent="0.2">
      <c r="A77" s="24"/>
      <c r="B77" s="1"/>
      <c r="C77" s="62" t="str">
        <f>TEXT(A5-1,"dd-mm-yyyy")</f>
        <v>03-08-2023</v>
      </c>
      <c r="D77" s="60">
        <v>206.18</v>
      </c>
      <c r="E77" s="60">
        <v>7.84</v>
      </c>
      <c r="F77" s="61">
        <f>SUM(D77:E77)</f>
        <v>214.02</v>
      </c>
      <c r="G77" s="54"/>
      <c r="I77" s="1"/>
      <c r="J77" s="1"/>
      <c r="K77" s="1"/>
      <c r="L77" s="1"/>
      <c r="M77" s="1"/>
    </row>
    <row r="78" spans="1:13" s="2" customFormat="1" ht="13.5" thickBot="1" x14ac:dyDescent="0.25">
      <c r="A78" s="24"/>
      <c r="B78" s="1"/>
      <c r="C78" s="63" t="str">
        <f>"01-08-2023 to "&amp;TEXT(A5-1,"dd-mm-yyyy")</f>
        <v>01-08-2023 to 03-08-2023</v>
      </c>
      <c r="D78" s="64">
        <f>SUM(D76:D77)</f>
        <v>572.86</v>
      </c>
      <c r="E78" s="64">
        <f>SUM(E76:E77)</f>
        <v>23.35</v>
      </c>
      <c r="F78" s="64">
        <f>SUM(F76:F77)</f>
        <v>596.21</v>
      </c>
      <c r="G78" s="54"/>
      <c r="I78" s="1"/>
      <c r="J78" s="1"/>
      <c r="K78" s="1"/>
      <c r="L78" s="1"/>
      <c r="M78" s="1"/>
    </row>
    <row r="79" spans="1:13" s="2" customFormat="1" ht="13.5" thickTop="1" x14ac:dyDescent="0.2">
      <c r="A79" s="24"/>
      <c r="B79" s="1"/>
      <c r="C79" s="62"/>
      <c r="D79" s="65"/>
      <c r="E79" s="66"/>
      <c r="F79" s="67"/>
      <c r="G79" s="54"/>
      <c r="I79" s="1"/>
      <c r="J79" s="1"/>
      <c r="K79" s="1"/>
      <c r="L79" s="1"/>
      <c r="M79" s="1"/>
    </row>
    <row r="80" spans="1:13" s="2" customFormat="1" x14ac:dyDescent="0.2">
      <c r="A80" s="24"/>
      <c r="B80" s="1"/>
      <c r="C80" s="62" t="str">
        <f>"01-04-2023 to " &amp;C77</f>
        <v>01-04-2023 to 03-08-2023</v>
      </c>
      <c r="D80" s="68">
        <f>+D78+20827.32</f>
        <v>21400.18</v>
      </c>
      <c r="E80" s="68">
        <f>+E78+1376.76</f>
        <v>1400.11</v>
      </c>
      <c r="F80" s="68">
        <f>+F78+22204.08</f>
        <v>22800.29</v>
      </c>
      <c r="G80" s="54"/>
      <c r="I80" s="1"/>
      <c r="J80" s="1"/>
      <c r="K80" s="1"/>
      <c r="L80" s="1"/>
      <c r="M80" s="1"/>
    </row>
    <row r="81" spans="1:10" x14ac:dyDescent="0.2">
      <c r="C81" s="52"/>
      <c r="D81" s="85"/>
      <c r="E81" s="53"/>
      <c r="F81" s="53"/>
      <c r="G81" s="54"/>
      <c r="H81" s="2" t="s">
        <v>396</v>
      </c>
    </row>
    <row r="82" spans="1:10" s="2" customFormat="1" x14ac:dyDescent="0.2">
      <c r="A82" s="24"/>
      <c r="B82" s="1"/>
      <c r="C82" s="52"/>
      <c r="D82" s="85"/>
      <c r="E82" s="53"/>
      <c r="F82" s="53"/>
      <c r="G82" s="54"/>
      <c r="H82" s="53"/>
    </row>
    <row r="83" spans="1:10" x14ac:dyDescent="0.2">
      <c r="C83" s="52"/>
      <c r="D83" s="85"/>
      <c r="E83" s="53"/>
      <c r="F83" s="53"/>
      <c r="G83" s="54"/>
      <c r="H83" s="53" t="s">
        <v>396</v>
      </c>
    </row>
    <row r="84" spans="1:10" x14ac:dyDescent="0.2">
      <c r="C84" s="52"/>
      <c r="D84" s="85"/>
      <c r="E84" s="53"/>
      <c r="F84" s="53"/>
      <c r="G84" s="54"/>
      <c r="H84" s="53" t="s">
        <v>396</v>
      </c>
      <c r="J84" s="42"/>
    </row>
    <row r="85" spans="1:10" x14ac:dyDescent="0.2">
      <c r="G85" s="54"/>
      <c r="H85" s="53"/>
      <c r="I85" s="101"/>
    </row>
    <row r="86" spans="1:10" x14ac:dyDescent="0.2">
      <c r="G86" s="54"/>
      <c r="H86" s="53"/>
    </row>
    <row r="87" spans="1:10" x14ac:dyDescent="0.2">
      <c r="G87" s="54"/>
      <c r="H87" s="53"/>
    </row>
    <row r="88" spans="1:10" x14ac:dyDescent="0.2">
      <c r="H88" s="53"/>
    </row>
  </sheetData>
  <mergeCells count="6">
    <mergeCell ref="C74:F74"/>
    <mergeCell ref="A1:G1"/>
    <mergeCell ref="A3:F3"/>
    <mergeCell ref="A9:F9"/>
    <mergeCell ref="A22:F22"/>
    <mergeCell ref="A62:D62"/>
  </mergeCells>
  <conditionalFormatting sqref="G59:G60">
    <cfRule type="cellIs" dxfId="379" priority="1" operator="lessThan">
      <formula>0</formula>
    </cfRule>
  </conditionalFormatting>
  <conditionalFormatting sqref="C24">
    <cfRule type="duplicateValues" dxfId="378" priority="2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500-000000000000}">
  <sheetPr codeName="Sheet397">
    <pageSetUpPr fitToPage="1"/>
  </sheetPr>
  <dimension ref="A1:N97"/>
  <sheetViews>
    <sheetView topLeftCell="A38" zoomScaleNormal="100" workbookViewId="0">
      <selection activeCell="E38" sqref="E38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1309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45143</v>
      </c>
      <c r="B5" s="9" t="s">
        <v>6</v>
      </c>
      <c r="C5" s="10" t="s">
        <v>7</v>
      </c>
      <c r="D5" s="11"/>
      <c r="E5" s="12">
        <v>277691.7</v>
      </c>
      <c r="F5" s="12"/>
      <c r="G5" s="1"/>
      <c r="H5" s="112"/>
      <c r="I5" s="112"/>
    </row>
    <row r="6" spans="1:10" s="2" customFormat="1" ht="14.25" customHeight="1" x14ac:dyDescent="0.4">
      <c r="A6" s="89">
        <v>45143</v>
      </c>
      <c r="B6" s="9" t="s">
        <v>6</v>
      </c>
      <c r="C6" s="10" t="s">
        <v>400</v>
      </c>
      <c r="D6" s="11" t="s">
        <v>13</v>
      </c>
      <c r="E6" s="12">
        <v>3500000</v>
      </c>
      <c r="F6" s="12"/>
      <c r="G6" s="1"/>
      <c r="H6" s="112"/>
      <c r="I6" s="112"/>
    </row>
    <row r="7" spans="1:10" s="2" customFormat="1" ht="12.75" customHeight="1" x14ac:dyDescent="0.4">
      <c r="D7" s="15" t="s">
        <v>8</v>
      </c>
      <c r="E7" s="16">
        <f>SUM(E5:E6)</f>
        <v>3777691.7</v>
      </c>
      <c r="F7" s="16">
        <f>SUM(F5:F5)</f>
        <v>0</v>
      </c>
      <c r="G7" s="1"/>
      <c r="H7" s="112"/>
      <c r="I7" s="112"/>
    </row>
    <row r="8" spans="1:10" s="2" customFormat="1" ht="12.75" customHeight="1" x14ac:dyDescent="0.4">
      <c r="A8" s="17"/>
      <c r="B8" s="18"/>
      <c r="C8" s="19" t="s">
        <v>9</v>
      </c>
      <c r="D8" s="20"/>
      <c r="E8" s="21">
        <f>+E7-F7</f>
        <v>3777691.7</v>
      </c>
      <c r="F8" s="22"/>
      <c r="G8" s="23"/>
      <c r="H8" s="112"/>
      <c r="I8" s="112"/>
      <c r="J8" s="13"/>
    </row>
    <row r="9" spans="1:10" ht="12.75" customHeight="1" x14ac:dyDescent="0.4">
      <c r="H9" s="112"/>
      <c r="I9" s="112"/>
    </row>
    <row r="10" spans="1:10" ht="18" customHeight="1" x14ac:dyDescent="0.4">
      <c r="A10" s="213" t="s">
        <v>1037</v>
      </c>
      <c r="B10" s="213"/>
      <c r="C10" s="213"/>
      <c r="D10" s="213"/>
      <c r="E10" s="213"/>
      <c r="F10" s="213"/>
      <c r="H10" s="112"/>
      <c r="I10" s="112"/>
    </row>
    <row r="11" spans="1:10" ht="12.75" customHeight="1" x14ac:dyDescent="0.4">
      <c r="A11" s="3" t="s">
        <v>1</v>
      </c>
      <c r="B11" s="4" t="s">
        <v>2</v>
      </c>
      <c r="C11" s="5"/>
      <c r="D11" s="6" t="s">
        <v>3</v>
      </c>
      <c r="E11" s="7" t="s">
        <v>4</v>
      </c>
      <c r="F11" s="7" t="s">
        <v>5</v>
      </c>
      <c r="H11" s="112"/>
      <c r="I11" s="112"/>
    </row>
    <row r="12" spans="1:10" s="2" customFormat="1" ht="14.25" customHeight="1" x14ac:dyDescent="0.2">
      <c r="A12" s="89">
        <v>45143</v>
      </c>
      <c r="B12" s="9" t="s">
        <v>6</v>
      </c>
      <c r="C12" s="10" t="s">
        <v>7</v>
      </c>
      <c r="D12" s="11"/>
      <c r="F12" s="12">
        <v>22331510.68</v>
      </c>
      <c r="G12" s="1"/>
      <c r="H12" s="130" t="s">
        <v>396</v>
      </c>
      <c r="I12" s="130"/>
    </row>
    <row r="13" spans="1:10" s="70" customFormat="1" ht="12.75" customHeight="1" x14ac:dyDescent="0.2">
      <c r="A13" s="89">
        <v>45143</v>
      </c>
      <c r="B13" s="128" t="s">
        <v>6</v>
      </c>
      <c r="C13" s="76" t="s">
        <v>298</v>
      </c>
      <c r="D13" s="11" t="s">
        <v>13</v>
      </c>
      <c r="E13" s="31">
        <v>875461.4</v>
      </c>
      <c r="F13" s="31"/>
      <c r="G13" s="30"/>
      <c r="I13" s="69"/>
      <c r="J13" s="69"/>
    </row>
    <row r="14" spans="1:10" s="70" customFormat="1" ht="12.75" customHeight="1" x14ac:dyDescent="0.2">
      <c r="A14" s="89">
        <v>45143</v>
      </c>
      <c r="B14" s="128" t="s">
        <v>11</v>
      </c>
      <c r="C14" s="76" t="s">
        <v>1137</v>
      </c>
      <c r="D14" s="11" t="s">
        <v>29</v>
      </c>
      <c r="E14" s="31"/>
      <c r="F14" s="31">
        <f>9322+5443</f>
        <v>14765</v>
      </c>
      <c r="G14" s="30"/>
      <c r="I14" s="69"/>
      <c r="J14" s="69"/>
    </row>
    <row r="15" spans="1:10" s="2" customFormat="1" ht="12.75" customHeight="1" x14ac:dyDescent="0.4">
      <c r="D15" s="11" t="s">
        <v>8</v>
      </c>
      <c r="E15" s="16">
        <f>SUM(E13:E13)</f>
        <v>875461.4</v>
      </c>
      <c r="F15" s="16">
        <f>SUM(F12:F14)</f>
        <v>22346275.68</v>
      </c>
      <c r="G15" s="1"/>
      <c r="H15" s="112"/>
      <c r="I15" s="112"/>
    </row>
    <row r="16" spans="1:10" s="2" customFormat="1" ht="12.75" customHeight="1" x14ac:dyDescent="0.4">
      <c r="A16" s="17"/>
      <c r="B16" s="18"/>
      <c r="C16" s="96" t="s">
        <v>9</v>
      </c>
      <c r="D16" s="20"/>
      <c r="E16" s="21">
        <f>+F15-E15</f>
        <v>21470814.280000001</v>
      </c>
      <c r="G16" s="23"/>
      <c r="H16" s="112"/>
      <c r="I16" s="112"/>
      <c r="J16" s="13"/>
    </row>
    <row r="17" spans="1:10" s="2" customFormat="1" ht="12.75" customHeight="1" x14ac:dyDescent="0.4">
      <c r="A17" s="24"/>
      <c r="B17" s="1"/>
      <c r="C17" s="14"/>
      <c r="D17" s="25"/>
      <c r="G17" s="23"/>
      <c r="H17" s="112"/>
      <c r="I17" s="112"/>
      <c r="J17" s="13"/>
    </row>
    <row r="18" spans="1:10" s="2" customFormat="1" ht="21.75" customHeight="1" x14ac:dyDescent="0.4">
      <c r="A18" s="214" t="s">
        <v>10</v>
      </c>
      <c r="B18" s="214"/>
      <c r="C18" s="214"/>
      <c r="D18" s="214"/>
      <c r="E18" s="214"/>
      <c r="F18" s="214"/>
      <c r="G18" s="13"/>
      <c r="H18" s="112"/>
      <c r="I18" s="112"/>
      <c r="J18" s="13"/>
    </row>
    <row r="19" spans="1:10" s="2" customFormat="1" ht="12.75" customHeight="1" x14ac:dyDescent="0.4">
      <c r="A19" s="26" t="s">
        <v>1</v>
      </c>
      <c r="B19" s="27" t="s">
        <v>2</v>
      </c>
      <c r="C19" s="5"/>
      <c r="D19" s="6" t="s">
        <v>3</v>
      </c>
      <c r="E19" s="7" t="s">
        <v>4</v>
      </c>
      <c r="F19" s="7" t="s">
        <v>5</v>
      </c>
      <c r="G19" s="23"/>
      <c r="H19" s="112"/>
      <c r="I19" s="112"/>
      <c r="J19" s="13"/>
    </row>
    <row r="20" spans="1:10" s="2" customFormat="1" ht="12.75" customHeight="1" x14ac:dyDescent="0.2">
      <c r="A20" s="89">
        <v>45143</v>
      </c>
      <c r="B20" s="128" t="s">
        <v>11</v>
      </c>
      <c r="C20" s="29" t="s">
        <v>7</v>
      </c>
      <c r="D20" s="25"/>
      <c r="E20" s="31"/>
      <c r="F20" s="2">
        <v>309120422.37999982</v>
      </c>
      <c r="G20" s="30"/>
      <c r="I20" s="13"/>
      <c r="J20" s="13"/>
    </row>
    <row r="21" spans="1:10" s="70" customFormat="1" ht="12.75" customHeight="1" x14ac:dyDescent="0.2">
      <c r="A21" s="89">
        <v>45143</v>
      </c>
      <c r="B21" s="128" t="s">
        <v>6</v>
      </c>
      <c r="C21" s="10" t="s">
        <v>764</v>
      </c>
      <c r="D21" s="11" t="s">
        <v>13</v>
      </c>
      <c r="E21" s="86">
        <v>3569301.75</v>
      </c>
      <c r="G21" s="30"/>
      <c r="I21" s="69"/>
      <c r="J21" s="69"/>
    </row>
    <row r="22" spans="1:10" s="70" customFormat="1" ht="12.75" customHeight="1" x14ac:dyDescent="0.2">
      <c r="A22" s="89">
        <v>45143</v>
      </c>
      <c r="B22" s="128" t="s">
        <v>6</v>
      </c>
      <c r="C22" s="10" t="s">
        <v>755</v>
      </c>
      <c r="D22" s="11" t="s">
        <v>13</v>
      </c>
      <c r="E22" s="86">
        <v>480550.54</v>
      </c>
      <c r="G22" s="30"/>
      <c r="I22" s="69"/>
      <c r="J22" s="69"/>
    </row>
    <row r="23" spans="1:10" s="70" customFormat="1" ht="12.75" customHeight="1" x14ac:dyDescent="0.2">
      <c r="A23" s="89">
        <v>45143</v>
      </c>
      <c r="B23" s="128" t="s">
        <v>6</v>
      </c>
      <c r="C23" s="10" t="s">
        <v>748</v>
      </c>
      <c r="D23" s="11" t="s">
        <v>13</v>
      </c>
      <c r="E23" s="86">
        <v>1113723.45</v>
      </c>
      <c r="G23" s="30"/>
      <c r="I23" s="69"/>
      <c r="J23" s="69"/>
    </row>
    <row r="24" spans="1:10" s="70" customFormat="1" ht="12.75" customHeight="1" x14ac:dyDescent="0.2">
      <c r="A24" s="89">
        <v>45143</v>
      </c>
      <c r="B24" s="128" t="s">
        <v>6</v>
      </c>
      <c r="C24" s="10" t="s">
        <v>760</v>
      </c>
      <c r="D24" s="11" t="s">
        <v>13</v>
      </c>
      <c r="E24" s="86">
        <v>1205483.92</v>
      </c>
      <c r="G24" s="30"/>
      <c r="I24" s="69"/>
      <c r="J24" s="69"/>
    </row>
    <row r="25" spans="1:10" s="70" customFormat="1" ht="12.75" customHeight="1" x14ac:dyDescent="0.2">
      <c r="A25" s="89">
        <v>45143</v>
      </c>
      <c r="B25" s="128" t="s">
        <v>6</v>
      </c>
      <c r="C25" s="10" t="s">
        <v>14</v>
      </c>
      <c r="D25" s="11" t="s">
        <v>13</v>
      </c>
      <c r="E25" s="86">
        <v>950694</v>
      </c>
      <c r="G25" s="30"/>
      <c r="I25" s="69"/>
      <c r="J25" s="69"/>
    </row>
    <row r="26" spans="1:10" s="70" customFormat="1" ht="12.75" customHeight="1" x14ac:dyDescent="0.2">
      <c r="A26" s="89">
        <v>45143</v>
      </c>
      <c r="B26" s="128" t="s">
        <v>6</v>
      </c>
      <c r="C26" s="10" t="s">
        <v>947</v>
      </c>
      <c r="D26" s="11" t="s">
        <v>13</v>
      </c>
      <c r="E26" s="86">
        <v>17939</v>
      </c>
      <c r="G26" s="30"/>
      <c r="I26" s="69"/>
      <c r="J26" s="69"/>
    </row>
    <row r="27" spans="1:10" s="70" customFormat="1" ht="12.75" customHeight="1" x14ac:dyDescent="0.2">
      <c r="A27" s="89">
        <v>45143</v>
      </c>
      <c r="B27" s="128" t="s">
        <v>6</v>
      </c>
      <c r="C27" s="10" t="s">
        <v>336</v>
      </c>
      <c r="D27" s="11" t="s">
        <v>13</v>
      </c>
      <c r="E27" s="86">
        <v>188541</v>
      </c>
      <c r="G27" s="30"/>
      <c r="I27" s="69"/>
      <c r="J27" s="69"/>
    </row>
    <row r="28" spans="1:10" s="70" customFormat="1" ht="12.75" customHeight="1" x14ac:dyDescent="0.2">
      <c r="A28" s="89">
        <v>45143</v>
      </c>
      <c r="B28" s="128" t="s">
        <v>6</v>
      </c>
      <c r="C28" s="10" t="s">
        <v>1241</v>
      </c>
      <c r="D28" s="11" t="s">
        <v>13</v>
      </c>
      <c r="E28" s="86">
        <v>242293</v>
      </c>
      <c r="G28" s="30"/>
      <c r="I28" s="69"/>
      <c r="J28" s="69"/>
    </row>
    <row r="29" spans="1:10" s="70" customFormat="1" ht="12.75" customHeight="1" x14ac:dyDescent="0.2">
      <c r="A29" s="89">
        <v>45143</v>
      </c>
      <c r="B29" s="128" t="s">
        <v>6</v>
      </c>
      <c r="C29" s="10" t="s">
        <v>159</v>
      </c>
      <c r="D29" s="11" t="s">
        <v>13</v>
      </c>
      <c r="E29" s="86">
        <v>431881</v>
      </c>
      <c r="G29" s="30"/>
      <c r="I29" s="69"/>
      <c r="J29" s="69"/>
    </row>
    <row r="30" spans="1:10" s="70" customFormat="1" ht="12.75" customHeight="1" x14ac:dyDescent="0.2">
      <c r="A30" s="89">
        <v>45143</v>
      </c>
      <c r="B30" s="128" t="s">
        <v>6</v>
      </c>
      <c r="C30" s="10" t="s">
        <v>418</v>
      </c>
      <c r="D30" s="11" t="s">
        <v>13</v>
      </c>
      <c r="E30" s="86">
        <v>60422</v>
      </c>
      <c r="G30" s="30"/>
      <c r="I30" s="69"/>
      <c r="J30" s="69"/>
    </row>
    <row r="31" spans="1:10" s="70" customFormat="1" ht="12.75" customHeight="1" x14ac:dyDescent="0.2">
      <c r="A31" s="89">
        <v>45143</v>
      </c>
      <c r="B31" s="128" t="s">
        <v>6</v>
      </c>
      <c r="C31" s="10" t="s">
        <v>1310</v>
      </c>
      <c r="D31" s="11" t="s">
        <v>13</v>
      </c>
      <c r="E31" s="86">
        <v>11718</v>
      </c>
      <c r="G31" s="30"/>
      <c r="I31" s="69"/>
      <c r="J31" s="69"/>
    </row>
    <row r="32" spans="1:10" s="70" customFormat="1" ht="12.75" customHeight="1" x14ac:dyDescent="0.2">
      <c r="A32" s="89">
        <v>45143</v>
      </c>
      <c r="B32" s="128" t="s">
        <v>6</v>
      </c>
      <c r="C32" s="10" t="s">
        <v>510</v>
      </c>
      <c r="D32" s="11" t="s">
        <v>13</v>
      </c>
      <c r="E32" s="86">
        <v>439217</v>
      </c>
      <c r="G32" s="30"/>
      <c r="I32" s="69"/>
      <c r="J32" s="69"/>
    </row>
    <row r="33" spans="1:13" s="70" customFormat="1" ht="12.75" customHeight="1" x14ac:dyDescent="0.2">
      <c r="A33" s="89">
        <v>45143</v>
      </c>
      <c r="B33" s="128" t="s">
        <v>6</v>
      </c>
      <c r="C33" s="10" t="s">
        <v>758</v>
      </c>
      <c r="D33" s="11" t="s">
        <v>13</v>
      </c>
      <c r="E33" s="86">
        <v>153172.4</v>
      </c>
      <c r="G33" s="30"/>
      <c r="I33" s="69"/>
      <c r="J33" s="69"/>
    </row>
    <row r="34" spans="1:13" s="70" customFormat="1" ht="12.75" customHeight="1" x14ac:dyDescent="0.2">
      <c r="A34" s="89">
        <v>45143</v>
      </c>
      <c r="B34" s="128" t="s">
        <v>6</v>
      </c>
      <c r="C34" s="10" t="s">
        <v>15</v>
      </c>
      <c r="D34" s="11" t="s">
        <v>13</v>
      </c>
      <c r="E34" s="86">
        <v>28781.719999999998</v>
      </c>
      <c r="G34" s="30"/>
      <c r="I34" s="69"/>
      <c r="J34" s="69"/>
    </row>
    <row r="35" spans="1:13" s="70" customFormat="1" ht="12.75" customHeight="1" x14ac:dyDescent="0.2">
      <c r="A35" s="89">
        <v>45143</v>
      </c>
      <c r="B35" s="128" t="s">
        <v>6</v>
      </c>
      <c r="C35" s="10" t="s">
        <v>749</v>
      </c>
      <c r="D35" s="11" t="s">
        <v>13</v>
      </c>
      <c r="E35" s="86">
        <v>177488</v>
      </c>
      <c r="G35" s="30"/>
      <c r="I35" s="69"/>
      <c r="J35" s="69"/>
    </row>
    <row r="36" spans="1:13" s="70" customFormat="1" ht="12.75" customHeight="1" x14ac:dyDescent="0.2">
      <c r="A36" s="89">
        <v>45143</v>
      </c>
      <c r="B36" s="128" t="s">
        <v>6</v>
      </c>
      <c r="C36" s="10" t="s">
        <v>146</v>
      </c>
      <c r="D36" s="11" t="s">
        <v>13</v>
      </c>
      <c r="E36" s="86">
        <v>950358.46</v>
      </c>
      <c r="G36" s="30"/>
      <c r="I36" s="69"/>
      <c r="J36" s="69"/>
    </row>
    <row r="37" spans="1:13" s="70" customFormat="1" ht="12.75" customHeight="1" x14ac:dyDescent="0.2">
      <c r="A37" s="89">
        <v>45143</v>
      </c>
      <c r="B37" s="128" t="s">
        <v>6</v>
      </c>
      <c r="C37" s="10" t="s">
        <v>810</v>
      </c>
      <c r="D37" s="11" t="s">
        <v>13</v>
      </c>
      <c r="E37" s="86">
        <v>200000</v>
      </c>
      <c r="G37" s="30"/>
      <c r="I37" s="69"/>
      <c r="J37" s="69"/>
    </row>
    <row r="38" spans="1:13" s="70" customFormat="1" ht="12.75" customHeight="1" x14ac:dyDescent="0.2">
      <c r="A38" s="89">
        <v>45143</v>
      </c>
      <c r="B38" s="128" t="s">
        <v>6</v>
      </c>
      <c r="C38" s="10" t="s">
        <v>759</v>
      </c>
      <c r="D38" s="11" t="s">
        <v>13</v>
      </c>
      <c r="E38" s="86">
        <v>1003148.55</v>
      </c>
      <c r="G38" s="30"/>
      <c r="I38" s="69"/>
      <c r="J38" s="69"/>
    </row>
    <row r="39" spans="1:13" s="70" customFormat="1" ht="12.75" customHeight="1" x14ac:dyDescent="0.2">
      <c r="A39" s="89">
        <v>45143</v>
      </c>
      <c r="B39" s="128" t="s">
        <v>6</v>
      </c>
      <c r="C39" s="10" t="s">
        <v>1221</v>
      </c>
      <c r="D39" s="11" t="s">
        <v>13</v>
      </c>
      <c r="E39" s="86">
        <v>376899</v>
      </c>
      <c r="G39" s="30"/>
      <c r="I39" s="69"/>
      <c r="J39" s="69"/>
    </row>
    <row r="40" spans="1:13" s="70" customFormat="1" ht="12.75" customHeight="1" x14ac:dyDescent="0.2">
      <c r="A40" s="89">
        <v>45143</v>
      </c>
      <c r="B40" s="128" t="s">
        <v>11</v>
      </c>
      <c r="C40" s="10" t="s">
        <v>64</v>
      </c>
      <c r="D40" s="11" t="s">
        <v>29</v>
      </c>
      <c r="E40" s="86"/>
      <c r="F40" s="70">
        <v>7376.18</v>
      </c>
      <c r="G40" s="30"/>
      <c r="I40" s="69"/>
      <c r="J40" s="69"/>
    </row>
    <row r="41" spans="1:13" s="70" customFormat="1" ht="12.75" customHeight="1" x14ac:dyDescent="0.2">
      <c r="A41" s="89">
        <v>45143</v>
      </c>
      <c r="B41" s="128" t="s">
        <v>11</v>
      </c>
      <c r="C41" s="10" t="s">
        <v>183</v>
      </c>
      <c r="D41" s="11" t="s">
        <v>29</v>
      </c>
      <c r="E41" s="86"/>
      <c r="F41" s="70">
        <v>20623</v>
      </c>
      <c r="G41" s="30"/>
      <c r="I41" s="69"/>
      <c r="J41" s="69"/>
    </row>
    <row r="42" spans="1:13" s="70" customFormat="1" ht="12.75" customHeight="1" x14ac:dyDescent="0.2">
      <c r="A42" s="89">
        <v>45143</v>
      </c>
      <c r="B42" s="128" t="s">
        <v>11</v>
      </c>
      <c r="C42" s="10" t="s">
        <v>182</v>
      </c>
      <c r="D42" s="11" t="s">
        <v>29</v>
      </c>
      <c r="E42" s="86"/>
      <c r="F42" s="70">
        <v>164557</v>
      </c>
      <c r="G42" s="30"/>
      <c r="I42" s="69"/>
      <c r="J42" s="69"/>
    </row>
    <row r="43" spans="1:13" s="70" customFormat="1" ht="12.75" customHeight="1" x14ac:dyDescent="0.2">
      <c r="A43" s="89">
        <v>45143</v>
      </c>
      <c r="B43" s="128" t="s">
        <v>11</v>
      </c>
      <c r="C43" s="10" t="s">
        <v>111</v>
      </c>
      <c r="D43" s="11" t="s">
        <v>29</v>
      </c>
      <c r="E43" s="86"/>
      <c r="F43" s="70">
        <v>227733.97</v>
      </c>
      <c r="G43" s="30"/>
      <c r="I43" s="69"/>
      <c r="J43" s="69"/>
    </row>
    <row r="44" spans="1:13" s="70" customFormat="1" ht="12.75" customHeight="1" x14ac:dyDescent="0.2">
      <c r="A44" s="89">
        <v>45143</v>
      </c>
      <c r="B44" s="128" t="s">
        <v>11</v>
      </c>
      <c r="C44" s="10" t="s">
        <v>127</v>
      </c>
      <c r="D44" s="11" t="s">
        <v>29</v>
      </c>
      <c r="E44" s="86"/>
      <c r="F44" s="70">
        <v>9481258</v>
      </c>
      <c r="G44" s="30"/>
      <c r="I44" s="69"/>
      <c r="J44" s="69"/>
    </row>
    <row r="45" spans="1:13" s="70" customFormat="1" ht="12.75" customHeight="1" x14ac:dyDescent="0.2">
      <c r="A45" s="89">
        <v>45143</v>
      </c>
      <c r="B45" s="128" t="s">
        <v>11</v>
      </c>
      <c r="C45" s="10" t="s">
        <v>223</v>
      </c>
      <c r="D45" s="11" t="s">
        <v>29</v>
      </c>
      <c r="E45" s="86"/>
      <c r="F45" s="70">
        <v>161144</v>
      </c>
      <c r="G45" s="30"/>
      <c r="I45" s="69"/>
      <c r="J45" s="69"/>
    </row>
    <row r="46" spans="1:13" s="70" customFormat="1" ht="12.75" customHeight="1" x14ac:dyDescent="0.2">
      <c r="A46" s="89">
        <v>45143</v>
      </c>
      <c r="B46" s="128" t="s">
        <v>11</v>
      </c>
      <c r="C46" s="10" t="s">
        <v>34</v>
      </c>
      <c r="D46" s="11" t="s">
        <v>29</v>
      </c>
      <c r="E46" s="86"/>
      <c r="F46" s="70">
        <v>20000</v>
      </c>
      <c r="G46" s="30"/>
      <c r="I46" s="69"/>
      <c r="J46" s="69"/>
    </row>
    <row r="47" spans="1:13" s="70" customFormat="1" ht="12.75" customHeight="1" x14ac:dyDescent="0.2">
      <c r="A47" s="89">
        <v>45143</v>
      </c>
      <c r="B47" s="128" t="s">
        <v>11</v>
      </c>
      <c r="C47" s="10" t="s">
        <v>402</v>
      </c>
      <c r="D47" s="11" t="s">
        <v>29</v>
      </c>
      <c r="E47" s="86"/>
      <c r="F47" s="70">
        <v>3500000</v>
      </c>
      <c r="G47" s="30"/>
      <c r="I47" s="69"/>
      <c r="J47" s="69"/>
    </row>
    <row r="48" spans="1:13" s="2" customFormat="1" ht="12.75" customHeight="1" x14ac:dyDescent="0.2">
      <c r="A48" s="32"/>
      <c r="B48" s="33"/>
      <c r="C48" s="14"/>
      <c r="D48" s="34"/>
      <c r="E48" s="16">
        <f>SUM(E20:E47)</f>
        <v>11601612.790000003</v>
      </c>
      <c r="F48" s="16">
        <f>SUM(F20:F47)</f>
        <v>322703114.52999985</v>
      </c>
      <c r="G48" s="30"/>
      <c r="H48" s="1"/>
      <c r="I48" s="38">
        <v>311101501.74000001</v>
      </c>
      <c r="J48" s="2" t="s">
        <v>396</v>
      </c>
      <c r="K48" s="92">
        <f>E49-I48</f>
        <v>0</v>
      </c>
      <c r="L48" s="41"/>
      <c r="M48" s="42"/>
    </row>
    <row r="49" spans="1:14" s="2" customFormat="1" ht="12.75" customHeight="1" x14ac:dyDescent="0.2">
      <c r="A49" s="36"/>
      <c r="B49" s="28" t="s">
        <v>11</v>
      </c>
      <c r="C49" s="19" t="s">
        <v>65</v>
      </c>
      <c r="D49" s="37"/>
      <c r="E49" s="38">
        <f>F48-E48</f>
        <v>311101501.73999983</v>
      </c>
      <c r="F49" s="22"/>
      <c r="G49" s="1"/>
      <c r="H49" s="1"/>
      <c r="J49" s="1"/>
      <c r="K49" s="1"/>
      <c r="L49" s="1"/>
      <c r="M49" s="1"/>
    </row>
    <row r="50" spans="1:14" s="2" customFormat="1" ht="12.75" customHeight="1" x14ac:dyDescent="0.2">
      <c r="A50" s="36"/>
      <c r="B50" s="28" t="s">
        <v>66</v>
      </c>
      <c r="C50" s="43" t="s">
        <v>67</v>
      </c>
      <c r="D50" s="43"/>
      <c r="E50" s="12">
        <v>0</v>
      </c>
      <c r="F50" s="22"/>
      <c r="G50" s="1"/>
      <c r="H50" s="40"/>
      <c r="I50" s="45">
        <v>910.79</v>
      </c>
      <c r="J50" s="46"/>
      <c r="K50" s="46"/>
      <c r="L50" s="13"/>
      <c r="M50" s="69" t="s">
        <v>396</v>
      </c>
    </row>
    <row r="51" spans="1:14" s="2" customFormat="1" ht="12.75" customHeight="1" x14ac:dyDescent="0.25">
      <c r="A51" s="36"/>
      <c r="B51" s="28"/>
      <c r="C51" s="44" t="s">
        <v>68</v>
      </c>
      <c r="D51" s="43"/>
      <c r="E51" s="7">
        <f>E49+E50</f>
        <v>311101501.73999983</v>
      </c>
      <c r="F51" s="22"/>
      <c r="G51" s="1"/>
      <c r="H51" s="103" t="s">
        <v>69</v>
      </c>
      <c r="I51" s="45">
        <v>54.3</v>
      </c>
      <c r="J51" s="46"/>
      <c r="K51" s="46"/>
      <c r="N51" s="1"/>
    </row>
    <row r="52" spans="1:14" s="2" customFormat="1" x14ac:dyDescent="0.2">
      <c r="A52" s="24"/>
      <c r="B52" s="1"/>
      <c r="C52" s="14"/>
      <c r="D52" s="25"/>
      <c r="E52" s="1"/>
      <c r="H52" s="35" t="s">
        <v>70</v>
      </c>
      <c r="I52" s="45">
        <v>0</v>
      </c>
      <c r="J52" s="46">
        <f>+I53-D55</f>
        <v>0</v>
      </c>
      <c r="M52" s="2" t="s">
        <v>396</v>
      </c>
      <c r="N52" s="1"/>
    </row>
    <row r="53" spans="1:14" x14ac:dyDescent="0.2">
      <c r="C53" s="56"/>
      <c r="D53" s="56"/>
      <c r="E53" s="104"/>
      <c r="I53" s="49">
        <f>SUM(I50:I52)</f>
        <v>965.08999999999992</v>
      </c>
      <c r="J53" s="46"/>
      <c r="K53" s="46"/>
      <c r="L53" s="2"/>
      <c r="M53" s="2"/>
      <c r="N53" s="2"/>
    </row>
    <row r="54" spans="1:14" x14ac:dyDescent="0.2">
      <c r="C54" s="78" t="s">
        <v>575</v>
      </c>
      <c r="D54" s="48" t="s">
        <v>576</v>
      </c>
      <c r="E54" s="104"/>
      <c r="I54" s="2"/>
      <c r="J54" s="2"/>
      <c r="K54" s="2"/>
      <c r="L54" s="2"/>
      <c r="M54" s="2"/>
      <c r="N54" s="2"/>
    </row>
    <row r="55" spans="1:14" s="2" customFormat="1" x14ac:dyDescent="0.2">
      <c r="A55" s="24"/>
      <c r="B55" s="1"/>
      <c r="C55" s="47" t="s">
        <v>570</v>
      </c>
      <c r="D55" s="111">
        <v>965.09</v>
      </c>
      <c r="E55" s="104"/>
      <c r="G55" s="1"/>
      <c r="H55" s="110" t="s">
        <v>581</v>
      </c>
      <c r="N55" s="2" t="s">
        <v>535</v>
      </c>
    </row>
    <row r="56" spans="1:14" s="2" customFormat="1" x14ac:dyDescent="0.2">
      <c r="A56" s="24"/>
      <c r="B56" s="1"/>
      <c r="C56" s="47" t="s">
        <v>931</v>
      </c>
      <c r="D56" s="111">
        <v>100</v>
      </c>
      <c r="E56" s="104"/>
      <c r="G56" s="1"/>
      <c r="H56" s="110" t="s">
        <v>580</v>
      </c>
    </row>
    <row r="57" spans="1:14" s="2" customFormat="1" x14ac:dyDescent="0.2">
      <c r="A57" s="24"/>
      <c r="B57" s="1"/>
      <c r="C57" s="47" t="s">
        <v>572</v>
      </c>
      <c r="D57" s="111">
        <f>+D81/100000</f>
        <v>50.476809100000004</v>
      </c>
      <c r="E57" s="104"/>
      <c r="G57" s="1"/>
      <c r="H57" s="90" t="s">
        <v>587</v>
      </c>
    </row>
    <row r="58" spans="1:14" s="2" customFormat="1" x14ac:dyDescent="0.2">
      <c r="A58" s="24"/>
      <c r="B58" s="1"/>
      <c r="C58" s="108" t="s">
        <v>578</v>
      </c>
      <c r="D58" s="48">
        <f>SUM(D55:D57)</f>
        <v>1115.5668091000002</v>
      </c>
      <c r="E58" s="104"/>
      <c r="G58" s="1"/>
    </row>
    <row r="59" spans="1:14" s="2" customFormat="1" x14ac:dyDescent="0.2">
      <c r="A59" s="24"/>
      <c r="B59" s="1"/>
      <c r="C59" s="47"/>
      <c r="D59" s="107"/>
      <c r="E59" s="104"/>
      <c r="G59" s="1"/>
    </row>
    <row r="60" spans="1:14" s="2" customFormat="1" x14ac:dyDescent="0.2">
      <c r="A60" s="24"/>
      <c r="B60" s="1"/>
      <c r="C60" s="47" t="s">
        <v>932</v>
      </c>
      <c r="D60" s="111">
        <v>27.61</v>
      </c>
      <c r="E60" s="104"/>
      <c r="G60" s="1"/>
      <c r="H60" s="110" t="s">
        <v>581</v>
      </c>
    </row>
    <row r="61" spans="1:14" s="2" customFormat="1" x14ac:dyDescent="0.2">
      <c r="A61" s="24"/>
      <c r="B61" s="1"/>
      <c r="C61" s="136" t="s">
        <v>1142</v>
      </c>
      <c r="D61" s="111">
        <v>65.12</v>
      </c>
      <c r="E61" s="104"/>
      <c r="G61" s="1"/>
      <c r="H61" s="110" t="s">
        <v>581</v>
      </c>
      <c r="J61" s="114" t="s">
        <v>713</v>
      </c>
    </row>
    <row r="62" spans="1:14" s="2" customFormat="1" x14ac:dyDescent="0.2">
      <c r="A62" s="24"/>
      <c r="B62" s="1"/>
      <c r="C62" s="78" t="s">
        <v>579</v>
      </c>
      <c r="D62" s="109">
        <f>D60+D61</f>
        <v>92.73</v>
      </c>
      <c r="E62" s="104"/>
      <c r="G62" s="1"/>
      <c r="I62" s="113"/>
      <c r="J62" s="113" t="s">
        <v>709</v>
      </c>
      <c r="K62" s="113" t="s">
        <v>710</v>
      </c>
      <c r="L62" s="113" t="s">
        <v>711</v>
      </c>
      <c r="M62" s="113" t="s">
        <v>712</v>
      </c>
    </row>
    <row r="63" spans="1:14" s="2" customFormat="1" x14ac:dyDescent="0.2">
      <c r="A63" s="24"/>
      <c r="B63" s="1"/>
      <c r="C63" s="105"/>
      <c r="D63" s="106"/>
      <c r="E63" s="104"/>
      <c r="G63" s="1"/>
      <c r="I63" s="113" t="s">
        <v>706</v>
      </c>
      <c r="J63" s="115"/>
      <c r="K63" s="115">
        <v>968.99</v>
      </c>
      <c r="L63" s="115">
        <v>968.99</v>
      </c>
      <c r="M63" s="113">
        <f>+J63+L63-K63</f>
        <v>0</v>
      </c>
    </row>
    <row r="64" spans="1:14" s="2" customFormat="1" x14ac:dyDescent="0.2">
      <c r="A64" s="24"/>
      <c r="B64" s="1"/>
      <c r="C64" s="78" t="s">
        <v>577</v>
      </c>
      <c r="D64" s="109">
        <f>D55+D62</f>
        <v>1057.82</v>
      </c>
      <c r="E64" s="104"/>
      <c r="G64" s="1"/>
      <c r="I64" s="113" t="s">
        <v>707</v>
      </c>
      <c r="J64" s="115">
        <v>183.1</v>
      </c>
      <c r="K64" s="115">
        <v>2973.05</v>
      </c>
      <c r="L64" s="115">
        <v>3578.74</v>
      </c>
      <c r="M64" s="113">
        <f>+J64+L64-K64</f>
        <v>788.78999999999951</v>
      </c>
    </row>
    <row r="65" spans="1:13" s="2" customFormat="1" x14ac:dyDescent="0.2">
      <c r="A65" s="24"/>
      <c r="B65" s="1"/>
      <c r="C65" s="56"/>
      <c r="D65" s="56"/>
      <c r="E65" s="104"/>
      <c r="G65" s="1"/>
      <c r="I65" s="113" t="s">
        <v>708</v>
      </c>
      <c r="J65" s="115">
        <v>1371.02</v>
      </c>
      <c r="K65" s="115">
        <v>13422.82</v>
      </c>
      <c r="L65" s="115">
        <v>13016.35</v>
      </c>
      <c r="M65" s="113">
        <f>+J65+L65-K65</f>
        <v>964.55000000000109</v>
      </c>
    </row>
    <row r="66" spans="1:13" s="2" customFormat="1" ht="38.25" x14ac:dyDescent="0.2">
      <c r="A66" s="24"/>
      <c r="B66" s="1"/>
      <c r="C66" s="79" t="str">
        <f>"Particulars ( 01-04-2021 to "&amp;TEXT(A5,"dd-mm-yyyy")&amp;" )"</f>
        <v>Particulars ( 01-04-2021 to 05-08-2023 )</v>
      </c>
      <c r="D66" s="80" t="s">
        <v>73</v>
      </c>
      <c r="E66" s="80" t="s">
        <v>74</v>
      </c>
      <c r="F66" s="81" t="s">
        <v>75</v>
      </c>
      <c r="G66" s="80" t="s">
        <v>76</v>
      </c>
      <c r="J66" s="118">
        <f>SUM(J63:J65)</f>
        <v>1554.12</v>
      </c>
      <c r="K66" s="118">
        <f>SUM(K63:K65)</f>
        <v>17364.86</v>
      </c>
      <c r="L66" s="118">
        <f>SUM(L63:L65)</f>
        <v>17564.080000000002</v>
      </c>
      <c r="M66" s="118">
        <f>SUM(M63:M65)</f>
        <v>1753.3400000000006</v>
      </c>
    </row>
    <row r="67" spans="1:13" s="2" customFormat="1" x14ac:dyDescent="0.2">
      <c r="A67" s="24"/>
      <c r="B67" s="1"/>
      <c r="C67" s="50" t="s">
        <v>444</v>
      </c>
      <c r="D67" s="55">
        <f>+L63+L64+J64</f>
        <v>4730.83</v>
      </c>
      <c r="E67" s="55">
        <f>+K63+K64</f>
        <v>3942.04</v>
      </c>
      <c r="F67" s="55">
        <f>+D67-E67</f>
        <v>788.79</v>
      </c>
      <c r="G67" s="55">
        <f>1500-F67</f>
        <v>711.21</v>
      </c>
      <c r="H67" s="2" t="s">
        <v>396</v>
      </c>
    </row>
    <row r="68" spans="1:13" s="2" customFormat="1" x14ac:dyDescent="0.2">
      <c r="A68" s="24"/>
      <c r="B68" s="1"/>
      <c r="C68" s="50" t="s">
        <v>71</v>
      </c>
      <c r="D68" s="55">
        <f>+J65+L65</f>
        <v>14387.37</v>
      </c>
      <c r="E68" s="55">
        <f>+K65</f>
        <v>13422.82</v>
      </c>
      <c r="F68" s="55">
        <f>+D68-E68</f>
        <v>964.55000000000109</v>
      </c>
      <c r="G68" s="55">
        <f>1500+700-F68</f>
        <v>1235.4499999999989</v>
      </c>
      <c r="H68" s="2" t="s">
        <v>396</v>
      </c>
    </row>
    <row r="69" spans="1:13" s="2" customFormat="1" x14ac:dyDescent="0.2">
      <c r="A69" s="24"/>
      <c r="B69" s="1"/>
      <c r="C69" s="14"/>
      <c r="D69" s="56"/>
      <c r="E69" s="13"/>
      <c r="G69" s="1"/>
    </row>
    <row r="70" spans="1:13" s="2" customFormat="1" x14ac:dyDescent="0.2">
      <c r="A70" s="215" t="s">
        <v>80</v>
      </c>
      <c r="B70" s="216"/>
      <c r="C70" s="216"/>
      <c r="D70" s="217"/>
      <c r="E70" s="69"/>
      <c r="F70" s="70"/>
      <c r="G70" s="1"/>
      <c r="H70" s="53"/>
    </row>
    <row r="71" spans="1:13" s="2" customFormat="1" x14ac:dyDescent="0.2">
      <c r="A71" s="71" t="s">
        <v>81</v>
      </c>
      <c r="B71" s="71"/>
      <c r="C71" s="72" t="s">
        <v>82</v>
      </c>
      <c r="D71" s="73" t="s">
        <v>83</v>
      </c>
      <c r="E71" s="69"/>
      <c r="F71" s="70"/>
      <c r="H71" s="53"/>
    </row>
    <row r="72" spans="1:13" s="2" customFormat="1" x14ac:dyDescent="0.2">
      <c r="A72" s="8">
        <v>45139</v>
      </c>
      <c r="B72" s="120" t="s">
        <v>1052</v>
      </c>
      <c r="C72" s="75" t="s">
        <v>85</v>
      </c>
      <c r="D72" s="88">
        <v>552343</v>
      </c>
      <c r="G72" s="1"/>
      <c r="L72" s="1"/>
      <c r="M72" s="1"/>
    </row>
    <row r="73" spans="1:13" s="2" customFormat="1" x14ac:dyDescent="0.2">
      <c r="A73" s="8">
        <v>45140</v>
      </c>
      <c r="B73" s="120" t="s">
        <v>1052</v>
      </c>
      <c r="C73" s="75" t="s">
        <v>270</v>
      </c>
      <c r="D73" s="88">
        <v>244404</v>
      </c>
      <c r="G73" s="1"/>
      <c r="L73" s="1"/>
      <c r="M73" s="1"/>
    </row>
    <row r="74" spans="1:13" s="2" customFormat="1" x14ac:dyDescent="0.2">
      <c r="A74" s="8">
        <v>45140</v>
      </c>
      <c r="B74" s="120" t="s">
        <v>1052</v>
      </c>
      <c r="C74" s="75" t="s">
        <v>270</v>
      </c>
      <c r="D74" s="88">
        <v>550256</v>
      </c>
      <c r="G74" s="1"/>
      <c r="L74" s="1"/>
      <c r="M74" s="1"/>
    </row>
    <row r="75" spans="1:13" s="2" customFormat="1" x14ac:dyDescent="0.2">
      <c r="A75" s="8">
        <v>45140</v>
      </c>
      <c r="B75" s="120" t="s">
        <v>1052</v>
      </c>
      <c r="C75" s="75" t="s">
        <v>270</v>
      </c>
      <c r="D75" s="88">
        <v>191589</v>
      </c>
      <c r="G75" s="1"/>
      <c r="L75" s="1"/>
      <c r="M75" s="1"/>
    </row>
    <row r="76" spans="1:13" s="2" customFormat="1" x14ac:dyDescent="0.2">
      <c r="A76" s="8">
        <v>45140</v>
      </c>
      <c r="B76" s="120" t="s">
        <v>1052</v>
      </c>
      <c r="C76" s="75" t="s">
        <v>270</v>
      </c>
      <c r="D76" s="88">
        <v>74415.91</v>
      </c>
      <c r="G76" s="1"/>
      <c r="L76" s="1"/>
      <c r="M76" s="1"/>
    </row>
    <row r="77" spans="1:13" s="2" customFormat="1" x14ac:dyDescent="0.2">
      <c r="A77" s="8">
        <v>45140</v>
      </c>
      <c r="B77" s="120" t="s">
        <v>1052</v>
      </c>
      <c r="C77" s="75" t="s">
        <v>271</v>
      </c>
      <c r="D77" s="88">
        <v>454781</v>
      </c>
      <c r="G77" s="1"/>
      <c r="L77" s="1"/>
      <c r="M77" s="1"/>
    </row>
    <row r="78" spans="1:13" s="2" customFormat="1" x14ac:dyDescent="0.2">
      <c r="A78" s="8">
        <v>45141</v>
      </c>
      <c r="B78" s="120" t="s">
        <v>1052</v>
      </c>
      <c r="C78" s="75" t="s">
        <v>909</v>
      </c>
      <c r="D78" s="88">
        <v>910969</v>
      </c>
      <c r="G78" s="1"/>
      <c r="L78" s="1"/>
      <c r="M78" s="1"/>
    </row>
    <row r="79" spans="1:13" s="2" customFormat="1" x14ac:dyDescent="0.2">
      <c r="A79" s="8">
        <v>45141</v>
      </c>
      <c r="B79" s="120" t="s">
        <v>1052</v>
      </c>
      <c r="C79" s="75" t="s">
        <v>909</v>
      </c>
      <c r="D79" s="88">
        <v>1424635</v>
      </c>
      <c r="G79" s="1"/>
      <c r="L79" s="1"/>
      <c r="M79" s="1"/>
    </row>
    <row r="80" spans="1:13" s="2" customFormat="1" x14ac:dyDescent="0.2">
      <c r="A80" s="8">
        <v>45143</v>
      </c>
      <c r="B80" s="120" t="s">
        <v>1052</v>
      </c>
      <c r="C80" s="75" t="s">
        <v>85</v>
      </c>
      <c r="D80" s="88">
        <v>644288</v>
      </c>
      <c r="G80" s="1"/>
      <c r="L80" s="1"/>
      <c r="M80" s="1"/>
    </row>
    <row r="81" spans="1:13" s="2" customFormat="1" x14ac:dyDescent="0.2">
      <c r="A81" s="87"/>
      <c r="B81" s="74"/>
      <c r="C81" s="75"/>
      <c r="D81" s="51">
        <f>SUM(D72:D80)</f>
        <v>5047680.91</v>
      </c>
      <c r="F81" s="2" t="s">
        <v>396</v>
      </c>
      <c r="G81" s="1"/>
      <c r="L81" s="1"/>
      <c r="M81" s="1"/>
    </row>
    <row r="82" spans="1:13" s="2" customFormat="1" x14ac:dyDescent="0.2">
      <c r="A82" s="24"/>
      <c r="B82" s="1"/>
      <c r="C82" s="14"/>
      <c r="D82" s="56"/>
      <c r="E82" s="13"/>
      <c r="G82" s="1"/>
      <c r="L82" s="1"/>
      <c r="M82" s="1"/>
    </row>
    <row r="83" spans="1:13" s="2" customFormat="1" x14ac:dyDescent="0.2">
      <c r="A83" s="24"/>
      <c r="B83" s="1"/>
      <c r="C83" s="218" t="s">
        <v>77</v>
      </c>
      <c r="D83" s="219"/>
      <c r="E83" s="219"/>
      <c r="F83" s="220"/>
      <c r="G83" s="1"/>
      <c r="L83" s="1"/>
      <c r="M83" s="1"/>
    </row>
    <row r="84" spans="1:13" s="2" customFormat="1" x14ac:dyDescent="0.2">
      <c r="A84" s="24"/>
      <c r="B84" s="1"/>
      <c r="C84" s="50"/>
      <c r="D84" s="57" t="s">
        <v>78</v>
      </c>
      <c r="E84" s="58" t="s">
        <v>79</v>
      </c>
      <c r="F84" s="57" t="s">
        <v>72</v>
      </c>
      <c r="G84" s="1"/>
      <c r="I84" s="1"/>
      <c r="J84" s="1"/>
      <c r="K84" s="1"/>
      <c r="L84" s="1"/>
      <c r="M84" s="1"/>
    </row>
    <row r="85" spans="1:13" s="2" customFormat="1" x14ac:dyDescent="0.2">
      <c r="A85" s="24"/>
      <c r="B85" s="1"/>
      <c r="C85" s="59" t="str">
        <f>"01-08-2023 to "&amp;TEXT(A5-2,"dd-mm-yyyy")</f>
        <v>01-08-2023 to 03-08-2023</v>
      </c>
      <c r="D85" s="60">
        <v>572.86</v>
      </c>
      <c r="E85" s="60">
        <v>23.35</v>
      </c>
      <c r="F85" s="61">
        <f>SUM(D85:E85)</f>
        <v>596.21</v>
      </c>
      <c r="G85" s="1"/>
    </row>
    <row r="86" spans="1:13" s="2" customFormat="1" x14ac:dyDescent="0.2">
      <c r="A86" s="24"/>
      <c r="B86" s="1"/>
      <c r="C86" s="62" t="str">
        <f>TEXT(A5-1,"dd-mm-yyyy")</f>
        <v>04-08-2023</v>
      </c>
      <c r="D86" s="60">
        <v>188.95</v>
      </c>
      <c r="E86" s="60">
        <v>18.52</v>
      </c>
      <c r="F86" s="61">
        <f>SUM(D86:E86)</f>
        <v>207.47</v>
      </c>
      <c r="G86" s="54"/>
      <c r="I86" s="1"/>
      <c r="J86" s="1"/>
      <c r="K86" s="1"/>
      <c r="L86" s="1"/>
      <c r="M86" s="1"/>
    </row>
    <row r="87" spans="1:13" s="2" customFormat="1" ht="13.5" thickBot="1" x14ac:dyDescent="0.25">
      <c r="A87" s="24"/>
      <c r="B87" s="1"/>
      <c r="C87" s="63" t="str">
        <f>"01-08-2023 to "&amp;TEXT(A5-1,"dd-mm-yyyy")</f>
        <v>01-08-2023 to 04-08-2023</v>
      </c>
      <c r="D87" s="64">
        <f>SUM(D85:D86)</f>
        <v>761.81</v>
      </c>
      <c r="E87" s="64">
        <f>SUM(E85:E86)</f>
        <v>41.870000000000005</v>
      </c>
      <c r="F87" s="64">
        <f>SUM(F85:F86)</f>
        <v>803.68000000000006</v>
      </c>
      <c r="G87" s="54"/>
      <c r="I87" s="1"/>
      <c r="J87" s="1"/>
      <c r="K87" s="1"/>
      <c r="L87" s="1"/>
      <c r="M87" s="1"/>
    </row>
    <row r="88" spans="1:13" s="2" customFormat="1" ht="13.5" thickTop="1" x14ac:dyDescent="0.2">
      <c r="A88" s="24"/>
      <c r="B88" s="1"/>
      <c r="C88" s="62"/>
      <c r="D88" s="65"/>
      <c r="E88" s="66"/>
      <c r="F88" s="67"/>
      <c r="G88" s="54"/>
      <c r="I88" s="1"/>
      <c r="J88" s="1"/>
      <c r="K88" s="1"/>
      <c r="L88" s="1"/>
      <c r="M88" s="1"/>
    </row>
    <row r="89" spans="1:13" s="2" customFormat="1" x14ac:dyDescent="0.2">
      <c r="A89" s="24"/>
      <c r="B89" s="1"/>
      <c r="C89" s="62" t="str">
        <f>"01-04-2023 to " &amp;C86</f>
        <v>01-04-2023 to 04-08-2023</v>
      </c>
      <c r="D89" s="68">
        <f>+D87+20827.32</f>
        <v>21589.13</v>
      </c>
      <c r="E89" s="68">
        <f>+E87+1376.76</f>
        <v>1418.63</v>
      </c>
      <c r="F89" s="68">
        <f>+F87+22204.08</f>
        <v>23007.760000000002</v>
      </c>
      <c r="G89" s="54"/>
      <c r="I89" s="1"/>
      <c r="J89" s="1"/>
      <c r="K89" s="1"/>
      <c r="L89" s="1"/>
      <c r="M89" s="1"/>
    </row>
    <row r="90" spans="1:13" x14ac:dyDescent="0.2">
      <c r="C90" s="52"/>
      <c r="D90" s="85"/>
      <c r="E90" s="53"/>
      <c r="F90" s="53"/>
      <c r="G90" s="54"/>
      <c r="H90" s="2" t="s">
        <v>396</v>
      </c>
    </row>
    <row r="91" spans="1:13" s="2" customFormat="1" x14ac:dyDescent="0.2">
      <c r="A91" s="24"/>
      <c r="B91" s="1"/>
      <c r="C91" s="52"/>
      <c r="D91" s="85"/>
      <c r="E91" s="53"/>
      <c r="F91" s="53"/>
      <c r="G91" s="54"/>
      <c r="H91" s="53"/>
    </row>
    <row r="92" spans="1:13" x14ac:dyDescent="0.2">
      <c r="C92" s="52"/>
      <c r="D92" s="85"/>
      <c r="E92" s="53"/>
      <c r="F92" s="53"/>
      <c r="G92" s="54"/>
      <c r="H92" s="53" t="s">
        <v>396</v>
      </c>
    </row>
    <row r="93" spans="1:13" x14ac:dyDescent="0.2">
      <c r="C93" s="52"/>
      <c r="D93" s="85"/>
      <c r="E93" s="53"/>
      <c r="F93" s="53"/>
      <c r="G93" s="54"/>
      <c r="H93" s="53" t="s">
        <v>396</v>
      </c>
      <c r="J93" s="42"/>
    </row>
    <row r="94" spans="1:13" x14ac:dyDescent="0.2">
      <c r="G94" s="54"/>
      <c r="H94" s="53"/>
      <c r="I94" s="101"/>
    </row>
    <row r="95" spans="1:13" x14ac:dyDescent="0.2">
      <c r="G95" s="54"/>
      <c r="H95" s="53"/>
    </row>
    <row r="96" spans="1:13" x14ac:dyDescent="0.2">
      <c r="G96" s="54"/>
      <c r="H96" s="53"/>
    </row>
    <row r="97" spans="8:8" x14ac:dyDescent="0.2">
      <c r="H97" s="53"/>
    </row>
  </sheetData>
  <mergeCells count="6">
    <mergeCell ref="C83:F83"/>
    <mergeCell ref="A1:G1"/>
    <mergeCell ref="A3:F3"/>
    <mergeCell ref="A10:F10"/>
    <mergeCell ref="A18:F18"/>
    <mergeCell ref="A70:D70"/>
  </mergeCells>
  <conditionalFormatting sqref="G67:G68">
    <cfRule type="cellIs" dxfId="377" priority="1" operator="lessThan">
      <formula>0</formula>
    </cfRule>
  </conditionalFormatting>
  <conditionalFormatting sqref="C20">
    <cfRule type="duplicateValues" dxfId="376" priority="2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600-000000000000}">
  <sheetPr codeName="Sheet398">
    <pageSetUpPr fitToPage="1"/>
  </sheetPr>
  <dimension ref="A1:N140"/>
  <sheetViews>
    <sheetView topLeftCell="A85" zoomScaleNormal="100" workbookViewId="0">
      <selection activeCell="E58" sqref="E58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1311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45145</v>
      </c>
      <c r="B5" s="9" t="s">
        <v>6</v>
      </c>
      <c r="C5" s="10" t="s">
        <v>7</v>
      </c>
      <c r="D5" s="11"/>
      <c r="E5" s="12">
        <v>3777691.7</v>
      </c>
      <c r="F5" s="12"/>
      <c r="G5" s="1"/>
      <c r="H5" s="112"/>
      <c r="I5" s="112"/>
    </row>
    <row r="6" spans="1:10" s="2" customFormat="1" ht="14.25" customHeight="1" x14ac:dyDescent="0.4">
      <c r="A6" s="89">
        <v>45145</v>
      </c>
      <c r="B6" s="9" t="s">
        <v>11</v>
      </c>
      <c r="C6" s="10" t="s">
        <v>380</v>
      </c>
      <c r="D6" s="11" t="s">
        <v>29</v>
      </c>
      <c r="E6" s="12"/>
      <c r="F6" s="12">
        <f>2553396+769867</f>
        <v>3323263</v>
      </c>
      <c r="G6" s="1"/>
      <c r="H6" s="112"/>
      <c r="I6" s="112"/>
    </row>
    <row r="7" spans="1:10" s="2" customFormat="1" ht="12.75" customHeight="1" x14ac:dyDescent="0.4">
      <c r="D7" s="15" t="s">
        <v>8</v>
      </c>
      <c r="E7" s="16">
        <f>SUM(E5:E6)</f>
        <v>3777691.7</v>
      </c>
      <c r="F7" s="16">
        <f>SUM(F5:F6)</f>
        <v>3323263</v>
      </c>
      <c r="G7" s="1"/>
      <c r="H7" s="112"/>
      <c r="I7" s="112"/>
    </row>
    <row r="8" spans="1:10" s="2" customFormat="1" ht="12.75" customHeight="1" x14ac:dyDescent="0.4">
      <c r="A8" s="17"/>
      <c r="B8" s="18"/>
      <c r="C8" s="19" t="s">
        <v>9</v>
      </c>
      <c r="D8" s="20"/>
      <c r="E8" s="21">
        <f>+E7-F7</f>
        <v>454428.70000000019</v>
      </c>
      <c r="F8" s="22"/>
      <c r="G8" s="23"/>
      <c r="H8" s="112"/>
      <c r="I8" s="112"/>
      <c r="J8" s="13"/>
    </row>
    <row r="9" spans="1:10" ht="12.75" customHeight="1" x14ac:dyDescent="0.4">
      <c r="H9" s="112"/>
      <c r="I9" s="112"/>
    </row>
    <row r="10" spans="1:10" ht="18" customHeight="1" x14ac:dyDescent="0.4">
      <c r="A10" s="213" t="s">
        <v>1037</v>
      </c>
      <c r="B10" s="213"/>
      <c r="C10" s="213"/>
      <c r="D10" s="213"/>
      <c r="E10" s="213"/>
      <c r="F10" s="213"/>
      <c r="H10" s="112"/>
      <c r="I10" s="112"/>
    </row>
    <row r="11" spans="1:10" ht="12.75" customHeight="1" x14ac:dyDescent="0.4">
      <c r="A11" s="3" t="s">
        <v>1</v>
      </c>
      <c r="B11" s="4" t="s">
        <v>2</v>
      </c>
      <c r="C11" s="5"/>
      <c r="D11" s="6" t="s">
        <v>3</v>
      </c>
      <c r="E11" s="7" t="s">
        <v>4</v>
      </c>
      <c r="F11" s="7" t="s">
        <v>5</v>
      </c>
      <c r="H11" s="112"/>
      <c r="I11" s="112"/>
    </row>
    <row r="12" spans="1:10" s="2" customFormat="1" ht="14.25" customHeight="1" x14ac:dyDescent="0.2">
      <c r="A12" s="89">
        <v>45145</v>
      </c>
      <c r="B12" s="9" t="s">
        <v>6</v>
      </c>
      <c r="C12" s="10" t="s">
        <v>7</v>
      </c>
      <c r="D12" s="11"/>
      <c r="F12" s="12">
        <v>21470814.280000001</v>
      </c>
      <c r="G12" s="1"/>
      <c r="H12" s="130" t="s">
        <v>396</v>
      </c>
      <c r="I12" s="130"/>
    </row>
    <row r="13" spans="1:10" s="70" customFormat="1" ht="12.75" customHeight="1" x14ac:dyDescent="0.2">
      <c r="A13" s="89">
        <v>45145</v>
      </c>
      <c r="B13" s="128" t="s">
        <v>11</v>
      </c>
      <c r="C13" s="76" t="s">
        <v>221</v>
      </c>
      <c r="D13" s="11" t="s">
        <v>29</v>
      </c>
      <c r="E13" s="31"/>
      <c r="F13" s="31">
        <v>1708</v>
      </c>
      <c r="G13" s="30"/>
      <c r="I13" s="69"/>
      <c r="J13" s="69"/>
    </row>
    <row r="14" spans="1:10" s="70" customFormat="1" ht="12.75" customHeight="1" x14ac:dyDescent="0.2">
      <c r="A14" s="89">
        <v>45145</v>
      </c>
      <c r="B14" s="128" t="s">
        <v>11</v>
      </c>
      <c r="C14" s="76" t="s">
        <v>195</v>
      </c>
      <c r="D14" s="11" t="s">
        <v>29</v>
      </c>
      <c r="E14" s="31"/>
      <c r="F14" s="31">
        <v>3780</v>
      </c>
      <c r="G14" s="30"/>
      <c r="I14" s="69"/>
      <c r="J14" s="69"/>
    </row>
    <row r="15" spans="1:10" s="70" customFormat="1" ht="12.75" customHeight="1" x14ac:dyDescent="0.2">
      <c r="A15" s="89">
        <v>45145</v>
      </c>
      <c r="B15" s="128" t="s">
        <v>11</v>
      </c>
      <c r="C15" s="76" t="s">
        <v>196</v>
      </c>
      <c r="D15" s="11" t="s">
        <v>29</v>
      </c>
      <c r="E15" s="31"/>
      <c r="F15" s="31">
        <v>64945</v>
      </c>
      <c r="G15" s="30"/>
      <c r="I15" s="69"/>
      <c r="J15" s="69"/>
    </row>
    <row r="16" spans="1:10" s="70" customFormat="1" ht="12.75" customHeight="1" x14ac:dyDescent="0.2">
      <c r="A16" s="89">
        <v>45145</v>
      </c>
      <c r="B16" s="128" t="s">
        <v>11</v>
      </c>
      <c r="C16" s="76" t="s">
        <v>132</v>
      </c>
      <c r="D16" s="11" t="s">
        <v>29</v>
      </c>
      <c r="E16" s="31"/>
      <c r="F16" s="31">
        <v>12950</v>
      </c>
      <c r="G16" s="30"/>
      <c r="I16" s="69"/>
      <c r="J16" s="69"/>
    </row>
    <row r="17" spans="1:10" s="70" customFormat="1" ht="12.75" customHeight="1" x14ac:dyDescent="0.2">
      <c r="A17" s="89">
        <v>45145</v>
      </c>
      <c r="B17" s="128" t="s">
        <v>11</v>
      </c>
      <c r="C17" s="76" t="s">
        <v>1069</v>
      </c>
      <c r="D17" s="11" t="s">
        <v>29</v>
      </c>
      <c r="E17" s="31"/>
      <c r="F17" s="31">
        <v>3987</v>
      </c>
      <c r="G17" s="30"/>
      <c r="I17" s="69"/>
      <c r="J17" s="69"/>
    </row>
    <row r="18" spans="1:10" s="70" customFormat="1" ht="12.75" customHeight="1" x14ac:dyDescent="0.2">
      <c r="A18" s="89">
        <v>45145</v>
      </c>
      <c r="B18" s="128" t="s">
        <v>11</v>
      </c>
      <c r="C18" s="76" t="s">
        <v>287</v>
      </c>
      <c r="D18" s="11" t="s">
        <v>29</v>
      </c>
      <c r="E18" s="31"/>
      <c r="F18" s="31">
        <v>8357</v>
      </c>
      <c r="G18" s="30"/>
      <c r="I18" s="69"/>
      <c r="J18" s="69"/>
    </row>
    <row r="19" spans="1:10" s="70" customFormat="1" ht="12.75" customHeight="1" x14ac:dyDescent="0.2">
      <c r="A19" s="89">
        <v>45145</v>
      </c>
      <c r="B19" s="128" t="s">
        <v>11</v>
      </c>
      <c r="C19" s="76" t="s">
        <v>1312</v>
      </c>
      <c r="D19" s="11" t="s">
        <v>29</v>
      </c>
      <c r="E19" s="31"/>
      <c r="F19" s="31">
        <v>14501</v>
      </c>
      <c r="G19" s="30"/>
      <c r="I19" s="69"/>
      <c r="J19" s="69"/>
    </row>
    <row r="20" spans="1:10" s="70" customFormat="1" ht="12.75" customHeight="1" x14ac:dyDescent="0.2">
      <c r="A20" s="89">
        <v>45145</v>
      </c>
      <c r="B20" s="128" t="s">
        <v>11</v>
      </c>
      <c r="C20" s="76" t="s">
        <v>1313</v>
      </c>
      <c r="D20" s="11" t="s">
        <v>29</v>
      </c>
      <c r="E20" s="31"/>
      <c r="F20" s="31">
        <v>29184.17</v>
      </c>
      <c r="G20" s="30"/>
      <c r="I20" s="69"/>
      <c r="J20" s="69"/>
    </row>
    <row r="21" spans="1:10" s="70" customFormat="1" ht="12.75" customHeight="1" x14ac:dyDescent="0.2">
      <c r="A21" s="89">
        <v>45145</v>
      </c>
      <c r="B21" s="128" t="s">
        <v>11</v>
      </c>
      <c r="C21" s="76" t="s">
        <v>546</v>
      </c>
      <c r="D21" s="11" t="s">
        <v>29</v>
      </c>
      <c r="E21" s="31"/>
      <c r="F21" s="31">
        <v>1470</v>
      </c>
      <c r="G21" s="30"/>
      <c r="I21" s="69"/>
      <c r="J21" s="69"/>
    </row>
    <row r="22" spans="1:10" s="70" customFormat="1" ht="12.75" customHeight="1" x14ac:dyDescent="0.2">
      <c r="A22" s="89">
        <v>45145</v>
      </c>
      <c r="B22" s="128" t="s">
        <v>11</v>
      </c>
      <c r="C22" s="76" t="s">
        <v>1314</v>
      </c>
      <c r="D22" s="11" t="s">
        <v>29</v>
      </c>
      <c r="E22" s="31"/>
      <c r="F22" s="31">
        <v>113279</v>
      </c>
      <c r="G22" s="30"/>
      <c r="I22" s="69"/>
      <c r="J22" s="69"/>
    </row>
    <row r="23" spans="1:10" s="70" customFormat="1" ht="12.75" customHeight="1" x14ac:dyDescent="0.2">
      <c r="A23" s="89">
        <v>45145</v>
      </c>
      <c r="B23" s="128" t="s">
        <v>11</v>
      </c>
      <c r="C23" s="76" t="s">
        <v>1315</v>
      </c>
      <c r="D23" s="11" t="s">
        <v>29</v>
      </c>
      <c r="E23" s="31"/>
      <c r="F23" s="31">
        <v>51000</v>
      </c>
      <c r="G23" s="30"/>
      <c r="I23" s="69"/>
      <c r="J23" s="69"/>
    </row>
    <row r="24" spans="1:10" s="70" customFormat="1" ht="12.75" customHeight="1" x14ac:dyDescent="0.2">
      <c r="A24" s="89">
        <v>45145</v>
      </c>
      <c r="B24" s="128" t="s">
        <v>11</v>
      </c>
      <c r="C24" s="76" t="s">
        <v>259</v>
      </c>
      <c r="D24" s="11" t="s">
        <v>29</v>
      </c>
      <c r="E24" s="31"/>
      <c r="F24" s="31">
        <v>1827.22</v>
      </c>
      <c r="G24" s="30"/>
      <c r="I24" s="69"/>
      <c r="J24" s="69"/>
    </row>
    <row r="25" spans="1:10" s="70" customFormat="1" ht="12.75" customHeight="1" x14ac:dyDescent="0.2">
      <c r="A25" s="89">
        <v>45145</v>
      </c>
      <c r="B25" s="128" t="s">
        <v>11</v>
      </c>
      <c r="C25" s="76" t="s">
        <v>63</v>
      </c>
      <c r="D25" s="11" t="s">
        <v>29</v>
      </c>
      <c r="E25" s="31"/>
      <c r="F25" s="31">
        <v>1000000</v>
      </c>
      <c r="G25" s="30"/>
      <c r="I25" s="69"/>
      <c r="J25" s="69"/>
    </row>
    <row r="26" spans="1:10" s="70" customFormat="1" ht="12.75" customHeight="1" x14ac:dyDescent="0.2">
      <c r="A26" s="89">
        <v>45145</v>
      </c>
      <c r="B26" s="128" t="s">
        <v>11</v>
      </c>
      <c r="C26" s="76" t="s">
        <v>1316</v>
      </c>
      <c r="D26" s="11" t="s">
        <v>29</v>
      </c>
      <c r="E26" s="31"/>
      <c r="F26" s="31">
        <v>58494</v>
      </c>
      <c r="G26" s="30"/>
      <c r="I26" s="69"/>
      <c r="J26" s="69"/>
    </row>
    <row r="27" spans="1:10" s="70" customFormat="1" ht="12.75" customHeight="1" x14ac:dyDescent="0.2">
      <c r="A27" s="89">
        <v>45145</v>
      </c>
      <c r="B27" s="128" t="s">
        <v>11</v>
      </c>
      <c r="C27" s="76" t="s">
        <v>194</v>
      </c>
      <c r="D27" s="11" t="s">
        <v>29</v>
      </c>
      <c r="E27" s="31"/>
      <c r="F27" s="31">
        <v>660494</v>
      </c>
      <c r="G27" s="30"/>
      <c r="I27" s="69"/>
      <c r="J27" s="69"/>
    </row>
    <row r="28" spans="1:10" s="70" customFormat="1" ht="12.75" customHeight="1" x14ac:dyDescent="0.2">
      <c r="A28" s="89">
        <v>45145</v>
      </c>
      <c r="B28" s="128" t="s">
        <v>11</v>
      </c>
      <c r="C28" s="76" t="s">
        <v>1140</v>
      </c>
      <c r="D28" s="11" t="s">
        <v>29</v>
      </c>
      <c r="E28" s="31"/>
      <c r="F28" s="31">
        <v>233973</v>
      </c>
      <c r="G28" s="30"/>
      <c r="I28" s="69"/>
      <c r="J28" s="69"/>
    </row>
    <row r="29" spans="1:10" s="70" customFormat="1" ht="12.75" customHeight="1" x14ac:dyDescent="0.2">
      <c r="A29" s="89">
        <v>45145</v>
      </c>
      <c r="B29" s="128" t="s">
        <v>11</v>
      </c>
      <c r="C29" s="76" t="s">
        <v>849</v>
      </c>
      <c r="D29" s="11" t="s">
        <v>29</v>
      </c>
      <c r="E29" s="31"/>
      <c r="F29" s="31">
        <v>416767</v>
      </c>
      <c r="G29" s="30"/>
      <c r="I29" s="69"/>
      <c r="J29" s="69"/>
    </row>
    <row r="30" spans="1:10" s="70" customFormat="1" ht="12.75" customHeight="1" x14ac:dyDescent="0.2">
      <c r="A30" s="89">
        <v>45145</v>
      </c>
      <c r="B30" s="128" t="s">
        <v>11</v>
      </c>
      <c r="C30" s="76" t="s">
        <v>745</v>
      </c>
      <c r="D30" s="11" t="s">
        <v>29</v>
      </c>
      <c r="E30" s="31"/>
      <c r="F30" s="31">
        <v>580372</v>
      </c>
      <c r="G30" s="30"/>
      <c r="I30" s="69"/>
      <c r="J30" s="69"/>
    </row>
    <row r="31" spans="1:10" s="70" customFormat="1" ht="12.75" customHeight="1" x14ac:dyDescent="0.2">
      <c r="A31" s="89">
        <v>45145</v>
      </c>
      <c r="B31" s="128" t="s">
        <v>11</v>
      </c>
      <c r="C31" s="76" t="s">
        <v>193</v>
      </c>
      <c r="D31" s="11" t="s">
        <v>29</v>
      </c>
      <c r="E31" s="31"/>
      <c r="F31" s="31">
        <v>204021</v>
      </c>
      <c r="G31" s="30"/>
      <c r="I31" s="69"/>
      <c r="J31" s="69"/>
    </row>
    <row r="32" spans="1:10" s="70" customFormat="1" ht="12.75" customHeight="1" x14ac:dyDescent="0.2">
      <c r="A32" s="89">
        <v>45145</v>
      </c>
      <c r="B32" s="128" t="s">
        <v>11</v>
      </c>
      <c r="C32" s="76" t="s">
        <v>56</v>
      </c>
      <c r="D32" s="11" t="s">
        <v>29</v>
      </c>
      <c r="E32" s="31"/>
      <c r="F32" s="31">
        <v>143840</v>
      </c>
      <c r="G32" s="30"/>
      <c r="I32" s="69"/>
      <c r="J32" s="69"/>
    </row>
    <row r="33" spans="1:10" s="70" customFormat="1" ht="12.75" customHeight="1" x14ac:dyDescent="0.2">
      <c r="A33" s="89">
        <v>45145</v>
      </c>
      <c r="B33" s="128" t="s">
        <v>11</v>
      </c>
      <c r="C33" s="76" t="s">
        <v>139</v>
      </c>
      <c r="D33" s="11" t="s">
        <v>29</v>
      </c>
      <c r="E33" s="31"/>
      <c r="F33" s="31">
        <v>1155862</v>
      </c>
      <c r="G33" s="30"/>
      <c r="I33" s="69"/>
      <c r="J33" s="69"/>
    </row>
    <row r="34" spans="1:10" s="70" customFormat="1" ht="12.75" customHeight="1" x14ac:dyDescent="0.2">
      <c r="A34" s="89">
        <v>45145</v>
      </c>
      <c r="B34" s="128" t="s">
        <v>11</v>
      </c>
      <c r="C34" s="76" t="s">
        <v>1058</v>
      </c>
      <c r="D34" s="11" t="s">
        <v>29</v>
      </c>
      <c r="E34" s="31"/>
      <c r="F34" s="31">
        <v>560781</v>
      </c>
      <c r="G34" s="30"/>
      <c r="I34" s="69"/>
      <c r="J34" s="69"/>
    </row>
    <row r="35" spans="1:10" s="70" customFormat="1" ht="12.75" customHeight="1" x14ac:dyDescent="0.2">
      <c r="A35" s="89">
        <v>45145</v>
      </c>
      <c r="B35" s="128" t="s">
        <v>11</v>
      </c>
      <c r="C35" s="76" t="s">
        <v>109</v>
      </c>
      <c r="D35" s="11" t="s">
        <v>29</v>
      </c>
      <c r="E35" s="31"/>
      <c r="F35" s="31">
        <v>440518</v>
      </c>
      <c r="G35" s="30"/>
      <c r="I35" s="69"/>
      <c r="J35" s="69"/>
    </row>
    <row r="36" spans="1:10" s="70" customFormat="1" ht="12.75" customHeight="1" x14ac:dyDescent="0.2">
      <c r="A36" s="89">
        <v>45145</v>
      </c>
      <c r="B36" s="128" t="s">
        <v>11</v>
      </c>
      <c r="C36" s="76" t="s">
        <v>1317</v>
      </c>
      <c r="D36" s="11" t="s">
        <v>29</v>
      </c>
      <c r="E36" s="31"/>
      <c r="F36" s="31">
        <v>270960</v>
      </c>
      <c r="G36" s="30"/>
      <c r="I36" s="69"/>
      <c r="J36" s="69"/>
    </row>
    <row r="37" spans="1:10" s="2" customFormat="1" ht="12.75" customHeight="1" x14ac:dyDescent="0.4">
      <c r="D37" s="11" t="s">
        <v>8</v>
      </c>
      <c r="E37" s="16">
        <f>SUM(E13:E13)</f>
        <v>0</v>
      </c>
      <c r="F37" s="16">
        <f>SUM(F12:F36)</f>
        <v>27503884.670000002</v>
      </c>
      <c r="G37" s="1"/>
      <c r="H37" s="112"/>
      <c r="I37" s="112"/>
    </row>
    <row r="38" spans="1:10" s="2" customFormat="1" ht="12.75" customHeight="1" x14ac:dyDescent="0.4">
      <c r="A38" s="17"/>
      <c r="B38" s="18"/>
      <c r="C38" s="96" t="s">
        <v>9</v>
      </c>
      <c r="D38" s="20"/>
      <c r="E38" s="21">
        <f>+F37-E37</f>
        <v>27503884.670000002</v>
      </c>
      <c r="G38" s="23"/>
      <c r="H38" s="112"/>
      <c r="I38" s="112"/>
      <c r="J38" s="13"/>
    </row>
    <row r="39" spans="1:10" s="2" customFormat="1" ht="12.75" customHeight="1" x14ac:dyDescent="0.4">
      <c r="A39" s="24"/>
      <c r="B39" s="1"/>
      <c r="C39" s="14"/>
      <c r="D39" s="25"/>
      <c r="G39" s="23"/>
      <c r="H39" s="112"/>
      <c r="I39" s="112"/>
      <c r="J39" s="13"/>
    </row>
    <row r="40" spans="1:10" s="2" customFormat="1" ht="21.75" customHeight="1" x14ac:dyDescent="0.4">
      <c r="A40" s="214" t="s">
        <v>10</v>
      </c>
      <c r="B40" s="214"/>
      <c r="C40" s="214"/>
      <c r="D40" s="214"/>
      <c r="E40" s="214"/>
      <c r="F40" s="214"/>
      <c r="G40" s="13"/>
      <c r="H40" s="112"/>
      <c r="I40" s="112"/>
      <c r="J40" s="13"/>
    </row>
    <row r="41" spans="1:10" s="2" customFormat="1" ht="12.75" customHeight="1" x14ac:dyDescent="0.4">
      <c r="A41" s="26" t="s">
        <v>1</v>
      </c>
      <c r="B41" s="27" t="s">
        <v>2</v>
      </c>
      <c r="C41" s="5"/>
      <c r="D41" s="6" t="s">
        <v>3</v>
      </c>
      <c r="E41" s="7" t="s">
        <v>4</v>
      </c>
      <c r="F41" s="7" t="s">
        <v>5</v>
      </c>
      <c r="G41" s="23"/>
      <c r="H41" s="112"/>
      <c r="I41" s="112"/>
      <c r="J41" s="13"/>
    </row>
    <row r="42" spans="1:10" s="2" customFormat="1" ht="12.75" customHeight="1" x14ac:dyDescent="0.2">
      <c r="A42" s="89">
        <v>45145</v>
      </c>
      <c r="B42" s="128" t="s">
        <v>11</v>
      </c>
      <c r="C42" s="29" t="s">
        <v>7</v>
      </c>
      <c r="D42" s="25"/>
      <c r="E42" s="31"/>
      <c r="F42" s="2">
        <v>311101501.73999983</v>
      </c>
      <c r="G42" s="30"/>
      <c r="I42" s="13"/>
      <c r="J42" s="13"/>
    </row>
    <row r="43" spans="1:10" s="70" customFormat="1" ht="12.75" customHeight="1" x14ac:dyDescent="0.2">
      <c r="A43" s="89">
        <v>45145</v>
      </c>
      <c r="B43" s="128" t="s">
        <v>6</v>
      </c>
      <c r="C43" s="10" t="s">
        <v>14</v>
      </c>
      <c r="D43" s="11" t="s">
        <v>13</v>
      </c>
      <c r="E43" s="86">
        <v>3443808</v>
      </c>
      <c r="G43" s="30"/>
      <c r="I43" s="69"/>
      <c r="J43" s="69"/>
    </row>
    <row r="44" spans="1:10" s="70" customFormat="1" ht="12.75" customHeight="1" x14ac:dyDescent="0.2">
      <c r="A44" s="89">
        <v>45145</v>
      </c>
      <c r="B44" s="128" t="s">
        <v>6</v>
      </c>
      <c r="C44" s="10" t="s">
        <v>62</v>
      </c>
      <c r="D44" s="11" t="s">
        <v>13</v>
      </c>
      <c r="E44" s="86">
        <v>4000</v>
      </c>
      <c r="G44" s="30"/>
      <c r="I44" s="69"/>
      <c r="J44" s="69"/>
    </row>
    <row r="45" spans="1:10" s="70" customFormat="1" ht="12.75" customHeight="1" x14ac:dyDescent="0.2">
      <c r="A45" s="89">
        <v>45145</v>
      </c>
      <c r="B45" s="128" t="s">
        <v>6</v>
      </c>
      <c r="C45" s="10" t="s">
        <v>1318</v>
      </c>
      <c r="D45" s="11" t="s">
        <v>13</v>
      </c>
      <c r="E45" s="86">
        <v>10940</v>
      </c>
      <c r="G45" s="30"/>
      <c r="I45" s="69"/>
      <c r="J45" s="69"/>
    </row>
    <row r="46" spans="1:10" s="70" customFormat="1" ht="12.75" customHeight="1" x14ac:dyDescent="0.2">
      <c r="A46" s="89">
        <v>45145</v>
      </c>
      <c r="B46" s="128" t="s">
        <v>6</v>
      </c>
      <c r="C46" s="10" t="s">
        <v>1221</v>
      </c>
      <c r="D46" s="11" t="s">
        <v>13</v>
      </c>
      <c r="E46" s="86">
        <v>157804</v>
      </c>
      <c r="G46" s="30"/>
      <c r="I46" s="69"/>
      <c r="J46" s="69"/>
    </row>
    <row r="47" spans="1:10" s="139" customFormat="1" ht="12.75" customHeight="1" x14ac:dyDescent="0.2">
      <c r="A47" s="89">
        <v>45145</v>
      </c>
      <c r="B47" s="128" t="s">
        <v>6</v>
      </c>
      <c r="C47" s="145" t="s">
        <v>1320</v>
      </c>
      <c r="D47" s="142" t="s">
        <v>13</v>
      </c>
      <c r="E47" s="146">
        <v>100000</v>
      </c>
      <c r="G47" s="30"/>
      <c r="I47" s="144"/>
      <c r="J47" s="144"/>
    </row>
    <row r="48" spans="1:10" s="70" customFormat="1" ht="12.75" customHeight="1" x14ac:dyDescent="0.2">
      <c r="A48" s="89">
        <v>45145</v>
      </c>
      <c r="B48" s="128" t="s">
        <v>6</v>
      </c>
      <c r="C48" s="10" t="s">
        <v>202</v>
      </c>
      <c r="D48" s="11" t="s">
        <v>13</v>
      </c>
      <c r="E48" s="86">
        <v>100000</v>
      </c>
      <c r="G48" s="30"/>
      <c r="I48" s="69"/>
      <c r="J48" s="69"/>
    </row>
    <row r="49" spans="1:10" s="70" customFormat="1" ht="12.75" customHeight="1" x14ac:dyDescent="0.2">
      <c r="A49" s="89">
        <v>45145</v>
      </c>
      <c r="B49" s="128" t="s">
        <v>6</v>
      </c>
      <c r="C49" s="10" t="s">
        <v>640</v>
      </c>
      <c r="D49" s="11" t="s">
        <v>13</v>
      </c>
      <c r="E49" s="86">
        <v>400000</v>
      </c>
      <c r="G49" s="30"/>
      <c r="I49" s="69"/>
      <c r="J49" s="69"/>
    </row>
    <row r="50" spans="1:10" s="70" customFormat="1" ht="12.75" customHeight="1" x14ac:dyDescent="0.2">
      <c r="A50" s="89">
        <v>45145</v>
      </c>
      <c r="B50" s="128" t="s">
        <v>6</v>
      </c>
      <c r="C50" s="10" t="s">
        <v>1231</v>
      </c>
      <c r="D50" s="11" t="s">
        <v>13</v>
      </c>
      <c r="E50" s="86">
        <v>47818</v>
      </c>
      <c r="G50" s="30"/>
      <c r="I50" s="69"/>
      <c r="J50" s="69"/>
    </row>
    <row r="51" spans="1:10" s="70" customFormat="1" ht="12.75" customHeight="1" x14ac:dyDescent="0.2">
      <c r="A51" s="89">
        <v>45145</v>
      </c>
      <c r="B51" s="128" t="s">
        <v>6</v>
      </c>
      <c r="C51" s="10" t="s">
        <v>265</v>
      </c>
      <c r="D51" s="11" t="s">
        <v>13</v>
      </c>
      <c r="E51" s="86">
        <v>5670</v>
      </c>
      <c r="G51" s="30"/>
      <c r="I51" s="69"/>
      <c r="J51" s="69"/>
    </row>
    <row r="52" spans="1:10" s="70" customFormat="1" ht="12.75" customHeight="1" x14ac:dyDescent="0.2">
      <c r="A52" s="89">
        <v>45145</v>
      </c>
      <c r="B52" s="128" t="s">
        <v>6</v>
      </c>
      <c r="C52" s="10" t="s">
        <v>385</v>
      </c>
      <c r="D52" s="11" t="s">
        <v>13</v>
      </c>
      <c r="E52" s="86">
        <v>297252.52</v>
      </c>
      <c r="G52" s="30"/>
      <c r="I52" s="69"/>
      <c r="J52" s="69"/>
    </row>
    <row r="53" spans="1:10" s="70" customFormat="1" ht="12.75" customHeight="1" x14ac:dyDescent="0.2">
      <c r="A53" s="89">
        <v>45145</v>
      </c>
      <c r="B53" s="128" t="s">
        <v>6</v>
      </c>
      <c r="C53" s="10" t="s">
        <v>1138</v>
      </c>
      <c r="D53" s="11" t="s">
        <v>13</v>
      </c>
      <c r="E53" s="86">
        <v>511000</v>
      </c>
      <c r="G53" s="30"/>
      <c r="I53" s="69"/>
      <c r="J53" s="69"/>
    </row>
    <row r="54" spans="1:10" s="70" customFormat="1" ht="12.75" customHeight="1" x14ac:dyDescent="0.2">
      <c r="A54" s="89">
        <v>45145</v>
      </c>
      <c r="B54" s="128" t="s">
        <v>6</v>
      </c>
      <c r="C54" s="10" t="s">
        <v>935</v>
      </c>
      <c r="D54" s="11" t="s">
        <v>13</v>
      </c>
      <c r="E54" s="86">
        <v>5681</v>
      </c>
      <c r="G54" s="30"/>
      <c r="I54" s="69"/>
      <c r="J54" s="69"/>
    </row>
    <row r="55" spans="1:10" s="70" customFormat="1" ht="12.75" customHeight="1" x14ac:dyDescent="0.2">
      <c r="A55" s="89">
        <v>45145</v>
      </c>
      <c r="B55" s="128" t="s">
        <v>6</v>
      </c>
      <c r="C55" s="10" t="s">
        <v>149</v>
      </c>
      <c r="D55" s="11" t="s">
        <v>13</v>
      </c>
      <c r="E55" s="86">
        <v>17229</v>
      </c>
      <c r="G55" s="30"/>
      <c r="I55" s="69"/>
      <c r="J55" s="69"/>
    </row>
    <row r="56" spans="1:10" s="70" customFormat="1" ht="12.75" customHeight="1" x14ac:dyDescent="0.2">
      <c r="A56" s="89">
        <v>45145</v>
      </c>
      <c r="B56" s="128" t="s">
        <v>6</v>
      </c>
      <c r="C56" s="10" t="s">
        <v>177</v>
      </c>
      <c r="D56" s="11" t="s">
        <v>13</v>
      </c>
      <c r="E56" s="86">
        <v>2457482</v>
      </c>
      <c r="G56" s="30"/>
      <c r="I56" s="69"/>
      <c r="J56" s="69"/>
    </row>
    <row r="57" spans="1:10" s="70" customFormat="1" ht="12.75" customHeight="1" x14ac:dyDescent="0.2">
      <c r="A57" s="89">
        <v>45145</v>
      </c>
      <c r="B57" s="128" t="s">
        <v>6</v>
      </c>
      <c r="C57" s="10" t="s">
        <v>1319</v>
      </c>
      <c r="D57" s="11" t="s">
        <v>13</v>
      </c>
      <c r="E57" s="86">
        <v>4200</v>
      </c>
      <c r="G57" s="30"/>
      <c r="I57" s="69"/>
      <c r="J57" s="69"/>
    </row>
    <row r="58" spans="1:10" s="70" customFormat="1" ht="12.75" customHeight="1" x14ac:dyDescent="0.2">
      <c r="A58" s="89">
        <v>45145</v>
      </c>
      <c r="B58" s="128" t="s">
        <v>6</v>
      </c>
      <c r="C58" s="10" t="s">
        <v>212</v>
      </c>
      <c r="D58" s="11" t="s">
        <v>499</v>
      </c>
      <c r="E58" s="86">
        <v>7505</v>
      </c>
      <c r="G58" s="30"/>
      <c r="I58" s="69"/>
      <c r="J58" s="69"/>
    </row>
    <row r="59" spans="1:10" s="70" customFormat="1" ht="12.75" customHeight="1" x14ac:dyDescent="0.2">
      <c r="A59" s="89">
        <v>45145</v>
      </c>
      <c r="B59" s="128" t="s">
        <v>11</v>
      </c>
      <c r="C59" s="10" t="s">
        <v>111</v>
      </c>
      <c r="D59" s="11" t="s">
        <v>29</v>
      </c>
      <c r="E59" s="86"/>
      <c r="F59" s="70">
        <v>5952170.7300000004</v>
      </c>
      <c r="G59" s="30"/>
      <c r="I59" s="69"/>
      <c r="J59" s="69"/>
    </row>
    <row r="60" spans="1:10" s="70" customFormat="1" ht="12.75" customHeight="1" x14ac:dyDescent="0.2">
      <c r="A60" s="89">
        <v>45145</v>
      </c>
      <c r="B60" s="128" t="s">
        <v>11</v>
      </c>
      <c r="C60" s="10" t="s">
        <v>123</v>
      </c>
      <c r="D60" s="11" t="s">
        <v>29</v>
      </c>
      <c r="E60" s="86"/>
      <c r="F60" s="70">
        <v>11653</v>
      </c>
      <c r="G60" s="30"/>
      <c r="I60" s="69"/>
      <c r="J60" s="69"/>
    </row>
    <row r="61" spans="1:10" s="70" customFormat="1" ht="12.75" customHeight="1" x14ac:dyDescent="0.2">
      <c r="A61" s="89">
        <v>45145</v>
      </c>
      <c r="B61" s="128" t="s">
        <v>11</v>
      </c>
      <c r="C61" s="10" t="s">
        <v>110</v>
      </c>
      <c r="D61" s="11" t="s">
        <v>29</v>
      </c>
      <c r="E61" s="86"/>
      <c r="F61" s="70">
        <v>1346990.55</v>
      </c>
      <c r="G61" s="30"/>
      <c r="I61" s="69"/>
      <c r="J61" s="69"/>
    </row>
    <row r="62" spans="1:10" s="70" customFormat="1" ht="12.75" customHeight="1" x14ac:dyDescent="0.2">
      <c r="A62" s="89">
        <v>45145</v>
      </c>
      <c r="B62" s="128" t="s">
        <v>11</v>
      </c>
      <c r="C62" s="10" t="s">
        <v>410</v>
      </c>
      <c r="D62" s="11" t="s">
        <v>29</v>
      </c>
      <c r="E62" s="86"/>
      <c r="F62" s="70">
        <v>17671</v>
      </c>
      <c r="G62" s="30"/>
      <c r="I62" s="69"/>
      <c r="J62" s="69"/>
    </row>
    <row r="63" spans="1:10" s="70" customFormat="1" ht="12.75" customHeight="1" x14ac:dyDescent="0.2">
      <c r="A63" s="89">
        <v>45145</v>
      </c>
      <c r="B63" s="128" t="s">
        <v>11</v>
      </c>
      <c r="C63" s="10" t="s">
        <v>422</v>
      </c>
      <c r="D63" s="11" t="s">
        <v>29</v>
      </c>
      <c r="E63" s="86"/>
      <c r="F63" s="70">
        <v>9288</v>
      </c>
      <c r="G63" s="30"/>
      <c r="I63" s="69"/>
      <c r="J63" s="69"/>
    </row>
    <row r="64" spans="1:10" s="70" customFormat="1" ht="12.75" customHeight="1" x14ac:dyDescent="0.2">
      <c r="A64" s="89">
        <v>45145</v>
      </c>
      <c r="B64" s="128" t="s">
        <v>11</v>
      </c>
      <c r="C64" s="10" t="s">
        <v>284</v>
      </c>
      <c r="D64" s="11" t="s">
        <v>29</v>
      </c>
      <c r="E64" s="86"/>
      <c r="F64" s="70">
        <v>98549</v>
      </c>
      <c r="G64" s="30"/>
      <c r="I64" s="69"/>
      <c r="J64" s="69"/>
    </row>
    <row r="65" spans="1:10" s="70" customFormat="1" ht="12.75" customHeight="1" x14ac:dyDescent="0.2">
      <c r="A65" s="89">
        <v>45145</v>
      </c>
      <c r="B65" s="128" t="s">
        <v>11</v>
      </c>
      <c r="C65" s="10" t="s">
        <v>628</v>
      </c>
      <c r="D65" s="11" t="s">
        <v>29</v>
      </c>
      <c r="E65" s="86"/>
      <c r="F65" s="70">
        <v>47618</v>
      </c>
      <c r="G65" s="30"/>
      <c r="I65" s="69"/>
      <c r="J65" s="69"/>
    </row>
    <row r="66" spans="1:10" s="70" customFormat="1" ht="12.75" customHeight="1" x14ac:dyDescent="0.2">
      <c r="A66" s="89">
        <v>45145</v>
      </c>
      <c r="B66" s="128" t="s">
        <v>11</v>
      </c>
      <c r="C66" s="10" t="s">
        <v>603</v>
      </c>
      <c r="D66" s="11" t="s">
        <v>29</v>
      </c>
      <c r="E66" s="86"/>
      <c r="F66" s="70">
        <v>20093</v>
      </c>
      <c r="G66" s="30"/>
      <c r="I66" s="69"/>
      <c r="J66" s="69"/>
    </row>
    <row r="67" spans="1:10" s="70" customFormat="1" ht="12.75" customHeight="1" x14ac:dyDescent="0.2">
      <c r="A67" s="89">
        <v>45145</v>
      </c>
      <c r="B67" s="128" t="s">
        <v>11</v>
      </c>
      <c r="C67" s="10" t="s">
        <v>602</v>
      </c>
      <c r="D67" s="11" t="s">
        <v>29</v>
      </c>
      <c r="E67" s="86"/>
      <c r="F67" s="70">
        <v>21867.64</v>
      </c>
      <c r="G67" s="30"/>
      <c r="I67" s="69"/>
      <c r="J67" s="69"/>
    </row>
    <row r="68" spans="1:10" s="70" customFormat="1" ht="12.75" customHeight="1" x14ac:dyDescent="0.2">
      <c r="A68" s="89">
        <v>45145</v>
      </c>
      <c r="B68" s="128" t="s">
        <v>11</v>
      </c>
      <c r="C68" s="10" t="s">
        <v>998</v>
      </c>
      <c r="D68" s="11" t="s">
        <v>29</v>
      </c>
      <c r="E68" s="86"/>
      <c r="F68" s="70">
        <v>3742333.04</v>
      </c>
      <c r="G68" s="30"/>
      <c r="I68" s="69"/>
      <c r="J68" s="69"/>
    </row>
    <row r="69" spans="1:10" s="70" customFormat="1" ht="12.75" customHeight="1" x14ac:dyDescent="0.2">
      <c r="A69" s="89">
        <v>45145</v>
      </c>
      <c r="B69" s="128" t="s">
        <v>11</v>
      </c>
      <c r="C69" s="10" t="s">
        <v>561</v>
      </c>
      <c r="D69" s="11" t="s">
        <v>29</v>
      </c>
      <c r="E69" s="86"/>
      <c r="F69" s="70">
        <v>806490</v>
      </c>
      <c r="G69" s="30"/>
      <c r="I69" s="69"/>
      <c r="J69" s="69"/>
    </row>
    <row r="70" spans="1:10" s="70" customFormat="1" ht="12.75" customHeight="1" x14ac:dyDescent="0.2">
      <c r="A70" s="89">
        <v>45145</v>
      </c>
      <c r="B70" s="128" t="s">
        <v>11</v>
      </c>
      <c r="C70" s="10" t="s">
        <v>64</v>
      </c>
      <c r="D70" s="11" t="s">
        <v>29</v>
      </c>
      <c r="E70" s="86"/>
      <c r="F70" s="70">
        <v>10538.71</v>
      </c>
      <c r="G70" s="30"/>
      <c r="I70" s="69"/>
      <c r="J70" s="69"/>
    </row>
    <row r="71" spans="1:10" s="70" customFormat="1" ht="12.75" customHeight="1" x14ac:dyDescent="0.2">
      <c r="A71" s="89">
        <v>45145</v>
      </c>
      <c r="B71" s="128" t="s">
        <v>11</v>
      </c>
      <c r="C71" s="10" t="s">
        <v>362</v>
      </c>
      <c r="D71" s="11" t="s">
        <v>29</v>
      </c>
      <c r="E71" s="86"/>
      <c r="F71" s="70">
        <v>301.8</v>
      </c>
      <c r="G71" s="30"/>
      <c r="I71" s="69"/>
      <c r="J71" s="69"/>
    </row>
    <row r="72" spans="1:10" s="70" customFormat="1" ht="12.75" customHeight="1" x14ac:dyDescent="0.2">
      <c r="A72" s="89">
        <v>45145</v>
      </c>
      <c r="B72" s="128" t="s">
        <v>11</v>
      </c>
      <c r="C72" s="10" t="s">
        <v>338</v>
      </c>
      <c r="D72" s="11" t="s">
        <v>29</v>
      </c>
      <c r="E72" s="86"/>
      <c r="F72" s="70">
        <v>6486.56</v>
      </c>
      <c r="G72" s="30"/>
      <c r="I72" s="69"/>
      <c r="J72" s="69"/>
    </row>
    <row r="73" spans="1:10" s="70" customFormat="1" ht="12.75" customHeight="1" x14ac:dyDescent="0.2">
      <c r="A73" s="89">
        <v>45145</v>
      </c>
      <c r="B73" s="128" t="s">
        <v>11</v>
      </c>
      <c r="C73" s="10" t="s">
        <v>339</v>
      </c>
      <c r="D73" s="11" t="s">
        <v>29</v>
      </c>
      <c r="E73" s="86"/>
      <c r="F73" s="70">
        <v>5836.65</v>
      </c>
      <c r="G73" s="30"/>
      <c r="I73" s="69"/>
      <c r="J73" s="69"/>
    </row>
    <row r="74" spans="1:10" s="70" customFormat="1" ht="12.75" customHeight="1" x14ac:dyDescent="0.2">
      <c r="A74" s="89">
        <v>45145</v>
      </c>
      <c r="B74" s="128" t="s">
        <v>11</v>
      </c>
      <c r="C74" s="10" t="s">
        <v>268</v>
      </c>
      <c r="D74" s="11" t="s">
        <v>29</v>
      </c>
      <c r="E74" s="86"/>
      <c r="F74" s="70">
        <v>219346</v>
      </c>
      <c r="G74" s="30"/>
      <c r="I74" s="69"/>
      <c r="J74" s="69"/>
    </row>
    <row r="75" spans="1:10" s="70" customFormat="1" ht="12.75" customHeight="1" x14ac:dyDescent="0.2">
      <c r="A75" s="89">
        <v>45145</v>
      </c>
      <c r="B75" s="128" t="s">
        <v>11</v>
      </c>
      <c r="C75" s="10" t="s">
        <v>303</v>
      </c>
      <c r="D75" s="11" t="s">
        <v>29</v>
      </c>
      <c r="E75" s="86"/>
      <c r="F75" s="70">
        <v>5841</v>
      </c>
      <c r="G75" s="30"/>
      <c r="I75" s="69"/>
      <c r="J75" s="69"/>
    </row>
    <row r="76" spans="1:10" s="70" customFormat="1" ht="12.75" customHeight="1" x14ac:dyDescent="0.2">
      <c r="A76" s="89">
        <v>45145</v>
      </c>
      <c r="B76" s="128" t="s">
        <v>11</v>
      </c>
      <c r="C76" s="10" t="s">
        <v>970</v>
      </c>
      <c r="D76" s="11" t="s">
        <v>29</v>
      </c>
      <c r="E76" s="86"/>
      <c r="F76" s="70">
        <v>20037</v>
      </c>
      <c r="G76" s="30"/>
      <c r="I76" s="69"/>
      <c r="J76" s="69"/>
    </row>
    <row r="77" spans="1:10" s="70" customFormat="1" ht="12.75" customHeight="1" x14ac:dyDescent="0.2">
      <c r="A77" s="89">
        <v>45145</v>
      </c>
      <c r="B77" s="128" t="s">
        <v>11</v>
      </c>
      <c r="C77" s="10" t="s">
        <v>252</v>
      </c>
      <c r="D77" s="11" t="s">
        <v>29</v>
      </c>
      <c r="E77" s="86"/>
      <c r="F77" s="70">
        <v>14508</v>
      </c>
      <c r="G77" s="30"/>
      <c r="I77" s="69"/>
      <c r="J77" s="69"/>
    </row>
    <row r="78" spans="1:10" s="70" customFormat="1" ht="12.75" customHeight="1" x14ac:dyDescent="0.2">
      <c r="A78" s="89">
        <v>45145</v>
      </c>
      <c r="B78" s="128" t="s">
        <v>11</v>
      </c>
      <c r="C78" s="10" t="s">
        <v>130</v>
      </c>
      <c r="D78" s="11" t="s">
        <v>29</v>
      </c>
      <c r="E78" s="86"/>
      <c r="F78" s="70">
        <v>238875</v>
      </c>
      <c r="G78" s="30"/>
      <c r="I78" s="69"/>
      <c r="J78" s="69"/>
    </row>
    <row r="79" spans="1:10" s="70" customFormat="1" ht="12.75" customHeight="1" x14ac:dyDescent="0.2">
      <c r="A79" s="89">
        <v>45145</v>
      </c>
      <c r="B79" s="128" t="s">
        <v>11</v>
      </c>
      <c r="C79" s="10" t="s">
        <v>731</v>
      </c>
      <c r="D79" s="11" t="s">
        <v>29</v>
      </c>
      <c r="E79" s="86"/>
      <c r="F79" s="70">
        <v>108900</v>
      </c>
      <c r="G79" s="30"/>
      <c r="I79" s="69"/>
      <c r="J79" s="69"/>
    </row>
    <row r="80" spans="1:10" s="70" customFormat="1" ht="12.75" customHeight="1" x14ac:dyDescent="0.2">
      <c r="A80" s="89">
        <v>45145</v>
      </c>
      <c r="B80" s="128" t="s">
        <v>11</v>
      </c>
      <c r="C80" s="10" t="s">
        <v>35</v>
      </c>
      <c r="D80" s="11" t="s">
        <v>29</v>
      </c>
      <c r="E80" s="86"/>
      <c r="F80" s="70">
        <v>256481.7</v>
      </c>
      <c r="G80" s="30"/>
      <c r="I80" s="69"/>
      <c r="J80" s="69"/>
    </row>
    <row r="81" spans="1:14" s="70" customFormat="1" ht="12.75" customHeight="1" x14ac:dyDescent="0.2">
      <c r="A81" s="89">
        <v>45145</v>
      </c>
      <c r="B81" s="128" t="s">
        <v>11</v>
      </c>
      <c r="C81" s="10" t="s">
        <v>585</v>
      </c>
      <c r="D81" s="11" t="s">
        <v>29</v>
      </c>
      <c r="E81" s="86"/>
      <c r="F81" s="70">
        <v>42975</v>
      </c>
      <c r="G81" s="30"/>
      <c r="I81" s="69"/>
      <c r="J81" s="69"/>
    </row>
    <row r="82" spans="1:14" s="70" customFormat="1" ht="12.75" customHeight="1" x14ac:dyDescent="0.2">
      <c r="A82" s="89">
        <v>45145</v>
      </c>
      <c r="B82" s="128" t="s">
        <v>11</v>
      </c>
      <c r="C82" s="10" t="s">
        <v>63</v>
      </c>
      <c r="D82" s="11" t="s">
        <v>29</v>
      </c>
      <c r="E82" s="86"/>
      <c r="F82" s="70">
        <v>3500000</v>
      </c>
      <c r="G82" s="30"/>
      <c r="I82" s="69"/>
      <c r="J82" s="69"/>
    </row>
    <row r="83" spans="1:14" s="70" customFormat="1" ht="12.75" customHeight="1" x14ac:dyDescent="0.2">
      <c r="A83" s="89">
        <v>45145</v>
      </c>
      <c r="B83" s="128" t="s">
        <v>11</v>
      </c>
      <c r="C83" s="10" t="s">
        <v>925</v>
      </c>
      <c r="D83" s="11" t="s">
        <v>29</v>
      </c>
      <c r="E83" s="86"/>
      <c r="F83" s="70">
        <v>461469</v>
      </c>
      <c r="G83" s="30"/>
      <c r="I83" s="69"/>
      <c r="J83" s="69"/>
    </row>
    <row r="84" spans="1:14" s="70" customFormat="1" ht="12.75" customHeight="1" x14ac:dyDescent="0.2">
      <c r="A84" s="89">
        <v>45145</v>
      </c>
      <c r="B84" s="128" t="s">
        <v>11</v>
      </c>
      <c r="C84" s="10" t="s">
        <v>926</v>
      </c>
      <c r="D84" s="11" t="s">
        <v>29</v>
      </c>
      <c r="E84" s="86"/>
      <c r="F84" s="70">
        <v>264920</v>
      </c>
      <c r="G84" s="30"/>
      <c r="I84" s="69"/>
      <c r="J84" s="69"/>
    </row>
    <row r="85" spans="1:14" s="70" customFormat="1" ht="12.75" customHeight="1" x14ac:dyDescent="0.2">
      <c r="A85" s="89">
        <v>45145</v>
      </c>
      <c r="B85" s="128" t="s">
        <v>11</v>
      </c>
      <c r="C85" s="10" t="s">
        <v>549</v>
      </c>
      <c r="D85" s="11" t="s">
        <v>29</v>
      </c>
      <c r="E85" s="86"/>
      <c r="F85" s="70">
        <v>733963</v>
      </c>
      <c r="G85" s="30"/>
      <c r="I85" s="69"/>
      <c r="J85" s="69"/>
    </row>
    <row r="86" spans="1:14" s="70" customFormat="1" ht="12.75" customHeight="1" x14ac:dyDescent="0.2">
      <c r="A86" s="89">
        <v>45145</v>
      </c>
      <c r="B86" s="128" t="s">
        <v>11</v>
      </c>
      <c r="C86" s="10" t="s">
        <v>57</v>
      </c>
      <c r="D86" s="11" t="s">
        <v>29</v>
      </c>
      <c r="E86" s="86"/>
      <c r="F86" s="70">
        <v>13500000</v>
      </c>
      <c r="G86" s="30"/>
      <c r="I86" s="69"/>
      <c r="J86" s="69"/>
    </row>
    <row r="87" spans="1:14" s="70" customFormat="1" ht="12.75" customHeight="1" x14ac:dyDescent="0.2">
      <c r="A87" s="89">
        <v>45145</v>
      </c>
      <c r="B87" s="128" t="s">
        <v>11</v>
      </c>
      <c r="C87" s="10" t="s">
        <v>447</v>
      </c>
      <c r="D87" s="11" t="s">
        <v>29</v>
      </c>
      <c r="E87" s="86"/>
      <c r="F87" s="70">
        <v>495000</v>
      </c>
      <c r="G87" s="30"/>
      <c r="I87" s="69"/>
      <c r="J87" s="69"/>
    </row>
    <row r="88" spans="1:14" s="70" customFormat="1" ht="12.75" customHeight="1" x14ac:dyDescent="0.2">
      <c r="A88" s="89">
        <v>45145</v>
      </c>
      <c r="B88" s="128" t="s">
        <v>11</v>
      </c>
      <c r="C88" s="10" t="s">
        <v>395</v>
      </c>
      <c r="D88" s="11" t="s">
        <v>29</v>
      </c>
      <c r="E88" s="86"/>
      <c r="F88" s="70">
        <v>500000</v>
      </c>
      <c r="G88" s="30"/>
      <c r="I88" s="69"/>
      <c r="J88" s="69"/>
    </row>
    <row r="89" spans="1:14" s="70" customFormat="1" ht="12.75" customHeight="1" x14ac:dyDescent="0.2">
      <c r="A89" s="89">
        <v>45145</v>
      </c>
      <c r="B89" s="128" t="s">
        <v>11</v>
      </c>
      <c r="C89" s="10" t="s">
        <v>406</v>
      </c>
      <c r="D89" s="11" t="s">
        <v>29</v>
      </c>
      <c r="E89" s="86"/>
      <c r="F89" s="70">
        <v>17699</v>
      </c>
      <c r="G89" s="30"/>
      <c r="I89" s="69"/>
      <c r="J89" s="69"/>
    </row>
    <row r="90" spans="1:14" s="70" customFormat="1" ht="12.75" customHeight="1" x14ac:dyDescent="0.2">
      <c r="A90" s="89">
        <v>45145</v>
      </c>
      <c r="B90" s="128" t="s">
        <v>11</v>
      </c>
      <c r="C90" s="10" t="s">
        <v>336</v>
      </c>
      <c r="D90" s="11" t="s">
        <v>258</v>
      </c>
      <c r="E90" s="86"/>
      <c r="F90" s="70">
        <v>188541</v>
      </c>
      <c r="G90" s="30"/>
      <c r="I90" s="69"/>
      <c r="J90" s="69"/>
    </row>
    <row r="91" spans="1:14" s="2" customFormat="1" ht="12.75" customHeight="1" x14ac:dyDescent="0.2">
      <c r="A91" s="32"/>
      <c r="B91" s="33"/>
      <c r="C91" s="14"/>
      <c r="D91" s="34"/>
      <c r="E91" s="16">
        <f>SUM(E42:E90)</f>
        <v>7570389.5199999996</v>
      </c>
      <c r="F91" s="16">
        <f>SUM(F42:F90)</f>
        <v>343767945.11999983</v>
      </c>
      <c r="G91" s="30"/>
      <c r="H91" s="1"/>
      <c r="I91" s="38">
        <v>336197555.60000002</v>
      </c>
      <c r="J91" s="2" t="s">
        <v>396</v>
      </c>
      <c r="K91" s="92">
        <f>E92-I91</f>
        <v>0</v>
      </c>
      <c r="L91" s="41"/>
      <c r="M91" s="42"/>
    </row>
    <row r="92" spans="1:14" s="2" customFormat="1" ht="12.75" customHeight="1" x14ac:dyDescent="0.2">
      <c r="A92" s="36"/>
      <c r="B92" s="28" t="s">
        <v>11</v>
      </c>
      <c r="C92" s="19" t="s">
        <v>65</v>
      </c>
      <c r="D92" s="37"/>
      <c r="E92" s="38">
        <f>F91-E91</f>
        <v>336197555.59999985</v>
      </c>
      <c r="F92" s="22"/>
      <c r="G92" s="1"/>
      <c r="H92" s="1"/>
      <c r="J92" s="1"/>
      <c r="K92" s="1"/>
      <c r="L92" s="1"/>
      <c r="M92" s="1"/>
    </row>
    <row r="93" spans="1:14" s="2" customFormat="1" ht="12.75" customHeight="1" x14ac:dyDescent="0.2">
      <c r="A93" s="36"/>
      <c r="B93" s="28" t="s">
        <v>66</v>
      </c>
      <c r="C93" s="43" t="s">
        <v>67</v>
      </c>
      <c r="D93" s="43"/>
      <c r="E93" s="12">
        <v>0</v>
      </c>
      <c r="F93" s="22"/>
      <c r="G93" s="1"/>
      <c r="H93" s="40"/>
      <c r="I93" s="45">
        <v>1000.54</v>
      </c>
      <c r="J93" s="46"/>
      <c r="K93" s="46"/>
      <c r="L93" s="13"/>
      <c r="M93" s="69" t="s">
        <v>396</v>
      </c>
    </row>
    <row r="94" spans="1:14" s="2" customFormat="1" ht="12.75" customHeight="1" x14ac:dyDescent="0.25">
      <c r="A94" s="36"/>
      <c r="B94" s="28"/>
      <c r="C94" s="44" t="s">
        <v>68</v>
      </c>
      <c r="D94" s="43"/>
      <c r="E94" s="7">
        <f>E92+E93</f>
        <v>336197555.59999985</v>
      </c>
      <c r="F94" s="22"/>
      <c r="G94" s="1"/>
      <c r="H94" s="103" t="s">
        <v>69</v>
      </c>
      <c r="I94" s="45">
        <v>56.2</v>
      </c>
      <c r="J94" s="46"/>
      <c r="K94" s="46"/>
      <c r="N94" s="1"/>
    </row>
    <row r="95" spans="1:14" s="2" customFormat="1" x14ac:dyDescent="0.2">
      <c r="A95" s="24"/>
      <c r="B95" s="1"/>
      <c r="C95" s="14"/>
      <c r="D95" s="25"/>
      <c r="E95" s="1"/>
      <c r="H95" s="35" t="s">
        <v>70</v>
      </c>
      <c r="I95" s="45">
        <v>0</v>
      </c>
      <c r="J95" s="46">
        <f>+I96-D98</f>
        <v>0</v>
      </c>
      <c r="M95" s="2" t="s">
        <v>396</v>
      </c>
      <c r="N95" s="1"/>
    </row>
    <row r="96" spans="1:14" x14ac:dyDescent="0.2">
      <c r="C96" s="56"/>
      <c r="D96" s="56"/>
      <c r="E96" s="104"/>
      <c r="I96" s="49">
        <f>SUM(I93:I95)</f>
        <v>1056.74</v>
      </c>
      <c r="J96" s="46"/>
      <c r="K96" s="46"/>
      <c r="L96" s="2"/>
      <c r="M96" s="2"/>
      <c r="N96" s="2"/>
    </row>
    <row r="97" spans="1:14" x14ac:dyDescent="0.2">
      <c r="C97" s="78" t="s">
        <v>575</v>
      </c>
      <c r="D97" s="48" t="s">
        <v>576</v>
      </c>
      <c r="E97" s="104"/>
      <c r="I97" s="2"/>
      <c r="J97" s="2"/>
      <c r="K97" s="2"/>
      <c r="L97" s="2"/>
      <c r="M97" s="2"/>
      <c r="N97" s="2"/>
    </row>
    <row r="98" spans="1:14" s="2" customFormat="1" x14ac:dyDescent="0.2">
      <c r="A98" s="24"/>
      <c r="B98" s="1"/>
      <c r="C98" s="47" t="s">
        <v>570</v>
      </c>
      <c r="D98" s="111">
        <v>1056.74</v>
      </c>
      <c r="E98" s="104"/>
      <c r="G98" s="1"/>
      <c r="H98" s="110" t="s">
        <v>581</v>
      </c>
      <c r="N98" s="2" t="s">
        <v>535</v>
      </c>
    </row>
    <row r="99" spans="1:14" s="2" customFormat="1" x14ac:dyDescent="0.2">
      <c r="A99" s="24"/>
      <c r="B99" s="1"/>
      <c r="C99" s="47" t="s">
        <v>931</v>
      </c>
      <c r="D99" s="111">
        <v>100</v>
      </c>
      <c r="E99" s="104"/>
      <c r="G99" s="1"/>
      <c r="H99" s="110" t="s">
        <v>580</v>
      </c>
    </row>
    <row r="100" spans="1:14" s="2" customFormat="1" x14ac:dyDescent="0.2">
      <c r="A100" s="24"/>
      <c r="B100" s="1"/>
      <c r="C100" s="47" t="s">
        <v>572</v>
      </c>
      <c r="D100" s="111">
        <f>+D124/100000</f>
        <v>50.476809100000004</v>
      </c>
      <c r="E100" s="104"/>
      <c r="G100" s="1"/>
      <c r="H100" s="90" t="s">
        <v>587</v>
      </c>
    </row>
    <row r="101" spans="1:14" s="2" customFormat="1" x14ac:dyDescent="0.2">
      <c r="A101" s="24"/>
      <c r="B101" s="1"/>
      <c r="C101" s="108" t="s">
        <v>578</v>
      </c>
      <c r="D101" s="48">
        <f>SUM(D98:D100)</f>
        <v>1207.2168091000001</v>
      </c>
      <c r="E101" s="104"/>
      <c r="G101" s="1"/>
    </row>
    <row r="102" spans="1:14" s="2" customFormat="1" x14ac:dyDescent="0.2">
      <c r="A102" s="24"/>
      <c r="B102" s="1"/>
      <c r="C102" s="47"/>
      <c r="D102" s="107"/>
      <c r="E102" s="104"/>
      <c r="G102" s="1"/>
    </row>
    <row r="103" spans="1:14" s="2" customFormat="1" x14ac:dyDescent="0.2">
      <c r="A103" s="24"/>
      <c r="B103" s="1"/>
      <c r="C103" s="47" t="s">
        <v>932</v>
      </c>
      <c r="D103" s="111">
        <v>27.61</v>
      </c>
      <c r="E103" s="104"/>
      <c r="G103" s="1"/>
      <c r="H103" s="110" t="s">
        <v>581</v>
      </c>
    </row>
    <row r="104" spans="1:14" s="2" customFormat="1" x14ac:dyDescent="0.2">
      <c r="A104" s="24"/>
      <c r="B104" s="1"/>
      <c r="C104" s="136" t="s">
        <v>1142</v>
      </c>
      <c r="D104" s="111">
        <f>121.87+95.33-136.45-15.63</f>
        <v>65.12</v>
      </c>
      <c r="E104" s="104"/>
      <c r="G104" s="1"/>
      <c r="H104" s="110" t="s">
        <v>581</v>
      </c>
      <c r="J104" s="114" t="s">
        <v>713</v>
      </c>
    </row>
    <row r="105" spans="1:14" s="2" customFormat="1" x14ac:dyDescent="0.2">
      <c r="A105" s="24"/>
      <c r="B105" s="1"/>
      <c r="C105" s="78" t="s">
        <v>579</v>
      </c>
      <c r="D105" s="109">
        <f>D103+D104</f>
        <v>92.73</v>
      </c>
      <c r="E105" s="104"/>
      <c r="G105" s="1"/>
      <c r="I105" s="113"/>
      <c r="J105" s="113" t="s">
        <v>709</v>
      </c>
      <c r="K105" s="113" t="s">
        <v>710</v>
      </c>
      <c r="L105" s="113" t="s">
        <v>711</v>
      </c>
      <c r="M105" s="113" t="s">
        <v>712</v>
      </c>
    </row>
    <row r="106" spans="1:14" s="2" customFormat="1" x14ac:dyDescent="0.2">
      <c r="A106" s="24"/>
      <c r="B106" s="1"/>
      <c r="C106" s="105"/>
      <c r="D106" s="106"/>
      <c r="E106" s="104"/>
      <c r="G106" s="1"/>
      <c r="I106" s="113" t="s">
        <v>706</v>
      </c>
      <c r="J106" s="115"/>
      <c r="K106" s="115">
        <v>968.99</v>
      </c>
      <c r="L106" s="115">
        <v>968.99</v>
      </c>
      <c r="M106" s="113">
        <f>+J106+L106-K106</f>
        <v>0</v>
      </c>
    </row>
    <row r="107" spans="1:14" s="2" customFormat="1" x14ac:dyDescent="0.2">
      <c r="A107" s="24"/>
      <c r="B107" s="1"/>
      <c r="C107" s="78" t="s">
        <v>577</v>
      </c>
      <c r="D107" s="109">
        <f>D98+D105</f>
        <v>1149.47</v>
      </c>
      <c r="E107" s="104"/>
      <c r="G107" s="1"/>
      <c r="I107" s="113" t="s">
        <v>707</v>
      </c>
      <c r="J107" s="115">
        <v>183.1</v>
      </c>
      <c r="K107" s="115">
        <v>2973.05</v>
      </c>
      <c r="L107" s="115">
        <v>3578.74</v>
      </c>
      <c r="M107" s="113">
        <f>+J107+L107-K107</f>
        <v>788.78999999999951</v>
      </c>
    </row>
    <row r="108" spans="1:14" s="2" customFormat="1" x14ac:dyDescent="0.2">
      <c r="A108" s="24"/>
      <c r="B108" s="1"/>
      <c r="C108" s="56"/>
      <c r="D108" s="56"/>
      <c r="E108" s="104"/>
      <c r="G108" s="1"/>
      <c r="I108" s="113" t="s">
        <v>708</v>
      </c>
      <c r="J108" s="115">
        <v>1371.02</v>
      </c>
      <c r="K108" s="115">
        <v>13422.82</v>
      </c>
      <c r="L108" s="115">
        <v>13016.35</v>
      </c>
      <c r="M108" s="113">
        <f>+J108+L108-K108</f>
        <v>964.55000000000109</v>
      </c>
    </row>
    <row r="109" spans="1:14" s="2" customFormat="1" ht="38.25" x14ac:dyDescent="0.2">
      <c r="A109" s="24"/>
      <c r="B109" s="1"/>
      <c r="C109" s="79" t="str">
        <f>"Particulars ( 01-04-2021 to "&amp;TEXT(A5,"dd-mm-yyyy")&amp;" )"</f>
        <v>Particulars ( 01-04-2021 to 07-08-2023 )</v>
      </c>
      <c r="D109" s="80" t="s">
        <v>73</v>
      </c>
      <c r="E109" s="80" t="s">
        <v>74</v>
      </c>
      <c r="F109" s="81" t="s">
        <v>75</v>
      </c>
      <c r="G109" s="80" t="s">
        <v>76</v>
      </c>
      <c r="J109" s="118">
        <f>SUM(J106:J108)</f>
        <v>1554.12</v>
      </c>
      <c r="K109" s="118">
        <f>SUM(K106:K108)</f>
        <v>17364.86</v>
      </c>
      <c r="L109" s="118">
        <f>SUM(L106:L108)</f>
        <v>17564.080000000002</v>
      </c>
      <c r="M109" s="118">
        <f>SUM(M106:M108)</f>
        <v>1753.3400000000006</v>
      </c>
    </row>
    <row r="110" spans="1:14" s="2" customFormat="1" x14ac:dyDescent="0.2">
      <c r="A110" s="24"/>
      <c r="B110" s="1"/>
      <c r="C110" s="50" t="s">
        <v>444</v>
      </c>
      <c r="D110" s="55">
        <f>+L106+L107+J107</f>
        <v>4730.83</v>
      </c>
      <c r="E110" s="55">
        <f>+K106+K107</f>
        <v>3942.04</v>
      </c>
      <c r="F110" s="55">
        <f>+D110-E110</f>
        <v>788.79</v>
      </c>
      <c r="G110" s="55">
        <f>1500-F110</f>
        <v>711.21</v>
      </c>
      <c r="H110" s="2" t="s">
        <v>396</v>
      </c>
    </row>
    <row r="111" spans="1:14" s="2" customFormat="1" x14ac:dyDescent="0.2">
      <c r="A111" s="24"/>
      <c r="B111" s="1"/>
      <c r="C111" s="50" t="s">
        <v>71</v>
      </c>
      <c r="D111" s="55">
        <f>+J108+L108</f>
        <v>14387.37</v>
      </c>
      <c r="E111" s="55">
        <f>+K108</f>
        <v>13422.82</v>
      </c>
      <c r="F111" s="55">
        <f>+D111-E111</f>
        <v>964.55000000000109</v>
      </c>
      <c r="G111" s="55">
        <f>1500+700-F111</f>
        <v>1235.4499999999989</v>
      </c>
      <c r="H111" s="2" t="s">
        <v>396</v>
      </c>
    </row>
    <row r="112" spans="1:14" s="2" customFormat="1" x14ac:dyDescent="0.2">
      <c r="A112" s="24"/>
      <c r="B112" s="1"/>
      <c r="C112" s="14"/>
      <c r="D112" s="56"/>
      <c r="E112" s="13"/>
      <c r="G112" s="1"/>
    </row>
    <row r="113" spans="1:13" s="2" customFormat="1" x14ac:dyDescent="0.2">
      <c r="A113" s="215" t="s">
        <v>80</v>
      </c>
      <c r="B113" s="216"/>
      <c r="C113" s="216"/>
      <c r="D113" s="217"/>
      <c r="E113" s="69"/>
      <c r="F113" s="70"/>
      <c r="G113" s="1"/>
      <c r="H113" s="53"/>
    </row>
    <row r="114" spans="1:13" s="2" customFormat="1" x14ac:dyDescent="0.2">
      <c r="A114" s="71" t="s">
        <v>81</v>
      </c>
      <c r="B114" s="71"/>
      <c r="C114" s="72" t="s">
        <v>82</v>
      </c>
      <c r="D114" s="73" t="s">
        <v>83</v>
      </c>
      <c r="E114" s="69"/>
      <c r="F114" s="70"/>
      <c r="H114" s="53"/>
    </row>
    <row r="115" spans="1:13" s="2" customFormat="1" x14ac:dyDescent="0.2">
      <c r="A115" s="8">
        <v>45139</v>
      </c>
      <c r="B115" s="120" t="s">
        <v>1052</v>
      </c>
      <c r="C115" s="75" t="s">
        <v>85</v>
      </c>
      <c r="D115" s="88">
        <v>552343</v>
      </c>
      <c r="G115" s="1"/>
      <c r="L115" s="1"/>
      <c r="M115" s="1"/>
    </row>
    <row r="116" spans="1:13" s="2" customFormat="1" x14ac:dyDescent="0.2">
      <c r="A116" s="8">
        <v>45140</v>
      </c>
      <c r="B116" s="120" t="s">
        <v>1052</v>
      </c>
      <c r="C116" s="75" t="s">
        <v>270</v>
      </c>
      <c r="D116" s="88">
        <v>244404</v>
      </c>
      <c r="G116" s="1"/>
      <c r="L116" s="1"/>
      <c r="M116" s="1"/>
    </row>
    <row r="117" spans="1:13" s="2" customFormat="1" x14ac:dyDescent="0.2">
      <c r="A117" s="8">
        <v>45140</v>
      </c>
      <c r="B117" s="120" t="s">
        <v>1052</v>
      </c>
      <c r="C117" s="75" t="s">
        <v>270</v>
      </c>
      <c r="D117" s="88">
        <v>550256</v>
      </c>
      <c r="G117" s="1"/>
      <c r="L117" s="1"/>
      <c r="M117" s="1"/>
    </row>
    <row r="118" spans="1:13" s="2" customFormat="1" x14ac:dyDescent="0.2">
      <c r="A118" s="8">
        <v>45140</v>
      </c>
      <c r="B118" s="120" t="s">
        <v>1052</v>
      </c>
      <c r="C118" s="75" t="s">
        <v>270</v>
      </c>
      <c r="D118" s="88">
        <v>191589</v>
      </c>
      <c r="G118" s="1"/>
      <c r="L118" s="1"/>
      <c r="M118" s="1"/>
    </row>
    <row r="119" spans="1:13" s="2" customFormat="1" x14ac:dyDescent="0.2">
      <c r="A119" s="8">
        <v>45140</v>
      </c>
      <c r="B119" s="120" t="s">
        <v>1052</v>
      </c>
      <c r="C119" s="75" t="s">
        <v>270</v>
      </c>
      <c r="D119" s="88">
        <v>74415.91</v>
      </c>
      <c r="G119" s="1"/>
      <c r="L119" s="1"/>
      <c r="M119" s="1"/>
    </row>
    <row r="120" spans="1:13" s="2" customFormat="1" x14ac:dyDescent="0.2">
      <c r="A120" s="8">
        <v>45140</v>
      </c>
      <c r="B120" s="120" t="s">
        <v>1052</v>
      </c>
      <c r="C120" s="75" t="s">
        <v>271</v>
      </c>
      <c r="D120" s="88">
        <v>454781</v>
      </c>
      <c r="G120" s="1"/>
      <c r="L120" s="1"/>
      <c r="M120" s="1"/>
    </row>
    <row r="121" spans="1:13" s="2" customFormat="1" x14ac:dyDescent="0.2">
      <c r="A121" s="8">
        <v>45141</v>
      </c>
      <c r="B121" s="120" t="s">
        <v>1052</v>
      </c>
      <c r="C121" s="75" t="s">
        <v>909</v>
      </c>
      <c r="D121" s="88">
        <v>910969</v>
      </c>
      <c r="G121" s="1"/>
      <c r="L121" s="1"/>
      <c r="M121" s="1"/>
    </row>
    <row r="122" spans="1:13" s="2" customFormat="1" x14ac:dyDescent="0.2">
      <c r="A122" s="8">
        <v>45141</v>
      </c>
      <c r="B122" s="120" t="s">
        <v>1052</v>
      </c>
      <c r="C122" s="75" t="s">
        <v>909</v>
      </c>
      <c r="D122" s="88">
        <v>1424635</v>
      </c>
      <c r="G122" s="1"/>
      <c r="L122" s="1"/>
      <c r="M122" s="1"/>
    </row>
    <row r="123" spans="1:13" s="2" customFormat="1" x14ac:dyDescent="0.2">
      <c r="A123" s="8">
        <v>45143</v>
      </c>
      <c r="B123" s="120" t="s">
        <v>1052</v>
      </c>
      <c r="C123" s="75" t="s">
        <v>85</v>
      </c>
      <c r="D123" s="88">
        <v>644288</v>
      </c>
      <c r="G123" s="1"/>
      <c r="L123" s="1"/>
      <c r="M123" s="1"/>
    </row>
    <row r="124" spans="1:13" s="2" customFormat="1" x14ac:dyDescent="0.2">
      <c r="A124" s="87"/>
      <c r="B124" s="74"/>
      <c r="C124" s="75"/>
      <c r="D124" s="51">
        <f>SUM(D115:D123)</f>
        <v>5047680.91</v>
      </c>
      <c r="F124" s="2" t="s">
        <v>396</v>
      </c>
      <c r="G124" s="1"/>
      <c r="L124" s="1"/>
      <c r="M124" s="1"/>
    </row>
    <row r="125" spans="1:13" s="2" customFormat="1" x14ac:dyDescent="0.2">
      <c r="A125" s="24"/>
      <c r="B125" s="1"/>
      <c r="C125" s="14"/>
      <c r="D125" s="56"/>
      <c r="E125" s="13"/>
      <c r="G125" s="1"/>
      <c r="L125" s="1"/>
      <c r="M125" s="1"/>
    </row>
    <row r="126" spans="1:13" s="2" customFormat="1" x14ac:dyDescent="0.2">
      <c r="A126" s="24"/>
      <c r="B126" s="1"/>
      <c r="C126" s="218" t="s">
        <v>77</v>
      </c>
      <c r="D126" s="219"/>
      <c r="E126" s="219"/>
      <c r="F126" s="220"/>
      <c r="G126" s="1"/>
      <c r="L126" s="1"/>
      <c r="M126" s="1"/>
    </row>
    <row r="127" spans="1:13" s="2" customFormat="1" x14ac:dyDescent="0.2">
      <c r="A127" s="24"/>
      <c r="B127" s="1"/>
      <c r="C127" s="50"/>
      <c r="D127" s="57" t="s">
        <v>78</v>
      </c>
      <c r="E127" s="58" t="s">
        <v>79</v>
      </c>
      <c r="F127" s="57" t="s">
        <v>72</v>
      </c>
      <c r="G127" s="1"/>
      <c r="I127" s="1"/>
      <c r="J127" s="1"/>
      <c r="K127" s="1"/>
      <c r="L127" s="1"/>
      <c r="M127" s="1"/>
    </row>
    <row r="128" spans="1:13" s="2" customFormat="1" x14ac:dyDescent="0.2">
      <c r="A128" s="24"/>
      <c r="B128" s="1"/>
      <c r="C128" s="59" t="str">
        <f>"01-08-2023 to "&amp;TEXT(A5-2,"dd-mm-yyyy")</f>
        <v>01-08-2023 to 05-08-2023</v>
      </c>
      <c r="D128" s="60">
        <v>731.3</v>
      </c>
      <c r="E128" s="60">
        <v>56.34</v>
      </c>
      <c r="F128" s="61">
        <f>SUM(D128:E128)</f>
        <v>787.64</v>
      </c>
      <c r="G128" s="1"/>
    </row>
    <row r="129" spans="1:13" s="2" customFormat="1" x14ac:dyDescent="0.2">
      <c r="A129" s="24"/>
      <c r="B129" s="1"/>
      <c r="C129" s="62" t="str">
        <f>TEXT(A5-1,"dd-mm-yyyy")</f>
        <v>06-08-2023</v>
      </c>
      <c r="D129" s="60">
        <v>10.42</v>
      </c>
      <c r="E129" s="60">
        <v>6.26</v>
      </c>
      <c r="F129" s="61">
        <f>SUM(D129:E129)</f>
        <v>16.68</v>
      </c>
      <c r="G129" s="54"/>
      <c r="I129" s="1"/>
      <c r="J129" s="1"/>
      <c r="K129" s="1"/>
      <c r="L129" s="1"/>
      <c r="M129" s="1"/>
    </row>
    <row r="130" spans="1:13" s="2" customFormat="1" ht="13.5" thickBot="1" x14ac:dyDescent="0.25">
      <c r="A130" s="24"/>
      <c r="B130" s="1"/>
      <c r="C130" s="63" t="str">
        <f>"01-08-2023 to "&amp;TEXT(A5-1,"dd-mm-yyyy")</f>
        <v>01-08-2023 to 06-08-2023</v>
      </c>
      <c r="D130" s="64">
        <f>SUM(D128:D129)</f>
        <v>741.71999999999991</v>
      </c>
      <c r="E130" s="64">
        <f>SUM(E128:E129)</f>
        <v>62.6</v>
      </c>
      <c r="F130" s="64">
        <f>SUM(F128:F129)</f>
        <v>804.31999999999994</v>
      </c>
      <c r="G130" s="54"/>
      <c r="I130" s="1"/>
      <c r="J130" s="1"/>
      <c r="K130" s="1"/>
      <c r="L130" s="1"/>
      <c r="M130" s="1"/>
    </row>
    <row r="131" spans="1:13" s="2" customFormat="1" ht="13.5" thickTop="1" x14ac:dyDescent="0.2">
      <c r="A131" s="24"/>
      <c r="B131" s="1"/>
      <c r="C131" s="62"/>
      <c r="D131" s="65"/>
      <c r="E131" s="66"/>
      <c r="F131" s="67"/>
      <c r="G131" s="54"/>
      <c r="I131" s="1"/>
      <c r="J131" s="1"/>
      <c r="K131" s="1"/>
      <c r="L131" s="1"/>
      <c r="M131" s="1"/>
    </row>
    <row r="132" spans="1:13" s="2" customFormat="1" x14ac:dyDescent="0.2">
      <c r="A132" s="24"/>
      <c r="B132" s="1"/>
      <c r="C132" s="62" t="str">
        <f>"01-04-2023 to " &amp;C129</f>
        <v>01-04-2023 to 06-08-2023</v>
      </c>
      <c r="D132" s="68">
        <f>+D130+20827.32</f>
        <v>21569.040000000001</v>
      </c>
      <c r="E132" s="68">
        <f>+E130+1376.76</f>
        <v>1439.36</v>
      </c>
      <c r="F132" s="68">
        <f>+F130+22204.08</f>
        <v>23008.400000000001</v>
      </c>
      <c r="G132" s="54"/>
      <c r="I132" s="1"/>
      <c r="J132" s="1"/>
      <c r="K132" s="1"/>
      <c r="L132" s="1"/>
      <c r="M132" s="1"/>
    </row>
    <row r="133" spans="1:13" x14ac:dyDescent="0.2">
      <c r="C133" s="52"/>
      <c r="D133" s="85"/>
      <c r="E133" s="53"/>
      <c r="F133" s="53"/>
      <c r="G133" s="54"/>
      <c r="H133" s="2" t="s">
        <v>396</v>
      </c>
    </row>
    <row r="134" spans="1:13" s="2" customFormat="1" x14ac:dyDescent="0.2">
      <c r="A134" s="24"/>
      <c r="B134" s="1"/>
      <c r="C134" s="52"/>
      <c r="D134" s="85"/>
      <c r="E134" s="53"/>
      <c r="F134" s="53"/>
      <c r="G134" s="54"/>
      <c r="H134" s="53"/>
    </row>
    <row r="135" spans="1:13" x14ac:dyDescent="0.2">
      <c r="C135" s="52"/>
      <c r="D135" s="85"/>
      <c r="E135" s="53"/>
      <c r="F135" s="53"/>
      <c r="G135" s="54"/>
      <c r="H135" s="53" t="s">
        <v>396</v>
      </c>
    </row>
    <row r="136" spans="1:13" x14ac:dyDescent="0.2">
      <c r="C136" s="52"/>
      <c r="D136" s="85"/>
      <c r="E136" s="53"/>
      <c r="F136" s="53"/>
      <c r="G136" s="54"/>
      <c r="H136" s="53" t="s">
        <v>396</v>
      </c>
      <c r="J136" s="42"/>
    </row>
    <row r="137" spans="1:13" x14ac:dyDescent="0.2">
      <c r="G137" s="54"/>
      <c r="H137" s="53"/>
      <c r="I137" s="101"/>
    </row>
    <row r="138" spans="1:13" x14ac:dyDescent="0.2">
      <c r="G138" s="54"/>
      <c r="H138" s="53"/>
    </row>
    <row r="139" spans="1:13" x14ac:dyDescent="0.2">
      <c r="G139" s="54"/>
      <c r="H139" s="53"/>
    </row>
    <row r="140" spans="1:13" x14ac:dyDescent="0.2">
      <c r="H140" s="53"/>
    </row>
  </sheetData>
  <mergeCells count="6">
    <mergeCell ref="C126:F126"/>
    <mergeCell ref="A1:G1"/>
    <mergeCell ref="A3:F3"/>
    <mergeCell ref="A10:F10"/>
    <mergeCell ref="A40:F40"/>
    <mergeCell ref="A113:D113"/>
  </mergeCells>
  <conditionalFormatting sqref="G110:G111">
    <cfRule type="cellIs" dxfId="375" priority="1" operator="lessThan">
      <formula>0</formula>
    </cfRule>
  </conditionalFormatting>
  <conditionalFormatting sqref="C42">
    <cfRule type="duplicateValues" dxfId="374" priority="2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700-000000000000}">
  <sheetPr codeName="Sheet399">
    <pageSetUpPr fitToPage="1"/>
  </sheetPr>
  <dimension ref="A1:N102"/>
  <sheetViews>
    <sheetView zoomScaleNormal="100" workbookViewId="0">
      <selection activeCell="E53" sqref="E53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1321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45146</v>
      </c>
      <c r="B5" s="9" t="s">
        <v>6</v>
      </c>
      <c r="C5" s="10" t="s">
        <v>7</v>
      </c>
      <c r="D5" s="11"/>
      <c r="E5" s="12">
        <v>454428.70000000019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454428.70000000019</v>
      </c>
      <c r="F6" s="16">
        <f>SUM(F5:F5)</f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+E6-F6</f>
        <v>454428.70000000019</v>
      </c>
      <c r="F7" s="22"/>
      <c r="G7" s="23"/>
      <c r="H7" s="112"/>
      <c r="I7" s="112"/>
      <c r="J7" s="13"/>
    </row>
    <row r="8" spans="1:10" ht="12.75" customHeight="1" x14ac:dyDescent="0.4">
      <c r="H8" s="112"/>
      <c r="I8" s="112"/>
    </row>
    <row r="9" spans="1:10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12"/>
    </row>
    <row r="10" spans="1:10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12"/>
    </row>
    <row r="11" spans="1:10" s="2" customFormat="1" ht="14.25" customHeight="1" x14ac:dyDescent="0.2">
      <c r="A11" s="89">
        <v>45146</v>
      </c>
      <c r="B11" s="9" t="s">
        <v>6</v>
      </c>
      <c r="C11" s="10" t="s">
        <v>7</v>
      </c>
      <c r="D11" s="11"/>
      <c r="F11" s="12">
        <v>27503884.670000002</v>
      </c>
      <c r="G11" s="1"/>
      <c r="H11" s="130" t="s">
        <v>396</v>
      </c>
      <c r="I11" s="130"/>
    </row>
    <row r="12" spans="1:10" s="70" customFormat="1" ht="12.75" customHeight="1" x14ac:dyDescent="0.2">
      <c r="A12" s="89">
        <v>45146</v>
      </c>
      <c r="B12" s="128" t="s">
        <v>11</v>
      </c>
      <c r="C12" s="76" t="s">
        <v>1322</v>
      </c>
      <c r="D12" s="11" t="s">
        <v>29</v>
      </c>
      <c r="E12" s="31"/>
      <c r="F12" s="31">
        <v>62959</v>
      </c>
      <c r="G12" s="30"/>
      <c r="I12" s="69"/>
      <c r="J12" s="69"/>
    </row>
    <row r="13" spans="1:10" s="70" customFormat="1" ht="12.75" customHeight="1" x14ac:dyDescent="0.2">
      <c r="A13" s="89">
        <v>45146</v>
      </c>
      <c r="B13" s="128" t="s">
        <v>11</v>
      </c>
      <c r="C13" s="76" t="s">
        <v>1202</v>
      </c>
      <c r="D13" s="11" t="s">
        <v>29</v>
      </c>
      <c r="E13" s="31"/>
      <c r="F13" s="31">
        <v>45297</v>
      </c>
      <c r="G13" s="30"/>
      <c r="I13" s="69"/>
      <c r="J13" s="69"/>
    </row>
    <row r="14" spans="1:10" s="70" customFormat="1" ht="12.75" customHeight="1" x14ac:dyDescent="0.2">
      <c r="A14" s="89">
        <v>45146</v>
      </c>
      <c r="B14" s="128" t="s">
        <v>11</v>
      </c>
      <c r="C14" s="76" t="s">
        <v>52</v>
      </c>
      <c r="D14" s="11" t="s">
        <v>29</v>
      </c>
      <c r="E14" s="31"/>
      <c r="F14" s="31">
        <v>62500</v>
      </c>
      <c r="G14" s="30"/>
      <c r="I14" s="69"/>
      <c r="J14" s="69"/>
    </row>
    <row r="15" spans="1:10" s="70" customFormat="1" ht="12.75" customHeight="1" x14ac:dyDescent="0.2">
      <c r="A15" s="89">
        <v>45146</v>
      </c>
      <c r="B15" s="128" t="s">
        <v>11</v>
      </c>
      <c r="C15" s="76" t="s">
        <v>1323</v>
      </c>
      <c r="D15" s="11" t="s">
        <v>29</v>
      </c>
      <c r="E15" s="31"/>
      <c r="F15" s="31">
        <v>198000</v>
      </c>
      <c r="G15" s="30"/>
      <c r="I15" s="69"/>
      <c r="J15" s="69"/>
    </row>
    <row r="16" spans="1:10" s="2" customFormat="1" ht="12.75" customHeight="1" x14ac:dyDescent="0.4">
      <c r="D16" s="11" t="s">
        <v>8</v>
      </c>
      <c r="E16" s="16">
        <f>SUM(E12:E12)</f>
        <v>0</v>
      </c>
      <c r="F16" s="16">
        <f>SUM(F11:F15)</f>
        <v>27872640.670000002</v>
      </c>
      <c r="G16" s="1"/>
      <c r="H16" s="112"/>
      <c r="I16" s="112"/>
    </row>
    <row r="17" spans="1:10" s="2" customFormat="1" ht="12.75" customHeight="1" x14ac:dyDescent="0.4">
      <c r="A17" s="17"/>
      <c r="B17" s="18"/>
      <c r="C17" s="96" t="s">
        <v>9</v>
      </c>
      <c r="D17" s="20"/>
      <c r="E17" s="21">
        <f>+F16-E16</f>
        <v>27872640.670000002</v>
      </c>
      <c r="G17" s="23"/>
      <c r="H17" s="112"/>
      <c r="I17" s="112"/>
      <c r="J17" s="13"/>
    </row>
    <row r="18" spans="1:10" s="2" customFormat="1" ht="12.75" customHeight="1" x14ac:dyDescent="0.4">
      <c r="A18" s="24"/>
      <c r="B18" s="1"/>
      <c r="C18" s="14"/>
      <c r="D18" s="25"/>
      <c r="G18" s="23"/>
      <c r="H18" s="112"/>
      <c r="I18" s="112"/>
      <c r="J18" s="13"/>
    </row>
    <row r="19" spans="1:10" s="2" customFormat="1" ht="21.75" customHeight="1" x14ac:dyDescent="0.4">
      <c r="A19" s="214" t="s">
        <v>10</v>
      </c>
      <c r="B19" s="214"/>
      <c r="C19" s="214"/>
      <c r="D19" s="214"/>
      <c r="E19" s="214"/>
      <c r="F19" s="214"/>
      <c r="G19" s="13"/>
      <c r="H19" s="112"/>
      <c r="I19" s="112"/>
      <c r="J19" s="13"/>
    </row>
    <row r="20" spans="1:10" s="2" customFormat="1" ht="12.75" customHeight="1" x14ac:dyDescent="0.4">
      <c r="A20" s="26" t="s">
        <v>1</v>
      </c>
      <c r="B20" s="27" t="s">
        <v>2</v>
      </c>
      <c r="C20" s="5"/>
      <c r="D20" s="6" t="s">
        <v>3</v>
      </c>
      <c r="E20" s="7" t="s">
        <v>4</v>
      </c>
      <c r="F20" s="7" t="s">
        <v>5</v>
      </c>
      <c r="G20" s="23"/>
      <c r="H20" s="112"/>
      <c r="I20" s="112"/>
      <c r="J20" s="13"/>
    </row>
    <row r="21" spans="1:10" s="2" customFormat="1" ht="12.75" customHeight="1" x14ac:dyDescent="0.2">
      <c r="A21" s="89">
        <v>45146</v>
      </c>
      <c r="B21" s="128" t="s">
        <v>11</v>
      </c>
      <c r="C21" s="29" t="s">
        <v>7</v>
      </c>
      <c r="D21" s="25"/>
      <c r="E21" s="31"/>
      <c r="F21" s="2">
        <v>336197555.59999985</v>
      </c>
      <c r="G21" s="30"/>
      <c r="I21" s="13"/>
      <c r="J21" s="13"/>
    </row>
    <row r="22" spans="1:10" s="70" customFormat="1" ht="12.75" customHeight="1" x14ac:dyDescent="0.2">
      <c r="A22" s="89">
        <v>45146</v>
      </c>
      <c r="B22" s="128" t="s">
        <v>6</v>
      </c>
      <c r="C22" s="10" t="s">
        <v>19</v>
      </c>
      <c r="D22" s="11" t="s">
        <v>13</v>
      </c>
      <c r="E22" s="86">
        <v>2571499</v>
      </c>
      <c r="G22" s="30"/>
      <c r="I22" s="69"/>
      <c r="J22" s="69"/>
    </row>
    <row r="23" spans="1:10" s="70" customFormat="1" ht="12.75" customHeight="1" x14ac:dyDescent="0.2">
      <c r="A23" s="89">
        <v>45146</v>
      </c>
      <c r="B23" s="128" t="s">
        <v>6</v>
      </c>
      <c r="C23" s="10" t="s">
        <v>240</v>
      </c>
      <c r="D23" s="11" t="s">
        <v>13</v>
      </c>
      <c r="E23" s="86">
        <v>80012</v>
      </c>
      <c r="G23" s="30"/>
      <c r="I23" s="69"/>
      <c r="J23" s="69"/>
    </row>
    <row r="24" spans="1:10" s="70" customFormat="1" ht="12.75" customHeight="1" x14ac:dyDescent="0.2">
      <c r="A24" s="89">
        <v>45146</v>
      </c>
      <c r="B24" s="128" t="s">
        <v>6</v>
      </c>
      <c r="C24" s="10" t="s">
        <v>318</v>
      </c>
      <c r="D24" s="11" t="s">
        <v>13</v>
      </c>
      <c r="E24" s="86">
        <v>596872</v>
      </c>
      <c r="G24" s="30"/>
      <c r="I24" s="69"/>
      <c r="J24" s="69"/>
    </row>
    <row r="25" spans="1:10" s="70" customFormat="1" ht="12.75" customHeight="1" x14ac:dyDescent="0.2">
      <c r="A25" s="89">
        <v>45146</v>
      </c>
      <c r="B25" s="128" t="s">
        <v>6</v>
      </c>
      <c r="C25" s="10" t="s">
        <v>15</v>
      </c>
      <c r="D25" s="11" t="s">
        <v>13</v>
      </c>
      <c r="E25" s="86">
        <v>5043.24</v>
      </c>
      <c r="G25" s="30"/>
      <c r="I25" s="69"/>
      <c r="J25" s="69"/>
    </row>
    <row r="26" spans="1:10" s="139" customFormat="1" ht="12.75" customHeight="1" x14ac:dyDescent="0.2">
      <c r="A26" s="89">
        <v>45146</v>
      </c>
      <c r="B26" s="128" t="s">
        <v>6</v>
      </c>
      <c r="C26" s="145" t="s">
        <v>24</v>
      </c>
      <c r="D26" s="142" t="s">
        <v>13</v>
      </c>
      <c r="E26" s="146">
        <v>2832</v>
      </c>
      <c r="G26" s="30"/>
      <c r="I26" s="144"/>
      <c r="J26" s="144"/>
    </row>
    <row r="27" spans="1:10" s="70" customFormat="1" ht="12.75" customHeight="1" x14ac:dyDescent="0.2">
      <c r="A27" s="89">
        <v>45146</v>
      </c>
      <c r="B27" s="128" t="s">
        <v>6</v>
      </c>
      <c r="C27" s="10" t="s">
        <v>746</v>
      </c>
      <c r="D27" s="11" t="s">
        <v>13</v>
      </c>
      <c r="E27" s="86">
        <v>507334</v>
      </c>
      <c r="G27" s="30"/>
      <c r="I27" s="69"/>
      <c r="J27" s="69"/>
    </row>
    <row r="28" spans="1:10" s="70" customFormat="1" ht="12.75" customHeight="1" x14ac:dyDescent="0.2">
      <c r="A28" s="89">
        <v>45146</v>
      </c>
      <c r="B28" s="128" t="s">
        <v>6</v>
      </c>
      <c r="C28" s="10" t="s">
        <v>843</v>
      </c>
      <c r="D28" s="11" t="s">
        <v>13</v>
      </c>
      <c r="E28" s="86">
        <v>34727.769999999997</v>
      </c>
      <c r="G28" s="30"/>
      <c r="I28" s="69"/>
      <c r="J28" s="69"/>
    </row>
    <row r="29" spans="1:10" s="70" customFormat="1" ht="12.75" customHeight="1" x14ac:dyDescent="0.2">
      <c r="A29" s="89">
        <v>45146</v>
      </c>
      <c r="B29" s="128" t="s">
        <v>6</v>
      </c>
      <c r="C29" s="10" t="s">
        <v>555</v>
      </c>
      <c r="D29" s="11" t="s">
        <v>13</v>
      </c>
      <c r="E29" s="86">
        <v>2960847</v>
      </c>
      <c r="G29" s="30"/>
      <c r="I29" s="69"/>
      <c r="J29" s="69"/>
    </row>
    <row r="30" spans="1:10" s="70" customFormat="1" ht="12.75" customHeight="1" x14ac:dyDescent="0.2">
      <c r="A30" s="89">
        <v>45146</v>
      </c>
      <c r="B30" s="128" t="s">
        <v>6</v>
      </c>
      <c r="C30" s="10" t="s">
        <v>385</v>
      </c>
      <c r="D30" s="11" t="s">
        <v>13</v>
      </c>
      <c r="E30" s="86">
        <v>518172.22</v>
      </c>
      <c r="G30" s="30"/>
      <c r="I30" s="69"/>
      <c r="J30" s="69"/>
    </row>
    <row r="31" spans="1:10" s="70" customFormat="1" ht="12.75" customHeight="1" x14ac:dyDescent="0.2">
      <c r="A31" s="89">
        <v>45146</v>
      </c>
      <c r="B31" s="128" t="s">
        <v>6</v>
      </c>
      <c r="C31" s="10" t="s">
        <v>247</v>
      </c>
      <c r="D31" s="11" t="s">
        <v>13</v>
      </c>
      <c r="E31" s="86">
        <v>2450000</v>
      </c>
      <c r="G31" s="30"/>
      <c r="I31" s="69"/>
      <c r="J31" s="69"/>
    </row>
    <row r="32" spans="1:10" s="70" customFormat="1" ht="12.75" customHeight="1" x14ac:dyDescent="0.2">
      <c r="A32" s="89">
        <v>45146</v>
      </c>
      <c r="B32" s="128" t="s">
        <v>6</v>
      </c>
      <c r="C32" s="10" t="s">
        <v>62</v>
      </c>
      <c r="D32" s="11" t="s">
        <v>13</v>
      </c>
      <c r="E32" s="86">
        <v>5000</v>
      </c>
      <c r="G32" s="30"/>
      <c r="I32" s="69"/>
      <c r="J32" s="69"/>
    </row>
    <row r="33" spans="1:10" s="70" customFormat="1" ht="12.75" customHeight="1" x14ac:dyDescent="0.2">
      <c r="A33" s="89">
        <v>45146</v>
      </c>
      <c r="B33" s="128" t="s">
        <v>6</v>
      </c>
      <c r="C33" s="10" t="s">
        <v>1327</v>
      </c>
      <c r="D33" s="11" t="s">
        <v>13</v>
      </c>
      <c r="E33" s="86">
        <v>110250</v>
      </c>
      <c r="G33" s="30"/>
      <c r="I33" s="69"/>
      <c r="J33" s="69"/>
    </row>
    <row r="34" spans="1:10" s="70" customFormat="1" ht="12.75" customHeight="1" x14ac:dyDescent="0.2">
      <c r="A34" s="89">
        <v>45146</v>
      </c>
      <c r="B34" s="128" t="s">
        <v>6</v>
      </c>
      <c r="C34" s="10" t="s">
        <v>149</v>
      </c>
      <c r="D34" s="11" t="s">
        <v>13</v>
      </c>
      <c r="E34" s="86">
        <v>19089</v>
      </c>
      <c r="G34" s="30"/>
      <c r="I34" s="69"/>
      <c r="J34" s="69"/>
    </row>
    <row r="35" spans="1:10" s="70" customFormat="1" ht="12.75" customHeight="1" x14ac:dyDescent="0.2">
      <c r="A35" s="89">
        <v>45146</v>
      </c>
      <c r="B35" s="128" t="s">
        <v>11</v>
      </c>
      <c r="C35" s="10" t="s">
        <v>64</v>
      </c>
      <c r="D35" s="11" t="s">
        <v>29</v>
      </c>
      <c r="E35" s="86"/>
      <c r="F35" s="70">
        <v>3278.04</v>
      </c>
      <c r="G35" s="30"/>
      <c r="I35" s="69"/>
      <c r="J35" s="69"/>
    </row>
    <row r="36" spans="1:10" s="70" customFormat="1" ht="12.75" customHeight="1" x14ac:dyDescent="0.2">
      <c r="A36" s="89">
        <v>45146</v>
      </c>
      <c r="B36" s="128" t="s">
        <v>11</v>
      </c>
      <c r="C36" s="10" t="s">
        <v>111</v>
      </c>
      <c r="D36" s="11" t="s">
        <v>29</v>
      </c>
      <c r="E36" s="86"/>
      <c r="F36" s="70">
        <v>1374843.57</v>
      </c>
      <c r="G36" s="30"/>
      <c r="I36" s="69"/>
      <c r="J36" s="69"/>
    </row>
    <row r="37" spans="1:10" s="70" customFormat="1" ht="12.75" customHeight="1" x14ac:dyDescent="0.2">
      <c r="A37" s="89">
        <v>45146</v>
      </c>
      <c r="B37" s="128" t="s">
        <v>11</v>
      </c>
      <c r="C37" s="10" t="s">
        <v>109</v>
      </c>
      <c r="D37" s="11" t="s">
        <v>29</v>
      </c>
      <c r="E37" s="86"/>
      <c r="F37" s="70">
        <v>1034067</v>
      </c>
      <c r="G37" s="30"/>
      <c r="I37" s="69"/>
      <c r="J37" s="69"/>
    </row>
    <row r="38" spans="1:10" s="70" customFormat="1" ht="12.75" customHeight="1" x14ac:dyDescent="0.2">
      <c r="A38" s="89">
        <v>45146</v>
      </c>
      <c r="B38" s="128" t="s">
        <v>11</v>
      </c>
      <c r="C38" s="10" t="s">
        <v>735</v>
      </c>
      <c r="D38" s="11" t="s">
        <v>29</v>
      </c>
      <c r="E38" s="86"/>
      <c r="F38" s="70">
        <v>1762165</v>
      </c>
      <c r="G38" s="30"/>
      <c r="I38" s="69"/>
      <c r="J38" s="69"/>
    </row>
    <row r="39" spans="1:10" s="70" customFormat="1" ht="12.75" customHeight="1" x14ac:dyDescent="0.2">
      <c r="A39" s="89">
        <v>45146</v>
      </c>
      <c r="B39" s="128" t="s">
        <v>11</v>
      </c>
      <c r="C39" s="10" t="s">
        <v>1324</v>
      </c>
      <c r="D39" s="11" t="s">
        <v>29</v>
      </c>
      <c r="E39" s="86"/>
      <c r="F39" s="70">
        <v>965098</v>
      </c>
      <c r="G39" s="30"/>
      <c r="I39" s="69"/>
      <c r="J39" s="69"/>
    </row>
    <row r="40" spans="1:10" s="70" customFormat="1" ht="12.75" customHeight="1" x14ac:dyDescent="0.2">
      <c r="A40" s="89">
        <v>45146</v>
      </c>
      <c r="B40" s="128" t="s">
        <v>11</v>
      </c>
      <c r="C40" s="10" t="s">
        <v>1325</v>
      </c>
      <c r="D40" s="11" t="s">
        <v>29</v>
      </c>
      <c r="E40" s="86"/>
      <c r="F40" s="70">
        <v>4276708.7300000004</v>
      </c>
      <c r="G40" s="30"/>
      <c r="I40" s="69"/>
      <c r="J40" s="69"/>
    </row>
    <row r="41" spans="1:10" s="70" customFormat="1" ht="12.75" customHeight="1" x14ac:dyDescent="0.2">
      <c r="A41" s="89">
        <v>45146</v>
      </c>
      <c r="B41" s="128" t="s">
        <v>11</v>
      </c>
      <c r="C41" s="10" t="s">
        <v>63</v>
      </c>
      <c r="D41" s="11" t="s">
        <v>29</v>
      </c>
      <c r="E41" s="86"/>
      <c r="F41" s="70">
        <v>6500000</v>
      </c>
      <c r="G41" s="30"/>
      <c r="I41" s="69"/>
      <c r="J41" s="69"/>
    </row>
    <row r="42" spans="1:10" s="70" customFormat="1" ht="12.75" customHeight="1" x14ac:dyDescent="0.2">
      <c r="A42" s="89">
        <v>45146</v>
      </c>
      <c r="B42" s="128" t="s">
        <v>11</v>
      </c>
      <c r="C42" s="10" t="s">
        <v>209</v>
      </c>
      <c r="D42" s="11" t="s">
        <v>29</v>
      </c>
      <c r="E42" s="86"/>
      <c r="F42" s="70">
        <v>50000</v>
      </c>
      <c r="G42" s="30"/>
      <c r="I42" s="69"/>
      <c r="J42" s="69"/>
    </row>
    <row r="43" spans="1:10" s="70" customFormat="1" ht="12.75" customHeight="1" x14ac:dyDescent="0.2">
      <c r="A43" s="89">
        <v>45146</v>
      </c>
      <c r="B43" s="128" t="s">
        <v>11</v>
      </c>
      <c r="C43" s="10" t="s">
        <v>34</v>
      </c>
      <c r="D43" s="11" t="s">
        <v>29</v>
      </c>
      <c r="E43" s="86"/>
      <c r="F43" s="70">
        <v>25000</v>
      </c>
      <c r="G43" s="30"/>
      <c r="I43" s="69"/>
      <c r="J43" s="69"/>
    </row>
    <row r="44" spans="1:10" s="70" customFormat="1" ht="12.75" customHeight="1" x14ac:dyDescent="0.2">
      <c r="A44" s="89">
        <v>45146</v>
      </c>
      <c r="B44" s="128" t="s">
        <v>11</v>
      </c>
      <c r="C44" s="10" t="s">
        <v>1326</v>
      </c>
      <c r="D44" s="11" t="s">
        <v>29</v>
      </c>
      <c r="E44" s="86"/>
      <c r="F44" s="70">
        <v>9000</v>
      </c>
      <c r="G44" s="30"/>
      <c r="I44" s="69"/>
      <c r="J44" s="69"/>
    </row>
    <row r="45" spans="1:10" s="70" customFormat="1" ht="12.75" customHeight="1" x14ac:dyDescent="0.2">
      <c r="A45" s="89">
        <v>45146</v>
      </c>
      <c r="B45" s="128" t="s">
        <v>11</v>
      </c>
      <c r="C45" s="10" t="s">
        <v>616</v>
      </c>
      <c r="D45" s="11" t="s">
        <v>29</v>
      </c>
      <c r="E45" s="86"/>
      <c r="F45" s="70">
        <v>73625</v>
      </c>
      <c r="G45" s="30"/>
      <c r="I45" s="69"/>
      <c r="J45" s="69"/>
    </row>
    <row r="46" spans="1:10" s="70" customFormat="1" ht="12.75" customHeight="1" x14ac:dyDescent="0.2">
      <c r="A46" s="89">
        <v>45146</v>
      </c>
      <c r="B46" s="128" t="s">
        <v>11</v>
      </c>
      <c r="C46" s="10" t="s">
        <v>452</v>
      </c>
      <c r="D46" s="11" t="s">
        <v>29</v>
      </c>
      <c r="E46" s="86"/>
      <c r="F46" s="70">
        <v>355399</v>
      </c>
      <c r="G46" s="30"/>
      <c r="I46" s="69"/>
      <c r="J46" s="69"/>
    </row>
    <row r="47" spans="1:10" s="70" customFormat="1" ht="12.75" customHeight="1" x14ac:dyDescent="0.2">
      <c r="A47" s="89">
        <v>45146</v>
      </c>
      <c r="B47" s="128" t="s">
        <v>11</v>
      </c>
      <c r="C47" s="10" t="s">
        <v>918</v>
      </c>
      <c r="D47" s="11" t="s">
        <v>29</v>
      </c>
      <c r="E47" s="86"/>
      <c r="F47" s="70">
        <v>76700</v>
      </c>
      <c r="G47" s="30"/>
      <c r="I47" s="69"/>
      <c r="J47" s="69"/>
    </row>
    <row r="48" spans="1:10" s="70" customFormat="1" ht="12.75" customHeight="1" x14ac:dyDescent="0.2">
      <c r="A48" s="89">
        <v>45146</v>
      </c>
      <c r="B48" s="128" t="s">
        <v>11</v>
      </c>
      <c r="C48" s="10" t="s">
        <v>410</v>
      </c>
      <c r="D48" s="11" t="s">
        <v>29</v>
      </c>
      <c r="E48" s="86"/>
      <c r="F48" s="70">
        <v>257476</v>
      </c>
      <c r="G48" s="30"/>
      <c r="I48" s="69"/>
      <c r="J48" s="69"/>
    </row>
    <row r="49" spans="1:14" s="70" customFormat="1" ht="12.75" customHeight="1" x14ac:dyDescent="0.2">
      <c r="A49" s="89">
        <v>45146</v>
      </c>
      <c r="B49" s="128" t="s">
        <v>11</v>
      </c>
      <c r="C49" s="10" t="s">
        <v>113</v>
      </c>
      <c r="D49" s="11" t="s">
        <v>29</v>
      </c>
      <c r="E49" s="86"/>
      <c r="F49" s="70">
        <v>324682</v>
      </c>
      <c r="G49" s="30"/>
      <c r="I49" s="69"/>
      <c r="J49" s="69"/>
    </row>
    <row r="50" spans="1:14" s="70" customFormat="1" ht="12.75" customHeight="1" x14ac:dyDescent="0.2">
      <c r="A50" s="89">
        <v>45146</v>
      </c>
      <c r="B50" s="128" t="s">
        <v>11</v>
      </c>
      <c r="C50" s="10" t="s">
        <v>134</v>
      </c>
      <c r="D50" s="11" t="s">
        <v>29</v>
      </c>
      <c r="E50" s="86"/>
      <c r="F50" s="70">
        <v>1000000</v>
      </c>
      <c r="G50" s="30"/>
      <c r="I50" s="69"/>
      <c r="J50" s="69"/>
    </row>
    <row r="51" spans="1:14" s="70" customFormat="1" ht="12.75" customHeight="1" x14ac:dyDescent="0.2">
      <c r="A51" s="89">
        <v>45146</v>
      </c>
      <c r="B51" s="128" t="s">
        <v>11</v>
      </c>
      <c r="C51" s="10" t="s">
        <v>738</v>
      </c>
      <c r="D51" s="11" t="s">
        <v>29</v>
      </c>
      <c r="E51" s="86"/>
      <c r="F51" s="70">
        <v>200000</v>
      </c>
      <c r="G51" s="30"/>
      <c r="I51" s="69"/>
      <c r="J51" s="69"/>
    </row>
    <row r="52" spans="1:14" s="2" customFormat="1" ht="12.75" customHeight="1" x14ac:dyDescent="0.2">
      <c r="A52" s="32"/>
      <c r="B52" s="33"/>
      <c r="C52" s="14"/>
      <c r="D52" s="34"/>
      <c r="E52" s="16">
        <f>SUM(E21:E51)</f>
        <v>9861678.2300000004</v>
      </c>
      <c r="F52" s="16">
        <f>SUM(F21:F51)</f>
        <v>354485597.93999988</v>
      </c>
      <c r="G52" s="30"/>
      <c r="H52" s="1"/>
      <c r="I52" s="38">
        <v>344623919.70999998</v>
      </c>
      <c r="J52" s="2" t="s">
        <v>396</v>
      </c>
      <c r="K52" s="92">
        <f>E53-I52</f>
        <v>0</v>
      </c>
      <c r="L52" s="41"/>
      <c r="M52" s="42"/>
    </row>
    <row r="53" spans="1:14" s="2" customFormat="1" ht="12.75" customHeight="1" x14ac:dyDescent="0.2">
      <c r="A53" s="36"/>
      <c r="B53" s="28" t="s">
        <v>11</v>
      </c>
      <c r="C53" s="19" t="s">
        <v>65</v>
      </c>
      <c r="D53" s="37"/>
      <c r="E53" s="38">
        <f>F52-E52</f>
        <v>344623919.70999986</v>
      </c>
      <c r="F53" s="22"/>
      <c r="G53" s="1"/>
      <c r="H53" s="1"/>
      <c r="J53" s="1"/>
      <c r="K53" s="1"/>
      <c r="L53" s="1"/>
      <c r="M53" s="1"/>
    </row>
    <row r="54" spans="1:14" s="2" customFormat="1" ht="12.75" customHeight="1" x14ac:dyDescent="0.2">
      <c r="A54" s="36"/>
      <c r="B54" s="28" t="s">
        <v>66</v>
      </c>
      <c r="C54" s="43" t="s">
        <v>67</v>
      </c>
      <c r="D54" s="43"/>
      <c r="E54" s="12">
        <v>0</v>
      </c>
      <c r="F54" s="22"/>
      <c r="G54" s="1"/>
      <c r="H54" s="40"/>
      <c r="I54" s="45">
        <v>1124.45</v>
      </c>
      <c r="J54" s="46"/>
      <c r="K54" s="46"/>
      <c r="L54" s="13"/>
      <c r="M54" s="69" t="s">
        <v>396</v>
      </c>
    </row>
    <row r="55" spans="1:14" s="2" customFormat="1" ht="12.75" customHeight="1" x14ac:dyDescent="0.25">
      <c r="A55" s="36"/>
      <c r="B55" s="28"/>
      <c r="C55" s="44" t="s">
        <v>68</v>
      </c>
      <c r="D55" s="43"/>
      <c r="E55" s="7">
        <f>E53+E54</f>
        <v>344623919.70999986</v>
      </c>
      <c r="F55" s="22"/>
      <c r="G55" s="1"/>
      <c r="H55" s="103" t="s">
        <v>69</v>
      </c>
      <c r="I55" s="45">
        <v>98.96</v>
      </c>
      <c r="J55" s="46"/>
      <c r="K55" s="46"/>
      <c r="N55" s="1"/>
    </row>
    <row r="56" spans="1:14" s="2" customFormat="1" x14ac:dyDescent="0.2">
      <c r="A56" s="24"/>
      <c r="B56" s="1"/>
      <c r="C56" s="14"/>
      <c r="D56" s="25"/>
      <c r="E56" s="1"/>
      <c r="H56" s="35" t="s">
        <v>70</v>
      </c>
      <c r="I56" s="45">
        <v>-52.77</v>
      </c>
      <c r="J56" s="46">
        <f>+I57-D59</f>
        <v>0</v>
      </c>
      <c r="M56" s="2" t="s">
        <v>396</v>
      </c>
      <c r="N56" s="1"/>
    </row>
    <row r="57" spans="1:14" x14ac:dyDescent="0.2">
      <c r="C57" s="56"/>
      <c r="D57" s="56"/>
      <c r="E57" s="104"/>
      <c r="I57" s="49">
        <f>SUM(I54:I56)</f>
        <v>1170.6400000000001</v>
      </c>
      <c r="J57" s="46"/>
      <c r="K57" s="46"/>
      <c r="L57" s="2"/>
      <c r="M57" s="2"/>
      <c r="N57" s="2"/>
    </row>
    <row r="58" spans="1:14" x14ac:dyDescent="0.2">
      <c r="C58" s="78" t="s">
        <v>575</v>
      </c>
      <c r="D58" s="48" t="s">
        <v>576</v>
      </c>
      <c r="E58" s="104"/>
      <c r="I58" s="2"/>
      <c r="J58" s="2"/>
      <c r="K58" s="2"/>
      <c r="L58" s="2"/>
      <c r="M58" s="2"/>
      <c r="N58" s="2"/>
    </row>
    <row r="59" spans="1:14" s="2" customFormat="1" x14ac:dyDescent="0.2">
      <c r="A59" s="24"/>
      <c r="B59" s="1"/>
      <c r="C59" s="47" t="s">
        <v>570</v>
      </c>
      <c r="D59" s="111">
        <v>1170.6400000000001</v>
      </c>
      <c r="E59" s="104"/>
      <c r="G59" s="1"/>
      <c r="H59" s="110" t="s">
        <v>581</v>
      </c>
      <c r="N59" s="2" t="s">
        <v>535</v>
      </c>
    </row>
    <row r="60" spans="1:14" s="2" customFormat="1" x14ac:dyDescent="0.2">
      <c r="A60" s="24"/>
      <c r="B60" s="1"/>
      <c r="C60" s="47" t="s">
        <v>931</v>
      </c>
      <c r="D60" s="111">
        <v>175.29</v>
      </c>
      <c r="E60" s="104"/>
      <c r="G60" s="1"/>
      <c r="H60" s="110" t="s">
        <v>580</v>
      </c>
    </row>
    <row r="61" spans="1:14" s="2" customFormat="1" x14ac:dyDescent="0.2">
      <c r="A61" s="24"/>
      <c r="B61" s="1"/>
      <c r="C61" s="47" t="s">
        <v>572</v>
      </c>
      <c r="D61" s="111">
        <f>+D86/100000</f>
        <v>51.840139100000002</v>
      </c>
      <c r="E61" s="104"/>
      <c r="G61" s="1"/>
      <c r="H61" s="90" t="s">
        <v>587</v>
      </c>
    </row>
    <row r="62" spans="1:14" s="2" customFormat="1" x14ac:dyDescent="0.2">
      <c r="A62" s="24"/>
      <c r="B62" s="1"/>
      <c r="C62" s="108" t="s">
        <v>578</v>
      </c>
      <c r="D62" s="48">
        <f>SUM(D59:D61)</f>
        <v>1397.7701391000001</v>
      </c>
      <c r="E62" s="104"/>
      <c r="G62" s="1"/>
    </row>
    <row r="63" spans="1:14" s="2" customFormat="1" x14ac:dyDescent="0.2">
      <c r="A63" s="24"/>
      <c r="B63" s="1"/>
      <c r="C63" s="47"/>
      <c r="D63" s="107"/>
      <c r="E63" s="104"/>
      <c r="G63" s="1"/>
    </row>
    <row r="64" spans="1:14" s="2" customFormat="1" x14ac:dyDescent="0.2">
      <c r="A64" s="24"/>
      <c r="B64" s="1"/>
      <c r="C64" s="47" t="s">
        <v>932</v>
      </c>
      <c r="D64" s="111">
        <v>27.61</v>
      </c>
      <c r="E64" s="104"/>
      <c r="G64" s="1"/>
      <c r="H64" s="110" t="s">
        <v>581</v>
      </c>
    </row>
    <row r="65" spans="1:13" s="2" customFormat="1" x14ac:dyDescent="0.2">
      <c r="A65" s="24"/>
      <c r="B65" s="1"/>
      <c r="C65" s="136" t="s">
        <v>1142</v>
      </c>
      <c r="D65" s="111">
        <f>121.87+95.33-136.45-15.63</f>
        <v>65.12</v>
      </c>
      <c r="E65" s="104"/>
      <c r="G65" s="1"/>
      <c r="H65" s="110" t="s">
        <v>581</v>
      </c>
      <c r="J65" s="114" t="s">
        <v>713</v>
      </c>
    </row>
    <row r="66" spans="1:13" s="2" customFormat="1" x14ac:dyDescent="0.2">
      <c r="A66" s="24"/>
      <c r="B66" s="1"/>
      <c r="C66" s="78" t="s">
        <v>579</v>
      </c>
      <c r="D66" s="109">
        <f>D64+D65</f>
        <v>92.73</v>
      </c>
      <c r="E66" s="104"/>
      <c r="G66" s="1"/>
      <c r="I66" s="113"/>
      <c r="J66" s="113" t="s">
        <v>709</v>
      </c>
      <c r="K66" s="113" t="s">
        <v>710</v>
      </c>
      <c r="L66" s="113" t="s">
        <v>711</v>
      </c>
      <c r="M66" s="113" t="s">
        <v>712</v>
      </c>
    </row>
    <row r="67" spans="1:13" s="2" customFormat="1" x14ac:dyDescent="0.2">
      <c r="A67" s="24"/>
      <c r="B67" s="1"/>
      <c r="C67" s="105"/>
      <c r="D67" s="106"/>
      <c r="E67" s="104"/>
      <c r="G67" s="1"/>
      <c r="I67" s="113" t="s">
        <v>706</v>
      </c>
      <c r="J67" s="115"/>
      <c r="K67" s="115">
        <v>968.99</v>
      </c>
      <c r="L67" s="115">
        <v>968.99</v>
      </c>
      <c r="M67" s="113">
        <f>+J67+L67-K67</f>
        <v>0</v>
      </c>
    </row>
    <row r="68" spans="1:13" s="2" customFormat="1" x14ac:dyDescent="0.2">
      <c r="A68" s="24"/>
      <c r="B68" s="1"/>
      <c r="C68" s="78" t="s">
        <v>577</v>
      </c>
      <c r="D68" s="109">
        <f>D59+D66</f>
        <v>1263.3700000000001</v>
      </c>
      <c r="E68" s="104"/>
      <c r="G68" s="1"/>
      <c r="I68" s="113" t="s">
        <v>707</v>
      </c>
      <c r="J68" s="115">
        <v>183.1</v>
      </c>
      <c r="K68" s="115">
        <v>3048.33</v>
      </c>
      <c r="L68" s="115">
        <v>3578.74</v>
      </c>
      <c r="M68" s="113">
        <f>+J68+L68-K68</f>
        <v>713.50999999999976</v>
      </c>
    </row>
    <row r="69" spans="1:13" s="2" customFormat="1" x14ac:dyDescent="0.2">
      <c r="A69" s="24"/>
      <c r="B69" s="1"/>
      <c r="C69" s="56"/>
      <c r="D69" s="56"/>
      <c r="E69" s="104"/>
      <c r="G69" s="1"/>
      <c r="I69" s="113" t="s">
        <v>708</v>
      </c>
      <c r="J69" s="115">
        <v>1371.02</v>
      </c>
      <c r="K69" s="115">
        <v>13424.18</v>
      </c>
      <c r="L69" s="115">
        <v>13016.35</v>
      </c>
      <c r="M69" s="113">
        <f>+J69+L69-K69</f>
        <v>963.19000000000051</v>
      </c>
    </row>
    <row r="70" spans="1:13" s="2" customFormat="1" ht="38.25" x14ac:dyDescent="0.2">
      <c r="A70" s="24"/>
      <c r="B70" s="1"/>
      <c r="C70" s="79" t="str">
        <f>"Particulars ( 01-04-2021 to "&amp;TEXT(A5,"dd-mm-yyyy")&amp;" )"</f>
        <v>Particulars ( 01-04-2021 to 08-08-2023 )</v>
      </c>
      <c r="D70" s="80" t="s">
        <v>73</v>
      </c>
      <c r="E70" s="80" t="s">
        <v>74</v>
      </c>
      <c r="F70" s="81" t="s">
        <v>75</v>
      </c>
      <c r="G70" s="80" t="s">
        <v>76</v>
      </c>
      <c r="J70" s="118">
        <f>SUM(J67:J69)</f>
        <v>1554.12</v>
      </c>
      <c r="K70" s="118">
        <f>SUM(K67:K69)</f>
        <v>17441.5</v>
      </c>
      <c r="L70" s="118">
        <f>SUM(L67:L69)</f>
        <v>17564.080000000002</v>
      </c>
      <c r="M70" s="118">
        <f>SUM(M67:M69)</f>
        <v>1676.7000000000003</v>
      </c>
    </row>
    <row r="71" spans="1:13" s="2" customFormat="1" x14ac:dyDescent="0.2">
      <c r="A71" s="24"/>
      <c r="B71" s="1"/>
      <c r="C71" s="50" t="s">
        <v>444</v>
      </c>
      <c r="D71" s="55">
        <f>+L67+L68+J68</f>
        <v>4730.83</v>
      </c>
      <c r="E71" s="55">
        <f>+K67+K68</f>
        <v>4017.3199999999997</v>
      </c>
      <c r="F71" s="55">
        <f>+D71-E71</f>
        <v>713.51000000000022</v>
      </c>
      <c r="G71" s="55">
        <f>1500-F71</f>
        <v>786.48999999999978</v>
      </c>
      <c r="H71" s="2" t="s">
        <v>396</v>
      </c>
    </row>
    <row r="72" spans="1:13" s="2" customFormat="1" x14ac:dyDescent="0.2">
      <c r="A72" s="24"/>
      <c r="B72" s="1"/>
      <c r="C72" s="50" t="s">
        <v>71</v>
      </c>
      <c r="D72" s="55">
        <f>+J69+L69</f>
        <v>14387.37</v>
      </c>
      <c r="E72" s="55">
        <f>+K69</f>
        <v>13424.18</v>
      </c>
      <c r="F72" s="55">
        <f>+D72-E72</f>
        <v>963.19000000000051</v>
      </c>
      <c r="G72" s="55">
        <f>1500+700-F72</f>
        <v>1236.8099999999995</v>
      </c>
      <c r="H72" s="2" t="s">
        <v>396</v>
      </c>
    </row>
    <row r="73" spans="1:13" s="2" customFormat="1" x14ac:dyDescent="0.2">
      <c r="A73" s="24"/>
      <c r="B73" s="1"/>
      <c r="C73" s="14"/>
      <c r="D73" s="56"/>
      <c r="E73" s="13"/>
      <c r="G73" s="1"/>
    </row>
    <row r="74" spans="1:13" s="2" customFormat="1" x14ac:dyDescent="0.2">
      <c r="A74" s="215" t="s">
        <v>80</v>
      </c>
      <c r="B74" s="216"/>
      <c r="C74" s="216"/>
      <c r="D74" s="217"/>
      <c r="E74" s="69"/>
      <c r="F74" s="70"/>
      <c r="G74" s="1"/>
      <c r="H74" s="53"/>
    </row>
    <row r="75" spans="1:13" s="2" customFormat="1" x14ac:dyDescent="0.2">
      <c r="A75" s="71" t="s">
        <v>81</v>
      </c>
      <c r="B75" s="71"/>
      <c r="C75" s="72" t="s">
        <v>82</v>
      </c>
      <c r="D75" s="73" t="s">
        <v>83</v>
      </c>
      <c r="E75" s="69"/>
      <c r="F75" s="70"/>
      <c r="H75" s="53"/>
    </row>
    <row r="76" spans="1:13" s="2" customFormat="1" x14ac:dyDescent="0.2">
      <c r="A76" s="8">
        <v>45139</v>
      </c>
      <c r="B76" s="120" t="s">
        <v>1052</v>
      </c>
      <c r="C76" s="75" t="s">
        <v>85</v>
      </c>
      <c r="D76" s="88">
        <v>552343</v>
      </c>
      <c r="G76" s="1"/>
      <c r="L76" s="1"/>
      <c r="M76" s="1"/>
    </row>
    <row r="77" spans="1:13" s="2" customFormat="1" x14ac:dyDescent="0.2">
      <c r="A77" s="8">
        <v>45140</v>
      </c>
      <c r="B77" s="120" t="s">
        <v>1052</v>
      </c>
      <c r="C77" s="75" t="s">
        <v>270</v>
      </c>
      <c r="D77" s="88">
        <v>244404</v>
      </c>
      <c r="G77" s="1"/>
      <c r="L77" s="1"/>
      <c r="M77" s="1"/>
    </row>
    <row r="78" spans="1:13" s="2" customFormat="1" x14ac:dyDescent="0.2">
      <c r="A78" s="8">
        <v>45140</v>
      </c>
      <c r="B78" s="120" t="s">
        <v>1052</v>
      </c>
      <c r="C78" s="75" t="s">
        <v>270</v>
      </c>
      <c r="D78" s="88">
        <v>550256</v>
      </c>
      <c r="G78" s="1"/>
      <c r="L78" s="1"/>
      <c r="M78" s="1"/>
    </row>
    <row r="79" spans="1:13" s="2" customFormat="1" x14ac:dyDescent="0.2">
      <c r="A79" s="8">
        <v>45140</v>
      </c>
      <c r="B79" s="120" t="s">
        <v>1052</v>
      </c>
      <c r="C79" s="75" t="s">
        <v>270</v>
      </c>
      <c r="D79" s="88">
        <v>191589</v>
      </c>
      <c r="G79" s="1"/>
      <c r="L79" s="1"/>
      <c r="M79" s="1"/>
    </row>
    <row r="80" spans="1:13" s="2" customFormat="1" x14ac:dyDescent="0.2">
      <c r="A80" s="8">
        <v>45140</v>
      </c>
      <c r="B80" s="120" t="s">
        <v>1052</v>
      </c>
      <c r="C80" s="75" t="s">
        <v>270</v>
      </c>
      <c r="D80" s="88">
        <v>74415.91</v>
      </c>
      <c r="G80" s="1"/>
      <c r="L80" s="1"/>
      <c r="M80" s="1"/>
    </row>
    <row r="81" spans="1:13" s="2" customFormat="1" x14ac:dyDescent="0.2">
      <c r="A81" s="8">
        <v>45140</v>
      </c>
      <c r="B81" s="120" t="s">
        <v>1052</v>
      </c>
      <c r="C81" s="75" t="s">
        <v>271</v>
      </c>
      <c r="D81" s="88">
        <v>454781</v>
      </c>
      <c r="G81" s="1"/>
      <c r="L81" s="1"/>
      <c r="M81" s="1"/>
    </row>
    <row r="82" spans="1:13" s="2" customFormat="1" x14ac:dyDescent="0.2">
      <c r="A82" s="8">
        <v>45141</v>
      </c>
      <c r="B82" s="120" t="s">
        <v>1052</v>
      </c>
      <c r="C82" s="75" t="s">
        <v>909</v>
      </c>
      <c r="D82" s="88">
        <v>910969</v>
      </c>
      <c r="G82" s="1"/>
      <c r="L82" s="1"/>
      <c r="M82" s="1"/>
    </row>
    <row r="83" spans="1:13" s="2" customFormat="1" x14ac:dyDescent="0.2">
      <c r="A83" s="8">
        <v>45141</v>
      </c>
      <c r="B83" s="120" t="s">
        <v>1052</v>
      </c>
      <c r="C83" s="75" t="s">
        <v>909</v>
      </c>
      <c r="D83" s="88">
        <v>1424635</v>
      </c>
      <c r="G83" s="1"/>
      <c r="L83" s="1"/>
      <c r="M83" s="1"/>
    </row>
    <row r="84" spans="1:13" s="2" customFormat="1" x14ac:dyDescent="0.2">
      <c r="A84" s="8">
        <v>45143</v>
      </c>
      <c r="B84" s="120" t="s">
        <v>1052</v>
      </c>
      <c r="C84" s="75" t="s">
        <v>85</v>
      </c>
      <c r="D84" s="88">
        <v>644288</v>
      </c>
      <c r="G84" s="1"/>
      <c r="L84" s="1"/>
      <c r="M84" s="1"/>
    </row>
    <row r="85" spans="1:13" s="2" customFormat="1" x14ac:dyDescent="0.2">
      <c r="A85" s="8">
        <v>45146</v>
      </c>
      <c r="B85" s="120" t="s">
        <v>1052</v>
      </c>
      <c r="C85" s="75" t="s">
        <v>85</v>
      </c>
      <c r="D85" s="88">
        <v>136333</v>
      </c>
      <c r="G85" s="1"/>
      <c r="L85" s="1"/>
      <c r="M85" s="1"/>
    </row>
    <row r="86" spans="1:13" s="2" customFormat="1" x14ac:dyDescent="0.2">
      <c r="A86" s="87"/>
      <c r="B86" s="74"/>
      <c r="C86" s="75"/>
      <c r="D86" s="51">
        <f>SUM(D76:D85)</f>
        <v>5184013.91</v>
      </c>
      <c r="F86" s="2" t="s">
        <v>396</v>
      </c>
      <c r="G86" s="1"/>
      <c r="L86" s="1"/>
      <c r="M86" s="1"/>
    </row>
    <row r="87" spans="1:13" s="2" customFormat="1" x14ac:dyDescent="0.2">
      <c r="A87" s="24"/>
      <c r="B87" s="1"/>
      <c r="C87" s="14"/>
      <c r="D87" s="56"/>
      <c r="E87" s="13"/>
      <c r="G87" s="1"/>
      <c r="L87" s="1"/>
      <c r="M87" s="1"/>
    </row>
    <row r="88" spans="1:13" s="2" customFormat="1" x14ac:dyDescent="0.2">
      <c r="A88" s="24"/>
      <c r="B88" s="1"/>
      <c r="C88" s="218" t="s">
        <v>77</v>
      </c>
      <c r="D88" s="219"/>
      <c r="E88" s="219"/>
      <c r="F88" s="220"/>
      <c r="G88" s="1"/>
      <c r="L88" s="1"/>
      <c r="M88" s="1"/>
    </row>
    <row r="89" spans="1:13" s="2" customFormat="1" x14ac:dyDescent="0.2">
      <c r="A89" s="24"/>
      <c r="B89" s="1"/>
      <c r="C89" s="50"/>
      <c r="D89" s="57" t="s">
        <v>78</v>
      </c>
      <c r="E89" s="58" t="s">
        <v>79</v>
      </c>
      <c r="F89" s="57" t="s">
        <v>72</v>
      </c>
      <c r="G89" s="1"/>
      <c r="I89" s="1"/>
      <c r="J89" s="1"/>
      <c r="K89" s="1"/>
      <c r="L89" s="1"/>
      <c r="M89" s="1"/>
    </row>
    <row r="90" spans="1:13" s="2" customFormat="1" x14ac:dyDescent="0.2">
      <c r="A90" s="24"/>
      <c r="B90" s="1"/>
      <c r="C90" s="59" t="str">
        <f>"01-08-2023 to "&amp;TEXT(A5-2,"dd-mm-yyyy")</f>
        <v>01-08-2023 to 06-08-2023</v>
      </c>
      <c r="D90" s="60">
        <v>741.72</v>
      </c>
      <c r="E90" s="60">
        <v>62.6</v>
      </c>
      <c r="F90" s="61">
        <f>SUM(D90:E90)</f>
        <v>804.32</v>
      </c>
      <c r="G90" s="1"/>
    </row>
    <row r="91" spans="1:13" s="2" customFormat="1" x14ac:dyDescent="0.2">
      <c r="A91" s="24"/>
      <c r="B91" s="1"/>
      <c r="C91" s="62" t="str">
        <f>TEXT(A5-1,"dd-mm-yyyy")</f>
        <v>07-08-2023</v>
      </c>
      <c r="D91" s="60">
        <v>44.68</v>
      </c>
      <c r="E91" s="60">
        <v>6.8</v>
      </c>
      <c r="F91" s="61">
        <f>SUM(D91:E91)</f>
        <v>51.48</v>
      </c>
      <c r="G91" s="54"/>
      <c r="I91" s="1"/>
      <c r="J91" s="1"/>
      <c r="K91" s="1"/>
      <c r="L91" s="1"/>
      <c r="M91" s="1"/>
    </row>
    <row r="92" spans="1:13" s="2" customFormat="1" ht="13.5" thickBot="1" x14ac:dyDescent="0.25">
      <c r="A92" s="24"/>
      <c r="B92" s="1"/>
      <c r="C92" s="63" t="str">
        <f>"01-08-2023 to "&amp;TEXT(A5-1,"dd-mm-yyyy")</f>
        <v>01-08-2023 to 07-08-2023</v>
      </c>
      <c r="D92" s="64">
        <f>SUM(D90:D91)</f>
        <v>786.4</v>
      </c>
      <c r="E92" s="64">
        <f>SUM(E90:E91)</f>
        <v>69.400000000000006</v>
      </c>
      <c r="F92" s="64">
        <f>SUM(F90:F91)</f>
        <v>855.80000000000007</v>
      </c>
      <c r="G92" s="54"/>
      <c r="I92" s="1"/>
      <c r="J92" s="1"/>
      <c r="K92" s="1"/>
      <c r="L92" s="1"/>
      <c r="M92" s="1"/>
    </row>
    <row r="93" spans="1:13" s="2" customFormat="1" ht="13.5" thickTop="1" x14ac:dyDescent="0.2">
      <c r="A93" s="24"/>
      <c r="B93" s="1"/>
      <c r="C93" s="62"/>
      <c r="D93" s="65"/>
      <c r="E93" s="66"/>
      <c r="F93" s="67"/>
      <c r="G93" s="54"/>
      <c r="I93" s="1"/>
      <c r="J93" s="1"/>
      <c r="K93" s="1"/>
      <c r="L93" s="1"/>
      <c r="M93" s="1"/>
    </row>
    <row r="94" spans="1:13" s="2" customFormat="1" x14ac:dyDescent="0.2">
      <c r="A94" s="24"/>
      <c r="B94" s="1"/>
      <c r="C94" s="62" t="str">
        <f>"01-04-2023 to " &amp;C91</f>
        <v>01-04-2023 to 07-08-2023</v>
      </c>
      <c r="D94" s="68">
        <f>+D92+20827.32</f>
        <v>21613.72</v>
      </c>
      <c r="E94" s="68">
        <f>+E92+1376.76</f>
        <v>1446.16</v>
      </c>
      <c r="F94" s="68">
        <f>+F92+22204.08</f>
        <v>23059.88</v>
      </c>
      <c r="G94" s="54"/>
      <c r="I94" s="1"/>
      <c r="J94" s="1"/>
      <c r="K94" s="1"/>
      <c r="L94" s="1"/>
      <c r="M94" s="1"/>
    </row>
    <row r="95" spans="1:13" x14ac:dyDescent="0.2">
      <c r="C95" s="52"/>
      <c r="D95" s="85"/>
      <c r="E95" s="53"/>
      <c r="F95" s="53"/>
      <c r="G95" s="54"/>
      <c r="H95" s="2" t="s">
        <v>396</v>
      </c>
    </row>
    <row r="96" spans="1:13" s="2" customFormat="1" x14ac:dyDescent="0.2">
      <c r="A96" s="24"/>
      <c r="B96" s="1"/>
      <c r="C96" s="52"/>
      <c r="D96" s="85"/>
      <c r="E96" s="53"/>
      <c r="F96" s="53"/>
      <c r="G96" s="54"/>
      <c r="H96" s="53"/>
    </row>
    <row r="97" spans="3:10" x14ac:dyDescent="0.2">
      <c r="C97" s="52"/>
      <c r="D97" s="85"/>
      <c r="E97" s="53"/>
      <c r="F97" s="53"/>
      <c r="G97" s="54"/>
      <c r="H97" s="53" t="s">
        <v>396</v>
      </c>
    </row>
    <row r="98" spans="3:10" x14ac:dyDescent="0.2">
      <c r="C98" s="52"/>
      <c r="D98" s="85"/>
      <c r="E98" s="53"/>
      <c r="F98" s="53"/>
      <c r="G98" s="54"/>
      <c r="H98" s="53" t="s">
        <v>396</v>
      </c>
      <c r="J98" s="42"/>
    </row>
    <row r="99" spans="3:10" x14ac:dyDescent="0.2">
      <c r="G99" s="54"/>
      <c r="H99" s="53"/>
      <c r="I99" s="101"/>
    </row>
    <row r="100" spans="3:10" x14ac:dyDescent="0.2">
      <c r="G100" s="54"/>
      <c r="H100" s="53"/>
    </row>
    <row r="101" spans="3:10" x14ac:dyDescent="0.2">
      <c r="G101" s="54"/>
      <c r="H101" s="53"/>
    </row>
    <row r="102" spans="3:10" x14ac:dyDescent="0.2">
      <c r="H102" s="53"/>
    </row>
  </sheetData>
  <mergeCells count="6">
    <mergeCell ref="C88:F88"/>
    <mergeCell ref="A1:G1"/>
    <mergeCell ref="A3:F3"/>
    <mergeCell ref="A9:F9"/>
    <mergeCell ref="A19:F19"/>
    <mergeCell ref="A74:D74"/>
  </mergeCells>
  <conditionalFormatting sqref="G71:G72">
    <cfRule type="cellIs" dxfId="373" priority="1" operator="lessThan">
      <formula>0</formula>
    </cfRule>
  </conditionalFormatting>
  <conditionalFormatting sqref="C21">
    <cfRule type="duplicateValues" dxfId="372" priority="2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800-000000000000}">
  <sheetPr codeName="Sheet400">
    <pageSetUpPr fitToPage="1"/>
  </sheetPr>
  <dimension ref="A1:N107"/>
  <sheetViews>
    <sheetView topLeftCell="A8" zoomScaleNormal="100" workbookViewId="0">
      <selection activeCell="E44" sqref="E44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1328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45147</v>
      </c>
      <c r="B5" s="9" t="s">
        <v>6</v>
      </c>
      <c r="C5" s="10" t="s">
        <v>7</v>
      </c>
      <c r="D5" s="11"/>
      <c r="E5" s="12">
        <v>454428.70000000019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454428.70000000019</v>
      </c>
      <c r="F6" s="16">
        <f>SUM(F5:F5)</f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+E6-F6</f>
        <v>454428.70000000019</v>
      </c>
      <c r="F7" s="22"/>
      <c r="G7" s="23"/>
      <c r="H7" s="112"/>
      <c r="I7" s="112"/>
      <c r="J7" s="13"/>
    </row>
    <row r="8" spans="1:10" ht="12.75" customHeight="1" x14ac:dyDescent="0.4">
      <c r="H8" s="112"/>
      <c r="I8" s="112"/>
    </row>
    <row r="9" spans="1:10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12"/>
    </row>
    <row r="10" spans="1:10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12"/>
    </row>
    <row r="11" spans="1:10" s="2" customFormat="1" ht="14.25" customHeight="1" x14ac:dyDescent="0.2">
      <c r="A11" s="89">
        <v>45147</v>
      </c>
      <c r="B11" s="9" t="s">
        <v>6</v>
      </c>
      <c r="C11" s="10" t="s">
        <v>7</v>
      </c>
      <c r="D11" s="11"/>
      <c r="F11" s="12">
        <v>27872640.670000002</v>
      </c>
      <c r="G11" s="1"/>
      <c r="H11" s="130" t="s">
        <v>396</v>
      </c>
      <c r="I11" s="130"/>
    </row>
    <row r="12" spans="1:10" s="70" customFormat="1" ht="12.75" customHeight="1" x14ac:dyDescent="0.2">
      <c r="A12" s="89">
        <v>45147</v>
      </c>
      <c r="B12" s="128" t="s">
        <v>11</v>
      </c>
      <c r="C12" s="76" t="s">
        <v>1137</v>
      </c>
      <c r="D12" s="11" t="s">
        <v>13</v>
      </c>
      <c r="E12" s="31">
        <f>7312.32+23</f>
        <v>7335.32</v>
      </c>
      <c r="F12" s="31"/>
      <c r="G12" s="30"/>
      <c r="I12" s="69"/>
      <c r="J12" s="69"/>
    </row>
    <row r="13" spans="1:10" s="70" customFormat="1" ht="12.75" customHeight="1" x14ac:dyDescent="0.2">
      <c r="A13" s="89">
        <v>45147</v>
      </c>
      <c r="B13" s="128" t="s">
        <v>11</v>
      </c>
      <c r="C13" s="76" t="s">
        <v>173</v>
      </c>
      <c r="D13" s="11" t="s">
        <v>13</v>
      </c>
      <c r="E13" s="31">
        <v>274613</v>
      </c>
      <c r="F13" s="31"/>
      <c r="G13" s="30"/>
      <c r="I13" s="69"/>
      <c r="J13" s="69"/>
    </row>
    <row r="14" spans="1:10" s="70" customFormat="1" ht="12.75" customHeight="1" x14ac:dyDescent="0.2">
      <c r="A14" s="89">
        <v>45147</v>
      </c>
      <c r="B14" s="128" t="s">
        <v>11</v>
      </c>
      <c r="C14" s="76" t="s">
        <v>718</v>
      </c>
      <c r="D14" s="11" t="s">
        <v>29</v>
      </c>
      <c r="E14" s="31"/>
      <c r="F14" s="31">
        <v>18345</v>
      </c>
      <c r="G14" s="30"/>
    </row>
    <row r="15" spans="1:10" s="70" customFormat="1" ht="12.75" customHeight="1" x14ac:dyDescent="0.2">
      <c r="A15" s="89">
        <v>45147</v>
      </c>
      <c r="B15" s="128" t="s">
        <v>11</v>
      </c>
      <c r="C15" s="76" t="s">
        <v>1314</v>
      </c>
      <c r="D15" s="11" t="s">
        <v>29</v>
      </c>
      <c r="E15" s="31"/>
      <c r="F15" s="31">
        <v>77650</v>
      </c>
      <c r="G15" s="30"/>
    </row>
    <row r="16" spans="1:10" s="70" customFormat="1" ht="12.75" customHeight="1" x14ac:dyDescent="0.2">
      <c r="A16" s="89">
        <v>45147</v>
      </c>
      <c r="B16" s="128" t="s">
        <v>11</v>
      </c>
      <c r="C16" s="76" t="s">
        <v>124</v>
      </c>
      <c r="D16" s="11" t="s">
        <v>29</v>
      </c>
      <c r="E16" s="31"/>
      <c r="F16" s="31">
        <v>9880</v>
      </c>
      <c r="G16" s="30"/>
    </row>
    <row r="17" spans="1:10" s="70" customFormat="1" ht="12.75" customHeight="1" x14ac:dyDescent="0.2">
      <c r="A17" s="89">
        <v>45147</v>
      </c>
      <c r="B17" s="128" t="s">
        <v>11</v>
      </c>
      <c r="C17" s="76" t="s">
        <v>584</v>
      </c>
      <c r="D17" s="11" t="s">
        <v>29</v>
      </c>
      <c r="E17" s="31"/>
      <c r="F17" s="31">
        <v>237483</v>
      </c>
      <c r="G17" s="30"/>
    </row>
    <row r="18" spans="1:10" s="70" customFormat="1" ht="12.75" customHeight="1" x14ac:dyDescent="0.2">
      <c r="A18" s="89">
        <v>45147</v>
      </c>
      <c r="B18" s="128" t="s">
        <v>11</v>
      </c>
      <c r="C18" s="76" t="s">
        <v>1329</v>
      </c>
      <c r="D18" s="11" t="s">
        <v>29</v>
      </c>
      <c r="E18" s="31"/>
      <c r="F18" s="31">
        <v>43539</v>
      </c>
      <c r="G18" s="30"/>
    </row>
    <row r="19" spans="1:10" s="70" customFormat="1" ht="12.75" customHeight="1" x14ac:dyDescent="0.2">
      <c r="A19" s="89">
        <v>45147</v>
      </c>
      <c r="B19" s="128" t="s">
        <v>11</v>
      </c>
      <c r="C19" s="76" t="s">
        <v>1330</v>
      </c>
      <c r="D19" s="11" t="s">
        <v>29</v>
      </c>
      <c r="E19" s="31"/>
      <c r="F19" s="31">
        <v>5900</v>
      </c>
      <c r="G19" s="30"/>
    </row>
    <row r="20" spans="1:10" s="2" customFormat="1" ht="12.75" customHeight="1" x14ac:dyDescent="0.4">
      <c r="D20" s="11" t="s">
        <v>8</v>
      </c>
      <c r="E20" s="16">
        <f>SUM(E12:E13)</f>
        <v>281948.32</v>
      </c>
      <c r="F20" s="16">
        <f>SUM(F11:F19)</f>
        <v>28265437.670000002</v>
      </c>
      <c r="G20" s="1"/>
      <c r="H20" s="112"/>
      <c r="I20" s="112"/>
    </row>
    <row r="21" spans="1:10" s="2" customFormat="1" ht="12.75" customHeight="1" x14ac:dyDescent="0.4">
      <c r="A21" s="17"/>
      <c r="B21" s="18"/>
      <c r="C21" s="96" t="s">
        <v>9</v>
      </c>
      <c r="D21" s="20"/>
      <c r="E21" s="21">
        <f>+F20-E20</f>
        <v>27983489.350000001</v>
      </c>
      <c r="G21" s="23"/>
      <c r="H21" s="112"/>
      <c r="I21" s="112"/>
      <c r="J21" s="13"/>
    </row>
    <row r="22" spans="1:10" s="2" customFormat="1" ht="12.75" customHeight="1" x14ac:dyDescent="0.4">
      <c r="A22" s="24"/>
      <c r="B22" s="1"/>
      <c r="C22" s="14"/>
      <c r="D22" s="25"/>
      <c r="G22" s="23"/>
      <c r="H22" s="112"/>
      <c r="I22" s="112"/>
      <c r="J22" s="13"/>
    </row>
    <row r="23" spans="1:10" s="2" customFormat="1" ht="21.75" customHeight="1" x14ac:dyDescent="0.4">
      <c r="A23" s="214" t="s">
        <v>10</v>
      </c>
      <c r="B23" s="214"/>
      <c r="C23" s="214"/>
      <c r="D23" s="214"/>
      <c r="E23" s="214"/>
      <c r="F23" s="214"/>
      <c r="G23" s="13"/>
      <c r="H23" s="112"/>
      <c r="I23" s="112"/>
      <c r="J23" s="13"/>
    </row>
    <row r="24" spans="1:10" s="2" customFormat="1" ht="12.75" customHeight="1" x14ac:dyDescent="0.4">
      <c r="A24" s="26" t="s">
        <v>1</v>
      </c>
      <c r="B24" s="27" t="s">
        <v>2</v>
      </c>
      <c r="C24" s="5"/>
      <c r="D24" s="6" t="s">
        <v>3</v>
      </c>
      <c r="E24" s="7" t="s">
        <v>4</v>
      </c>
      <c r="F24" s="7" t="s">
        <v>5</v>
      </c>
      <c r="G24" s="23"/>
      <c r="H24" s="112"/>
      <c r="I24" s="112"/>
      <c r="J24" s="13"/>
    </row>
    <row r="25" spans="1:10" s="2" customFormat="1" ht="12.75" customHeight="1" x14ac:dyDescent="0.2">
      <c r="A25" s="89">
        <v>45147</v>
      </c>
      <c r="B25" s="128" t="s">
        <v>11</v>
      </c>
      <c r="C25" s="29" t="s">
        <v>7</v>
      </c>
      <c r="D25" s="25"/>
      <c r="E25" s="31"/>
      <c r="F25" s="2">
        <v>344623919.70999986</v>
      </c>
      <c r="G25" s="30"/>
      <c r="I25" s="13"/>
      <c r="J25" s="13"/>
    </row>
    <row r="26" spans="1:10" s="70" customFormat="1" ht="12.75" customHeight="1" x14ac:dyDescent="0.2">
      <c r="A26" s="89">
        <v>45147</v>
      </c>
      <c r="B26" s="128" t="s">
        <v>6</v>
      </c>
      <c r="C26" s="10" t="s">
        <v>1331</v>
      </c>
      <c r="D26" s="11" t="s">
        <v>13</v>
      </c>
      <c r="E26" s="86">
        <v>100000</v>
      </c>
      <c r="G26" s="30"/>
      <c r="I26" s="69"/>
      <c r="J26" s="69"/>
    </row>
    <row r="27" spans="1:10" s="70" customFormat="1" ht="12.75" customHeight="1" x14ac:dyDescent="0.2">
      <c r="A27" s="89">
        <v>45147</v>
      </c>
      <c r="B27" s="128" t="s">
        <v>6</v>
      </c>
      <c r="C27" s="10" t="s">
        <v>145</v>
      </c>
      <c r="D27" s="11" t="s">
        <v>13</v>
      </c>
      <c r="E27" s="86">
        <v>1229408</v>
      </c>
      <c r="G27" s="30"/>
      <c r="I27" s="69"/>
      <c r="J27" s="69"/>
    </row>
    <row r="28" spans="1:10" s="70" customFormat="1" ht="12.75" customHeight="1" x14ac:dyDescent="0.2">
      <c r="A28" s="89">
        <v>45147</v>
      </c>
      <c r="B28" s="128" t="s">
        <v>6</v>
      </c>
      <c r="C28" s="10" t="s">
        <v>233</v>
      </c>
      <c r="D28" s="11" t="s">
        <v>13</v>
      </c>
      <c r="E28" s="86">
        <v>5273.1</v>
      </c>
      <c r="G28" s="30"/>
      <c r="I28" s="69"/>
      <c r="J28" s="69"/>
    </row>
    <row r="29" spans="1:10" s="70" customFormat="1" ht="12.75" customHeight="1" x14ac:dyDescent="0.2">
      <c r="A29" s="89">
        <v>45147</v>
      </c>
      <c r="B29" s="128" t="s">
        <v>6</v>
      </c>
      <c r="C29" s="10" t="s">
        <v>103</v>
      </c>
      <c r="D29" s="11" t="s">
        <v>13</v>
      </c>
      <c r="E29" s="86">
        <v>605029</v>
      </c>
      <c r="G29" s="30"/>
      <c r="I29" s="69"/>
      <c r="J29" s="69"/>
    </row>
    <row r="30" spans="1:10" s="139" customFormat="1" ht="12.75" customHeight="1" x14ac:dyDescent="0.2">
      <c r="A30" s="89">
        <v>45147</v>
      </c>
      <c r="B30" s="128" t="s">
        <v>6</v>
      </c>
      <c r="C30" s="145" t="s">
        <v>1332</v>
      </c>
      <c r="D30" s="142" t="s">
        <v>13</v>
      </c>
      <c r="E30" s="146">
        <v>125000</v>
      </c>
      <c r="G30" s="30"/>
      <c r="I30" s="144"/>
      <c r="J30" s="144"/>
    </row>
    <row r="31" spans="1:10" s="70" customFormat="1" ht="12.75" customHeight="1" x14ac:dyDescent="0.2">
      <c r="A31" s="89">
        <v>45147</v>
      </c>
      <c r="B31" s="128" t="s">
        <v>6</v>
      </c>
      <c r="C31" s="10" t="s">
        <v>1212</v>
      </c>
      <c r="D31" s="11" t="s">
        <v>13</v>
      </c>
      <c r="E31" s="86">
        <v>3597430</v>
      </c>
      <c r="G31" s="30"/>
      <c r="I31" s="69"/>
      <c r="J31" s="69"/>
    </row>
    <row r="32" spans="1:10" s="70" customFormat="1" ht="12.75" customHeight="1" x14ac:dyDescent="0.2">
      <c r="A32" s="89">
        <v>45147</v>
      </c>
      <c r="B32" s="128" t="s">
        <v>6</v>
      </c>
      <c r="C32" s="10" t="s">
        <v>93</v>
      </c>
      <c r="D32" s="11" t="s">
        <v>13</v>
      </c>
      <c r="E32" s="86">
        <v>4856290</v>
      </c>
      <c r="G32" s="30"/>
      <c r="I32" s="69"/>
      <c r="J32" s="69"/>
    </row>
    <row r="33" spans="1:10" s="70" customFormat="1" ht="12.75" customHeight="1" x14ac:dyDescent="0.2">
      <c r="A33" s="89">
        <v>45147</v>
      </c>
      <c r="B33" s="128" t="s">
        <v>6</v>
      </c>
      <c r="C33" s="10" t="s">
        <v>1333</v>
      </c>
      <c r="D33" s="11" t="s">
        <v>13</v>
      </c>
      <c r="E33" s="86">
        <v>70125</v>
      </c>
      <c r="G33" s="30"/>
      <c r="I33" s="69"/>
      <c r="J33" s="69"/>
    </row>
    <row r="34" spans="1:10" s="70" customFormat="1" ht="12.75" customHeight="1" x14ac:dyDescent="0.2">
      <c r="A34" s="89">
        <v>45147</v>
      </c>
      <c r="B34" s="128" t="s">
        <v>6</v>
      </c>
      <c r="C34" s="10" t="s">
        <v>1334</v>
      </c>
      <c r="D34" s="11" t="s">
        <v>13</v>
      </c>
      <c r="E34" s="86">
        <v>72173</v>
      </c>
      <c r="G34" s="30"/>
      <c r="I34" s="69"/>
      <c r="J34" s="69"/>
    </row>
    <row r="35" spans="1:10" s="70" customFormat="1" ht="12.75" customHeight="1" x14ac:dyDescent="0.2">
      <c r="A35" s="89">
        <v>45147</v>
      </c>
      <c r="B35" s="128" t="s">
        <v>6</v>
      </c>
      <c r="C35" s="10" t="s">
        <v>1231</v>
      </c>
      <c r="D35" s="11" t="s">
        <v>13</v>
      </c>
      <c r="E35" s="86">
        <v>898235</v>
      </c>
      <c r="G35" s="30"/>
      <c r="I35" s="69"/>
      <c r="J35" s="69"/>
    </row>
    <row r="36" spans="1:10" s="70" customFormat="1" ht="12.75" customHeight="1" x14ac:dyDescent="0.2">
      <c r="A36" s="89">
        <v>45147</v>
      </c>
      <c r="B36" s="128" t="s">
        <v>6</v>
      </c>
      <c r="C36" s="10" t="s">
        <v>249</v>
      </c>
      <c r="D36" s="11" t="s">
        <v>13</v>
      </c>
      <c r="E36" s="86">
        <v>1457092</v>
      </c>
      <c r="G36" s="30"/>
      <c r="I36" s="69"/>
      <c r="J36" s="69"/>
    </row>
    <row r="37" spans="1:10" s="70" customFormat="1" ht="12.75" customHeight="1" x14ac:dyDescent="0.2">
      <c r="A37" s="89">
        <v>45147</v>
      </c>
      <c r="B37" s="128" t="s">
        <v>6</v>
      </c>
      <c r="C37" s="10" t="s">
        <v>177</v>
      </c>
      <c r="D37" s="11" t="s">
        <v>13</v>
      </c>
      <c r="E37" s="86">
        <v>1677054</v>
      </c>
      <c r="G37" s="30"/>
      <c r="I37" s="69"/>
      <c r="J37" s="69"/>
    </row>
    <row r="38" spans="1:10" s="70" customFormat="1" ht="12.75" customHeight="1" x14ac:dyDescent="0.2">
      <c r="A38" s="89">
        <v>45147</v>
      </c>
      <c r="B38" s="128" t="s">
        <v>6</v>
      </c>
      <c r="C38" s="10" t="s">
        <v>797</v>
      </c>
      <c r="D38" s="11" t="s">
        <v>13</v>
      </c>
      <c r="E38" s="86">
        <v>70000</v>
      </c>
      <c r="G38" s="30"/>
      <c r="I38" s="69"/>
      <c r="J38" s="69"/>
    </row>
    <row r="39" spans="1:10" s="70" customFormat="1" ht="12.75" customHeight="1" x14ac:dyDescent="0.2">
      <c r="A39" s="89">
        <v>45147</v>
      </c>
      <c r="B39" s="128" t="s">
        <v>6</v>
      </c>
      <c r="C39" s="10" t="s">
        <v>15</v>
      </c>
      <c r="D39" s="11" t="s">
        <v>13</v>
      </c>
      <c r="E39" s="86">
        <v>3536.25</v>
      </c>
      <c r="G39" s="30"/>
      <c r="I39" s="69"/>
      <c r="J39" s="69"/>
    </row>
    <row r="40" spans="1:10" s="70" customFormat="1" ht="12.75" customHeight="1" x14ac:dyDescent="0.2">
      <c r="A40" s="89">
        <v>45147</v>
      </c>
      <c r="B40" s="128" t="s">
        <v>6</v>
      </c>
      <c r="C40" s="10" t="s">
        <v>149</v>
      </c>
      <c r="D40" s="11" t="s">
        <v>13</v>
      </c>
      <c r="E40" s="86">
        <v>7974</v>
      </c>
      <c r="G40" s="30"/>
      <c r="I40" s="69"/>
      <c r="J40" s="69"/>
    </row>
    <row r="41" spans="1:10" s="70" customFormat="1" ht="12.75" customHeight="1" x14ac:dyDescent="0.2">
      <c r="A41" s="89">
        <v>45147</v>
      </c>
      <c r="B41" s="128" t="s">
        <v>6</v>
      </c>
      <c r="C41" s="10" t="s">
        <v>1336</v>
      </c>
      <c r="D41" s="11" t="s">
        <v>13</v>
      </c>
      <c r="E41" s="86">
        <v>50531</v>
      </c>
      <c r="G41" s="30"/>
      <c r="I41" s="69"/>
      <c r="J41" s="69"/>
    </row>
    <row r="42" spans="1:10" s="70" customFormat="1" ht="12.75" customHeight="1" x14ac:dyDescent="0.2">
      <c r="A42" s="89">
        <v>45147</v>
      </c>
      <c r="B42" s="128" t="s">
        <v>6</v>
      </c>
      <c r="C42" s="10" t="s">
        <v>120</v>
      </c>
      <c r="D42" s="11" t="s">
        <v>13</v>
      </c>
      <c r="E42" s="86">
        <v>224107</v>
      </c>
      <c r="G42" s="30"/>
      <c r="I42" s="69"/>
      <c r="J42" s="69"/>
    </row>
    <row r="43" spans="1:10" s="70" customFormat="1" ht="12.75" customHeight="1" x14ac:dyDescent="0.2">
      <c r="A43" s="89">
        <v>45147</v>
      </c>
      <c r="B43" s="128" t="s">
        <v>6</v>
      </c>
      <c r="C43" s="10" t="s">
        <v>947</v>
      </c>
      <c r="D43" s="11" t="s">
        <v>13</v>
      </c>
      <c r="E43" s="86">
        <v>810608</v>
      </c>
      <c r="G43" s="30"/>
      <c r="I43" s="69"/>
      <c r="J43" s="69"/>
    </row>
    <row r="44" spans="1:10" s="70" customFormat="1" ht="12.75" customHeight="1" x14ac:dyDescent="0.2">
      <c r="A44" s="89">
        <v>45147</v>
      </c>
      <c r="B44" s="128" t="s">
        <v>6</v>
      </c>
      <c r="C44" s="10" t="s">
        <v>19</v>
      </c>
      <c r="D44" s="11" t="s">
        <v>13</v>
      </c>
      <c r="E44" s="86">
        <v>691227</v>
      </c>
      <c r="G44" s="30"/>
      <c r="I44" s="69"/>
      <c r="J44" s="69"/>
    </row>
    <row r="45" spans="1:10" s="70" customFormat="1" ht="12.75" customHeight="1" x14ac:dyDescent="0.2">
      <c r="A45" s="89">
        <v>45147</v>
      </c>
      <c r="B45" s="128" t="s">
        <v>11</v>
      </c>
      <c r="C45" s="10" t="s">
        <v>64</v>
      </c>
      <c r="D45" s="11" t="s">
        <v>29</v>
      </c>
      <c r="E45" s="86"/>
      <c r="F45" s="70">
        <v>3555.34</v>
      </c>
      <c r="G45" s="30"/>
      <c r="I45" s="69"/>
      <c r="J45" s="69"/>
    </row>
    <row r="46" spans="1:10" s="70" customFormat="1" ht="12.75" customHeight="1" x14ac:dyDescent="0.2">
      <c r="A46" s="89">
        <v>45147</v>
      </c>
      <c r="B46" s="128" t="s">
        <v>11</v>
      </c>
      <c r="C46" s="10" t="s">
        <v>111</v>
      </c>
      <c r="D46" s="11" t="s">
        <v>29</v>
      </c>
      <c r="E46" s="86"/>
      <c r="F46" s="70">
        <v>610369.99</v>
      </c>
      <c r="G46" s="30"/>
      <c r="I46" s="69"/>
      <c r="J46" s="69"/>
    </row>
    <row r="47" spans="1:10" s="70" customFormat="1" ht="12.75" customHeight="1" x14ac:dyDescent="0.2">
      <c r="A47" s="89">
        <v>45147</v>
      </c>
      <c r="B47" s="128" t="s">
        <v>11</v>
      </c>
      <c r="C47" s="10" t="s">
        <v>109</v>
      </c>
      <c r="D47" s="11" t="s">
        <v>29</v>
      </c>
      <c r="E47" s="86"/>
      <c r="F47" s="70">
        <v>527486</v>
      </c>
      <c r="G47" s="30"/>
      <c r="I47" s="69"/>
      <c r="J47" s="69"/>
    </row>
    <row r="48" spans="1:10" s="70" customFormat="1" ht="12.75" customHeight="1" x14ac:dyDescent="0.2">
      <c r="A48" s="89">
        <v>45147</v>
      </c>
      <c r="B48" s="128" t="s">
        <v>11</v>
      </c>
      <c r="C48" s="10" t="s">
        <v>642</v>
      </c>
      <c r="D48" s="11" t="s">
        <v>29</v>
      </c>
      <c r="E48" s="86"/>
      <c r="F48" s="70">
        <v>17020</v>
      </c>
      <c r="G48" s="30"/>
      <c r="I48" s="69"/>
      <c r="J48" s="69"/>
    </row>
    <row r="49" spans="1:14" s="70" customFormat="1" ht="12.75" customHeight="1" x14ac:dyDescent="0.2">
      <c r="A49" s="89">
        <v>45147</v>
      </c>
      <c r="B49" s="128" t="s">
        <v>11</v>
      </c>
      <c r="C49" s="10" t="s">
        <v>721</v>
      </c>
      <c r="D49" s="11" t="s">
        <v>29</v>
      </c>
      <c r="E49" s="86"/>
      <c r="F49" s="70">
        <v>8035.76</v>
      </c>
      <c r="G49" s="30"/>
      <c r="I49" s="69"/>
      <c r="J49" s="69"/>
    </row>
    <row r="50" spans="1:14" s="70" customFormat="1" ht="12.75" customHeight="1" x14ac:dyDescent="0.2">
      <c r="A50" s="89">
        <v>45147</v>
      </c>
      <c r="B50" s="128" t="s">
        <v>11</v>
      </c>
      <c r="C50" s="10" t="s">
        <v>268</v>
      </c>
      <c r="D50" s="11" t="s">
        <v>29</v>
      </c>
      <c r="E50" s="86"/>
      <c r="F50" s="70">
        <v>37465</v>
      </c>
      <c r="G50" s="30"/>
      <c r="I50" s="69"/>
      <c r="J50" s="69"/>
    </row>
    <row r="51" spans="1:14" s="70" customFormat="1" ht="12.75" customHeight="1" x14ac:dyDescent="0.2">
      <c r="A51" s="89">
        <v>45147</v>
      </c>
      <c r="B51" s="128" t="s">
        <v>11</v>
      </c>
      <c r="C51" s="10" t="s">
        <v>792</v>
      </c>
      <c r="D51" s="11" t="s">
        <v>29</v>
      </c>
      <c r="E51" s="86"/>
      <c r="F51" s="70">
        <v>169753</v>
      </c>
      <c r="G51" s="30"/>
      <c r="I51" s="69"/>
      <c r="J51" s="69"/>
    </row>
    <row r="52" spans="1:14" s="70" customFormat="1" ht="12.75" customHeight="1" x14ac:dyDescent="0.2">
      <c r="A52" s="89">
        <v>45147</v>
      </c>
      <c r="B52" s="128" t="s">
        <v>11</v>
      </c>
      <c r="C52" s="10" t="s">
        <v>870</v>
      </c>
      <c r="D52" s="11" t="s">
        <v>29</v>
      </c>
      <c r="E52" s="86"/>
      <c r="F52" s="70">
        <v>14040</v>
      </c>
      <c r="G52" s="30"/>
      <c r="I52" s="69"/>
      <c r="J52" s="69"/>
    </row>
    <row r="53" spans="1:14" s="70" customFormat="1" ht="12.75" customHeight="1" x14ac:dyDescent="0.2">
      <c r="A53" s="89">
        <v>45147</v>
      </c>
      <c r="B53" s="128" t="s">
        <v>11</v>
      </c>
      <c r="C53" s="10" t="s">
        <v>223</v>
      </c>
      <c r="D53" s="11" t="s">
        <v>29</v>
      </c>
      <c r="E53" s="86"/>
      <c r="F53" s="70">
        <v>39835</v>
      </c>
      <c r="G53" s="30"/>
      <c r="I53" s="69"/>
      <c r="J53" s="69"/>
    </row>
    <row r="54" spans="1:14" s="70" customFormat="1" ht="12.75" customHeight="1" x14ac:dyDescent="0.2">
      <c r="A54" s="89">
        <v>45147</v>
      </c>
      <c r="B54" s="128" t="s">
        <v>11</v>
      </c>
      <c r="C54" s="10" t="s">
        <v>125</v>
      </c>
      <c r="D54" s="11" t="s">
        <v>29</v>
      </c>
      <c r="E54" s="86"/>
      <c r="F54" s="70">
        <v>95550</v>
      </c>
      <c r="G54" s="30"/>
      <c r="I54" s="69"/>
      <c r="J54" s="69"/>
    </row>
    <row r="55" spans="1:14" s="70" customFormat="1" ht="12.75" customHeight="1" x14ac:dyDescent="0.2">
      <c r="A55" s="89">
        <v>45147</v>
      </c>
      <c r="B55" s="128" t="s">
        <v>11</v>
      </c>
      <c r="C55" s="10" t="s">
        <v>590</v>
      </c>
      <c r="D55" s="11" t="s">
        <v>29</v>
      </c>
      <c r="E55" s="86"/>
      <c r="F55" s="70">
        <v>4511</v>
      </c>
      <c r="G55" s="30"/>
      <c r="I55" s="69"/>
      <c r="J55" s="69"/>
    </row>
    <row r="56" spans="1:14" s="70" customFormat="1" ht="12.75" customHeight="1" x14ac:dyDescent="0.2">
      <c r="A56" s="89">
        <v>45147</v>
      </c>
      <c r="B56" s="128" t="s">
        <v>11</v>
      </c>
      <c r="C56" s="10" t="s">
        <v>1335</v>
      </c>
      <c r="D56" s="11" t="s">
        <v>29</v>
      </c>
      <c r="E56" s="86"/>
      <c r="F56" s="70">
        <v>500000</v>
      </c>
      <c r="G56" s="30"/>
      <c r="I56" s="69"/>
      <c r="J56" s="69"/>
    </row>
    <row r="57" spans="1:14" s="2" customFormat="1" ht="12.75" customHeight="1" x14ac:dyDescent="0.2">
      <c r="A57" s="32"/>
      <c r="B57" s="33"/>
      <c r="C57" s="14"/>
      <c r="D57" s="34"/>
      <c r="E57" s="16">
        <f>SUM(E25:E56)</f>
        <v>16551092.35</v>
      </c>
      <c r="F57" s="16">
        <f>SUM(F25:F56)</f>
        <v>346651540.79999983</v>
      </c>
      <c r="G57" s="30"/>
      <c r="H57" s="1"/>
      <c r="I57" s="38">
        <v>330100448.44999999</v>
      </c>
      <c r="J57" s="2" t="s">
        <v>396</v>
      </c>
      <c r="K57" s="92">
        <f>E58-I57</f>
        <v>0</v>
      </c>
      <c r="L57" s="41"/>
      <c r="M57" s="42"/>
    </row>
    <row r="58" spans="1:14" s="2" customFormat="1" ht="12.75" customHeight="1" x14ac:dyDescent="0.2">
      <c r="A58" s="36"/>
      <c r="B58" s="28" t="s">
        <v>11</v>
      </c>
      <c r="C58" s="19" t="s">
        <v>65</v>
      </c>
      <c r="D58" s="37"/>
      <c r="E58" s="38">
        <f>F57-E57</f>
        <v>330100448.44999981</v>
      </c>
      <c r="F58" s="22"/>
      <c r="G58" s="1"/>
      <c r="H58" s="1"/>
      <c r="J58" s="1"/>
      <c r="K58" s="1"/>
      <c r="L58" s="1"/>
      <c r="M58" s="1"/>
    </row>
    <row r="59" spans="1:14" s="2" customFormat="1" ht="12.75" customHeight="1" x14ac:dyDescent="0.2">
      <c r="A59" s="36"/>
      <c r="B59" s="28" t="s">
        <v>66</v>
      </c>
      <c r="C59" s="43" t="s">
        <v>67</v>
      </c>
      <c r="D59" s="43"/>
      <c r="E59" s="12">
        <v>0</v>
      </c>
      <c r="F59" s="22"/>
      <c r="G59" s="1"/>
      <c r="H59" s="40"/>
      <c r="I59" s="45">
        <v>1304.52</v>
      </c>
      <c r="J59" s="46"/>
      <c r="K59" s="46"/>
      <c r="L59" s="13"/>
      <c r="M59" s="69" t="s">
        <v>396</v>
      </c>
    </row>
    <row r="60" spans="1:14" s="2" customFormat="1" ht="12.75" customHeight="1" x14ac:dyDescent="0.25">
      <c r="A60" s="36"/>
      <c r="B60" s="28"/>
      <c r="C60" s="44" t="s">
        <v>68</v>
      </c>
      <c r="D60" s="43"/>
      <c r="E60" s="7">
        <f>E58+E59</f>
        <v>330100448.44999981</v>
      </c>
      <c r="F60" s="22"/>
      <c r="G60" s="1"/>
      <c r="H60" s="103" t="s">
        <v>69</v>
      </c>
      <c r="I60" s="45">
        <v>99.19</v>
      </c>
      <c r="J60" s="46"/>
      <c r="K60" s="46"/>
      <c r="N60" s="1"/>
    </row>
    <row r="61" spans="1:14" s="2" customFormat="1" x14ac:dyDescent="0.2">
      <c r="A61" s="24"/>
      <c r="B61" s="1"/>
      <c r="C61" s="14"/>
      <c r="D61" s="25"/>
      <c r="E61" s="1"/>
      <c r="H61" s="35" t="s">
        <v>70</v>
      </c>
      <c r="I61" s="45">
        <v>-52.77</v>
      </c>
      <c r="J61" s="46">
        <f>+I62-D64</f>
        <v>0</v>
      </c>
      <c r="M61" s="2" t="s">
        <v>396</v>
      </c>
      <c r="N61" s="1"/>
    </row>
    <row r="62" spans="1:14" x14ac:dyDescent="0.2">
      <c r="C62" s="56"/>
      <c r="D62" s="56"/>
      <c r="E62" s="104"/>
      <c r="I62" s="49">
        <f>SUM(I59:I61)</f>
        <v>1350.94</v>
      </c>
      <c r="J62" s="46"/>
      <c r="K62" s="46"/>
      <c r="L62" s="2"/>
      <c r="M62" s="2"/>
      <c r="N62" s="2"/>
    </row>
    <row r="63" spans="1:14" x14ac:dyDescent="0.2">
      <c r="C63" s="78" t="s">
        <v>575</v>
      </c>
      <c r="D63" s="48" t="s">
        <v>576</v>
      </c>
      <c r="E63" s="104"/>
      <c r="I63" s="2"/>
      <c r="J63" s="2"/>
      <c r="K63" s="2"/>
      <c r="L63" s="2"/>
      <c r="M63" s="2"/>
      <c r="N63" s="2"/>
    </row>
    <row r="64" spans="1:14" s="2" customFormat="1" x14ac:dyDescent="0.2">
      <c r="A64" s="24"/>
      <c r="B64" s="1"/>
      <c r="C64" s="47" t="s">
        <v>570</v>
      </c>
      <c r="D64" s="111">
        <v>1350.94</v>
      </c>
      <c r="E64" s="104"/>
      <c r="G64" s="1"/>
      <c r="H64" s="110" t="s">
        <v>581</v>
      </c>
      <c r="N64" s="2" t="s">
        <v>535</v>
      </c>
    </row>
    <row r="65" spans="1:13" s="2" customFormat="1" x14ac:dyDescent="0.2">
      <c r="A65" s="24"/>
      <c r="B65" s="1"/>
      <c r="C65" s="47" t="s">
        <v>931</v>
      </c>
      <c r="D65" s="111">
        <v>175.29</v>
      </c>
      <c r="E65" s="104"/>
      <c r="G65" s="1"/>
      <c r="H65" s="110" t="s">
        <v>580</v>
      </c>
    </row>
    <row r="66" spans="1:13" s="2" customFormat="1" x14ac:dyDescent="0.2">
      <c r="A66" s="24"/>
      <c r="B66" s="1"/>
      <c r="C66" s="47" t="s">
        <v>572</v>
      </c>
      <c r="D66" s="111">
        <f>+D91/100000</f>
        <v>51.840139100000002</v>
      </c>
      <c r="E66" s="104"/>
      <c r="G66" s="1"/>
      <c r="H66" s="90" t="s">
        <v>587</v>
      </c>
    </row>
    <row r="67" spans="1:13" s="2" customFormat="1" x14ac:dyDescent="0.2">
      <c r="A67" s="24"/>
      <c r="B67" s="1"/>
      <c r="C67" s="108" t="s">
        <v>578</v>
      </c>
      <c r="D67" s="48">
        <f>SUM(D64:D66)</f>
        <v>1578.0701391</v>
      </c>
      <c r="E67" s="104"/>
      <c r="G67" s="1"/>
    </row>
    <row r="68" spans="1:13" s="2" customFormat="1" x14ac:dyDescent="0.2">
      <c r="A68" s="24"/>
      <c r="B68" s="1"/>
      <c r="C68" s="47"/>
      <c r="D68" s="107"/>
      <c r="E68" s="104"/>
      <c r="G68" s="1"/>
    </row>
    <row r="69" spans="1:13" s="2" customFormat="1" x14ac:dyDescent="0.2">
      <c r="A69" s="24"/>
      <c r="B69" s="1"/>
      <c r="C69" s="47" t="s">
        <v>932</v>
      </c>
      <c r="D69" s="111">
        <v>27.61</v>
      </c>
      <c r="E69" s="104"/>
      <c r="G69" s="1"/>
      <c r="H69" s="110" t="s">
        <v>581</v>
      </c>
    </row>
    <row r="70" spans="1:13" s="2" customFormat="1" x14ac:dyDescent="0.2">
      <c r="A70" s="24"/>
      <c r="B70" s="1"/>
      <c r="C70" s="136" t="s">
        <v>1142</v>
      </c>
      <c r="D70" s="111">
        <f>121.87+95.33-136.45-15.63</f>
        <v>65.12</v>
      </c>
      <c r="E70" s="104"/>
      <c r="G70" s="1"/>
      <c r="H70" s="110" t="s">
        <v>581</v>
      </c>
      <c r="J70" s="114" t="s">
        <v>713</v>
      </c>
    </row>
    <row r="71" spans="1:13" s="2" customFormat="1" x14ac:dyDescent="0.2">
      <c r="A71" s="24"/>
      <c r="B71" s="1"/>
      <c r="C71" s="78" t="s">
        <v>579</v>
      </c>
      <c r="D71" s="109">
        <f>D69+D70</f>
        <v>92.73</v>
      </c>
      <c r="E71" s="104"/>
      <c r="G71" s="1"/>
      <c r="I71" s="113"/>
      <c r="J71" s="113" t="s">
        <v>709</v>
      </c>
      <c r="K71" s="113" t="s">
        <v>710</v>
      </c>
      <c r="L71" s="113" t="s">
        <v>711</v>
      </c>
      <c r="M71" s="113" t="s">
        <v>712</v>
      </c>
    </row>
    <row r="72" spans="1:13" s="2" customFormat="1" x14ac:dyDescent="0.2">
      <c r="A72" s="24"/>
      <c r="B72" s="1"/>
      <c r="C72" s="105"/>
      <c r="D72" s="106"/>
      <c r="E72" s="104"/>
      <c r="G72" s="1"/>
      <c r="I72" s="113" t="s">
        <v>706</v>
      </c>
      <c r="J72" s="115"/>
      <c r="K72" s="115">
        <v>968.99</v>
      </c>
      <c r="L72" s="115">
        <v>968.99</v>
      </c>
      <c r="M72" s="113">
        <f>+J72+L72-K72</f>
        <v>0</v>
      </c>
    </row>
    <row r="73" spans="1:13" s="2" customFormat="1" x14ac:dyDescent="0.2">
      <c r="A73" s="24"/>
      <c r="B73" s="1"/>
      <c r="C73" s="78" t="s">
        <v>577</v>
      </c>
      <c r="D73" s="109">
        <f>D64+D71</f>
        <v>1443.67</v>
      </c>
      <c r="E73" s="104"/>
      <c r="G73" s="1"/>
      <c r="I73" s="113" t="s">
        <v>707</v>
      </c>
      <c r="J73" s="115">
        <v>183.1</v>
      </c>
      <c r="K73" s="115">
        <v>3048.33</v>
      </c>
      <c r="L73" s="115">
        <v>3578.74</v>
      </c>
      <c r="M73" s="113">
        <f>+J73+L73-K73</f>
        <v>713.50999999999976</v>
      </c>
    </row>
    <row r="74" spans="1:13" s="2" customFormat="1" x14ac:dyDescent="0.2">
      <c r="A74" s="24"/>
      <c r="B74" s="1"/>
      <c r="C74" s="56"/>
      <c r="D74" s="56"/>
      <c r="E74" s="104"/>
      <c r="G74" s="1"/>
      <c r="I74" s="113" t="s">
        <v>708</v>
      </c>
      <c r="J74" s="115">
        <v>1371.02</v>
      </c>
      <c r="K74" s="115">
        <v>13424.18</v>
      </c>
      <c r="L74" s="115">
        <v>13016.35</v>
      </c>
      <c r="M74" s="113">
        <f>+J74+L74-K74</f>
        <v>963.19000000000051</v>
      </c>
    </row>
    <row r="75" spans="1:13" s="2" customFormat="1" ht="38.25" x14ac:dyDescent="0.2">
      <c r="A75" s="24"/>
      <c r="B75" s="1"/>
      <c r="C75" s="79" t="str">
        <f>"Particulars ( 01-04-2021 to "&amp;TEXT(A5,"dd-mm-yyyy")&amp;" )"</f>
        <v>Particulars ( 01-04-2021 to 09-08-2023 )</v>
      </c>
      <c r="D75" s="80" t="s">
        <v>73</v>
      </c>
      <c r="E75" s="80" t="s">
        <v>74</v>
      </c>
      <c r="F75" s="81" t="s">
        <v>75</v>
      </c>
      <c r="G75" s="80" t="s">
        <v>76</v>
      </c>
      <c r="J75" s="118">
        <f>SUM(J72:J74)</f>
        <v>1554.12</v>
      </c>
      <c r="K75" s="118">
        <f>SUM(K72:K74)</f>
        <v>17441.5</v>
      </c>
      <c r="L75" s="118">
        <f>SUM(L72:L74)</f>
        <v>17564.080000000002</v>
      </c>
      <c r="M75" s="118">
        <f>SUM(M72:M74)</f>
        <v>1676.7000000000003</v>
      </c>
    </row>
    <row r="76" spans="1:13" s="2" customFormat="1" x14ac:dyDescent="0.2">
      <c r="A76" s="24"/>
      <c r="B76" s="1"/>
      <c r="C76" s="50" t="s">
        <v>444</v>
      </c>
      <c r="D76" s="55">
        <f>+L72+L73+J73</f>
        <v>4730.83</v>
      </c>
      <c r="E76" s="55">
        <f>+K72+K73</f>
        <v>4017.3199999999997</v>
      </c>
      <c r="F76" s="55">
        <f>+D76-E76</f>
        <v>713.51000000000022</v>
      </c>
      <c r="G76" s="55">
        <f>1500-F76</f>
        <v>786.48999999999978</v>
      </c>
      <c r="H76" s="2" t="s">
        <v>396</v>
      </c>
    </row>
    <row r="77" spans="1:13" s="2" customFormat="1" x14ac:dyDescent="0.2">
      <c r="A77" s="24"/>
      <c r="B77" s="1"/>
      <c r="C77" s="50" t="s">
        <v>71</v>
      </c>
      <c r="D77" s="55">
        <f>+J74+L74</f>
        <v>14387.37</v>
      </c>
      <c r="E77" s="55">
        <f>+K74</f>
        <v>13424.18</v>
      </c>
      <c r="F77" s="55">
        <f>+D77-E77</f>
        <v>963.19000000000051</v>
      </c>
      <c r="G77" s="55">
        <f>1500+700-F77</f>
        <v>1236.8099999999995</v>
      </c>
      <c r="H77" s="2" t="s">
        <v>396</v>
      </c>
    </row>
    <row r="78" spans="1:13" s="2" customFormat="1" x14ac:dyDescent="0.2">
      <c r="A78" s="24"/>
      <c r="B78" s="1"/>
      <c r="C78" s="14"/>
      <c r="D78" s="56"/>
      <c r="E78" s="13"/>
      <c r="G78" s="1"/>
    </row>
    <row r="79" spans="1:13" s="2" customFormat="1" x14ac:dyDescent="0.2">
      <c r="A79" s="215" t="s">
        <v>80</v>
      </c>
      <c r="B79" s="216"/>
      <c r="C79" s="216"/>
      <c r="D79" s="217"/>
      <c r="E79" s="69"/>
      <c r="F79" s="70"/>
      <c r="G79" s="1"/>
      <c r="H79" s="53"/>
    </row>
    <row r="80" spans="1:13" s="2" customFormat="1" x14ac:dyDescent="0.2">
      <c r="A80" s="71" t="s">
        <v>81</v>
      </c>
      <c r="B80" s="71"/>
      <c r="C80" s="72" t="s">
        <v>82</v>
      </c>
      <c r="D80" s="73" t="s">
        <v>83</v>
      </c>
      <c r="E80" s="69"/>
      <c r="F80" s="70"/>
      <c r="H80" s="53"/>
    </row>
    <row r="81" spans="1:13" s="2" customFormat="1" x14ac:dyDescent="0.2">
      <c r="A81" s="8">
        <v>45139</v>
      </c>
      <c r="B81" s="120" t="s">
        <v>1052</v>
      </c>
      <c r="C81" s="75" t="s">
        <v>85</v>
      </c>
      <c r="D81" s="88">
        <v>552343</v>
      </c>
      <c r="G81" s="1"/>
      <c r="L81" s="1"/>
      <c r="M81" s="1"/>
    </row>
    <row r="82" spans="1:13" s="2" customFormat="1" x14ac:dyDescent="0.2">
      <c r="A82" s="8">
        <v>45140</v>
      </c>
      <c r="B82" s="120" t="s">
        <v>1052</v>
      </c>
      <c r="C82" s="75" t="s">
        <v>270</v>
      </c>
      <c r="D82" s="88">
        <v>244404</v>
      </c>
      <c r="G82" s="1"/>
      <c r="L82" s="1"/>
      <c r="M82" s="1"/>
    </row>
    <row r="83" spans="1:13" s="2" customFormat="1" x14ac:dyDescent="0.2">
      <c r="A83" s="8">
        <v>45140</v>
      </c>
      <c r="B83" s="120" t="s">
        <v>1052</v>
      </c>
      <c r="C83" s="75" t="s">
        <v>270</v>
      </c>
      <c r="D83" s="88">
        <v>550256</v>
      </c>
      <c r="G83" s="1"/>
      <c r="L83" s="1"/>
      <c r="M83" s="1"/>
    </row>
    <row r="84" spans="1:13" s="2" customFormat="1" x14ac:dyDescent="0.2">
      <c r="A84" s="8">
        <v>45140</v>
      </c>
      <c r="B84" s="120" t="s">
        <v>1052</v>
      </c>
      <c r="C84" s="75" t="s">
        <v>270</v>
      </c>
      <c r="D84" s="88">
        <v>191589</v>
      </c>
      <c r="G84" s="1"/>
      <c r="L84" s="1"/>
      <c r="M84" s="1"/>
    </row>
    <row r="85" spans="1:13" s="2" customFormat="1" x14ac:dyDescent="0.2">
      <c r="A85" s="8">
        <v>45140</v>
      </c>
      <c r="B85" s="120" t="s">
        <v>1052</v>
      </c>
      <c r="C85" s="75" t="s">
        <v>270</v>
      </c>
      <c r="D85" s="88">
        <v>74415.91</v>
      </c>
      <c r="G85" s="1"/>
      <c r="L85" s="1"/>
      <c r="M85" s="1"/>
    </row>
    <row r="86" spans="1:13" s="2" customFormat="1" x14ac:dyDescent="0.2">
      <c r="A86" s="8">
        <v>45140</v>
      </c>
      <c r="B86" s="120" t="s">
        <v>1052</v>
      </c>
      <c r="C86" s="75" t="s">
        <v>271</v>
      </c>
      <c r="D86" s="88">
        <v>454781</v>
      </c>
      <c r="G86" s="1"/>
      <c r="L86" s="1"/>
      <c r="M86" s="1"/>
    </row>
    <row r="87" spans="1:13" s="2" customFormat="1" x14ac:dyDescent="0.2">
      <c r="A87" s="8">
        <v>45141</v>
      </c>
      <c r="B87" s="120" t="s">
        <v>1052</v>
      </c>
      <c r="C87" s="75" t="s">
        <v>909</v>
      </c>
      <c r="D87" s="88">
        <v>910969</v>
      </c>
      <c r="G87" s="1"/>
      <c r="L87" s="1"/>
      <c r="M87" s="1"/>
    </row>
    <row r="88" spans="1:13" s="2" customFormat="1" x14ac:dyDescent="0.2">
      <c r="A88" s="8">
        <v>45141</v>
      </c>
      <c r="B88" s="120" t="s">
        <v>1052</v>
      </c>
      <c r="C88" s="75" t="s">
        <v>909</v>
      </c>
      <c r="D88" s="88">
        <v>1424635</v>
      </c>
      <c r="G88" s="1"/>
      <c r="L88" s="1"/>
      <c r="M88" s="1"/>
    </row>
    <row r="89" spans="1:13" s="2" customFormat="1" x14ac:dyDescent="0.2">
      <c r="A89" s="8">
        <v>45143</v>
      </c>
      <c r="B89" s="120" t="s">
        <v>1052</v>
      </c>
      <c r="C89" s="75" t="s">
        <v>85</v>
      </c>
      <c r="D89" s="88">
        <v>644288</v>
      </c>
      <c r="G89" s="1"/>
      <c r="L89" s="1"/>
      <c r="M89" s="1"/>
    </row>
    <row r="90" spans="1:13" s="2" customFormat="1" x14ac:dyDescent="0.2">
      <c r="A90" s="8">
        <v>45146</v>
      </c>
      <c r="B90" s="120" t="s">
        <v>1052</v>
      </c>
      <c r="C90" s="75" t="s">
        <v>85</v>
      </c>
      <c r="D90" s="88">
        <v>136333</v>
      </c>
      <c r="G90" s="1"/>
      <c r="L90" s="1"/>
      <c r="M90" s="1"/>
    </row>
    <row r="91" spans="1:13" s="2" customFormat="1" x14ac:dyDescent="0.2">
      <c r="A91" s="87"/>
      <c r="B91" s="74"/>
      <c r="C91" s="75"/>
      <c r="D91" s="51">
        <f>SUM(D81:D90)</f>
        <v>5184013.91</v>
      </c>
      <c r="F91" s="2" t="s">
        <v>396</v>
      </c>
      <c r="G91" s="1"/>
      <c r="L91" s="1"/>
      <c r="M91" s="1"/>
    </row>
    <row r="92" spans="1:13" s="2" customFormat="1" x14ac:dyDescent="0.2">
      <c r="A92" s="24"/>
      <c r="B92" s="1"/>
      <c r="C92" s="14"/>
      <c r="D92" s="56"/>
      <c r="E92" s="13"/>
      <c r="G92" s="1"/>
      <c r="L92" s="1"/>
      <c r="M92" s="1"/>
    </row>
    <row r="93" spans="1:13" s="2" customFormat="1" x14ac:dyDescent="0.2">
      <c r="A93" s="24"/>
      <c r="B93" s="1"/>
      <c r="C93" s="218" t="s">
        <v>77</v>
      </c>
      <c r="D93" s="219"/>
      <c r="E93" s="219"/>
      <c r="F93" s="220"/>
      <c r="G93" s="1"/>
      <c r="L93" s="1"/>
      <c r="M93" s="1"/>
    </row>
    <row r="94" spans="1:13" s="2" customFormat="1" x14ac:dyDescent="0.2">
      <c r="A94" s="24"/>
      <c r="B94" s="1"/>
      <c r="C94" s="50"/>
      <c r="D94" s="57" t="s">
        <v>78</v>
      </c>
      <c r="E94" s="58" t="s">
        <v>79</v>
      </c>
      <c r="F94" s="57" t="s">
        <v>72</v>
      </c>
      <c r="G94" s="1"/>
      <c r="I94" s="1"/>
      <c r="J94" s="1"/>
      <c r="K94" s="1"/>
      <c r="L94" s="1"/>
      <c r="M94" s="1"/>
    </row>
    <row r="95" spans="1:13" s="2" customFormat="1" x14ac:dyDescent="0.2">
      <c r="A95" s="24"/>
      <c r="B95" s="1"/>
      <c r="C95" s="59" t="str">
        <f>"01-08-2023 to "&amp;TEXT(A5-2,"dd-mm-yyyy")</f>
        <v>01-08-2023 to 07-08-2023</v>
      </c>
      <c r="D95" s="60">
        <v>786.41</v>
      </c>
      <c r="E95" s="60">
        <v>69.459999999999994</v>
      </c>
      <c r="F95" s="61">
        <f>SUM(D95:E95)</f>
        <v>855.87</v>
      </c>
      <c r="G95" s="1"/>
    </row>
    <row r="96" spans="1:13" s="2" customFormat="1" x14ac:dyDescent="0.2">
      <c r="A96" s="24"/>
      <c r="B96" s="1"/>
      <c r="C96" s="62" t="str">
        <f>TEXT(A5-1,"dd-mm-yyyy")</f>
        <v>08-08-2023</v>
      </c>
      <c r="D96" s="60">
        <v>108.2</v>
      </c>
      <c r="E96" s="60">
        <v>11.2</v>
      </c>
      <c r="F96" s="61">
        <f>SUM(D96:E96)</f>
        <v>119.4</v>
      </c>
      <c r="G96" s="54"/>
      <c r="I96" s="1"/>
      <c r="J96" s="1"/>
      <c r="K96" s="1"/>
      <c r="L96" s="1"/>
      <c r="M96" s="1"/>
    </row>
    <row r="97" spans="1:13" s="2" customFormat="1" ht="13.5" thickBot="1" x14ac:dyDescent="0.25">
      <c r="A97" s="24"/>
      <c r="B97" s="1"/>
      <c r="C97" s="63" t="str">
        <f>"01-08-2023 to "&amp;TEXT(A5-1,"dd-mm-yyyy")</f>
        <v>01-08-2023 to 08-08-2023</v>
      </c>
      <c r="D97" s="64">
        <f>SUM(D95:D96)</f>
        <v>894.61</v>
      </c>
      <c r="E97" s="64">
        <f>SUM(E95:E96)</f>
        <v>80.66</v>
      </c>
      <c r="F97" s="64">
        <f>SUM(F95:F96)</f>
        <v>975.27</v>
      </c>
      <c r="G97" s="54"/>
      <c r="I97" s="1"/>
      <c r="J97" s="1"/>
      <c r="K97" s="1"/>
      <c r="L97" s="1"/>
      <c r="M97" s="1"/>
    </row>
    <row r="98" spans="1:13" s="2" customFormat="1" ht="13.5" thickTop="1" x14ac:dyDescent="0.2">
      <c r="A98" s="24"/>
      <c r="B98" s="1"/>
      <c r="C98" s="62"/>
      <c r="D98" s="65"/>
      <c r="E98" s="66"/>
      <c r="F98" s="67"/>
      <c r="G98" s="54"/>
      <c r="I98" s="1"/>
      <c r="J98" s="1"/>
      <c r="K98" s="1"/>
      <c r="L98" s="1"/>
      <c r="M98" s="1"/>
    </row>
    <row r="99" spans="1:13" s="2" customFormat="1" x14ac:dyDescent="0.2">
      <c r="A99" s="24"/>
      <c r="B99" s="1"/>
      <c r="C99" s="62" t="str">
        <f>"01-04-2023 to " &amp;C96</f>
        <v>01-04-2023 to 08-08-2023</v>
      </c>
      <c r="D99" s="68">
        <f>+D97+20827.32</f>
        <v>21721.93</v>
      </c>
      <c r="E99" s="68">
        <f>+E97+1376.76</f>
        <v>1457.42</v>
      </c>
      <c r="F99" s="68">
        <f>+F97+22204.08</f>
        <v>23179.350000000002</v>
      </c>
      <c r="G99" s="54"/>
      <c r="I99" s="1"/>
      <c r="J99" s="1"/>
      <c r="K99" s="1"/>
      <c r="L99" s="1"/>
      <c r="M99" s="1"/>
    </row>
    <row r="100" spans="1:13" x14ac:dyDescent="0.2">
      <c r="C100" s="52"/>
      <c r="D100" s="85"/>
      <c r="E100" s="53"/>
      <c r="F100" s="53"/>
      <c r="G100" s="54"/>
      <c r="H100" s="2" t="s">
        <v>396</v>
      </c>
    </row>
    <row r="101" spans="1:13" s="2" customFormat="1" x14ac:dyDescent="0.2">
      <c r="A101" s="24"/>
      <c r="B101" s="1"/>
      <c r="C101" s="52"/>
      <c r="D101" s="85"/>
      <c r="E101" s="53"/>
      <c r="F101" s="53"/>
      <c r="G101" s="54"/>
      <c r="H101" s="53"/>
    </row>
    <row r="102" spans="1:13" x14ac:dyDescent="0.2">
      <c r="C102" s="52"/>
      <c r="D102" s="85"/>
      <c r="E102" s="53"/>
      <c r="F102" s="53"/>
      <c r="G102" s="54"/>
      <c r="H102" s="53" t="s">
        <v>396</v>
      </c>
    </row>
    <row r="103" spans="1:13" x14ac:dyDescent="0.2">
      <c r="C103" s="52"/>
      <c r="D103" s="85"/>
      <c r="E103" s="53"/>
      <c r="F103" s="53"/>
      <c r="G103" s="54"/>
      <c r="H103" s="53" t="s">
        <v>396</v>
      </c>
      <c r="J103" s="42"/>
    </row>
    <row r="104" spans="1:13" x14ac:dyDescent="0.2">
      <c r="G104" s="54"/>
      <c r="H104" s="53"/>
      <c r="I104" s="101"/>
    </row>
    <row r="105" spans="1:13" x14ac:dyDescent="0.2">
      <c r="G105" s="54"/>
      <c r="H105" s="53"/>
    </row>
    <row r="106" spans="1:13" x14ac:dyDescent="0.2">
      <c r="G106" s="54"/>
      <c r="H106" s="53"/>
    </row>
    <row r="107" spans="1:13" x14ac:dyDescent="0.2">
      <c r="H107" s="53"/>
    </row>
  </sheetData>
  <mergeCells count="6">
    <mergeCell ref="C93:F93"/>
    <mergeCell ref="A1:G1"/>
    <mergeCell ref="A3:F3"/>
    <mergeCell ref="A9:F9"/>
    <mergeCell ref="A23:F23"/>
    <mergeCell ref="A79:D79"/>
  </mergeCells>
  <conditionalFormatting sqref="G76:G77">
    <cfRule type="cellIs" dxfId="371" priority="1" operator="lessThan">
      <formula>0</formula>
    </cfRule>
  </conditionalFormatting>
  <conditionalFormatting sqref="C25">
    <cfRule type="duplicateValues" dxfId="370" priority="2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900-000000000000}">
  <sheetPr codeName="Sheet401">
    <pageSetUpPr fitToPage="1"/>
  </sheetPr>
  <dimension ref="A1:N129"/>
  <sheetViews>
    <sheetView zoomScaleNormal="100" workbookViewId="0">
      <selection activeCell="E32" sqref="E32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1337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45148</v>
      </c>
      <c r="B5" s="9" t="s">
        <v>6</v>
      </c>
      <c r="C5" s="10" t="s">
        <v>7</v>
      </c>
      <c r="D5" s="11"/>
      <c r="E5" s="12">
        <v>454428.70000000019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454428.70000000019</v>
      </c>
      <c r="F6" s="16">
        <f>SUM(F5:F5)</f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+E6-F6</f>
        <v>454428.70000000019</v>
      </c>
      <c r="F7" s="22"/>
      <c r="G7" s="23"/>
      <c r="H7" s="112"/>
      <c r="I7" s="112"/>
      <c r="J7" s="13"/>
    </row>
    <row r="8" spans="1:10" ht="12.75" customHeight="1" x14ac:dyDescent="0.4">
      <c r="H8" s="112"/>
      <c r="I8" s="112"/>
    </row>
    <row r="9" spans="1:10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12"/>
    </row>
    <row r="10" spans="1:10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12"/>
    </row>
    <row r="11" spans="1:10" s="2" customFormat="1" ht="14.25" customHeight="1" x14ac:dyDescent="0.2">
      <c r="A11" s="89">
        <v>45148</v>
      </c>
      <c r="B11" s="9" t="s">
        <v>6</v>
      </c>
      <c r="C11" s="10" t="s">
        <v>7</v>
      </c>
      <c r="D11" s="11"/>
      <c r="F11" s="12">
        <v>27983489.350000001</v>
      </c>
      <c r="G11" s="1"/>
      <c r="H11" s="130" t="s">
        <v>396</v>
      </c>
      <c r="I11" s="130"/>
    </row>
    <row r="12" spans="1:10" s="70" customFormat="1" ht="12.75" customHeight="1" x14ac:dyDescent="0.2">
      <c r="A12" s="89">
        <v>45148</v>
      </c>
      <c r="B12" s="128" t="s">
        <v>11</v>
      </c>
      <c r="C12" s="76" t="s">
        <v>763</v>
      </c>
      <c r="D12" s="11" t="s">
        <v>13</v>
      </c>
      <c r="E12" s="31">
        <v>1216635</v>
      </c>
      <c r="F12" s="31"/>
      <c r="G12" s="30"/>
      <c r="I12" s="69"/>
      <c r="J12" s="69"/>
    </row>
    <row r="13" spans="1:10" s="70" customFormat="1" ht="12.75" customHeight="1" x14ac:dyDescent="0.2">
      <c r="A13" s="89">
        <v>45148</v>
      </c>
      <c r="B13" s="128" t="s">
        <v>11</v>
      </c>
      <c r="C13" s="76" t="s">
        <v>1137</v>
      </c>
      <c r="D13" s="11" t="s">
        <v>13</v>
      </c>
      <c r="E13" s="31"/>
      <c r="F13" s="31">
        <v>5546</v>
      </c>
      <c r="G13" s="30"/>
      <c r="I13" s="69"/>
      <c r="J13" s="69"/>
    </row>
    <row r="14" spans="1:10" s="2" customFormat="1" ht="12.75" customHeight="1" x14ac:dyDescent="0.4">
      <c r="D14" s="11" t="s">
        <v>8</v>
      </c>
      <c r="E14" s="16">
        <f>SUM(E12:E13)</f>
        <v>1216635</v>
      </c>
      <c r="F14" s="16">
        <f>SUM(F11:F13)</f>
        <v>27989035.350000001</v>
      </c>
      <c r="G14" s="1"/>
      <c r="H14" s="112"/>
      <c r="I14" s="112"/>
    </row>
    <row r="15" spans="1:10" s="2" customFormat="1" ht="12.75" customHeight="1" x14ac:dyDescent="0.4">
      <c r="A15" s="17"/>
      <c r="B15" s="18"/>
      <c r="C15" s="96" t="s">
        <v>9</v>
      </c>
      <c r="D15" s="20"/>
      <c r="E15" s="21">
        <f>+F14-E14</f>
        <v>26772400.350000001</v>
      </c>
      <c r="G15" s="23"/>
      <c r="H15" s="112"/>
      <c r="I15" s="112"/>
      <c r="J15" s="13"/>
    </row>
    <row r="16" spans="1:10" s="2" customFormat="1" ht="12.75" customHeight="1" x14ac:dyDescent="0.4">
      <c r="A16" s="24"/>
      <c r="B16" s="1"/>
      <c r="C16" s="14"/>
      <c r="D16" s="25"/>
      <c r="G16" s="23"/>
      <c r="H16" s="112"/>
      <c r="I16" s="112"/>
      <c r="J16" s="13"/>
    </row>
    <row r="17" spans="1:10" s="2" customFormat="1" ht="21.75" customHeight="1" x14ac:dyDescent="0.4">
      <c r="A17" s="214" t="s">
        <v>10</v>
      </c>
      <c r="B17" s="214"/>
      <c r="C17" s="214"/>
      <c r="D17" s="214"/>
      <c r="E17" s="214"/>
      <c r="F17" s="214"/>
      <c r="G17" s="13"/>
      <c r="H17" s="112"/>
      <c r="I17" s="112"/>
      <c r="J17" s="13"/>
    </row>
    <row r="18" spans="1:10" s="2" customFormat="1" ht="12.75" customHeight="1" x14ac:dyDescent="0.4">
      <c r="A18" s="26" t="s">
        <v>1</v>
      </c>
      <c r="B18" s="27" t="s">
        <v>2</v>
      </c>
      <c r="C18" s="5"/>
      <c r="D18" s="6" t="s">
        <v>3</v>
      </c>
      <c r="E18" s="7" t="s">
        <v>4</v>
      </c>
      <c r="F18" s="7" t="s">
        <v>5</v>
      </c>
      <c r="G18" s="23"/>
      <c r="H18" s="112"/>
      <c r="I18" s="112"/>
      <c r="J18" s="13"/>
    </row>
    <row r="19" spans="1:10" s="2" customFormat="1" ht="12.75" customHeight="1" x14ac:dyDescent="0.2">
      <c r="A19" s="89">
        <v>45148</v>
      </c>
      <c r="B19" s="128" t="s">
        <v>11</v>
      </c>
      <c r="C19" s="29" t="s">
        <v>7</v>
      </c>
      <c r="D19" s="25"/>
      <c r="E19" s="31"/>
      <c r="F19" s="2">
        <v>330100448.44999981</v>
      </c>
      <c r="G19" s="30"/>
      <c r="I19" s="13"/>
      <c r="J19" s="13"/>
    </row>
    <row r="20" spans="1:10" s="70" customFormat="1" ht="12.75" customHeight="1" x14ac:dyDescent="0.2">
      <c r="A20" s="89">
        <v>45148</v>
      </c>
      <c r="B20" s="128" t="s">
        <v>6</v>
      </c>
      <c r="C20" s="10" t="s">
        <v>24</v>
      </c>
      <c r="D20" s="11" t="s">
        <v>13</v>
      </c>
      <c r="E20" s="86">
        <v>9134</v>
      </c>
      <c r="G20" s="30"/>
      <c r="I20" s="69"/>
      <c r="J20" s="69"/>
    </row>
    <row r="21" spans="1:10" s="70" customFormat="1" ht="12.75" customHeight="1" x14ac:dyDescent="0.2">
      <c r="A21" s="89">
        <v>45148</v>
      </c>
      <c r="B21" s="128" t="s">
        <v>6</v>
      </c>
      <c r="C21" s="10" t="s">
        <v>947</v>
      </c>
      <c r="D21" s="11" t="s">
        <v>13</v>
      </c>
      <c r="E21" s="86">
        <v>1410836</v>
      </c>
      <c r="G21" s="30"/>
      <c r="I21" s="69"/>
      <c r="J21" s="69"/>
    </row>
    <row r="22" spans="1:10" s="70" customFormat="1" ht="12.75" customHeight="1" x14ac:dyDescent="0.2">
      <c r="A22" s="89">
        <v>45148</v>
      </c>
      <c r="B22" s="128" t="s">
        <v>6</v>
      </c>
      <c r="C22" s="10" t="s">
        <v>19</v>
      </c>
      <c r="D22" s="11" t="s">
        <v>13</v>
      </c>
      <c r="E22" s="86">
        <v>248225</v>
      </c>
      <c r="G22" s="30"/>
      <c r="I22" s="69"/>
      <c r="J22" s="69"/>
    </row>
    <row r="23" spans="1:10" s="70" customFormat="1" ht="12.75" customHeight="1" x14ac:dyDescent="0.2">
      <c r="A23" s="89">
        <v>45148</v>
      </c>
      <c r="B23" s="128" t="s">
        <v>6</v>
      </c>
      <c r="C23" s="10" t="s">
        <v>27</v>
      </c>
      <c r="D23" s="11" t="s">
        <v>13</v>
      </c>
      <c r="E23" s="86">
        <v>8389809.4700000007</v>
      </c>
      <c r="G23" s="30"/>
      <c r="I23" s="69"/>
      <c r="J23" s="69"/>
    </row>
    <row r="24" spans="1:10" s="70" customFormat="1" ht="12.75" customHeight="1" x14ac:dyDescent="0.2">
      <c r="A24" s="89">
        <v>45148</v>
      </c>
      <c r="B24" s="128" t="s">
        <v>6</v>
      </c>
      <c r="C24" s="10" t="s">
        <v>1338</v>
      </c>
      <c r="D24" s="11" t="s">
        <v>13</v>
      </c>
      <c r="E24" s="86">
        <v>133318</v>
      </c>
      <c r="G24" s="30"/>
      <c r="I24" s="69"/>
      <c r="J24" s="69"/>
    </row>
    <row r="25" spans="1:10" s="70" customFormat="1" ht="12.75" customHeight="1" x14ac:dyDescent="0.2">
      <c r="A25" s="89">
        <v>45148</v>
      </c>
      <c r="B25" s="128" t="s">
        <v>6</v>
      </c>
      <c r="C25" s="10" t="s">
        <v>15</v>
      </c>
      <c r="D25" s="11" t="s">
        <v>13</v>
      </c>
      <c r="E25" s="86">
        <v>89753.74</v>
      </c>
      <c r="G25" s="30"/>
      <c r="I25" s="69"/>
      <c r="J25" s="69"/>
    </row>
    <row r="26" spans="1:10" s="70" customFormat="1" ht="12.75" customHeight="1" x14ac:dyDescent="0.2">
      <c r="A26" s="89">
        <v>45148</v>
      </c>
      <c r="B26" s="128" t="s">
        <v>6</v>
      </c>
      <c r="C26" s="10" t="s">
        <v>121</v>
      </c>
      <c r="D26" s="11" t="s">
        <v>13</v>
      </c>
      <c r="E26" s="86">
        <v>300000</v>
      </c>
      <c r="G26" s="30"/>
      <c r="I26" s="69"/>
      <c r="J26" s="69"/>
    </row>
    <row r="27" spans="1:10" s="70" customFormat="1" ht="12.75" customHeight="1" x14ac:dyDescent="0.2">
      <c r="A27" s="89">
        <v>45148</v>
      </c>
      <c r="B27" s="128" t="s">
        <v>6</v>
      </c>
      <c r="C27" s="10" t="s">
        <v>1155</v>
      </c>
      <c r="D27" s="11" t="s">
        <v>13</v>
      </c>
      <c r="E27" s="86">
        <v>25000000</v>
      </c>
      <c r="G27" s="30"/>
      <c r="I27" s="69"/>
      <c r="J27" s="69"/>
    </row>
    <row r="28" spans="1:10" s="70" customFormat="1" ht="12.75" customHeight="1" x14ac:dyDescent="0.2">
      <c r="A28" s="89">
        <v>45148</v>
      </c>
      <c r="B28" s="128" t="s">
        <v>6</v>
      </c>
      <c r="C28" s="10" t="s">
        <v>1332</v>
      </c>
      <c r="D28" s="11" t="s">
        <v>13</v>
      </c>
      <c r="E28" s="86">
        <v>75000</v>
      </c>
      <c r="G28" s="30"/>
      <c r="I28" s="69"/>
      <c r="J28" s="69"/>
    </row>
    <row r="29" spans="1:10" s="70" customFormat="1" ht="12.75" customHeight="1" x14ac:dyDescent="0.2">
      <c r="A29" s="89">
        <v>45148</v>
      </c>
      <c r="B29" s="128" t="s">
        <v>6</v>
      </c>
      <c r="C29" s="10" t="s">
        <v>149</v>
      </c>
      <c r="D29" s="11" t="s">
        <v>13</v>
      </c>
      <c r="E29" s="86">
        <v>44815</v>
      </c>
      <c r="G29" s="30"/>
      <c r="I29" s="69"/>
      <c r="J29" s="69"/>
    </row>
    <row r="30" spans="1:10" s="70" customFormat="1" ht="12.75" customHeight="1" x14ac:dyDescent="0.2">
      <c r="A30" s="89">
        <v>45148</v>
      </c>
      <c r="B30" s="128" t="s">
        <v>6</v>
      </c>
      <c r="C30" s="10" t="s">
        <v>1235</v>
      </c>
      <c r="D30" s="11" t="s">
        <v>13</v>
      </c>
      <c r="E30" s="86">
        <v>1334268</v>
      </c>
      <c r="G30" s="30"/>
      <c r="I30" s="69"/>
      <c r="J30" s="69"/>
    </row>
    <row r="31" spans="1:10" s="70" customFormat="1" ht="12.75" customHeight="1" x14ac:dyDescent="0.2">
      <c r="A31" s="89">
        <v>45148</v>
      </c>
      <c r="B31" s="128" t="s">
        <v>6</v>
      </c>
      <c r="C31" s="10" t="s">
        <v>378</v>
      </c>
      <c r="D31" s="11" t="s">
        <v>13</v>
      </c>
      <c r="E31" s="86">
        <v>500000</v>
      </c>
      <c r="G31" s="30"/>
      <c r="I31" s="69"/>
      <c r="J31" s="69"/>
    </row>
    <row r="32" spans="1:10" s="70" customFormat="1" ht="12.75" customHeight="1" x14ac:dyDescent="0.2">
      <c r="A32" s="89">
        <v>45148</v>
      </c>
      <c r="B32" s="128" t="s">
        <v>6</v>
      </c>
      <c r="C32" s="10" t="s">
        <v>62</v>
      </c>
      <c r="D32" s="11" t="s">
        <v>13</v>
      </c>
      <c r="E32" s="86">
        <v>9000</v>
      </c>
      <c r="G32" s="30"/>
      <c r="I32" s="69"/>
      <c r="J32" s="69"/>
    </row>
    <row r="33" spans="1:10" s="70" customFormat="1" ht="12.75" customHeight="1" x14ac:dyDescent="0.2">
      <c r="A33" s="89">
        <v>45148</v>
      </c>
      <c r="B33" s="128" t="s">
        <v>11</v>
      </c>
      <c r="C33" s="10" t="s">
        <v>64</v>
      </c>
      <c r="D33" s="11" t="s">
        <v>29</v>
      </c>
      <c r="E33" s="86"/>
      <c r="F33" s="70">
        <v>15875.460000000001</v>
      </c>
      <c r="G33" s="30"/>
      <c r="I33" s="69"/>
      <c r="J33" s="69"/>
    </row>
    <row r="34" spans="1:10" s="70" customFormat="1" ht="12.75" customHeight="1" x14ac:dyDescent="0.2">
      <c r="A34" s="89">
        <v>45148</v>
      </c>
      <c r="B34" s="128" t="s">
        <v>11</v>
      </c>
      <c r="C34" s="10" t="s">
        <v>216</v>
      </c>
      <c r="D34" s="11" t="s">
        <v>29</v>
      </c>
      <c r="E34" s="86"/>
      <c r="F34" s="70">
        <v>201889</v>
      </c>
      <c r="G34" s="30"/>
      <c r="I34" s="69"/>
      <c r="J34" s="69"/>
    </row>
    <row r="35" spans="1:10" s="70" customFormat="1" ht="12.75" customHeight="1" x14ac:dyDescent="0.2">
      <c r="A35" s="89">
        <v>45148</v>
      </c>
      <c r="B35" s="128" t="s">
        <v>11</v>
      </c>
      <c r="C35" s="10" t="s">
        <v>218</v>
      </c>
      <c r="D35" s="11" t="s">
        <v>29</v>
      </c>
      <c r="E35" s="86"/>
      <c r="F35" s="70">
        <v>53355</v>
      </c>
      <c r="G35" s="30"/>
      <c r="I35" s="69"/>
      <c r="J35" s="69"/>
    </row>
    <row r="36" spans="1:10" s="70" customFormat="1" ht="12.75" customHeight="1" x14ac:dyDescent="0.2">
      <c r="A36" s="89">
        <v>45148</v>
      </c>
      <c r="B36" s="128" t="s">
        <v>11</v>
      </c>
      <c r="C36" s="10" t="s">
        <v>25</v>
      </c>
      <c r="D36" s="11" t="s">
        <v>29</v>
      </c>
      <c r="E36" s="86"/>
      <c r="F36" s="70">
        <v>1000000</v>
      </c>
      <c r="G36" s="30"/>
      <c r="I36" s="69"/>
      <c r="J36" s="69"/>
    </row>
    <row r="37" spans="1:10" s="70" customFormat="1" ht="12.75" customHeight="1" x14ac:dyDescent="0.2">
      <c r="A37" s="89">
        <v>45148</v>
      </c>
      <c r="B37" s="128" t="s">
        <v>11</v>
      </c>
      <c r="C37" s="10" t="s">
        <v>134</v>
      </c>
      <c r="D37" s="11" t="s">
        <v>29</v>
      </c>
      <c r="E37" s="86"/>
      <c r="F37" s="70">
        <v>2200000</v>
      </c>
      <c r="G37" s="30"/>
      <c r="I37" s="69"/>
      <c r="J37" s="69"/>
    </row>
    <row r="38" spans="1:10" s="70" customFormat="1" ht="12.75" customHeight="1" x14ac:dyDescent="0.2">
      <c r="A38" s="89">
        <v>45148</v>
      </c>
      <c r="B38" s="128" t="s">
        <v>11</v>
      </c>
      <c r="C38" s="10" t="s">
        <v>330</v>
      </c>
      <c r="D38" s="11" t="s">
        <v>29</v>
      </c>
      <c r="E38" s="86"/>
      <c r="F38" s="70">
        <v>1000000</v>
      </c>
      <c r="G38" s="30"/>
      <c r="I38" s="69"/>
      <c r="J38" s="69"/>
    </row>
    <row r="39" spans="1:10" s="70" customFormat="1" ht="12.75" customHeight="1" x14ac:dyDescent="0.2">
      <c r="A39" s="89">
        <v>45148</v>
      </c>
      <c r="B39" s="128" t="s">
        <v>11</v>
      </c>
      <c r="C39" s="10" t="s">
        <v>923</v>
      </c>
      <c r="D39" s="11" t="s">
        <v>29</v>
      </c>
      <c r="E39" s="86"/>
      <c r="F39" s="70">
        <v>300000</v>
      </c>
      <c r="G39" s="30"/>
      <c r="I39" s="69"/>
      <c r="J39" s="69"/>
    </row>
    <row r="40" spans="1:10" s="70" customFormat="1" ht="12.75" customHeight="1" x14ac:dyDescent="0.2">
      <c r="A40" s="89">
        <v>45148</v>
      </c>
      <c r="B40" s="128" t="s">
        <v>11</v>
      </c>
      <c r="C40" s="10" t="s">
        <v>107</v>
      </c>
      <c r="D40" s="11" t="s">
        <v>29</v>
      </c>
      <c r="E40" s="86"/>
      <c r="F40" s="70">
        <v>332837.02</v>
      </c>
      <c r="G40" s="30"/>
      <c r="I40" s="69"/>
      <c r="J40" s="69"/>
    </row>
    <row r="41" spans="1:10" s="70" customFormat="1" ht="12.75" customHeight="1" x14ac:dyDescent="0.2">
      <c r="A41" s="89">
        <v>45148</v>
      </c>
      <c r="B41" s="128" t="s">
        <v>11</v>
      </c>
      <c r="C41" s="10" t="s">
        <v>723</v>
      </c>
      <c r="D41" s="11" t="s">
        <v>29</v>
      </c>
      <c r="E41" s="86"/>
      <c r="F41" s="70">
        <v>2945660.69</v>
      </c>
      <c r="G41" s="30"/>
      <c r="I41" s="69"/>
      <c r="J41" s="69"/>
    </row>
    <row r="42" spans="1:10" s="70" customFormat="1" ht="12.75" customHeight="1" x14ac:dyDescent="0.2">
      <c r="A42" s="89">
        <v>45148</v>
      </c>
      <c r="B42" s="128" t="s">
        <v>11</v>
      </c>
      <c r="C42" s="10" t="s">
        <v>1339</v>
      </c>
      <c r="D42" s="11" t="s">
        <v>29</v>
      </c>
      <c r="E42" s="86"/>
      <c r="F42" s="70">
        <v>100000</v>
      </c>
      <c r="G42" s="30"/>
      <c r="I42" s="69"/>
      <c r="J42" s="69"/>
    </row>
    <row r="43" spans="1:10" s="70" customFormat="1" ht="12.75" customHeight="1" x14ac:dyDescent="0.2">
      <c r="A43" s="89">
        <v>45148</v>
      </c>
      <c r="B43" s="128" t="s">
        <v>11</v>
      </c>
      <c r="C43" s="10" t="s">
        <v>135</v>
      </c>
      <c r="D43" s="11" t="s">
        <v>29</v>
      </c>
      <c r="E43" s="86"/>
      <c r="F43" s="70">
        <v>1351474</v>
      </c>
      <c r="G43" s="30"/>
      <c r="I43" s="69"/>
      <c r="J43" s="69"/>
    </row>
    <row r="44" spans="1:10" s="70" customFormat="1" ht="12.75" customHeight="1" x14ac:dyDescent="0.2">
      <c r="A44" s="89">
        <v>45148</v>
      </c>
      <c r="B44" s="128" t="s">
        <v>11</v>
      </c>
      <c r="C44" s="10" t="s">
        <v>254</v>
      </c>
      <c r="D44" s="11" t="s">
        <v>29</v>
      </c>
      <c r="E44" s="86"/>
      <c r="F44" s="70">
        <v>91929</v>
      </c>
      <c r="G44" s="30"/>
      <c r="I44" s="69"/>
      <c r="J44" s="69"/>
    </row>
    <row r="45" spans="1:10" s="70" customFormat="1" ht="12.75" customHeight="1" x14ac:dyDescent="0.2">
      <c r="A45" s="89">
        <v>45148</v>
      </c>
      <c r="B45" s="128" t="s">
        <v>11</v>
      </c>
      <c r="C45" s="10" t="s">
        <v>30</v>
      </c>
      <c r="D45" s="11" t="s">
        <v>29</v>
      </c>
      <c r="E45" s="86"/>
      <c r="F45" s="70">
        <v>1988037</v>
      </c>
      <c r="G45" s="30"/>
      <c r="I45" s="69"/>
      <c r="J45" s="69"/>
    </row>
    <row r="46" spans="1:10" s="70" customFormat="1" ht="12.75" customHeight="1" x14ac:dyDescent="0.2">
      <c r="A46" s="89">
        <v>45148</v>
      </c>
      <c r="B46" s="128" t="s">
        <v>11</v>
      </c>
      <c r="C46" s="10" t="s">
        <v>340</v>
      </c>
      <c r="D46" s="11" t="s">
        <v>29</v>
      </c>
      <c r="E46" s="86"/>
      <c r="F46" s="70">
        <v>427623</v>
      </c>
      <c r="G46" s="30"/>
      <c r="I46" s="69"/>
      <c r="J46" s="69"/>
    </row>
    <row r="47" spans="1:10" s="70" customFormat="1" ht="12.75" customHeight="1" x14ac:dyDescent="0.2">
      <c r="A47" s="89">
        <v>45148</v>
      </c>
      <c r="B47" s="128" t="s">
        <v>11</v>
      </c>
      <c r="C47" s="10" t="s">
        <v>596</v>
      </c>
      <c r="D47" s="11" t="s">
        <v>29</v>
      </c>
      <c r="E47" s="86"/>
      <c r="F47" s="70">
        <v>119475</v>
      </c>
      <c r="G47" s="30"/>
      <c r="I47" s="69"/>
      <c r="J47" s="69"/>
    </row>
    <row r="48" spans="1:10" s="70" customFormat="1" ht="12.75" customHeight="1" x14ac:dyDescent="0.2">
      <c r="A48" s="89">
        <v>45148</v>
      </c>
      <c r="B48" s="128" t="s">
        <v>11</v>
      </c>
      <c r="C48" s="10" t="s">
        <v>1141</v>
      </c>
      <c r="D48" s="11" t="s">
        <v>29</v>
      </c>
      <c r="E48" s="86"/>
      <c r="F48" s="70">
        <v>264012</v>
      </c>
      <c r="G48" s="30"/>
      <c r="I48" s="69"/>
      <c r="J48" s="69"/>
    </row>
    <row r="49" spans="1:10" s="70" customFormat="1" ht="12.75" customHeight="1" x14ac:dyDescent="0.2">
      <c r="A49" s="89">
        <v>45148</v>
      </c>
      <c r="B49" s="128" t="s">
        <v>11</v>
      </c>
      <c r="C49" s="10" t="s">
        <v>739</v>
      </c>
      <c r="D49" s="11" t="s">
        <v>29</v>
      </c>
      <c r="E49" s="86"/>
      <c r="F49" s="70">
        <v>491692</v>
      </c>
      <c r="G49" s="30"/>
      <c r="I49" s="69"/>
      <c r="J49" s="69"/>
    </row>
    <row r="50" spans="1:10" s="70" customFormat="1" ht="12.75" customHeight="1" x14ac:dyDescent="0.2">
      <c r="A50" s="89">
        <v>45148</v>
      </c>
      <c r="B50" s="128" t="s">
        <v>11</v>
      </c>
      <c r="C50" s="10" t="s">
        <v>411</v>
      </c>
      <c r="D50" s="11" t="s">
        <v>29</v>
      </c>
      <c r="E50" s="86"/>
      <c r="F50" s="70">
        <v>53100</v>
      </c>
      <c r="G50" s="30"/>
      <c r="I50" s="69"/>
      <c r="J50" s="69"/>
    </row>
    <row r="51" spans="1:10" s="70" customFormat="1" ht="12.75" customHeight="1" x14ac:dyDescent="0.2">
      <c r="A51" s="89">
        <v>45148</v>
      </c>
      <c r="B51" s="128" t="s">
        <v>11</v>
      </c>
      <c r="C51" s="10" t="s">
        <v>333</v>
      </c>
      <c r="D51" s="11" t="s">
        <v>29</v>
      </c>
      <c r="E51" s="86"/>
      <c r="F51" s="70">
        <v>1868759</v>
      </c>
      <c r="G51" s="30"/>
      <c r="I51" s="69"/>
      <c r="J51" s="69"/>
    </row>
    <row r="52" spans="1:10" s="70" customFormat="1" ht="12.75" customHeight="1" x14ac:dyDescent="0.2">
      <c r="A52" s="89">
        <v>45148</v>
      </c>
      <c r="B52" s="128" t="s">
        <v>11</v>
      </c>
      <c r="C52" s="10" t="s">
        <v>502</v>
      </c>
      <c r="D52" s="11" t="s">
        <v>29</v>
      </c>
      <c r="E52" s="86"/>
      <c r="F52" s="70">
        <v>3327065</v>
      </c>
      <c r="G52" s="30"/>
      <c r="I52" s="69"/>
      <c r="J52" s="69"/>
    </row>
    <row r="53" spans="1:10" s="70" customFormat="1" ht="12.75" customHeight="1" x14ac:dyDescent="0.2">
      <c r="A53" s="89">
        <v>45148</v>
      </c>
      <c r="B53" s="128" t="s">
        <v>11</v>
      </c>
      <c r="C53" s="10" t="s">
        <v>61</v>
      </c>
      <c r="D53" s="11" t="s">
        <v>29</v>
      </c>
      <c r="E53" s="86"/>
      <c r="F53" s="70">
        <v>186346</v>
      </c>
      <c r="G53" s="30"/>
      <c r="I53" s="69"/>
      <c r="J53" s="69"/>
    </row>
    <row r="54" spans="1:10" s="70" customFormat="1" ht="12.75" customHeight="1" x14ac:dyDescent="0.2">
      <c r="A54" s="89">
        <v>45148</v>
      </c>
      <c r="B54" s="128" t="s">
        <v>11</v>
      </c>
      <c r="C54" s="10" t="s">
        <v>45</v>
      </c>
      <c r="D54" s="11" t="s">
        <v>29</v>
      </c>
      <c r="E54" s="86"/>
      <c r="F54" s="70">
        <v>721711</v>
      </c>
      <c r="G54" s="30"/>
      <c r="I54" s="69"/>
      <c r="J54" s="69"/>
    </row>
    <row r="55" spans="1:10" s="70" customFormat="1" ht="12.75" customHeight="1" x14ac:dyDescent="0.2">
      <c r="A55" s="89">
        <v>45148</v>
      </c>
      <c r="B55" s="128" t="s">
        <v>11</v>
      </c>
      <c r="C55" s="10" t="s">
        <v>312</v>
      </c>
      <c r="D55" s="11" t="s">
        <v>29</v>
      </c>
      <c r="E55" s="86"/>
      <c r="F55" s="70">
        <v>99810</v>
      </c>
      <c r="G55" s="30"/>
      <c r="I55" s="69"/>
      <c r="J55" s="69"/>
    </row>
    <row r="56" spans="1:10" s="70" customFormat="1" ht="12.75" customHeight="1" x14ac:dyDescent="0.2">
      <c r="A56" s="89">
        <v>45148</v>
      </c>
      <c r="B56" s="128" t="s">
        <v>11</v>
      </c>
      <c r="C56" s="10" t="s">
        <v>226</v>
      </c>
      <c r="D56" s="11" t="s">
        <v>29</v>
      </c>
      <c r="E56" s="86"/>
      <c r="F56" s="70">
        <v>82793</v>
      </c>
      <c r="G56" s="30"/>
      <c r="I56" s="69"/>
      <c r="J56" s="69"/>
    </row>
    <row r="57" spans="1:10" s="70" customFormat="1" ht="12.75" customHeight="1" x14ac:dyDescent="0.2">
      <c r="A57" s="89">
        <v>45148</v>
      </c>
      <c r="B57" s="128" t="s">
        <v>11</v>
      </c>
      <c r="C57" s="10" t="s">
        <v>46</v>
      </c>
      <c r="D57" s="11" t="s">
        <v>29</v>
      </c>
      <c r="E57" s="86"/>
      <c r="F57" s="70">
        <v>200938</v>
      </c>
      <c r="G57" s="30"/>
      <c r="I57" s="69"/>
      <c r="J57" s="69"/>
    </row>
    <row r="58" spans="1:10" s="70" customFormat="1" ht="12.75" customHeight="1" x14ac:dyDescent="0.2">
      <c r="A58" s="89">
        <v>45148</v>
      </c>
      <c r="B58" s="128" t="s">
        <v>11</v>
      </c>
      <c r="C58" s="10" t="s">
        <v>462</v>
      </c>
      <c r="D58" s="11" t="s">
        <v>29</v>
      </c>
      <c r="E58" s="86"/>
      <c r="F58" s="70">
        <v>115939.1</v>
      </c>
      <c r="G58" s="30"/>
      <c r="I58" s="69"/>
      <c r="J58" s="69"/>
    </row>
    <row r="59" spans="1:10" s="70" customFormat="1" ht="12.75" customHeight="1" x14ac:dyDescent="0.2">
      <c r="A59" s="89">
        <v>45148</v>
      </c>
      <c r="B59" s="128" t="s">
        <v>11</v>
      </c>
      <c r="C59" s="10" t="s">
        <v>115</v>
      </c>
      <c r="D59" s="11" t="s">
        <v>29</v>
      </c>
      <c r="E59" s="86"/>
      <c r="F59" s="70">
        <v>108176.5</v>
      </c>
      <c r="G59" s="30"/>
      <c r="I59" s="69"/>
      <c r="J59" s="69"/>
    </row>
    <row r="60" spans="1:10" s="70" customFormat="1" ht="12.75" customHeight="1" x14ac:dyDescent="0.2">
      <c r="A60" s="89">
        <v>45148</v>
      </c>
      <c r="B60" s="128" t="s">
        <v>11</v>
      </c>
      <c r="C60" s="10" t="s">
        <v>481</v>
      </c>
      <c r="D60" s="11" t="s">
        <v>29</v>
      </c>
      <c r="E60" s="86"/>
      <c r="F60" s="70">
        <v>168716</v>
      </c>
      <c r="G60" s="30"/>
      <c r="I60" s="69"/>
      <c r="J60" s="69"/>
    </row>
    <row r="61" spans="1:10" s="70" customFormat="1" ht="12.75" customHeight="1" x14ac:dyDescent="0.2">
      <c r="A61" s="89">
        <v>45148</v>
      </c>
      <c r="B61" s="128" t="s">
        <v>11</v>
      </c>
      <c r="C61" s="10" t="s">
        <v>117</v>
      </c>
      <c r="D61" s="11" t="s">
        <v>29</v>
      </c>
      <c r="E61" s="86"/>
      <c r="F61" s="70">
        <v>162621</v>
      </c>
      <c r="G61" s="30"/>
      <c r="I61" s="69"/>
      <c r="J61" s="69"/>
    </row>
    <row r="62" spans="1:10" s="70" customFormat="1" ht="12.75" customHeight="1" x14ac:dyDescent="0.2">
      <c r="A62" s="89">
        <v>45148</v>
      </c>
      <c r="B62" s="128" t="s">
        <v>11</v>
      </c>
      <c r="C62" s="10" t="s">
        <v>392</v>
      </c>
      <c r="D62" s="11" t="s">
        <v>29</v>
      </c>
      <c r="E62" s="86"/>
      <c r="F62" s="70">
        <v>118606</v>
      </c>
      <c r="G62" s="30"/>
      <c r="I62" s="69"/>
      <c r="J62" s="69"/>
    </row>
    <row r="63" spans="1:10" s="70" customFormat="1" ht="12.75" customHeight="1" x14ac:dyDescent="0.2">
      <c r="A63" s="89">
        <v>45148</v>
      </c>
      <c r="B63" s="128" t="s">
        <v>11</v>
      </c>
      <c r="C63" s="10" t="s">
        <v>1340</v>
      </c>
      <c r="D63" s="11" t="s">
        <v>29</v>
      </c>
      <c r="E63" s="86"/>
      <c r="F63" s="70">
        <v>58294</v>
      </c>
      <c r="G63" s="30"/>
      <c r="I63" s="69"/>
      <c r="J63" s="69"/>
    </row>
    <row r="64" spans="1:10" s="70" customFormat="1" ht="12.75" customHeight="1" x14ac:dyDescent="0.2">
      <c r="A64" s="89">
        <v>45148</v>
      </c>
      <c r="B64" s="128" t="s">
        <v>11</v>
      </c>
      <c r="C64" s="10" t="s">
        <v>60</v>
      </c>
      <c r="D64" s="11" t="s">
        <v>29</v>
      </c>
      <c r="E64" s="86"/>
      <c r="F64" s="70">
        <v>12870</v>
      </c>
      <c r="G64" s="30"/>
      <c r="I64" s="69"/>
      <c r="J64" s="69"/>
    </row>
    <row r="65" spans="1:13" s="70" customFormat="1" ht="12.75" customHeight="1" x14ac:dyDescent="0.2">
      <c r="A65" s="89">
        <v>45148</v>
      </c>
      <c r="B65" s="128" t="s">
        <v>11</v>
      </c>
      <c r="C65" s="10" t="s">
        <v>629</v>
      </c>
      <c r="D65" s="11" t="s">
        <v>29</v>
      </c>
      <c r="E65" s="86"/>
      <c r="F65" s="70">
        <v>181720</v>
      </c>
      <c r="G65" s="30"/>
      <c r="I65" s="69"/>
      <c r="J65" s="69"/>
    </row>
    <row r="66" spans="1:13" s="70" customFormat="1" ht="12.75" customHeight="1" x14ac:dyDescent="0.2">
      <c r="A66" s="89">
        <v>45148</v>
      </c>
      <c r="B66" s="128" t="s">
        <v>11</v>
      </c>
      <c r="C66" s="10" t="s">
        <v>1341</v>
      </c>
      <c r="D66" s="11" t="s">
        <v>29</v>
      </c>
      <c r="E66" s="86"/>
      <c r="F66" s="70">
        <v>18231</v>
      </c>
      <c r="G66" s="30"/>
      <c r="I66" s="69"/>
      <c r="J66" s="69"/>
    </row>
    <row r="67" spans="1:13" s="70" customFormat="1" ht="12.75" customHeight="1" x14ac:dyDescent="0.2">
      <c r="A67" s="89">
        <v>45148</v>
      </c>
      <c r="B67" s="128" t="s">
        <v>11</v>
      </c>
      <c r="C67" s="10" t="s">
        <v>1269</v>
      </c>
      <c r="D67" s="11" t="s">
        <v>29</v>
      </c>
      <c r="E67" s="86"/>
      <c r="F67" s="70">
        <v>197839</v>
      </c>
      <c r="G67" s="30"/>
      <c r="I67" s="69"/>
      <c r="J67" s="69"/>
    </row>
    <row r="68" spans="1:13" s="70" customFormat="1" ht="12.75" customHeight="1" x14ac:dyDescent="0.2">
      <c r="A68" s="89">
        <v>45148</v>
      </c>
      <c r="B68" s="128" t="s">
        <v>11</v>
      </c>
      <c r="C68" s="10" t="s">
        <v>798</v>
      </c>
      <c r="D68" s="11" t="s">
        <v>29</v>
      </c>
      <c r="E68" s="86"/>
      <c r="F68" s="70">
        <v>393554</v>
      </c>
      <c r="G68" s="30"/>
      <c r="I68" s="69"/>
      <c r="J68" s="69"/>
    </row>
    <row r="69" spans="1:13" s="70" customFormat="1" ht="12.75" customHeight="1" x14ac:dyDescent="0.2">
      <c r="A69" s="89">
        <v>45148</v>
      </c>
      <c r="B69" s="128" t="s">
        <v>11</v>
      </c>
      <c r="C69" s="10" t="s">
        <v>40</v>
      </c>
      <c r="D69" s="11" t="s">
        <v>29</v>
      </c>
      <c r="E69" s="86"/>
      <c r="F69" s="70">
        <v>95798</v>
      </c>
      <c r="G69" s="30"/>
      <c r="I69" s="69"/>
      <c r="J69" s="69"/>
    </row>
    <row r="70" spans="1:13" s="70" customFormat="1" ht="12.75" customHeight="1" x14ac:dyDescent="0.2">
      <c r="A70" s="89">
        <v>45148</v>
      </c>
      <c r="B70" s="128" t="s">
        <v>11</v>
      </c>
      <c r="C70" s="10" t="s">
        <v>251</v>
      </c>
      <c r="D70" s="11" t="s">
        <v>29</v>
      </c>
      <c r="E70" s="86"/>
      <c r="F70" s="70">
        <v>158033</v>
      </c>
      <c r="G70" s="30"/>
      <c r="I70" s="69"/>
      <c r="J70" s="69"/>
    </row>
    <row r="71" spans="1:13" s="70" customFormat="1" ht="12.75" customHeight="1" x14ac:dyDescent="0.2">
      <c r="A71" s="89">
        <v>45148</v>
      </c>
      <c r="B71" s="128" t="s">
        <v>11</v>
      </c>
      <c r="C71" s="10" t="s">
        <v>41</v>
      </c>
      <c r="D71" s="11" t="s">
        <v>29</v>
      </c>
      <c r="E71" s="86"/>
      <c r="F71" s="70">
        <v>85086</v>
      </c>
      <c r="G71" s="30"/>
      <c r="I71" s="69"/>
      <c r="J71" s="69"/>
    </row>
    <row r="72" spans="1:13" s="70" customFormat="1" ht="12.75" customHeight="1" x14ac:dyDescent="0.2">
      <c r="A72" s="89">
        <v>45148</v>
      </c>
      <c r="B72" s="128" t="s">
        <v>11</v>
      </c>
      <c r="C72" s="10" t="s">
        <v>28</v>
      </c>
      <c r="D72" s="11" t="s">
        <v>29</v>
      </c>
      <c r="E72" s="86"/>
      <c r="F72" s="70">
        <v>261030.75</v>
      </c>
      <c r="G72" s="30"/>
      <c r="I72" s="69"/>
      <c r="J72" s="69"/>
    </row>
    <row r="73" spans="1:13" s="70" customFormat="1" ht="12.75" customHeight="1" x14ac:dyDescent="0.2">
      <c r="A73" s="89">
        <v>45148</v>
      </c>
      <c r="B73" s="128" t="s">
        <v>11</v>
      </c>
      <c r="C73" s="10" t="s">
        <v>1342</v>
      </c>
      <c r="D73" s="11" t="s">
        <v>29</v>
      </c>
      <c r="E73" s="86"/>
      <c r="F73" s="70">
        <v>41491288</v>
      </c>
      <c r="G73" s="30"/>
      <c r="I73" s="69"/>
      <c r="J73" s="69"/>
    </row>
    <row r="74" spans="1:13" s="70" customFormat="1" ht="12.75" customHeight="1" x14ac:dyDescent="0.2">
      <c r="A74" s="89">
        <v>45148</v>
      </c>
      <c r="B74" s="128" t="s">
        <v>11</v>
      </c>
      <c r="C74" s="10" t="s">
        <v>460</v>
      </c>
      <c r="D74" s="11" t="s">
        <v>29</v>
      </c>
      <c r="E74" s="86"/>
      <c r="F74" s="70">
        <v>847297</v>
      </c>
      <c r="G74" s="30"/>
      <c r="I74" s="69"/>
      <c r="J74" s="69"/>
    </row>
    <row r="75" spans="1:13" s="70" customFormat="1" ht="12.75" customHeight="1" x14ac:dyDescent="0.2">
      <c r="A75" s="89">
        <v>45148</v>
      </c>
      <c r="B75" s="128" t="s">
        <v>11</v>
      </c>
      <c r="C75" s="10" t="s">
        <v>63</v>
      </c>
      <c r="D75" s="11" t="s">
        <v>29</v>
      </c>
      <c r="E75" s="86"/>
      <c r="F75" s="70">
        <v>1000000</v>
      </c>
      <c r="G75" s="30"/>
      <c r="I75" s="69"/>
      <c r="J75" s="69"/>
    </row>
    <row r="76" spans="1:13" s="70" customFormat="1" ht="12.75" customHeight="1" x14ac:dyDescent="0.2">
      <c r="A76" s="89">
        <v>45148</v>
      </c>
      <c r="B76" s="128" t="s">
        <v>11</v>
      </c>
      <c r="C76" s="10" t="s">
        <v>217</v>
      </c>
      <c r="D76" s="11" t="s">
        <v>29</v>
      </c>
      <c r="E76" s="86"/>
      <c r="F76" s="70">
        <v>51995</v>
      </c>
      <c r="G76" s="30"/>
      <c r="I76" s="69"/>
      <c r="J76" s="69"/>
    </row>
    <row r="77" spans="1:13" s="70" customFormat="1" ht="12.75" customHeight="1" x14ac:dyDescent="0.2">
      <c r="A77" s="89">
        <v>45148</v>
      </c>
      <c r="B77" s="128" t="s">
        <v>11</v>
      </c>
      <c r="C77" s="10" t="s">
        <v>1181</v>
      </c>
      <c r="D77" s="11" t="s">
        <v>29</v>
      </c>
      <c r="E77" s="86"/>
      <c r="F77" s="70">
        <v>55480</v>
      </c>
      <c r="G77" s="30"/>
      <c r="I77" s="69"/>
      <c r="J77" s="69"/>
    </row>
    <row r="78" spans="1:13" s="2" customFormat="1" ht="12.75" customHeight="1" x14ac:dyDescent="0.2">
      <c r="A78" s="32"/>
      <c r="B78" s="33"/>
      <c r="C78" s="14"/>
      <c r="D78" s="34"/>
      <c r="E78" s="16">
        <f>SUM(E19:E77)</f>
        <v>37544159.210000001</v>
      </c>
      <c r="F78" s="16">
        <f>SUM(F19:F77)</f>
        <v>395107403.96999979</v>
      </c>
      <c r="G78" s="30"/>
      <c r="H78" s="1"/>
      <c r="I78" s="38">
        <v>357563244.75999999</v>
      </c>
      <c r="J78" s="2" t="s">
        <v>396</v>
      </c>
      <c r="K78" s="92">
        <f>E79-I78</f>
        <v>0</v>
      </c>
      <c r="L78" s="41"/>
      <c r="M78" s="42"/>
    </row>
    <row r="79" spans="1:13" s="2" customFormat="1" ht="12.75" customHeight="1" x14ac:dyDescent="0.2">
      <c r="A79" s="36"/>
      <c r="B79" s="28" t="s">
        <v>11</v>
      </c>
      <c r="C79" s="19" t="s">
        <v>65</v>
      </c>
      <c r="D79" s="37"/>
      <c r="E79" s="38">
        <f>F78-E78</f>
        <v>357563244.75999981</v>
      </c>
      <c r="F79" s="22"/>
      <c r="G79" s="1"/>
      <c r="H79" s="1"/>
      <c r="J79" s="1"/>
      <c r="K79" s="1"/>
      <c r="L79" s="1"/>
      <c r="M79" s="1"/>
    </row>
    <row r="80" spans="1:13" s="2" customFormat="1" ht="12.75" customHeight="1" x14ac:dyDescent="0.2">
      <c r="A80" s="36"/>
      <c r="B80" s="28" t="s">
        <v>66</v>
      </c>
      <c r="C80" s="43" t="s">
        <v>67</v>
      </c>
      <c r="D80" s="43"/>
      <c r="E80" s="12">
        <v>0</v>
      </c>
      <c r="F80" s="22"/>
      <c r="G80" s="1"/>
      <c r="H80" s="40"/>
      <c r="I80" s="45">
        <v>1368.07</v>
      </c>
      <c r="J80" s="46"/>
      <c r="K80" s="46"/>
      <c r="L80" s="13"/>
      <c r="M80" s="69" t="s">
        <v>396</v>
      </c>
    </row>
    <row r="81" spans="1:14" s="2" customFormat="1" ht="12.75" customHeight="1" x14ac:dyDescent="0.25">
      <c r="A81" s="36"/>
      <c r="B81" s="28"/>
      <c r="C81" s="44" t="s">
        <v>68</v>
      </c>
      <c r="D81" s="43"/>
      <c r="E81" s="7">
        <f>E79+E80</f>
        <v>357563244.75999981</v>
      </c>
      <c r="F81" s="22"/>
      <c r="G81" s="1"/>
      <c r="H81" s="103" t="s">
        <v>69</v>
      </c>
      <c r="I81" s="45">
        <v>99.19</v>
      </c>
      <c r="J81" s="46"/>
      <c r="K81" s="46"/>
      <c r="N81" s="1"/>
    </row>
    <row r="82" spans="1:14" s="2" customFormat="1" x14ac:dyDescent="0.2">
      <c r="A82" s="24"/>
      <c r="B82" s="1"/>
      <c r="C82" s="14"/>
      <c r="D82" s="25"/>
      <c r="E82" s="1"/>
      <c r="H82" s="35" t="s">
        <v>70</v>
      </c>
      <c r="I82" s="45">
        <v>-52.77</v>
      </c>
      <c r="J82" s="46">
        <f>+I83-D85</f>
        <v>0</v>
      </c>
      <c r="M82" s="2" t="s">
        <v>396</v>
      </c>
      <c r="N82" s="1"/>
    </row>
    <row r="83" spans="1:14" x14ac:dyDescent="0.2">
      <c r="C83" s="56"/>
      <c r="D83" s="56"/>
      <c r="E83" s="104"/>
      <c r="I83" s="49">
        <f>SUM(I80:I82)</f>
        <v>1414.49</v>
      </c>
      <c r="J83" s="46"/>
      <c r="K83" s="46"/>
      <c r="L83" s="2"/>
      <c r="M83" s="2"/>
      <c r="N83" s="2"/>
    </row>
    <row r="84" spans="1:14" x14ac:dyDescent="0.2">
      <c r="C84" s="78" t="s">
        <v>575</v>
      </c>
      <c r="D84" s="48" t="s">
        <v>576</v>
      </c>
      <c r="E84" s="104"/>
      <c r="I84" s="2"/>
      <c r="J84" s="2"/>
      <c r="K84" s="2"/>
      <c r="L84" s="2"/>
      <c r="M84" s="2"/>
      <c r="N84" s="2"/>
    </row>
    <row r="85" spans="1:14" s="2" customFormat="1" x14ac:dyDescent="0.2">
      <c r="A85" s="24"/>
      <c r="B85" s="1"/>
      <c r="C85" s="47" t="s">
        <v>570</v>
      </c>
      <c r="D85" s="111">
        <v>1414.49</v>
      </c>
      <c r="E85" s="104"/>
      <c r="G85" s="1"/>
      <c r="H85" s="110" t="s">
        <v>581</v>
      </c>
      <c r="N85" s="2" t="s">
        <v>535</v>
      </c>
    </row>
    <row r="86" spans="1:14" s="2" customFormat="1" x14ac:dyDescent="0.2">
      <c r="A86" s="24"/>
      <c r="B86" s="1"/>
      <c r="C86" s="47" t="s">
        <v>931</v>
      </c>
      <c r="D86" s="111">
        <v>263.36</v>
      </c>
      <c r="E86" s="104"/>
      <c r="G86" s="1"/>
      <c r="H86" s="110" t="s">
        <v>580</v>
      </c>
    </row>
    <row r="87" spans="1:14" s="2" customFormat="1" x14ac:dyDescent="0.2">
      <c r="A87" s="24"/>
      <c r="B87" s="1"/>
      <c r="C87" s="47" t="s">
        <v>572</v>
      </c>
      <c r="D87" s="111">
        <f>+D113/100000</f>
        <v>71.840139100000002</v>
      </c>
      <c r="E87" s="104"/>
      <c r="G87" s="1"/>
      <c r="H87" s="90" t="s">
        <v>587</v>
      </c>
    </row>
    <row r="88" spans="1:14" s="2" customFormat="1" x14ac:dyDescent="0.2">
      <c r="A88" s="24"/>
      <c r="B88" s="1"/>
      <c r="C88" s="108" t="s">
        <v>578</v>
      </c>
      <c r="D88" s="48">
        <f>SUM(D85:D87)</f>
        <v>1749.6901390999999</v>
      </c>
      <c r="E88" s="104"/>
      <c r="G88" s="1"/>
    </row>
    <row r="89" spans="1:14" s="2" customFormat="1" x14ac:dyDescent="0.2">
      <c r="A89" s="24"/>
      <c r="B89" s="1"/>
      <c r="C89" s="47"/>
      <c r="D89" s="107"/>
      <c r="E89" s="104"/>
      <c r="G89" s="1"/>
    </row>
    <row r="90" spans="1:14" s="2" customFormat="1" x14ac:dyDescent="0.2">
      <c r="A90" s="24"/>
      <c r="B90" s="1"/>
      <c r="C90" s="47" t="s">
        <v>932</v>
      </c>
      <c r="D90" s="111">
        <v>27.61</v>
      </c>
      <c r="E90" s="104"/>
      <c r="G90" s="1"/>
      <c r="H90" s="110" t="s">
        <v>581</v>
      </c>
    </row>
    <row r="91" spans="1:14" s="2" customFormat="1" x14ac:dyDescent="0.2">
      <c r="A91" s="24"/>
      <c r="B91" s="1"/>
      <c r="C91" s="136" t="s">
        <v>1142</v>
      </c>
      <c r="D91" s="111">
        <v>148.72999999999999</v>
      </c>
      <c r="E91" s="104"/>
      <c r="G91" s="1"/>
      <c r="H91" s="110" t="s">
        <v>581</v>
      </c>
      <c r="J91" s="114" t="s">
        <v>713</v>
      </c>
    </row>
    <row r="92" spans="1:14" s="2" customFormat="1" x14ac:dyDescent="0.2">
      <c r="A92" s="24"/>
      <c r="B92" s="1"/>
      <c r="C92" s="78" t="s">
        <v>579</v>
      </c>
      <c r="D92" s="109">
        <f>D90+D91</f>
        <v>176.33999999999997</v>
      </c>
      <c r="E92" s="104"/>
      <c r="G92" s="1"/>
      <c r="I92" s="113"/>
      <c r="J92" s="113" t="s">
        <v>709</v>
      </c>
      <c r="K92" s="113" t="s">
        <v>710</v>
      </c>
      <c r="L92" s="113" t="s">
        <v>711</v>
      </c>
      <c r="M92" s="113" t="s">
        <v>712</v>
      </c>
    </row>
    <row r="93" spans="1:14" s="2" customFormat="1" x14ac:dyDescent="0.2">
      <c r="A93" s="24"/>
      <c r="B93" s="1"/>
      <c r="C93" s="105"/>
      <c r="D93" s="106"/>
      <c r="E93" s="104"/>
      <c r="G93" s="1"/>
      <c r="I93" s="113" t="s">
        <v>706</v>
      </c>
      <c r="J93" s="115"/>
      <c r="K93" s="115">
        <v>968.99</v>
      </c>
      <c r="L93" s="115">
        <v>968.99</v>
      </c>
      <c r="M93" s="113">
        <f>+J93+L93-K93</f>
        <v>0</v>
      </c>
    </row>
    <row r="94" spans="1:14" s="2" customFormat="1" x14ac:dyDescent="0.2">
      <c r="A94" s="24"/>
      <c r="B94" s="1"/>
      <c r="C94" s="78" t="s">
        <v>577</v>
      </c>
      <c r="D94" s="109">
        <f>D85+D92</f>
        <v>1590.83</v>
      </c>
      <c r="E94" s="104"/>
      <c r="G94" s="1"/>
      <c r="I94" s="113" t="s">
        <v>707</v>
      </c>
      <c r="J94" s="115">
        <v>183.1</v>
      </c>
      <c r="K94" s="115">
        <v>3187.89</v>
      </c>
      <c r="L94" s="115">
        <v>3578.74</v>
      </c>
      <c r="M94" s="113">
        <f>+J94+L94-K94</f>
        <v>573.94999999999982</v>
      </c>
    </row>
    <row r="95" spans="1:14" s="2" customFormat="1" x14ac:dyDescent="0.2">
      <c r="A95" s="24"/>
      <c r="B95" s="1"/>
      <c r="C95" s="56"/>
      <c r="D95" s="56"/>
      <c r="E95" s="104"/>
      <c r="G95" s="1"/>
      <c r="I95" s="113" t="s">
        <v>708</v>
      </c>
      <c r="J95" s="115">
        <v>1371.02</v>
      </c>
      <c r="K95" s="115">
        <v>13444.18</v>
      </c>
      <c r="L95" s="115">
        <v>13102.96</v>
      </c>
      <c r="M95" s="113">
        <f>+J95+L95-K95</f>
        <v>1029.7999999999993</v>
      </c>
    </row>
    <row r="96" spans="1:14" s="2" customFormat="1" ht="38.25" x14ac:dyDescent="0.2">
      <c r="A96" s="24"/>
      <c r="B96" s="1"/>
      <c r="C96" s="79" t="str">
        <f>"Particulars ( 01-04-2021 to "&amp;TEXT(A5,"dd-mm-yyyy")&amp;" )"</f>
        <v>Particulars ( 01-04-2021 to 10-08-2023 )</v>
      </c>
      <c r="D96" s="80" t="s">
        <v>73</v>
      </c>
      <c r="E96" s="80" t="s">
        <v>74</v>
      </c>
      <c r="F96" s="81" t="s">
        <v>75</v>
      </c>
      <c r="G96" s="80" t="s">
        <v>76</v>
      </c>
      <c r="J96" s="118">
        <f>SUM(J93:J95)</f>
        <v>1554.12</v>
      </c>
      <c r="K96" s="118">
        <f>SUM(K93:K95)</f>
        <v>17601.060000000001</v>
      </c>
      <c r="L96" s="118">
        <f>SUM(L93:L95)</f>
        <v>17650.689999999999</v>
      </c>
      <c r="M96" s="118">
        <f>SUM(M93:M95)</f>
        <v>1603.7499999999991</v>
      </c>
    </row>
    <row r="97" spans="1:13" s="2" customFormat="1" x14ac:dyDescent="0.2">
      <c r="A97" s="24"/>
      <c r="B97" s="1"/>
      <c r="C97" s="50" t="s">
        <v>444</v>
      </c>
      <c r="D97" s="55">
        <f>+L93+L94+J94</f>
        <v>4730.83</v>
      </c>
      <c r="E97" s="55">
        <f>+K93+K94</f>
        <v>4156.88</v>
      </c>
      <c r="F97" s="55">
        <f>+D97-E97</f>
        <v>573.94999999999982</v>
      </c>
      <c r="G97" s="55">
        <f>1500-F97</f>
        <v>926.05000000000018</v>
      </c>
      <c r="H97" s="2" t="s">
        <v>396</v>
      </c>
    </row>
    <row r="98" spans="1:13" s="2" customFormat="1" x14ac:dyDescent="0.2">
      <c r="A98" s="24"/>
      <c r="B98" s="1"/>
      <c r="C98" s="50" t="s">
        <v>71</v>
      </c>
      <c r="D98" s="55">
        <f>+J95+L95</f>
        <v>14473.98</v>
      </c>
      <c r="E98" s="55">
        <f>+K95</f>
        <v>13444.18</v>
      </c>
      <c r="F98" s="55">
        <f>+D98-E98</f>
        <v>1029.7999999999993</v>
      </c>
      <c r="G98" s="55">
        <f>1500+700-F98</f>
        <v>1170.2000000000007</v>
      </c>
      <c r="H98" s="2" t="s">
        <v>396</v>
      </c>
    </row>
    <row r="99" spans="1:13" s="2" customFormat="1" x14ac:dyDescent="0.2">
      <c r="A99" s="24"/>
      <c r="B99" s="1"/>
      <c r="C99" s="14"/>
      <c r="D99" s="56"/>
      <c r="E99" s="13"/>
      <c r="G99" s="1"/>
    </row>
    <row r="100" spans="1:13" s="2" customFormat="1" x14ac:dyDescent="0.2">
      <c r="A100" s="215" t="s">
        <v>80</v>
      </c>
      <c r="B100" s="216"/>
      <c r="C100" s="216"/>
      <c r="D100" s="217"/>
      <c r="E100" s="69"/>
      <c r="F100" s="70"/>
      <c r="G100" s="1"/>
      <c r="H100" s="53"/>
    </row>
    <row r="101" spans="1:13" s="2" customFormat="1" x14ac:dyDescent="0.2">
      <c r="A101" s="71" t="s">
        <v>81</v>
      </c>
      <c r="B101" s="71"/>
      <c r="C101" s="72" t="s">
        <v>82</v>
      </c>
      <c r="D101" s="73" t="s">
        <v>83</v>
      </c>
      <c r="E101" s="69"/>
      <c r="F101" s="70"/>
      <c r="H101" s="53"/>
    </row>
    <row r="102" spans="1:13" s="2" customFormat="1" x14ac:dyDescent="0.2">
      <c r="A102" s="8">
        <v>45139</v>
      </c>
      <c r="B102" s="120" t="s">
        <v>1052</v>
      </c>
      <c r="C102" s="75" t="s">
        <v>85</v>
      </c>
      <c r="D102" s="88">
        <v>552343</v>
      </c>
      <c r="G102" s="1"/>
      <c r="L102" s="1"/>
      <c r="M102" s="1"/>
    </row>
    <row r="103" spans="1:13" s="2" customFormat="1" x14ac:dyDescent="0.2">
      <c r="A103" s="8">
        <v>45140</v>
      </c>
      <c r="B103" s="120" t="s">
        <v>1052</v>
      </c>
      <c r="C103" s="75" t="s">
        <v>270</v>
      </c>
      <c r="D103" s="88">
        <v>244404</v>
      </c>
      <c r="G103" s="1"/>
      <c r="L103" s="1"/>
      <c r="M103" s="1"/>
    </row>
    <row r="104" spans="1:13" s="2" customFormat="1" x14ac:dyDescent="0.2">
      <c r="A104" s="8">
        <v>45140</v>
      </c>
      <c r="B104" s="120" t="s">
        <v>1052</v>
      </c>
      <c r="C104" s="75" t="s">
        <v>270</v>
      </c>
      <c r="D104" s="88">
        <v>550256</v>
      </c>
      <c r="G104" s="1"/>
      <c r="L104" s="1"/>
      <c r="M104" s="1"/>
    </row>
    <row r="105" spans="1:13" s="2" customFormat="1" x14ac:dyDescent="0.2">
      <c r="A105" s="8">
        <v>45140</v>
      </c>
      <c r="B105" s="120" t="s">
        <v>1052</v>
      </c>
      <c r="C105" s="75" t="s">
        <v>270</v>
      </c>
      <c r="D105" s="88">
        <v>191589</v>
      </c>
      <c r="G105" s="1"/>
      <c r="L105" s="1"/>
      <c r="M105" s="1"/>
    </row>
    <row r="106" spans="1:13" s="2" customFormat="1" x14ac:dyDescent="0.2">
      <c r="A106" s="8">
        <v>45140</v>
      </c>
      <c r="B106" s="120" t="s">
        <v>1052</v>
      </c>
      <c r="C106" s="75" t="s">
        <v>270</v>
      </c>
      <c r="D106" s="88">
        <v>74415.91</v>
      </c>
      <c r="G106" s="1"/>
      <c r="L106" s="1"/>
      <c r="M106" s="1"/>
    </row>
    <row r="107" spans="1:13" s="2" customFormat="1" x14ac:dyDescent="0.2">
      <c r="A107" s="8">
        <v>45140</v>
      </c>
      <c r="B107" s="120" t="s">
        <v>1052</v>
      </c>
      <c r="C107" s="75" t="s">
        <v>271</v>
      </c>
      <c r="D107" s="88">
        <v>454781</v>
      </c>
      <c r="G107" s="1"/>
      <c r="L107" s="1"/>
      <c r="M107" s="1"/>
    </row>
    <row r="108" spans="1:13" s="2" customFormat="1" x14ac:dyDescent="0.2">
      <c r="A108" s="8">
        <v>45141</v>
      </c>
      <c r="B108" s="120" t="s">
        <v>1052</v>
      </c>
      <c r="C108" s="75" t="s">
        <v>909</v>
      </c>
      <c r="D108" s="88">
        <v>910969</v>
      </c>
      <c r="G108" s="1"/>
      <c r="L108" s="1"/>
      <c r="M108" s="1"/>
    </row>
    <row r="109" spans="1:13" s="2" customFormat="1" x14ac:dyDescent="0.2">
      <c r="A109" s="8">
        <v>45141</v>
      </c>
      <c r="B109" s="120" t="s">
        <v>1052</v>
      </c>
      <c r="C109" s="75" t="s">
        <v>909</v>
      </c>
      <c r="D109" s="88">
        <v>1424635</v>
      </c>
      <c r="G109" s="1"/>
      <c r="L109" s="1"/>
      <c r="M109" s="1"/>
    </row>
    <row r="110" spans="1:13" s="2" customFormat="1" x14ac:dyDescent="0.2">
      <c r="A110" s="8">
        <v>45143</v>
      </c>
      <c r="B110" s="120" t="s">
        <v>1052</v>
      </c>
      <c r="C110" s="75" t="s">
        <v>85</v>
      </c>
      <c r="D110" s="88">
        <v>644288</v>
      </c>
      <c r="G110" s="1"/>
      <c r="L110" s="1"/>
      <c r="M110" s="1"/>
    </row>
    <row r="111" spans="1:13" s="2" customFormat="1" x14ac:dyDescent="0.2">
      <c r="A111" s="8">
        <v>45146</v>
      </c>
      <c r="B111" s="120" t="s">
        <v>1052</v>
      </c>
      <c r="C111" s="75" t="s">
        <v>85</v>
      </c>
      <c r="D111" s="88">
        <v>136333</v>
      </c>
      <c r="G111" s="1"/>
      <c r="L111" s="1"/>
      <c r="M111" s="1"/>
    </row>
    <row r="112" spans="1:13" s="2" customFormat="1" x14ac:dyDescent="0.2">
      <c r="A112" s="8">
        <v>45146</v>
      </c>
      <c r="B112" s="120" t="s">
        <v>1052</v>
      </c>
      <c r="C112" s="75" t="s">
        <v>1343</v>
      </c>
      <c r="D112" s="88">
        <v>2000000</v>
      </c>
      <c r="G112" s="1"/>
      <c r="L112" s="1"/>
      <c r="M112" s="1"/>
    </row>
    <row r="113" spans="1:13" s="2" customFormat="1" x14ac:dyDescent="0.2">
      <c r="A113" s="87"/>
      <c r="B113" s="74"/>
      <c r="C113" s="75"/>
      <c r="D113" s="51">
        <f>SUM(D102:D112)</f>
        <v>7184013.9100000001</v>
      </c>
      <c r="F113" s="2" t="s">
        <v>396</v>
      </c>
      <c r="G113" s="1"/>
      <c r="L113" s="1"/>
      <c r="M113" s="1"/>
    </row>
    <row r="114" spans="1:13" s="2" customFormat="1" x14ac:dyDescent="0.2">
      <c r="A114" s="24"/>
      <c r="B114" s="1"/>
      <c r="C114" s="14"/>
      <c r="D114" s="56"/>
      <c r="E114" s="13"/>
      <c r="G114" s="1"/>
      <c r="L114" s="1"/>
      <c r="M114" s="1"/>
    </row>
    <row r="115" spans="1:13" s="2" customFormat="1" x14ac:dyDescent="0.2">
      <c r="A115" s="24"/>
      <c r="B115" s="1"/>
      <c r="C115" s="218" t="s">
        <v>77</v>
      </c>
      <c r="D115" s="219"/>
      <c r="E115" s="219"/>
      <c r="F115" s="220"/>
      <c r="G115" s="1"/>
      <c r="L115" s="1"/>
      <c r="M115" s="1"/>
    </row>
    <row r="116" spans="1:13" s="2" customFormat="1" x14ac:dyDescent="0.2">
      <c r="A116" s="24"/>
      <c r="B116" s="1"/>
      <c r="C116" s="50"/>
      <c r="D116" s="57" t="s">
        <v>78</v>
      </c>
      <c r="E116" s="58" t="s">
        <v>79</v>
      </c>
      <c r="F116" s="57" t="s">
        <v>72</v>
      </c>
      <c r="G116" s="1"/>
      <c r="I116" s="1"/>
      <c r="J116" s="1"/>
      <c r="K116" s="1"/>
      <c r="L116" s="1"/>
      <c r="M116" s="1"/>
    </row>
    <row r="117" spans="1:13" s="2" customFormat="1" x14ac:dyDescent="0.2">
      <c r="A117" s="24"/>
      <c r="B117" s="1"/>
      <c r="C117" s="59" t="str">
        <f>"01-08-2023 to "&amp;TEXT(A5-2,"dd-mm-yyyy")</f>
        <v>01-08-2023 to 08-08-2023</v>
      </c>
      <c r="D117" s="60">
        <v>894.64</v>
      </c>
      <c r="E117" s="60">
        <v>80.66</v>
      </c>
      <c r="F117" s="61">
        <f>SUM(D117:E117)</f>
        <v>975.3</v>
      </c>
      <c r="G117" s="1"/>
    </row>
    <row r="118" spans="1:13" s="2" customFormat="1" x14ac:dyDescent="0.2">
      <c r="A118" s="24"/>
      <c r="B118" s="1"/>
      <c r="C118" s="62" t="str">
        <f>TEXT(A5-1,"dd-mm-yyyy")</f>
        <v>09-08-2023</v>
      </c>
      <c r="D118" s="60">
        <v>242.09</v>
      </c>
      <c r="E118" s="60">
        <v>17.14</v>
      </c>
      <c r="F118" s="61">
        <f>SUM(D118:E118)</f>
        <v>259.23</v>
      </c>
      <c r="G118" s="54"/>
      <c r="I118" s="1"/>
      <c r="J118" s="1"/>
      <c r="K118" s="1"/>
      <c r="L118" s="1"/>
      <c r="M118" s="1"/>
    </row>
    <row r="119" spans="1:13" s="2" customFormat="1" ht="13.5" thickBot="1" x14ac:dyDescent="0.25">
      <c r="A119" s="24"/>
      <c r="B119" s="1"/>
      <c r="C119" s="63" t="str">
        <f>"01-08-2023 to "&amp;TEXT(A5-1,"dd-mm-yyyy")</f>
        <v>01-08-2023 to 09-08-2023</v>
      </c>
      <c r="D119" s="64">
        <f>SUM(D117:D118)</f>
        <v>1136.73</v>
      </c>
      <c r="E119" s="64">
        <f>SUM(E117:E118)</f>
        <v>97.8</v>
      </c>
      <c r="F119" s="64">
        <f>SUM(F117:F118)</f>
        <v>1234.53</v>
      </c>
      <c r="G119" s="54"/>
      <c r="I119" s="1"/>
      <c r="J119" s="1"/>
      <c r="K119" s="1"/>
      <c r="L119" s="1"/>
      <c r="M119" s="1"/>
    </row>
    <row r="120" spans="1:13" s="2" customFormat="1" ht="13.5" thickTop="1" x14ac:dyDescent="0.2">
      <c r="A120" s="24"/>
      <c r="B120" s="1"/>
      <c r="C120" s="62"/>
      <c r="D120" s="65"/>
      <c r="E120" s="66"/>
      <c r="F120" s="67"/>
      <c r="G120" s="54"/>
      <c r="I120" s="1"/>
      <c r="J120" s="1"/>
      <c r="K120" s="1"/>
      <c r="L120" s="1"/>
      <c r="M120" s="1"/>
    </row>
    <row r="121" spans="1:13" s="2" customFormat="1" x14ac:dyDescent="0.2">
      <c r="A121" s="24"/>
      <c r="B121" s="1"/>
      <c r="C121" s="62" t="str">
        <f>"01-04-2023 to " &amp;C118</f>
        <v>01-04-2023 to 09-08-2023</v>
      </c>
      <c r="D121" s="68">
        <f>+D119+20827.32</f>
        <v>21964.05</v>
      </c>
      <c r="E121" s="68">
        <f>+E119+1376.76</f>
        <v>1474.56</v>
      </c>
      <c r="F121" s="68">
        <f>+F119+22204.08</f>
        <v>23438.61</v>
      </c>
      <c r="G121" s="54"/>
      <c r="I121" s="1"/>
      <c r="J121" s="1"/>
      <c r="K121" s="1"/>
      <c r="L121" s="1"/>
      <c r="M121" s="1"/>
    </row>
    <row r="122" spans="1:13" x14ac:dyDescent="0.2">
      <c r="C122" s="52"/>
      <c r="D122" s="85"/>
      <c r="E122" s="53"/>
      <c r="F122" s="53"/>
      <c r="G122" s="54"/>
      <c r="H122" s="2" t="s">
        <v>396</v>
      </c>
    </row>
    <row r="123" spans="1:13" s="2" customFormat="1" x14ac:dyDescent="0.2">
      <c r="A123" s="24"/>
      <c r="B123" s="1"/>
      <c r="C123" s="52"/>
      <c r="D123" s="85"/>
      <c r="E123" s="53"/>
      <c r="F123" s="53"/>
      <c r="G123" s="54"/>
      <c r="H123" s="53"/>
    </row>
    <row r="124" spans="1:13" x14ac:dyDescent="0.2">
      <c r="C124" s="52"/>
      <c r="D124" s="85"/>
      <c r="E124" s="53"/>
      <c r="F124" s="53"/>
      <c r="G124" s="54"/>
      <c r="H124" s="53" t="s">
        <v>396</v>
      </c>
    </row>
    <row r="125" spans="1:13" x14ac:dyDescent="0.2">
      <c r="C125" s="52"/>
      <c r="D125" s="85"/>
      <c r="E125" s="53"/>
      <c r="F125" s="53"/>
      <c r="G125" s="54"/>
      <c r="H125" s="53" t="s">
        <v>396</v>
      </c>
      <c r="J125" s="42"/>
    </row>
    <row r="126" spans="1:13" x14ac:dyDescent="0.2">
      <c r="G126" s="54"/>
      <c r="H126" s="53"/>
      <c r="I126" s="101"/>
    </row>
    <row r="127" spans="1:13" x14ac:dyDescent="0.2">
      <c r="G127" s="54"/>
      <c r="H127" s="53"/>
    </row>
    <row r="128" spans="1:13" x14ac:dyDescent="0.2">
      <c r="G128" s="54"/>
      <c r="H128" s="53"/>
    </row>
    <row r="129" spans="8:8" x14ac:dyDescent="0.2">
      <c r="H129" s="53"/>
    </row>
  </sheetData>
  <mergeCells count="6">
    <mergeCell ref="C115:F115"/>
    <mergeCell ref="A1:G1"/>
    <mergeCell ref="A3:F3"/>
    <mergeCell ref="A9:F9"/>
    <mergeCell ref="A17:F17"/>
    <mergeCell ref="A100:D100"/>
  </mergeCells>
  <conditionalFormatting sqref="G97:G98">
    <cfRule type="cellIs" dxfId="369" priority="1" operator="lessThan">
      <formula>0</formula>
    </cfRule>
  </conditionalFormatting>
  <conditionalFormatting sqref="C19">
    <cfRule type="duplicateValues" dxfId="368" priority="2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A00-000000000000}">
  <sheetPr codeName="Sheet402">
    <pageSetUpPr fitToPage="1"/>
  </sheetPr>
  <dimension ref="A1:N131"/>
  <sheetViews>
    <sheetView zoomScaleNormal="100" workbookViewId="0">
      <selection activeCell="C39" sqref="C39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1344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45149</v>
      </c>
      <c r="B5" s="9" t="s">
        <v>6</v>
      </c>
      <c r="C5" s="10" t="s">
        <v>7</v>
      </c>
      <c r="D5" s="11"/>
      <c r="E5" s="12">
        <v>454428.70000000019</v>
      </c>
      <c r="F5" s="12"/>
      <c r="G5" s="1"/>
      <c r="H5" s="112"/>
      <c r="I5" s="112"/>
    </row>
    <row r="6" spans="1:10" s="2" customFormat="1" ht="14.25" customHeight="1" x14ac:dyDescent="0.4">
      <c r="A6" s="89">
        <v>45149</v>
      </c>
      <c r="B6" s="9" t="s">
        <v>6</v>
      </c>
      <c r="C6" s="10" t="s">
        <v>683</v>
      </c>
      <c r="D6" s="11" t="s">
        <v>13</v>
      </c>
      <c r="E6" s="12">
        <v>1025515.84</v>
      </c>
      <c r="F6" s="12"/>
      <c r="G6" s="1"/>
      <c r="H6" s="112"/>
      <c r="I6" s="112"/>
    </row>
    <row r="7" spans="1:10" s="2" customFormat="1" ht="12.75" customHeight="1" x14ac:dyDescent="0.4">
      <c r="D7" s="15" t="s">
        <v>8</v>
      </c>
      <c r="E7" s="16">
        <f>SUM(E5:E6)</f>
        <v>1479944.54</v>
      </c>
      <c r="F7" s="16">
        <f>SUM(F5:F5)</f>
        <v>0</v>
      </c>
      <c r="G7" s="1"/>
      <c r="H7" s="112"/>
      <c r="I7" s="112"/>
    </row>
    <row r="8" spans="1:10" s="2" customFormat="1" ht="12.75" customHeight="1" x14ac:dyDescent="0.4">
      <c r="A8" s="17"/>
      <c r="B8" s="18"/>
      <c r="C8" s="19" t="s">
        <v>9</v>
      </c>
      <c r="D8" s="20"/>
      <c r="E8" s="21">
        <f>+E7-F7</f>
        <v>1479944.54</v>
      </c>
      <c r="F8" s="22"/>
      <c r="G8" s="23"/>
      <c r="H8" s="112"/>
      <c r="I8" s="112"/>
      <c r="J8" s="13"/>
    </row>
    <row r="9" spans="1:10" ht="12.75" customHeight="1" x14ac:dyDescent="0.4">
      <c r="H9" s="112"/>
      <c r="I9" s="112"/>
    </row>
    <row r="10" spans="1:10" ht="18" customHeight="1" x14ac:dyDescent="0.4">
      <c r="A10" s="213" t="s">
        <v>1037</v>
      </c>
      <c r="B10" s="213"/>
      <c r="C10" s="213"/>
      <c r="D10" s="213"/>
      <c r="E10" s="213"/>
      <c r="F10" s="213"/>
      <c r="H10" s="112"/>
      <c r="I10" s="112"/>
    </row>
    <row r="11" spans="1:10" ht="12.75" customHeight="1" x14ac:dyDescent="0.4">
      <c r="A11" s="3" t="s">
        <v>1</v>
      </c>
      <c r="B11" s="4" t="s">
        <v>2</v>
      </c>
      <c r="C11" s="5"/>
      <c r="D11" s="6" t="s">
        <v>3</v>
      </c>
      <c r="E11" s="7" t="s">
        <v>4</v>
      </c>
      <c r="F11" s="7" t="s">
        <v>5</v>
      </c>
      <c r="H11" s="112"/>
      <c r="I11" s="112"/>
    </row>
    <row r="12" spans="1:10" s="2" customFormat="1" ht="14.25" customHeight="1" x14ac:dyDescent="0.2">
      <c r="A12" s="89">
        <v>45149</v>
      </c>
      <c r="B12" s="9" t="s">
        <v>6</v>
      </c>
      <c r="C12" s="10" t="s">
        <v>7</v>
      </c>
      <c r="D12" s="11"/>
      <c r="F12" s="12">
        <v>26772400.350000001</v>
      </c>
      <c r="G12" s="1"/>
      <c r="H12" s="130" t="s">
        <v>396</v>
      </c>
      <c r="I12" s="130"/>
    </row>
    <row r="13" spans="1:10" s="70" customFormat="1" ht="12.75" customHeight="1" x14ac:dyDescent="0.2">
      <c r="A13" s="89">
        <v>45149</v>
      </c>
      <c r="B13" s="9" t="s">
        <v>6</v>
      </c>
      <c r="C13" s="76" t="s">
        <v>375</v>
      </c>
      <c r="D13" s="11" t="s">
        <v>13</v>
      </c>
      <c r="E13" s="31">
        <v>2136631</v>
      </c>
      <c r="F13" s="31"/>
      <c r="G13" s="30"/>
      <c r="I13" s="69"/>
      <c r="J13" s="69"/>
    </row>
    <row r="14" spans="1:10" s="70" customFormat="1" ht="12.75" customHeight="1" x14ac:dyDescent="0.2">
      <c r="A14" s="89">
        <v>45149</v>
      </c>
      <c r="B14" s="9" t="s">
        <v>11</v>
      </c>
      <c r="C14" s="76" t="s">
        <v>222</v>
      </c>
      <c r="D14" s="11" t="s">
        <v>29</v>
      </c>
      <c r="E14" s="31"/>
      <c r="F14" s="31">
        <v>4030</v>
      </c>
      <c r="G14" s="30"/>
      <c r="I14" s="69"/>
      <c r="J14" s="69"/>
    </row>
    <row r="15" spans="1:10" s="70" customFormat="1" ht="12.75" customHeight="1" x14ac:dyDescent="0.2">
      <c r="A15" s="89">
        <v>45149</v>
      </c>
      <c r="B15" s="9" t="s">
        <v>11</v>
      </c>
      <c r="C15" s="76" t="s">
        <v>1111</v>
      </c>
      <c r="D15" s="11" t="s">
        <v>29</v>
      </c>
      <c r="E15" s="31"/>
      <c r="F15" s="31">
        <v>21780</v>
      </c>
      <c r="G15" s="30"/>
      <c r="I15" s="69"/>
      <c r="J15" s="69"/>
    </row>
    <row r="16" spans="1:10" s="70" customFormat="1" ht="12.75" customHeight="1" x14ac:dyDescent="0.2">
      <c r="A16" s="89">
        <v>45149</v>
      </c>
      <c r="B16" s="9" t="s">
        <v>11</v>
      </c>
      <c r="C16" s="76" t="s">
        <v>1345</v>
      </c>
      <c r="D16" s="11" t="s">
        <v>29</v>
      </c>
      <c r="E16" s="31"/>
      <c r="F16" s="31">
        <v>57245</v>
      </c>
      <c r="G16" s="30"/>
      <c r="I16" s="69"/>
      <c r="J16" s="69"/>
    </row>
    <row r="17" spans="1:10" s="70" customFormat="1" ht="12.75" customHeight="1" x14ac:dyDescent="0.2">
      <c r="A17" s="89">
        <v>45149</v>
      </c>
      <c r="B17" s="9" t="s">
        <v>11</v>
      </c>
      <c r="C17" s="76" t="s">
        <v>1346</v>
      </c>
      <c r="D17" s="11" t="s">
        <v>29</v>
      </c>
      <c r="E17" s="31"/>
      <c r="F17" s="31">
        <v>3640</v>
      </c>
      <c r="G17" s="30"/>
      <c r="I17" s="69"/>
      <c r="J17" s="69"/>
    </row>
    <row r="18" spans="1:10" s="70" customFormat="1" ht="12.75" customHeight="1" x14ac:dyDescent="0.2">
      <c r="A18" s="89">
        <v>45149</v>
      </c>
      <c r="B18" s="9" t="s">
        <v>11</v>
      </c>
      <c r="C18" s="76" t="s">
        <v>1347</v>
      </c>
      <c r="D18" s="11" t="s">
        <v>29</v>
      </c>
      <c r="E18" s="31"/>
      <c r="F18" s="31">
        <v>23168</v>
      </c>
      <c r="G18" s="30"/>
      <c r="I18" s="69"/>
      <c r="J18" s="69"/>
    </row>
    <row r="19" spans="1:10" s="70" customFormat="1" ht="12.75" customHeight="1" x14ac:dyDescent="0.2">
      <c r="A19" s="89">
        <v>45149</v>
      </c>
      <c r="B19" s="9" t="s">
        <v>11</v>
      </c>
      <c r="C19" s="76" t="s">
        <v>702</v>
      </c>
      <c r="D19" s="11" t="s">
        <v>29</v>
      </c>
      <c r="E19" s="31"/>
      <c r="F19" s="31">
        <v>100000</v>
      </c>
      <c r="G19" s="30"/>
      <c r="I19" s="69"/>
      <c r="J19" s="69"/>
    </row>
    <row r="20" spans="1:10" s="70" customFormat="1" ht="12.75" customHeight="1" x14ac:dyDescent="0.2">
      <c r="A20" s="89">
        <v>45149</v>
      </c>
      <c r="B20" s="9" t="s">
        <v>11</v>
      </c>
      <c r="C20" s="76" t="s">
        <v>1342</v>
      </c>
      <c r="D20" s="11" t="s">
        <v>29</v>
      </c>
      <c r="E20" s="31"/>
      <c r="F20" s="31">
        <v>485260</v>
      </c>
      <c r="G20" s="30"/>
      <c r="I20" s="69"/>
      <c r="J20" s="69"/>
    </row>
    <row r="21" spans="1:10" s="70" customFormat="1" ht="12.75" customHeight="1" x14ac:dyDescent="0.2">
      <c r="A21" s="89">
        <v>45149</v>
      </c>
      <c r="B21" s="9" t="s">
        <v>11</v>
      </c>
      <c r="C21" s="76" t="s">
        <v>1348</v>
      </c>
      <c r="D21" s="11" t="s">
        <v>29</v>
      </c>
      <c r="E21" s="31"/>
      <c r="F21" s="31">
        <v>500000</v>
      </c>
      <c r="G21" s="30"/>
      <c r="I21" s="69"/>
      <c r="J21" s="69"/>
    </row>
    <row r="22" spans="1:10" s="70" customFormat="1" ht="12.75" customHeight="1" x14ac:dyDescent="0.2">
      <c r="A22" s="89">
        <v>45149</v>
      </c>
      <c r="B22" s="9" t="s">
        <v>11</v>
      </c>
      <c r="C22" s="76" t="s">
        <v>1349</v>
      </c>
      <c r="D22" s="11" t="s">
        <v>29</v>
      </c>
      <c r="E22" s="31"/>
      <c r="F22" s="31">
        <v>44207</v>
      </c>
      <c r="G22" s="30"/>
      <c r="I22" s="69"/>
      <c r="J22" s="69"/>
    </row>
    <row r="23" spans="1:10" s="2" customFormat="1" ht="12.75" customHeight="1" x14ac:dyDescent="0.4">
      <c r="D23" s="11" t="s">
        <v>8</v>
      </c>
      <c r="E23" s="16">
        <f>SUM(E13:E22)</f>
        <v>2136631</v>
      </c>
      <c r="F23" s="16">
        <f>SUM(F12:F22)</f>
        <v>28011730.350000001</v>
      </c>
      <c r="G23" s="1"/>
      <c r="H23" s="112"/>
      <c r="I23" s="112"/>
    </row>
    <row r="24" spans="1:10" s="2" customFormat="1" ht="12.75" customHeight="1" x14ac:dyDescent="0.4">
      <c r="A24" s="17"/>
      <c r="B24" s="18"/>
      <c r="C24" s="96" t="s">
        <v>9</v>
      </c>
      <c r="D24" s="20"/>
      <c r="E24" s="21">
        <f>+F23-E23</f>
        <v>25875099.350000001</v>
      </c>
      <c r="G24" s="23"/>
      <c r="H24" s="112"/>
      <c r="I24" s="112"/>
      <c r="J24" s="13"/>
    </row>
    <row r="25" spans="1:10" s="2" customFormat="1" ht="12.75" customHeight="1" x14ac:dyDescent="0.4">
      <c r="A25" s="24"/>
      <c r="B25" s="1"/>
      <c r="C25" s="14"/>
      <c r="D25" s="25"/>
      <c r="G25" s="23"/>
      <c r="H25" s="112"/>
      <c r="I25" s="112"/>
      <c r="J25" s="13"/>
    </row>
    <row r="26" spans="1:10" s="2" customFormat="1" ht="21.75" customHeight="1" x14ac:dyDescent="0.4">
      <c r="A26" s="214" t="s">
        <v>10</v>
      </c>
      <c r="B26" s="214"/>
      <c r="C26" s="214"/>
      <c r="D26" s="214"/>
      <c r="E26" s="214"/>
      <c r="F26" s="214"/>
      <c r="G26" s="13"/>
      <c r="H26" s="112"/>
      <c r="I26" s="112"/>
      <c r="J26" s="13"/>
    </row>
    <row r="27" spans="1:10" s="2" customFormat="1" ht="12.75" customHeight="1" x14ac:dyDescent="0.4">
      <c r="A27" s="26" t="s">
        <v>1</v>
      </c>
      <c r="B27" s="27" t="s">
        <v>2</v>
      </c>
      <c r="C27" s="5"/>
      <c r="D27" s="6" t="s">
        <v>3</v>
      </c>
      <c r="E27" s="7" t="s">
        <v>4</v>
      </c>
      <c r="F27" s="7" t="s">
        <v>5</v>
      </c>
      <c r="G27" s="23"/>
      <c r="H27" s="112"/>
      <c r="I27" s="112"/>
      <c r="J27" s="13"/>
    </row>
    <row r="28" spans="1:10" s="2" customFormat="1" ht="12.75" customHeight="1" x14ac:dyDescent="0.2">
      <c r="A28" s="89">
        <v>45149</v>
      </c>
      <c r="B28" s="128" t="s">
        <v>11</v>
      </c>
      <c r="C28" s="29" t="s">
        <v>7</v>
      </c>
      <c r="D28" s="25"/>
      <c r="E28" s="31"/>
      <c r="F28" s="2">
        <v>357563244.75999981</v>
      </c>
      <c r="G28" s="30"/>
      <c r="I28" s="13"/>
      <c r="J28" s="13"/>
    </row>
    <row r="29" spans="1:10" s="70" customFormat="1" ht="12.75" customHeight="1" x14ac:dyDescent="0.2">
      <c r="A29" s="89">
        <v>45149</v>
      </c>
      <c r="B29" s="128" t="s">
        <v>6</v>
      </c>
      <c r="C29" s="10" t="s">
        <v>146</v>
      </c>
      <c r="D29" s="11" t="s">
        <v>13</v>
      </c>
      <c r="E29" s="86">
        <v>599600.06999999995</v>
      </c>
      <c r="G29" s="30"/>
      <c r="I29" s="69"/>
      <c r="J29" s="69"/>
    </row>
    <row r="30" spans="1:10" s="70" customFormat="1" ht="12.75" customHeight="1" x14ac:dyDescent="0.2">
      <c r="A30" s="89">
        <v>45149</v>
      </c>
      <c r="B30" s="128" t="s">
        <v>6</v>
      </c>
      <c r="C30" s="10" t="s">
        <v>1350</v>
      </c>
      <c r="D30" s="11" t="s">
        <v>13</v>
      </c>
      <c r="E30" s="86">
        <v>7140</v>
      </c>
      <c r="G30" s="30"/>
      <c r="I30" s="69"/>
      <c r="J30" s="69"/>
    </row>
    <row r="31" spans="1:10" s="70" customFormat="1" ht="12.75" customHeight="1" x14ac:dyDescent="0.2">
      <c r="A31" s="89">
        <v>45149</v>
      </c>
      <c r="B31" s="128" t="s">
        <v>6</v>
      </c>
      <c r="C31" s="10" t="s">
        <v>257</v>
      </c>
      <c r="D31" s="11" t="s">
        <v>13</v>
      </c>
      <c r="E31" s="86">
        <v>529536.6</v>
      </c>
      <c r="G31" s="30"/>
      <c r="I31" s="69"/>
      <c r="J31" s="69"/>
    </row>
    <row r="32" spans="1:10" s="70" customFormat="1" ht="12.75" customHeight="1" x14ac:dyDescent="0.2">
      <c r="A32" s="89">
        <v>45149</v>
      </c>
      <c r="B32" s="128" t="s">
        <v>6</v>
      </c>
      <c r="C32" s="10" t="s">
        <v>667</v>
      </c>
      <c r="D32" s="11" t="s">
        <v>13</v>
      </c>
      <c r="E32" s="86">
        <v>4140</v>
      </c>
      <c r="G32" s="30"/>
      <c r="I32" s="69"/>
      <c r="J32" s="69"/>
    </row>
    <row r="33" spans="1:10" s="70" customFormat="1" ht="12.75" customHeight="1" x14ac:dyDescent="0.2">
      <c r="A33" s="89">
        <v>45149</v>
      </c>
      <c r="B33" s="128" t="s">
        <v>6</v>
      </c>
      <c r="C33" s="10" t="s">
        <v>145</v>
      </c>
      <c r="D33" s="11" t="s">
        <v>13</v>
      </c>
      <c r="E33" s="86">
        <v>399224</v>
      </c>
      <c r="G33" s="30"/>
      <c r="I33" s="69"/>
      <c r="J33" s="69"/>
    </row>
    <row r="34" spans="1:10" s="70" customFormat="1" ht="12.75" customHeight="1" x14ac:dyDescent="0.2">
      <c r="A34" s="89">
        <v>45149</v>
      </c>
      <c r="B34" s="128" t="s">
        <v>6</v>
      </c>
      <c r="C34" s="10" t="s">
        <v>1033</v>
      </c>
      <c r="D34" s="11" t="s">
        <v>13</v>
      </c>
      <c r="E34" s="86">
        <v>9267460</v>
      </c>
      <c r="G34" s="30"/>
      <c r="I34" s="69"/>
      <c r="J34" s="69"/>
    </row>
    <row r="35" spans="1:10" s="70" customFormat="1" ht="12.75" customHeight="1" x14ac:dyDescent="0.2">
      <c r="A35" s="89">
        <v>45149</v>
      </c>
      <c r="B35" s="128" t="s">
        <v>6</v>
      </c>
      <c r="C35" s="10" t="s">
        <v>614</v>
      </c>
      <c r="D35" s="11" t="s">
        <v>13</v>
      </c>
      <c r="E35" s="86">
        <v>1140342</v>
      </c>
      <c r="G35" s="30"/>
      <c r="I35" s="69"/>
      <c r="J35" s="69"/>
    </row>
    <row r="36" spans="1:10" s="70" customFormat="1" ht="12.75" customHeight="1" x14ac:dyDescent="0.2">
      <c r="A36" s="89">
        <v>45149</v>
      </c>
      <c r="B36" s="128" t="s">
        <v>6</v>
      </c>
      <c r="C36" s="10" t="s">
        <v>144</v>
      </c>
      <c r="D36" s="11" t="s">
        <v>13</v>
      </c>
      <c r="E36" s="86">
        <v>727546</v>
      </c>
      <c r="G36" s="30"/>
      <c r="I36" s="69"/>
      <c r="J36" s="69"/>
    </row>
    <row r="37" spans="1:10" s="70" customFormat="1" ht="12.75" customHeight="1" x14ac:dyDescent="0.2">
      <c r="A37" s="89">
        <v>45149</v>
      </c>
      <c r="B37" s="128" t="s">
        <v>6</v>
      </c>
      <c r="C37" s="10" t="s">
        <v>234</v>
      </c>
      <c r="D37" s="11" t="s">
        <v>13</v>
      </c>
      <c r="E37" s="86">
        <v>6472</v>
      </c>
      <c r="G37" s="30"/>
      <c r="I37" s="69"/>
      <c r="J37" s="69"/>
    </row>
    <row r="38" spans="1:10" s="70" customFormat="1" ht="12.75" customHeight="1" x14ac:dyDescent="0.2">
      <c r="A38" s="89">
        <v>45149</v>
      </c>
      <c r="B38" s="128" t="s">
        <v>6</v>
      </c>
      <c r="C38" s="10" t="s">
        <v>320</v>
      </c>
      <c r="D38" s="11" t="s">
        <v>13</v>
      </c>
      <c r="E38" s="86">
        <v>1838</v>
      </c>
      <c r="G38" s="30"/>
      <c r="I38" s="69"/>
      <c r="J38" s="69"/>
    </row>
    <row r="39" spans="1:10" s="70" customFormat="1" ht="12.75" customHeight="1" x14ac:dyDescent="0.2">
      <c r="A39" s="89">
        <v>45149</v>
      </c>
      <c r="B39" s="128" t="s">
        <v>6</v>
      </c>
      <c r="C39" s="10" t="s">
        <v>450</v>
      </c>
      <c r="D39" s="11" t="s">
        <v>13</v>
      </c>
      <c r="E39" s="86">
        <v>857037</v>
      </c>
      <c r="G39" s="30"/>
      <c r="I39" s="69"/>
      <c r="J39" s="69"/>
    </row>
    <row r="40" spans="1:10" s="70" customFormat="1" ht="12.75" customHeight="1" x14ac:dyDescent="0.2">
      <c r="A40" s="89">
        <v>45149</v>
      </c>
      <c r="B40" s="128" t="s">
        <v>6</v>
      </c>
      <c r="C40" s="10" t="s">
        <v>272</v>
      </c>
      <c r="D40" s="11" t="s">
        <v>13</v>
      </c>
      <c r="E40" s="86">
        <v>663488</v>
      </c>
      <c r="G40" s="30"/>
      <c r="I40" s="69"/>
      <c r="J40" s="69"/>
    </row>
    <row r="41" spans="1:10" s="70" customFormat="1" ht="12.75" customHeight="1" x14ac:dyDescent="0.2">
      <c r="A41" s="89">
        <v>45149</v>
      </c>
      <c r="B41" s="128" t="s">
        <v>6</v>
      </c>
      <c r="C41" s="10" t="s">
        <v>627</v>
      </c>
      <c r="D41" s="11" t="s">
        <v>13</v>
      </c>
      <c r="E41" s="86">
        <v>4804</v>
      </c>
      <c r="G41" s="30"/>
      <c r="I41" s="69"/>
      <c r="J41" s="69"/>
    </row>
    <row r="42" spans="1:10" s="70" customFormat="1" ht="12.75" customHeight="1" x14ac:dyDescent="0.2">
      <c r="A42" s="89">
        <v>45149</v>
      </c>
      <c r="B42" s="128" t="s">
        <v>6</v>
      </c>
      <c r="C42" s="10" t="s">
        <v>19</v>
      </c>
      <c r="D42" s="11" t="s">
        <v>13</v>
      </c>
      <c r="E42" s="86">
        <v>5664.6</v>
      </c>
      <c r="G42" s="30"/>
      <c r="I42" s="69"/>
      <c r="J42" s="69"/>
    </row>
    <row r="43" spans="1:10" s="70" customFormat="1" ht="12.75" customHeight="1" x14ac:dyDescent="0.2">
      <c r="A43" s="89">
        <v>45149</v>
      </c>
      <c r="B43" s="128" t="s">
        <v>6</v>
      </c>
      <c r="C43" s="10" t="s">
        <v>1235</v>
      </c>
      <c r="D43" s="11" t="s">
        <v>13</v>
      </c>
      <c r="E43" s="86">
        <v>1515870</v>
      </c>
      <c r="G43" s="30"/>
      <c r="I43" s="69"/>
      <c r="J43" s="69"/>
    </row>
    <row r="44" spans="1:10" s="70" customFormat="1" ht="12.75" customHeight="1" x14ac:dyDescent="0.2">
      <c r="A44" s="89">
        <v>45149</v>
      </c>
      <c r="B44" s="128" t="s">
        <v>6</v>
      </c>
      <c r="C44" s="10" t="s">
        <v>583</v>
      </c>
      <c r="D44" s="11" t="s">
        <v>13</v>
      </c>
      <c r="E44" s="86">
        <v>1007170</v>
      </c>
      <c r="G44" s="30"/>
      <c r="I44" s="69"/>
      <c r="J44" s="69"/>
    </row>
    <row r="45" spans="1:10" s="70" customFormat="1" ht="12.75" customHeight="1" x14ac:dyDescent="0.2">
      <c r="A45" s="89">
        <v>45149</v>
      </c>
      <c r="B45" s="128" t="s">
        <v>6</v>
      </c>
      <c r="C45" s="10" t="s">
        <v>1352</v>
      </c>
      <c r="D45" s="11" t="s">
        <v>13</v>
      </c>
      <c r="E45" s="86">
        <v>12970</v>
      </c>
      <c r="G45" s="30"/>
      <c r="I45" s="69"/>
      <c r="J45" s="69"/>
    </row>
    <row r="46" spans="1:10" s="70" customFormat="1" ht="12.75" customHeight="1" x14ac:dyDescent="0.2">
      <c r="A46" s="89">
        <v>45149</v>
      </c>
      <c r="B46" s="128" t="s">
        <v>6</v>
      </c>
      <c r="C46" s="10" t="s">
        <v>379</v>
      </c>
      <c r="D46" s="11" t="s">
        <v>13</v>
      </c>
      <c r="E46" s="86">
        <v>185055.63</v>
      </c>
      <c r="G46" s="30"/>
      <c r="I46" s="69"/>
      <c r="J46" s="69"/>
    </row>
    <row r="47" spans="1:10" s="70" customFormat="1" ht="12.75" customHeight="1" x14ac:dyDescent="0.2">
      <c r="A47" s="89">
        <v>45149</v>
      </c>
      <c r="B47" s="128" t="s">
        <v>6</v>
      </c>
      <c r="C47" s="10" t="s">
        <v>1351</v>
      </c>
      <c r="D47" s="11" t="s">
        <v>13</v>
      </c>
      <c r="E47" s="86">
        <v>18790</v>
      </c>
      <c r="G47" s="30"/>
      <c r="I47" s="69"/>
      <c r="J47" s="69"/>
    </row>
    <row r="48" spans="1:10" s="70" customFormat="1" ht="12.75" customHeight="1" x14ac:dyDescent="0.2">
      <c r="A48" s="89">
        <v>45149</v>
      </c>
      <c r="B48" s="128" t="s">
        <v>6</v>
      </c>
      <c r="C48" s="10" t="s">
        <v>376</v>
      </c>
      <c r="D48" s="11" t="s">
        <v>13</v>
      </c>
      <c r="E48" s="86">
        <v>218616</v>
      </c>
      <c r="G48" s="30"/>
      <c r="I48" s="69"/>
      <c r="J48" s="69"/>
    </row>
    <row r="49" spans="1:10" s="70" customFormat="1" ht="12.75" customHeight="1" x14ac:dyDescent="0.2">
      <c r="A49" s="89">
        <v>45149</v>
      </c>
      <c r="B49" s="128" t="s">
        <v>6</v>
      </c>
      <c r="C49" s="10" t="s">
        <v>22</v>
      </c>
      <c r="D49" s="11" t="s">
        <v>13</v>
      </c>
      <c r="E49" s="86">
        <v>209182.1</v>
      </c>
      <c r="G49" s="30"/>
      <c r="I49" s="69"/>
      <c r="J49" s="69"/>
    </row>
    <row r="50" spans="1:10" s="70" customFormat="1" ht="12.75" customHeight="1" x14ac:dyDescent="0.2">
      <c r="A50" s="89">
        <v>45149</v>
      </c>
      <c r="B50" s="128" t="s">
        <v>6</v>
      </c>
      <c r="C50" s="10" t="s">
        <v>564</v>
      </c>
      <c r="D50" s="11" t="s">
        <v>13</v>
      </c>
      <c r="E50" s="86">
        <v>2432120.37</v>
      </c>
      <c r="G50" s="30"/>
      <c r="I50" s="69"/>
      <c r="J50" s="69"/>
    </row>
    <row r="51" spans="1:10" s="70" customFormat="1" ht="12.75" customHeight="1" x14ac:dyDescent="0.2">
      <c r="A51" s="89">
        <v>45149</v>
      </c>
      <c r="B51" s="128" t="s">
        <v>6</v>
      </c>
      <c r="C51" s="10" t="s">
        <v>560</v>
      </c>
      <c r="D51" s="11" t="s">
        <v>13</v>
      </c>
      <c r="E51" s="86">
        <v>83889.81</v>
      </c>
      <c r="G51" s="30"/>
      <c r="I51" s="69"/>
      <c r="J51" s="69"/>
    </row>
    <row r="52" spans="1:10" s="70" customFormat="1" ht="12.75" customHeight="1" x14ac:dyDescent="0.2">
      <c r="A52" s="89">
        <v>45149</v>
      </c>
      <c r="B52" s="128" t="s">
        <v>6</v>
      </c>
      <c r="C52" s="10" t="s">
        <v>14</v>
      </c>
      <c r="D52" s="11" t="s">
        <v>13</v>
      </c>
      <c r="E52" s="86">
        <v>1060474</v>
      </c>
      <c r="G52" s="30"/>
      <c r="I52" s="69"/>
      <c r="J52" s="69"/>
    </row>
    <row r="53" spans="1:10" s="70" customFormat="1" ht="12.75" customHeight="1" x14ac:dyDescent="0.2">
      <c r="A53" s="89">
        <v>45149</v>
      </c>
      <c r="B53" s="128" t="s">
        <v>6</v>
      </c>
      <c r="C53" s="10" t="s">
        <v>180</v>
      </c>
      <c r="D53" s="11" t="s">
        <v>13</v>
      </c>
      <c r="E53" s="86">
        <v>5250</v>
      </c>
      <c r="G53" s="30"/>
      <c r="I53" s="69"/>
      <c r="J53" s="69"/>
    </row>
    <row r="54" spans="1:10" s="70" customFormat="1" ht="12.75" customHeight="1" x14ac:dyDescent="0.2">
      <c r="A54" s="89">
        <v>45149</v>
      </c>
      <c r="B54" s="128" t="s">
        <v>6</v>
      </c>
      <c r="C54" s="10" t="s">
        <v>545</v>
      </c>
      <c r="D54" s="11" t="s">
        <v>13</v>
      </c>
      <c r="E54" s="86">
        <v>150251</v>
      </c>
      <c r="G54" s="30"/>
      <c r="I54" s="69"/>
      <c r="J54" s="69"/>
    </row>
    <row r="55" spans="1:10" s="70" customFormat="1" ht="12.75" customHeight="1" x14ac:dyDescent="0.2">
      <c r="A55" s="89">
        <v>45149</v>
      </c>
      <c r="B55" s="128" t="s">
        <v>11</v>
      </c>
      <c r="C55" s="10" t="s">
        <v>109</v>
      </c>
      <c r="D55" s="11" t="s">
        <v>29</v>
      </c>
      <c r="E55" s="86"/>
      <c r="F55" s="70">
        <v>1272830</v>
      </c>
      <c r="G55" s="30"/>
      <c r="I55" s="69"/>
      <c r="J55" s="69"/>
    </row>
    <row r="56" spans="1:10" s="70" customFormat="1" ht="12.75" customHeight="1" x14ac:dyDescent="0.2">
      <c r="A56" s="89">
        <v>45149</v>
      </c>
      <c r="B56" s="128" t="s">
        <v>11</v>
      </c>
      <c r="C56" s="10" t="s">
        <v>125</v>
      </c>
      <c r="D56" s="11" t="s">
        <v>29</v>
      </c>
      <c r="E56" s="86"/>
      <c r="F56" s="70">
        <v>443710</v>
      </c>
      <c r="G56" s="30"/>
      <c r="I56" s="69"/>
      <c r="J56" s="69"/>
    </row>
    <row r="57" spans="1:10" s="70" customFormat="1" ht="12.75" customHeight="1" x14ac:dyDescent="0.2">
      <c r="A57" s="89">
        <v>45149</v>
      </c>
      <c r="B57" s="128" t="s">
        <v>11</v>
      </c>
      <c r="C57" s="10" t="s">
        <v>64</v>
      </c>
      <c r="D57" s="11" t="s">
        <v>29</v>
      </c>
      <c r="E57" s="86"/>
      <c r="F57" s="70">
        <v>14750.26</v>
      </c>
      <c r="G57" s="30"/>
      <c r="I57" s="69"/>
      <c r="J57" s="69"/>
    </row>
    <row r="58" spans="1:10" s="70" customFormat="1" ht="12.75" customHeight="1" x14ac:dyDescent="0.2">
      <c r="A58" s="89">
        <v>45149</v>
      </c>
      <c r="B58" s="128" t="s">
        <v>11</v>
      </c>
      <c r="C58" s="10" t="s">
        <v>363</v>
      </c>
      <c r="D58" s="11" t="s">
        <v>29</v>
      </c>
      <c r="E58" s="86"/>
      <c r="F58" s="70">
        <v>61627</v>
      </c>
      <c r="G58" s="30"/>
      <c r="I58" s="69"/>
      <c r="J58" s="69"/>
    </row>
    <row r="59" spans="1:10" s="70" customFormat="1" ht="12.75" customHeight="1" x14ac:dyDescent="0.2">
      <c r="A59" s="89">
        <v>45149</v>
      </c>
      <c r="B59" s="128" t="s">
        <v>11</v>
      </c>
      <c r="C59" s="10" t="s">
        <v>698</v>
      </c>
      <c r="D59" s="11" t="s">
        <v>29</v>
      </c>
      <c r="E59" s="86"/>
      <c r="F59" s="70">
        <v>8060</v>
      </c>
      <c r="G59" s="30"/>
      <c r="I59" s="69"/>
      <c r="J59" s="69"/>
    </row>
    <row r="60" spans="1:10" s="70" customFormat="1" ht="12.75" customHeight="1" x14ac:dyDescent="0.2">
      <c r="A60" s="89">
        <v>45149</v>
      </c>
      <c r="B60" s="128" t="s">
        <v>11</v>
      </c>
      <c r="C60" s="10" t="s">
        <v>250</v>
      </c>
      <c r="D60" s="11" t="s">
        <v>29</v>
      </c>
      <c r="E60" s="86"/>
      <c r="F60" s="70">
        <v>5408</v>
      </c>
      <c r="G60" s="30"/>
      <c r="I60" s="69"/>
      <c r="J60" s="69"/>
    </row>
    <row r="61" spans="1:10" s="70" customFormat="1" ht="12.75" customHeight="1" x14ac:dyDescent="0.2">
      <c r="A61" s="89">
        <v>45149</v>
      </c>
      <c r="B61" s="128" t="s">
        <v>11</v>
      </c>
      <c r="C61" s="10" t="s">
        <v>34</v>
      </c>
      <c r="D61" s="11" t="s">
        <v>29</v>
      </c>
      <c r="E61" s="86"/>
      <c r="F61" s="70">
        <v>20000</v>
      </c>
      <c r="G61" s="30"/>
      <c r="I61" s="69"/>
      <c r="J61" s="69"/>
    </row>
    <row r="62" spans="1:10" s="70" customFormat="1" ht="12.75" customHeight="1" x14ac:dyDescent="0.2">
      <c r="A62" s="89">
        <v>45149</v>
      </c>
      <c r="B62" s="128" t="s">
        <v>11</v>
      </c>
      <c r="C62" s="10" t="s">
        <v>39</v>
      </c>
      <c r="D62" s="11" t="s">
        <v>29</v>
      </c>
      <c r="E62" s="86"/>
      <c r="F62" s="70">
        <v>66248</v>
      </c>
      <c r="G62" s="30"/>
      <c r="I62" s="69"/>
      <c r="J62" s="69"/>
    </row>
    <row r="63" spans="1:10" s="70" customFormat="1" ht="12.75" customHeight="1" x14ac:dyDescent="0.2">
      <c r="A63" s="89">
        <v>45149</v>
      </c>
      <c r="B63" s="128" t="s">
        <v>11</v>
      </c>
      <c r="C63" s="10" t="s">
        <v>476</v>
      </c>
      <c r="D63" s="11" t="s">
        <v>29</v>
      </c>
      <c r="E63" s="86"/>
      <c r="F63" s="70">
        <v>108652</v>
      </c>
      <c r="G63" s="30"/>
      <c r="I63" s="69"/>
      <c r="J63" s="69"/>
    </row>
    <row r="64" spans="1:10" s="70" customFormat="1" ht="12.75" customHeight="1" x14ac:dyDescent="0.2">
      <c r="A64" s="89">
        <v>45149</v>
      </c>
      <c r="B64" s="128" t="s">
        <v>11</v>
      </c>
      <c r="C64" s="10" t="s">
        <v>58</v>
      </c>
      <c r="D64" s="11" t="s">
        <v>29</v>
      </c>
      <c r="E64" s="86"/>
      <c r="F64" s="70">
        <v>508991</v>
      </c>
      <c r="G64" s="30"/>
      <c r="I64" s="69"/>
      <c r="J64" s="69"/>
    </row>
    <row r="65" spans="1:13" s="70" customFormat="1" ht="12.75" customHeight="1" x14ac:dyDescent="0.2">
      <c r="A65" s="89">
        <v>45149</v>
      </c>
      <c r="B65" s="128" t="s">
        <v>11</v>
      </c>
      <c r="C65" s="10" t="s">
        <v>59</v>
      </c>
      <c r="D65" s="11" t="s">
        <v>29</v>
      </c>
      <c r="E65" s="86"/>
      <c r="F65" s="70">
        <v>4720</v>
      </c>
      <c r="G65" s="30"/>
      <c r="I65" s="69"/>
      <c r="J65" s="69"/>
    </row>
    <row r="66" spans="1:13" s="70" customFormat="1" ht="12.75" customHeight="1" x14ac:dyDescent="0.2">
      <c r="A66" s="89">
        <v>45149</v>
      </c>
      <c r="B66" s="128" t="s">
        <v>11</v>
      </c>
      <c r="C66" s="10" t="s">
        <v>958</v>
      </c>
      <c r="D66" s="11" t="s">
        <v>29</v>
      </c>
      <c r="E66" s="86"/>
      <c r="F66" s="70">
        <v>8260</v>
      </c>
      <c r="G66" s="30"/>
      <c r="I66" s="69"/>
      <c r="J66" s="69"/>
    </row>
    <row r="67" spans="1:13" s="70" customFormat="1" ht="12.75" customHeight="1" x14ac:dyDescent="0.2">
      <c r="A67" s="89">
        <v>45149</v>
      </c>
      <c r="B67" s="128" t="s">
        <v>11</v>
      </c>
      <c r="C67" s="10" t="s">
        <v>885</v>
      </c>
      <c r="D67" s="11" t="s">
        <v>29</v>
      </c>
      <c r="E67" s="86"/>
      <c r="F67" s="70">
        <v>5250</v>
      </c>
      <c r="G67" s="30"/>
      <c r="I67" s="69"/>
      <c r="J67" s="69"/>
    </row>
    <row r="68" spans="1:13" s="70" customFormat="1" ht="12.75" customHeight="1" x14ac:dyDescent="0.2">
      <c r="A68" s="89">
        <v>45149</v>
      </c>
      <c r="B68" s="128" t="s">
        <v>11</v>
      </c>
      <c r="C68" s="10" t="s">
        <v>436</v>
      </c>
      <c r="D68" s="11" t="s">
        <v>29</v>
      </c>
      <c r="E68" s="86"/>
      <c r="F68" s="70">
        <v>13394</v>
      </c>
      <c r="G68" s="30"/>
      <c r="I68" s="69"/>
      <c r="J68" s="69"/>
    </row>
    <row r="69" spans="1:13" s="70" customFormat="1" ht="12.75" customHeight="1" x14ac:dyDescent="0.2">
      <c r="A69" s="89">
        <v>45149</v>
      </c>
      <c r="B69" s="128" t="s">
        <v>11</v>
      </c>
      <c r="C69" s="10" t="s">
        <v>392</v>
      </c>
      <c r="D69" s="11" t="s">
        <v>29</v>
      </c>
      <c r="E69" s="86"/>
      <c r="F69" s="70">
        <v>17287</v>
      </c>
      <c r="G69" s="30"/>
      <c r="I69" s="69"/>
      <c r="J69" s="69"/>
    </row>
    <row r="70" spans="1:13" s="70" customFormat="1" ht="12.75" customHeight="1" x14ac:dyDescent="0.2">
      <c r="A70" s="89">
        <v>45149</v>
      </c>
      <c r="B70" s="128" t="s">
        <v>11</v>
      </c>
      <c r="C70" s="10" t="s">
        <v>528</v>
      </c>
      <c r="D70" s="11" t="s">
        <v>29</v>
      </c>
      <c r="E70" s="86"/>
      <c r="F70" s="70">
        <v>122072.01</v>
      </c>
      <c r="G70" s="30"/>
      <c r="I70" s="69"/>
      <c r="J70" s="69"/>
    </row>
    <row r="71" spans="1:13" s="70" customFormat="1" ht="12.75" customHeight="1" x14ac:dyDescent="0.2">
      <c r="A71" s="89">
        <v>45149</v>
      </c>
      <c r="B71" s="128" t="s">
        <v>11</v>
      </c>
      <c r="C71" s="10" t="s">
        <v>362</v>
      </c>
      <c r="D71" s="11" t="s">
        <v>29</v>
      </c>
      <c r="E71" s="86"/>
      <c r="F71" s="70">
        <v>812</v>
      </c>
      <c r="G71" s="30"/>
      <c r="I71" s="69"/>
      <c r="J71" s="69"/>
    </row>
    <row r="72" spans="1:13" s="70" customFormat="1" ht="12.75" customHeight="1" x14ac:dyDescent="0.2">
      <c r="A72" s="89">
        <v>45149</v>
      </c>
      <c r="B72" s="128" t="s">
        <v>11</v>
      </c>
      <c r="C72" s="10" t="s">
        <v>137</v>
      </c>
      <c r="D72" s="11" t="s">
        <v>29</v>
      </c>
      <c r="E72" s="86"/>
      <c r="F72" s="70">
        <v>243315</v>
      </c>
      <c r="G72" s="30"/>
      <c r="I72" s="69"/>
      <c r="J72" s="69"/>
    </row>
    <row r="73" spans="1:13" s="70" customFormat="1" ht="12.75" customHeight="1" x14ac:dyDescent="0.2">
      <c r="A73" s="89">
        <v>45149</v>
      </c>
      <c r="B73" s="128" t="s">
        <v>11</v>
      </c>
      <c r="C73" s="10" t="s">
        <v>47</v>
      </c>
      <c r="D73" s="11" t="s">
        <v>29</v>
      </c>
      <c r="E73" s="86"/>
      <c r="F73" s="70">
        <v>11257</v>
      </c>
      <c r="G73" s="30"/>
      <c r="I73" s="69"/>
      <c r="J73" s="69"/>
    </row>
    <row r="74" spans="1:13" s="70" customFormat="1" ht="12.75" customHeight="1" x14ac:dyDescent="0.2">
      <c r="A74" s="89">
        <v>45149</v>
      </c>
      <c r="B74" s="128" t="s">
        <v>11</v>
      </c>
      <c r="C74" s="10" t="s">
        <v>126</v>
      </c>
      <c r="D74" s="11" t="s">
        <v>29</v>
      </c>
      <c r="E74" s="86"/>
      <c r="F74" s="70">
        <v>876732</v>
      </c>
      <c r="G74" s="30"/>
      <c r="I74" s="69"/>
      <c r="J74" s="69"/>
    </row>
    <row r="75" spans="1:13" s="70" customFormat="1" ht="12.75" customHeight="1" x14ac:dyDescent="0.2">
      <c r="A75" s="89">
        <v>45149</v>
      </c>
      <c r="B75" s="128" t="s">
        <v>11</v>
      </c>
      <c r="C75" s="10" t="s">
        <v>346</v>
      </c>
      <c r="D75" s="11" t="s">
        <v>29</v>
      </c>
      <c r="E75" s="86"/>
      <c r="F75" s="70">
        <v>116929</v>
      </c>
      <c r="G75" s="30"/>
      <c r="I75" s="69"/>
      <c r="J75" s="69"/>
    </row>
    <row r="76" spans="1:13" s="70" customFormat="1" ht="12.75" customHeight="1" x14ac:dyDescent="0.2">
      <c r="A76" s="89">
        <v>45149</v>
      </c>
      <c r="B76" s="128" t="s">
        <v>11</v>
      </c>
      <c r="C76" s="10" t="s">
        <v>691</v>
      </c>
      <c r="D76" s="11" t="s">
        <v>29</v>
      </c>
      <c r="E76" s="86"/>
      <c r="F76" s="70">
        <v>1739</v>
      </c>
      <c r="G76" s="30"/>
      <c r="I76" s="69"/>
      <c r="J76" s="69"/>
    </row>
    <row r="77" spans="1:13" s="70" customFormat="1" ht="12.75" customHeight="1" x14ac:dyDescent="0.2">
      <c r="A77" s="89">
        <v>45149</v>
      </c>
      <c r="B77" s="128" t="s">
        <v>11</v>
      </c>
      <c r="C77" s="10" t="s">
        <v>63</v>
      </c>
      <c r="D77" s="11" t="s">
        <v>29</v>
      </c>
      <c r="E77" s="86"/>
      <c r="F77" s="70">
        <v>2000000</v>
      </c>
      <c r="G77" s="30"/>
      <c r="I77" s="69"/>
      <c r="J77" s="69"/>
    </row>
    <row r="78" spans="1:13" s="70" customFormat="1" ht="12.75" customHeight="1" x14ac:dyDescent="0.2">
      <c r="A78" s="89">
        <v>45149</v>
      </c>
      <c r="B78" s="128" t="s">
        <v>11</v>
      </c>
      <c r="C78" s="10" t="s">
        <v>156</v>
      </c>
      <c r="D78" s="11" t="s">
        <v>29</v>
      </c>
      <c r="E78" s="86"/>
      <c r="F78" s="70">
        <v>300</v>
      </c>
      <c r="G78" s="30"/>
      <c r="I78" s="69"/>
      <c r="J78" s="69"/>
    </row>
    <row r="79" spans="1:13" s="70" customFormat="1" ht="12.75" customHeight="1" x14ac:dyDescent="0.2">
      <c r="A79" s="89">
        <v>45149</v>
      </c>
      <c r="B79" s="128" t="s">
        <v>11</v>
      </c>
      <c r="C79" s="10" t="s">
        <v>243</v>
      </c>
      <c r="D79" s="11" t="s">
        <v>29</v>
      </c>
      <c r="E79" s="86"/>
      <c r="F79" s="70">
        <v>2824.92</v>
      </c>
      <c r="G79" s="30"/>
      <c r="I79" s="69"/>
      <c r="J79" s="69"/>
    </row>
    <row r="80" spans="1:13" s="2" customFormat="1" ht="12.75" customHeight="1" x14ac:dyDescent="0.2">
      <c r="A80" s="32"/>
      <c r="B80" s="33"/>
      <c r="C80" s="14"/>
      <c r="D80" s="34"/>
      <c r="E80" s="16">
        <f>SUM(E28:E79)</f>
        <v>21113931.18</v>
      </c>
      <c r="F80" s="16">
        <f>SUM(F28:F79)</f>
        <v>363498412.94999981</v>
      </c>
      <c r="G80" s="30"/>
      <c r="H80" s="1"/>
      <c r="I80" s="38">
        <v>342384481.76999998</v>
      </c>
      <c r="J80" s="2" t="s">
        <v>396</v>
      </c>
      <c r="K80" s="92">
        <f>E81-I80</f>
        <v>0</v>
      </c>
      <c r="L80" s="41"/>
      <c r="M80" s="42"/>
    </row>
    <row r="81" spans="1:14" s="2" customFormat="1" ht="12.75" customHeight="1" x14ac:dyDescent="0.2">
      <c r="A81" s="36"/>
      <c r="B81" s="28" t="s">
        <v>11</v>
      </c>
      <c r="C81" s="19" t="s">
        <v>65</v>
      </c>
      <c r="D81" s="37"/>
      <c r="E81" s="38">
        <f>F80-E80</f>
        <v>342384481.7699998</v>
      </c>
      <c r="F81" s="22"/>
      <c r="G81" s="1"/>
      <c r="H81" s="1"/>
      <c r="J81" s="1"/>
      <c r="K81" s="1"/>
      <c r="L81" s="1"/>
      <c r="M81" s="1"/>
    </row>
    <row r="82" spans="1:14" s="2" customFormat="1" ht="12.75" customHeight="1" x14ac:dyDescent="0.2">
      <c r="A82" s="36"/>
      <c r="B82" s="28" t="s">
        <v>66</v>
      </c>
      <c r="C82" s="43" t="s">
        <v>67</v>
      </c>
      <c r="D82" s="43"/>
      <c r="E82" s="12">
        <v>0</v>
      </c>
      <c r="F82" s="22"/>
      <c r="G82" s="1"/>
      <c r="H82" s="40"/>
      <c r="I82" s="45">
        <v>1618.35</v>
      </c>
      <c r="J82" s="46"/>
      <c r="K82" s="46"/>
      <c r="L82" s="13"/>
      <c r="M82" s="69" t="s">
        <v>396</v>
      </c>
    </row>
    <row r="83" spans="1:14" s="2" customFormat="1" ht="12.75" customHeight="1" x14ac:dyDescent="0.25">
      <c r="A83" s="36"/>
      <c r="B83" s="28"/>
      <c r="C83" s="44" t="s">
        <v>68</v>
      </c>
      <c r="D83" s="43"/>
      <c r="E83" s="7">
        <f>E81+E82</f>
        <v>342384481.7699998</v>
      </c>
      <c r="F83" s="22"/>
      <c r="G83" s="1"/>
      <c r="H83" s="103" t="s">
        <v>69</v>
      </c>
      <c r="I83" s="45">
        <v>99.19</v>
      </c>
      <c r="J83" s="46"/>
      <c r="K83" s="46"/>
      <c r="N83" s="1"/>
    </row>
    <row r="84" spans="1:14" s="2" customFormat="1" x14ac:dyDescent="0.2">
      <c r="A84" s="24"/>
      <c r="B84" s="1"/>
      <c r="C84" s="14"/>
      <c r="D84" s="25"/>
      <c r="E84" s="1"/>
      <c r="H84" s="35" t="s">
        <v>70</v>
      </c>
      <c r="I84" s="45">
        <v>-52.77</v>
      </c>
      <c r="J84" s="46">
        <f>+I85-D87</f>
        <v>0</v>
      </c>
      <c r="M84" s="2" t="s">
        <v>396</v>
      </c>
      <c r="N84" s="1"/>
    </row>
    <row r="85" spans="1:14" x14ac:dyDescent="0.2">
      <c r="C85" s="56"/>
      <c r="D85" s="56"/>
      <c r="E85" s="104"/>
      <c r="I85" s="49">
        <f>SUM(I82:I84)</f>
        <v>1664.77</v>
      </c>
      <c r="J85" s="46"/>
      <c r="K85" s="46"/>
      <c r="L85" s="2"/>
      <c r="M85" s="2"/>
      <c r="N85" s="2"/>
    </row>
    <row r="86" spans="1:14" x14ac:dyDescent="0.2">
      <c r="C86" s="78" t="s">
        <v>575</v>
      </c>
      <c r="D86" s="48" t="s">
        <v>576</v>
      </c>
      <c r="E86" s="104"/>
      <c r="I86" s="2"/>
      <c r="J86" s="2"/>
      <c r="K86" s="2"/>
      <c r="L86" s="2"/>
      <c r="M86" s="2"/>
      <c r="N86" s="2"/>
    </row>
    <row r="87" spans="1:14" s="2" customFormat="1" x14ac:dyDescent="0.2">
      <c r="A87" s="24"/>
      <c r="B87" s="1"/>
      <c r="C87" s="47" t="s">
        <v>570</v>
      </c>
      <c r="D87" s="111">
        <v>1664.77</v>
      </c>
      <c r="E87" s="104"/>
      <c r="G87" s="1"/>
      <c r="H87" s="110" t="s">
        <v>581</v>
      </c>
      <c r="N87" s="2" t="s">
        <v>535</v>
      </c>
    </row>
    <row r="88" spans="1:14" s="2" customFormat="1" x14ac:dyDescent="0.2">
      <c r="A88" s="24"/>
      <c r="B88" s="1"/>
      <c r="C88" s="47" t="s">
        <v>931</v>
      </c>
      <c r="D88" s="111">
        <v>263.36</v>
      </c>
      <c r="E88" s="104"/>
      <c r="G88" s="1"/>
      <c r="H88" s="110" t="s">
        <v>580</v>
      </c>
    </row>
    <row r="89" spans="1:14" s="2" customFormat="1" x14ac:dyDescent="0.2">
      <c r="A89" s="24"/>
      <c r="B89" s="1"/>
      <c r="C89" s="47" t="s">
        <v>572</v>
      </c>
      <c r="D89" s="111">
        <f>+D115/100000</f>
        <v>71.840139100000002</v>
      </c>
      <c r="E89" s="104"/>
      <c r="G89" s="1"/>
      <c r="H89" s="90" t="s">
        <v>587</v>
      </c>
    </row>
    <row r="90" spans="1:14" s="2" customFormat="1" x14ac:dyDescent="0.2">
      <c r="A90" s="24"/>
      <c r="B90" s="1"/>
      <c r="C90" s="108" t="s">
        <v>578</v>
      </c>
      <c r="D90" s="48">
        <f>SUM(D87:D89)</f>
        <v>1999.9701391000001</v>
      </c>
      <c r="E90" s="104"/>
      <c r="G90" s="1"/>
    </row>
    <row r="91" spans="1:14" s="2" customFormat="1" x14ac:dyDescent="0.2">
      <c r="A91" s="24"/>
      <c r="B91" s="1"/>
      <c r="C91" s="47"/>
      <c r="D91" s="107"/>
      <c r="E91" s="104"/>
      <c r="G91" s="1"/>
    </row>
    <row r="92" spans="1:14" s="2" customFormat="1" x14ac:dyDescent="0.2">
      <c r="A92" s="24"/>
      <c r="B92" s="1"/>
      <c r="C92" s="47" t="s">
        <v>932</v>
      </c>
      <c r="D92" s="111">
        <v>27.61</v>
      </c>
      <c r="E92" s="104"/>
      <c r="G92" s="1"/>
      <c r="H92" s="110" t="s">
        <v>581</v>
      </c>
    </row>
    <row r="93" spans="1:14" s="2" customFormat="1" x14ac:dyDescent="0.2">
      <c r="A93" s="24"/>
      <c r="B93" s="1"/>
      <c r="C93" s="136" t="s">
        <v>1142</v>
      </c>
      <c r="D93" s="111">
        <v>151.72999999999999</v>
      </c>
      <c r="E93" s="104"/>
      <c r="G93" s="1"/>
      <c r="H93" s="110" t="s">
        <v>581</v>
      </c>
      <c r="J93" s="114" t="s">
        <v>713</v>
      </c>
    </row>
    <row r="94" spans="1:14" s="2" customFormat="1" x14ac:dyDescent="0.2">
      <c r="A94" s="24"/>
      <c r="B94" s="1"/>
      <c r="C94" s="78" t="s">
        <v>579</v>
      </c>
      <c r="D94" s="109">
        <f>D92+D93</f>
        <v>179.33999999999997</v>
      </c>
      <c r="E94" s="104"/>
      <c r="G94" s="1"/>
      <c r="I94" s="113"/>
      <c r="J94" s="113" t="s">
        <v>709</v>
      </c>
      <c r="K94" s="113" t="s">
        <v>710</v>
      </c>
      <c r="L94" s="113" t="s">
        <v>711</v>
      </c>
      <c r="M94" s="113" t="s">
        <v>712</v>
      </c>
    </row>
    <row r="95" spans="1:14" s="2" customFormat="1" x14ac:dyDescent="0.2">
      <c r="A95" s="24"/>
      <c r="B95" s="1"/>
      <c r="C95" s="105"/>
      <c r="D95" s="106"/>
      <c r="E95" s="104"/>
      <c r="G95" s="1"/>
      <c r="I95" s="113" t="s">
        <v>706</v>
      </c>
      <c r="J95" s="115"/>
      <c r="K95" s="115">
        <v>968.99</v>
      </c>
      <c r="L95" s="115">
        <v>968.99</v>
      </c>
      <c r="M95" s="113">
        <f>+J95+L95-K95</f>
        <v>0</v>
      </c>
    </row>
    <row r="96" spans="1:14" s="2" customFormat="1" x14ac:dyDescent="0.2">
      <c r="A96" s="24"/>
      <c r="B96" s="1"/>
      <c r="C96" s="78" t="s">
        <v>577</v>
      </c>
      <c r="D96" s="109">
        <f>D87+D94</f>
        <v>1844.11</v>
      </c>
      <c r="E96" s="104"/>
      <c r="G96" s="1"/>
      <c r="I96" s="113" t="s">
        <v>707</v>
      </c>
      <c r="J96" s="115">
        <v>183.1</v>
      </c>
      <c r="K96" s="115">
        <v>3187.89</v>
      </c>
      <c r="L96" s="115">
        <v>3578.74</v>
      </c>
      <c r="M96" s="113">
        <f>+J96+L96-K96</f>
        <v>573.94999999999982</v>
      </c>
    </row>
    <row r="97" spans="1:13" s="2" customFormat="1" x14ac:dyDescent="0.2">
      <c r="A97" s="24"/>
      <c r="B97" s="1"/>
      <c r="C97" s="56"/>
      <c r="D97" s="56"/>
      <c r="E97" s="104"/>
      <c r="G97" s="1"/>
      <c r="I97" s="113" t="s">
        <v>708</v>
      </c>
      <c r="J97" s="115">
        <v>1371.02</v>
      </c>
      <c r="K97" s="115">
        <v>13444.18</v>
      </c>
      <c r="L97" s="115">
        <v>13102.96</v>
      </c>
      <c r="M97" s="113">
        <f>+J97+L97-K97</f>
        <v>1029.7999999999993</v>
      </c>
    </row>
    <row r="98" spans="1:13" s="2" customFormat="1" ht="38.25" x14ac:dyDescent="0.2">
      <c r="A98" s="24"/>
      <c r="B98" s="1"/>
      <c r="C98" s="79" t="str">
        <f>"Particulars ( 01-04-2021 to "&amp;TEXT(A5,"dd-mm-yyyy")&amp;" )"</f>
        <v>Particulars ( 01-04-2021 to 11-08-2023 )</v>
      </c>
      <c r="D98" s="80" t="s">
        <v>73</v>
      </c>
      <c r="E98" s="80" t="s">
        <v>74</v>
      </c>
      <c r="F98" s="81" t="s">
        <v>75</v>
      </c>
      <c r="G98" s="80" t="s">
        <v>76</v>
      </c>
      <c r="J98" s="118">
        <f>SUM(J95:J97)</f>
        <v>1554.12</v>
      </c>
      <c r="K98" s="118">
        <f>SUM(K95:K97)</f>
        <v>17601.060000000001</v>
      </c>
      <c r="L98" s="118">
        <f>SUM(L95:L97)</f>
        <v>17650.689999999999</v>
      </c>
      <c r="M98" s="118">
        <f>SUM(M95:M97)</f>
        <v>1603.7499999999991</v>
      </c>
    </row>
    <row r="99" spans="1:13" s="2" customFormat="1" x14ac:dyDescent="0.2">
      <c r="A99" s="24"/>
      <c r="B99" s="1"/>
      <c r="C99" s="50" t="s">
        <v>444</v>
      </c>
      <c r="D99" s="55">
        <f>+L95+L96+J96</f>
        <v>4730.83</v>
      </c>
      <c r="E99" s="55">
        <f>+K95+K96</f>
        <v>4156.88</v>
      </c>
      <c r="F99" s="55">
        <f>+D99-E99</f>
        <v>573.94999999999982</v>
      </c>
      <c r="G99" s="55">
        <f>1500-F99</f>
        <v>926.05000000000018</v>
      </c>
      <c r="H99" s="2" t="s">
        <v>396</v>
      </c>
    </row>
    <row r="100" spans="1:13" s="2" customFormat="1" x14ac:dyDescent="0.2">
      <c r="A100" s="24"/>
      <c r="B100" s="1"/>
      <c r="C100" s="50" t="s">
        <v>71</v>
      </c>
      <c r="D100" s="55">
        <f>+J97+L97</f>
        <v>14473.98</v>
      </c>
      <c r="E100" s="55">
        <f>+K97</f>
        <v>13444.18</v>
      </c>
      <c r="F100" s="55">
        <f>+D100-E100</f>
        <v>1029.7999999999993</v>
      </c>
      <c r="G100" s="55">
        <f>1500+700-F100</f>
        <v>1170.2000000000007</v>
      </c>
      <c r="H100" s="2" t="s">
        <v>396</v>
      </c>
    </row>
    <row r="101" spans="1:13" s="2" customFormat="1" x14ac:dyDescent="0.2">
      <c r="A101" s="24"/>
      <c r="B101" s="1"/>
      <c r="C101" s="14"/>
      <c r="D101" s="56"/>
      <c r="E101" s="13"/>
      <c r="G101" s="1"/>
    </row>
    <row r="102" spans="1:13" s="2" customFormat="1" x14ac:dyDescent="0.2">
      <c r="A102" s="215" t="s">
        <v>80</v>
      </c>
      <c r="B102" s="216"/>
      <c r="C102" s="216"/>
      <c r="D102" s="217"/>
      <c r="E102" s="69"/>
      <c r="F102" s="70"/>
      <c r="G102" s="1"/>
      <c r="H102" s="53"/>
    </row>
    <row r="103" spans="1:13" s="2" customFormat="1" x14ac:dyDescent="0.2">
      <c r="A103" s="71" t="s">
        <v>81</v>
      </c>
      <c r="B103" s="71"/>
      <c r="C103" s="72" t="s">
        <v>82</v>
      </c>
      <c r="D103" s="73" t="s">
        <v>83</v>
      </c>
      <c r="E103" s="69"/>
      <c r="F103" s="70"/>
      <c r="H103" s="53"/>
    </row>
    <row r="104" spans="1:13" s="2" customFormat="1" x14ac:dyDescent="0.2">
      <c r="A104" s="8">
        <v>45139</v>
      </c>
      <c r="B104" s="120" t="s">
        <v>1052</v>
      </c>
      <c r="C104" s="75" t="s">
        <v>85</v>
      </c>
      <c r="D104" s="88">
        <v>552343</v>
      </c>
      <c r="G104" s="1"/>
      <c r="L104" s="1"/>
      <c r="M104" s="1"/>
    </row>
    <row r="105" spans="1:13" s="2" customFormat="1" x14ac:dyDescent="0.2">
      <c r="A105" s="8">
        <v>45140</v>
      </c>
      <c r="B105" s="120" t="s">
        <v>1052</v>
      </c>
      <c r="C105" s="75" t="s">
        <v>270</v>
      </c>
      <c r="D105" s="88">
        <v>244404</v>
      </c>
      <c r="G105" s="1"/>
      <c r="L105" s="1"/>
      <c r="M105" s="1"/>
    </row>
    <row r="106" spans="1:13" s="2" customFormat="1" x14ac:dyDescent="0.2">
      <c r="A106" s="8">
        <v>45140</v>
      </c>
      <c r="B106" s="120" t="s">
        <v>1052</v>
      </c>
      <c r="C106" s="75" t="s">
        <v>270</v>
      </c>
      <c r="D106" s="88">
        <v>550256</v>
      </c>
      <c r="G106" s="1"/>
      <c r="L106" s="1"/>
      <c r="M106" s="1"/>
    </row>
    <row r="107" spans="1:13" s="2" customFormat="1" x14ac:dyDescent="0.2">
      <c r="A107" s="8">
        <v>45140</v>
      </c>
      <c r="B107" s="120" t="s">
        <v>1052</v>
      </c>
      <c r="C107" s="75" t="s">
        <v>270</v>
      </c>
      <c r="D107" s="88">
        <v>191589</v>
      </c>
      <c r="G107" s="1"/>
      <c r="L107" s="1"/>
      <c r="M107" s="1"/>
    </row>
    <row r="108" spans="1:13" s="2" customFormat="1" x14ac:dyDescent="0.2">
      <c r="A108" s="8">
        <v>45140</v>
      </c>
      <c r="B108" s="120" t="s">
        <v>1052</v>
      </c>
      <c r="C108" s="75" t="s">
        <v>270</v>
      </c>
      <c r="D108" s="88">
        <v>74415.91</v>
      </c>
      <c r="G108" s="1"/>
      <c r="L108" s="1"/>
      <c r="M108" s="1"/>
    </row>
    <row r="109" spans="1:13" s="2" customFormat="1" x14ac:dyDescent="0.2">
      <c r="A109" s="8">
        <v>45140</v>
      </c>
      <c r="B109" s="120" t="s">
        <v>1052</v>
      </c>
      <c r="C109" s="75" t="s">
        <v>271</v>
      </c>
      <c r="D109" s="88">
        <v>454781</v>
      </c>
      <c r="G109" s="1"/>
      <c r="L109" s="1"/>
      <c r="M109" s="1"/>
    </row>
    <row r="110" spans="1:13" s="2" customFormat="1" x14ac:dyDescent="0.2">
      <c r="A110" s="8">
        <v>45141</v>
      </c>
      <c r="B110" s="120" t="s">
        <v>1052</v>
      </c>
      <c r="C110" s="75" t="s">
        <v>909</v>
      </c>
      <c r="D110" s="88">
        <v>910969</v>
      </c>
      <c r="G110" s="1"/>
      <c r="L110" s="1"/>
      <c r="M110" s="1"/>
    </row>
    <row r="111" spans="1:13" s="2" customFormat="1" x14ac:dyDescent="0.2">
      <c r="A111" s="8">
        <v>45141</v>
      </c>
      <c r="B111" s="120" t="s">
        <v>1052</v>
      </c>
      <c r="C111" s="75" t="s">
        <v>909</v>
      </c>
      <c r="D111" s="88">
        <v>1424635</v>
      </c>
      <c r="G111" s="1"/>
      <c r="L111" s="1"/>
      <c r="M111" s="1"/>
    </row>
    <row r="112" spans="1:13" s="2" customFormat="1" x14ac:dyDescent="0.2">
      <c r="A112" s="8">
        <v>45143</v>
      </c>
      <c r="B112" s="120" t="s">
        <v>1052</v>
      </c>
      <c r="C112" s="75" t="s">
        <v>85</v>
      </c>
      <c r="D112" s="88">
        <v>644288</v>
      </c>
      <c r="G112" s="1"/>
      <c r="L112" s="1"/>
      <c r="M112" s="1"/>
    </row>
    <row r="113" spans="1:13" s="2" customFormat="1" x14ac:dyDescent="0.2">
      <c r="A113" s="8">
        <v>45146</v>
      </c>
      <c r="B113" s="120" t="s">
        <v>1052</v>
      </c>
      <c r="C113" s="75" t="s">
        <v>85</v>
      </c>
      <c r="D113" s="88">
        <v>136333</v>
      </c>
      <c r="G113" s="1"/>
      <c r="L113" s="1"/>
      <c r="M113" s="1"/>
    </row>
    <row r="114" spans="1:13" s="2" customFormat="1" x14ac:dyDescent="0.2">
      <c r="A114" s="8">
        <v>45146</v>
      </c>
      <c r="B114" s="120" t="s">
        <v>1052</v>
      </c>
      <c r="C114" s="75" t="s">
        <v>1343</v>
      </c>
      <c r="D114" s="88">
        <v>2000000</v>
      </c>
      <c r="G114" s="1"/>
      <c r="L114" s="1"/>
      <c r="M114" s="1"/>
    </row>
    <row r="115" spans="1:13" s="2" customFormat="1" x14ac:dyDescent="0.2">
      <c r="A115" s="87"/>
      <c r="B115" s="74"/>
      <c r="C115" s="75"/>
      <c r="D115" s="51">
        <f>SUM(D104:D114)</f>
        <v>7184013.9100000001</v>
      </c>
      <c r="F115" s="2" t="s">
        <v>396</v>
      </c>
      <c r="G115" s="1"/>
      <c r="L115" s="1"/>
      <c r="M115" s="1"/>
    </row>
    <row r="116" spans="1:13" s="2" customFormat="1" x14ac:dyDescent="0.2">
      <c r="A116" s="24"/>
      <c r="B116" s="1"/>
      <c r="C116" s="14"/>
      <c r="D116" s="56"/>
      <c r="E116" s="13"/>
      <c r="G116" s="1"/>
      <c r="L116" s="1"/>
      <c r="M116" s="1"/>
    </row>
    <row r="117" spans="1:13" s="2" customFormat="1" x14ac:dyDescent="0.2">
      <c r="A117" s="24"/>
      <c r="B117" s="1"/>
      <c r="C117" s="218" t="s">
        <v>77</v>
      </c>
      <c r="D117" s="219"/>
      <c r="E117" s="219"/>
      <c r="F117" s="220"/>
      <c r="G117" s="1"/>
      <c r="L117" s="1"/>
      <c r="M117" s="1"/>
    </row>
    <row r="118" spans="1:13" s="2" customFormat="1" x14ac:dyDescent="0.2">
      <c r="A118" s="24"/>
      <c r="B118" s="1"/>
      <c r="C118" s="50"/>
      <c r="D118" s="57" t="s">
        <v>78</v>
      </c>
      <c r="E118" s="58" t="s">
        <v>79</v>
      </c>
      <c r="F118" s="57" t="s">
        <v>72</v>
      </c>
      <c r="G118" s="1"/>
      <c r="I118" s="1"/>
      <c r="J118" s="1"/>
      <c r="K118" s="1"/>
      <c r="L118" s="1"/>
      <c r="M118" s="1"/>
    </row>
    <row r="119" spans="1:13" s="2" customFormat="1" x14ac:dyDescent="0.2">
      <c r="A119" s="24"/>
      <c r="B119" s="1"/>
      <c r="C119" s="59" t="str">
        <f>"01-08-2023 to "&amp;TEXT(A5-2,"dd-mm-yyyy")</f>
        <v>01-08-2023 to 09-08-2023</v>
      </c>
      <c r="D119" s="60">
        <v>1136.73</v>
      </c>
      <c r="E119" s="60">
        <v>100.18</v>
      </c>
      <c r="F119" s="61">
        <f>SUM(D119:E119)</f>
        <v>1236.9100000000001</v>
      </c>
      <c r="G119" s="1"/>
    </row>
    <row r="120" spans="1:13" s="2" customFormat="1" x14ac:dyDescent="0.2">
      <c r="A120" s="24"/>
      <c r="B120" s="1"/>
      <c r="C120" s="62" t="str">
        <f>TEXT(A5-1,"dd-mm-yyyy")</f>
        <v>10-08-2023</v>
      </c>
      <c r="D120" s="60">
        <v>162.29</v>
      </c>
      <c r="E120" s="60">
        <v>12.57</v>
      </c>
      <c r="F120" s="61">
        <f>SUM(D120:E120)</f>
        <v>174.85999999999999</v>
      </c>
      <c r="G120" s="54"/>
      <c r="I120" s="1"/>
      <c r="J120" s="1"/>
      <c r="K120" s="1"/>
      <c r="L120" s="1"/>
      <c r="M120" s="1"/>
    </row>
    <row r="121" spans="1:13" s="2" customFormat="1" ht="13.5" thickBot="1" x14ac:dyDescent="0.25">
      <c r="A121" s="24"/>
      <c r="B121" s="1"/>
      <c r="C121" s="63" t="str">
        <f>"01-08-2023 to "&amp;TEXT(A5-1,"dd-mm-yyyy")</f>
        <v>01-08-2023 to 10-08-2023</v>
      </c>
      <c r="D121" s="64">
        <f>SUM(D119:D120)</f>
        <v>1299.02</v>
      </c>
      <c r="E121" s="64">
        <f>SUM(E119:E120)</f>
        <v>112.75</v>
      </c>
      <c r="F121" s="64">
        <f>SUM(F119:F120)</f>
        <v>1411.77</v>
      </c>
      <c r="G121" s="54"/>
      <c r="I121" s="1"/>
      <c r="J121" s="1"/>
      <c r="K121" s="1"/>
      <c r="L121" s="1"/>
      <c r="M121" s="1"/>
    </row>
    <row r="122" spans="1:13" s="2" customFormat="1" ht="13.5" thickTop="1" x14ac:dyDescent="0.2">
      <c r="A122" s="24"/>
      <c r="B122" s="1"/>
      <c r="C122" s="62"/>
      <c r="D122" s="65"/>
      <c r="E122" s="66"/>
      <c r="F122" s="67"/>
      <c r="G122" s="54"/>
      <c r="I122" s="1"/>
      <c r="J122" s="1"/>
      <c r="K122" s="1"/>
      <c r="L122" s="1"/>
      <c r="M122" s="1"/>
    </row>
    <row r="123" spans="1:13" s="2" customFormat="1" x14ac:dyDescent="0.2">
      <c r="A123" s="24"/>
      <c r="B123" s="1"/>
      <c r="C123" s="62" t="str">
        <f>"01-04-2023 to " &amp;C120</f>
        <v>01-04-2023 to 10-08-2023</v>
      </c>
      <c r="D123" s="68">
        <f>+D121+20827.32</f>
        <v>22126.34</v>
      </c>
      <c r="E123" s="68">
        <f>+E121+1376.76</f>
        <v>1489.51</v>
      </c>
      <c r="F123" s="68">
        <f>+F121+22204.08</f>
        <v>23615.850000000002</v>
      </c>
      <c r="G123" s="54"/>
      <c r="I123" s="1"/>
      <c r="J123" s="1"/>
      <c r="K123" s="1"/>
      <c r="L123" s="1"/>
      <c r="M123" s="1"/>
    </row>
    <row r="124" spans="1:13" x14ac:dyDescent="0.2">
      <c r="C124" s="52"/>
      <c r="D124" s="85"/>
      <c r="E124" s="53"/>
      <c r="F124" s="53"/>
      <c r="G124" s="54"/>
      <c r="H124" s="2" t="s">
        <v>396</v>
      </c>
    </row>
    <row r="125" spans="1:13" s="2" customFormat="1" x14ac:dyDescent="0.2">
      <c r="A125" s="24"/>
      <c r="B125" s="1"/>
      <c r="C125" s="52"/>
      <c r="D125" s="85"/>
      <c r="E125" s="53"/>
      <c r="F125" s="53"/>
      <c r="G125" s="54"/>
      <c r="H125" s="53"/>
    </row>
    <row r="126" spans="1:13" x14ac:dyDescent="0.2">
      <c r="C126" s="52"/>
      <c r="D126" s="85"/>
      <c r="E126" s="53"/>
      <c r="F126" s="53"/>
      <c r="G126" s="54"/>
      <c r="H126" s="53" t="s">
        <v>396</v>
      </c>
    </row>
    <row r="127" spans="1:13" x14ac:dyDescent="0.2">
      <c r="C127" s="52"/>
      <c r="D127" s="85"/>
      <c r="E127" s="53"/>
      <c r="F127" s="53"/>
      <c r="G127" s="54"/>
      <c r="H127" s="53" t="s">
        <v>396</v>
      </c>
      <c r="J127" s="42"/>
    </row>
    <row r="128" spans="1:13" x14ac:dyDescent="0.2">
      <c r="G128" s="54"/>
      <c r="H128" s="53"/>
      <c r="I128" s="101"/>
    </row>
    <row r="129" spans="7:8" x14ac:dyDescent="0.2">
      <c r="G129" s="54"/>
      <c r="H129" s="53"/>
    </row>
    <row r="130" spans="7:8" x14ac:dyDescent="0.2">
      <c r="G130" s="54"/>
      <c r="H130" s="53"/>
    </row>
    <row r="131" spans="7:8" x14ac:dyDescent="0.2">
      <c r="H131" s="53"/>
    </row>
  </sheetData>
  <mergeCells count="6">
    <mergeCell ref="C117:F117"/>
    <mergeCell ref="A1:G1"/>
    <mergeCell ref="A3:F3"/>
    <mergeCell ref="A10:F10"/>
    <mergeCell ref="A26:F26"/>
    <mergeCell ref="A102:D102"/>
  </mergeCells>
  <conditionalFormatting sqref="G99:G100">
    <cfRule type="cellIs" dxfId="367" priority="1" operator="lessThan">
      <formula>0</formula>
    </cfRule>
  </conditionalFormatting>
  <conditionalFormatting sqref="C28">
    <cfRule type="duplicateValues" dxfId="366" priority="2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B00-000000000000}">
  <sheetPr codeName="Sheet403">
    <pageSetUpPr fitToPage="1"/>
  </sheetPr>
  <dimension ref="A1:N106"/>
  <sheetViews>
    <sheetView zoomScaleNormal="100" workbookViewId="0">
      <selection activeCell="E29" sqref="E29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1353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45150</v>
      </c>
      <c r="B5" s="9" t="s">
        <v>6</v>
      </c>
      <c r="C5" s="10" t="s">
        <v>7</v>
      </c>
      <c r="D5" s="11"/>
      <c r="E5" s="12">
        <v>1479944.54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1479944.54</v>
      </c>
      <c r="F6" s="16">
        <f>SUM(F5:F5)</f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+E6-F6</f>
        <v>1479944.54</v>
      </c>
      <c r="F7" s="22"/>
      <c r="G7" s="23"/>
      <c r="H7" s="112"/>
      <c r="I7" s="112"/>
      <c r="J7" s="13"/>
    </row>
    <row r="8" spans="1:10" ht="12.75" customHeight="1" x14ac:dyDescent="0.4">
      <c r="H8" s="112"/>
      <c r="I8" s="112"/>
    </row>
    <row r="9" spans="1:10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12"/>
    </row>
    <row r="10" spans="1:10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12"/>
    </row>
    <row r="11" spans="1:10" s="2" customFormat="1" ht="14.25" customHeight="1" x14ac:dyDescent="0.2">
      <c r="A11" s="89">
        <v>45150</v>
      </c>
      <c r="B11" s="9" t="s">
        <v>6</v>
      </c>
      <c r="C11" s="10" t="s">
        <v>7</v>
      </c>
      <c r="D11" s="11"/>
      <c r="F11" s="12">
        <v>25875099.350000001</v>
      </c>
      <c r="G11" s="1"/>
      <c r="H11" s="130" t="s">
        <v>396</v>
      </c>
      <c r="I11" s="130"/>
    </row>
    <row r="12" spans="1:10" s="70" customFormat="1" ht="12.75" customHeight="1" x14ac:dyDescent="0.2">
      <c r="A12" s="89">
        <v>45150</v>
      </c>
      <c r="B12" s="9" t="s">
        <v>6</v>
      </c>
      <c r="C12" s="76" t="s">
        <v>1354</v>
      </c>
      <c r="D12" s="11" t="s">
        <v>13</v>
      </c>
      <c r="E12" s="31">
        <v>60001</v>
      </c>
      <c r="F12" s="31"/>
      <c r="G12" s="30"/>
      <c r="I12" s="69"/>
      <c r="J12" s="69"/>
    </row>
    <row r="13" spans="1:10" s="70" customFormat="1" ht="12.75" customHeight="1" x14ac:dyDescent="0.2">
      <c r="A13" s="89">
        <v>45150</v>
      </c>
      <c r="B13" s="9" t="s">
        <v>11</v>
      </c>
      <c r="C13" s="76" t="s">
        <v>1355</v>
      </c>
      <c r="D13" s="11" t="s">
        <v>29</v>
      </c>
      <c r="E13" s="31"/>
      <c r="F13" s="31">
        <v>22066</v>
      </c>
      <c r="G13" s="30"/>
      <c r="I13" s="69"/>
      <c r="J13" s="69"/>
    </row>
    <row r="14" spans="1:10" s="2" customFormat="1" ht="12.75" customHeight="1" x14ac:dyDescent="0.4">
      <c r="D14" s="11" t="s">
        <v>8</v>
      </c>
      <c r="E14" s="16">
        <f>SUM(E12:E13)</f>
        <v>60001</v>
      </c>
      <c r="F14" s="16">
        <f>SUM(F11:F13)</f>
        <v>25897165.350000001</v>
      </c>
      <c r="G14" s="1"/>
      <c r="H14" s="112"/>
      <c r="I14" s="112"/>
    </row>
    <row r="15" spans="1:10" s="2" customFormat="1" ht="12.75" customHeight="1" x14ac:dyDescent="0.4">
      <c r="A15" s="17"/>
      <c r="B15" s="18"/>
      <c r="C15" s="96" t="s">
        <v>9</v>
      </c>
      <c r="D15" s="20"/>
      <c r="E15" s="21">
        <f>+F14-E14</f>
        <v>25837164.350000001</v>
      </c>
      <c r="G15" s="23"/>
      <c r="H15" s="112"/>
      <c r="I15" s="112"/>
      <c r="J15" s="13"/>
    </row>
    <row r="16" spans="1:10" s="2" customFormat="1" ht="12.75" customHeight="1" x14ac:dyDescent="0.4">
      <c r="A16" s="24"/>
      <c r="B16" s="1"/>
      <c r="C16" s="14"/>
      <c r="D16" s="25"/>
      <c r="G16" s="23"/>
      <c r="H16" s="112"/>
      <c r="I16" s="112"/>
      <c r="J16" s="13"/>
    </row>
    <row r="17" spans="1:10" s="2" customFormat="1" ht="21.75" customHeight="1" x14ac:dyDescent="0.4">
      <c r="A17" s="214" t="s">
        <v>10</v>
      </c>
      <c r="B17" s="214"/>
      <c r="C17" s="214"/>
      <c r="D17" s="214"/>
      <c r="E17" s="214"/>
      <c r="F17" s="214"/>
      <c r="G17" s="13"/>
      <c r="H17" s="112"/>
      <c r="I17" s="112"/>
      <c r="J17" s="13"/>
    </row>
    <row r="18" spans="1:10" s="2" customFormat="1" ht="12.75" customHeight="1" x14ac:dyDescent="0.4">
      <c r="A18" s="26" t="s">
        <v>1</v>
      </c>
      <c r="B18" s="27" t="s">
        <v>2</v>
      </c>
      <c r="C18" s="5"/>
      <c r="D18" s="6" t="s">
        <v>3</v>
      </c>
      <c r="E18" s="7" t="s">
        <v>4</v>
      </c>
      <c r="F18" s="7" t="s">
        <v>5</v>
      </c>
      <c r="G18" s="23"/>
      <c r="H18" s="112"/>
      <c r="I18" s="112"/>
      <c r="J18" s="13"/>
    </row>
    <row r="19" spans="1:10" s="2" customFormat="1" ht="12.75" customHeight="1" x14ac:dyDescent="0.2">
      <c r="A19" s="89">
        <v>45150</v>
      </c>
      <c r="B19" s="128" t="s">
        <v>11</v>
      </c>
      <c r="C19" s="29" t="s">
        <v>7</v>
      </c>
      <c r="D19" s="25"/>
      <c r="E19" s="31"/>
      <c r="F19" s="2">
        <v>342384481.76999998</v>
      </c>
      <c r="G19" s="30"/>
      <c r="I19" s="13"/>
      <c r="J19" s="13"/>
    </row>
    <row r="20" spans="1:10" s="70" customFormat="1" ht="12.75" customHeight="1" x14ac:dyDescent="0.2">
      <c r="A20" s="89">
        <v>45150</v>
      </c>
      <c r="B20" s="128" t="s">
        <v>6</v>
      </c>
      <c r="C20" s="10" t="s">
        <v>1277</v>
      </c>
      <c r="D20" s="11" t="s">
        <v>13</v>
      </c>
      <c r="E20" s="86">
        <v>666613.23</v>
      </c>
      <c r="G20" s="30"/>
      <c r="I20" s="69"/>
      <c r="J20" s="69"/>
    </row>
    <row r="21" spans="1:10" s="70" customFormat="1" ht="12.75" customHeight="1" x14ac:dyDescent="0.2">
      <c r="A21" s="89">
        <v>45150</v>
      </c>
      <c r="B21" s="128" t="s">
        <v>6</v>
      </c>
      <c r="C21" s="10" t="s">
        <v>1356</v>
      </c>
      <c r="D21" s="11" t="s">
        <v>13</v>
      </c>
      <c r="E21" s="86">
        <v>769580.02</v>
      </c>
      <c r="G21" s="30"/>
      <c r="I21" s="69"/>
      <c r="J21" s="69"/>
    </row>
    <row r="22" spans="1:10" s="70" customFormat="1" ht="12.75" customHeight="1" x14ac:dyDescent="0.2">
      <c r="A22" s="89">
        <v>45150</v>
      </c>
      <c r="B22" s="128" t="s">
        <v>6</v>
      </c>
      <c r="C22" s="10" t="s">
        <v>149</v>
      </c>
      <c r="D22" s="11" t="s">
        <v>13</v>
      </c>
      <c r="E22" s="86">
        <v>12960</v>
      </c>
      <c r="G22" s="30"/>
      <c r="I22" s="69"/>
      <c r="J22" s="69"/>
    </row>
    <row r="23" spans="1:10" s="70" customFormat="1" ht="12.75" customHeight="1" x14ac:dyDescent="0.2">
      <c r="A23" s="89">
        <v>45150</v>
      </c>
      <c r="B23" s="128" t="s">
        <v>6</v>
      </c>
      <c r="C23" s="10" t="s">
        <v>332</v>
      </c>
      <c r="D23" s="11" t="s">
        <v>13</v>
      </c>
      <c r="E23" s="86">
        <v>106316</v>
      </c>
      <c r="G23" s="30"/>
      <c r="I23" s="69"/>
      <c r="J23" s="69"/>
    </row>
    <row r="24" spans="1:10" s="70" customFormat="1" ht="12.75" customHeight="1" x14ac:dyDescent="0.2">
      <c r="A24" s="89">
        <v>45150</v>
      </c>
      <c r="B24" s="128" t="s">
        <v>6</v>
      </c>
      <c r="C24" s="10" t="s">
        <v>351</v>
      </c>
      <c r="D24" s="11" t="s">
        <v>13</v>
      </c>
      <c r="E24" s="86">
        <v>400000</v>
      </c>
      <c r="G24" s="30"/>
      <c r="I24" s="69"/>
      <c r="J24" s="69"/>
    </row>
    <row r="25" spans="1:10" s="70" customFormat="1" ht="12.75" customHeight="1" x14ac:dyDescent="0.2">
      <c r="A25" s="89">
        <v>45150</v>
      </c>
      <c r="B25" s="128" t="s">
        <v>6</v>
      </c>
      <c r="C25" s="10" t="s">
        <v>148</v>
      </c>
      <c r="D25" s="11" t="s">
        <v>13</v>
      </c>
      <c r="E25" s="86">
        <v>393341.09</v>
      </c>
      <c r="G25" s="30"/>
      <c r="I25" s="69"/>
      <c r="J25" s="69"/>
    </row>
    <row r="26" spans="1:10" s="70" customFormat="1" ht="12.75" customHeight="1" x14ac:dyDescent="0.2">
      <c r="A26" s="89">
        <v>45150</v>
      </c>
      <c r="B26" s="128" t="s">
        <v>6</v>
      </c>
      <c r="C26" s="10" t="s">
        <v>1357</v>
      </c>
      <c r="D26" s="11" t="s">
        <v>13</v>
      </c>
      <c r="E26" s="86">
        <v>66150</v>
      </c>
      <c r="G26" s="30"/>
      <c r="I26" s="69"/>
      <c r="J26" s="69"/>
    </row>
    <row r="27" spans="1:10" s="70" customFormat="1" ht="12.75" customHeight="1" x14ac:dyDescent="0.2">
      <c r="A27" s="89">
        <v>45150</v>
      </c>
      <c r="B27" s="128" t="s">
        <v>6</v>
      </c>
      <c r="C27" s="10" t="s">
        <v>617</v>
      </c>
      <c r="D27" s="11" t="s">
        <v>13</v>
      </c>
      <c r="E27" s="86">
        <v>45360</v>
      </c>
      <c r="G27" s="30"/>
      <c r="I27" s="69"/>
      <c r="J27" s="69"/>
    </row>
    <row r="28" spans="1:10" s="70" customFormat="1" ht="12.75" customHeight="1" x14ac:dyDescent="0.2">
      <c r="A28" s="89">
        <v>45150</v>
      </c>
      <c r="B28" s="128" t="s">
        <v>6</v>
      </c>
      <c r="C28" s="10" t="s">
        <v>488</v>
      </c>
      <c r="D28" s="11" t="s">
        <v>13</v>
      </c>
      <c r="E28" s="86">
        <v>22607</v>
      </c>
      <c r="G28" s="30"/>
      <c r="I28" s="69"/>
      <c r="J28" s="69"/>
    </row>
    <row r="29" spans="1:10" s="70" customFormat="1" ht="12.75" customHeight="1" x14ac:dyDescent="0.2">
      <c r="A29" s="89">
        <v>45150</v>
      </c>
      <c r="B29" s="128" t="s">
        <v>6</v>
      </c>
      <c r="C29" s="10" t="s">
        <v>1358</v>
      </c>
      <c r="D29" s="11" t="s">
        <v>13</v>
      </c>
      <c r="E29" s="86">
        <v>3150</v>
      </c>
      <c r="G29" s="30"/>
      <c r="I29" s="69"/>
      <c r="J29" s="69"/>
    </row>
    <row r="30" spans="1:10" s="70" customFormat="1" ht="12.75" customHeight="1" x14ac:dyDescent="0.2">
      <c r="A30" s="89">
        <v>45150</v>
      </c>
      <c r="B30" s="128" t="s">
        <v>6</v>
      </c>
      <c r="C30" s="10" t="s">
        <v>390</v>
      </c>
      <c r="D30" s="11" t="s">
        <v>13</v>
      </c>
      <c r="E30" s="86">
        <v>7711</v>
      </c>
      <c r="G30" s="30"/>
      <c r="I30" s="69"/>
      <c r="J30" s="69"/>
    </row>
    <row r="31" spans="1:10" s="70" customFormat="1" ht="12.75" customHeight="1" x14ac:dyDescent="0.2">
      <c r="A31" s="89">
        <v>45150</v>
      </c>
      <c r="B31" s="128" t="s">
        <v>11</v>
      </c>
      <c r="C31" s="10" t="s">
        <v>34</v>
      </c>
      <c r="D31" s="11" t="s">
        <v>29</v>
      </c>
      <c r="E31" s="86"/>
      <c r="F31" s="70">
        <v>20000</v>
      </c>
      <c r="G31" s="30"/>
      <c r="I31" s="69"/>
      <c r="J31" s="69"/>
    </row>
    <row r="32" spans="1:10" s="70" customFormat="1" ht="12.75" customHeight="1" x14ac:dyDescent="0.2">
      <c r="A32" s="89">
        <v>45150</v>
      </c>
      <c r="B32" s="128" t="s">
        <v>11</v>
      </c>
      <c r="C32" s="10" t="s">
        <v>42</v>
      </c>
      <c r="D32" s="11" t="s">
        <v>29</v>
      </c>
      <c r="E32" s="86"/>
      <c r="F32" s="70">
        <v>19412</v>
      </c>
      <c r="G32" s="30"/>
      <c r="I32" s="69"/>
      <c r="J32" s="69"/>
    </row>
    <row r="33" spans="1:10" s="70" customFormat="1" ht="12.75" customHeight="1" x14ac:dyDescent="0.2">
      <c r="A33" s="89">
        <v>45150</v>
      </c>
      <c r="B33" s="128" t="s">
        <v>11</v>
      </c>
      <c r="C33" s="10" t="s">
        <v>277</v>
      </c>
      <c r="D33" s="11" t="s">
        <v>29</v>
      </c>
      <c r="E33" s="86"/>
      <c r="F33" s="70">
        <v>42840</v>
      </c>
      <c r="G33" s="30"/>
      <c r="I33" s="69"/>
      <c r="J33" s="69"/>
    </row>
    <row r="34" spans="1:10" s="70" customFormat="1" ht="12.75" customHeight="1" x14ac:dyDescent="0.2">
      <c r="A34" s="89">
        <v>45150</v>
      </c>
      <c r="B34" s="128" t="s">
        <v>11</v>
      </c>
      <c r="C34" s="10" t="s">
        <v>43</v>
      </c>
      <c r="D34" s="11" t="s">
        <v>29</v>
      </c>
      <c r="E34" s="86"/>
      <c r="F34" s="70">
        <v>13511</v>
      </c>
      <c r="G34" s="30"/>
      <c r="I34" s="69"/>
      <c r="J34" s="69"/>
    </row>
    <row r="35" spans="1:10" s="70" customFormat="1" ht="12.75" customHeight="1" x14ac:dyDescent="0.2">
      <c r="A35" s="89">
        <v>45150</v>
      </c>
      <c r="B35" s="128" t="s">
        <v>11</v>
      </c>
      <c r="C35" s="10" t="s">
        <v>64</v>
      </c>
      <c r="D35" s="11" t="s">
        <v>29</v>
      </c>
      <c r="E35" s="86"/>
      <c r="F35" s="70">
        <v>12526.550000000001</v>
      </c>
      <c r="G35" s="30"/>
      <c r="I35" s="69"/>
      <c r="J35" s="69"/>
    </row>
    <row r="36" spans="1:10" s="70" customFormat="1" ht="12.75" customHeight="1" x14ac:dyDescent="0.2">
      <c r="A36" s="89">
        <v>45150</v>
      </c>
      <c r="B36" s="128" t="s">
        <v>11</v>
      </c>
      <c r="C36" s="10" t="s">
        <v>725</v>
      </c>
      <c r="D36" s="11" t="s">
        <v>29</v>
      </c>
      <c r="E36" s="86"/>
      <c r="F36" s="70">
        <v>15340</v>
      </c>
      <c r="G36" s="30"/>
      <c r="I36" s="69"/>
      <c r="J36" s="69"/>
    </row>
    <row r="37" spans="1:10" s="70" customFormat="1" ht="12.75" customHeight="1" x14ac:dyDescent="0.2">
      <c r="A37" s="89">
        <v>45150</v>
      </c>
      <c r="B37" s="128" t="s">
        <v>11</v>
      </c>
      <c r="C37" s="10" t="s">
        <v>438</v>
      </c>
      <c r="D37" s="11" t="s">
        <v>29</v>
      </c>
      <c r="E37" s="86"/>
      <c r="F37" s="70">
        <v>19464</v>
      </c>
      <c r="G37" s="30"/>
      <c r="I37" s="69"/>
      <c r="J37" s="69"/>
    </row>
    <row r="38" spans="1:10" s="70" customFormat="1" ht="12.75" customHeight="1" x14ac:dyDescent="0.2">
      <c r="A38" s="89">
        <v>45150</v>
      </c>
      <c r="B38" s="128" t="s">
        <v>11</v>
      </c>
      <c r="C38" s="10" t="s">
        <v>753</v>
      </c>
      <c r="D38" s="11" t="s">
        <v>29</v>
      </c>
      <c r="E38" s="86"/>
      <c r="F38" s="70">
        <v>29406</v>
      </c>
      <c r="G38" s="30"/>
      <c r="I38" s="69"/>
      <c r="J38" s="69"/>
    </row>
    <row r="39" spans="1:10" s="70" customFormat="1" ht="12.75" customHeight="1" x14ac:dyDescent="0.2">
      <c r="A39" s="89">
        <v>45150</v>
      </c>
      <c r="B39" s="128" t="s">
        <v>11</v>
      </c>
      <c r="C39" s="10" t="s">
        <v>224</v>
      </c>
      <c r="D39" s="11" t="s">
        <v>29</v>
      </c>
      <c r="E39" s="86"/>
      <c r="F39" s="70">
        <v>35100</v>
      </c>
      <c r="G39" s="30"/>
      <c r="I39" s="69"/>
      <c r="J39" s="69"/>
    </row>
    <row r="40" spans="1:10" s="70" customFormat="1" ht="12.75" customHeight="1" x14ac:dyDescent="0.2">
      <c r="A40" s="89">
        <v>45150</v>
      </c>
      <c r="B40" s="128" t="s">
        <v>11</v>
      </c>
      <c r="C40" s="10" t="s">
        <v>858</v>
      </c>
      <c r="D40" s="11" t="s">
        <v>29</v>
      </c>
      <c r="E40" s="86"/>
      <c r="F40" s="70">
        <v>12250</v>
      </c>
      <c r="G40" s="30"/>
      <c r="I40" s="69"/>
      <c r="J40" s="69"/>
    </row>
    <row r="41" spans="1:10" s="70" customFormat="1" ht="12.75" customHeight="1" x14ac:dyDescent="0.2">
      <c r="A41" s="89">
        <v>45150</v>
      </c>
      <c r="B41" s="128" t="s">
        <v>11</v>
      </c>
      <c r="C41" s="10" t="s">
        <v>439</v>
      </c>
      <c r="D41" s="11" t="s">
        <v>29</v>
      </c>
      <c r="E41" s="86"/>
      <c r="F41" s="70">
        <v>2655</v>
      </c>
      <c r="G41" s="30"/>
      <c r="I41" s="69"/>
      <c r="J41" s="69"/>
    </row>
    <row r="42" spans="1:10" s="70" customFormat="1" ht="12.75" customHeight="1" x14ac:dyDescent="0.2">
      <c r="A42" s="89">
        <v>45150</v>
      </c>
      <c r="B42" s="128" t="s">
        <v>11</v>
      </c>
      <c r="C42" s="10" t="s">
        <v>37</v>
      </c>
      <c r="D42" s="11" t="s">
        <v>29</v>
      </c>
      <c r="E42" s="86"/>
      <c r="F42" s="70">
        <v>9381</v>
      </c>
      <c r="G42" s="30"/>
      <c r="I42" s="69"/>
      <c r="J42" s="69"/>
    </row>
    <row r="43" spans="1:10" s="70" customFormat="1" ht="12.75" customHeight="1" x14ac:dyDescent="0.2">
      <c r="A43" s="89">
        <v>45150</v>
      </c>
      <c r="B43" s="128" t="s">
        <v>11</v>
      </c>
      <c r="C43" s="10" t="s">
        <v>409</v>
      </c>
      <c r="D43" s="11" t="s">
        <v>29</v>
      </c>
      <c r="E43" s="86"/>
      <c r="F43" s="70">
        <v>672</v>
      </c>
      <c r="G43" s="30"/>
      <c r="I43" s="69"/>
      <c r="J43" s="69"/>
    </row>
    <row r="44" spans="1:10" s="70" customFormat="1" ht="12.75" customHeight="1" x14ac:dyDescent="0.2">
      <c r="A44" s="89">
        <v>45150</v>
      </c>
      <c r="B44" s="128" t="s">
        <v>11</v>
      </c>
      <c r="C44" s="10" t="s">
        <v>116</v>
      </c>
      <c r="D44" s="11" t="s">
        <v>29</v>
      </c>
      <c r="E44" s="86"/>
      <c r="F44" s="70">
        <v>49739</v>
      </c>
      <c r="G44" s="30"/>
      <c r="I44" s="69"/>
      <c r="J44" s="69"/>
    </row>
    <row r="45" spans="1:10" s="70" customFormat="1" ht="12.75" customHeight="1" x14ac:dyDescent="0.2">
      <c r="A45" s="89">
        <v>45150</v>
      </c>
      <c r="B45" s="128" t="s">
        <v>11</v>
      </c>
      <c r="C45" s="10" t="s">
        <v>228</v>
      </c>
      <c r="D45" s="11" t="s">
        <v>29</v>
      </c>
      <c r="E45" s="86"/>
      <c r="F45" s="70">
        <v>87596</v>
      </c>
      <c r="G45" s="30"/>
      <c r="I45" s="69"/>
      <c r="J45" s="69"/>
    </row>
    <row r="46" spans="1:10" s="70" customFormat="1" ht="12.75" customHeight="1" x14ac:dyDescent="0.2">
      <c r="A46" s="89">
        <v>45150</v>
      </c>
      <c r="B46" s="128" t="s">
        <v>11</v>
      </c>
      <c r="C46" s="10" t="s">
        <v>1196</v>
      </c>
      <c r="D46" s="11" t="s">
        <v>29</v>
      </c>
      <c r="E46" s="86"/>
      <c r="F46" s="70">
        <v>11800</v>
      </c>
      <c r="G46" s="30"/>
      <c r="I46" s="69"/>
      <c r="J46" s="69"/>
    </row>
    <row r="47" spans="1:10" s="70" customFormat="1" ht="12.75" customHeight="1" x14ac:dyDescent="0.2">
      <c r="A47" s="89">
        <v>45150</v>
      </c>
      <c r="B47" s="128" t="s">
        <v>11</v>
      </c>
      <c r="C47" s="10" t="s">
        <v>290</v>
      </c>
      <c r="D47" s="11" t="s">
        <v>29</v>
      </c>
      <c r="E47" s="86"/>
      <c r="F47" s="70">
        <v>19480</v>
      </c>
      <c r="G47" s="30"/>
      <c r="I47" s="69"/>
      <c r="J47" s="69"/>
    </row>
    <row r="48" spans="1:10" s="70" customFormat="1" ht="12.75" customHeight="1" x14ac:dyDescent="0.2">
      <c r="A48" s="89">
        <v>45150</v>
      </c>
      <c r="B48" s="128" t="s">
        <v>11</v>
      </c>
      <c r="C48" s="10" t="s">
        <v>528</v>
      </c>
      <c r="D48" s="11" t="s">
        <v>29</v>
      </c>
      <c r="E48" s="86"/>
      <c r="F48" s="70">
        <v>55280.639999999999</v>
      </c>
      <c r="G48" s="30"/>
      <c r="I48" s="69"/>
      <c r="J48" s="69"/>
    </row>
    <row r="49" spans="1:14" s="70" customFormat="1" ht="12.75" customHeight="1" x14ac:dyDescent="0.2">
      <c r="A49" s="89">
        <v>45150</v>
      </c>
      <c r="B49" s="128" t="s">
        <v>11</v>
      </c>
      <c r="C49" s="10" t="s">
        <v>38</v>
      </c>
      <c r="D49" s="11" t="s">
        <v>29</v>
      </c>
      <c r="E49" s="86"/>
      <c r="F49" s="70">
        <v>31267.5</v>
      </c>
      <c r="G49" s="30"/>
      <c r="I49" s="69"/>
      <c r="J49" s="69"/>
    </row>
    <row r="50" spans="1:14" s="70" customFormat="1" ht="12.75" customHeight="1" x14ac:dyDescent="0.2">
      <c r="A50" s="89">
        <v>45150</v>
      </c>
      <c r="B50" s="128" t="s">
        <v>11</v>
      </c>
      <c r="C50" s="10" t="s">
        <v>724</v>
      </c>
      <c r="D50" s="11" t="s">
        <v>29</v>
      </c>
      <c r="E50" s="86"/>
      <c r="F50" s="70">
        <v>19867</v>
      </c>
      <c r="G50" s="30"/>
      <c r="I50" s="69"/>
      <c r="J50" s="69"/>
    </row>
    <row r="51" spans="1:14" s="70" customFormat="1" ht="12.75" customHeight="1" x14ac:dyDescent="0.2">
      <c r="A51" s="89">
        <v>45150</v>
      </c>
      <c r="B51" s="128" t="s">
        <v>11</v>
      </c>
      <c r="C51" s="10" t="s">
        <v>369</v>
      </c>
      <c r="D51" s="11" t="s">
        <v>29</v>
      </c>
      <c r="E51" s="86"/>
      <c r="F51" s="70">
        <v>12313.3</v>
      </c>
      <c r="G51" s="30"/>
      <c r="I51" s="69"/>
      <c r="J51" s="69"/>
    </row>
    <row r="52" spans="1:14" s="70" customFormat="1" ht="12.75" customHeight="1" x14ac:dyDescent="0.2">
      <c r="A52" s="89">
        <v>45150</v>
      </c>
      <c r="B52" s="128" t="s">
        <v>11</v>
      </c>
      <c r="C52" s="10" t="s">
        <v>685</v>
      </c>
      <c r="D52" s="11" t="s">
        <v>29</v>
      </c>
      <c r="E52" s="86"/>
      <c r="F52" s="70">
        <v>13250</v>
      </c>
      <c r="G52" s="30"/>
      <c r="I52" s="69"/>
      <c r="J52" s="69"/>
    </row>
    <row r="53" spans="1:14" s="70" customFormat="1" ht="12.75" customHeight="1" x14ac:dyDescent="0.2">
      <c r="A53" s="89">
        <v>45150</v>
      </c>
      <c r="B53" s="128" t="s">
        <v>11</v>
      </c>
      <c r="C53" s="10" t="s">
        <v>111</v>
      </c>
      <c r="D53" s="11" t="s">
        <v>29</v>
      </c>
      <c r="E53" s="86"/>
      <c r="F53" s="70">
        <v>305085.75</v>
      </c>
      <c r="G53" s="30"/>
      <c r="I53" s="69"/>
      <c r="J53" s="69"/>
    </row>
    <row r="54" spans="1:14" s="70" customFormat="1" ht="12.75" customHeight="1" x14ac:dyDescent="0.2">
      <c r="A54" s="89">
        <v>45150</v>
      </c>
      <c r="B54" s="128" t="s">
        <v>11</v>
      </c>
      <c r="C54" s="10" t="s">
        <v>427</v>
      </c>
      <c r="D54" s="11" t="s">
        <v>29</v>
      </c>
      <c r="E54" s="86"/>
      <c r="F54" s="70">
        <v>247525</v>
      </c>
      <c r="G54" s="30"/>
      <c r="I54" s="69"/>
      <c r="J54" s="69"/>
    </row>
    <row r="55" spans="1:14" s="2" customFormat="1" ht="12.75" customHeight="1" x14ac:dyDescent="0.2">
      <c r="A55" s="32"/>
      <c r="B55" s="33"/>
      <c r="C55" s="14"/>
      <c r="D55" s="34"/>
      <c r="E55" s="16">
        <f>SUM(E19:E54)</f>
        <v>2493788.34</v>
      </c>
      <c r="F55" s="16">
        <f>SUM(F19:F54)</f>
        <v>343470243.50999999</v>
      </c>
      <c r="G55" s="30"/>
      <c r="H55" s="1"/>
      <c r="I55" s="38">
        <v>340976455.17000002</v>
      </c>
      <c r="J55" s="2" t="s">
        <v>396</v>
      </c>
      <c r="K55" s="92">
        <f>E56-I55</f>
        <v>0</v>
      </c>
      <c r="L55" s="41"/>
      <c r="M55" s="42"/>
    </row>
    <row r="56" spans="1:14" s="2" customFormat="1" ht="12.75" customHeight="1" x14ac:dyDescent="0.2">
      <c r="A56" s="36"/>
      <c r="B56" s="28" t="s">
        <v>11</v>
      </c>
      <c r="C56" s="19" t="s">
        <v>65</v>
      </c>
      <c r="D56" s="37"/>
      <c r="E56" s="38">
        <f>F55-E55</f>
        <v>340976455.17000002</v>
      </c>
      <c r="F56" s="22"/>
      <c r="G56" s="1"/>
      <c r="H56" s="1"/>
      <c r="J56" s="1"/>
      <c r="K56" s="1"/>
      <c r="L56" s="1"/>
      <c r="M56" s="1"/>
    </row>
    <row r="57" spans="1:14" s="2" customFormat="1" ht="12.75" customHeight="1" x14ac:dyDescent="0.2">
      <c r="A57" s="36"/>
      <c r="B57" s="28" t="s">
        <v>66</v>
      </c>
      <c r="C57" s="43" t="s">
        <v>67</v>
      </c>
      <c r="D57" s="43"/>
      <c r="E57" s="12">
        <v>0</v>
      </c>
      <c r="F57" s="22"/>
      <c r="G57" s="1"/>
      <c r="H57" s="40"/>
      <c r="I57" s="45">
        <v>1644.93</v>
      </c>
      <c r="J57" s="46"/>
      <c r="K57" s="46"/>
      <c r="L57" s="13"/>
      <c r="M57" s="69" t="s">
        <v>396</v>
      </c>
    </row>
    <row r="58" spans="1:14" s="2" customFormat="1" ht="12.75" customHeight="1" x14ac:dyDescent="0.25">
      <c r="A58" s="36"/>
      <c r="B58" s="28"/>
      <c r="C58" s="44" t="s">
        <v>68</v>
      </c>
      <c r="D58" s="43"/>
      <c r="E58" s="7">
        <f>E56+E57</f>
        <v>340976455.17000002</v>
      </c>
      <c r="F58" s="22"/>
      <c r="G58" s="1"/>
      <c r="H58" s="103" t="s">
        <v>69</v>
      </c>
      <c r="I58" s="45">
        <v>56.42</v>
      </c>
      <c r="J58" s="46"/>
      <c r="K58" s="46"/>
      <c r="N58" s="1"/>
    </row>
    <row r="59" spans="1:14" s="2" customFormat="1" x14ac:dyDescent="0.2">
      <c r="A59" s="24"/>
      <c r="B59" s="1"/>
      <c r="C59" s="14"/>
      <c r="D59" s="25"/>
      <c r="E59" s="1"/>
      <c r="H59" s="35" t="s">
        <v>70</v>
      </c>
      <c r="I59" s="45">
        <v>-10</v>
      </c>
      <c r="J59" s="46">
        <f>+I60-D62</f>
        <v>0</v>
      </c>
      <c r="M59" s="2" t="s">
        <v>396</v>
      </c>
      <c r="N59" s="1"/>
    </row>
    <row r="60" spans="1:14" x14ac:dyDescent="0.2">
      <c r="C60" s="56"/>
      <c r="D60" s="56"/>
      <c r="E60" s="104"/>
      <c r="I60" s="49">
        <f>SUM(I57:I59)</f>
        <v>1691.3500000000001</v>
      </c>
      <c r="J60" s="46"/>
      <c r="K60" s="46"/>
      <c r="L60" s="2"/>
      <c r="M60" s="2"/>
      <c r="N60" s="2"/>
    </row>
    <row r="61" spans="1:14" x14ac:dyDescent="0.2">
      <c r="C61" s="78" t="s">
        <v>575</v>
      </c>
      <c r="D61" s="48" t="s">
        <v>576</v>
      </c>
      <c r="E61" s="104"/>
      <c r="I61" s="2"/>
      <c r="J61" s="2"/>
      <c r="K61" s="2"/>
      <c r="L61" s="2"/>
      <c r="M61" s="2"/>
      <c r="N61" s="2"/>
    </row>
    <row r="62" spans="1:14" s="2" customFormat="1" x14ac:dyDescent="0.2">
      <c r="A62" s="24"/>
      <c r="B62" s="1"/>
      <c r="C62" s="47" t="s">
        <v>570</v>
      </c>
      <c r="D62" s="111">
        <v>1691.35</v>
      </c>
      <c r="E62" s="104"/>
      <c r="G62" s="1"/>
      <c r="H62" s="110" t="s">
        <v>581</v>
      </c>
      <c r="N62" s="2" t="s">
        <v>535</v>
      </c>
    </row>
    <row r="63" spans="1:14" s="2" customFormat="1" x14ac:dyDescent="0.2">
      <c r="A63" s="24"/>
      <c r="B63" s="1"/>
      <c r="C63" s="47" t="s">
        <v>931</v>
      </c>
      <c r="D63" s="111">
        <v>263.36</v>
      </c>
      <c r="E63" s="104"/>
      <c r="G63" s="1"/>
      <c r="H63" s="110" t="s">
        <v>580</v>
      </c>
    </row>
    <row r="64" spans="1:14" s="2" customFormat="1" x14ac:dyDescent="0.2">
      <c r="A64" s="24"/>
      <c r="B64" s="1"/>
      <c r="C64" s="47" t="s">
        <v>572</v>
      </c>
      <c r="D64" s="111">
        <f>+D90/100000</f>
        <v>71.840139100000002</v>
      </c>
      <c r="E64" s="104"/>
      <c r="G64" s="1"/>
      <c r="H64" s="90" t="s">
        <v>587</v>
      </c>
    </row>
    <row r="65" spans="1:13" s="2" customFormat="1" x14ac:dyDescent="0.2">
      <c r="A65" s="24"/>
      <c r="B65" s="1"/>
      <c r="C65" s="108" t="s">
        <v>578</v>
      </c>
      <c r="D65" s="48">
        <f>SUM(D62:D64)</f>
        <v>2026.5501391</v>
      </c>
      <c r="E65" s="104"/>
      <c r="G65" s="1"/>
    </row>
    <row r="66" spans="1:13" s="2" customFormat="1" x14ac:dyDescent="0.2">
      <c r="A66" s="24"/>
      <c r="B66" s="1"/>
      <c r="C66" s="47"/>
      <c r="D66" s="107"/>
      <c r="E66" s="104"/>
      <c r="G66" s="1"/>
    </row>
    <row r="67" spans="1:13" s="2" customFormat="1" x14ac:dyDescent="0.2">
      <c r="A67" s="24"/>
      <c r="B67" s="1"/>
      <c r="C67" s="47" t="s">
        <v>932</v>
      </c>
      <c r="D67" s="111">
        <v>27.61</v>
      </c>
      <c r="E67" s="104"/>
      <c r="G67" s="1"/>
      <c r="H67" s="110" t="s">
        <v>581</v>
      </c>
    </row>
    <row r="68" spans="1:13" s="2" customFormat="1" x14ac:dyDescent="0.2">
      <c r="A68" s="24"/>
      <c r="B68" s="1"/>
      <c r="C68" s="136" t="s">
        <v>1142</v>
      </c>
      <c r="D68" s="111">
        <v>151.72999999999999</v>
      </c>
      <c r="E68" s="104"/>
      <c r="G68" s="1"/>
      <c r="H68" s="110" t="s">
        <v>581</v>
      </c>
      <c r="J68" s="114" t="s">
        <v>713</v>
      </c>
    </row>
    <row r="69" spans="1:13" s="2" customFormat="1" x14ac:dyDescent="0.2">
      <c r="A69" s="24"/>
      <c r="B69" s="1"/>
      <c r="C69" s="78" t="s">
        <v>579</v>
      </c>
      <c r="D69" s="109">
        <f>D67+D68</f>
        <v>179.33999999999997</v>
      </c>
      <c r="E69" s="104"/>
      <c r="G69" s="1"/>
      <c r="I69" s="113"/>
      <c r="J69" s="113" t="s">
        <v>709</v>
      </c>
      <c r="K69" s="113" t="s">
        <v>710</v>
      </c>
      <c r="L69" s="113" t="s">
        <v>711</v>
      </c>
      <c r="M69" s="113" t="s">
        <v>712</v>
      </c>
    </row>
    <row r="70" spans="1:13" s="2" customFormat="1" x14ac:dyDescent="0.2">
      <c r="A70" s="24"/>
      <c r="B70" s="1"/>
      <c r="C70" s="105"/>
      <c r="D70" s="106"/>
      <c r="E70" s="104"/>
      <c r="G70" s="1"/>
      <c r="I70" s="113" t="s">
        <v>706</v>
      </c>
      <c r="J70" s="115"/>
      <c r="K70" s="115">
        <v>968.99</v>
      </c>
      <c r="L70" s="115">
        <v>968.99</v>
      </c>
      <c r="M70" s="113">
        <f>+J70+L70-K70</f>
        <v>0</v>
      </c>
    </row>
    <row r="71" spans="1:13" s="2" customFormat="1" x14ac:dyDescent="0.2">
      <c r="A71" s="24"/>
      <c r="B71" s="1"/>
      <c r="C71" s="78" t="s">
        <v>577</v>
      </c>
      <c r="D71" s="109">
        <f>D62+D69</f>
        <v>1870.6899999999998</v>
      </c>
      <c r="E71" s="104"/>
      <c r="G71" s="1"/>
      <c r="I71" s="113" t="s">
        <v>707</v>
      </c>
      <c r="J71" s="115">
        <v>183.1</v>
      </c>
      <c r="K71" s="115">
        <v>3187.89</v>
      </c>
      <c r="L71" s="115">
        <v>3578.74</v>
      </c>
      <c r="M71" s="113">
        <f>+J71+L71-K71</f>
        <v>573.94999999999982</v>
      </c>
    </row>
    <row r="72" spans="1:13" s="2" customFormat="1" x14ac:dyDescent="0.2">
      <c r="A72" s="24"/>
      <c r="B72" s="1"/>
      <c r="C72" s="56"/>
      <c r="D72" s="56"/>
      <c r="E72" s="104"/>
      <c r="G72" s="1"/>
      <c r="I72" s="113" t="s">
        <v>708</v>
      </c>
      <c r="J72" s="115">
        <v>1371.02</v>
      </c>
      <c r="K72" s="115">
        <v>13444.18</v>
      </c>
      <c r="L72" s="115">
        <v>13102.96</v>
      </c>
      <c r="M72" s="113">
        <f>+J72+L72-K72</f>
        <v>1029.7999999999993</v>
      </c>
    </row>
    <row r="73" spans="1:13" s="2" customFormat="1" ht="38.25" x14ac:dyDescent="0.2">
      <c r="A73" s="24"/>
      <c r="B73" s="1"/>
      <c r="C73" s="79" t="str">
        <f>"Particulars ( 01-04-2021 to "&amp;TEXT(A5,"dd-mm-yyyy")&amp;" )"</f>
        <v>Particulars ( 01-04-2021 to 12-08-2023 )</v>
      </c>
      <c r="D73" s="80" t="s">
        <v>73</v>
      </c>
      <c r="E73" s="80" t="s">
        <v>74</v>
      </c>
      <c r="F73" s="81" t="s">
        <v>75</v>
      </c>
      <c r="G73" s="80" t="s">
        <v>76</v>
      </c>
      <c r="J73" s="118">
        <f>SUM(J70:J72)</f>
        <v>1554.12</v>
      </c>
      <c r="K73" s="118">
        <f>SUM(K70:K72)</f>
        <v>17601.060000000001</v>
      </c>
      <c r="L73" s="118">
        <f>SUM(L70:L72)</f>
        <v>17650.689999999999</v>
      </c>
      <c r="M73" s="118">
        <f>SUM(M70:M72)</f>
        <v>1603.7499999999991</v>
      </c>
    </row>
    <row r="74" spans="1:13" s="2" customFormat="1" x14ac:dyDescent="0.2">
      <c r="A74" s="24"/>
      <c r="B74" s="1"/>
      <c r="C74" s="50" t="s">
        <v>444</v>
      </c>
      <c r="D74" s="55">
        <f>+L70+L71+J71</f>
        <v>4730.83</v>
      </c>
      <c r="E74" s="55">
        <f>+K70+K71</f>
        <v>4156.88</v>
      </c>
      <c r="F74" s="55">
        <f>+D74-E74</f>
        <v>573.94999999999982</v>
      </c>
      <c r="G74" s="55">
        <f>1500-F74</f>
        <v>926.05000000000018</v>
      </c>
      <c r="H74" s="2" t="s">
        <v>396</v>
      </c>
    </row>
    <row r="75" spans="1:13" s="2" customFormat="1" x14ac:dyDescent="0.2">
      <c r="A75" s="24"/>
      <c r="B75" s="1"/>
      <c r="C75" s="50" t="s">
        <v>71</v>
      </c>
      <c r="D75" s="55">
        <f>+J72+L72</f>
        <v>14473.98</v>
      </c>
      <c r="E75" s="55">
        <f>+K72</f>
        <v>13444.18</v>
      </c>
      <c r="F75" s="55">
        <f>+D75-E75</f>
        <v>1029.7999999999993</v>
      </c>
      <c r="G75" s="55">
        <f>1500+700-F75</f>
        <v>1170.2000000000007</v>
      </c>
      <c r="H75" s="2" t="s">
        <v>396</v>
      </c>
    </row>
    <row r="76" spans="1:13" s="2" customFormat="1" x14ac:dyDescent="0.2">
      <c r="A76" s="24"/>
      <c r="B76" s="1"/>
      <c r="C76" s="14"/>
      <c r="D76" s="56"/>
      <c r="E76" s="13"/>
      <c r="G76" s="1"/>
    </row>
    <row r="77" spans="1:13" s="2" customFormat="1" x14ac:dyDescent="0.2">
      <c r="A77" s="215" t="s">
        <v>80</v>
      </c>
      <c r="B77" s="216"/>
      <c r="C77" s="216"/>
      <c r="D77" s="217"/>
      <c r="E77" s="69"/>
      <c r="F77" s="70"/>
      <c r="G77" s="1"/>
      <c r="H77" s="53"/>
    </row>
    <row r="78" spans="1:13" s="2" customFormat="1" x14ac:dyDescent="0.2">
      <c r="A78" s="71" t="s">
        <v>81</v>
      </c>
      <c r="B78" s="71"/>
      <c r="C78" s="72" t="s">
        <v>82</v>
      </c>
      <c r="D78" s="73" t="s">
        <v>83</v>
      </c>
      <c r="E78" s="69"/>
      <c r="F78" s="70"/>
      <c r="H78" s="53"/>
    </row>
    <row r="79" spans="1:13" s="2" customFormat="1" x14ac:dyDescent="0.2">
      <c r="A79" s="8">
        <v>45139</v>
      </c>
      <c r="B79" s="120" t="s">
        <v>1052</v>
      </c>
      <c r="C79" s="75" t="s">
        <v>85</v>
      </c>
      <c r="D79" s="88">
        <v>552343</v>
      </c>
      <c r="G79" s="1"/>
      <c r="L79" s="1"/>
      <c r="M79" s="1"/>
    </row>
    <row r="80" spans="1:13" s="2" customFormat="1" x14ac:dyDescent="0.2">
      <c r="A80" s="8">
        <v>45140</v>
      </c>
      <c r="B80" s="120" t="s">
        <v>1052</v>
      </c>
      <c r="C80" s="75" t="s">
        <v>270</v>
      </c>
      <c r="D80" s="88">
        <v>244404</v>
      </c>
      <c r="G80" s="1"/>
      <c r="L80" s="1"/>
      <c r="M80" s="1"/>
    </row>
    <row r="81" spans="1:13" s="2" customFormat="1" x14ac:dyDescent="0.2">
      <c r="A81" s="8">
        <v>45140</v>
      </c>
      <c r="B81" s="120" t="s">
        <v>1052</v>
      </c>
      <c r="C81" s="75" t="s">
        <v>270</v>
      </c>
      <c r="D81" s="88">
        <v>550256</v>
      </c>
      <c r="G81" s="1"/>
      <c r="L81" s="1"/>
      <c r="M81" s="1"/>
    </row>
    <row r="82" spans="1:13" s="2" customFormat="1" x14ac:dyDescent="0.2">
      <c r="A82" s="8">
        <v>45140</v>
      </c>
      <c r="B82" s="120" t="s">
        <v>1052</v>
      </c>
      <c r="C82" s="75" t="s">
        <v>270</v>
      </c>
      <c r="D82" s="88">
        <v>191589</v>
      </c>
      <c r="G82" s="1"/>
      <c r="L82" s="1"/>
      <c r="M82" s="1"/>
    </row>
    <row r="83" spans="1:13" s="2" customFormat="1" x14ac:dyDescent="0.2">
      <c r="A83" s="8">
        <v>45140</v>
      </c>
      <c r="B83" s="120" t="s">
        <v>1052</v>
      </c>
      <c r="C83" s="75" t="s">
        <v>270</v>
      </c>
      <c r="D83" s="88">
        <v>74415.91</v>
      </c>
      <c r="G83" s="1"/>
      <c r="L83" s="1"/>
      <c r="M83" s="1"/>
    </row>
    <row r="84" spans="1:13" s="2" customFormat="1" x14ac:dyDescent="0.2">
      <c r="A84" s="8">
        <v>45140</v>
      </c>
      <c r="B84" s="120" t="s">
        <v>1052</v>
      </c>
      <c r="C84" s="75" t="s">
        <v>271</v>
      </c>
      <c r="D84" s="88">
        <v>454781</v>
      </c>
      <c r="G84" s="1"/>
      <c r="L84" s="1"/>
      <c r="M84" s="1"/>
    </row>
    <row r="85" spans="1:13" s="2" customFormat="1" x14ac:dyDescent="0.2">
      <c r="A85" s="8">
        <v>45141</v>
      </c>
      <c r="B85" s="120" t="s">
        <v>1052</v>
      </c>
      <c r="C85" s="75" t="s">
        <v>909</v>
      </c>
      <c r="D85" s="88">
        <v>910969</v>
      </c>
      <c r="G85" s="1"/>
      <c r="L85" s="1"/>
      <c r="M85" s="1"/>
    </row>
    <row r="86" spans="1:13" s="2" customFormat="1" x14ac:dyDescent="0.2">
      <c r="A86" s="8">
        <v>45141</v>
      </c>
      <c r="B86" s="120" t="s">
        <v>1052</v>
      </c>
      <c r="C86" s="75" t="s">
        <v>909</v>
      </c>
      <c r="D86" s="88">
        <v>1424635</v>
      </c>
      <c r="G86" s="1"/>
      <c r="L86" s="1"/>
      <c r="M86" s="1"/>
    </row>
    <row r="87" spans="1:13" s="2" customFormat="1" x14ac:dyDescent="0.2">
      <c r="A87" s="8">
        <v>45143</v>
      </c>
      <c r="B87" s="120" t="s">
        <v>1052</v>
      </c>
      <c r="C87" s="75" t="s">
        <v>85</v>
      </c>
      <c r="D87" s="88">
        <v>644288</v>
      </c>
      <c r="G87" s="1"/>
      <c r="L87" s="1"/>
      <c r="M87" s="1"/>
    </row>
    <row r="88" spans="1:13" s="2" customFormat="1" x14ac:dyDescent="0.2">
      <c r="A88" s="8">
        <v>45146</v>
      </c>
      <c r="B88" s="120" t="s">
        <v>1052</v>
      </c>
      <c r="C88" s="75" t="s">
        <v>85</v>
      </c>
      <c r="D88" s="88">
        <v>136333</v>
      </c>
      <c r="G88" s="1"/>
      <c r="L88" s="1"/>
      <c r="M88" s="1"/>
    </row>
    <row r="89" spans="1:13" s="2" customFormat="1" x14ac:dyDescent="0.2">
      <c r="A89" s="8">
        <v>45146</v>
      </c>
      <c r="B89" s="120" t="s">
        <v>1052</v>
      </c>
      <c r="C89" s="75" t="s">
        <v>1343</v>
      </c>
      <c r="D89" s="88">
        <v>2000000</v>
      </c>
      <c r="G89" s="1"/>
      <c r="L89" s="1"/>
      <c r="M89" s="1"/>
    </row>
    <row r="90" spans="1:13" s="2" customFormat="1" x14ac:dyDescent="0.2">
      <c r="A90" s="87"/>
      <c r="B90" s="74"/>
      <c r="C90" s="75"/>
      <c r="D90" s="51">
        <f>SUM(D79:D89)</f>
        <v>7184013.9100000001</v>
      </c>
      <c r="F90" s="2" t="s">
        <v>396</v>
      </c>
      <c r="G90" s="1"/>
      <c r="L90" s="1"/>
      <c r="M90" s="1"/>
    </row>
    <row r="91" spans="1:13" s="2" customFormat="1" x14ac:dyDescent="0.2">
      <c r="A91" s="24"/>
      <c r="B91" s="1"/>
      <c r="C91" s="14"/>
      <c r="D91" s="56"/>
      <c r="E91" s="13"/>
      <c r="G91" s="1"/>
      <c r="L91" s="1"/>
      <c r="M91" s="1"/>
    </row>
    <row r="92" spans="1:13" s="2" customFormat="1" x14ac:dyDescent="0.2">
      <c r="A92" s="24"/>
      <c r="B92" s="1"/>
      <c r="C92" s="218" t="s">
        <v>77</v>
      </c>
      <c r="D92" s="219"/>
      <c r="E92" s="219"/>
      <c r="F92" s="220"/>
      <c r="G92" s="1"/>
      <c r="L92" s="1"/>
      <c r="M92" s="1"/>
    </row>
    <row r="93" spans="1:13" s="2" customFormat="1" x14ac:dyDescent="0.2">
      <c r="A93" s="24"/>
      <c r="B93" s="1"/>
      <c r="C93" s="50"/>
      <c r="D93" s="57" t="s">
        <v>78</v>
      </c>
      <c r="E93" s="58" t="s">
        <v>79</v>
      </c>
      <c r="F93" s="57" t="s">
        <v>72</v>
      </c>
      <c r="G93" s="1"/>
      <c r="I93" s="1"/>
      <c r="J93" s="1"/>
      <c r="K93" s="1"/>
      <c r="L93" s="1"/>
      <c r="M93" s="1"/>
    </row>
    <row r="94" spans="1:13" s="2" customFormat="1" x14ac:dyDescent="0.2">
      <c r="A94" s="24"/>
      <c r="B94" s="1"/>
      <c r="C94" s="59" t="str">
        <f>"01-08-2023 to "&amp;TEXT(A5-2,"dd-mm-yyyy")</f>
        <v>01-08-2023 to 10-08-2023</v>
      </c>
      <c r="D94" s="60">
        <v>1299.02</v>
      </c>
      <c r="E94" s="60">
        <v>112.75</v>
      </c>
      <c r="F94" s="61">
        <f>SUM(D94:E94)</f>
        <v>1411.77</v>
      </c>
      <c r="G94" s="1"/>
    </row>
    <row r="95" spans="1:13" s="2" customFormat="1" x14ac:dyDescent="0.2">
      <c r="A95" s="24"/>
      <c r="B95" s="1"/>
      <c r="C95" s="62" t="str">
        <f>TEXT(A5-1,"dd-mm-yyyy")</f>
        <v>11-08-2023</v>
      </c>
      <c r="D95" s="60">
        <v>149.66999999999999</v>
      </c>
      <c r="E95" s="60">
        <v>11.77</v>
      </c>
      <c r="F95" s="61">
        <f>SUM(D95:E95)</f>
        <v>161.44</v>
      </c>
      <c r="G95" s="54"/>
      <c r="I95" s="1"/>
      <c r="J95" s="1"/>
      <c r="K95" s="1"/>
      <c r="L95" s="1"/>
      <c r="M95" s="1"/>
    </row>
    <row r="96" spans="1:13" s="2" customFormat="1" ht="13.5" thickBot="1" x14ac:dyDescent="0.25">
      <c r="A96" s="24"/>
      <c r="B96" s="1"/>
      <c r="C96" s="63" t="str">
        <f>"01-08-2023 to "&amp;TEXT(A5-1,"dd-mm-yyyy")</f>
        <v>01-08-2023 to 11-08-2023</v>
      </c>
      <c r="D96" s="64">
        <f>SUM(D94:D95)</f>
        <v>1448.69</v>
      </c>
      <c r="E96" s="64">
        <f>SUM(E94:E95)</f>
        <v>124.52</v>
      </c>
      <c r="F96" s="64">
        <f>SUM(F94:F95)</f>
        <v>1573.21</v>
      </c>
      <c r="G96" s="54"/>
      <c r="I96" s="1"/>
      <c r="J96" s="1"/>
      <c r="K96" s="1"/>
      <c r="L96" s="1"/>
      <c r="M96" s="1"/>
    </row>
    <row r="97" spans="1:13" s="2" customFormat="1" ht="13.5" thickTop="1" x14ac:dyDescent="0.2">
      <c r="A97" s="24"/>
      <c r="B97" s="1"/>
      <c r="C97" s="62"/>
      <c r="D97" s="65"/>
      <c r="E97" s="66"/>
      <c r="F97" s="67"/>
      <c r="G97" s="54"/>
      <c r="I97" s="1"/>
      <c r="J97" s="1"/>
      <c r="K97" s="1"/>
      <c r="L97" s="1"/>
      <c r="M97" s="1"/>
    </row>
    <row r="98" spans="1:13" s="2" customFormat="1" x14ac:dyDescent="0.2">
      <c r="A98" s="24"/>
      <c r="B98" s="1"/>
      <c r="C98" s="62" t="str">
        <f>"01-04-2023 to " &amp;C95</f>
        <v>01-04-2023 to 11-08-2023</v>
      </c>
      <c r="D98" s="68">
        <f>+D96+20827.32</f>
        <v>22276.01</v>
      </c>
      <c r="E98" s="68">
        <f>+E96+1376.76</f>
        <v>1501.28</v>
      </c>
      <c r="F98" s="68">
        <f>+F96+22204.08</f>
        <v>23777.29</v>
      </c>
      <c r="G98" s="54"/>
      <c r="I98" s="1"/>
      <c r="J98" s="1"/>
      <c r="K98" s="1"/>
      <c r="L98" s="1"/>
      <c r="M98" s="1"/>
    </row>
    <row r="99" spans="1:13" x14ac:dyDescent="0.2">
      <c r="C99" s="52"/>
      <c r="D99" s="85"/>
      <c r="E99" s="53"/>
      <c r="F99" s="53"/>
      <c r="G99" s="54"/>
      <c r="H99" s="2" t="s">
        <v>396</v>
      </c>
    </row>
    <row r="100" spans="1:13" s="2" customFormat="1" x14ac:dyDescent="0.2">
      <c r="A100" s="24"/>
      <c r="B100" s="1"/>
      <c r="C100" s="52"/>
      <c r="D100" s="85"/>
      <c r="E100" s="53"/>
      <c r="F100" s="53"/>
      <c r="G100" s="54"/>
      <c r="H100" s="53"/>
    </row>
    <row r="101" spans="1:13" x14ac:dyDescent="0.2">
      <c r="C101" s="52"/>
      <c r="D101" s="85"/>
      <c r="E101" s="53"/>
      <c r="F101" s="53"/>
      <c r="G101" s="54"/>
      <c r="H101" s="53" t="s">
        <v>396</v>
      </c>
    </row>
    <row r="102" spans="1:13" x14ac:dyDescent="0.2">
      <c r="C102" s="52"/>
      <c r="D102" s="85"/>
      <c r="E102" s="53"/>
      <c r="F102" s="53"/>
      <c r="G102" s="54"/>
      <c r="H102" s="53" t="s">
        <v>396</v>
      </c>
      <c r="J102" s="42"/>
    </row>
    <row r="103" spans="1:13" x14ac:dyDescent="0.2">
      <c r="G103" s="54"/>
      <c r="H103" s="53"/>
      <c r="I103" s="101"/>
    </row>
    <row r="104" spans="1:13" x14ac:dyDescent="0.2">
      <c r="G104" s="54"/>
      <c r="H104" s="53"/>
    </row>
    <row r="105" spans="1:13" x14ac:dyDescent="0.2">
      <c r="G105" s="54"/>
      <c r="H105" s="53"/>
    </row>
    <row r="106" spans="1:13" x14ac:dyDescent="0.2">
      <c r="H106" s="53"/>
    </row>
  </sheetData>
  <mergeCells count="6">
    <mergeCell ref="C92:F92"/>
    <mergeCell ref="A1:G1"/>
    <mergeCell ref="A3:F3"/>
    <mergeCell ref="A9:F9"/>
    <mergeCell ref="A17:F17"/>
    <mergeCell ref="A77:D77"/>
  </mergeCells>
  <conditionalFormatting sqref="G74:G75">
    <cfRule type="cellIs" dxfId="365" priority="1" operator="lessThan">
      <formula>0</formula>
    </cfRule>
  </conditionalFormatting>
  <conditionalFormatting sqref="C19">
    <cfRule type="duplicateValues" dxfId="364" priority="2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C00-000000000000}">
  <sheetPr codeName="Sheet404">
    <pageSetUpPr fitToPage="1"/>
  </sheetPr>
  <dimension ref="A1:N118"/>
  <sheetViews>
    <sheetView topLeftCell="A67" zoomScaleNormal="100" workbookViewId="0">
      <selection activeCell="A78" sqref="A78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1359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45152</v>
      </c>
      <c r="B5" s="9" t="s">
        <v>6</v>
      </c>
      <c r="C5" s="10" t="s">
        <v>7</v>
      </c>
      <c r="D5" s="11"/>
      <c r="E5" s="12">
        <v>1479944.54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1479944.54</v>
      </c>
      <c r="F6" s="16">
        <f>SUM(F5:F5)</f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+E6-F6</f>
        <v>1479944.54</v>
      </c>
      <c r="F7" s="22"/>
      <c r="G7" s="23"/>
      <c r="H7" s="112"/>
      <c r="I7" s="112"/>
      <c r="J7" s="13"/>
    </row>
    <row r="8" spans="1:10" ht="12.75" customHeight="1" x14ac:dyDescent="0.4">
      <c r="H8" s="112"/>
      <c r="I8" s="112"/>
    </row>
    <row r="9" spans="1:10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12"/>
    </row>
    <row r="10" spans="1:10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12"/>
    </row>
    <row r="11" spans="1:10" s="2" customFormat="1" ht="14.25" customHeight="1" x14ac:dyDescent="0.2">
      <c r="A11" s="89">
        <v>45152</v>
      </c>
      <c r="B11" s="9" t="s">
        <v>6</v>
      </c>
      <c r="C11" s="10" t="s">
        <v>7</v>
      </c>
      <c r="D11" s="11"/>
      <c r="F11" s="12">
        <v>25837164.350000001</v>
      </c>
      <c r="G11" s="1"/>
      <c r="H11" s="130" t="s">
        <v>396</v>
      </c>
      <c r="I11" s="130"/>
    </row>
    <row r="12" spans="1:10" s="70" customFormat="1" ht="12.75" customHeight="1" x14ac:dyDescent="0.2">
      <c r="A12" s="89">
        <v>45152</v>
      </c>
      <c r="B12" s="9" t="s">
        <v>6</v>
      </c>
      <c r="C12" s="76" t="s">
        <v>468</v>
      </c>
      <c r="D12" s="11" t="s">
        <v>13</v>
      </c>
      <c r="E12" s="31">
        <v>13218</v>
      </c>
      <c r="F12" s="31"/>
      <c r="G12" s="30"/>
      <c r="I12" s="69"/>
      <c r="J12" s="69"/>
    </row>
    <row r="13" spans="1:10" s="70" customFormat="1" ht="12.75" customHeight="1" x14ac:dyDescent="0.2">
      <c r="A13" s="89">
        <v>45152</v>
      </c>
      <c r="B13" s="9" t="s">
        <v>11</v>
      </c>
      <c r="C13" s="76" t="s">
        <v>1209</v>
      </c>
      <c r="D13" s="11" t="s">
        <v>29</v>
      </c>
      <c r="E13" s="31"/>
      <c r="F13" s="31">
        <v>56800</v>
      </c>
      <c r="G13" s="30"/>
      <c r="I13" s="69"/>
      <c r="J13" s="69"/>
    </row>
    <row r="14" spans="1:10" s="70" customFormat="1" ht="12.75" customHeight="1" x14ac:dyDescent="0.2">
      <c r="A14" s="89">
        <v>45152</v>
      </c>
      <c r="B14" s="9" t="s">
        <v>11</v>
      </c>
      <c r="C14" s="76" t="s">
        <v>1256</v>
      </c>
      <c r="D14" s="11" t="s">
        <v>29</v>
      </c>
      <c r="E14" s="31"/>
      <c r="F14" s="31">
        <v>56440</v>
      </c>
      <c r="G14" s="30"/>
      <c r="I14" s="69"/>
      <c r="J14" s="69"/>
    </row>
    <row r="15" spans="1:10" s="70" customFormat="1" ht="12.75" customHeight="1" x14ac:dyDescent="0.2">
      <c r="A15" s="89">
        <v>45152</v>
      </c>
      <c r="B15" s="9" t="s">
        <v>11</v>
      </c>
      <c r="C15" s="76" t="s">
        <v>1228</v>
      </c>
      <c r="D15" s="11" t="s">
        <v>29</v>
      </c>
      <c r="E15" s="31"/>
      <c r="F15" s="31">
        <v>608485</v>
      </c>
      <c r="G15" s="30"/>
      <c r="I15" s="69"/>
      <c r="J15" s="69"/>
    </row>
    <row r="16" spans="1:10" s="70" customFormat="1" ht="12.75" customHeight="1" x14ac:dyDescent="0.2">
      <c r="A16" s="89">
        <v>45152</v>
      </c>
      <c r="B16" s="9" t="s">
        <v>11</v>
      </c>
      <c r="C16" s="76" t="s">
        <v>1339</v>
      </c>
      <c r="D16" s="11" t="s">
        <v>29</v>
      </c>
      <c r="E16" s="31"/>
      <c r="F16" s="31">
        <v>417104</v>
      </c>
      <c r="G16" s="30"/>
      <c r="I16" s="69"/>
      <c r="J16" s="69"/>
    </row>
    <row r="17" spans="1:10" s="70" customFormat="1" ht="12.75" customHeight="1" x14ac:dyDescent="0.2">
      <c r="A17" s="89">
        <v>45152</v>
      </c>
      <c r="B17" s="9" t="s">
        <v>11</v>
      </c>
      <c r="C17" s="76" t="s">
        <v>235</v>
      </c>
      <c r="D17" s="11" t="s">
        <v>29</v>
      </c>
      <c r="E17" s="31"/>
      <c r="F17" s="31">
        <v>7139</v>
      </c>
      <c r="G17" s="30"/>
      <c r="I17" s="69"/>
      <c r="J17" s="69"/>
    </row>
    <row r="18" spans="1:10" s="2" customFormat="1" ht="12.75" customHeight="1" x14ac:dyDescent="0.4">
      <c r="D18" s="11" t="s">
        <v>8</v>
      </c>
      <c r="E18" s="16">
        <f>SUM(E12:E17)</f>
        <v>13218</v>
      </c>
      <c r="F18" s="16">
        <f>SUM(F11:F17)</f>
        <v>26983132.350000001</v>
      </c>
      <c r="G18" s="1"/>
      <c r="H18" s="112"/>
      <c r="I18" s="112"/>
    </row>
    <row r="19" spans="1:10" s="2" customFormat="1" ht="12.75" customHeight="1" x14ac:dyDescent="0.4">
      <c r="A19" s="17"/>
      <c r="B19" s="18"/>
      <c r="C19" s="96" t="s">
        <v>9</v>
      </c>
      <c r="D19" s="20"/>
      <c r="E19" s="21">
        <f>+F18-E18</f>
        <v>26969914.350000001</v>
      </c>
      <c r="G19" s="23"/>
      <c r="H19" s="112"/>
      <c r="I19" s="112"/>
      <c r="J19" s="13"/>
    </row>
    <row r="20" spans="1:10" s="2" customFormat="1" ht="12.75" customHeight="1" x14ac:dyDescent="0.4">
      <c r="A20" s="24"/>
      <c r="B20" s="1"/>
      <c r="C20" s="14"/>
      <c r="D20" s="25"/>
      <c r="G20" s="23"/>
      <c r="H20" s="112"/>
      <c r="I20" s="112"/>
      <c r="J20" s="13"/>
    </row>
    <row r="21" spans="1:10" s="2" customFormat="1" ht="21.75" customHeight="1" x14ac:dyDescent="0.4">
      <c r="A21" s="214" t="s">
        <v>10</v>
      </c>
      <c r="B21" s="214"/>
      <c r="C21" s="214"/>
      <c r="D21" s="214"/>
      <c r="E21" s="214"/>
      <c r="F21" s="214"/>
      <c r="G21" s="13"/>
      <c r="H21" s="112"/>
      <c r="I21" s="112"/>
      <c r="J21" s="13"/>
    </row>
    <row r="22" spans="1:10" s="2" customFormat="1" ht="12.75" customHeight="1" x14ac:dyDescent="0.4">
      <c r="A22" s="26" t="s">
        <v>1</v>
      </c>
      <c r="B22" s="27" t="s">
        <v>2</v>
      </c>
      <c r="C22" s="5"/>
      <c r="D22" s="6" t="s">
        <v>3</v>
      </c>
      <c r="E22" s="7" t="s">
        <v>4</v>
      </c>
      <c r="F22" s="7" t="s">
        <v>5</v>
      </c>
      <c r="G22" s="23"/>
      <c r="H22" s="112"/>
      <c r="I22" s="112"/>
      <c r="J22" s="13"/>
    </row>
    <row r="23" spans="1:10" s="2" customFormat="1" ht="12.75" customHeight="1" x14ac:dyDescent="0.2">
      <c r="A23" s="89">
        <v>45152</v>
      </c>
      <c r="B23" s="128" t="s">
        <v>11</v>
      </c>
      <c r="C23" s="29" t="s">
        <v>7</v>
      </c>
      <c r="D23" s="25"/>
      <c r="E23" s="31"/>
      <c r="F23" s="2">
        <v>340976455.17000002</v>
      </c>
      <c r="G23" s="30"/>
      <c r="I23" s="13"/>
      <c r="J23" s="13"/>
    </row>
    <row r="24" spans="1:10" s="70" customFormat="1" ht="12.75" customHeight="1" x14ac:dyDescent="0.2">
      <c r="A24" s="89">
        <v>45152</v>
      </c>
      <c r="B24" s="128" t="s">
        <v>6</v>
      </c>
      <c r="C24" s="10" t="s">
        <v>475</v>
      </c>
      <c r="D24" s="11" t="s">
        <v>13</v>
      </c>
      <c r="E24" s="86">
        <v>619206.30000000005</v>
      </c>
      <c r="G24" s="30"/>
      <c r="I24" s="69"/>
      <c r="J24" s="69"/>
    </row>
    <row r="25" spans="1:10" s="70" customFormat="1" ht="12.75" customHeight="1" x14ac:dyDescent="0.2">
      <c r="A25" s="89">
        <v>45152</v>
      </c>
      <c r="B25" s="128" t="s">
        <v>6</v>
      </c>
      <c r="C25" s="10" t="s">
        <v>179</v>
      </c>
      <c r="D25" s="11" t="s">
        <v>13</v>
      </c>
      <c r="E25" s="86">
        <v>100000</v>
      </c>
      <c r="G25" s="30"/>
      <c r="I25" s="69"/>
      <c r="J25" s="69"/>
    </row>
    <row r="26" spans="1:10" s="70" customFormat="1" ht="12.75" customHeight="1" x14ac:dyDescent="0.2">
      <c r="A26" s="89">
        <v>45152</v>
      </c>
      <c r="B26" s="128" t="s">
        <v>6</v>
      </c>
      <c r="C26" s="10" t="s">
        <v>178</v>
      </c>
      <c r="D26" s="11" t="s">
        <v>13</v>
      </c>
      <c r="E26" s="86">
        <v>1000000</v>
      </c>
      <c r="G26" s="30"/>
      <c r="I26" s="69"/>
      <c r="J26" s="69"/>
    </row>
    <row r="27" spans="1:10" s="70" customFormat="1" ht="12.75" customHeight="1" x14ac:dyDescent="0.2">
      <c r="A27" s="89">
        <v>45152</v>
      </c>
      <c r="B27" s="128" t="s">
        <v>6</v>
      </c>
      <c r="C27" s="10" t="s">
        <v>164</v>
      </c>
      <c r="D27" s="11" t="s">
        <v>13</v>
      </c>
      <c r="E27" s="86">
        <v>1500000</v>
      </c>
      <c r="G27" s="30"/>
      <c r="I27" s="69"/>
      <c r="J27" s="69"/>
    </row>
    <row r="28" spans="1:10" s="70" customFormat="1" ht="12.75" customHeight="1" x14ac:dyDescent="0.2">
      <c r="A28" s="89">
        <v>45152</v>
      </c>
      <c r="B28" s="128" t="s">
        <v>6</v>
      </c>
      <c r="C28" s="10" t="s">
        <v>640</v>
      </c>
      <c r="D28" s="11" t="s">
        <v>13</v>
      </c>
      <c r="E28" s="86">
        <v>487151</v>
      </c>
      <c r="G28" s="30"/>
      <c r="I28" s="69"/>
      <c r="J28" s="69"/>
    </row>
    <row r="29" spans="1:10" s="70" customFormat="1" ht="12.75" customHeight="1" x14ac:dyDescent="0.2">
      <c r="A29" s="89">
        <v>45152</v>
      </c>
      <c r="B29" s="128" t="s">
        <v>6</v>
      </c>
      <c r="C29" s="10" t="s">
        <v>1241</v>
      </c>
      <c r="D29" s="11" t="s">
        <v>13</v>
      </c>
      <c r="E29" s="86">
        <v>122003</v>
      </c>
      <c r="G29" s="30"/>
      <c r="I29" s="69"/>
      <c r="J29" s="69"/>
    </row>
    <row r="30" spans="1:10" s="70" customFormat="1" ht="12.75" customHeight="1" x14ac:dyDescent="0.2">
      <c r="A30" s="89">
        <v>45152</v>
      </c>
      <c r="B30" s="128" t="s">
        <v>6</v>
      </c>
      <c r="C30" s="10" t="s">
        <v>555</v>
      </c>
      <c r="D30" s="11" t="s">
        <v>13</v>
      </c>
      <c r="E30" s="86">
        <v>884977</v>
      </c>
      <c r="G30" s="30"/>
      <c r="I30" s="69"/>
      <c r="J30" s="69"/>
    </row>
    <row r="31" spans="1:10" s="70" customFormat="1" ht="12.75" customHeight="1" x14ac:dyDescent="0.2">
      <c r="A31" s="89">
        <v>45152</v>
      </c>
      <c r="B31" s="128" t="s">
        <v>6</v>
      </c>
      <c r="C31" s="10" t="s">
        <v>614</v>
      </c>
      <c r="D31" s="11" t="s">
        <v>13</v>
      </c>
      <c r="E31" s="86">
        <v>1065357</v>
      </c>
      <c r="G31" s="30"/>
      <c r="I31" s="69"/>
      <c r="J31" s="69"/>
    </row>
    <row r="32" spans="1:10" s="70" customFormat="1" ht="12.75" customHeight="1" x14ac:dyDescent="0.2">
      <c r="A32" s="89">
        <v>45152</v>
      </c>
      <c r="B32" s="128" t="s">
        <v>6</v>
      </c>
      <c r="C32" s="10" t="s">
        <v>381</v>
      </c>
      <c r="D32" s="11" t="s">
        <v>13</v>
      </c>
      <c r="E32" s="86">
        <v>2458643</v>
      </c>
      <c r="G32" s="30"/>
      <c r="I32" s="69"/>
      <c r="J32" s="69"/>
    </row>
    <row r="33" spans="1:10" s="70" customFormat="1" ht="12.75" customHeight="1" x14ac:dyDescent="0.2">
      <c r="A33" s="89">
        <v>45152</v>
      </c>
      <c r="B33" s="128" t="s">
        <v>6</v>
      </c>
      <c r="C33" s="10" t="s">
        <v>1033</v>
      </c>
      <c r="D33" s="11" t="s">
        <v>13</v>
      </c>
      <c r="E33" s="86">
        <v>10518361</v>
      </c>
      <c r="G33" s="30"/>
      <c r="I33" s="69"/>
      <c r="J33" s="69"/>
    </row>
    <row r="34" spans="1:10" s="70" customFormat="1" ht="12.75" customHeight="1" x14ac:dyDescent="0.2">
      <c r="A34" s="89">
        <v>45152</v>
      </c>
      <c r="B34" s="128" t="s">
        <v>6</v>
      </c>
      <c r="C34" s="10" t="s">
        <v>144</v>
      </c>
      <c r="D34" s="11" t="s">
        <v>13</v>
      </c>
      <c r="E34" s="86">
        <v>184615</v>
      </c>
      <c r="G34" s="30"/>
      <c r="I34" s="69"/>
      <c r="J34" s="69"/>
    </row>
    <row r="35" spans="1:10" s="70" customFormat="1" ht="12.75" customHeight="1" x14ac:dyDescent="0.2">
      <c r="A35" s="89">
        <v>45152</v>
      </c>
      <c r="B35" s="128" t="s">
        <v>6</v>
      </c>
      <c r="C35" s="10" t="s">
        <v>514</v>
      </c>
      <c r="D35" s="11" t="s">
        <v>13</v>
      </c>
      <c r="E35" s="86">
        <v>125603</v>
      </c>
      <c r="G35" s="30"/>
      <c r="I35" s="69"/>
      <c r="J35" s="69"/>
    </row>
    <row r="36" spans="1:10" s="70" customFormat="1" ht="12.75" customHeight="1" x14ac:dyDescent="0.2">
      <c r="A36" s="89">
        <v>45152</v>
      </c>
      <c r="B36" s="128" t="s">
        <v>6</v>
      </c>
      <c r="C36" s="10" t="s">
        <v>1229</v>
      </c>
      <c r="D36" s="11" t="s">
        <v>13</v>
      </c>
      <c r="E36" s="86">
        <v>25347</v>
      </c>
      <c r="G36" s="30"/>
      <c r="I36" s="69"/>
      <c r="J36" s="69"/>
    </row>
    <row r="37" spans="1:10" s="70" customFormat="1" ht="12.75" customHeight="1" x14ac:dyDescent="0.2">
      <c r="A37" s="89">
        <v>45152</v>
      </c>
      <c r="B37" s="128" t="s">
        <v>6</v>
      </c>
      <c r="C37" s="10" t="s">
        <v>671</v>
      </c>
      <c r="D37" s="11" t="s">
        <v>13</v>
      </c>
      <c r="E37" s="86">
        <v>263603</v>
      </c>
      <c r="G37" s="30"/>
      <c r="I37" s="69"/>
      <c r="J37" s="69"/>
    </row>
    <row r="38" spans="1:10" s="69" customFormat="1" ht="12.75" customHeight="1" x14ac:dyDescent="0.2">
      <c r="A38" s="97">
        <v>45152</v>
      </c>
      <c r="B38" s="132" t="s">
        <v>6</v>
      </c>
      <c r="C38" s="121" t="s">
        <v>125</v>
      </c>
      <c r="D38" s="122" t="s">
        <v>258</v>
      </c>
      <c r="E38" s="147">
        <v>443710</v>
      </c>
      <c r="G38" s="100"/>
    </row>
    <row r="39" spans="1:10" s="70" customFormat="1" ht="12.75" customHeight="1" x14ac:dyDescent="0.2">
      <c r="A39" s="89">
        <v>45152</v>
      </c>
      <c r="B39" s="128" t="s">
        <v>6</v>
      </c>
      <c r="C39" s="10" t="s">
        <v>149</v>
      </c>
      <c r="D39" s="11" t="s">
        <v>13</v>
      </c>
      <c r="E39" s="86">
        <v>9606</v>
      </c>
      <c r="G39" s="30"/>
      <c r="I39" s="69"/>
      <c r="J39" s="69"/>
    </row>
    <row r="40" spans="1:10" s="70" customFormat="1" ht="12.75" customHeight="1" x14ac:dyDescent="0.2">
      <c r="A40" s="89">
        <v>45152</v>
      </c>
      <c r="B40" s="128" t="s">
        <v>6</v>
      </c>
      <c r="C40" s="10" t="s">
        <v>19</v>
      </c>
      <c r="D40" s="11" t="s">
        <v>13</v>
      </c>
      <c r="E40" s="86">
        <v>2360.75</v>
      </c>
      <c r="G40" s="30"/>
      <c r="I40" s="69"/>
      <c r="J40" s="69"/>
    </row>
    <row r="41" spans="1:10" s="70" customFormat="1" ht="12.75" customHeight="1" x14ac:dyDescent="0.2">
      <c r="A41" s="89">
        <v>45152</v>
      </c>
      <c r="B41" s="128" t="s">
        <v>6</v>
      </c>
      <c r="C41" s="10" t="s">
        <v>103</v>
      </c>
      <c r="D41" s="11" t="s">
        <v>13</v>
      </c>
      <c r="E41" s="86">
        <v>45374</v>
      </c>
      <c r="G41" s="30"/>
      <c r="I41" s="69"/>
      <c r="J41" s="69"/>
    </row>
    <row r="42" spans="1:10" s="70" customFormat="1" ht="12.75" customHeight="1" x14ac:dyDescent="0.2">
      <c r="A42" s="89">
        <v>45152</v>
      </c>
      <c r="B42" s="128" t="s">
        <v>6</v>
      </c>
      <c r="C42" s="10" t="s">
        <v>590</v>
      </c>
      <c r="D42" s="11" t="s">
        <v>13</v>
      </c>
      <c r="E42" s="86">
        <v>21210</v>
      </c>
      <c r="G42" s="30"/>
      <c r="I42" s="69"/>
      <c r="J42" s="69"/>
    </row>
    <row r="43" spans="1:10" s="70" customFormat="1" ht="12.75" customHeight="1" x14ac:dyDescent="0.2">
      <c r="A43" s="89">
        <v>45152</v>
      </c>
      <c r="B43" s="128" t="s">
        <v>6</v>
      </c>
      <c r="C43" s="10" t="s">
        <v>1364</v>
      </c>
      <c r="D43" s="11" t="s">
        <v>13</v>
      </c>
      <c r="E43" s="86">
        <v>307749</v>
      </c>
      <c r="G43" s="30"/>
      <c r="I43" s="69"/>
      <c r="J43" s="69"/>
    </row>
    <row r="44" spans="1:10" s="70" customFormat="1" ht="12.75" customHeight="1" x14ac:dyDescent="0.2">
      <c r="A44" s="89">
        <v>45152</v>
      </c>
      <c r="B44" s="128" t="s">
        <v>6</v>
      </c>
      <c r="C44" s="10" t="s">
        <v>1365</v>
      </c>
      <c r="D44" s="11" t="s">
        <v>13</v>
      </c>
      <c r="E44" s="86">
        <v>500000</v>
      </c>
      <c r="G44" s="30"/>
      <c r="I44" s="69"/>
      <c r="J44" s="69"/>
    </row>
    <row r="45" spans="1:10" s="69" customFormat="1" ht="12.75" customHeight="1" x14ac:dyDescent="0.2">
      <c r="A45" s="97">
        <v>45152</v>
      </c>
      <c r="B45" s="132" t="s">
        <v>6</v>
      </c>
      <c r="C45" s="121" t="s">
        <v>109</v>
      </c>
      <c r="D45" s="122" t="s">
        <v>258</v>
      </c>
      <c r="E45" s="147">
        <v>1272830</v>
      </c>
      <c r="G45" s="100"/>
    </row>
    <row r="46" spans="1:10" s="69" customFormat="1" ht="12.75" customHeight="1" x14ac:dyDescent="0.2">
      <c r="A46" s="89">
        <v>45152</v>
      </c>
      <c r="B46" s="128" t="s">
        <v>6</v>
      </c>
      <c r="C46" s="10" t="s">
        <v>1366</v>
      </c>
      <c r="D46" s="11" t="s">
        <v>13</v>
      </c>
      <c r="E46" s="86">
        <v>2205</v>
      </c>
      <c r="G46" s="100"/>
    </row>
    <row r="47" spans="1:10" s="70" customFormat="1" ht="12.75" customHeight="1" x14ac:dyDescent="0.2">
      <c r="A47" s="89">
        <v>45152</v>
      </c>
      <c r="B47" s="128" t="s">
        <v>11</v>
      </c>
      <c r="C47" s="10" t="s">
        <v>111</v>
      </c>
      <c r="D47" s="11" t="s">
        <v>29</v>
      </c>
      <c r="E47" s="86"/>
      <c r="F47" s="70">
        <v>4787222.99</v>
      </c>
      <c r="G47" s="30"/>
      <c r="I47" s="69"/>
      <c r="J47" s="69"/>
    </row>
    <row r="48" spans="1:10" s="70" customFormat="1" ht="12.75" customHeight="1" x14ac:dyDescent="0.2">
      <c r="A48" s="89">
        <v>45152</v>
      </c>
      <c r="B48" s="128" t="s">
        <v>11</v>
      </c>
      <c r="C48" s="10" t="s">
        <v>156</v>
      </c>
      <c r="D48" s="11" t="s">
        <v>29</v>
      </c>
      <c r="E48" s="86"/>
      <c r="F48" s="70">
        <v>234.82</v>
      </c>
      <c r="G48" s="30"/>
      <c r="I48" s="69"/>
      <c r="J48" s="69"/>
    </row>
    <row r="49" spans="1:10" s="70" customFormat="1" ht="12.75" customHeight="1" x14ac:dyDescent="0.2">
      <c r="A49" s="89">
        <v>45152</v>
      </c>
      <c r="B49" s="128" t="s">
        <v>11</v>
      </c>
      <c r="C49" s="10" t="s">
        <v>109</v>
      </c>
      <c r="D49" s="11" t="s">
        <v>29</v>
      </c>
      <c r="E49" s="86"/>
      <c r="F49" s="70">
        <v>1162800</v>
      </c>
      <c r="G49" s="30"/>
      <c r="I49" s="69"/>
      <c r="J49" s="69"/>
    </row>
    <row r="50" spans="1:10" s="70" customFormat="1" ht="12.75" customHeight="1" x14ac:dyDescent="0.2">
      <c r="A50" s="89">
        <v>45152</v>
      </c>
      <c r="B50" s="128" t="s">
        <v>11</v>
      </c>
      <c r="C50" s="10" t="s">
        <v>453</v>
      </c>
      <c r="D50" s="11" t="s">
        <v>29</v>
      </c>
      <c r="E50" s="86"/>
      <c r="F50" s="70">
        <v>36977</v>
      </c>
      <c r="G50" s="30"/>
      <c r="I50" s="69"/>
      <c r="J50" s="69"/>
    </row>
    <row r="51" spans="1:10" s="70" customFormat="1" ht="12.75" customHeight="1" x14ac:dyDescent="0.2">
      <c r="A51" s="89">
        <v>45152</v>
      </c>
      <c r="B51" s="128" t="s">
        <v>11</v>
      </c>
      <c r="C51" s="10" t="s">
        <v>451</v>
      </c>
      <c r="D51" s="11" t="s">
        <v>29</v>
      </c>
      <c r="E51" s="86"/>
      <c r="F51" s="70">
        <v>14188</v>
      </c>
      <c r="G51" s="30"/>
      <c r="I51" s="69"/>
      <c r="J51" s="69"/>
    </row>
    <row r="52" spans="1:10" s="70" customFormat="1" ht="12.75" customHeight="1" x14ac:dyDescent="0.2">
      <c r="A52" s="89">
        <v>45152</v>
      </c>
      <c r="B52" s="128" t="s">
        <v>11</v>
      </c>
      <c r="C52" s="10" t="s">
        <v>140</v>
      </c>
      <c r="D52" s="11" t="s">
        <v>29</v>
      </c>
      <c r="E52" s="86"/>
      <c r="F52" s="70">
        <v>47979</v>
      </c>
      <c r="G52" s="30"/>
      <c r="I52" s="69"/>
      <c r="J52" s="69"/>
    </row>
    <row r="53" spans="1:10" s="70" customFormat="1" ht="12.75" customHeight="1" x14ac:dyDescent="0.2">
      <c r="A53" s="89">
        <v>45152</v>
      </c>
      <c r="B53" s="128" t="s">
        <v>11</v>
      </c>
      <c r="C53" s="10" t="s">
        <v>1360</v>
      </c>
      <c r="D53" s="11" t="s">
        <v>29</v>
      </c>
      <c r="E53" s="86"/>
      <c r="F53" s="70">
        <v>208800</v>
      </c>
      <c r="G53" s="30"/>
      <c r="I53" s="69"/>
      <c r="J53" s="69"/>
    </row>
    <row r="54" spans="1:10" s="70" customFormat="1" ht="12.75" customHeight="1" x14ac:dyDescent="0.2">
      <c r="A54" s="89">
        <v>45152</v>
      </c>
      <c r="B54" s="128" t="s">
        <v>11</v>
      </c>
      <c r="C54" s="10" t="s">
        <v>1361</v>
      </c>
      <c r="D54" s="11" t="s">
        <v>29</v>
      </c>
      <c r="E54" s="86"/>
      <c r="F54" s="70">
        <v>197939</v>
      </c>
      <c r="G54" s="30"/>
      <c r="I54" s="69"/>
      <c r="J54" s="69"/>
    </row>
    <row r="55" spans="1:10" s="70" customFormat="1" ht="12.75" customHeight="1" x14ac:dyDescent="0.2">
      <c r="A55" s="89">
        <v>45152</v>
      </c>
      <c r="B55" s="128" t="s">
        <v>11</v>
      </c>
      <c r="C55" s="10" t="s">
        <v>34</v>
      </c>
      <c r="D55" s="11" t="s">
        <v>29</v>
      </c>
      <c r="E55" s="86"/>
      <c r="F55" s="70">
        <v>35000</v>
      </c>
      <c r="G55" s="30"/>
      <c r="I55" s="69"/>
      <c r="J55" s="69"/>
    </row>
    <row r="56" spans="1:10" s="70" customFormat="1" ht="12.75" customHeight="1" x14ac:dyDescent="0.2">
      <c r="A56" s="89">
        <v>45152</v>
      </c>
      <c r="B56" s="128" t="s">
        <v>11</v>
      </c>
      <c r="C56" s="10" t="s">
        <v>57</v>
      </c>
      <c r="D56" s="11" t="s">
        <v>29</v>
      </c>
      <c r="E56" s="86"/>
      <c r="F56" s="70">
        <v>12500000</v>
      </c>
      <c r="G56" s="30"/>
      <c r="I56" s="69"/>
      <c r="J56" s="69"/>
    </row>
    <row r="57" spans="1:10" s="70" customFormat="1" ht="12.75" customHeight="1" x14ac:dyDescent="0.2">
      <c r="A57" s="89">
        <v>45152</v>
      </c>
      <c r="B57" s="128" t="s">
        <v>11</v>
      </c>
      <c r="C57" s="10" t="s">
        <v>127</v>
      </c>
      <c r="D57" s="11" t="s">
        <v>29</v>
      </c>
      <c r="E57" s="86"/>
      <c r="F57" s="70">
        <v>26316</v>
      </c>
      <c r="G57" s="30"/>
      <c r="I57" s="69"/>
      <c r="J57" s="69"/>
    </row>
    <row r="58" spans="1:10" s="70" customFormat="1" ht="12.75" customHeight="1" x14ac:dyDescent="0.2">
      <c r="A58" s="89">
        <v>45152</v>
      </c>
      <c r="B58" s="128" t="s">
        <v>11</v>
      </c>
      <c r="C58" s="10" t="s">
        <v>1362</v>
      </c>
      <c r="D58" s="11" t="s">
        <v>29</v>
      </c>
      <c r="E58" s="86"/>
      <c r="F58" s="70">
        <v>79178.34</v>
      </c>
      <c r="G58" s="30"/>
      <c r="I58" s="69"/>
      <c r="J58" s="69"/>
    </row>
    <row r="59" spans="1:10" s="70" customFormat="1" ht="12.75" customHeight="1" x14ac:dyDescent="0.2">
      <c r="A59" s="89">
        <v>45152</v>
      </c>
      <c r="B59" s="128" t="s">
        <v>11</v>
      </c>
      <c r="C59" s="10" t="s">
        <v>62</v>
      </c>
      <c r="D59" s="11" t="s">
        <v>29</v>
      </c>
      <c r="E59" s="86"/>
      <c r="F59" s="70">
        <v>25000</v>
      </c>
      <c r="G59" s="30"/>
      <c r="I59" s="69"/>
      <c r="J59" s="69"/>
    </row>
    <row r="60" spans="1:10" s="70" customFormat="1" ht="12.75" customHeight="1" x14ac:dyDescent="0.2">
      <c r="A60" s="89">
        <v>45152</v>
      </c>
      <c r="B60" s="128" t="s">
        <v>11</v>
      </c>
      <c r="C60" s="10" t="s">
        <v>171</v>
      </c>
      <c r="D60" s="11" t="s">
        <v>29</v>
      </c>
      <c r="E60" s="86"/>
      <c r="F60" s="70">
        <v>6182</v>
      </c>
      <c r="G60" s="30"/>
      <c r="I60" s="69"/>
      <c r="J60" s="69"/>
    </row>
    <row r="61" spans="1:10" s="70" customFormat="1" ht="12.75" customHeight="1" x14ac:dyDescent="0.2">
      <c r="A61" s="89">
        <v>45152</v>
      </c>
      <c r="B61" s="128" t="s">
        <v>11</v>
      </c>
      <c r="C61" s="10" t="s">
        <v>55</v>
      </c>
      <c r="D61" s="11" t="s">
        <v>29</v>
      </c>
      <c r="E61" s="86"/>
      <c r="F61" s="70">
        <v>2372255.42</v>
      </c>
      <c r="G61" s="30"/>
      <c r="I61" s="69"/>
      <c r="J61" s="69"/>
    </row>
    <row r="62" spans="1:10" s="70" customFormat="1" ht="12.75" customHeight="1" x14ac:dyDescent="0.2">
      <c r="A62" s="89">
        <v>45152</v>
      </c>
      <c r="B62" s="128" t="s">
        <v>11</v>
      </c>
      <c r="C62" s="10" t="s">
        <v>442</v>
      </c>
      <c r="D62" s="11" t="s">
        <v>29</v>
      </c>
      <c r="E62" s="86"/>
      <c r="F62" s="70">
        <v>1090676</v>
      </c>
      <c r="G62" s="30"/>
      <c r="I62" s="69"/>
      <c r="J62" s="69"/>
    </row>
    <row r="63" spans="1:10" s="70" customFormat="1" ht="12.75" customHeight="1" x14ac:dyDescent="0.2">
      <c r="A63" s="89">
        <v>45152</v>
      </c>
      <c r="B63" s="128" t="s">
        <v>11</v>
      </c>
      <c r="C63" s="10" t="s">
        <v>412</v>
      </c>
      <c r="D63" s="11" t="s">
        <v>29</v>
      </c>
      <c r="E63" s="86"/>
      <c r="F63" s="70">
        <v>5261157.49</v>
      </c>
      <c r="G63" s="30"/>
      <c r="I63" s="69"/>
      <c r="J63" s="69"/>
    </row>
    <row r="64" spans="1:10" s="70" customFormat="1" ht="12.75" customHeight="1" x14ac:dyDescent="0.2">
      <c r="A64" s="89">
        <v>45152</v>
      </c>
      <c r="B64" s="128" t="s">
        <v>11</v>
      </c>
      <c r="C64" s="10" t="s">
        <v>1363</v>
      </c>
      <c r="D64" s="11" t="s">
        <v>29</v>
      </c>
      <c r="E64" s="86"/>
      <c r="F64" s="70">
        <v>10197572</v>
      </c>
      <c r="G64" s="30"/>
      <c r="I64" s="69"/>
      <c r="J64" s="69"/>
    </row>
    <row r="65" spans="1:14" s="70" customFormat="1" ht="12.75" customHeight="1" x14ac:dyDescent="0.2">
      <c r="A65" s="89">
        <v>45152</v>
      </c>
      <c r="B65" s="128" t="s">
        <v>11</v>
      </c>
      <c r="C65" s="10" t="s">
        <v>1325</v>
      </c>
      <c r="D65" s="11" t="s">
        <v>29</v>
      </c>
      <c r="E65" s="86"/>
      <c r="F65" s="70">
        <v>1259942</v>
      </c>
      <c r="G65" s="30"/>
      <c r="I65" s="69"/>
      <c r="J65" s="69"/>
    </row>
    <row r="66" spans="1:14" s="70" customFormat="1" ht="12.75" customHeight="1" x14ac:dyDescent="0.2">
      <c r="A66" s="89">
        <v>45152</v>
      </c>
      <c r="B66" s="128" t="s">
        <v>11</v>
      </c>
      <c r="C66" s="10" t="s">
        <v>96</v>
      </c>
      <c r="D66" s="11" t="s">
        <v>29</v>
      </c>
      <c r="E66" s="86"/>
      <c r="F66" s="70">
        <v>7013</v>
      </c>
      <c r="G66" s="30"/>
      <c r="I66" s="69"/>
      <c r="J66" s="69"/>
    </row>
    <row r="67" spans="1:14" s="2" customFormat="1" ht="12.75" customHeight="1" x14ac:dyDescent="0.2">
      <c r="A67" s="32"/>
      <c r="B67" s="33"/>
      <c r="C67" s="14"/>
      <c r="D67" s="34"/>
      <c r="E67" s="16">
        <f>SUM(E23:E66)</f>
        <v>21959911.050000001</v>
      </c>
      <c r="F67" s="16">
        <f>SUM(F23:F66)</f>
        <v>380292888.23000002</v>
      </c>
      <c r="G67" s="30"/>
      <c r="H67" s="1"/>
      <c r="I67" s="38">
        <v>358332976.18000001</v>
      </c>
      <c r="J67" s="2" t="s">
        <v>396</v>
      </c>
      <c r="K67" s="92">
        <f>E68-I67</f>
        <v>1</v>
      </c>
      <c r="L67" s="41"/>
      <c r="M67" s="42"/>
    </row>
    <row r="68" spans="1:14" s="2" customFormat="1" ht="12.75" customHeight="1" x14ac:dyDescent="0.2">
      <c r="A68" s="36"/>
      <c r="B68" s="28" t="s">
        <v>11</v>
      </c>
      <c r="C68" s="19" t="s">
        <v>65</v>
      </c>
      <c r="D68" s="37"/>
      <c r="E68" s="38">
        <f>F67-E67</f>
        <v>358332977.18000001</v>
      </c>
      <c r="F68" s="22"/>
      <c r="G68" s="1"/>
      <c r="H68" s="1"/>
      <c r="J68" s="1"/>
      <c r="K68" s="1"/>
      <c r="L68" s="1"/>
      <c r="M68" s="1"/>
    </row>
    <row r="69" spans="1:14" s="2" customFormat="1" ht="12.75" customHeight="1" x14ac:dyDescent="0.2">
      <c r="A69" s="36"/>
      <c r="B69" s="28" t="s">
        <v>66</v>
      </c>
      <c r="C69" s="43" t="s">
        <v>67</v>
      </c>
      <c r="D69" s="43"/>
      <c r="E69" s="12">
        <v>0</v>
      </c>
      <c r="F69" s="22"/>
      <c r="G69" s="1"/>
      <c r="H69" s="40"/>
      <c r="I69" s="45">
        <v>1867.45</v>
      </c>
      <c r="J69" s="46"/>
      <c r="K69" s="46"/>
      <c r="L69" s="13"/>
      <c r="M69" s="69" t="s">
        <v>396</v>
      </c>
    </row>
    <row r="70" spans="1:14" s="2" customFormat="1" ht="12.75" customHeight="1" x14ac:dyDescent="0.25">
      <c r="A70" s="36"/>
      <c r="B70" s="28"/>
      <c r="C70" s="44" t="s">
        <v>68</v>
      </c>
      <c r="D70" s="43"/>
      <c r="E70" s="7">
        <f>E68+E69</f>
        <v>358332977.18000001</v>
      </c>
      <c r="F70" s="22"/>
      <c r="G70" s="1"/>
      <c r="H70" s="103" t="s">
        <v>69</v>
      </c>
      <c r="I70" s="45">
        <v>46.42</v>
      </c>
      <c r="J70" s="46"/>
      <c r="K70" s="46"/>
      <c r="N70" s="1"/>
    </row>
    <row r="71" spans="1:14" s="2" customFormat="1" x14ac:dyDescent="0.2">
      <c r="A71" s="24"/>
      <c r="B71" s="1"/>
      <c r="C71" s="14"/>
      <c r="D71" s="25"/>
      <c r="E71" s="1"/>
      <c r="H71" s="35" t="s">
        <v>70</v>
      </c>
      <c r="I71" s="45">
        <v>0</v>
      </c>
      <c r="J71" s="46">
        <f>+I72-D74</f>
        <v>0</v>
      </c>
      <c r="M71" s="2" t="s">
        <v>396</v>
      </c>
      <c r="N71" s="1"/>
    </row>
    <row r="72" spans="1:14" x14ac:dyDescent="0.2">
      <c r="C72" s="56"/>
      <c r="D72" s="56"/>
      <c r="E72" s="104"/>
      <c r="I72" s="49">
        <f>SUM(I69:I71)</f>
        <v>1913.8700000000001</v>
      </c>
      <c r="J72" s="46"/>
      <c r="K72" s="46"/>
      <c r="L72" s="2"/>
      <c r="M72" s="2"/>
      <c r="N72" s="2"/>
    </row>
    <row r="73" spans="1:14" x14ac:dyDescent="0.2">
      <c r="C73" s="78" t="s">
        <v>575</v>
      </c>
      <c r="D73" s="48" t="s">
        <v>576</v>
      </c>
      <c r="E73" s="104"/>
      <c r="I73" s="2"/>
      <c r="J73" s="2"/>
      <c r="K73" s="2"/>
      <c r="L73" s="2"/>
      <c r="M73" s="2"/>
      <c r="N73" s="2"/>
    </row>
    <row r="74" spans="1:14" s="2" customFormat="1" x14ac:dyDescent="0.2">
      <c r="A74" s="24"/>
      <c r="B74" s="1"/>
      <c r="C74" s="47" t="s">
        <v>570</v>
      </c>
      <c r="D74" s="111">
        <v>1913.87</v>
      </c>
      <c r="E74" s="104"/>
      <c r="G74" s="1"/>
      <c r="H74" s="110" t="s">
        <v>581</v>
      </c>
      <c r="N74" s="2" t="s">
        <v>535</v>
      </c>
    </row>
    <row r="75" spans="1:14" s="2" customFormat="1" x14ac:dyDescent="0.2">
      <c r="A75" s="24"/>
      <c r="B75" s="1"/>
      <c r="C75" s="47" t="s">
        <v>931</v>
      </c>
      <c r="D75" s="111">
        <v>263.36</v>
      </c>
      <c r="E75" s="104"/>
      <c r="G75" s="1"/>
      <c r="H75" s="110" t="s">
        <v>580</v>
      </c>
    </row>
    <row r="76" spans="1:14" s="2" customFormat="1" x14ac:dyDescent="0.2">
      <c r="A76" s="24"/>
      <c r="B76" s="1"/>
      <c r="C76" s="47" t="s">
        <v>572</v>
      </c>
      <c r="D76" s="111">
        <f>+D102/100000</f>
        <v>71.840139100000002</v>
      </c>
      <c r="E76" s="104"/>
      <c r="G76" s="1"/>
      <c r="H76" s="90" t="s">
        <v>587</v>
      </c>
    </row>
    <row r="77" spans="1:14" s="2" customFormat="1" x14ac:dyDescent="0.2">
      <c r="A77" s="24"/>
      <c r="B77" s="1"/>
      <c r="C77" s="108" t="s">
        <v>578</v>
      </c>
      <c r="D77" s="48">
        <f>SUM(D74:D76)</f>
        <v>2249.0701391000002</v>
      </c>
      <c r="E77" s="104"/>
      <c r="G77" s="1"/>
    </row>
    <row r="78" spans="1:14" s="2" customFormat="1" x14ac:dyDescent="0.2">
      <c r="A78" s="24"/>
      <c r="B78" s="1"/>
      <c r="C78" s="47"/>
      <c r="D78" s="107"/>
      <c r="E78" s="104"/>
      <c r="G78" s="1"/>
    </row>
    <row r="79" spans="1:14" s="2" customFormat="1" x14ac:dyDescent="0.2">
      <c r="A79" s="24"/>
      <c r="B79" s="1"/>
      <c r="C79" s="47" t="s">
        <v>932</v>
      </c>
      <c r="D79" s="111">
        <v>27.61</v>
      </c>
      <c r="E79" s="104"/>
      <c r="G79" s="1"/>
      <c r="H79" s="110" t="s">
        <v>581</v>
      </c>
    </row>
    <row r="80" spans="1:14" s="2" customFormat="1" x14ac:dyDescent="0.2">
      <c r="A80" s="24"/>
      <c r="B80" s="1"/>
      <c r="C80" s="136" t="s">
        <v>1142</v>
      </c>
      <c r="D80" s="111">
        <v>151.72999999999999</v>
      </c>
      <c r="E80" s="104"/>
      <c r="G80" s="1"/>
      <c r="H80" s="110" t="s">
        <v>581</v>
      </c>
      <c r="J80" s="114" t="s">
        <v>713</v>
      </c>
    </row>
    <row r="81" spans="1:13" s="2" customFormat="1" x14ac:dyDescent="0.2">
      <c r="A81" s="24"/>
      <c r="B81" s="1"/>
      <c r="C81" s="78" t="s">
        <v>579</v>
      </c>
      <c r="D81" s="109">
        <f>D79+D80</f>
        <v>179.33999999999997</v>
      </c>
      <c r="E81" s="104"/>
      <c r="G81" s="1"/>
      <c r="I81" s="113"/>
      <c r="J81" s="113" t="s">
        <v>709</v>
      </c>
      <c r="K81" s="113" t="s">
        <v>710</v>
      </c>
      <c r="L81" s="113" t="s">
        <v>711</v>
      </c>
      <c r="M81" s="113" t="s">
        <v>712</v>
      </c>
    </row>
    <row r="82" spans="1:13" s="2" customFormat="1" x14ac:dyDescent="0.2">
      <c r="A82" s="24"/>
      <c r="B82" s="1"/>
      <c r="C82" s="105"/>
      <c r="D82" s="106"/>
      <c r="E82" s="104"/>
      <c r="G82" s="1"/>
      <c r="I82" s="113" t="s">
        <v>706</v>
      </c>
      <c r="J82" s="115"/>
      <c r="K82" s="115">
        <v>968.99</v>
      </c>
      <c r="L82" s="115">
        <v>968.99</v>
      </c>
      <c r="M82" s="113">
        <f>+J82+L82-K82</f>
        <v>0</v>
      </c>
    </row>
    <row r="83" spans="1:13" s="2" customFormat="1" x14ac:dyDescent="0.2">
      <c r="A83" s="24"/>
      <c r="B83" s="1"/>
      <c r="C83" s="78" t="s">
        <v>577</v>
      </c>
      <c r="D83" s="109">
        <f>D74+D81</f>
        <v>2093.21</v>
      </c>
      <c r="E83" s="104"/>
      <c r="G83" s="1"/>
      <c r="I83" s="113" t="s">
        <v>707</v>
      </c>
      <c r="J83" s="115">
        <v>183.1</v>
      </c>
      <c r="K83" s="115">
        <v>3187.89</v>
      </c>
      <c r="L83" s="115">
        <v>3578.74</v>
      </c>
      <c r="M83" s="113">
        <f>+J83+L83-K83</f>
        <v>573.94999999999982</v>
      </c>
    </row>
    <row r="84" spans="1:13" s="2" customFormat="1" x14ac:dyDescent="0.2">
      <c r="A84" s="24"/>
      <c r="B84" s="1"/>
      <c r="C84" s="56"/>
      <c r="D84" s="56"/>
      <c r="E84" s="104"/>
      <c r="G84" s="1"/>
      <c r="I84" s="113" t="s">
        <v>708</v>
      </c>
      <c r="J84" s="115">
        <v>1371.02</v>
      </c>
      <c r="K84" s="115">
        <v>13444.18</v>
      </c>
      <c r="L84" s="115">
        <v>13102.96</v>
      </c>
      <c r="M84" s="113">
        <f>+J84+L84-K84</f>
        <v>1029.7999999999993</v>
      </c>
    </row>
    <row r="85" spans="1:13" s="2" customFormat="1" ht="38.25" x14ac:dyDescent="0.2">
      <c r="A85" s="24"/>
      <c r="B85" s="1"/>
      <c r="C85" s="79" t="str">
        <f>"Particulars ( 01-04-2021 to "&amp;TEXT(A5,"dd-mm-yyyy")&amp;" )"</f>
        <v>Particulars ( 01-04-2021 to 14-08-2023 )</v>
      </c>
      <c r="D85" s="80" t="s">
        <v>73</v>
      </c>
      <c r="E85" s="80" t="s">
        <v>74</v>
      </c>
      <c r="F85" s="81" t="s">
        <v>75</v>
      </c>
      <c r="G85" s="80" t="s">
        <v>76</v>
      </c>
      <c r="J85" s="118">
        <f>SUM(J82:J84)</f>
        <v>1554.12</v>
      </c>
      <c r="K85" s="118">
        <f>SUM(K82:K84)</f>
        <v>17601.060000000001</v>
      </c>
      <c r="L85" s="118">
        <f>SUM(L82:L84)</f>
        <v>17650.689999999999</v>
      </c>
      <c r="M85" s="118">
        <f>SUM(M82:M84)</f>
        <v>1603.7499999999991</v>
      </c>
    </row>
    <row r="86" spans="1:13" s="2" customFormat="1" x14ac:dyDescent="0.2">
      <c r="A86" s="24"/>
      <c r="B86" s="1"/>
      <c r="C86" s="50" t="s">
        <v>444</v>
      </c>
      <c r="D86" s="55">
        <f>+L82+L83+J83</f>
        <v>4730.83</v>
      </c>
      <c r="E86" s="55">
        <f>+K82+K83</f>
        <v>4156.88</v>
      </c>
      <c r="F86" s="55">
        <f>+D86-E86</f>
        <v>573.94999999999982</v>
      </c>
      <c r="G86" s="55">
        <f>1500-F86</f>
        <v>926.05000000000018</v>
      </c>
      <c r="H86" s="2" t="s">
        <v>396</v>
      </c>
    </row>
    <row r="87" spans="1:13" s="2" customFormat="1" x14ac:dyDescent="0.2">
      <c r="A87" s="24"/>
      <c r="B87" s="1"/>
      <c r="C87" s="50" t="s">
        <v>71</v>
      </c>
      <c r="D87" s="55">
        <f>+J84+L84</f>
        <v>14473.98</v>
      </c>
      <c r="E87" s="55">
        <f>+K84</f>
        <v>13444.18</v>
      </c>
      <c r="F87" s="55">
        <f>+D87-E87</f>
        <v>1029.7999999999993</v>
      </c>
      <c r="G87" s="55">
        <f>1500+700-F87</f>
        <v>1170.2000000000007</v>
      </c>
      <c r="H87" s="2" t="s">
        <v>396</v>
      </c>
    </row>
    <row r="88" spans="1:13" s="2" customFormat="1" x14ac:dyDescent="0.2">
      <c r="A88" s="24"/>
      <c r="B88" s="1"/>
      <c r="C88" s="14"/>
      <c r="D88" s="56"/>
      <c r="E88" s="13"/>
      <c r="G88" s="1"/>
    </row>
    <row r="89" spans="1:13" s="2" customFormat="1" x14ac:dyDescent="0.2">
      <c r="A89" s="215" t="s">
        <v>80</v>
      </c>
      <c r="B89" s="216"/>
      <c r="C89" s="216"/>
      <c r="D89" s="217"/>
      <c r="E89" s="69"/>
      <c r="F89" s="70"/>
      <c r="G89" s="1"/>
      <c r="H89" s="53"/>
    </row>
    <row r="90" spans="1:13" s="2" customFormat="1" x14ac:dyDescent="0.2">
      <c r="A90" s="71" t="s">
        <v>81</v>
      </c>
      <c r="B90" s="71"/>
      <c r="C90" s="72" t="s">
        <v>82</v>
      </c>
      <c r="D90" s="73" t="s">
        <v>83</v>
      </c>
      <c r="E90" s="69"/>
      <c r="F90" s="70"/>
      <c r="H90" s="53"/>
    </row>
    <row r="91" spans="1:13" s="2" customFormat="1" x14ac:dyDescent="0.2">
      <c r="A91" s="8">
        <v>45139</v>
      </c>
      <c r="B91" s="120" t="s">
        <v>1052</v>
      </c>
      <c r="C91" s="75" t="s">
        <v>85</v>
      </c>
      <c r="D91" s="88">
        <v>552343</v>
      </c>
      <c r="G91" s="1"/>
      <c r="L91" s="1"/>
      <c r="M91" s="1"/>
    </row>
    <row r="92" spans="1:13" s="2" customFormat="1" x14ac:dyDescent="0.2">
      <c r="A92" s="8">
        <v>45140</v>
      </c>
      <c r="B92" s="120" t="s">
        <v>1052</v>
      </c>
      <c r="C92" s="75" t="s">
        <v>270</v>
      </c>
      <c r="D92" s="88">
        <v>244404</v>
      </c>
      <c r="G92" s="1"/>
      <c r="L92" s="1"/>
      <c r="M92" s="1"/>
    </row>
    <row r="93" spans="1:13" s="2" customFormat="1" x14ac:dyDescent="0.2">
      <c r="A93" s="8">
        <v>45140</v>
      </c>
      <c r="B93" s="120" t="s">
        <v>1052</v>
      </c>
      <c r="C93" s="75" t="s">
        <v>270</v>
      </c>
      <c r="D93" s="88">
        <v>550256</v>
      </c>
      <c r="G93" s="1"/>
      <c r="L93" s="1"/>
      <c r="M93" s="1"/>
    </row>
    <row r="94" spans="1:13" s="2" customFormat="1" x14ac:dyDescent="0.2">
      <c r="A94" s="8">
        <v>45140</v>
      </c>
      <c r="B94" s="120" t="s">
        <v>1052</v>
      </c>
      <c r="C94" s="75" t="s">
        <v>270</v>
      </c>
      <c r="D94" s="88">
        <v>191589</v>
      </c>
      <c r="G94" s="1"/>
      <c r="L94" s="1"/>
      <c r="M94" s="1"/>
    </row>
    <row r="95" spans="1:13" s="2" customFormat="1" x14ac:dyDescent="0.2">
      <c r="A95" s="8">
        <v>45140</v>
      </c>
      <c r="B95" s="120" t="s">
        <v>1052</v>
      </c>
      <c r="C95" s="75" t="s">
        <v>270</v>
      </c>
      <c r="D95" s="88">
        <v>74415.91</v>
      </c>
      <c r="G95" s="1"/>
      <c r="L95" s="1"/>
      <c r="M95" s="1"/>
    </row>
    <row r="96" spans="1:13" s="2" customFormat="1" x14ac:dyDescent="0.2">
      <c r="A96" s="8">
        <v>45140</v>
      </c>
      <c r="B96" s="120" t="s">
        <v>1052</v>
      </c>
      <c r="C96" s="75" t="s">
        <v>271</v>
      </c>
      <c r="D96" s="88">
        <v>454781</v>
      </c>
      <c r="G96" s="1"/>
      <c r="L96" s="1"/>
      <c r="M96" s="1"/>
    </row>
    <row r="97" spans="1:13" s="2" customFormat="1" x14ac:dyDescent="0.2">
      <c r="A97" s="8">
        <v>45141</v>
      </c>
      <c r="B97" s="120" t="s">
        <v>1052</v>
      </c>
      <c r="C97" s="75" t="s">
        <v>909</v>
      </c>
      <c r="D97" s="88">
        <v>910969</v>
      </c>
      <c r="G97" s="1"/>
      <c r="L97" s="1"/>
      <c r="M97" s="1"/>
    </row>
    <row r="98" spans="1:13" s="2" customFormat="1" x14ac:dyDescent="0.2">
      <c r="A98" s="8">
        <v>45141</v>
      </c>
      <c r="B98" s="120" t="s">
        <v>1052</v>
      </c>
      <c r="C98" s="75" t="s">
        <v>909</v>
      </c>
      <c r="D98" s="88">
        <v>1424635</v>
      </c>
      <c r="G98" s="1"/>
      <c r="L98" s="1"/>
      <c r="M98" s="1"/>
    </row>
    <row r="99" spans="1:13" s="2" customFormat="1" x14ac:dyDescent="0.2">
      <c r="A99" s="8">
        <v>45143</v>
      </c>
      <c r="B99" s="120" t="s">
        <v>1052</v>
      </c>
      <c r="C99" s="75" t="s">
        <v>85</v>
      </c>
      <c r="D99" s="88">
        <v>644288</v>
      </c>
      <c r="G99" s="1"/>
      <c r="L99" s="1"/>
      <c r="M99" s="1"/>
    </row>
    <row r="100" spans="1:13" s="2" customFormat="1" x14ac:dyDescent="0.2">
      <c r="A100" s="8">
        <v>45146</v>
      </c>
      <c r="B100" s="120" t="s">
        <v>1052</v>
      </c>
      <c r="C100" s="75" t="s">
        <v>85</v>
      </c>
      <c r="D100" s="88">
        <v>136333</v>
      </c>
      <c r="G100" s="1"/>
      <c r="L100" s="1"/>
      <c r="M100" s="1"/>
    </row>
    <row r="101" spans="1:13" s="2" customFormat="1" x14ac:dyDescent="0.2">
      <c r="A101" s="8">
        <v>45146</v>
      </c>
      <c r="B101" s="120" t="s">
        <v>1052</v>
      </c>
      <c r="C101" s="75" t="s">
        <v>1343</v>
      </c>
      <c r="D101" s="88">
        <v>2000000</v>
      </c>
      <c r="G101" s="1"/>
      <c r="L101" s="1"/>
      <c r="M101" s="1"/>
    </row>
    <row r="102" spans="1:13" s="2" customFormat="1" x14ac:dyDescent="0.2">
      <c r="A102" s="87"/>
      <c r="B102" s="74"/>
      <c r="C102" s="75"/>
      <c r="D102" s="51">
        <f>SUM(D91:D101)</f>
        <v>7184013.9100000001</v>
      </c>
      <c r="F102" s="2" t="s">
        <v>396</v>
      </c>
      <c r="G102" s="1"/>
      <c r="L102" s="1"/>
      <c r="M102" s="1"/>
    </row>
    <row r="103" spans="1:13" s="2" customFormat="1" x14ac:dyDescent="0.2">
      <c r="A103" s="24"/>
      <c r="B103" s="1"/>
      <c r="C103" s="14"/>
      <c r="D103" s="56"/>
      <c r="E103" s="13"/>
      <c r="G103" s="1"/>
      <c r="L103" s="1"/>
      <c r="M103" s="1"/>
    </row>
    <row r="104" spans="1:13" s="2" customFormat="1" x14ac:dyDescent="0.2">
      <c r="A104" s="24"/>
      <c r="B104" s="1"/>
      <c r="C104" s="218" t="s">
        <v>77</v>
      </c>
      <c r="D104" s="219"/>
      <c r="E104" s="219"/>
      <c r="F104" s="220"/>
      <c r="G104" s="1"/>
      <c r="L104" s="1"/>
      <c r="M104" s="1"/>
    </row>
    <row r="105" spans="1:13" s="2" customFormat="1" x14ac:dyDescent="0.2">
      <c r="A105" s="24"/>
      <c r="B105" s="1"/>
      <c r="C105" s="50"/>
      <c r="D105" s="57" t="s">
        <v>78</v>
      </c>
      <c r="E105" s="58" t="s">
        <v>79</v>
      </c>
      <c r="F105" s="57" t="s">
        <v>72</v>
      </c>
      <c r="G105" s="1"/>
      <c r="I105" s="1"/>
      <c r="J105" s="1"/>
      <c r="K105" s="1"/>
      <c r="L105" s="1"/>
      <c r="M105" s="1"/>
    </row>
    <row r="106" spans="1:13" s="2" customFormat="1" x14ac:dyDescent="0.2">
      <c r="A106" s="24"/>
      <c r="B106" s="1"/>
      <c r="C106" s="59" t="str">
        <f>"01-08-2023 to "&amp;TEXT(A5-2,"dd-mm-yyyy")</f>
        <v>01-08-2023 to 12-08-2023</v>
      </c>
      <c r="D106" s="60">
        <v>1653.19</v>
      </c>
      <c r="E106" s="60">
        <v>132.65</v>
      </c>
      <c r="F106" s="61">
        <f>SUM(D106:E106)</f>
        <v>1785.8400000000001</v>
      </c>
      <c r="G106" s="1"/>
    </row>
    <row r="107" spans="1:13" s="2" customFormat="1" x14ac:dyDescent="0.2">
      <c r="A107" s="24"/>
      <c r="B107" s="1"/>
      <c r="C107" s="62" t="str">
        <f>TEXT(A5-1,"dd-mm-yyyy")</f>
        <v>13-08-2023</v>
      </c>
      <c r="D107" s="60">
        <v>0.42</v>
      </c>
      <c r="E107" s="60">
        <v>5.21</v>
      </c>
      <c r="F107" s="61">
        <f>SUM(D107:E107)</f>
        <v>5.63</v>
      </c>
      <c r="G107" s="54"/>
      <c r="I107" s="1"/>
      <c r="J107" s="1"/>
      <c r="K107" s="1"/>
      <c r="L107" s="1"/>
      <c r="M107" s="1"/>
    </row>
    <row r="108" spans="1:13" s="2" customFormat="1" ht="13.5" thickBot="1" x14ac:dyDescent="0.25">
      <c r="A108" s="24"/>
      <c r="B108" s="1"/>
      <c r="C108" s="63" t="str">
        <f>"01-08-2023 to "&amp;TEXT(A5-1,"dd-mm-yyyy")</f>
        <v>01-08-2023 to 13-08-2023</v>
      </c>
      <c r="D108" s="64">
        <f>SUM(D106:D107)</f>
        <v>1653.6100000000001</v>
      </c>
      <c r="E108" s="64">
        <f>SUM(E106:E107)</f>
        <v>137.86000000000001</v>
      </c>
      <c r="F108" s="64">
        <f>SUM(F106:F107)</f>
        <v>1791.4700000000003</v>
      </c>
      <c r="G108" s="54"/>
      <c r="I108" s="1"/>
      <c r="J108" s="1"/>
      <c r="K108" s="1"/>
      <c r="L108" s="1"/>
      <c r="M108" s="1"/>
    </row>
    <row r="109" spans="1:13" s="2" customFormat="1" ht="13.5" thickTop="1" x14ac:dyDescent="0.2">
      <c r="A109" s="24"/>
      <c r="B109" s="1"/>
      <c r="C109" s="62"/>
      <c r="D109" s="65"/>
      <c r="E109" s="66"/>
      <c r="F109" s="67"/>
      <c r="G109" s="54"/>
      <c r="I109" s="1"/>
      <c r="J109" s="1"/>
      <c r="K109" s="1"/>
      <c r="L109" s="1"/>
      <c r="M109" s="1"/>
    </row>
    <row r="110" spans="1:13" s="2" customFormat="1" x14ac:dyDescent="0.2">
      <c r="A110" s="24"/>
      <c r="B110" s="1"/>
      <c r="C110" s="62" t="str">
        <f>"01-04-2023 to " &amp;C107</f>
        <v>01-04-2023 to 13-08-2023</v>
      </c>
      <c r="D110" s="68">
        <f>+D108+20859.39</f>
        <v>22513</v>
      </c>
      <c r="E110" s="68">
        <f>+E108+1376.76</f>
        <v>1514.62</v>
      </c>
      <c r="F110" s="68">
        <f>+F108+22236.15</f>
        <v>24027.620000000003</v>
      </c>
      <c r="G110" s="54"/>
      <c r="I110" s="1"/>
      <c r="J110" s="1"/>
      <c r="K110" s="1"/>
      <c r="L110" s="1"/>
      <c r="M110" s="1"/>
    </row>
    <row r="111" spans="1:13" x14ac:dyDescent="0.2">
      <c r="C111" s="52"/>
      <c r="D111" s="85"/>
      <c r="E111" s="53"/>
      <c r="F111" s="53"/>
      <c r="G111" s="54"/>
      <c r="H111" s="2" t="s">
        <v>396</v>
      </c>
    </row>
    <row r="112" spans="1:13" s="2" customFormat="1" x14ac:dyDescent="0.2">
      <c r="A112" s="24"/>
      <c r="B112" s="1"/>
      <c r="C112" s="52"/>
      <c r="D112" s="85"/>
      <c r="E112" s="53"/>
      <c r="F112" s="53"/>
      <c r="G112" s="54"/>
      <c r="H112" s="53"/>
    </row>
    <row r="113" spans="3:10" x14ac:dyDescent="0.2">
      <c r="C113" s="52"/>
      <c r="D113" s="85"/>
      <c r="E113" s="53"/>
      <c r="F113" s="53"/>
      <c r="G113" s="54"/>
      <c r="H113" s="53" t="s">
        <v>396</v>
      </c>
    </row>
    <row r="114" spans="3:10" x14ac:dyDescent="0.2">
      <c r="C114" s="52"/>
      <c r="D114" s="85"/>
      <c r="E114" s="53"/>
      <c r="F114" s="53"/>
      <c r="G114" s="54"/>
      <c r="H114" s="53" t="s">
        <v>396</v>
      </c>
      <c r="J114" s="42"/>
    </row>
    <row r="115" spans="3:10" x14ac:dyDescent="0.2">
      <c r="G115" s="54"/>
      <c r="H115" s="53"/>
      <c r="I115" s="101"/>
    </row>
    <row r="116" spans="3:10" x14ac:dyDescent="0.2">
      <c r="G116" s="54"/>
      <c r="H116" s="53"/>
    </row>
    <row r="117" spans="3:10" x14ac:dyDescent="0.2">
      <c r="G117" s="54"/>
      <c r="H117" s="53"/>
    </row>
    <row r="118" spans="3:10" x14ac:dyDescent="0.2">
      <c r="H118" s="53"/>
    </row>
  </sheetData>
  <mergeCells count="6">
    <mergeCell ref="C104:F104"/>
    <mergeCell ref="A1:G1"/>
    <mergeCell ref="A3:F3"/>
    <mergeCell ref="A9:F9"/>
    <mergeCell ref="A21:F21"/>
    <mergeCell ref="A89:D89"/>
  </mergeCells>
  <conditionalFormatting sqref="G86:G87">
    <cfRule type="cellIs" dxfId="363" priority="1" operator="lessThan">
      <formula>0</formula>
    </cfRule>
  </conditionalFormatting>
  <conditionalFormatting sqref="C23">
    <cfRule type="duplicateValues" dxfId="362" priority="2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D00-000000000000}">
  <sheetPr codeName="Sheet405">
    <pageSetUpPr fitToPage="1"/>
  </sheetPr>
  <dimension ref="A1:N115"/>
  <sheetViews>
    <sheetView topLeftCell="A49" zoomScaleNormal="100" workbookViewId="0">
      <selection activeCell="E37" sqref="E37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1367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45154</v>
      </c>
      <c r="B5" s="9" t="s">
        <v>6</v>
      </c>
      <c r="C5" s="10" t="s">
        <v>7</v>
      </c>
      <c r="D5" s="11"/>
      <c r="E5" s="12">
        <v>1479944.54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1479944.54</v>
      </c>
      <c r="F6" s="16">
        <f>SUM(F5:F5)</f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+E6-F6</f>
        <v>1479944.54</v>
      </c>
      <c r="F7" s="22"/>
      <c r="G7" s="23"/>
      <c r="H7" s="112"/>
      <c r="I7" s="112"/>
      <c r="J7" s="13"/>
    </row>
    <row r="8" spans="1:10" ht="12.75" customHeight="1" x14ac:dyDescent="0.4">
      <c r="H8" s="112"/>
      <c r="I8" s="112"/>
    </row>
    <row r="9" spans="1:10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12"/>
    </row>
    <row r="10" spans="1:10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12"/>
    </row>
    <row r="11" spans="1:10" s="2" customFormat="1" ht="14.25" customHeight="1" x14ac:dyDescent="0.2">
      <c r="A11" s="89">
        <v>45154</v>
      </c>
      <c r="B11" s="9" t="s">
        <v>6</v>
      </c>
      <c r="C11" s="10" t="s">
        <v>7</v>
      </c>
      <c r="D11" s="11"/>
      <c r="F11" s="12">
        <v>26969914.350000001</v>
      </c>
      <c r="G11" s="1"/>
      <c r="H11" s="130" t="s">
        <v>396</v>
      </c>
      <c r="I11" s="130"/>
    </row>
    <row r="12" spans="1:10" s="70" customFormat="1" ht="12.75" customHeight="1" x14ac:dyDescent="0.2">
      <c r="A12" s="89">
        <v>45154</v>
      </c>
      <c r="B12" s="9" t="s">
        <v>6</v>
      </c>
      <c r="C12" s="76" t="s">
        <v>1011</v>
      </c>
      <c r="D12" s="11" t="s">
        <v>13</v>
      </c>
      <c r="E12" s="31">
        <v>1678987.39</v>
      </c>
      <c r="F12" s="31"/>
      <c r="G12" s="30"/>
      <c r="I12" s="69"/>
      <c r="J12" s="69"/>
    </row>
    <row r="13" spans="1:10" s="70" customFormat="1" ht="12.75" customHeight="1" x14ac:dyDescent="0.2">
      <c r="A13" s="89">
        <v>45154</v>
      </c>
      <c r="B13" s="9" t="s">
        <v>6</v>
      </c>
      <c r="C13" s="76" t="s">
        <v>1137</v>
      </c>
      <c r="D13" s="11" t="s">
        <v>13</v>
      </c>
      <c r="E13" s="31">
        <v>10257.44</v>
      </c>
      <c r="F13" s="31"/>
      <c r="G13" s="30"/>
      <c r="I13" s="69"/>
      <c r="J13" s="69"/>
    </row>
    <row r="14" spans="1:10" s="70" customFormat="1" ht="12.75" customHeight="1" x14ac:dyDescent="0.2">
      <c r="A14" s="89">
        <v>45154</v>
      </c>
      <c r="B14" s="9" t="s">
        <v>6</v>
      </c>
      <c r="C14" s="76" t="s">
        <v>420</v>
      </c>
      <c r="D14" s="11" t="s">
        <v>13</v>
      </c>
      <c r="E14" s="31">
        <v>1838</v>
      </c>
      <c r="F14" s="31"/>
      <c r="G14" s="30"/>
      <c r="I14" s="69"/>
      <c r="J14" s="69"/>
    </row>
    <row r="15" spans="1:10" s="70" customFormat="1" ht="12.75" customHeight="1" x14ac:dyDescent="0.2">
      <c r="A15" s="89">
        <v>45154</v>
      </c>
      <c r="B15" s="9" t="s">
        <v>6</v>
      </c>
      <c r="C15" s="76" t="s">
        <v>21</v>
      </c>
      <c r="D15" s="11" t="s">
        <v>13</v>
      </c>
      <c r="E15" s="31">
        <v>200000</v>
      </c>
      <c r="F15" s="31"/>
      <c r="G15" s="30"/>
      <c r="I15" s="69"/>
      <c r="J15" s="69"/>
    </row>
    <row r="16" spans="1:10" s="70" customFormat="1" ht="12.75" customHeight="1" x14ac:dyDescent="0.2">
      <c r="A16" s="89">
        <v>45154</v>
      </c>
      <c r="B16" s="9" t="s">
        <v>11</v>
      </c>
      <c r="C16" s="76" t="s">
        <v>1137</v>
      </c>
      <c r="D16" s="11" t="s">
        <v>29</v>
      </c>
      <c r="E16" s="31"/>
      <c r="F16" s="31">
        <v>81999.97</v>
      </c>
      <c r="G16" s="30"/>
      <c r="I16" s="69"/>
      <c r="J16" s="69"/>
    </row>
    <row r="17" spans="1:10" s="70" customFormat="1" ht="12.75" customHeight="1" x14ac:dyDescent="0.2">
      <c r="A17" s="89">
        <v>45154</v>
      </c>
      <c r="B17" s="9" t="s">
        <v>11</v>
      </c>
      <c r="C17" s="76" t="s">
        <v>1368</v>
      </c>
      <c r="D17" s="11" t="s">
        <v>29</v>
      </c>
      <c r="E17" s="31"/>
      <c r="F17" s="31">
        <v>450000</v>
      </c>
      <c r="G17" s="30"/>
      <c r="I17" s="69"/>
      <c r="J17" s="69"/>
    </row>
    <row r="18" spans="1:10" s="70" customFormat="1" ht="12.75" customHeight="1" x14ac:dyDescent="0.2">
      <c r="A18" s="89">
        <v>45154</v>
      </c>
      <c r="B18" s="9" t="s">
        <v>11</v>
      </c>
      <c r="C18" s="76" t="s">
        <v>523</v>
      </c>
      <c r="D18" s="11" t="s">
        <v>29</v>
      </c>
      <c r="E18" s="31"/>
      <c r="F18" s="31">
        <v>61950</v>
      </c>
      <c r="G18" s="30"/>
      <c r="I18" s="69"/>
      <c r="J18" s="69"/>
    </row>
    <row r="19" spans="1:10" s="2" customFormat="1" ht="12.75" customHeight="1" x14ac:dyDescent="0.4">
      <c r="D19" s="11" t="s">
        <v>8</v>
      </c>
      <c r="E19" s="16">
        <f>SUM(E12:E16)</f>
        <v>1891082.8299999998</v>
      </c>
      <c r="F19" s="16">
        <f>SUM(F11:F18)</f>
        <v>27563864.32</v>
      </c>
      <c r="G19" s="1"/>
      <c r="H19" s="112"/>
      <c r="I19" s="112"/>
    </row>
    <row r="20" spans="1:10" s="2" customFormat="1" ht="12.75" customHeight="1" x14ac:dyDescent="0.4">
      <c r="A20" s="17"/>
      <c r="B20" s="18"/>
      <c r="C20" s="96" t="s">
        <v>9</v>
      </c>
      <c r="D20" s="20"/>
      <c r="E20" s="21">
        <f>+F19-E19</f>
        <v>25672781.490000002</v>
      </c>
      <c r="G20" s="23"/>
      <c r="H20" s="112"/>
      <c r="I20" s="112"/>
      <c r="J20" s="13"/>
    </row>
    <row r="21" spans="1:10" s="2" customFormat="1" ht="12.75" customHeight="1" x14ac:dyDescent="0.4">
      <c r="A21" s="24"/>
      <c r="B21" s="1"/>
      <c r="C21" s="14"/>
      <c r="D21" s="25"/>
      <c r="G21" s="23"/>
      <c r="H21" s="112"/>
      <c r="I21" s="112"/>
      <c r="J21" s="13"/>
    </row>
    <row r="22" spans="1:10" s="2" customFormat="1" ht="21.75" customHeight="1" x14ac:dyDescent="0.4">
      <c r="A22" s="214" t="s">
        <v>10</v>
      </c>
      <c r="B22" s="214"/>
      <c r="C22" s="214"/>
      <c r="D22" s="214"/>
      <c r="E22" s="214"/>
      <c r="F22" s="214"/>
      <c r="G22" s="13"/>
      <c r="H22" s="112"/>
      <c r="I22" s="112"/>
      <c r="J22" s="13"/>
    </row>
    <row r="23" spans="1:10" s="2" customFormat="1" ht="12.75" customHeight="1" x14ac:dyDescent="0.4">
      <c r="A23" s="26" t="s">
        <v>1</v>
      </c>
      <c r="B23" s="27" t="s">
        <v>2</v>
      </c>
      <c r="C23" s="5"/>
      <c r="D23" s="6" t="s">
        <v>3</v>
      </c>
      <c r="E23" s="7" t="s">
        <v>4</v>
      </c>
      <c r="F23" s="7" t="s">
        <v>5</v>
      </c>
      <c r="G23" s="23"/>
      <c r="H23" s="112"/>
      <c r="I23" s="112"/>
      <c r="J23" s="13"/>
    </row>
    <row r="24" spans="1:10" s="2" customFormat="1" ht="12.75" customHeight="1" x14ac:dyDescent="0.2">
      <c r="A24" s="89">
        <v>45154</v>
      </c>
      <c r="B24" s="128" t="s">
        <v>11</v>
      </c>
      <c r="C24" s="29" t="s">
        <v>7</v>
      </c>
      <c r="D24" s="25"/>
      <c r="E24" s="31"/>
      <c r="F24" s="2">
        <v>358332977.18000001</v>
      </c>
      <c r="G24" s="30"/>
      <c r="I24" s="13"/>
      <c r="J24" s="13"/>
    </row>
    <row r="25" spans="1:10" s="70" customFormat="1" ht="12.75" customHeight="1" x14ac:dyDescent="0.2">
      <c r="A25" s="89">
        <v>45154</v>
      </c>
      <c r="B25" s="128" t="s">
        <v>6</v>
      </c>
      <c r="C25" s="10" t="s">
        <v>1234</v>
      </c>
      <c r="D25" s="11" t="s">
        <v>13</v>
      </c>
      <c r="E25" s="86">
        <v>2363</v>
      </c>
      <c r="G25" s="30"/>
      <c r="I25" s="69"/>
      <c r="J25" s="69"/>
    </row>
    <row r="26" spans="1:10" s="70" customFormat="1" ht="12.75" customHeight="1" x14ac:dyDescent="0.2">
      <c r="A26" s="89">
        <v>45154</v>
      </c>
      <c r="B26" s="128" t="s">
        <v>6</v>
      </c>
      <c r="C26" s="10" t="s">
        <v>607</v>
      </c>
      <c r="D26" s="11" t="s">
        <v>13</v>
      </c>
      <c r="E26" s="86">
        <v>31500</v>
      </c>
      <c r="G26" s="30"/>
      <c r="I26" s="69"/>
      <c r="J26" s="69"/>
    </row>
    <row r="27" spans="1:10" s="70" customFormat="1" ht="12.75" customHeight="1" x14ac:dyDescent="0.2">
      <c r="A27" s="89">
        <v>45154</v>
      </c>
      <c r="B27" s="128" t="s">
        <v>6</v>
      </c>
      <c r="C27" s="10" t="s">
        <v>993</v>
      </c>
      <c r="D27" s="11" t="s">
        <v>13</v>
      </c>
      <c r="E27" s="86">
        <v>906870</v>
      </c>
      <c r="G27" s="30"/>
      <c r="I27" s="69"/>
      <c r="J27" s="69"/>
    </row>
    <row r="28" spans="1:10" s="70" customFormat="1" ht="12.75" customHeight="1" x14ac:dyDescent="0.2">
      <c r="A28" s="89">
        <v>45154</v>
      </c>
      <c r="B28" s="128" t="s">
        <v>6</v>
      </c>
      <c r="C28" s="10" t="s">
        <v>1235</v>
      </c>
      <c r="D28" s="11" t="s">
        <v>13</v>
      </c>
      <c r="E28" s="86">
        <v>931071</v>
      </c>
      <c r="G28" s="30"/>
      <c r="I28" s="69"/>
      <c r="J28" s="69"/>
    </row>
    <row r="29" spans="1:10" s="70" customFormat="1" ht="12.75" customHeight="1" x14ac:dyDescent="0.2">
      <c r="A29" s="89">
        <v>45154</v>
      </c>
      <c r="B29" s="128" t="s">
        <v>6</v>
      </c>
      <c r="C29" s="10" t="s">
        <v>326</v>
      </c>
      <c r="D29" s="11" t="s">
        <v>13</v>
      </c>
      <c r="E29" s="86">
        <v>955710</v>
      </c>
      <c r="G29" s="30"/>
      <c r="I29" s="69"/>
      <c r="J29" s="69"/>
    </row>
    <row r="30" spans="1:10" s="70" customFormat="1" ht="12.75" customHeight="1" x14ac:dyDescent="0.2">
      <c r="A30" s="89">
        <v>45154</v>
      </c>
      <c r="B30" s="128" t="s">
        <v>6</v>
      </c>
      <c r="C30" s="10" t="s">
        <v>159</v>
      </c>
      <c r="D30" s="11" t="s">
        <v>13</v>
      </c>
      <c r="E30" s="86">
        <v>539993</v>
      </c>
      <c r="G30" s="30"/>
      <c r="I30" s="69"/>
      <c r="J30" s="69"/>
    </row>
    <row r="31" spans="1:10" s="70" customFormat="1" ht="12.75" customHeight="1" x14ac:dyDescent="0.2">
      <c r="A31" s="89">
        <v>45154</v>
      </c>
      <c r="B31" s="128" t="s">
        <v>6</v>
      </c>
      <c r="C31" s="10" t="s">
        <v>15</v>
      </c>
      <c r="D31" s="11" t="s">
        <v>13</v>
      </c>
      <c r="E31" s="86">
        <v>227.52</v>
      </c>
      <c r="G31" s="30"/>
      <c r="I31" s="69"/>
      <c r="J31" s="69"/>
    </row>
    <row r="32" spans="1:10" s="70" customFormat="1" ht="12.75" customHeight="1" x14ac:dyDescent="0.2">
      <c r="A32" s="89">
        <v>45154</v>
      </c>
      <c r="B32" s="128" t="s">
        <v>6</v>
      </c>
      <c r="C32" s="10" t="s">
        <v>149</v>
      </c>
      <c r="D32" s="11" t="s">
        <v>13</v>
      </c>
      <c r="E32" s="86">
        <v>1411452</v>
      </c>
      <c r="G32" s="30"/>
      <c r="I32" s="69"/>
      <c r="J32" s="69"/>
    </row>
    <row r="33" spans="1:10" s="70" customFormat="1" ht="12.75" customHeight="1" x14ac:dyDescent="0.2">
      <c r="A33" s="89">
        <v>45154</v>
      </c>
      <c r="B33" s="128" t="s">
        <v>6</v>
      </c>
      <c r="C33" s="10" t="s">
        <v>675</v>
      </c>
      <c r="D33" s="11" t="s">
        <v>13</v>
      </c>
      <c r="E33" s="86">
        <v>100000</v>
      </c>
      <c r="G33" s="30"/>
      <c r="I33" s="69"/>
      <c r="J33" s="69"/>
    </row>
    <row r="34" spans="1:10" s="70" customFormat="1" ht="12.75" customHeight="1" x14ac:dyDescent="0.2">
      <c r="A34" s="89">
        <v>45154</v>
      </c>
      <c r="B34" s="128" t="s">
        <v>6</v>
      </c>
      <c r="C34" s="10" t="s">
        <v>1369</v>
      </c>
      <c r="D34" s="11" t="s">
        <v>13</v>
      </c>
      <c r="E34" s="86">
        <v>11130</v>
      </c>
      <c r="G34" s="30"/>
      <c r="I34" s="69"/>
      <c r="J34" s="69"/>
    </row>
    <row r="35" spans="1:10" s="70" customFormat="1" ht="12.75" customHeight="1" x14ac:dyDescent="0.2">
      <c r="A35" s="89">
        <v>45154</v>
      </c>
      <c r="B35" s="128" t="s">
        <v>6</v>
      </c>
      <c r="C35" s="10" t="s">
        <v>1370</v>
      </c>
      <c r="D35" s="11" t="s">
        <v>13</v>
      </c>
      <c r="E35" s="86">
        <v>7355</v>
      </c>
      <c r="G35" s="30"/>
      <c r="I35" s="69"/>
      <c r="J35" s="69"/>
    </row>
    <row r="36" spans="1:10" s="70" customFormat="1" ht="12.75" customHeight="1" x14ac:dyDescent="0.2">
      <c r="A36" s="89">
        <v>45154</v>
      </c>
      <c r="B36" s="128" t="s">
        <v>6</v>
      </c>
      <c r="C36" s="10" t="s">
        <v>122</v>
      </c>
      <c r="D36" s="11" t="s">
        <v>13</v>
      </c>
      <c r="E36" s="86">
        <v>81430</v>
      </c>
      <c r="G36" s="30"/>
      <c r="I36" s="69"/>
      <c r="J36" s="69"/>
    </row>
    <row r="37" spans="1:10" s="70" customFormat="1" ht="12.75" customHeight="1" x14ac:dyDescent="0.2">
      <c r="A37" s="89">
        <v>45154</v>
      </c>
      <c r="B37" s="128" t="s">
        <v>6</v>
      </c>
      <c r="C37" s="10" t="s">
        <v>1204</v>
      </c>
      <c r="D37" s="11" t="s">
        <v>13</v>
      </c>
      <c r="E37" s="86">
        <v>50000</v>
      </c>
      <c r="G37" s="30"/>
      <c r="I37" s="69"/>
      <c r="J37" s="69"/>
    </row>
    <row r="38" spans="1:10" s="70" customFormat="1" ht="12.75" customHeight="1" x14ac:dyDescent="0.2">
      <c r="A38" s="89">
        <v>45154</v>
      </c>
      <c r="B38" s="128" t="s">
        <v>11</v>
      </c>
      <c r="C38" s="10" t="s">
        <v>64</v>
      </c>
      <c r="D38" s="11" t="s">
        <v>29</v>
      </c>
      <c r="E38" s="86"/>
      <c r="F38" s="70">
        <v>1810.12</v>
      </c>
      <c r="G38" s="30"/>
      <c r="I38" s="69"/>
      <c r="J38" s="69"/>
    </row>
    <row r="39" spans="1:10" s="70" customFormat="1" ht="12.75" customHeight="1" x14ac:dyDescent="0.2">
      <c r="A39" s="89">
        <v>45154</v>
      </c>
      <c r="B39" s="128" t="s">
        <v>11</v>
      </c>
      <c r="C39" s="10" t="s">
        <v>250</v>
      </c>
      <c r="D39" s="11" t="s">
        <v>29</v>
      </c>
      <c r="E39" s="86"/>
      <c r="F39" s="70">
        <v>1213</v>
      </c>
      <c r="G39" s="30"/>
      <c r="I39" s="69"/>
      <c r="J39" s="69"/>
    </row>
    <row r="40" spans="1:10" s="70" customFormat="1" ht="12.75" customHeight="1" x14ac:dyDescent="0.2">
      <c r="A40" s="89">
        <v>45154</v>
      </c>
      <c r="B40" s="128" t="s">
        <v>11</v>
      </c>
      <c r="C40" s="10" t="s">
        <v>111</v>
      </c>
      <c r="D40" s="11" t="s">
        <v>29</v>
      </c>
      <c r="E40" s="86"/>
      <c r="F40" s="70">
        <v>1574227.06</v>
      </c>
      <c r="G40" s="30"/>
      <c r="I40" s="69"/>
      <c r="J40" s="69"/>
    </row>
    <row r="41" spans="1:10" s="69" customFormat="1" ht="12.75" customHeight="1" x14ac:dyDescent="0.2">
      <c r="A41" s="89">
        <v>45154</v>
      </c>
      <c r="B41" s="128" t="s">
        <v>11</v>
      </c>
      <c r="C41" s="10" t="s">
        <v>107</v>
      </c>
      <c r="D41" s="11" t="s">
        <v>29</v>
      </c>
      <c r="E41" s="86"/>
      <c r="F41" s="70">
        <v>1137110.23</v>
      </c>
      <c r="G41" s="100"/>
    </row>
    <row r="42" spans="1:10" s="70" customFormat="1" ht="12.75" customHeight="1" x14ac:dyDescent="0.2">
      <c r="A42" s="89">
        <v>45154</v>
      </c>
      <c r="B42" s="128" t="s">
        <v>11</v>
      </c>
      <c r="C42" s="10" t="s">
        <v>260</v>
      </c>
      <c r="D42" s="11" t="s">
        <v>29</v>
      </c>
      <c r="E42" s="86"/>
      <c r="F42" s="70">
        <v>4161984.28</v>
      </c>
      <c r="G42" s="30"/>
      <c r="I42" s="69"/>
      <c r="J42" s="69"/>
    </row>
    <row r="43" spans="1:10" s="70" customFormat="1" ht="12.75" customHeight="1" x14ac:dyDescent="0.2">
      <c r="A43" s="89">
        <v>45154</v>
      </c>
      <c r="B43" s="128" t="s">
        <v>11</v>
      </c>
      <c r="C43" s="10" t="s">
        <v>754</v>
      </c>
      <c r="D43" s="11" t="s">
        <v>29</v>
      </c>
      <c r="E43" s="86"/>
      <c r="F43" s="70">
        <v>1446498.29</v>
      </c>
      <c r="G43" s="30"/>
      <c r="I43" s="69"/>
      <c r="J43" s="69"/>
    </row>
    <row r="44" spans="1:10" s="70" customFormat="1" ht="12.75" customHeight="1" x14ac:dyDescent="0.2">
      <c r="A44" s="89">
        <v>45154</v>
      </c>
      <c r="B44" s="128" t="s">
        <v>11</v>
      </c>
      <c r="C44" s="10" t="s">
        <v>125</v>
      </c>
      <c r="D44" s="11" t="s">
        <v>29</v>
      </c>
      <c r="E44" s="86"/>
      <c r="F44" s="70">
        <v>924971</v>
      </c>
      <c r="G44" s="30"/>
      <c r="I44" s="69"/>
      <c r="J44" s="69"/>
    </row>
    <row r="45" spans="1:10" s="70" customFormat="1" ht="12.75" customHeight="1" x14ac:dyDescent="0.2">
      <c r="A45" s="89">
        <v>45154</v>
      </c>
      <c r="B45" s="128" t="s">
        <v>11</v>
      </c>
      <c r="C45" s="10" t="s">
        <v>109</v>
      </c>
      <c r="D45" s="11" t="s">
        <v>29</v>
      </c>
      <c r="E45" s="86"/>
      <c r="F45" s="70">
        <v>1272830</v>
      </c>
      <c r="G45" s="30"/>
      <c r="I45" s="69"/>
      <c r="J45" s="69"/>
    </row>
    <row r="46" spans="1:10" s="70" customFormat="1" ht="12.75" customHeight="1" x14ac:dyDescent="0.2">
      <c r="A46" s="89">
        <v>45154</v>
      </c>
      <c r="B46" s="128" t="s">
        <v>11</v>
      </c>
      <c r="C46" s="10" t="s">
        <v>194</v>
      </c>
      <c r="D46" s="11" t="s">
        <v>29</v>
      </c>
      <c r="E46" s="86"/>
      <c r="F46" s="70">
        <v>1617554</v>
      </c>
      <c r="G46" s="30"/>
      <c r="I46" s="69"/>
      <c r="J46" s="69"/>
    </row>
    <row r="47" spans="1:10" s="70" customFormat="1" ht="12.75" customHeight="1" x14ac:dyDescent="0.2">
      <c r="A47" s="89">
        <v>45154</v>
      </c>
      <c r="B47" s="128" t="s">
        <v>11</v>
      </c>
      <c r="C47" s="10" t="s">
        <v>139</v>
      </c>
      <c r="D47" s="11" t="s">
        <v>29</v>
      </c>
      <c r="E47" s="86"/>
      <c r="F47" s="70">
        <v>1206711</v>
      </c>
      <c r="G47" s="30"/>
      <c r="I47" s="69"/>
      <c r="J47" s="69"/>
    </row>
    <row r="48" spans="1:10" s="69" customFormat="1" ht="12.75" customHeight="1" x14ac:dyDescent="0.2">
      <c r="A48" s="89">
        <v>45154</v>
      </c>
      <c r="B48" s="128" t="s">
        <v>11</v>
      </c>
      <c r="C48" s="10" t="s">
        <v>849</v>
      </c>
      <c r="D48" s="11" t="s">
        <v>29</v>
      </c>
      <c r="E48" s="86"/>
      <c r="F48" s="70">
        <v>213997</v>
      </c>
      <c r="G48" s="100"/>
    </row>
    <row r="49" spans="1:13" s="69" customFormat="1" ht="12.75" customHeight="1" x14ac:dyDescent="0.2">
      <c r="A49" s="89">
        <v>45154</v>
      </c>
      <c r="B49" s="128" t="s">
        <v>11</v>
      </c>
      <c r="C49" s="10" t="s">
        <v>745</v>
      </c>
      <c r="D49" s="11" t="s">
        <v>29</v>
      </c>
      <c r="E49" s="86"/>
      <c r="F49" s="70">
        <v>752257</v>
      </c>
      <c r="G49" s="100"/>
    </row>
    <row r="50" spans="1:13" s="70" customFormat="1" ht="12.75" customHeight="1" x14ac:dyDescent="0.2">
      <c r="A50" s="89">
        <v>45154</v>
      </c>
      <c r="B50" s="128" t="s">
        <v>11</v>
      </c>
      <c r="C50" s="10" t="s">
        <v>790</v>
      </c>
      <c r="D50" s="11" t="s">
        <v>29</v>
      </c>
      <c r="E50" s="86"/>
      <c r="F50" s="70">
        <v>700463</v>
      </c>
      <c r="G50" s="30"/>
      <c r="I50" s="69"/>
      <c r="J50" s="69"/>
    </row>
    <row r="51" spans="1:13" s="70" customFormat="1" ht="12.75" customHeight="1" x14ac:dyDescent="0.2">
      <c r="A51" s="89">
        <v>45154</v>
      </c>
      <c r="B51" s="128" t="s">
        <v>11</v>
      </c>
      <c r="C51" s="10" t="s">
        <v>193</v>
      </c>
      <c r="D51" s="11" t="s">
        <v>29</v>
      </c>
      <c r="E51" s="86"/>
      <c r="F51" s="70">
        <v>638930</v>
      </c>
      <c r="G51" s="30"/>
      <c r="I51" s="69"/>
      <c r="J51" s="69"/>
    </row>
    <row r="52" spans="1:13" s="70" customFormat="1" ht="12.75" customHeight="1" x14ac:dyDescent="0.2">
      <c r="A52" s="89">
        <v>45154</v>
      </c>
      <c r="B52" s="128" t="s">
        <v>11</v>
      </c>
      <c r="C52" s="10" t="s">
        <v>1140</v>
      </c>
      <c r="D52" s="11" t="s">
        <v>29</v>
      </c>
      <c r="E52" s="86"/>
      <c r="F52" s="70">
        <v>73780</v>
      </c>
      <c r="G52" s="30"/>
      <c r="I52" s="69"/>
      <c r="J52" s="69"/>
    </row>
    <row r="53" spans="1:13" s="70" customFormat="1" ht="12.75" customHeight="1" x14ac:dyDescent="0.2">
      <c r="A53" s="89">
        <v>45154</v>
      </c>
      <c r="B53" s="128" t="s">
        <v>11</v>
      </c>
      <c r="C53" s="10" t="s">
        <v>56</v>
      </c>
      <c r="D53" s="11" t="s">
        <v>29</v>
      </c>
      <c r="E53" s="86"/>
      <c r="F53" s="70">
        <v>561487.5</v>
      </c>
      <c r="G53" s="30"/>
      <c r="I53" s="69"/>
      <c r="J53" s="69"/>
    </row>
    <row r="54" spans="1:13" s="70" customFormat="1" ht="12.75" customHeight="1" x14ac:dyDescent="0.2">
      <c r="A54" s="89">
        <v>45154</v>
      </c>
      <c r="B54" s="128" t="s">
        <v>11</v>
      </c>
      <c r="C54" s="10" t="s">
        <v>294</v>
      </c>
      <c r="D54" s="11" t="s">
        <v>29</v>
      </c>
      <c r="E54" s="86"/>
      <c r="F54" s="70">
        <v>89208</v>
      </c>
      <c r="G54" s="30"/>
      <c r="I54" s="69"/>
      <c r="J54" s="69"/>
    </row>
    <row r="55" spans="1:13" s="70" customFormat="1" ht="12.75" customHeight="1" x14ac:dyDescent="0.2">
      <c r="A55" s="89">
        <v>45154</v>
      </c>
      <c r="B55" s="128" t="s">
        <v>11</v>
      </c>
      <c r="C55" s="10" t="s">
        <v>263</v>
      </c>
      <c r="D55" s="11" t="s">
        <v>29</v>
      </c>
      <c r="E55" s="86"/>
      <c r="F55" s="70">
        <v>42069</v>
      </c>
      <c r="G55" s="30"/>
      <c r="I55" s="69"/>
      <c r="J55" s="69"/>
    </row>
    <row r="56" spans="1:13" s="70" customFormat="1" ht="12.75" customHeight="1" x14ac:dyDescent="0.2">
      <c r="A56" s="89">
        <v>45154</v>
      </c>
      <c r="B56" s="128" t="s">
        <v>11</v>
      </c>
      <c r="C56" s="10" t="s">
        <v>735</v>
      </c>
      <c r="D56" s="11" t="s">
        <v>29</v>
      </c>
      <c r="E56" s="86"/>
      <c r="F56" s="70">
        <v>1826456</v>
      </c>
      <c r="G56" s="30"/>
      <c r="I56" s="69"/>
      <c r="J56" s="69"/>
    </row>
    <row r="57" spans="1:13" s="70" customFormat="1" ht="12.75" customHeight="1" x14ac:dyDescent="0.2">
      <c r="A57" s="89">
        <v>45154</v>
      </c>
      <c r="B57" s="128" t="s">
        <v>11</v>
      </c>
      <c r="C57" s="10" t="s">
        <v>127</v>
      </c>
      <c r="D57" s="11" t="s">
        <v>29</v>
      </c>
      <c r="E57" s="86"/>
      <c r="F57" s="70">
        <v>652467</v>
      </c>
      <c r="G57" s="30"/>
      <c r="I57" s="69"/>
      <c r="J57" s="69"/>
    </row>
    <row r="58" spans="1:13" s="70" customFormat="1" ht="12.75" customHeight="1" x14ac:dyDescent="0.2">
      <c r="A58" s="89">
        <v>45154</v>
      </c>
      <c r="B58" s="128" t="s">
        <v>11</v>
      </c>
      <c r="C58" s="10" t="s">
        <v>123</v>
      </c>
      <c r="D58" s="11" t="s">
        <v>29</v>
      </c>
      <c r="E58" s="86"/>
      <c r="F58" s="70">
        <v>224550</v>
      </c>
      <c r="G58" s="30"/>
      <c r="I58" s="69"/>
      <c r="J58" s="69"/>
    </row>
    <row r="59" spans="1:13" s="70" customFormat="1" ht="12.75" customHeight="1" x14ac:dyDescent="0.2">
      <c r="A59" s="89">
        <v>45154</v>
      </c>
      <c r="B59" s="128" t="s">
        <v>11</v>
      </c>
      <c r="C59" s="10" t="s">
        <v>62</v>
      </c>
      <c r="D59" s="11" t="s">
        <v>29</v>
      </c>
      <c r="E59" s="86"/>
      <c r="F59" s="70">
        <v>12000</v>
      </c>
      <c r="G59" s="30"/>
      <c r="I59" s="69"/>
      <c r="J59" s="69"/>
    </row>
    <row r="60" spans="1:13" s="70" customFormat="1" ht="12.75" customHeight="1" x14ac:dyDescent="0.2">
      <c r="A60" s="89">
        <v>45154</v>
      </c>
      <c r="B60" s="128" t="s">
        <v>11</v>
      </c>
      <c r="C60" s="10" t="s">
        <v>156</v>
      </c>
      <c r="D60" s="11" t="s">
        <v>29</v>
      </c>
      <c r="E60" s="86"/>
      <c r="F60" s="70">
        <v>2754.04</v>
      </c>
      <c r="G60" s="30"/>
      <c r="I60" s="69" t="s">
        <v>396</v>
      </c>
      <c r="J60" s="69" t="s">
        <v>396</v>
      </c>
    </row>
    <row r="61" spans="1:13" s="70" customFormat="1" ht="12.75" customHeight="1" x14ac:dyDescent="0.2">
      <c r="A61" s="89">
        <v>45154</v>
      </c>
      <c r="B61" s="128" t="s">
        <v>11</v>
      </c>
      <c r="C61" s="10" t="s">
        <v>1371</v>
      </c>
      <c r="D61" s="11" t="s">
        <v>29</v>
      </c>
      <c r="E61" s="86"/>
      <c r="F61" s="70">
        <v>599484</v>
      </c>
      <c r="G61" s="30"/>
      <c r="I61" s="69" t="s">
        <v>396</v>
      </c>
      <c r="J61" s="69"/>
    </row>
    <row r="62" spans="1:13" s="2" customFormat="1" ht="12.75" customHeight="1" x14ac:dyDescent="0.2">
      <c r="A62" s="32"/>
      <c r="B62" s="33"/>
      <c r="C62" s="14"/>
      <c r="D62" s="34"/>
      <c r="E62" s="16">
        <f>SUM(E24:E61)</f>
        <v>5029101.5199999996</v>
      </c>
      <c r="F62" s="16">
        <f>SUM(F24:F61)</f>
        <v>378067788.70000005</v>
      </c>
      <c r="G62" s="30"/>
      <c r="H62" s="1"/>
      <c r="I62" s="38">
        <v>373038687.18000001</v>
      </c>
      <c r="J62" s="2" t="s">
        <v>396</v>
      </c>
      <c r="K62" s="92">
        <f>E63-I62</f>
        <v>0</v>
      </c>
      <c r="L62" s="41"/>
      <c r="M62" s="42"/>
    </row>
    <row r="63" spans="1:13" s="2" customFormat="1" ht="12.75" customHeight="1" x14ac:dyDescent="0.2">
      <c r="A63" s="36"/>
      <c r="B63" s="28" t="s">
        <v>11</v>
      </c>
      <c r="C63" s="19" t="s">
        <v>65</v>
      </c>
      <c r="D63" s="37"/>
      <c r="E63" s="38">
        <f>F62-E62</f>
        <v>373038687.18000007</v>
      </c>
      <c r="F63" s="22"/>
      <c r="G63" s="1"/>
      <c r="H63" s="1"/>
      <c r="J63" s="1"/>
      <c r="K63" s="1"/>
      <c r="L63" s="1"/>
      <c r="M63" s="1"/>
    </row>
    <row r="64" spans="1:13" s="2" customFormat="1" ht="12.75" customHeight="1" x14ac:dyDescent="0.2">
      <c r="A64" s="36"/>
      <c r="B64" s="28" t="s">
        <v>66</v>
      </c>
      <c r="C64" s="43" t="s">
        <v>67</v>
      </c>
      <c r="D64" s="43"/>
      <c r="E64" s="12">
        <v>0</v>
      </c>
      <c r="F64" s="22"/>
      <c r="G64" s="1"/>
      <c r="H64" s="40"/>
      <c r="I64" s="45">
        <v>1900.2</v>
      </c>
      <c r="J64" s="46"/>
      <c r="K64" s="46"/>
      <c r="L64" s="13"/>
      <c r="M64" s="69" t="s">
        <v>396</v>
      </c>
    </row>
    <row r="65" spans="1:14" s="2" customFormat="1" ht="12.75" customHeight="1" x14ac:dyDescent="0.25">
      <c r="A65" s="36"/>
      <c r="B65" s="28"/>
      <c r="C65" s="44" t="s">
        <v>68</v>
      </c>
      <c r="D65" s="43"/>
      <c r="E65" s="7">
        <f>E63+E64</f>
        <v>373038687.18000007</v>
      </c>
      <c r="F65" s="22"/>
      <c r="G65" s="1"/>
      <c r="H65" s="103" t="s">
        <v>69</v>
      </c>
      <c r="I65" s="45">
        <v>52.42</v>
      </c>
      <c r="J65" s="46"/>
      <c r="K65" s="46"/>
      <c r="N65" s="1"/>
    </row>
    <row r="66" spans="1:14" s="2" customFormat="1" x14ac:dyDescent="0.2">
      <c r="A66" s="24"/>
      <c r="B66" s="1"/>
      <c r="C66" s="14"/>
      <c r="D66" s="25"/>
      <c r="E66" s="1"/>
      <c r="H66" s="35" t="s">
        <v>70</v>
      </c>
      <c r="I66" s="45">
        <v>-5.99</v>
      </c>
      <c r="J66" s="46">
        <f>+I67-D69</f>
        <v>0</v>
      </c>
      <c r="M66" s="2" t="s">
        <v>396</v>
      </c>
      <c r="N66" s="1"/>
    </row>
    <row r="67" spans="1:14" x14ac:dyDescent="0.2">
      <c r="C67" s="56"/>
      <c r="D67" s="56"/>
      <c r="E67" s="104"/>
      <c r="I67" s="49">
        <f>SUM(I64:I66)</f>
        <v>1946.63</v>
      </c>
      <c r="J67" s="46"/>
      <c r="K67" s="46"/>
      <c r="L67" s="2"/>
      <c r="M67" s="2"/>
      <c r="N67" s="2"/>
    </row>
    <row r="68" spans="1:14" x14ac:dyDescent="0.2">
      <c r="C68" s="78" t="s">
        <v>575</v>
      </c>
      <c r="D68" s="48" t="s">
        <v>576</v>
      </c>
      <c r="E68" s="104"/>
      <c r="I68" s="2"/>
      <c r="J68" s="2"/>
      <c r="K68" s="2"/>
      <c r="L68" s="2"/>
      <c r="M68" s="2"/>
      <c r="N68" s="2"/>
    </row>
    <row r="69" spans="1:14" s="2" customFormat="1" x14ac:dyDescent="0.2">
      <c r="A69" s="24"/>
      <c r="B69" s="1"/>
      <c r="C69" s="47" t="s">
        <v>570</v>
      </c>
      <c r="D69" s="111">
        <v>1946.63</v>
      </c>
      <c r="E69" s="104"/>
      <c r="G69" s="1"/>
      <c r="H69" s="110" t="s">
        <v>581</v>
      </c>
      <c r="N69" s="2" t="s">
        <v>535</v>
      </c>
    </row>
    <row r="70" spans="1:14" s="2" customFormat="1" x14ac:dyDescent="0.2">
      <c r="A70" s="24"/>
      <c r="B70" s="1"/>
      <c r="C70" s="47" t="s">
        <v>931</v>
      </c>
      <c r="D70" s="111">
        <v>263.36</v>
      </c>
      <c r="E70" s="104"/>
      <c r="G70" s="1"/>
      <c r="H70" s="110" t="s">
        <v>580</v>
      </c>
    </row>
    <row r="71" spans="1:14" s="2" customFormat="1" x14ac:dyDescent="0.2">
      <c r="A71" s="24"/>
      <c r="B71" s="1"/>
      <c r="C71" s="47" t="s">
        <v>572</v>
      </c>
      <c r="D71" s="111">
        <f>+D99/100000</f>
        <v>72.577379100000002</v>
      </c>
      <c r="E71" s="104"/>
      <c r="G71" s="1"/>
      <c r="H71" s="90" t="s">
        <v>587</v>
      </c>
    </row>
    <row r="72" spans="1:14" s="2" customFormat="1" x14ac:dyDescent="0.2">
      <c r="A72" s="24"/>
      <c r="B72" s="1"/>
      <c r="C72" s="108" t="s">
        <v>578</v>
      </c>
      <c r="D72" s="48">
        <f>SUM(D69:D71)</f>
        <v>2282.5673791000004</v>
      </c>
      <c r="E72" s="104"/>
      <c r="G72" s="1"/>
    </row>
    <row r="73" spans="1:14" s="2" customFormat="1" x14ac:dyDescent="0.2">
      <c r="A73" s="24"/>
      <c r="B73" s="1"/>
      <c r="C73" s="47"/>
      <c r="D73" s="107"/>
      <c r="E73" s="104"/>
      <c r="G73" s="1"/>
    </row>
    <row r="74" spans="1:14" s="2" customFormat="1" x14ac:dyDescent="0.2">
      <c r="A74" s="24"/>
      <c r="B74" s="1"/>
      <c r="C74" s="47" t="s">
        <v>932</v>
      </c>
      <c r="D74" s="111">
        <v>27.61</v>
      </c>
      <c r="E74" s="104"/>
      <c r="G74" s="1"/>
      <c r="H74" s="110" t="s">
        <v>581</v>
      </c>
    </row>
    <row r="75" spans="1:14" s="2" customFormat="1" x14ac:dyDescent="0.2">
      <c r="A75" s="24"/>
      <c r="B75" s="1"/>
      <c r="C75" s="136" t="s">
        <v>1142</v>
      </c>
      <c r="D75" s="111">
        <v>151.72999999999999</v>
      </c>
      <c r="E75" s="104"/>
      <c r="G75" s="1"/>
      <c r="H75" s="110" t="s">
        <v>581</v>
      </c>
      <c r="J75" s="114" t="s">
        <v>713</v>
      </c>
    </row>
    <row r="76" spans="1:14" s="2" customFormat="1" x14ac:dyDescent="0.2">
      <c r="A76" s="24"/>
      <c r="B76" s="1"/>
      <c r="C76" s="78" t="s">
        <v>579</v>
      </c>
      <c r="D76" s="109">
        <f>D74+D75</f>
        <v>179.33999999999997</v>
      </c>
      <c r="E76" s="104"/>
      <c r="G76" s="1"/>
      <c r="I76" s="113"/>
      <c r="J76" s="113" t="s">
        <v>709</v>
      </c>
      <c r="K76" s="113" t="s">
        <v>710</v>
      </c>
      <c r="L76" s="113" t="s">
        <v>711</v>
      </c>
      <c r="M76" s="113" t="s">
        <v>712</v>
      </c>
    </row>
    <row r="77" spans="1:14" s="2" customFormat="1" x14ac:dyDescent="0.2">
      <c r="A77" s="24"/>
      <c r="B77" s="1"/>
      <c r="C77" s="105"/>
      <c r="D77" s="106"/>
      <c r="E77" s="104"/>
      <c r="G77" s="1"/>
      <c r="I77" s="113" t="s">
        <v>706</v>
      </c>
      <c r="J77" s="115"/>
      <c r="K77" s="115">
        <v>968.99</v>
      </c>
      <c r="L77" s="115">
        <v>968.99</v>
      </c>
      <c r="M77" s="113">
        <f>+J77+L77-K77</f>
        <v>0</v>
      </c>
    </row>
    <row r="78" spans="1:14" s="2" customFormat="1" x14ac:dyDescent="0.2">
      <c r="A78" s="24"/>
      <c r="B78" s="1"/>
      <c r="C78" s="78" t="s">
        <v>577</v>
      </c>
      <c r="D78" s="109">
        <f>D69+D76</f>
        <v>2125.9700000000003</v>
      </c>
      <c r="E78" s="104"/>
      <c r="G78" s="1"/>
      <c r="I78" s="113" t="s">
        <v>707</v>
      </c>
      <c r="J78" s="115">
        <v>183.1</v>
      </c>
      <c r="K78" s="115">
        <v>3187.89</v>
      </c>
      <c r="L78" s="115">
        <v>3578.74</v>
      </c>
      <c r="M78" s="113">
        <f>+J78+L78-K78</f>
        <v>573.94999999999982</v>
      </c>
    </row>
    <row r="79" spans="1:14" s="2" customFormat="1" x14ac:dyDescent="0.2">
      <c r="A79" s="24"/>
      <c r="B79" s="1"/>
      <c r="C79" s="56"/>
      <c r="D79" s="56"/>
      <c r="E79" s="104"/>
      <c r="G79" s="1"/>
      <c r="I79" s="113" t="s">
        <v>708</v>
      </c>
      <c r="J79" s="115">
        <v>1371.02</v>
      </c>
      <c r="K79" s="115">
        <v>13444.18</v>
      </c>
      <c r="L79" s="115">
        <v>13102.96</v>
      </c>
      <c r="M79" s="113">
        <f>+J79+L79-K79</f>
        <v>1029.7999999999993</v>
      </c>
    </row>
    <row r="80" spans="1:14" s="2" customFormat="1" ht="38.25" x14ac:dyDescent="0.2">
      <c r="A80" s="24"/>
      <c r="B80" s="1"/>
      <c r="C80" s="79" t="str">
        <f>"Particulars ( 01-04-2021 to "&amp;TEXT(A5,"dd-mm-yyyy")&amp;" )"</f>
        <v>Particulars ( 01-04-2021 to 16-08-2023 )</v>
      </c>
      <c r="D80" s="80" t="s">
        <v>73</v>
      </c>
      <c r="E80" s="80" t="s">
        <v>74</v>
      </c>
      <c r="F80" s="81" t="s">
        <v>75</v>
      </c>
      <c r="G80" s="80" t="s">
        <v>76</v>
      </c>
      <c r="J80" s="118">
        <f>SUM(J77:J79)</f>
        <v>1554.12</v>
      </c>
      <c r="K80" s="118">
        <f>SUM(K77:K79)</f>
        <v>17601.060000000001</v>
      </c>
      <c r="L80" s="118">
        <f>SUM(L77:L79)</f>
        <v>17650.689999999999</v>
      </c>
      <c r="M80" s="118">
        <f>SUM(M77:M79)</f>
        <v>1603.7499999999991</v>
      </c>
    </row>
    <row r="81" spans="1:13" s="2" customFormat="1" x14ac:dyDescent="0.2">
      <c r="A81" s="24"/>
      <c r="B81" s="1"/>
      <c r="C81" s="50" t="s">
        <v>444</v>
      </c>
      <c r="D81" s="55">
        <f>+L77+L78+J78</f>
        <v>4730.83</v>
      </c>
      <c r="E81" s="55">
        <f>+K77+K78</f>
        <v>4156.88</v>
      </c>
      <c r="F81" s="55">
        <f>+D81-E81</f>
        <v>573.94999999999982</v>
      </c>
      <c r="G81" s="55">
        <f>1500-F81</f>
        <v>926.05000000000018</v>
      </c>
      <c r="H81" s="2" t="s">
        <v>396</v>
      </c>
    </row>
    <row r="82" spans="1:13" s="2" customFormat="1" x14ac:dyDescent="0.2">
      <c r="A82" s="24"/>
      <c r="B82" s="1"/>
      <c r="C82" s="50" t="s">
        <v>71</v>
      </c>
      <c r="D82" s="55">
        <f>+J79+L79</f>
        <v>14473.98</v>
      </c>
      <c r="E82" s="55">
        <f>+K79</f>
        <v>13444.18</v>
      </c>
      <c r="F82" s="55">
        <f>+D82-E82</f>
        <v>1029.7999999999993</v>
      </c>
      <c r="G82" s="55">
        <f>1500+700-F82</f>
        <v>1170.2000000000007</v>
      </c>
      <c r="H82" s="2" t="s">
        <v>396</v>
      </c>
    </row>
    <row r="83" spans="1:13" s="2" customFormat="1" x14ac:dyDescent="0.2">
      <c r="A83" s="24"/>
      <c r="B83" s="1"/>
      <c r="C83" s="14"/>
      <c r="D83" s="56"/>
      <c r="E83" s="13"/>
      <c r="G83" s="1"/>
    </row>
    <row r="84" spans="1:13" s="2" customFormat="1" x14ac:dyDescent="0.2">
      <c r="A84" s="215" t="s">
        <v>80</v>
      </c>
      <c r="B84" s="216"/>
      <c r="C84" s="216"/>
      <c r="D84" s="217"/>
      <c r="E84" s="69"/>
      <c r="F84" s="70"/>
      <c r="G84" s="1"/>
      <c r="H84" s="53"/>
    </row>
    <row r="85" spans="1:13" s="2" customFormat="1" x14ac:dyDescent="0.2">
      <c r="A85" s="71" t="s">
        <v>81</v>
      </c>
      <c r="B85" s="71"/>
      <c r="C85" s="72" t="s">
        <v>82</v>
      </c>
      <c r="D85" s="73" t="s">
        <v>83</v>
      </c>
      <c r="E85" s="69"/>
      <c r="F85" s="70"/>
      <c r="H85" s="53"/>
    </row>
    <row r="86" spans="1:13" s="2" customFormat="1" x14ac:dyDescent="0.2">
      <c r="A86" s="87">
        <v>45139</v>
      </c>
      <c r="B86" s="120" t="s">
        <v>1052</v>
      </c>
      <c r="C86" s="75" t="s">
        <v>85</v>
      </c>
      <c r="D86" s="88">
        <v>552343</v>
      </c>
      <c r="G86" s="1"/>
      <c r="L86" s="1"/>
      <c r="M86" s="1"/>
    </row>
    <row r="87" spans="1:13" s="2" customFormat="1" x14ac:dyDescent="0.2">
      <c r="A87" s="87">
        <v>45140</v>
      </c>
      <c r="B87" s="120" t="s">
        <v>1052</v>
      </c>
      <c r="C87" s="75" t="s">
        <v>270</v>
      </c>
      <c r="D87" s="88">
        <v>244404</v>
      </c>
      <c r="G87" s="1"/>
      <c r="L87" s="1"/>
      <c r="M87" s="1"/>
    </row>
    <row r="88" spans="1:13" s="2" customFormat="1" x14ac:dyDescent="0.2">
      <c r="A88" s="87">
        <v>45140</v>
      </c>
      <c r="B88" s="120" t="s">
        <v>1052</v>
      </c>
      <c r="C88" s="75" t="s">
        <v>270</v>
      </c>
      <c r="D88" s="88">
        <v>550256</v>
      </c>
      <c r="G88" s="1"/>
      <c r="L88" s="1"/>
      <c r="M88" s="1"/>
    </row>
    <row r="89" spans="1:13" s="2" customFormat="1" x14ac:dyDescent="0.2">
      <c r="A89" s="87">
        <v>45140</v>
      </c>
      <c r="B89" s="120" t="s">
        <v>1052</v>
      </c>
      <c r="C89" s="75" t="s">
        <v>270</v>
      </c>
      <c r="D89" s="88">
        <v>191589</v>
      </c>
      <c r="G89" s="1"/>
      <c r="L89" s="1"/>
      <c r="M89" s="1"/>
    </row>
    <row r="90" spans="1:13" s="2" customFormat="1" x14ac:dyDescent="0.2">
      <c r="A90" s="87">
        <v>45140</v>
      </c>
      <c r="B90" s="120" t="s">
        <v>1052</v>
      </c>
      <c r="C90" s="75" t="s">
        <v>270</v>
      </c>
      <c r="D90" s="88">
        <v>74415.91</v>
      </c>
      <c r="G90" s="1"/>
      <c r="L90" s="1"/>
      <c r="M90" s="1"/>
    </row>
    <row r="91" spans="1:13" s="2" customFormat="1" x14ac:dyDescent="0.2">
      <c r="A91" s="87">
        <v>45140</v>
      </c>
      <c r="B91" s="120" t="s">
        <v>1052</v>
      </c>
      <c r="C91" s="75" t="s">
        <v>271</v>
      </c>
      <c r="D91" s="88">
        <v>454781</v>
      </c>
      <c r="G91" s="1"/>
      <c r="L91" s="1"/>
      <c r="M91" s="1"/>
    </row>
    <row r="92" spans="1:13" s="2" customFormat="1" x14ac:dyDescent="0.2">
      <c r="A92" s="87">
        <v>45141</v>
      </c>
      <c r="B92" s="120" t="s">
        <v>1052</v>
      </c>
      <c r="C92" s="75" t="s">
        <v>909</v>
      </c>
      <c r="D92" s="88">
        <v>910969</v>
      </c>
      <c r="G92" s="1"/>
      <c r="L92" s="1"/>
      <c r="M92" s="1"/>
    </row>
    <row r="93" spans="1:13" s="2" customFormat="1" x14ac:dyDescent="0.2">
      <c r="A93" s="87">
        <v>45141</v>
      </c>
      <c r="B93" s="120" t="s">
        <v>1052</v>
      </c>
      <c r="C93" s="75" t="s">
        <v>909</v>
      </c>
      <c r="D93" s="88">
        <v>1424635</v>
      </c>
      <c r="G93" s="1"/>
      <c r="L93" s="1"/>
      <c r="M93" s="1"/>
    </row>
    <row r="94" spans="1:13" s="2" customFormat="1" x14ac:dyDescent="0.2">
      <c r="A94" s="87">
        <v>45143</v>
      </c>
      <c r="B94" s="120" t="s">
        <v>1052</v>
      </c>
      <c r="C94" s="75" t="s">
        <v>85</v>
      </c>
      <c r="D94" s="88">
        <v>644288</v>
      </c>
      <c r="G94" s="1"/>
      <c r="L94" s="1"/>
      <c r="M94" s="1"/>
    </row>
    <row r="95" spans="1:13" s="2" customFormat="1" x14ac:dyDescent="0.2">
      <c r="A95" s="87">
        <v>45146</v>
      </c>
      <c r="B95" s="120" t="s">
        <v>1052</v>
      </c>
      <c r="C95" s="75" t="s">
        <v>85</v>
      </c>
      <c r="D95" s="88">
        <v>136333</v>
      </c>
      <c r="G95" s="1"/>
      <c r="L95" s="1"/>
      <c r="M95" s="1"/>
    </row>
    <row r="96" spans="1:13" s="2" customFormat="1" x14ac:dyDescent="0.2">
      <c r="A96" s="87">
        <v>45146</v>
      </c>
      <c r="B96" s="120" t="s">
        <v>1052</v>
      </c>
      <c r="C96" s="75" t="s">
        <v>1343</v>
      </c>
      <c r="D96" s="88">
        <v>2000000</v>
      </c>
      <c r="G96" s="1"/>
      <c r="L96" s="1"/>
      <c r="M96" s="1"/>
    </row>
    <row r="97" spans="1:13" s="2" customFormat="1" x14ac:dyDescent="0.2">
      <c r="A97" s="87">
        <v>45152</v>
      </c>
      <c r="B97" s="120" t="s">
        <v>1052</v>
      </c>
      <c r="C97" s="75" t="s">
        <v>270</v>
      </c>
      <c r="D97" s="88">
        <v>26225</v>
      </c>
      <c r="G97" s="1"/>
      <c r="L97" s="1"/>
      <c r="M97" s="1"/>
    </row>
    <row r="98" spans="1:13" s="2" customFormat="1" x14ac:dyDescent="0.2">
      <c r="A98" s="87">
        <v>45152</v>
      </c>
      <c r="B98" s="120" t="s">
        <v>1052</v>
      </c>
      <c r="C98" s="75" t="s">
        <v>270</v>
      </c>
      <c r="D98" s="88">
        <v>47499</v>
      </c>
      <c r="G98" s="1"/>
      <c r="L98" s="1"/>
      <c r="M98" s="1"/>
    </row>
    <row r="99" spans="1:13" s="2" customFormat="1" x14ac:dyDescent="0.2">
      <c r="A99" s="87"/>
      <c r="B99" s="74"/>
      <c r="C99" s="75"/>
      <c r="D99" s="51">
        <f>SUM(D86:D98)</f>
        <v>7257737.9100000001</v>
      </c>
      <c r="F99" s="2" t="s">
        <v>396</v>
      </c>
      <c r="G99" s="1"/>
      <c r="L99" s="1"/>
      <c r="M99" s="1"/>
    </row>
    <row r="100" spans="1:13" s="2" customFormat="1" x14ac:dyDescent="0.2">
      <c r="A100" s="24"/>
      <c r="B100" s="1"/>
      <c r="C100" s="14"/>
      <c r="D100" s="56"/>
      <c r="E100" s="13"/>
      <c r="G100" s="1"/>
      <c r="L100" s="1"/>
      <c r="M100" s="1"/>
    </row>
    <row r="101" spans="1:13" s="2" customFormat="1" x14ac:dyDescent="0.2">
      <c r="A101" s="24"/>
      <c r="B101" s="1"/>
      <c r="C101" s="218" t="s">
        <v>77</v>
      </c>
      <c r="D101" s="219"/>
      <c r="E101" s="219"/>
      <c r="F101" s="220"/>
      <c r="G101" s="1"/>
      <c r="L101" s="1"/>
      <c r="M101" s="1"/>
    </row>
    <row r="102" spans="1:13" s="2" customFormat="1" x14ac:dyDescent="0.2">
      <c r="A102" s="24"/>
      <c r="B102" s="1"/>
      <c r="C102" s="50"/>
      <c r="D102" s="57" t="s">
        <v>78</v>
      </c>
      <c r="E102" s="58" t="s">
        <v>79</v>
      </c>
      <c r="F102" s="57" t="s">
        <v>72</v>
      </c>
      <c r="G102" s="1"/>
      <c r="I102" s="1"/>
      <c r="J102" s="1"/>
      <c r="K102" s="1"/>
      <c r="L102" s="1"/>
      <c r="M102" s="1"/>
    </row>
    <row r="103" spans="1:13" s="2" customFormat="1" x14ac:dyDescent="0.2">
      <c r="A103" s="24"/>
      <c r="B103" s="1"/>
      <c r="C103" s="59" t="str">
        <f>"01-08-2023 to "&amp;TEXT(A5-2,"dd-mm-yyyy")</f>
        <v>01-08-2023 to 14-08-2023</v>
      </c>
      <c r="D103" s="60">
        <v>1659.4</v>
      </c>
      <c r="E103" s="60">
        <v>137.87</v>
      </c>
      <c r="F103" s="61">
        <f>SUM(D103:E103)</f>
        <v>1797.27</v>
      </c>
      <c r="G103" s="1"/>
    </row>
    <row r="104" spans="1:13" s="2" customFormat="1" x14ac:dyDescent="0.2">
      <c r="A104" s="24"/>
      <c r="B104" s="1"/>
      <c r="C104" s="62" t="str">
        <f>TEXT(A5-1,"dd-mm-yyyy")</f>
        <v>15-08-2023</v>
      </c>
      <c r="D104" s="60">
        <v>0</v>
      </c>
      <c r="E104" s="60">
        <v>0</v>
      </c>
      <c r="F104" s="61">
        <f>SUM(D104:E104)</f>
        <v>0</v>
      </c>
      <c r="G104" s="54"/>
      <c r="I104" s="1"/>
      <c r="J104" s="1"/>
      <c r="K104" s="1"/>
      <c r="L104" s="1"/>
      <c r="M104" s="1"/>
    </row>
    <row r="105" spans="1:13" s="2" customFormat="1" ht="13.5" thickBot="1" x14ac:dyDescent="0.25">
      <c r="A105" s="24"/>
      <c r="B105" s="1"/>
      <c r="C105" s="63" t="str">
        <f>"01-08-2023 to "&amp;TEXT(A5-1,"dd-mm-yyyy")</f>
        <v>01-08-2023 to 15-08-2023</v>
      </c>
      <c r="D105" s="64">
        <f>SUM(D103:D104)</f>
        <v>1659.4</v>
      </c>
      <c r="E105" s="64">
        <f>SUM(E103:E104)</f>
        <v>137.87</v>
      </c>
      <c r="F105" s="64">
        <f>SUM(F103:F104)</f>
        <v>1797.27</v>
      </c>
      <c r="G105" s="54"/>
      <c r="I105" s="1"/>
      <c r="J105" s="1"/>
      <c r="K105" s="1"/>
      <c r="L105" s="1"/>
      <c r="M105" s="1"/>
    </row>
    <row r="106" spans="1:13" s="2" customFormat="1" ht="13.5" thickTop="1" x14ac:dyDescent="0.2">
      <c r="A106" s="24"/>
      <c r="B106" s="1"/>
      <c r="C106" s="62"/>
      <c r="D106" s="65"/>
      <c r="E106" s="66"/>
      <c r="F106" s="67"/>
      <c r="G106" s="54"/>
      <c r="I106" s="1"/>
      <c r="J106" s="1"/>
      <c r="K106" s="1"/>
      <c r="L106" s="1"/>
      <c r="M106" s="1"/>
    </row>
    <row r="107" spans="1:13" s="2" customFormat="1" x14ac:dyDescent="0.2">
      <c r="A107" s="24"/>
      <c r="B107" s="1"/>
      <c r="C107" s="62" t="str">
        <f>"01-04-2023 to " &amp;C104</f>
        <v>01-04-2023 to 15-08-2023</v>
      </c>
      <c r="D107" s="68">
        <f>+D105+20859.39</f>
        <v>22518.79</v>
      </c>
      <c r="E107" s="68">
        <f>+E105+1376.76</f>
        <v>1514.63</v>
      </c>
      <c r="F107" s="68">
        <f>+F105+22236.15</f>
        <v>24033.420000000002</v>
      </c>
      <c r="G107" s="54"/>
      <c r="I107" s="1"/>
      <c r="J107" s="1"/>
      <c r="K107" s="1"/>
      <c r="L107" s="1"/>
      <c r="M107" s="1"/>
    </row>
    <row r="108" spans="1:13" x14ac:dyDescent="0.2">
      <c r="C108" s="52"/>
      <c r="D108" s="85"/>
      <c r="E108" s="53"/>
      <c r="F108" s="53"/>
      <c r="G108" s="54"/>
      <c r="H108" s="2" t="s">
        <v>396</v>
      </c>
    </row>
    <row r="109" spans="1:13" s="2" customFormat="1" x14ac:dyDescent="0.2">
      <c r="A109" s="24"/>
      <c r="B109" s="1"/>
      <c r="C109" s="52"/>
      <c r="D109" s="85"/>
      <c r="E109" s="53"/>
      <c r="F109" s="53"/>
      <c r="G109" s="54"/>
      <c r="H109" s="53"/>
    </row>
    <row r="110" spans="1:13" x14ac:dyDescent="0.2">
      <c r="C110" s="52"/>
      <c r="D110" s="85"/>
      <c r="E110" s="53"/>
      <c r="F110" s="53"/>
      <c r="G110" s="54"/>
      <c r="H110" s="53" t="s">
        <v>396</v>
      </c>
    </row>
    <row r="111" spans="1:13" x14ac:dyDescent="0.2">
      <c r="C111" s="52"/>
      <c r="D111" s="85"/>
      <c r="E111" s="53"/>
      <c r="F111" s="53"/>
      <c r="G111" s="54"/>
      <c r="H111" s="53" t="s">
        <v>396</v>
      </c>
      <c r="J111" s="42"/>
    </row>
    <row r="112" spans="1:13" x14ac:dyDescent="0.2">
      <c r="G112" s="54"/>
      <c r="H112" s="53"/>
      <c r="I112" s="101"/>
    </row>
    <row r="113" spans="7:8" x14ac:dyDescent="0.2">
      <c r="G113" s="54"/>
      <c r="H113" s="53"/>
    </row>
    <row r="114" spans="7:8" x14ac:dyDescent="0.2">
      <c r="G114" s="54"/>
      <c r="H114" s="53"/>
    </row>
    <row r="115" spans="7:8" x14ac:dyDescent="0.2">
      <c r="H115" s="53"/>
    </row>
  </sheetData>
  <mergeCells count="6">
    <mergeCell ref="C101:F101"/>
    <mergeCell ref="A1:G1"/>
    <mergeCell ref="A3:F3"/>
    <mergeCell ref="A9:F9"/>
    <mergeCell ref="A22:F22"/>
    <mergeCell ref="A84:D84"/>
  </mergeCells>
  <conditionalFormatting sqref="G81:G82">
    <cfRule type="cellIs" dxfId="361" priority="1" operator="lessThan">
      <formula>0</formula>
    </cfRule>
  </conditionalFormatting>
  <conditionalFormatting sqref="C24">
    <cfRule type="duplicateValues" dxfId="360" priority="2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E00-000000000000}">
  <sheetPr codeName="Sheet406">
    <pageSetUpPr fitToPage="1"/>
  </sheetPr>
  <dimension ref="A1:N101"/>
  <sheetViews>
    <sheetView topLeftCell="A81" zoomScaleNormal="100" workbookViewId="0">
      <selection activeCell="A101" sqref="A101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1372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45155</v>
      </c>
      <c r="B5" s="9" t="s">
        <v>6</v>
      </c>
      <c r="C5" s="10" t="s">
        <v>7</v>
      </c>
      <c r="D5" s="11"/>
      <c r="E5" s="12">
        <v>1479944.54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1479944.54</v>
      </c>
      <c r="F6" s="16">
        <f>SUM(F5:F5)</f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+E6-F6</f>
        <v>1479944.54</v>
      </c>
      <c r="F7" s="22"/>
      <c r="G7" s="23"/>
      <c r="H7" s="112"/>
      <c r="I7" s="112"/>
      <c r="J7" s="13"/>
    </row>
    <row r="8" spans="1:10" ht="12.75" customHeight="1" x14ac:dyDescent="0.4">
      <c r="H8" s="112"/>
      <c r="I8" s="112"/>
    </row>
    <row r="9" spans="1:10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12"/>
    </row>
    <row r="10" spans="1:10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12"/>
    </row>
    <row r="11" spans="1:10" s="2" customFormat="1" ht="14.25" customHeight="1" x14ac:dyDescent="0.2">
      <c r="A11" s="89">
        <v>45155</v>
      </c>
      <c r="B11" s="9" t="s">
        <v>6</v>
      </c>
      <c r="C11" s="10" t="s">
        <v>7</v>
      </c>
      <c r="D11" s="11"/>
      <c r="F11" s="12">
        <v>25672781.490000002</v>
      </c>
      <c r="G11" s="1"/>
      <c r="H11" s="130" t="s">
        <v>396</v>
      </c>
      <c r="I11" s="130"/>
    </row>
    <row r="12" spans="1:10" s="70" customFormat="1" ht="12.75" customHeight="1" x14ac:dyDescent="0.2">
      <c r="A12" s="89">
        <v>45155</v>
      </c>
      <c r="B12" s="9" t="s">
        <v>6</v>
      </c>
      <c r="C12" s="76" t="s">
        <v>1299</v>
      </c>
      <c r="D12" s="11" t="s">
        <v>29</v>
      </c>
      <c r="E12" s="31"/>
      <c r="F12" s="31">
        <v>216157</v>
      </c>
      <c r="G12" s="30"/>
      <c r="I12" s="69"/>
      <c r="J12" s="69"/>
    </row>
    <row r="13" spans="1:10" s="70" customFormat="1" ht="12.75" customHeight="1" x14ac:dyDescent="0.2">
      <c r="A13" s="89">
        <v>45155</v>
      </c>
      <c r="B13" s="9" t="s">
        <v>6</v>
      </c>
      <c r="C13" s="76" t="s">
        <v>1373</v>
      </c>
      <c r="D13" s="11" t="s">
        <v>29</v>
      </c>
      <c r="E13" s="31"/>
      <c r="F13" s="31">
        <v>65000</v>
      </c>
      <c r="G13" s="30"/>
      <c r="I13" s="69"/>
      <c r="J13" s="69"/>
    </row>
    <row r="14" spans="1:10" s="70" customFormat="1" ht="12.75" customHeight="1" x14ac:dyDescent="0.2">
      <c r="A14" s="89">
        <v>45155</v>
      </c>
      <c r="B14" s="9" t="s">
        <v>6</v>
      </c>
      <c r="C14" s="76" t="s">
        <v>1374</v>
      </c>
      <c r="D14" s="11" t="s">
        <v>29</v>
      </c>
      <c r="E14" s="31"/>
      <c r="F14" s="31">
        <v>104658</v>
      </c>
      <c r="G14" s="30"/>
      <c r="I14" s="69"/>
      <c r="J14" s="69"/>
    </row>
    <row r="15" spans="1:10" s="70" customFormat="1" ht="12.75" customHeight="1" x14ac:dyDescent="0.2">
      <c r="A15" s="89">
        <v>45155</v>
      </c>
      <c r="B15" s="9" t="s">
        <v>6</v>
      </c>
      <c r="C15" s="76" t="s">
        <v>309</v>
      </c>
      <c r="D15" s="11" t="s">
        <v>29</v>
      </c>
      <c r="E15" s="31"/>
      <c r="F15" s="31">
        <v>36162</v>
      </c>
      <c r="G15" s="30"/>
      <c r="I15" s="69"/>
      <c r="J15" s="69"/>
    </row>
    <row r="16" spans="1:10" s="70" customFormat="1" ht="12.75" customHeight="1" x14ac:dyDescent="0.2">
      <c r="A16" s="89">
        <v>45155</v>
      </c>
      <c r="B16" s="9" t="s">
        <v>11</v>
      </c>
      <c r="C16" s="76" t="s">
        <v>438</v>
      </c>
      <c r="D16" s="11" t="s">
        <v>29</v>
      </c>
      <c r="E16" s="31"/>
      <c r="F16" s="31">
        <v>70800</v>
      </c>
      <c r="G16" s="30"/>
      <c r="I16" s="69"/>
      <c r="J16" s="69"/>
    </row>
    <row r="17" spans="1:10" s="2" customFormat="1" ht="12.75" customHeight="1" x14ac:dyDescent="0.4">
      <c r="D17" s="11" t="s">
        <v>8</v>
      </c>
      <c r="E17" s="16">
        <f>SUM(E12:E16)</f>
        <v>0</v>
      </c>
      <c r="F17" s="16">
        <f>SUM(F11:F16)</f>
        <v>26165558.490000002</v>
      </c>
      <c r="G17" s="1"/>
      <c r="H17" s="112"/>
      <c r="I17" s="112"/>
    </row>
    <row r="18" spans="1:10" s="2" customFormat="1" ht="12.75" customHeight="1" x14ac:dyDescent="0.4">
      <c r="A18" s="17"/>
      <c r="B18" s="18"/>
      <c r="C18" s="96" t="s">
        <v>9</v>
      </c>
      <c r="D18" s="20"/>
      <c r="E18" s="21">
        <f>+F17-E17</f>
        <v>26165558.490000002</v>
      </c>
      <c r="G18" s="23"/>
      <c r="H18" s="112"/>
      <c r="I18" s="112"/>
      <c r="J18" s="13"/>
    </row>
    <row r="19" spans="1:10" s="2" customFormat="1" ht="12.75" customHeight="1" x14ac:dyDescent="0.4">
      <c r="A19" s="24"/>
      <c r="B19" s="1"/>
      <c r="C19" s="14"/>
      <c r="D19" s="25"/>
      <c r="G19" s="23"/>
      <c r="H19" s="112"/>
      <c r="I19" s="112"/>
      <c r="J19" s="13"/>
    </row>
    <row r="20" spans="1:10" s="2" customFormat="1" ht="21.75" customHeight="1" x14ac:dyDescent="0.4">
      <c r="A20" s="214" t="s">
        <v>10</v>
      </c>
      <c r="B20" s="214"/>
      <c r="C20" s="214"/>
      <c r="D20" s="214"/>
      <c r="E20" s="214"/>
      <c r="F20" s="214"/>
      <c r="G20" s="13"/>
      <c r="H20" s="112"/>
      <c r="I20" s="112"/>
      <c r="J20" s="13"/>
    </row>
    <row r="21" spans="1:10" s="2" customFormat="1" ht="12.75" customHeight="1" x14ac:dyDescent="0.4">
      <c r="A21" s="26" t="s">
        <v>1</v>
      </c>
      <c r="B21" s="27" t="s">
        <v>2</v>
      </c>
      <c r="C21" s="5"/>
      <c r="D21" s="6" t="s">
        <v>3</v>
      </c>
      <c r="E21" s="7" t="s">
        <v>4</v>
      </c>
      <c r="F21" s="7" t="s">
        <v>5</v>
      </c>
      <c r="G21" s="23"/>
      <c r="H21" s="112"/>
      <c r="I21" s="112"/>
      <c r="J21" s="13"/>
    </row>
    <row r="22" spans="1:10" s="2" customFormat="1" ht="12.75" customHeight="1" x14ac:dyDescent="0.2">
      <c r="A22" s="89">
        <v>45155</v>
      </c>
      <c r="B22" s="128" t="s">
        <v>11</v>
      </c>
      <c r="C22" s="29" t="s">
        <v>7</v>
      </c>
      <c r="D22" s="25"/>
      <c r="E22" s="31"/>
      <c r="F22" s="2">
        <v>373038687.18000007</v>
      </c>
      <c r="G22" s="30"/>
      <c r="I22" s="13"/>
      <c r="J22" s="13"/>
    </row>
    <row r="23" spans="1:10" s="70" customFormat="1" ht="12.75" customHeight="1" x14ac:dyDescent="0.2">
      <c r="A23" s="89">
        <v>45155</v>
      </c>
      <c r="B23" s="128" t="s">
        <v>6</v>
      </c>
      <c r="C23" s="10" t="s">
        <v>19</v>
      </c>
      <c r="D23" s="11" t="s">
        <v>13</v>
      </c>
      <c r="E23" s="86">
        <v>3457067.87</v>
      </c>
      <c r="G23" s="30"/>
      <c r="I23" s="69"/>
      <c r="J23" s="69"/>
    </row>
    <row r="24" spans="1:10" s="70" customFormat="1" ht="12.75" customHeight="1" x14ac:dyDescent="0.2">
      <c r="A24" s="89">
        <v>45155</v>
      </c>
      <c r="B24" s="128" t="s">
        <v>6</v>
      </c>
      <c r="C24" s="10" t="s">
        <v>17</v>
      </c>
      <c r="D24" s="11" t="s">
        <v>13</v>
      </c>
      <c r="E24" s="86">
        <v>378285</v>
      </c>
      <c r="G24" s="30"/>
      <c r="I24" s="69"/>
      <c r="J24" s="69"/>
    </row>
    <row r="25" spans="1:10" s="70" customFormat="1" ht="12.75" customHeight="1" x14ac:dyDescent="0.2">
      <c r="A25" s="89">
        <v>45155</v>
      </c>
      <c r="B25" s="128" t="s">
        <v>6</v>
      </c>
      <c r="C25" s="10" t="s">
        <v>14</v>
      </c>
      <c r="D25" s="11" t="s">
        <v>13</v>
      </c>
      <c r="E25" s="86">
        <v>3347453</v>
      </c>
      <c r="G25" s="30"/>
      <c r="I25" s="69"/>
      <c r="J25" s="69"/>
    </row>
    <row r="26" spans="1:10" s="70" customFormat="1" ht="12.75" customHeight="1" x14ac:dyDescent="0.2">
      <c r="A26" s="89">
        <v>45155</v>
      </c>
      <c r="B26" s="128" t="s">
        <v>6</v>
      </c>
      <c r="C26" s="10" t="s">
        <v>27</v>
      </c>
      <c r="D26" s="11" t="s">
        <v>13</v>
      </c>
      <c r="E26" s="86">
        <v>106156.2</v>
      </c>
      <c r="G26" s="30"/>
      <c r="I26" s="69"/>
      <c r="J26" s="69"/>
    </row>
    <row r="27" spans="1:10" s="70" customFormat="1" ht="12.75" customHeight="1" x14ac:dyDescent="0.2">
      <c r="A27" s="89">
        <v>45155</v>
      </c>
      <c r="B27" s="128" t="s">
        <v>6</v>
      </c>
      <c r="C27" s="10" t="s">
        <v>15</v>
      </c>
      <c r="D27" s="11" t="s">
        <v>13</v>
      </c>
      <c r="E27" s="86">
        <v>9513.86</v>
      </c>
      <c r="G27" s="30"/>
      <c r="I27" s="69"/>
      <c r="J27" s="69"/>
    </row>
    <row r="28" spans="1:10" s="70" customFormat="1" ht="12.75" customHeight="1" x14ac:dyDescent="0.2">
      <c r="A28" s="89">
        <v>45155</v>
      </c>
      <c r="B28" s="128" t="s">
        <v>6</v>
      </c>
      <c r="C28" s="10" t="s">
        <v>993</v>
      </c>
      <c r="D28" s="11" t="s">
        <v>13</v>
      </c>
      <c r="E28" s="86">
        <v>300000</v>
      </c>
      <c r="G28" s="30"/>
      <c r="I28" s="69"/>
      <c r="J28" s="69"/>
    </row>
    <row r="29" spans="1:10" s="70" customFormat="1" ht="12.75" customHeight="1" x14ac:dyDescent="0.2">
      <c r="A29" s="89">
        <v>45155</v>
      </c>
      <c r="B29" s="128" t="s">
        <v>6</v>
      </c>
      <c r="C29" s="10" t="s">
        <v>1375</v>
      </c>
      <c r="D29" s="11" t="s">
        <v>13</v>
      </c>
      <c r="E29" s="86">
        <v>29976</v>
      </c>
      <c r="G29" s="30"/>
      <c r="I29" s="69"/>
      <c r="J29" s="69"/>
    </row>
    <row r="30" spans="1:10" s="70" customFormat="1" ht="12.75" customHeight="1" x14ac:dyDescent="0.2">
      <c r="A30" s="89">
        <v>45155</v>
      </c>
      <c r="B30" s="128" t="s">
        <v>6</v>
      </c>
      <c r="C30" s="10" t="s">
        <v>318</v>
      </c>
      <c r="D30" s="11" t="s">
        <v>13</v>
      </c>
      <c r="E30" s="86">
        <v>748658</v>
      </c>
      <c r="G30" s="30"/>
      <c r="I30" s="69"/>
      <c r="J30" s="69"/>
    </row>
    <row r="31" spans="1:10" s="70" customFormat="1" ht="12.75" customHeight="1" x14ac:dyDescent="0.2">
      <c r="A31" s="89">
        <v>45155</v>
      </c>
      <c r="B31" s="128" t="s">
        <v>6</v>
      </c>
      <c r="C31" s="10" t="s">
        <v>743</v>
      </c>
      <c r="D31" s="11" t="s">
        <v>13</v>
      </c>
      <c r="E31" s="86">
        <v>337833</v>
      </c>
      <c r="G31" s="30"/>
      <c r="I31" s="69"/>
      <c r="J31" s="69"/>
    </row>
    <row r="32" spans="1:10" s="70" customFormat="1" ht="12.75" customHeight="1" x14ac:dyDescent="0.2">
      <c r="A32" s="89">
        <v>45155</v>
      </c>
      <c r="B32" s="128" t="s">
        <v>6</v>
      </c>
      <c r="C32" s="10" t="s">
        <v>125</v>
      </c>
      <c r="D32" s="11" t="s">
        <v>13</v>
      </c>
      <c r="E32" s="86">
        <v>481261</v>
      </c>
      <c r="G32" s="30"/>
      <c r="I32" s="69"/>
      <c r="J32" s="69"/>
    </row>
    <row r="33" spans="1:13" s="70" customFormat="1" ht="12.75" customHeight="1" x14ac:dyDescent="0.2">
      <c r="A33" s="89">
        <v>45155</v>
      </c>
      <c r="B33" s="128" t="s">
        <v>6</v>
      </c>
      <c r="C33" s="10" t="s">
        <v>595</v>
      </c>
      <c r="D33" s="11" t="s">
        <v>13</v>
      </c>
      <c r="E33" s="86">
        <v>231892</v>
      </c>
      <c r="G33" s="30"/>
      <c r="I33" s="69"/>
      <c r="J33" s="69"/>
    </row>
    <row r="34" spans="1:13" s="70" customFormat="1" ht="12.75" customHeight="1" x14ac:dyDescent="0.2">
      <c r="A34" s="89">
        <v>45155</v>
      </c>
      <c r="B34" s="128" t="s">
        <v>6</v>
      </c>
      <c r="C34" s="10" t="s">
        <v>145</v>
      </c>
      <c r="D34" s="11" t="s">
        <v>13</v>
      </c>
      <c r="E34" s="86">
        <v>1010566</v>
      </c>
      <c r="G34" s="30"/>
      <c r="I34" s="69"/>
      <c r="J34" s="69"/>
    </row>
    <row r="35" spans="1:13" s="70" customFormat="1" ht="12.75" customHeight="1" x14ac:dyDescent="0.2">
      <c r="A35" s="89">
        <v>45155</v>
      </c>
      <c r="B35" s="128" t="s">
        <v>6</v>
      </c>
      <c r="C35" s="10" t="s">
        <v>16</v>
      </c>
      <c r="D35" s="11" t="s">
        <v>13</v>
      </c>
      <c r="E35" s="86">
        <v>1</v>
      </c>
      <c r="G35" s="30"/>
      <c r="I35" s="69"/>
      <c r="J35" s="69"/>
    </row>
    <row r="36" spans="1:13" s="70" customFormat="1" ht="12.75" customHeight="1" x14ac:dyDescent="0.2">
      <c r="A36" s="89">
        <v>45155</v>
      </c>
      <c r="B36" s="128" t="s">
        <v>6</v>
      </c>
      <c r="C36" s="10" t="s">
        <v>504</v>
      </c>
      <c r="D36" s="11" t="s">
        <v>13</v>
      </c>
      <c r="E36" s="86">
        <v>10815</v>
      </c>
      <c r="G36" s="30"/>
      <c r="I36" s="69"/>
      <c r="J36" s="69"/>
    </row>
    <row r="37" spans="1:13" s="70" customFormat="1" ht="12.75" customHeight="1" x14ac:dyDescent="0.2">
      <c r="A37" s="89">
        <v>45155</v>
      </c>
      <c r="B37" s="128" t="s">
        <v>6</v>
      </c>
      <c r="C37" s="10" t="s">
        <v>516</v>
      </c>
      <c r="D37" s="11" t="s">
        <v>13</v>
      </c>
      <c r="E37" s="86">
        <v>55000</v>
      </c>
      <c r="G37" s="30"/>
      <c r="I37" s="69"/>
      <c r="J37" s="69"/>
    </row>
    <row r="38" spans="1:13" s="70" customFormat="1" ht="12.75" customHeight="1" x14ac:dyDescent="0.2">
      <c r="A38" s="89">
        <v>45155</v>
      </c>
      <c r="B38" s="128" t="s">
        <v>11</v>
      </c>
      <c r="C38" s="10" t="s">
        <v>64</v>
      </c>
      <c r="D38" s="11" t="s">
        <v>29</v>
      </c>
      <c r="E38" s="86"/>
      <c r="F38" s="70">
        <v>38922.15</v>
      </c>
      <c r="G38" s="30"/>
      <c r="I38" s="69"/>
      <c r="J38" s="69"/>
    </row>
    <row r="39" spans="1:13" s="70" customFormat="1" ht="12.75" customHeight="1" x14ac:dyDescent="0.2">
      <c r="A39" s="89">
        <v>45155</v>
      </c>
      <c r="B39" s="128" t="s">
        <v>11</v>
      </c>
      <c r="C39" s="10" t="s">
        <v>111</v>
      </c>
      <c r="D39" s="11" t="s">
        <v>29</v>
      </c>
      <c r="E39" s="86"/>
      <c r="F39" s="70">
        <v>15081247.25</v>
      </c>
      <c r="G39" s="30"/>
      <c r="I39" s="69"/>
      <c r="J39" s="69"/>
    </row>
    <row r="40" spans="1:13" s="69" customFormat="1" ht="12.75" customHeight="1" x14ac:dyDescent="0.2">
      <c r="A40" s="89">
        <v>45155</v>
      </c>
      <c r="B40" s="128" t="s">
        <v>11</v>
      </c>
      <c r="C40" s="10" t="s">
        <v>109</v>
      </c>
      <c r="D40" s="11" t="s">
        <v>29</v>
      </c>
      <c r="E40" s="86"/>
      <c r="F40" s="70">
        <v>1283965</v>
      </c>
      <c r="G40" s="100"/>
    </row>
    <row r="41" spans="1:13" s="70" customFormat="1" ht="12.75" customHeight="1" x14ac:dyDescent="0.2">
      <c r="A41" s="89">
        <v>45155</v>
      </c>
      <c r="B41" s="128" t="s">
        <v>11</v>
      </c>
      <c r="C41" s="10" t="s">
        <v>525</v>
      </c>
      <c r="D41" s="11" t="s">
        <v>29</v>
      </c>
      <c r="E41" s="86"/>
      <c r="F41" s="70">
        <v>1500000</v>
      </c>
      <c r="G41" s="30"/>
      <c r="I41" s="69"/>
      <c r="J41" s="69"/>
    </row>
    <row r="42" spans="1:13" s="70" customFormat="1" ht="12.75" customHeight="1" x14ac:dyDescent="0.2">
      <c r="A42" s="89">
        <v>45155</v>
      </c>
      <c r="B42" s="128" t="s">
        <v>11</v>
      </c>
      <c r="C42" s="10" t="s">
        <v>95</v>
      </c>
      <c r="D42" s="11" t="s">
        <v>29</v>
      </c>
      <c r="E42" s="86"/>
      <c r="F42" s="70">
        <v>45738</v>
      </c>
      <c r="G42" s="30"/>
      <c r="I42" s="69"/>
      <c r="J42" s="69"/>
    </row>
    <row r="43" spans="1:13" s="70" customFormat="1" ht="12.75" customHeight="1" x14ac:dyDescent="0.2">
      <c r="A43" s="89">
        <v>45155</v>
      </c>
      <c r="B43" s="128" t="s">
        <v>11</v>
      </c>
      <c r="C43" s="10" t="s">
        <v>508</v>
      </c>
      <c r="D43" s="11" t="s">
        <v>29</v>
      </c>
      <c r="E43" s="86"/>
      <c r="F43" s="70">
        <v>63374</v>
      </c>
      <c r="G43" s="30"/>
      <c r="I43" s="69"/>
      <c r="J43" s="69"/>
    </row>
    <row r="44" spans="1:13" s="70" customFormat="1" ht="12.75" customHeight="1" x14ac:dyDescent="0.2">
      <c r="A44" s="89">
        <v>45155</v>
      </c>
      <c r="B44" s="128" t="s">
        <v>11</v>
      </c>
      <c r="C44" s="10" t="s">
        <v>292</v>
      </c>
      <c r="D44" s="11" t="s">
        <v>29</v>
      </c>
      <c r="E44" s="86"/>
      <c r="F44" s="70">
        <v>8200.76</v>
      </c>
      <c r="G44" s="30"/>
      <c r="I44" s="69"/>
      <c r="J44" s="69"/>
    </row>
    <row r="45" spans="1:13" s="70" customFormat="1" ht="12.75" customHeight="1" x14ac:dyDescent="0.2">
      <c r="A45" s="89">
        <v>45155</v>
      </c>
      <c r="B45" s="128" t="s">
        <v>11</v>
      </c>
      <c r="C45" s="10" t="s">
        <v>642</v>
      </c>
      <c r="D45" s="11" t="s">
        <v>29</v>
      </c>
      <c r="E45" s="86"/>
      <c r="F45" s="70">
        <v>39830</v>
      </c>
      <c r="G45" s="30"/>
      <c r="I45" s="69"/>
      <c r="J45" s="69"/>
    </row>
    <row r="46" spans="1:13" s="70" customFormat="1" ht="12.75" customHeight="1" x14ac:dyDescent="0.2">
      <c r="A46" s="89">
        <v>45155</v>
      </c>
      <c r="B46" s="128" t="s">
        <v>11</v>
      </c>
      <c r="C46" s="10" t="s">
        <v>140</v>
      </c>
      <c r="D46" s="11" t="s">
        <v>29</v>
      </c>
      <c r="E46" s="86"/>
      <c r="F46" s="70">
        <v>768535</v>
      </c>
      <c r="G46" s="30"/>
      <c r="I46" s="69"/>
      <c r="J46" s="69"/>
      <c r="K46" s="70" t="s">
        <v>1376</v>
      </c>
    </row>
    <row r="47" spans="1:13" s="2" customFormat="1" ht="12.75" customHeight="1" x14ac:dyDescent="0.2">
      <c r="A47" s="32"/>
      <c r="B47" s="33"/>
      <c r="C47" s="14"/>
      <c r="D47" s="34"/>
      <c r="E47" s="16">
        <f>SUM(E22:E46)</f>
        <v>10504477.93</v>
      </c>
      <c r="F47" s="16">
        <f>SUM(F22:F46)</f>
        <v>391868499.34000003</v>
      </c>
      <c r="G47" s="30"/>
      <c r="H47" s="1"/>
      <c r="I47" s="38">
        <v>381363306.41000003</v>
      </c>
      <c r="J47" s="2" t="s">
        <v>396</v>
      </c>
      <c r="K47" s="92">
        <f>E48-I47</f>
        <v>715</v>
      </c>
      <c r="L47" s="41"/>
      <c r="M47" s="42"/>
    </row>
    <row r="48" spans="1:13" s="2" customFormat="1" ht="12.75" customHeight="1" x14ac:dyDescent="0.2">
      <c r="A48" s="36"/>
      <c r="B48" s="28" t="s">
        <v>11</v>
      </c>
      <c r="C48" s="19" t="s">
        <v>65</v>
      </c>
      <c r="D48" s="37"/>
      <c r="E48" s="38">
        <f>F47-E47</f>
        <v>381364021.41000003</v>
      </c>
      <c r="F48" s="22"/>
      <c r="G48" s="1"/>
      <c r="H48" s="1"/>
      <c r="J48" s="1"/>
      <c r="K48" s="1"/>
      <c r="L48" s="1"/>
      <c r="M48" s="1"/>
    </row>
    <row r="49" spans="1:14" s="2" customFormat="1" ht="12.75" customHeight="1" x14ac:dyDescent="0.2">
      <c r="A49" s="36"/>
      <c r="B49" s="28" t="s">
        <v>66</v>
      </c>
      <c r="C49" s="43" t="s">
        <v>67</v>
      </c>
      <c r="D49" s="43"/>
      <c r="E49" s="12">
        <v>0</v>
      </c>
      <c r="F49" s="22"/>
      <c r="G49" s="1"/>
      <c r="H49" s="40"/>
      <c r="I49" s="45">
        <v>2014.37</v>
      </c>
      <c r="J49" s="46"/>
      <c r="K49" s="46"/>
      <c r="L49" s="13"/>
      <c r="M49" s="69" t="s">
        <v>396</v>
      </c>
    </row>
    <row r="50" spans="1:14" s="2" customFormat="1" ht="12.75" customHeight="1" x14ac:dyDescent="0.25">
      <c r="A50" s="36"/>
      <c r="B50" s="28"/>
      <c r="C50" s="44" t="s">
        <v>68</v>
      </c>
      <c r="D50" s="43"/>
      <c r="E50" s="7">
        <f>E48+E49</f>
        <v>381364021.41000003</v>
      </c>
      <c r="F50" s="22"/>
      <c r="G50" s="1"/>
      <c r="H50" s="103" t="s">
        <v>69</v>
      </c>
      <c r="I50" s="45">
        <v>52.42</v>
      </c>
      <c r="J50" s="46"/>
      <c r="K50" s="46"/>
      <c r="N50" s="1"/>
    </row>
    <row r="51" spans="1:14" s="2" customFormat="1" x14ac:dyDescent="0.2">
      <c r="A51" s="24"/>
      <c r="B51" s="1"/>
      <c r="C51" s="14"/>
      <c r="D51" s="25"/>
      <c r="E51" s="1"/>
      <c r="H51" s="35" t="s">
        <v>70</v>
      </c>
      <c r="I51" s="45">
        <v>-5.99</v>
      </c>
      <c r="J51" s="46">
        <f>+I52-D54</f>
        <v>0</v>
      </c>
      <c r="M51" s="2" t="s">
        <v>396</v>
      </c>
      <c r="N51" s="1"/>
    </row>
    <row r="52" spans="1:14" x14ac:dyDescent="0.2">
      <c r="C52" s="56"/>
      <c r="D52" s="56"/>
      <c r="E52" s="104"/>
      <c r="I52" s="49">
        <f>SUM(I49:I51)</f>
        <v>2060.8000000000002</v>
      </c>
      <c r="J52" s="46"/>
      <c r="K52" s="46"/>
      <c r="L52" s="2"/>
      <c r="M52" s="2"/>
      <c r="N52" s="2"/>
    </row>
    <row r="53" spans="1:14" x14ac:dyDescent="0.2">
      <c r="C53" s="78" t="s">
        <v>575</v>
      </c>
      <c r="D53" s="48" t="s">
        <v>576</v>
      </c>
      <c r="E53" s="104"/>
      <c r="I53" s="2"/>
      <c r="J53" s="2"/>
      <c r="K53" s="2"/>
      <c r="L53" s="2"/>
      <c r="M53" s="2"/>
      <c r="N53" s="2"/>
    </row>
    <row r="54" spans="1:14" s="2" customFormat="1" x14ac:dyDescent="0.2">
      <c r="A54" s="24"/>
      <c r="B54" s="1"/>
      <c r="C54" s="47" t="s">
        <v>570</v>
      </c>
      <c r="D54" s="111">
        <v>2060.8000000000002</v>
      </c>
      <c r="E54" s="104"/>
      <c r="G54" s="1"/>
      <c r="H54" s="110" t="s">
        <v>581</v>
      </c>
      <c r="N54" s="2" t="s">
        <v>535</v>
      </c>
    </row>
    <row r="55" spans="1:14" s="2" customFormat="1" x14ac:dyDescent="0.2">
      <c r="A55" s="24"/>
      <c r="B55" s="1"/>
      <c r="C55" s="47" t="s">
        <v>931</v>
      </c>
      <c r="D55" s="111">
        <v>266.77</v>
      </c>
      <c r="E55" s="104"/>
      <c r="G55" s="1"/>
      <c r="H55" s="110" t="s">
        <v>580</v>
      </c>
    </row>
    <row r="56" spans="1:14" s="2" customFormat="1" x14ac:dyDescent="0.2">
      <c r="A56" s="24"/>
      <c r="B56" s="1"/>
      <c r="C56" s="47" t="s">
        <v>572</v>
      </c>
      <c r="D56" s="111">
        <f>+D85/100000</f>
        <v>99.590049100000002</v>
      </c>
      <c r="E56" s="104"/>
      <c r="G56" s="1"/>
      <c r="H56" s="90" t="s">
        <v>587</v>
      </c>
    </row>
    <row r="57" spans="1:14" s="2" customFormat="1" x14ac:dyDescent="0.2">
      <c r="A57" s="24"/>
      <c r="B57" s="1"/>
      <c r="C57" s="108" t="s">
        <v>578</v>
      </c>
      <c r="D57" s="48">
        <f>SUM(D54:D56)</f>
        <v>2427.1600491000004</v>
      </c>
      <c r="E57" s="104"/>
      <c r="G57" s="1"/>
    </row>
    <row r="58" spans="1:14" s="2" customFormat="1" x14ac:dyDescent="0.2">
      <c r="A58" s="24"/>
      <c r="B58" s="1"/>
      <c r="C58" s="47"/>
      <c r="D58" s="107"/>
      <c r="E58" s="104"/>
      <c r="G58" s="1"/>
    </row>
    <row r="59" spans="1:14" s="2" customFormat="1" x14ac:dyDescent="0.2">
      <c r="A59" s="24"/>
      <c r="B59" s="1"/>
      <c r="C59" s="47" t="s">
        <v>932</v>
      </c>
      <c r="D59" s="111">
        <v>27.61</v>
      </c>
      <c r="E59" s="104"/>
      <c r="G59" s="1"/>
      <c r="H59" s="110" t="s">
        <v>581</v>
      </c>
    </row>
    <row r="60" spans="1:14" s="2" customFormat="1" x14ac:dyDescent="0.2">
      <c r="A60" s="24"/>
      <c r="B60" s="1"/>
      <c r="C60" s="136" t="s">
        <v>1142</v>
      </c>
      <c r="D60" s="111">
        <v>152.79</v>
      </c>
      <c r="E60" s="104"/>
      <c r="G60" s="1"/>
      <c r="H60" s="110" t="s">
        <v>581</v>
      </c>
      <c r="J60" s="114" t="s">
        <v>713</v>
      </c>
    </row>
    <row r="61" spans="1:14" s="2" customFormat="1" x14ac:dyDescent="0.2">
      <c r="A61" s="24"/>
      <c r="B61" s="1"/>
      <c r="C61" s="78" t="s">
        <v>579</v>
      </c>
      <c r="D61" s="109">
        <f>D59+D60</f>
        <v>180.39999999999998</v>
      </c>
      <c r="E61" s="104"/>
      <c r="G61" s="1"/>
      <c r="I61" s="113"/>
      <c r="J61" s="113" t="s">
        <v>709</v>
      </c>
      <c r="K61" s="113" t="s">
        <v>710</v>
      </c>
      <c r="L61" s="113" t="s">
        <v>711</v>
      </c>
      <c r="M61" s="113" t="s">
        <v>712</v>
      </c>
    </row>
    <row r="62" spans="1:14" s="2" customFormat="1" x14ac:dyDescent="0.2">
      <c r="A62" s="24"/>
      <c r="B62" s="1"/>
      <c r="C62" s="105"/>
      <c r="D62" s="106"/>
      <c r="E62" s="104"/>
      <c r="G62" s="1"/>
      <c r="I62" s="113" t="s">
        <v>706</v>
      </c>
      <c r="J62" s="115"/>
      <c r="K62" s="115">
        <v>968.99</v>
      </c>
      <c r="L62" s="115">
        <v>968.99</v>
      </c>
      <c r="M62" s="113">
        <f>+J62+L62-K62</f>
        <v>0</v>
      </c>
    </row>
    <row r="63" spans="1:14" s="2" customFormat="1" x14ac:dyDescent="0.2">
      <c r="A63" s="24"/>
      <c r="B63" s="1"/>
      <c r="C63" s="78" t="s">
        <v>577</v>
      </c>
      <c r="D63" s="109">
        <f>D54+D61</f>
        <v>2241.2000000000003</v>
      </c>
      <c r="E63" s="104"/>
      <c r="G63" s="1"/>
      <c r="I63" s="113" t="s">
        <v>707</v>
      </c>
      <c r="J63" s="115">
        <v>183.1</v>
      </c>
      <c r="K63" s="115">
        <v>3191.3</v>
      </c>
      <c r="L63" s="115">
        <v>3578.77</v>
      </c>
      <c r="M63" s="113">
        <f>+J63+L63-K63</f>
        <v>570.56999999999971</v>
      </c>
    </row>
    <row r="64" spans="1:14" s="2" customFormat="1" x14ac:dyDescent="0.2">
      <c r="A64" s="24"/>
      <c r="B64" s="1"/>
      <c r="C64" s="56"/>
      <c r="D64" s="56"/>
      <c r="E64" s="104"/>
      <c r="G64" s="1"/>
      <c r="I64" s="113" t="s">
        <v>708</v>
      </c>
      <c r="J64" s="115">
        <v>1371.02</v>
      </c>
      <c r="K64" s="115">
        <v>13471.93</v>
      </c>
      <c r="L64" s="115">
        <v>13105.87</v>
      </c>
      <c r="M64" s="113">
        <f>+J64+L64-K64</f>
        <v>1004.9600000000009</v>
      </c>
    </row>
    <row r="65" spans="1:13" s="2" customFormat="1" ht="38.25" x14ac:dyDescent="0.2">
      <c r="A65" s="24"/>
      <c r="B65" s="1"/>
      <c r="C65" s="79" t="str">
        <f>"Particulars ( 01-04-2021 to "&amp;TEXT(A5,"dd-mm-yyyy")&amp;" )"</f>
        <v>Particulars ( 01-04-2021 to 17-08-2023 )</v>
      </c>
      <c r="D65" s="80" t="s">
        <v>73</v>
      </c>
      <c r="E65" s="80" t="s">
        <v>74</v>
      </c>
      <c r="F65" s="81" t="s">
        <v>75</v>
      </c>
      <c r="G65" s="80" t="s">
        <v>76</v>
      </c>
      <c r="J65" s="118">
        <f>SUM(J62:J64)</f>
        <v>1554.12</v>
      </c>
      <c r="K65" s="118">
        <f>SUM(K62:K64)</f>
        <v>17632.22</v>
      </c>
      <c r="L65" s="118">
        <f>SUM(L62:L64)</f>
        <v>17653.63</v>
      </c>
      <c r="M65" s="118">
        <f>SUM(M62:M64)</f>
        <v>1575.5300000000007</v>
      </c>
    </row>
    <row r="66" spans="1:13" s="2" customFormat="1" x14ac:dyDescent="0.2">
      <c r="A66" s="24"/>
      <c r="B66" s="1"/>
      <c r="C66" s="50" t="s">
        <v>444</v>
      </c>
      <c r="D66" s="55">
        <f>+L62+L63+J63</f>
        <v>4730.8600000000006</v>
      </c>
      <c r="E66" s="55">
        <f>+K62+K63</f>
        <v>4160.29</v>
      </c>
      <c r="F66" s="55">
        <f>+D66-E66</f>
        <v>570.57000000000062</v>
      </c>
      <c r="G66" s="55">
        <f>1500-F66</f>
        <v>929.42999999999938</v>
      </c>
      <c r="H66" s="2" t="s">
        <v>396</v>
      </c>
    </row>
    <row r="67" spans="1:13" s="2" customFormat="1" x14ac:dyDescent="0.2">
      <c r="A67" s="24"/>
      <c r="B67" s="1"/>
      <c r="C67" s="50" t="s">
        <v>71</v>
      </c>
      <c r="D67" s="55">
        <f>+J64+L64</f>
        <v>14476.890000000001</v>
      </c>
      <c r="E67" s="55">
        <f>+K64</f>
        <v>13471.93</v>
      </c>
      <c r="F67" s="55">
        <f>+D67-E67</f>
        <v>1004.9600000000009</v>
      </c>
      <c r="G67" s="55">
        <f>1500+700-F67</f>
        <v>1195.0399999999991</v>
      </c>
      <c r="H67" s="2" t="s">
        <v>396</v>
      </c>
    </row>
    <row r="68" spans="1:13" s="2" customFormat="1" x14ac:dyDescent="0.2">
      <c r="A68" s="24"/>
      <c r="B68" s="1"/>
      <c r="C68" s="14"/>
      <c r="D68" s="56"/>
      <c r="E68" s="13"/>
      <c r="G68" s="1"/>
    </row>
    <row r="69" spans="1:13" s="2" customFormat="1" x14ac:dyDescent="0.2">
      <c r="A69" s="215" t="s">
        <v>80</v>
      </c>
      <c r="B69" s="216"/>
      <c r="C69" s="216"/>
      <c r="D69" s="217"/>
      <c r="E69" s="69"/>
      <c r="F69" s="70"/>
      <c r="G69" s="1"/>
      <c r="H69" s="53"/>
    </row>
    <row r="70" spans="1:13" s="2" customFormat="1" x14ac:dyDescent="0.2">
      <c r="A70" s="71" t="s">
        <v>81</v>
      </c>
      <c r="B70" s="71"/>
      <c r="C70" s="72" t="s">
        <v>82</v>
      </c>
      <c r="D70" s="73" t="s">
        <v>83</v>
      </c>
      <c r="E70" s="69"/>
      <c r="F70" s="70"/>
      <c r="H70" s="53"/>
    </row>
    <row r="71" spans="1:13" s="2" customFormat="1" x14ac:dyDescent="0.2">
      <c r="A71" s="87">
        <v>45139</v>
      </c>
      <c r="B71" s="120" t="s">
        <v>1052</v>
      </c>
      <c r="C71" s="75" t="s">
        <v>85</v>
      </c>
      <c r="D71" s="88">
        <v>552343</v>
      </c>
      <c r="G71" s="1"/>
      <c r="L71" s="1"/>
      <c r="M71" s="1"/>
    </row>
    <row r="72" spans="1:13" s="2" customFormat="1" x14ac:dyDescent="0.2">
      <c r="A72" s="87">
        <v>45140</v>
      </c>
      <c r="B72" s="120" t="s">
        <v>1052</v>
      </c>
      <c r="C72" s="75" t="s">
        <v>270</v>
      </c>
      <c r="D72" s="88">
        <v>244404</v>
      </c>
      <c r="G72" s="1"/>
      <c r="L72" s="1"/>
      <c r="M72" s="1"/>
    </row>
    <row r="73" spans="1:13" s="2" customFormat="1" x14ac:dyDescent="0.2">
      <c r="A73" s="87">
        <v>45140</v>
      </c>
      <c r="B73" s="120" t="s">
        <v>1052</v>
      </c>
      <c r="C73" s="75" t="s">
        <v>270</v>
      </c>
      <c r="D73" s="88">
        <v>550256</v>
      </c>
      <c r="G73" s="1"/>
      <c r="L73" s="1"/>
      <c r="M73" s="1"/>
    </row>
    <row r="74" spans="1:13" s="2" customFormat="1" x14ac:dyDescent="0.2">
      <c r="A74" s="87">
        <v>45140</v>
      </c>
      <c r="B74" s="120" t="s">
        <v>1052</v>
      </c>
      <c r="C74" s="75" t="s">
        <v>270</v>
      </c>
      <c r="D74" s="88">
        <v>191589</v>
      </c>
      <c r="G74" s="1"/>
      <c r="L74" s="1"/>
      <c r="M74" s="1"/>
    </row>
    <row r="75" spans="1:13" s="2" customFormat="1" x14ac:dyDescent="0.2">
      <c r="A75" s="87">
        <v>45140</v>
      </c>
      <c r="B75" s="120" t="s">
        <v>1052</v>
      </c>
      <c r="C75" s="75" t="s">
        <v>270</v>
      </c>
      <c r="D75" s="88">
        <v>74415.91</v>
      </c>
      <c r="G75" s="1"/>
      <c r="L75" s="1"/>
      <c r="M75" s="1"/>
    </row>
    <row r="76" spans="1:13" s="2" customFormat="1" x14ac:dyDescent="0.2">
      <c r="A76" s="87">
        <v>45140</v>
      </c>
      <c r="B76" s="120" t="s">
        <v>1052</v>
      </c>
      <c r="C76" s="75" t="s">
        <v>271</v>
      </c>
      <c r="D76" s="88">
        <v>454781</v>
      </c>
      <c r="G76" s="1"/>
      <c r="L76" s="1"/>
      <c r="M76" s="1"/>
    </row>
    <row r="77" spans="1:13" s="2" customFormat="1" x14ac:dyDescent="0.2">
      <c r="A77" s="87">
        <v>45141</v>
      </c>
      <c r="B77" s="120" t="s">
        <v>1052</v>
      </c>
      <c r="C77" s="75" t="s">
        <v>909</v>
      </c>
      <c r="D77" s="88">
        <v>910969</v>
      </c>
      <c r="G77" s="1"/>
      <c r="L77" s="1"/>
      <c r="M77" s="1"/>
    </row>
    <row r="78" spans="1:13" s="2" customFormat="1" x14ac:dyDescent="0.2">
      <c r="A78" s="87">
        <v>45141</v>
      </c>
      <c r="B78" s="120" t="s">
        <v>1052</v>
      </c>
      <c r="C78" s="75" t="s">
        <v>909</v>
      </c>
      <c r="D78" s="88">
        <v>1424635</v>
      </c>
      <c r="G78" s="1"/>
      <c r="L78" s="1"/>
      <c r="M78" s="1"/>
    </row>
    <row r="79" spans="1:13" s="2" customFormat="1" x14ac:dyDescent="0.2">
      <c r="A79" s="87">
        <v>45143</v>
      </c>
      <c r="B79" s="120" t="s">
        <v>1052</v>
      </c>
      <c r="C79" s="75" t="s">
        <v>85</v>
      </c>
      <c r="D79" s="88">
        <v>644288</v>
      </c>
      <c r="G79" s="1"/>
      <c r="L79" s="1"/>
      <c r="M79" s="1"/>
    </row>
    <row r="80" spans="1:13" s="2" customFormat="1" x14ac:dyDescent="0.2">
      <c r="A80" s="87">
        <v>45146</v>
      </c>
      <c r="B80" s="120" t="s">
        <v>1052</v>
      </c>
      <c r="C80" s="75" t="s">
        <v>85</v>
      </c>
      <c r="D80" s="88">
        <v>136333</v>
      </c>
      <c r="G80" s="1"/>
      <c r="L80" s="1"/>
      <c r="M80" s="1"/>
    </row>
    <row r="81" spans="1:13" s="2" customFormat="1" x14ac:dyDescent="0.2">
      <c r="A81" s="87">
        <v>45146</v>
      </c>
      <c r="B81" s="120" t="s">
        <v>1052</v>
      </c>
      <c r="C81" s="75" t="s">
        <v>1343</v>
      </c>
      <c r="D81" s="88">
        <v>2000000</v>
      </c>
      <c r="G81" s="1"/>
      <c r="L81" s="1"/>
      <c r="M81" s="1"/>
    </row>
    <row r="82" spans="1:13" s="2" customFormat="1" x14ac:dyDescent="0.2">
      <c r="A82" s="87">
        <v>45152</v>
      </c>
      <c r="B82" s="120" t="s">
        <v>1052</v>
      </c>
      <c r="C82" s="75" t="s">
        <v>270</v>
      </c>
      <c r="D82" s="88">
        <v>26225</v>
      </c>
      <c r="G82" s="1"/>
      <c r="L82" s="1"/>
      <c r="M82" s="1"/>
    </row>
    <row r="83" spans="1:13" s="2" customFormat="1" x14ac:dyDescent="0.2">
      <c r="A83" s="87">
        <v>45152</v>
      </c>
      <c r="B83" s="120" t="s">
        <v>1052</v>
      </c>
      <c r="C83" s="75" t="s">
        <v>270</v>
      </c>
      <c r="D83" s="88">
        <v>47499</v>
      </c>
      <c r="G83" s="1"/>
      <c r="L83" s="1"/>
      <c r="M83" s="1"/>
    </row>
    <row r="84" spans="1:13" s="2" customFormat="1" x14ac:dyDescent="0.2">
      <c r="A84" s="87">
        <v>45154</v>
      </c>
      <c r="B84" s="120" t="s">
        <v>1052</v>
      </c>
      <c r="C84" s="75" t="s">
        <v>271</v>
      </c>
      <c r="D84" s="88">
        <v>2701267</v>
      </c>
      <c r="G84" s="1"/>
      <c r="L84" s="1"/>
      <c r="M84" s="1"/>
    </row>
    <row r="85" spans="1:13" s="2" customFormat="1" x14ac:dyDescent="0.2">
      <c r="A85" s="87"/>
      <c r="B85" s="74"/>
      <c r="C85" s="75"/>
      <c r="D85" s="51">
        <f>SUM(D71:D84)</f>
        <v>9959004.9100000001</v>
      </c>
      <c r="F85" s="2" t="s">
        <v>396</v>
      </c>
      <c r="G85" s="1"/>
      <c r="L85" s="1"/>
      <c r="M85" s="1"/>
    </row>
    <row r="86" spans="1:13" s="2" customFormat="1" x14ac:dyDescent="0.2">
      <c r="A86" s="24"/>
      <c r="B86" s="1"/>
      <c r="C86" s="14"/>
      <c r="D86" s="56"/>
      <c r="E86" s="13"/>
      <c r="G86" s="1"/>
      <c r="L86" s="1"/>
      <c r="M86" s="1"/>
    </row>
    <row r="87" spans="1:13" s="2" customFormat="1" x14ac:dyDescent="0.2">
      <c r="A87" s="24"/>
      <c r="B87" s="1"/>
      <c r="C87" s="218" t="s">
        <v>77</v>
      </c>
      <c r="D87" s="219"/>
      <c r="E87" s="219"/>
      <c r="F87" s="220"/>
      <c r="G87" s="1"/>
      <c r="L87" s="1"/>
      <c r="M87" s="1"/>
    </row>
    <row r="88" spans="1:13" s="2" customFormat="1" x14ac:dyDescent="0.2">
      <c r="A88" s="24"/>
      <c r="B88" s="1"/>
      <c r="C88" s="50"/>
      <c r="D88" s="57" t="s">
        <v>78</v>
      </c>
      <c r="E88" s="58" t="s">
        <v>79</v>
      </c>
      <c r="F88" s="57" t="s">
        <v>72</v>
      </c>
      <c r="G88" s="1"/>
      <c r="I88" s="1"/>
      <c r="J88" s="1"/>
      <c r="K88" s="1"/>
      <c r="L88" s="1"/>
      <c r="M88" s="1"/>
    </row>
    <row r="89" spans="1:13" s="2" customFormat="1" x14ac:dyDescent="0.2">
      <c r="A89" s="24"/>
      <c r="B89" s="1"/>
      <c r="C89" s="59" t="str">
        <f>"01-08-2023 to "&amp;TEXT(A5-2,"dd-mm-yyyy")</f>
        <v>01-08-2023 to 15-08-2023</v>
      </c>
      <c r="D89" s="60">
        <v>1659.4</v>
      </c>
      <c r="E89" s="60">
        <v>137.87</v>
      </c>
      <c r="F89" s="61">
        <f>SUM(D89:E89)</f>
        <v>1797.27</v>
      </c>
      <c r="G89" s="1"/>
    </row>
    <row r="90" spans="1:13" s="2" customFormat="1" x14ac:dyDescent="0.2">
      <c r="A90" s="24"/>
      <c r="B90" s="1"/>
      <c r="C90" s="62" t="str">
        <f>TEXT(A5-1,"dd-mm-yyyy")</f>
        <v>16-08-2023</v>
      </c>
      <c r="D90" s="60">
        <v>108.19</v>
      </c>
      <c r="E90" s="60">
        <v>9.84</v>
      </c>
      <c r="F90" s="61">
        <f>SUM(D90:E90)</f>
        <v>118.03</v>
      </c>
      <c r="G90" s="54"/>
      <c r="I90" s="1"/>
      <c r="J90" s="1"/>
      <c r="K90" s="1"/>
      <c r="L90" s="1"/>
      <c r="M90" s="1"/>
    </row>
    <row r="91" spans="1:13" s="2" customFormat="1" ht="13.5" thickBot="1" x14ac:dyDescent="0.25">
      <c r="A91" s="24"/>
      <c r="B91" s="1"/>
      <c r="C91" s="63" t="str">
        <f>"01-08-2023 to "&amp;TEXT(A5-1,"dd-mm-yyyy")</f>
        <v>01-08-2023 to 16-08-2023</v>
      </c>
      <c r="D91" s="64">
        <f>SUM(D89:D90)</f>
        <v>1767.5900000000001</v>
      </c>
      <c r="E91" s="64">
        <f>SUM(E89:E90)</f>
        <v>147.71</v>
      </c>
      <c r="F91" s="64">
        <f>SUM(F89:F90)</f>
        <v>1915.3</v>
      </c>
      <c r="G91" s="54"/>
      <c r="I91" s="1"/>
      <c r="J91" s="1"/>
      <c r="K91" s="1"/>
      <c r="L91" s="1"/>
      <c r="M91" s="1"/>
    </row>
    <row r="92" spans="1:13" s="2" customFormat="1" ht="13.5" thickTop="1" x14ac:dyDescent="0.2">
      <c r="A92" s="24"/>
      <c r="B92" s="1"/>
      <c r="C92" s="62"/>
      <c r="D92" s="65"/>
      <c r="E92" s="66"/>
      <c r="F92" s="67"/>
      <c r="G92" s="54"/>
      <c r="I92" s="1"/>
      <c r="J92" s="1"/>
      <c r="K92" s="1"/>
      <c r="L92" s="1"/>
      <c r="M92" s="1"/>
    </row>
    <row r="93" spans="1:13" s="2" customFormat="1" x14ac:dyDescent="0.2">
      <c r="A93" s="24"/>
      <c r="B93" s="1"/>
      <c r="C93" s="62" t="str">
        <f>"01-04-2023 to " &amp;C90</f>
        <v>01-04-2023 to 16-08-2023</v>
      </c>
      <c r="D93" s="68">
        <f>+D91+20859.39</f>
        <v>22626.98</v>
      </c>
      <c r="E93" s="68">
        <f>+E91+1376.76</f>
        <v>1524.47</v>
      </c>
      <c r="F93" s="68">
        <f>+F91+22236.15</f>
        <v>24151.45</v>
      </c>
      <c r="G93" s="54"/>
      <c r="I93" s="1"/>
      <c r="J93" s="1"/>
      <c r="K93" s="1"/>
      <c r="L93" s="1"/>
      <c r="M93" s="1"/>
    </row>
    <row r="94" spans="1:13" x14ac:dyDescent="0.2">
      <c r="C94" s="52"/>
      <c r="D94" s="85"/>
      <c r="E94" s="53"/>
      <c r="F94" s="53"/>
      <c r="G94" s="54"/>
      <c r="H94" s="2" t="s">
        <v>396</v>
      </c>
    </row>
    <row r="95" spans="1:13" s="2" customFormat="1" x14ac:dyDescent="0.2">
      <c r="A95" s="24"/>
      <c r="B95" s="1"/>
      <c r="C95" s="52"/>
      <c r="D95" s="85"/>
      <c r="E95" s="53"/>
      <c r="F95" s="53"/>
      <c r="G95" s="54"/>
      <c r="H95" s="53"/>
    </row>
    <row r="96" spans="1:13" x14ac:dyDescent="0.2">
      <c r="C96" s="52"/>
      <c r="D96" s="85"/>
      <c r="E96" s="53"/>
      <c r="F96" s="53"/>
      <c r="G96" s="54"/>
      <c r="H96" s="53" t="s">
        <v>396</v>
      </c>
    </row>
    <row r="97" spans="3:10" x14ac:dyDescent="0.2">
      <c r="C97" s="52"/>
      <c r="D97" s="85"/>
      <c r="E97" s="53"/>
      <c r="F97" s="53"/>
      <c r="G97" s="54"/>
      <c r="H97" s="53" t="s">
        <v>396</v>
      </c>
      <c r="J97" s="42"/>
    </row>
    <row r="98" spans="3:10" x14ac:dyDescent="0.2">
      <c r="G98" s="54"/>
      <c r="H98" s="53"/>
      <c r="I98" s="101"/>
    </row>
    <row r="99" spans="3:10" x14ac:dyDescent="0.2">
      <c r="G99" s="54"/>
      <c r="H99" s="53"/>
    </row>
    <row r="100" spans="3:10" x14ac:dyDescent="0.2">
      <c r="G100" s="54"/>
      <c r="H100" s="53"/>
    </row>
    <row r="101" spans="3:10" x14ac:dyDescent="0.2">
      <c r="H101" s="53"/>
    </row>
  </sheetData>
  <mergeCells count="6">
    <mergeCell ref="C87:F87"/>
    <mergeCell ref="A1:G1"/>
    <mergeCell ref="A3:F3"/>
    <mergeCell ref="A9:F9"/>
    <mergeCell ref="A20:F20"/>
    <mergeCell ref="A69:D69"/>
  </mergeCells>
  <conditionalFormatting sqref="G66:G67">
    <cfRule type="cellIs" dxfId="359" priority="1" operator="lessThan">
      <formula>0</formula>
    </cfRule>
  </conditionalFormatting>
  <conditionalFormatting sqref="C22">
    <cfRule type="duplicateValues" dxfId="358" priority="2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F00-000000000000}">
  <sheetPr codeName="Sheet407">
    <pageSetUpPr fitToPage="1"/>
  </sheetPr>
  <dimension ref="A1:N105"/>
  <sheetViews>
    <sheetView topLeftCell="A16" zoomScaleNormal="100" workbookViewId="0">
      <selection activeCell="E38" sqref="E38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1377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45156</v>
      </c>
      <c r="B5" s="9" t="s">
        <v>6</v>
      </c>
      <c r="C5" s="10" t="s">
        <v>7</v>
      </c>
      <c r="D5" s="11"/>
      <c r="E5" s="12">
        <v>1479944.54</v>
      </c>
      <c r="F5" s="12"/>
      <c r="G5" s="1"/>
      <c r="H5" s="112"/>
      <c r="I5" s="112"/>
    </row>
    <row r="6" spans="1:10" s="2" customFormat="1" ht="14.25" customHeight="1" x14ac:dyDescent="0.4">
      <c r="A6" s="89">
        <v>45156</v>
      </c>
      <c r="B6" s="9" t="s">
        <v>6</v>
      </c>
      <c r="C6" s="10" t="s">
        <v>683</v>
      </c>
      <c r="D6" s="11" t="s">
        <v>13</v>
      </c>
      <c r="E6" s="12">
        <v>568001.19999999995</v>
      </c>
      <c r="F6" s="12"/>
      <c r="G6" s="1"/>
      <c r="H6" s="112"/>
      <c r="I6" s="112"/>
    </row>
    <row r="7" spans="1:10" s="2" customFormat="1" ht="12.75" customHeight="1" x14ac:dyDescent="0.4">
      <c r="D7" s="15" t="s">
        <v>8</v>
      </c>
      <c r="E7" s="16">
        <f>SUM(E5:E6)</f>
        <v>2047945.74</v>
      </c>
      <c r="F7" s="16">
        <f>SUM(F5:F5)</f>
        <v>0</v>
      </c>
      <c r="G7" s="1"/>
      <c r="H7" s="112"/>
      <c r="I7" s="112"/>
    </row>
    <row r="8" spans="1:10" s="2" customFormat="1" ht="12.75" customHeight="1" x14ac:dyDescent="0.4">
      <c r="A8" s="17"/>
      <c r="B8" s="18"/>
      <c r="C8" s="19" t="s">
        <v>9</v>
      </c>
      <c r="D8" s="20"/>
      <c r="E8" s="21">
        <f>+E7-F7</f>
        <v>2047945.74</v>
      </c>
      <c r="F8" s="22"/>
      <c r="G8" s="23"/>
      <c r="H8" s="112"/>
      <c r="I8" s="112"/>
      <c r="J8" s="13"/>
    </row>
    <row r="9" spans="1:10" ht="12.75" customHeight="1" x14ac:dyDescent="0.4">
      <c r="H9" s="112"/>
      <c r="I9" s="112"/>
    </row>
    <row r="10" spans="1:10" ht="18" customHeight="1" x14ac:dyDescent="0.4">
      <c r="A10" s="213" t="s">
        <v>1037</v>
      </c>
      <c r="B10" s="213"/>
      <c r="C10" s="213"/>
      <c r="D10" s="213"/>
      <c r="E10" s="213"/>
      <c r="F10" s="213"/>
      <c r="H10" s="112"/>
      <c r="I10" s="112"/>
    </row>
    <row r="11" spans="1:10" ht="12.75" customHeight="1" x14ac:dyDescent="0.4">
      <c r="A11" s="3" t="s">
        <v>1</v>
      </c>
      <c r="B11" s="4" t="s">
        <v>2</v>
      </c>
      <c r="C11" s="5"/>
      <c r="D11" s="6" t="s">
        <v>3</v>
      </c>
      <c r="E11" s="7" t="s">
        <v>4</v>
      </c>
      <c r="F11" s="7" t="s">
        <v>5</v>
      </c>
      <c r="H11" s="112"/>
      <c r="I11" s="112"/>
    </row>
    <row r="12" spans="1:10" s="2" customFormat="1" ht="14.25" customHeight="1" x14ac:dyDescent="0.2">
      <c r="A12" s="89">
        <v>45156</v>
      </c>
      <c r="B12" s="9" t="s">
        <v>6</v>
      </c>
      <c r="C12" s="10" t="s">
        <v>7</v>
      </c>
      <c r="D12" s="11"/>
      <c r="F12" s="12">
        <v>26165558.490000002</v>
      </c>
      <c r="G12" s="1"/>
      <c r="H12" s="130" t="s">
        <v>396</v>
      </c>
      <c r="I12" s="130"/>
    </row>
    <row r="13" spans="1:10" s="70" customFormat="1" ht="12.75" customHeight="1" x14ac:dyDescent="0.2">
      <c r="A13" s="89">
        <v>45156</v>
      </c>
      <c r="B13" s="9" t="s">
        <v>11</v>
      </c>
      <c r="C13" s="76" t="s">
        <v>111</v>
      </c>
      <c r="D13" s="11" t="s">
        <v>29</v>
      </c>
      <c r="E13" s="31"/>
      <c r="F13" s="31">
        <v>18515917.539999999</v>
      </c>
      <c r="G13" s="30"/>
      <c r="I13" s="69"/>
      <c r="J13" s="69"/>
    </row>
    <row r="14" spans="1:10" s="70" customFormat="1" ht="12.75" customHeight="1" x14ac:dyDescent="0.2">
      <c r="A14" s="89">
        <v>45156</v>
      </c>
      <c r="B14" s="9" t="s">
        <v>11</v>
      </c>
      <c r="C14" s="76" t="s">
        <v>631</v>
      </c>
      <c r="D14" s="11" t="s">
        <v>29</v>
      </c>
      <c r="E14" s="31"/>
      <c r="F14" s="31">
        <v>192074</v>
      </c>
      <c r="G14" s="30"/>
      <c r="I14" s="69"/>
      <c r="J14" s="69"/>
    </row>
    <row r="15" spans="1:10" s="70" customFormat="1" ht="12.75" customHeight="1" x14ac:dyDescent="0.2">
      <c r="A15" s="89">
        <v>45156</v>
      </c>
      <c r="B15" s="9" t="s">
        <v>11</v>
      </c>
      <c r="C15" s="76" t="s">
        <v>342</v>
      </c>
      <c r="D15" s="11" t="s">
        <v>29</v>
      </c>
      <c r="E15" s="31"/>
      <c r="F15" s="31">
        <v>159350.24</v>
      </c>
      <c r="G15" s="30"/>
      <c r="I15" s="69"/>
      <c r="J15" s="69"/>
    </row>
    <row r="16" spans="1:10" s="2" customFormat="1" ht="12.75" customHeight="1" x14ac:dyDescent="0.4">
      <c r="D16" s="11" t="s">
        <v>8</v>
      </c>
      <c r="E16" s="16">
        <f>SUM(E13:E15)</f>
        <v>0</v>
      </c>
      <c r="F16" s="16">
        <f>SUM(F12:F15)</f>
        <v>45032900.270000003</v>
      </c>
      <c r="G16" s="1"/>
      <c r="H16" s="112"/>
      <c r="I16" s="112"/>
    </row>
    <row r="17" spans="1:10" s="2" customFormat="1" ht="12.75" customHeight="1" x14ac:dyDescent="0.4">
      <c r="A17" s="17"/>
      <c r="B17" s="18"/>
      <c r="C17" s="96" t="s">
        <v>9</v>
      </c>
      <c r="D17" s="20"/>
      <c r="E17" s="21">
        <f>+F16-E16</f>
        <v>45032900.270000003</v>
      </c>
      <c r="G17" s="23"/>
      <c r="H17" s="112"/>
      <c r="I17" s="112"/>
      <c r="J17" s="13"/>
    </row>
    <row r="18" spans="1:10" s="2" customFormat="1" ht="12.75" customHeight="1" x14ac:dyDescent="0.4">
      <c r="A18" s="24"/>
      <c r="B18" s="1"/>
      <c r="C18" s="14"/>
      <c r="D18" s="25"/>
      <c r="G18" s="23"/>
      <c r="H18" s="112"/>
      <c r="I18" s="112"/>
      <c r="J18" s="13"/>
    </row>
    <row r="19" spans="1:10" s="2" customFormat="1" ht="21.75" customHeight="1" x14ac:dyDescent="0.4">
      <c r="A19" s="214" t="s">
        <v>10</v>
      </c>
      <c r="B19" s="214"/>
      <c r="C19" s="214"/>
      <c r="D19" s="214"/>
      <c r="E19" s="214"/>
      <c r="F19" s="214"/>
      <c r="G19" s="13"/>
      <c r="H19" s="112"/>
      <c r="I19" s="112"/>
      <c r="J19" s="13"/>
    </row>
    <row r="20" spans="1:10" s="2" customFormat="1" ht="12.75" customHeight="1" x14ac:dyDescent="0.4">
      <c r="A20" s="26" t="s">
        <v>1</v>
      </c>
      <c r="B20" s="27" t="s">
        <v>2</v>
      </c>
      <c r="C20" s="5"/>
      <c r="D20" s="6" t="s">
        <v>3</v>
      </c>
      <c r="E20" s="7" t="s">
        <v>4</v>
      </c>
      <c r="F20" s="7" t="s">
        <v>5</v>
      </c>
      <c r="G20" s="23"/>
      <c r="H20" s="112"/>
      <c r="I20" s="112"/>
      <c r="J20" s="13"/>
    </row>
    <row r="21" spans="1:10" s="2" customFormat="1" ht="12.75" customHeight="1" x14ac:dyDescent="0.2">
      <c r="A21" s="89">
        <v>45156</v>
      </c>
      <c r="B21" s="128" t="s">
        <v>11</v>
      </c>
      <c r="C21" s="29" t="s">
        <v>7</v>
      </c>
      <c r="D21" s="25"/>
      <c r="E21" s="31"/>
      <c r="F21" s="2">
        <v>381364021.41000003</v>
      </c>
      <c r="G21" s="30"/>
      <c r="I21" s="13"/>
      <c r="J21" s="13"/>
    </row>
    <row r="22" spans="1:10" s="70" customFormat="1" ht="12.75" customHeight="1" x14ac:dyDescent="0.2">
      <c r="A22" s="89">
        <v>45156</v>
      </c>
      <c r="B22" s="128" t="s">
        <v>6</v>
      </c>
      <c r="C22" s="10" t="s">
        <v>1062</v>
      </c>
      <c r="D22" s="11" t="s">
        <v>13</v>
      </c>
      <c r="E22" s="86">
        <v>395540</v>
      </c>
      <c r="G22" s="30"/>
      <c r="I22" s="69"/>
      <c r="J22" s="69"/>
    </row>
    <row r="23" spans="1:10" s="70" customFormat="1" ht="12.75" customHeight="1" x14ac:dyDescent="0.2">
      <c r="A23" s="89">
        <v>45156</v>
      </c>
      <c r="B23" s="128" t="s">
        <v>6</v>
      </c>
      <c r="C23" s="10" t="s">
        <v>465</v>
      </c>
      <c r="D23" s="11" t="s">
        <v>13</v>
      </c>
      <c r="E23" s="86">
        <v>1174369</v>
      </c>
      <c r="G23" s="30"/>
      <c r="I23" s="69"/>
      <c r="J23" s="69"/>
    </row>
    <row r="24" spans="1:10" s="70" customFormat="1" ht="12.75" customHeight="1" x14ac:dyDescent="0.2">
      <c r="A24" s="89">
        <v>45156</v>
      </c>
      <c r="B24" s="128" t="s">
        <v>6</v>
      </c>
      <c r="C24" s="10" t="s">
        <v>213</v>
      </c>
      <c r="D24" s="11" t="s">
        <v>13</v>
      </c>
      <c r="E24" s="86">
        <v>3556</v>
      </c>
      <c r="G24" s="30"/>
      <c r="I24" s="69"/>
      <c r="J24" s="69"/>
    </row>
    <row r="25" spans="1:10" s="70" customFormat="1" ht="12.75" customHeight="1" x14ac:dyDescent="0.2">
      <c r="A25" s="89">
        <v>45156</v>
      </c>
      <c r="B25" s="128" t="s">
        <v>6</v>
      </c>
      <c r="C25" s="10" t="s">
        <v>1378</v>
      </c>
      <c r="D25" s="11" t="s">
        <v>13</v>
      </c>
      <c r="E25" s="86">
        <v>3439</v>
      </c>
      <c r="G25" s="30"/>
      <c r="I25" s="69"/>
      <c r="J25" s="69"/>
    </row>
    <row r="26" spans="1:10" s="70" customFormat="1" ht="12.75" customHeight="1" x14ac:dyDescent="0.2">
      <c r="A26" s="89">
        <v>45156</v>
      </c>
      <c r="B26" s="128" t="s">
        <v>6</v>
      </c>
      <c r="C26" s="10" t="s">
        <v>993</v>
      </c>
      <c r="D26" s="11" t="s">
        <v>13</v>
      </c>
      <c r="E26" s="86">
        <v>562380</v>
      </c>
      <c r="G26" s="30"/>
      <c r="I26" s="69"/>
      <c r="J26" s="69"/>
    </row>
    <row r="27" spans="1:10" s="70" customFormat="1" ht="12.75" customHeight="1" x14ac:dyDescent="0.2">
      <c r="A27" s="89">
        <v>45156</v>
      </c>
      <c r="B27" s="128" t="s">
        <v>6</v>
      </c>
      <c r="C27" s="10" t="s">
        <v>141</v>
      </c>
      <c r="D27" s="11" t="s">
        <v>13</v>
      </c>
      <c r="E27" s="86">
        <v>2472610</v>
      </c>
      <c r="G27" s="30"/>
      <c r="I27" s="69"/>
      <c r="J27" s="69"/>
    </row>
    <row r="28" spans="1:10" s="70" customFormat="1" ht="12.75" customHeight="1" x14ac:dyDescent="0.2">
      <c r="A28" s="89">
        <v>45156</v>
      </c>
      <c r="B28" s="128" t="s">
        <v>6</v>
      </c>
      <c r="C28" s="10" t="s">
        <v>1333</v>
      </c>
      <c r="D28" s="11" t="s">
        <v>13</v>
      </c>
      <c r="E28" s="86">
        <v>141289</v>
      </c>
      <c r="G28" s="30"/>
      <c r="I28" s="69"/>
      <c r="J28" s="69"/>
    </row>
    <row r="29" spans="1:10" s="70" customFormat="1" ht="12.75" customHeight="1" x14ac:dyDescent="0.2">
      <c r="A29" s="89">
        <v>45156</v>
      </c>
      <c r="B29" s="128" t="s">
        <v>6</v>
      </c>
      <c r="C29" s="10" t="s">
        <v>298</v>
      </c>
      <c r="D29" s="11" t="s">
        <v>13</v>
      </c>
      <c r="E29" s="86">
        <v>1957120</v>
      </c>
      <c r="G29" s="30"/>
      <c r="I29" s="69"/>
      <c r="J29" s="69"/>
    </row>
    <row r="30" spans="1:10" s="70" customFormat="1" ht="12.75" customHeight="1" x14ac:dyDescent="0.2">
      <c r="A30" s="89">
        <v>45156</v>
      </c>
      <c r="B30" s="128" t="s">
        <v>6</v>
      </c>
      <c r="C30" s="10" t="s">
        <v>336</v>
      </c>
      <c r="D30" s="11" t="s">
        <v>13</v>
      </c>
      <c r="E30" s="86">
        <v>2362</v>
      </c>
      <c r="G30" s="30"/>
      <c r="I30" s="69"/>
      <c r="J30" s="69"/>
    </row>
    <row r="31" spans="1:10" s="70" customFormat="1" ht="12.75" customHeight="1" x14ac:dyDescent="0.2">
      <c r="A31" s="89">
        <v>45156</v>
      </c>
      <c r="B31" s="128" t="s">
        <v>6</v>
      </c>
      <c r="C31" s="10" t="s">
        <v>1270</v>
      </c>
      <c r="D31" s="11" t="s">
        <v>13</v>
      </c>
      <c r="E31" s="86">
        <v>640977</v>
      </c>
      <c r="G31" s="30"/>
      <c r="I31" s="69"/>
      <c r="J31" s="69"/>
    </row>
    <row r="32" spans="1:10" s="70" customFormat="1" ht="12.75" customHeight="1" x14ac:dyDescent="0.2">
      <c r="A32" s="89">
        <v>45156</v>
      </c>
      <c r="B32" s="128" t="s">
        <v>6</v>
      </c>
      <c r="C32" s="10" t="s">
        <v>304</v>
      </c>
      <c r="D32" s="11" t="s">
        <v>13</v>
      </c>
      <c r="E32" s="86">
        <v>824407</v>
      </c>
      <c r="G32" s="30"/>
      <c r="I32" s="69"/>
      <c r="J32" s="69"/>
    </row>
    <row r="33" spans="1:10" s="70" customFormat="1" ht="12.75" customHeight="1" x14ac:dyDescent="0.2">
      <c r="A33" s="89">
        <v>45156</v>
      </c>
      <c r="B33" s="128" t="s">
        <v>6</v>
      </c>
      <c r="C33" s="10" t="s">
        <v>1381</v>
      </c>
      <c r="D33" s="11" t="s">
        <v>13</v>
      </c>
      <c r="E33" s="86">
        <v>6248</v>
      </c>
      <c r="G33" s="30"/>
      <c r="I33" s="69"/>
      <c r="J33" s="69"/>
    </row>
    <row r="34" spans="1:10" s="70" customFormat="1" ht="12.75" customHeight="1" x14ac:dyDescent="0.2">
      <c r="A34" s="89">
        <v>45156</v>
      </c>
      <c r="B34" s="128" t="s">
        <v>6</v>
      </c>
      <c r="C34" s="10" t="s">
        <v>1382</v>
      </c>
      <c r="D34" s="11" t="s">
        <v>13</v>
      </c>
      <c r="E34" s="86">
        <v>50000</v>
      </c>
      <c r="G34" s="30"/>
      <c r="I34" s="69"/>
      <c r="J34" s="69"/>
    </row>
    <row r="35" spans="1:10" s="70" customFormat="1" ht="12.75" customHeight="1" x14ac:dyDescent="0.2">
      <c r="A35" s="89">
        <v>45156</v>
      </c>
      <c r="B35" s="128" t="s">
        <v>6</v>
      </c>
      <c r="C35" s="10" t="s">
        <v>15</v>
      </c>
      <c r="D35" s="11" t="s">
        <v>13</v>
      </c>
      <c r="E35" s="86">
        <v>3657</v>
      </c>
      <c r="G35" s="30"/>
      <c r="I35" s="69"/>
      <c r="J35" s="69"/>
    </row>
    <row r="36" spans="1:10" s="70" customFormat="1" ht="12.75" customHeight="1" x14ac:dyDescent="0.2">
      <c r="A36" s="89">
        <v>45156</v>
      </c>
      <c r="B36" s="128" t="s">
        <v>6</v>
      </c>
      <c r="C36" s="10" t="s">
        <v>19</v>
      </c>
      <c r="D36" s="11" t="s">
        <v>13</v>
      </c>
      <c r="E36" s="86">
        <v>2745934</v>
      </c>
      <c r="G36" s="30"/>
      <c r="I36" s="69"/>
      <c r="J36" s="69"/>
    </row>
    <row r="37" spans="1:10" s="70" customFormat="1" ht="12.75" customHeight="1" x14ac:dyDescent="0.2">
      <c r="A37" s="89">
        <v>45156</v>
      </c>
      <c r="B37" s="128" t="s">
        <v>6</v>
      </c>
      <c r="C37" s="10" t="s">
        <v>332</v>
      </c>
      <c r="D37" s="11" t="s">
        <v>13</v>
      </c>
      <c r="E37" s="86">
        <v>78046</v>
      </c>
      <c r="G37" s="30"/>
      <c r="I37" s="69"/>
      <c r="J37" s="69"/>
    </row>
    <row r="38" spans="1:10" s="70" customFormat="1" ht="12.75" customHeight="1" x14ac:dyDescent="0.2">
      <c r="A38" s="89">
        <v>45156</v>
      </c>
      <c r="B38" s="128" t="s">
        <v>6</v>
      </c>
      <c r="C38" s="10" t="s">
        <v>459</v>
      </c>
      <c r="D38" s="11" t="s">
        <v>13</v>
      </c>
      <c r="E38" s="86">
        <v>5199.51</v>
      </c>
      <c r="G38" s="30"/>
      <c r="I38" s="69"/>
      <c r="J38" s="69"/>
    </row>
    <row r="39" spans="1:10" s="70" customFormat="1" ht="12.75" customHeight="1" x14ac:dyDescent="0.2">
      <c r="A39" s="89">
        <v>45156</v>
      </c>
      <c r="B39" s="128" t="s">
        <v>6</v>
      </c>
      <c r="C39" s="10" t="s">
        <v>947</v>
      </c>
      <c r="D39" s="11" t="s">
        <v>13</v>
      </c>
      <c r="E39" s="86">
        <v>157600</v>
      </c>
      <c r="G39" s="30"/>
      <c r="I39" s="69"/>
      <c r="J39" s="69"/>
    </row>
    <row r="40" spans="1:10" s="70" customFormat="1" ht="12.75" customHeight="1" x14ac:dyDescent="0.2">
      <c r="A40" s="89">
        <v>45156</v>
      </c>
      <c r="B40" s="128" t="s">
        <v>6</v>
      </c>
      <c r="C40" s="10" t="s">
        <v>1383</v>
      </c>
      <c r="D40" s="11" t="s">
        <v>13</v>
      </c>
      <c r="E40" s="86">
        <v>5000000</v>
      </c>
      <c r="G40" s="30"/>
      <c r="I40" s="69"/>
      <c r="J40" s="69"/>
    </row>
    <row r="41" spans="1:10" s="70" customFormat="1" ht="12.75" customHeight="1" x14ac:dyDescent="0.2">
      <c r="A41" s="89">
        <v>45156</v>
      </c>
      <c r="B41" s="128" t="s">
        <v>11</v>
      </c>
      <c r="C41" s="10" t="s">
        <v>64</v>
      </c>
      <c r="D41" s="11" t="s">
        <v>29</v>
      </c>
      <c r="E41" s="86"/>
      <c r="F41" s="70">
        <v>6209.16</v>
      </c>
      <c r="G41" s="30"/>
      <c r="I41" s="69"/>
      <c r="J41" s="69"/>
    </row>
    <row r="42" spans="1:10" s="69" customFormat="1" ht="12.75" customHeight="1" x14ac:dyDescent="0.2">
      <c r="A42" s="89">
        <v>45156</v>
      </c>
      <c r="B42" s="128" t="s">
        <v>11</v>
      </c>
      <c r="C42" s="10" t="s">
        <v>125</v>
      </c>
      <c r="D42" s="11" t="s">
        <v>29</v>
      </c>
      <c r="E42" s="86"/>
      <c r="F42" s="70">
        <v>481261</v>
      </c>
      <c r="G42" s="100"/>
    </row>
    <row r="43" spans="1:10" s="69" customFormat="1" ht="12.75" customHeight="1" x14ac:dyDescent="0.2">
      <c r="A43" s="89">
        <v>45156</v>
      </c>
      <c r="B43" s="128" t="s">
        <v>11</v>
      </c>
      <c r="C43" s="10" t="s">
        <v>289</v>
      </c>
      <c r="D43" s="11" t="s">
        <v>29</v>
      </c>
      <c r="E43" s="86"/>
      <c r="F43" s="70">
        <v>300000</v>
      </c>
      <c r="G43" s="100"/>
    </row>
    <row r="44" spans="1:10" s="70" customFormat="1" ht="12.75" customHeight="1" x14ac:dyDescent="0.2">
      <c r="A44" s="89">
        <v>45156</v>
      </c>
      <c r="B44" s="128" t="s">
        <v>11</v>
      </c>
      <c r="C44" s="10" t="s">
        <v>401</v>
      </c>
      <c r="D44" s="11" t="s">
        <v>29</v>
      </c>
      <c r="E44" s="86"/>
      <c r="F44" s="70">
        <v>135000</v>
      </c>
      <c r="G44" s="30"/>
      <c r="I44" s="69"/>
      <c r="J44" s="69"/>
    </row>
    <row r="45" spans="1:10" s="70" customFormat="1" ht="12.75" customHeight="1" x14ac:dyDescent="0.2">
      <c r="A45" s="89">
        <v>45156</v>
      </c>
      <c r="B45" s="128" t="s">
        <v>11</v>
      </c>
      <c r="C45" s="10" t="s">
        <v>1379</v>
      </c>
      <c r="D45" s="11" t="s">
        <v>29</v>
      </c>
      <c r="E45" s="86"/>
      <c r="F45" s="70">
        <v>360000</v>
      </c>
      <c r="G45" s="30"/>
      <c r="I45" s="69"/>
      <c r="J45" s="69"/>
    </row>
    <row r="46" spans="1:10" s="70" customFormat="1" ht="12.75" customHeight="1" x14ac:dyDescent="0.2">
      <c r="A46" s="89">
        <v>45156</v>
      </c>
      <c r="B46" s="128" t="s">
        <v>11</v>
      </c>
      <c r="C46" s="10" t="s">
        <v>1380</v>
      </c>
      <c r="D46" s="11" t="s">
        <v>29</v>
      </c>
      <c r="E46" s="86"/>
      <c r="F46" s="70">
        <v>198600</v>
      </c>
      <c r="G46" s="30"/>
      <c r="I46" s="69"/>
      <c r="J46" s="69"/>
    </row>
    <row r="47" spans="1:10" s="70" customFormat="1" ht="12.75" customHeight="1" x14ac:dyDescent="0.2">
      <c r="A47" s="89">
        <v>45156</v>
      </c>
      <c r="B47" s="128" t="s">
        <v>11</v>
      </c>
      <c r="C47" s="10" t="s">
        <v>764</v>
      </c>
      <c r="D47" s="11" t="s">
        <v>29</v>
      </c>
      <c r="E47" s="86"/>
      <c r="F47" s="70">
        <v>1108522.21</v>
      </c>
      <c r="G47" s="30"/>
      <c r="I47" s="69"/>
      <c r="J47" s="69"/>
    </row>
    <row r="48" spans="1:10" s="70" customFormat="1" ht="12.75" customHeight="1" x14ac:dyDescent="0.2">
      <c r="A48" s="89">
        <v>45156</v>
      </c>
      <c r="B48" s="128" t="s">
        <v>11</v>
      </c>
      <c r="C48" s="10" t="s">
        <v>760</v>
      </c>
      <c r="D48" s="11" t="s">
        <v>29</v>
      </c>
      <c r="E48" s="86"/>
      <c r="F48" s="70">
        <v>2080908.9</v>
      </c>
      <c r="G48" s="30"/>
      <c r="I48" s="69"/>
      <c r="J48" s="69"/>
    </row>
    <row r="49" spans="1:14" s="70" customFormat="1" ht="12.75" customHeight="1" x14ac:dyDescent="0.2">
      <c r="A49" s="89">
        <v>45156</v>
      </c>
      <c r="B49" s="128" t="s">
        <v>11</v>
      </c>
      <c r="C49" s="10" t="s">
        <v>749</v>
      </c>
      <c r="D49" s="11" t="s">
        <v>29</v>
      </c>
      <c r="E49" s="86"/>
      <c r="F49" s="70">
        <v>1257000.25</v>
      </c>
      <c r="G49" s="30"/>
      <c r="I49" s="69"/>
      <c r="J49" s="69"/>
      <c r="K49" s="70" t="s">
        <v>1376</v>
      </c>
    </row>
    <row r="50" spans="1:14" s="2" customFormat="1" ht="12.75" customHeight="1" x14ac:dyDescent="0.2">
      <c r="A50" s="32"/>
      <c r="B50" s="33"/>
      <c r="C50" s="14"/>
      <c r="D50" s="34"/>
      <c r="E50" s="16">
        <f>SUM(E21:E49)</f>
        <v>16224733.51</v>
      </c>
      <c r="F50" s="16">
        <f>SUM(F21:F49)</f>
        <v>387291522.93000001</v>
      </c>
      <c r="G50" s="30"/>
      <c r="H50" s="1"/>
      <c r="I50" s="38">
        <v>371066074.42000002</v>
      </c>
      <c r="J50" s="2" t="s">
        <v>396</v>
      </c>
      <c r="K50" s="92">
        <f>E51-I50</f>
        <v>715</v>
      </c>
      <c r="L50" s="41"/>
      <c r="M50" s="42"/>
    </row>
    <row r="51" spans="1:14" s="2" customFormat="1" ht="12.75" customHeight="1" x14ac:dyDescent="0.2">
      <c r="A51" s="36"/>
      <c r="B51" s="28" t="s">
        <v>11</v>
      </c>
      <c r="C51" s="19" t="s">
        <v>65</v>
      </c>
      <c r="D51" s="37"/>
      <c r="E51" s="38">
        <f>F50-E50</f>
        <v>371066789.42000002</v>
      </c>
      <c r="F51" s="22"/>
      <c r="G51" s="1"/>
      <c r="H51" s="1"/>
      <c r="J51" s="1"/>
      <c r="K51" s="1"/>
      <c r="L51" s="1"/>
      <c r="M51" s="1"/>
    </row>
    <row r="52" spans="1:14" s="2" customFormat="1" ht="12.75" customHeight="1" x14ac:dyDescent="0.2">
      <c r="A52" s="36"/>
      <c r="B52" s="28" t="s">
        <v>66</v>
      </c>
      <c r="C52" s="43" t="s">
        <v>67</v>
      </c>
      <c r="D52" s="43"/>
      <c r="E52" s="12">
        <v>0</v>
      </c>
      <c r="F52" s="22"/>
      <c r="G52" s="1"/>
      <c r="H52" s="40"/>
      <c r="I52" s="45">
        <v>2182.7199999999998</v>
      </c>
      <c r="J52" s="46"/>
      <c r="K52" s="46"/>
      <c r="L52" s="13"/>
      <c r="M52" s="69" t="s">
        <v>396</v>
      </c>
    </row>
    <row r="53" spans="1:14" s="2" customFormat="1" ht="12.75" customHeight="1" x14ac:dyDescent="0.25">
      <c r="A53" s="36"/>
      <c r="B53" s="28"/>
      <c r="C53" s="44" t="s">
        <v>68</v>
      </c>
      <c r="D53" s="43"/>
      <c r="E53" s="7">
        <f>E51+E52</f>
        <v>371066789.42000002</v>
      </c>
      <c r="F53" s="22"/>
      <c r="G53" s="1"/>
      <c r="H53" s="103" t="s">
        <v>69</v>
      </c>
      <c r="I53" s="45">
        <v>52.42</v>
      </c>
      <c r="J53" s="46"/>
      <c r="K53" s="46"/>
      <c r="N53" s="1"/>
    </row>
    <row r="54" spans="1:14" s="2" customFormat="1" x14ac:dyDescent="0.2">
      <c r="A54" s="24"/>
      <c r="B54" s="1"/>
      <c r="C54" s="14"/>
      <c r="D54" s="25"/>
      <c r="E54" s="1"/>
      <c r="H54" s="35" t="s">
        <v>70</v>
      </c>
      <c r="I54" s="45">
        <v>-5.99</v>
      </c>
      <c r="J54" s="46">
        <f>+I55-D57</f>
        <v>0</v>
      </c>
      <c r="M54" s="2" t="s">
        <v>396</v>
      </c>
      <c r="N54" s="1"/>
    </row>
    <row r="55" spans="1:14" x14ac:dyDescent="0.2">
      <c r="C55" s="56"/>
      <c r="D55" s="56"/>
      <c r="E55" s="104"/>
      <c r="I55" s="49">
        <f>SUM(I52:I54)</f>
        <v>2229.15</v>
      </c>
      <c r="J55" s="46"/>
      <c r="K55" s="46"/>
      <c r="L55" s="2"/>
      <c r="M55" s="2"/>
      <c r="N55" s="2"/>
    </row>
    <row r="56" spans="1:14" x14ac:dyDescent="0.2">
      <c r="C56" s="78" t="s">
        <v>575</v>
      </c>
      <c r="D56" s="48" t="s">
        <v>576</v>
      </c>
      <c r="E56" s="104"/>
      <c r="I56" s="2"/>
      <c r="J56" s="2"/>
      <c r="K56" s="2"/>
      <c r="L56" s="2"/>
      <c r="M56" s="2"/>
      <c r="N56" s="2"/>
    </row>
    <row r="57" spans="1:14" s="2" customFormat="1" x14ac:dyDescent="0.2">
      <c r="A57" s="24"/>
      <c r="B57" s="1"/>
      <c r="C57" s="47" t="s">
        <v>570</v>
      </c>
      <c r="D57" s="111">
        <v>2229.15</v>
      </c>
      <c r="E57" s="104"/>
      <c r="G57" s="1"/>
      <c r="H57" s="110" t="s">
        <v>581</v>
      </c>
      <c r="N57" s="2" t="s">
        <v>535</v>
      </c>
    </row>
    <row r="58" spans="1:14" s="2" customFormat="1" x14ac:dyDescent="0.2">
      <c r="A58" s="24"/>
      <c r="B58" s="1"/>
      <c r="C58" s="47" t="s">
        <v>931</v>
      </c>
      <c r="D58" s="111">
        <v>266.77</v>
      </c>
      <c r="E58" s="104"/>
      <c r="G58" s="1"/>
      <c r="H58" s="110" t="s">
        <v>580</v>
      </c>
    </row>
    <row r="59" spans="1:14" s="2" customFormat="1" x14ac:dyDescent="0.2">
      <c r="A59" s="24"/>
      <c r="B59" s="1"/>
      <c r="C59" s="47" t="s">
        <v>572</v>
      </c>
      <c r="D59" s="111">
        <f>+D89/100000</f>
        <v>99.646689100000003</v>
      </c>
      <c r="E59" s="104"/>
      <c r="G59" s="1"/>
      <c r="H59" s="90" t="s">
        <v>587</v>
      </c>
    </row>
    <row r="60" spans="1:14" s="2" customFormat="1" x14ac:dyDescent="0.2">
      <c r="A60" s="24"/>
      <c r="B60" s="1"/>
      <c r="C60" s="108" t="s">
        <v>578</v>
      </c>
      <c r="D60" s="48">
        <f>SUM(D57:D59)</f>
        <v>2595.5666891000001</v>
      </c>
      <c r="E60" s="104"/>
      <c r="G60" s="1"/>
    </row>
    <row r="61" spans="1:14" s="2" customFormat="1" x14ac:dyDescent="0.2">
      <c r="A61" s="24"/>
      <c r="B61" s="1"/>
      <c r="C61" s="47"/>
      <c r="D61" s="107"/>
      <c r="E61" s="104"/>
      <c r="G61" s="1"/>
    </row>
    <row r="62" spans="1:14" s="2" customFormat="1" x14ac:dyDescent="0.2">
      <c r="A62" s="24"/>
      <c r="B62" s="1"/>
      <c r="C62" s="47" t="s">
        <v>932</v>
      </c>
      <c r="D62" s="111">
        <v>27.61</v>
      </c>
      <c r="E62" s="104"/>
      <c r="G62" s="1"/>
      <c r="H62" s="110" t="s">
        <v>581</v>
      </c>
    </row>
    <row r="63" spans="1:14" s="2" customFormat="1" x14ac:dyDescent="0.2">
      <c r="A63" s="24"/>
      <c r="B63" s="1"/>
      <c r="C63" s="136" t="s">
        <v>1142</v>
      </c>
      <c r="D63" s="111">
        <v>108.32</v>
      </c>
      <c r="E63" s="104"/>
      <c r="G63" s="1"/>
      <c r="H63" s="110" t="s">
        <v>581</v>
      </c>
      <c r="J63" s="114" t="s">
        <v>713</v>
      </c>
    </row>
    <row r="64" spans="1:14" s="2" customFormat="1" x14ac:dyDescent="0.2">
      <c r="A64" s="24"/>
      <c r="B64" s="1"/>
      <c r="C64" s="78" t="s">
        <v>579</v>
      </c>
      <c r="D64" s="109">
        <f>D62+D63</f>
        <v>135.93</v>
      </c>
      <c r="E64" s="104"/>
      <c r="G64" s="1"/>
      <c r="I64" s="113"/>
      <c r="J64" s="113" t="s">
        <v>709</v>
      </c>
      <c r="K64" s="113" t="s">
        <v>710</v>
      </c>
      <c r="L64" s="113" t="s">
        <v>711</v>
      </c>
      <c r="M64" s="113" t="s">
        <v>712</v>
      </c>
    </row>
    <row r="65" spans="1:13" s="2" customFormat="1" x14ac:dyDescent="0.2">
      <c r="A65" s="24"/>
      <c r="B65" s="1"/>
      <c r="C65" s="105"/>
      <c r="D65" s="106"/>
      <c r="E65" s="104"/>
      <c r="G65" s="1"/>
      <c r="I65" s="113" t="s">
        <v>706</v>
      </c>
      <c r="J65" s="115"/>
      <c r="K65" s="115">
        <v>968.99</v>
      </c>
      <c r="L65" s="115">
        <v>968.99</v>
      </c>
      <c r="M65" s="113">
        <f>+J65+L65-K65</f>
        <v>0</v>
      </c>
    </row>
    <row r="66" spans="1:13" s="2" customFormat="1" x14ac:dyDescent="0.2">
      <c r="A66" s="24"/>
      <c r="B66" s="1"/>
      <c r="C66" s="78" t="s">
        <v>577</v>
      </c>
      <c r="D66" s="109">
        <f>D57+D64</f>
        <v>2365.08</v>
      </c>
      <c r="E66" s="104"/>
      <c r="G66" s="1"/>
      <c r="I66" s="113" t="s">
        <v>707</v>
      </c>
      <c r="J66" s="115">
        <v>183.1</v>
      </c>
      <c r="K66" s="115">
        <v>3191.3</v>
      </c>
      <c r="L66" s="115">
        <v>3578.77</v>
      </c>
      <c r="M66" s="113">
        <f>+J66+L66-K66</f>
        <v>570.56999999999971</v>
      </c>
    </row>
    <row r="67" spans="1:13" s="2" customFormat="1" x14ac:dyDescent="0.2">
      <c r="A67" s="24"/>
      <c r="B67" s="1"/>
      <c r="C67" s="56"/>
      <c r="D67" s="56"/>
      <c r="E67" s="104"/>
      <c r="G67" s="1"/>
      <c r="I67" s="113" t="s">
        <v>708</v>
      </c>
      <c r="J67" s="115">
        <v>1371.02</v>
      </c>
      <c r="K67" s="115">
        <v>13516.45</v>
      </c>
      <c r="L67" s="115">
        <v>13105.87</v>
      </c>
      <c r="M67" s="113">
        <f>+J67+L67-K67</f>
        <v>960.44000000000051</v>
      </c>
    </row>
    <row r="68" spans="1:13" s="2" customFormat="1" ht="38.25" x14ac:dyDescent="0.2">
      <c r="A68" s="24"/>
      <c r="B68" s="1"/>
      <c r="C68" s="79" t="str">
        <f>"Particulars ( 01-04-2021 to "&amp;TEXT(A5,"dd-mm-yyyy")&amp;" )"</f>
        <v>Particulars ( 01-04-2021 to 18-08-2023 )</v>
      </c>
      <c r="D68" s="80" t="s">
        <v>73</v>
      </c>
      <c r="E68" s="80" t="s">
        <v>74</v>
      </c>
      <c r="F68" s="81" t="s">
        <v>75</v>
      </c>
      <c r="G68" s="80" t="s">
        <v>76</v>
      </c>
      <c r="J68" s="118">
        <f>SUM(J65:J67)</f>
        <v>1554.12</v>
      </c>
      <c r="K68" s="118">
        <f>SUM(K65:K67)</f>
        <v>17676.740000000002</v>
      </c>
      <c r="L68" s="118">
        <f>SUM(L65:L67)</f>
        <v>17653.63</v>
      </c>
      <c r="M68" s="118">
        <f>SUM(M65:M67)</f>
        <v>1531.0100000000002</v>
      </c>
    </row>
    <row r="69" spans="1:13" s="2" customFormat="1" x14ac:dyDescent="0.2">
      <c r="A69" s="24"/>
      <c r="B69" s="1"/>
      <c r="C69" s="50" t="s">
        <v>444</v>
      </c>
      <c r="D69" s="55">
        <f>+L65+L66+J66</f>
        <v>4730.8600000000006</v>
      </c>
      <c r="E69" s="55">
        <f>+K65+K66</f>
        <v>4160.29</v>
      </c>
      <c r="F69" s="55">
        <f>+D69-E69</f>
        <v>570.57000000000062</v>
      </c>
      <c r="G69" s="55">
        <f>1500-F69</f>
        <v>929.42999999999938</v>
      </c>
      <c r="H69" s="2" t="s">
        <v>396</v>
      </c>
    </row>
    <row r="70" spans="1:13" s="2" customFormat="1" x14ac:dyDescent="0.2">
      <c r="A70" s="24"/>
      <c r="B70" s="1"/>
      <c r="C70" s="50" t="s">
        <v>71</v>
      </c>
      <c r="D70" s="55">
        <f>+J67+L67</f>
        <v>14476.890000000001</v>
      </c>
      <c r="E70" s="55">
        <f>+K67</f>
        <v>13516.45</v>
      </c>
      <c r="F70" s="55">
        <f>+D70-E70</f>
        <v>960.44000000000051</v>
      </c>
      <c r="G70" s="55">
        <f>1500+700-F70</f>
        <v>1239.5599999999995</v>
      </c>
      <c r="H70" s="2" t="s">
        <v>396</v>
      </c>
    </row>
    <row r="71" spans="1:13" s="2" customFormat="1" x14ac:dyDescent="0.2">
      <c r="A71" s="24"/>
      <c r="B71" s="1"/>
      <c r="C71" s="14"/>
      <c r="D71" s="56"/>
      <c r="E71" s="13"/>
      <c r="G71" s="1"/>
    </row>
    <row r="72" spans="1:13" s="2" customFormat="1" x14ac:dyDescent="0.2">
      <c r="A72" s="215" t="s">
        <v>80</v>
      </c>
      <c r="B72" s="216"/>
      <c r="C72" s="216"/>
      <c r="D72" s="217"/>
      <c r="E72" s="69"/>
      <c r="F72" s="70"/>
      <c r="G72" s="1"/>
      <c r="H72" s="53"/>
    </row>
    <row r="73" spans="1:13" s="2" customFormat="1" x14ac:dyDescent="0.2">
      <c r="A73" s="71" t="s">
        <v>81</v>
      </c>
      <c r="B73" s="71"/>
      <c r="C73" s="72" t="s">
        <v>82</v>
      </c>
      <c r="D73" s="73" t="s">
        <v>83</v>
      </c>
      <c r="E73" s="69"/>
      <c r="F73" s="70"/>
      <c r="H73" s="53"/>
    </row>
    <row r="74" spans="1:13" s="2" customFormat="1" x14ac:dyDescent="0.2">
      <c r="A74" s="87">
        <v>45139</v>
      </c>
      <c r="B74" s="120" t="s">
        <v>1052</v>
      </c>
      <c r="C74" s="75" t="s">
        <v>85</v>
      </c>
      <c r="D74" s="88">
        <v>552343</v>
      </c>
      <c r="G74" s="1"/>
      <c r="L74" s="1"/>
      <c r="M74" s="1"/>
    </row>
    <row r="75" spans="1:13" s="2" customFormat="1" x14ac:dyDescent="0.2">
      <c r="A75" s="87">
        <v>45140</v>
      </c>
      <c r="B75" s="120" t="s">
        <v>1052</v>
      </c>
      <c r="C75" s="75" t="s">
        <v>270</v>
      </c>
      <c r="D75" s="88">
        <v>244404</v>
      </c>
      <c r="G75" s="1"/>
      <c r="L75" s="1"/>
      <c r="M75" s="1"/>
    </row>
    <row r="76" spans="1:13" s="2" customFormat="1" x14ac:dyDescent="0.2">
      <c r="A76" s="87">
        <v>45140</v>
      </c>
      <c r="B76" s="120" t="s">
        <v>1052</v>
      </c>
      <c r="C76" s="75" t="s">
        <v>270</v>
      </c>
      <c r="D76" s="88">
        <v>550256</v>
      </c>
      <c r="G76" s="1"/>
      <c r="L76" s="1"/>
      <c r="M76" s="1"/>
    </row>
    <row r="77" spans="1:13" s="2" customFormat="1" x14ac:dyDescent="0.2">
      <c r="A77" s="87">
        <v>45140</v>
      </c>
      <c r="B77" s="120" t="s">
        <v>1052</v>
      </c>
      <c r="C77" s="75" t="s">
        <v>270</v>
      </c>
      <c r="D77" s="88">
        <v>191589</v>
      </c>
      <c r="G77" s="1"/>
      <c r="L77" s="1"/>
      <c r="M77" s="1"/>
    </row>
    <row r="78" spans="1:13" s="2" customFormat="1" x14ac:dyDescent="0.2">
      <c r="A78" s="87">
        <v>45140</v>
      </c>
      <c r="B78" s="120" t="s">
        <v>1052</v>
      </c>
      <c r="C78" s="75" t="s">
        <v>270</v>
      </c>
      <c r="D78" s="88">
        <v>74415.91</v>
      </c>
      <c r="G78" s="1"/>
      <c r="L78" s="1"/>
      <c r="M78" s="1"/>
    </row>
    <row r="79" spans="1:13" s="2" customFormat="1" x14ac:dyDescent="0.2">
      <c r="A79" s="87">
        <v>45140</v>
      </c>
      <c r="B79" s="120" t="s">
        <v>1052</v>
      </c>
      <c r="C79" s="75" t="s">
        <v>271</v>
      </c>
      <c r="D79" s="88">
        <v>454781</v>
      </c>
      <c r="G79" s="1"/>
      <c r="L79" s="1"/>
      <c r="M79" s="1"/>
    </row>
    <row r="80" spans="1:13" s="2" customFormat="1" x14ac:dyDescent="0.2">
      <c r="A80" s="87">
        <v>45141</v>
      </c>
      <c r="B80" s="120" t="s">
        <v>1052</v>
      </c>
      <c r="C80" s="75" t="s">
        <v>909</v>
      </c>
      <c r="D80" s="88">
        <v>910969</v>
      </c>
      <c r="G80" s="1"/>
      <c r="L80" s="1"/>
      <c r="M80" s="1"/>
    </row>
    <row r="81" spans="1:13" s="2" customFormat="1" x14ac:dyDescent="0.2">
      <c r="A81" s="87">
        <v>45141</v>
      </c>
      <c r="B81" s="120" t="s">
        <v>1052</v>
      </c>
      <c r="C81" s="75" t="s">
        <v>909</v>
      </c>
      <c r="D81" s="88">
        <v>1424635</v>
      </c>
      <c r="G81" s="1"/>
      <c r="L81" s="1"/>
      <c r="M81" s="1"/>
    </row>
    <row r="82" spans="1:13" s="2" customFormat="1" x14ac:dyDescent="0.2">
      <c r="A82" s="87">
        <v>45143</v>
      </c>
      <c r="B82" s="120" t="s">
        <v>1052</v>
      </c>
      <c r="C82" s="75" t="s">
        <v>85</v>
      </c>
      <c r="D82" s="88">
        <v>644288</v>
      </c>
      <c r="G82" s="1"/>
      <c r="L82" s="1"/>
      <c r="M82" s="1"/>
    </row>
    <row r="83" spans="1:13" s="2" customFormat="1" x14ac:dyDescent="0.2">
      <c r="A83" s="87">
        <v>45146</v>
      </c>
      <c r="B83" s="120" t="s">
        <v>1052</v>
      </c>
      <c r="C83" s="75" t="s">
        <v>85</v>
      </c>
      <c r="D83" s="88">
        <v>136333</v>
      </c>
      <c r="G83" s="1"/>
      <c r="L83" s="1"/>
      <c r="M83" s="1"/>
    </row>
    <row r="84" spans="1:13" s="2" customFormat="1" x14ac:dyDescent="0.2">
      <c r="A84" s="87">
        <v>45146</v>
      </c>
      <c r="B84" s="120" t="s">
        <v>1052</v>
      </c>
      <c r="C84" s="75" t="s">
        <v>1343</v>
      </c>
      <c r="D84" s="88">
        <v>2000000</v>
      </c>
      <c r="G84" s="1"/>
      <c r="L84" s="1"/>
      <c r="M84" s="1"/>
    </row>
    <row r="85" spans="1:13" s="2" customFormat="1" x14ac:dyDescent="0.2">
      <c r="A85" s="87">
        <v>45152</v>
      </c>
      <c r="B85" s="120" t="s">
        <v>1052</v>
      </c>
      <c r="C85" s="75" t="s">
        <v>270</v>
      </c>
      <c r="D85" s="88">
        <v>26225</v>
      </c>
      <c r="G85" s="1"/>
      <c r="L85" s="1"/>
      <c r="M85" s="1"/>
    </row>
    <row r="86" spans="1:13" s="2" customFormat="1" x14ac:dyDescent="0.2">
      <c r="A86" s="87">
        <v>45152</v>
      </c>
      <c r="B86" s="120" t="s">
        <v>1052</v>
      </c>
      <c r="C86" s="75" t="s">
        <v>270</v>
      </c>
      <c r="D86" s="88">
        <v>5664</v>
      </c>
      <c r="G86" s="1"/>
      <c r="L86" s="1"/>
      <c r="M86" s="1"/>
    </row>
    <row r="87" spans="1:13" s="2" customFormat="1" x14ac:dyDescent="0.2">
      <c r="A87" s="87">
        <v>45152</v>
      </c>
      <c r="B87" s="120" t="s">
        <v>1052</v>
      </c>
      <c r="C87" s="75" t="s">
        <v>270</v>
      </c>
      <c r="D87" s="88">
        <v>47499</v>
      </c>
      <c r="G87" s="1"/>
      <c r="L87" s="1"/>
      <c r="M87" s="1"/>
    </row>
    <row r="88" spans="1:13" s="2" customFormat="1" x14ac:dyDescent="0.2">
      <c r="A88" s="87">
        <v>45154</v>
      </c>
      <c r="B88" s="120" t="s">
        <v>1052</v>
      </c>
      <c r="C88" s="75" t="s">
        <v>271</v>
      </c>
      <c r="D88" s="88">
        <v>2701267</v>
      </c>
      <c r="G88" s="1"/>
      <c r="L88" s="1"/>
      <c r="M88" s="1"/>
    </row>
    <row r="89" spans="1:13" s="2" customFormat="1" x14ac:dyDescent="0.2">
      <c r="A89" s="87"/>
      <c r="B89" s="74"/>
      <c r="C89" s="75"/>
      <c r="D89" s="51">
        <f>SUM(D74:D88)</f>
        <v>9964668.9100000001</v>
      </c>
      <c r="F89" s="2" t="s">
        <v>396</v>
      </c>
      <c r="G89" s="1"/>
      <c r="L89" s="1"/>
      <c r="M89" s="1"/>
    </row>
    <row r="90" spans="1:13" s="2" customFormat="1" x14ac:dyDescent="0.2">
      <c r="A90" s="24"/>
      <c r="B90" s="1"/>
      <c r="C90" s="14"/>
      <c r="D90" s="56"/>
      <c r="E90" s="13"/>
      <c r="G90" s="1"/>
      <c r="L90" s="1"/>
      <c r="M90" s="1"/>
    </row>
    <row r="91" spans="1:13" s="2" customFormat="1" x14ac:dyDescent="0.2">
      <c r="A91" s="24"/>
      <c r="B91" s="1"/>
      <c r="C91" s="218" t="s">
        <v>77</v>
      </c>
      <c r="D91" s="219"/>
      <c r="E91" s="219"/>
      <c r="F91" s="220"/>
      <c r="G91" s="1"/>
      <c r="L91" s="1"/>
      <c r="M91" s="1"/>
    </row>
    <row r="92" spans="1:13" s="2" customFormat="1" x14ac:dyDescent="0.2">
      <c r="A92" s="24"/>
      <c r="B92" s="1"/>
      <c r="C92" s="50"/>
      <c r="D92" s="57" t="s">
        <v>78</v>
      </c>
      <c r="E92" s="58" t="s">
        <v>79</v>
      </c>
      <c r="F92" s="57" t="s">
        <v>72</v>
      </c>
      <c r="G92" s="1"/>
      <c r="I92" s="1"/>
      <c r="J92" s="1"/>
      <c r="K92" s="1"/>
      <c r="L92" s="1"/>
      <c r="M92" s="1"/>
    </row>
    <row r="93" spans="1:13" s="2" customFormat="1" x14ac:dyDescent="0.2">
      <c r="A93" s="24"/>
      <c r="B93" s="1"/>
      <c r="C93" s="59" t="str">
        <f>"01-08-2023 to "&amp;TEXT(A5-2,"dd-mm-yyyy")</f>
        <v>01-08-2023 to 16-08-2023</v>
      </c>
      <c r="D93" s="60">
        <v>1788.53</v>
      </c>
      <c r="E93" s="60">
        <v>149.44</v>
      </c>
      <c r="F93" s="61">
        <f>SUM(D93:E93)</f>
        <v>1937.97</v>
      </c>
      <c r="G93" s="1"/>
    </row>
    <row r="94" spans="1:13" s="2" customFormat="1" x14ac:dyDescent="0.2">
      <c r="A94" s="24"/>
      <c r="B94" s="1"/>
      <c r="C94" s="62" t="str">
        <f>TEXT(A5-1,"dd-mm-yyyy")</f>
        <v>17-08-2023</v>
      </c>
      <c r="D94" s="60">
        <v>153.72</v>
      </c>
      <c r="E94" s="60">
        <v>3.27</v>
      </c>
      <c r="F94" s="61">
        <f>SUM(D94:E94)</f>
        <v>156.99</v>
      </c>
      <c r="G94" s="54"/>
      <c r="I94" s="1"/>
      <c r="J94" s="1"/>
      <c r="K94" s="1"/>
      <c r="L94" s="1"/>
      <c r="M94" s="1"/>
    </row>
    <row r="95" spans="1:13" s="2" customFormat="1" ht="13.5" thickBot="1" x14ac:dyDescent="0.25">
      <c r="A95" s="24"/>
      <c r="B95" s="1"/>
      <c r="C95" s="63" t="str">
        <f>"01-08-2023 to "&amp;TEXT(A5-1,"dd-mm-yyyy")</f>
        <v>01-08-2023 to 17-08-2023</v>
      </c>
      <c r="D95" s="64">
        <f>SUM(D93:D94)</f>
        <v>1942.25</v>
      </c>
      <c r="E95" s="64">
        <f>SUM(E93:E94)</f>
        <v>152.71</v>
      </c>
      <c r="F95" s="64">
        <f>SUM(F93:F94)</f>
        <v>2094.96</v>
      </c>
      <c r="G95" s="54"/>
      <c r="I95" s="1"/>
      <c r="J95" s="1"/>
      <c r="K95" s="1"/>
      <c r="L95" s="1"/>
      <c r="M95" s="1"/>
    </row>
    <row r="96" spans="1:13" s="2" customFormat="1" ht="13.5" thickTop="1" x14ac:dyDescent="0.2">
      <c r="A96" s="24"/>
      <c r="B96" s="1"/>
      <c r="C96" s="62"/>
      <c r="D96" s="65"/>
      <c r="E96" s="66"/>
      <c r="F96" s="67"/>
      <c r="G96" s="54"/>
      <c r="I96" s="1"/>
      <c r="J96" s="1"/>
      <c r="K96" s="1"/>
      <c r="L96" s="1"/>
      <c r="M96" s="1"/>
    </row>
    <row r="97" spans="1:13" s="2" customFormat="1" x14ac:dyDescent="0.2">
      <c r="A97" s="24"/>
      <c r="B97" s="1"/>
      <c r="C97" s="62" t="str">
        <f>"01-04-2023 to " &amp;C94</f>
        <v>01-04-2023 to 17-08-2023</v>
      </c>
      <c r="D97" s="68">
        <f>+D95+20859.39</f>
        <v>22801.64</v>
      </c>
      <c r="E97" s="68">
        <f>+E95+1376.76</f>
        <v>1529.47</v>
      </c>
      <c r="F97" s="68">
        <f>+F95+22236.15</f>
        <v>24331.11</v>
      </c>
      <c r="G97" s="54"/>
      <c r="I97" s="1"/>
      <c r="J97" s="1"/>
      <c r="K97" s="1"/>
      <c r="L97" s="1"/>
      <c r="M97" s="1"/>
    </row>
    <row r="98" spans="1:13" x14ac:dyDescent="0.2">
      <c r="C98" s="52"/>
      <c r="D98" s="85"/>
      <c r="E98" s="53"/>
      <c r="F98" s="53"/>
      <c r="G98" s="54"/>
      <c r="H98" s="2" t="s">
        <v>396</v>
      </c>
    </row>
    <row r="99" spans="1:13" s="2" customFormat="1" x14ac:dyDescent="0.2">
      <c r="A99" s="24"/>
      <c r="B99" s="1"/>
      <c r="C99" s="52"/>
      <c r="D99" s="85"/>
      <c r="E99" s="53"/>
      <c r="F99" s="53"/>
      <c r="G99" s="54"/>
      <c r="H99" s="53"/>
    </row>
    <row r="100" spans="1:13" x14ac:dyDescent="0.2">
      <c r="C100" s="52"/>
      <c r="D100" s="85"/>
      <c r="E100" s="53"/>
      <c r="F100" s="53"/>
      <c r="G100" s="54"/>
      <c r="H100" s="53" t="s">
        <v>396</v>
      </c>
    </row>
    <row r="101" spans="1:13" x14ac:dyDescent="0.2">
      <c r="C101" s="52"/>
      <c r="D101" s="85"/>
      <c r="E101" s="53"/>
      <c r="F101" s="53"/>
      <c r="G101" s="54"/>
      <c r="H101" s="53" t="s">
        <v>396</v>
      </c>
      <c r="J101" s="42"/>
    </row>
    <row r="102" spans="1:13" x14ac:dyDescent="0.2">
      <c r="G102" s="54"/>
      <c r="H102" s="53"/>
      <c r="I102" s="101"/>
    </row>
    <row r="103" spans="1:13" x14ac:dyDescent="0.2">
      <c r="G103" s="54"/>
      <c r="H103" s="53"/>
    </row>
    <row r="104" spans="1:13" x14ac:dyDescent="0.2">
      <c r="G104" s="54"/>
      <c r="H104" s="53"/>
    </row>
    <row r="105" spans="1:13" x14ac:dyDescent="0.2">
      <c r="H105" s="53"/>
    </row>
  </sheetData>
  <mergeCells count="6">
    <mergeCell ref="C91:F91"/>
    <mergeCell ref="A1:G1"/>
    <mergeCell ref="A3:F3"/>
    <mergeCell ref="A10:F10"/>
    <mergeCell ref="A19:F19"/>
    <mergeCell ref="A72:D72"/>
  </mergeCells>
  <conditionalFormatting sqref="G69:G70">
    <cfRule type="cellIs" dxfId="357" priority="1" operator="lessThan">
      <formula>0</formula>
    </cfRule>
  </conditionalFormatting>
  <conditionalFormatting sqref="C21">
    <cfRule type="duplicateValues" dxfId="356" priority="2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000-000000000000}">
  <sheetPr codeName="Sheet408">
    <pageSetUpPr fitToPage="1"/>
  </sheetPr>
  <dimension ref="A1:N129"/>
  <sheetViews>
    <sheetView topLeftCell="A61" zoomScaleNormal="100" workbookViewId="0">
      <selection activeCell="B6" sqref="B6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1384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45157</v>
      </c>
      <c r="B5" s="9" t="s">
        <v>6</v>
      </c>
      <c r="C5" s="10" t="s">
        <v>7</v>
      </c>
      <c r="D5" s="11"/>
      <c r="E5" s="12">
        <v>2047945.74</v>
      </c>
      <c r="F5" s="12"/>
      <c r="G5" s="1"/>
      <c r="H5" s="112"/>
      <c r="I5" s="112"/>
    </row>
    <row r="6" spans="1:10" s="2" customFormat="1" ht="14.25" customHeight="1" x14ac:dyDescent="0.4">
      <c r="A6" s="89">
        <v>45157</v>
      </c>
      <c r="B6" s="9" t="s">
        <v>11</v>
      </c>
      <c r="C6" s="10" t="s">
        <v>1392</v>
      </c>
      <c r="D6" s="11"/>
      <c r="E6" s="12"/>
      <c r="F6" s="12">
        <f>167353+34011</f>
        <v>201364</v>
      </c>
      <c r="G6" s="1"/>
      <c r="H6" s="112"/>
      <c r="I6" s="112"/>
    </row>
    <row r="7" spans="1:10" s="2" customFormat="1" ht="12.75" customHeight="1" x14ac:dyDescent="0.4">
      <c r="D7" s="15" t="s">
        <v>8</v>
      </c>
      <c r="E7" s="16">
        <f>SUM(E5:E6)</f>
        <v>2047945.74</v>
      </c>
      <c r="F7" s="16">
        <f>SUM(F5:F6)</f>
        <v>201364</v>
      </c>
      <c r="G7" s="1"/>
      <c r="H7" s="112"/>
      <c r="I7" s="112"/>
    </row>
    <row r="8" spans="1:10" s="2" customFormat="1" ht="12.75" customHeight="1" x14ac:dyDescent="0.4">
      <c r="A8" s="17"/>
      <c r="B8" s="18"/>
      <c r="C8" s="19" t="s">
        <v>9</v>
      </c>
      <c r="D8" s="20"/>
      <c r="E8" s="21">
        <f>+E7-F7</f>
        <v>1846581.74</v>
      </c>
      <c r="F8" s="22"/>
      <c r="G8" s="23"/>
      <c r="H8" s="112"/>
      <c r="I8" s="112"/>
      <c r="J8" s="13"/>
    </row>
    <row r="9" spans="1:10" ht="12.75" customHeight="1" x14ac:dyDescent="0.4">
      <c r="H9" s="112"/>
      <c r="I9" s="112"/>
    </row>
    <row r="10" spans="1:10" ht="18" customHeight="1" x14ac:dyDescent="0.4">
      <c r="A10" s="213" t="s">
        <v>1037</v>
      </c>
      <c r="B10" s="213"/>
      <c r="C10" s="213"/>
      <c r="D10" s="213"/>
      <c r="E10" s="213"/>
      <c r="F10" s="213"/>
      <c r="H10" s="112"/>
      <c r="I10" s="112"/>
    </row>
    <row r="11" spans="1:10" ht="12.75" customHeight="1" x14ac:dyDescent="0.4">
      <c r="A11" s="3" t="s">
        <v>1</v>
      </c>
      <c r="B11" s="4" t="s">
        <v>2</v>
      </c>
      <c r="C11" s="5"/>
      <c r="D11" s="6" t="s">
        <v>3</v>
      </c>
      <c r="E11" s="7" t="s">
        <v>4</v>
      </c>
      <c r="F11" s="7" t="s">
        <v>5</v>
      </c>
      <c r="H11" s="112"/>
      <c r="I11" s="112"/>
    </row>
    <row r="12" spans="1:10" s="2" customFormat="1" ht="14.25" customHeight="1" x14ac:dyDescent="0.2">
      <c r="A12" s="89">
        <v>45157</v>
      </c>
      <c r="B12" s="9" t="s">
        <v>6</v>
      </c>
      <c r="C12" s="10" t="s">
        <v>7</v>
      </c>
      <c r="D12" s="11"/>
      <c r="F12" s="12">
        <v>45032900.270000003</v>
      </c>
      <c r="G12" s="1"/>
      <c r="H12" s="130" t="s">
        <v>396</v>
      </c>
      <c r="I12" s="130"/>
    </row>
    <row r="13" spans="1:10" s="70" customFormat="1" ht="12.75" customHeight="1" x14ac:dyDescent="0.2">
      <c r="A13" s="89">
        <v>45157</v>
      </c>
      <c r="B13" s="9" t="s">
        <v>11</v>
      </c>
      <c r="C13" s="76" t="s">
        <v>1227</v>
      </c>
      <c r="D13" s="11" t="s">
        <v>29</v>
      </c>
      <c r="E13" s="31"/>
      <c r="F13" s="31">
        <v>1000000</v>
      </c>
      <c r="G13" s="30"/>
      <c r="I13" s="69"/>
      <c r="J13" s="69"/>
    </row>
    <row r="14" spans="1:10" s="70" customFormat="1" ht="12.75" customHeight="1" x14ac:dyDescent="0.2">
      <c r="A14" s="89">
        <v>45157</v>
      </c>
      <c r="B14" s="9" t="s">
        <v>11</v>
      </c>
      <c r="C14" s="76" t="s">
        <v>1215</v>
      </c>
      <c r="D14" s="11" t="s">
        <v>29</v>
      </c>
      <c r="E14" s="31"/>
      <c r="F14" s="31">
        <v>4725</v>
      </c>
      <c r="G14" s="30"/>
      <c r="I14" s="69"/>
      <c r="J14" s="69"/>
    </row>
    <row r="15" spans="1:10" s="70" customFormat="1" ht="12.75" customHeight="1" x14ac:dyDescent="0.2">
      <c r="A15" s="89">
        <v>45157</v>
      </c>
      <c r="B15" s="9" t="s">
        <v>11</v>
      </c>
      <c r="C15" s="76" t="s">
        <v>1214</v>
      </c>
      <c r="D15" s="11" t="s">
        <v>29</v>
      </c>
      <c r="E15" s="31"/>
      <c r="F15" s="31">
        <v>31408</v>
      </c>
      <c r="G15" s="30"/>
      <c r="I15" s="69"/>
      <c r="J15" s="69"/>
    </row>
    <row r="16" spans="1:10" s="70" customFormat="1" ht="12.75" customHeight="1" x14ac:dyDescent="0.2">
      <c r="A16" s="89">
        <v>45157</v>
      </c>
      <c r="B16" s="9" t="s">
        <v>11</v>
      </c>
      <c r="C16" s="76" t="s">
        <v>1385</v>
      </c>
      <c r="D16" s="11" t="s">
        <v>29</v>
      </c>
      <c r="E16" s="31"/>
      <c r="F16" s="31">
        <v>5108</v>
      </c>
      <c r="G16" s="30"/>
      <c r="I16" s="69"/>
      <c r="J16" s="69"/>
    </row>
    <row r="17" spans="1:10" s="70" customFormat="1" ht="12.75" customHeight="1" x14ac:dyDescent="0.2">
      <c r="A17" s="89">
        <v>45157</v>
      </c>
      <c r="B17" s="9" t="s">
        <v>11</v>
      </c>
      <c r="C17" s="76" t="s">
        <v>696</v>
      </c>
      <c r="D17" s="11" t="s">
        <v>29</v>
      </c>
      <c r="E17" s="31"/>
      <c r="F17" s="31">
        <v>2168449</v>
      </c>
      <c r="G17" s="30"/>
      <c r="I17" s="69"/>
      <c r="J17" s="69"/>
    </row>
    <row r="18" spans="1:10" s="70" customFormat="1" ht="12.75" customHeight="1" x14ac:dyDescent="0.2">
      <c r="A18" s="89">
        <v>45157</v>
      </c>
      <c r="B18" s="9" t="s">
        <v>11</v>
      </c>
      <c r="C18" s="76" t="s">
        <v>954</v>
      </c>
      <c r="D18" s="11" t="s">
        <v>29</v>
      </c>
      <c r="E18" s="31"/>
      <c r="F18" s="31">
        <v>2713331</v>
      </c>
      <c r="G18" s="30"/>
      <c r="I18" s="69"/>
      <c r="J18" s="69"/>
    </row>
    <row r="19" spans="1:10" s="70" customFormat="1" ht="12.75" customHeight="1" x14ac:dyDescent="0.2">
      <c r="A19" s="89">
        <v>45157</v>
      </c>
      <c r="B19" s="9" t="s">
        <v>11</v>
      </c>
      <c r="C19" s="76" t="s">
        <v>301</v>
      </c>
      <c r="D19" s="11" t="s">
        <v>29</v>
      </c>
      <c r="E19" s="31"/>
      <c r="F19" s="31">
        <v>2246938</v>
      </c>
      <c r="G19" s="30"/>
      <c r="I19" s="69"/>
      <c r="J19" s="69"/>
    </row>
    <row r="20" spans="1:10" s="70" customFormat="1" ht="12.75" customHeight="1" x14ac:dyDescent="0.2">
      <c r="A20" s="89">
        <v>45157</v>
      </c>
      <c r="B20" s="9" t="s">
        <v>11</v>
      </c>
      <c r="C20" s="76" t="s">
        <v>1386</v>
      </c>
      <c r="D20" s="11" t="s">
        <v>29</v>
      </c>
      <c r="E20" s="31"/>
      <c r="F20" s="31">
        <v>85050</v>
      </c>
      <c r="G20" s="30"/>
      <c r="I20" s="69"/>
      <c r="J20" s="69"/>
    </row>
    <row r="21" spans="1:10" s="70" customFormat="1" ht="12.75" customHeight="1" x14ac:dyDescent="0.2">
      <c r="A21" s="89">
        <v>45157</v>
      </c>
      <c r="B21" s="9" t="s">
        <v>11</v>
      </c>
      <c r="C21" s="76" t="s">
        <v>1387</v>
      </c>
      <c r="D21" s="11" t="s">
        <v>29</v>
      </c>
      <c r="E21" s="31"/>
      <c r="F21" s="31">
        <v>24190</v>
      </c>
      <c r="G21" s="30"/>
      <c r="I21" s="69"/>
      <c r="J21" s="69"/>
    </row>
    <row r="22" spans="1:10" s="70" customFormat="1" ht="12.75" customHeight="1" x14ac:dyDescent="0.2">
      <c r="A22" s="89">
        <v>45157</v>
      </c>
      <c r="B22" s="9" t="s">
        <v>11</v>
      </c>
      <c r="C22" s="76" t="s">
        <v>1373</v>
      </c>
      <c r="D22" s="11" t="s">
        <v>29</v>
      </c>
      <c r="E22" s="31"/>
      <c r="F22" s="31">
        <v>27630</v>
      </c>
      <c r="G22" s="30"/>
      <c r="I22" s="69"/>
      <c r="J22" s="69"/>
    </row>
    <row r="23" spans="1:10" s="70" customFormat="1" ht="12.75" customHeight="1" x14ac:dyDescent="0.2">
      <c r="A23" s="89">
        <v>45157</v>
      </c>
      <c r="B23" s="9" t="s">
        <v>11</v>
      </c>
      <c r="C23" s="76" t="s">
        <v>1086</v>
      </c>
      <c r="D23" s="11" t="s">
        <v>29</v>
      </c>
      <c r="E23" s="31"/>
      <c r="F23" s="31">
        <v>406000</v>
      </c>
      <c r="G23" s="30"/>
      <c r="I23" s="69"/>
      <c r="J23" s="69"/>
    </row>
    <row r="24" spans="1:10" s="70" customFormat="1" ht="12.75" customHeight="1" x14ac:dyDescent="0.2">
      <c r="A24" s="89">
        <v>45157</v>
      </c>
      <c r="B24" s="9" t="s">
        <v>11</v>
      </c>
      <c r="C24" s="76" t="s">
        <v>1091</v>
      </c>
      <c r="D24" s="11" t="s">
        <v>29</v>
      </c>
      <c r="E24" s="31"/>
      <c r="F24" s="31">
        <v>5900</v>
      </c>
      <c r="G24" s="30"/>
      <c r="I24" s="69"/>
      <c r="J24" s="69"/>
    </row>
    <row r="25" spans="1:10" s="2" customFormat="1" ht="12.75" customHeight="1" x14ac:dyDescent="0.4">
      <c r="D25" s="11" t="s">
        <v>8</v>
      </c>
      <c r="E25" s="16">
        <f>SUM(E13:E24)</f>
        <v>0</v>
      </c>
      <c r="F25" s="16">
        <f>SUM(F12:F24)</f>
        <v>53751629.270000003</v>
      </c>
      <c r="G25" s="1"/>
      <c r="H25" s="112"/>
      <c r="I25" s="112"/>
    </row>
    <row r="26" spans="1:10" s="2" customFormat="1" ht="12.75" customHeight="1" x14ac:dyDescent="0.4">
      <c r="A26" s="17"/>
      <c r="B26" s="18"/>
      <c r="C26" s="96" t="s">
        <v>9</v>
      </c>
      <c r="D26" s="20"/>
      <c r="E26" s="21">
        <f>+F25-E25</f>
        <v>53751629.270000003</v>
      </c>
      <c r="G26" s="23"/>
      <c r="H26" s="112"/>
      <c r="I26" s="112"/>
      <c r="J26" s="13"/>
    </row>
    <row r="27" spans="1:10" s="2" customFormat="1" ht="12.75" customHeight="1" x14ac:dyDescent="0.4">
      <c r="A27" s="24"/>
      <c r="B27" s="1"/>
      <c r="C27" s="14"/>
      <c r="D27" s="25"/>
      <c r="G27" s="23"/>
      <c r="H27" s="112"/>
      <c r="I27" s="112"/>
      <c r="J27" s="13"/>
    </row>
    <row r="28" spans="1:10" s="2" customFormat="1" ht="21.75" customHeight="1" x14ac:dyDescent="0.4">
      <c r="A28" s="214" t="s">
        <v>10</v>
      </c>
      <c r="B28" s="214"/>
      <c r="C28" s="214"/>
      <c r="D28" s="214"/>
      <c r="E28" s="214"/>
      <c r="F28" s="214"/>
      <c r="G28" s="13"/>
      <c r="H28" s="112"/>
      <c r="I28" s="112"/>
      <c r="J28" s="13"/>
    </row>
    <row r="29" spans="1:10" s="2" customFormat="1" ht="12.75" customHeight="1" x14ac:dyDescent="0.4">
      <c r="A29" s="26" t="s">
        <v>1</v>
      </c>
      <c r="B29" s="27" t="s">
        <v>2</v>
      </c>
      <c r="C29" s="5"/>
      <c r="D29" s="6" t="s">
        <v>3</v>
      </c>
      <c r="E29" s="7" t="s">
        <v>4</v>
      </c>
      <c r="F29" s="7" t="s">
        <v>5</v>
      </c>
      <c r="G29" s="23"/>
      <c r="H29" s="112"/>
      <c r="I29" s="112"/>
      <c r="J29" s="13"/>
    </row>
    <row r="30" spans="1:10" s="2" customFormat="1" ht="12.75" customHeight="1" x14ac:dyDescent="0.2">
      <c r="A30" s="89">
        <v>45157</v>
      </c>
      <c r="B30" s="128" t="s">
        <v>11</v>
      </c>
      <c r="C30" s="29" t="s">
        <v>7</v>
      </c>
      <c r="D30" s="25"/>
      <c r="E30" s="31"/>
      <c r="F30" s="2">
        <v>371066789.42000002</v>
      </c>
      <c r="G30" s="30"/>
      <c r="I30" s="13"/>
      <c r="J30" s="13"/>
    </row>
    <row r="31" spans="1:10" s="70" customFormat="1" ht="12.75" customHeight="1" x14ac:dyDescent="0.2">
      <c r="A31" s="89">
        <v>45157</v>
      </c>
      <c r="B31" s="128" t="s">
        <v>6</v>
      </c>
      <c r="C31" s="10" t="s">
        <v>1062</v>
      </c>
      <c r="D31" s="11" t="s">
        <v>13</v>
      </c>
      <c r="E31" s="86">
        <v>16259</v>
      </c>
      <c r="G31" s="30"/>
      <c r="I31" s="69"/>
      <c r="J31" s="69"/>
    </row>
    <row r="32" spans="1:10" s="70" customFormat="1" ht="12.75" customHeight="1" x14ac:dyDescent="0.2">
      <c r="A32" s="89">
        <v>45157</v>
      </c>
      <c r="B32" s="128" t="s">
        <v>6</v>
      </c>
      <c r="C32" s="10" t="s">
        <v>257</v>
      </c>
      <c r="D32" s="11" t="s">
        <v>13</v>
      </c>
      <c r="E32" s="86">
        <v>254168.01</v>
      </c>
      <c r="G32" s="30"/>
      <c r="I32" s="69"/>
      <c r="J32" s="69"/>
    </row>
    <row r="33" spans="1:10" s="70" customFormat="1" ht="12.75" customHeight="1" x14ac:dyDescent="0.2">
      <c r="A33" s="89">
        <v>45157</v>
      </c>
      <c r="B33" s="128" t="s">
        <v>6</v>
      </c>
      <c r="C33" s="10" t="s">
        <v>19</v>
      </c>
      <c r="D33" s="11" t="s">
        <v>13</v>
      </c>
      <c r="E33" s="86">
        <v>1836</v>
      </c>
      <c r="G33" s="30"/>
      <c r="I33" s="69"/>
      <c r="J33" s="69"/>
    </row>
    <row r="34" spans="1:10" s="70" customFormat="1" ht="12.75" customHeight="1" x14ac:dyDescent="0.2">
      <c r="A34" s="89">
        <v>45157</v>
      </c>
      <c r="B34" s="128" t="s">
        <v>6</v>
      </c>
      <c r="C34" s="10" t="s">
        <v>758</v>
      </c>
      <c r="D34" s="11" t="s">
        <v>13</v>
      </c>
      <c r="E34" s="86">
        <v>1864273.41</v>
      </c>
      <c r="G34" s="30"/>
      <c r="I34" s="69"/>
      <c r="J34" s="69"/>
    </row>
    <row r="35" spans="1:10" s="70" customFormat="1" ht="12.75" customHeight="1" x14ac:dyDescent="0.2">
      <c r="A35" s="89">
        <v>45157</v>
      </c>
      <c r="B35" s="128" t="s">
        <v>6</v>
      </c>
      <c r="C35" s="10" t="s">
        <v>765</v>
      </c>
      <c r="D35" s="11" t="s">
        <v>13</v>
      </c>
      <c r="E35" s="86">
        <v>1569876.82</v>
      </c>
      <c r="G35" s="30"/>
      <c r="I35" s="69"/>
      <c r="J35" s="69"/>
    </row>
    <row r="36" spans="1:10" s="70" customFormat="1" ht="12.75" customHeight="1" x14ac:dyDescent="0.2">
      <c r="A36" s="89">
        <v>45157</v>
      </c>
      <c r="B36" s="128" t="s">
        <v>6</v>
      </c>
      <c r="C36" s="10" t="s">
        <v>773</v>
      </c>
      <c r="D36" s="11" t="s">
        <v>13</v>
      </c>
      <c r="E36" s="86">
        <v>1250833.24</v>
      </c>
      <c r="G36" s="30"/>
      <c r="I36" s="69"/>
      <c r="J36" s="69"/>
    </row>
    <row r="37" spans="1:10" s="70" customFormat="1" ht="12.75" customHeight="1" x14ac:dyDescent="0.2">
      <c r="A37" s="89">
        <v>45157</v>
      </c>
      <c r="B37" s="128" t="s">
        <v>6</v>
      </c>
      <c r="C37" s="10" t="s">
        <v>760</v>
      </c>
      <c r="D37" s="11" t="s">
        <v>13</v>
      </c>
      <c r="E37" s="86">
        <v>834057.53</v>
      </c>
      <c r="G37" s="30"/>
      <c r="I37" s="69"/>
      <c r="J37" s="69"/>
    </row>
    <row r="38" spans="1:10" s="70" customFormat="1" ht="12.75" customHeight="1" x14ac:dyDescent="0.2">
      <c r="A38" s="89">
        <v>45157</v>
      </c>
      <c r="B38" s="128" t="s">
        <v>6</v>
      </c>
      <c r="C38" s="10" t="s">
        <v>748</v>
      </c>
      <c r="D38" s="11" t="s">
        <v>13</v>
      </c>
      <c r="E38" s="86">
        <v>1223763.1000000001</v>
      </c>
      <c r="G38" s="30"/>
      <c r="I38" s="69"/>
      <c r="J38" s="69"/>
    </row>
    <row r="39" spans="1:10" s="70" customFormat="1" ht="12.75" customHeight="1" x14ac:dyDescent="0.2">
      <c r="A39" s="89">
        <v>45157</v>
      </c>
      <c r="B39" s="128" t="s">
        <v>6</v>
      </c>
      <c r="C39" s="10" t="s">
        <v>785</v>
      </c>
      <c r="D39" s="11" t="s">
        <v>13</v>
      </c>
      <c r="E39" s="86">
        <v>7248324</v>
      </c>
      <c r="G39" s="30"/>
      <c r="I39" s="69"/>
      <c r="J39" s="69"/>
    </row>
    <row r="40" spans="1:10" s="70" customFormat="1" ht="12.75" customHeight="1" x14ac:dyDescent="0.2">
      <c r="A40" s="89">
        <v>45157</v>
      </c>
      <c r="B40" s="128" t="s">
        <v>6</v>
      </c>
      <c r="C40" s="10" t="s">
        <v>1388</v>
      </c>
      <c r="D40" s="11" t="s">
        <v>13</v>
      </c>
      <c r="E40" s="86">
        <v>2172934</v>
      </c>
      <c r="G40" s="30"/>
      <c r="I40" s="69"/>
      <c r="J40" s="69"/>
    </row>
    <row r="41" spans="1:10" s="70" customFormat="1" ht="12.75" customHeight="1" x14ac:dyDescent="0.2">
      <c r="A41" s="89">
        <v>45157</v>
      </c>
      <c r="B41" s="128" t="s">
        <v>6</v>
      </c>
      <c r="C41" s="10" t="s">
        <v>1378</v>
      </c>
      <c r="D41" s="11" t="s">
        <v>13</v>
      </c>
      <c r="E41" s="86">
        <v>5445</v>
      </c>
      <c r="G41" s="30"/>
      <c r="I41" s="69"/>
      <c r="J41" s="69"/>
    </row>
    <row r="42" spans="1:10" s="70" customFormat="1" ht="12.75" customHeight="1" x14ac:dyDescent="0.2">
      <c r="A42" s="89">
        <v>45157</v>
      </c>
      <c r="B42" s="128" t="s">
        <v>6</v>
      </c>
      <c r="C42" s="10" t="s">
        <v>757</v>
      </c>
      <c r="D42" s="11" t="s">
        <v>13</v>
      </c>
      <c r="E42" s="86">
        <v>514085.69</v>
      </c>
      <c r="G42" s="30"/>
      <c r="I42" s="69"/>
      <c r="J42" s="69"/>
    </row>
    <row r="43" spans="1:10" s="70" customFormat="1" ht="12.75" customHeight="1" x14ac:dyDescent="0.2">
      <c r="A43" s="89">
        <v>45157</v>
      </c>
      <c r="B43" s="128" t="s">
        <v>6</v>
      </c>
      <c r="C43" s="10" t="s">
        <v>764</v>
      </c>
      <c r="D43" s="11" t="s">
        <v>13</v>
      </c>
      <c r="E43" s="86">
        <v>613978.30000000005</v>
      </c>
      <c r="G43" s="30"/>
      <c r="I43" s="69"/>
      <c r="J43" s="69"/>
    </row>
    <row r="44" spans="1:10" s="70" customFormat="1" ht="12.75" customHeight="1" x14ac:dyDescent="0.2">
      <c r="A44" s="89">
        <v>45157</v>
      </c>
      <c r="B44" s="128" t="s">
        <v>6</v>
      </c>
      <c r="C44" s="10" t="s">
        <v>145</v>
      </c>
      <c r="D44" s="11" t="s">
        <v>13</v>
      </c>
      <c r="E44" s="86">
        <v>233108</v>
      </c>
      <c r="G44" s="30"/>
      <c r="I44" s="69"/>
      <c r="J44" s="69"/>
    </row>
    <row r="45" spans="1:10" s="70" customFormat="1" ht="12.75" customHeight="1" x14ac:dyDescent="0.2">
      <c r="A45" s="89">
        <v>45157</v>
      </c>
      <c r="B45" s="128" t="s">
        <v>6</v>
      </c>
      <c r="C45" s="10" t="s">
        <v>625</v>
      </c>
      <c r="D45" s="11" t="s">
        <v>13</v>
      </c>
      <c r="E45" s="86">
        <v>19033</v>
      </c>
      <c r="G45" s="30"/>
      <c r="I45" s="69"/>
      <c r="J45" s="69"/>
    </row>
    <row r="46" spans="1:10" s="70" customFormat="1" ht="12.75" customHeight="1" x14ac:dyDescent="0.2">
      <c r="A46" s="89">
        <v>45157</v>
      </c>
      <c r="B46" s="128" t="s">
        <v>6</v>
      </c>
      <c r="C46" s="10" t="s">
        <v>759</v>
      </c>
      <c r="D46" s="11" t="s">
        <v>13</v>
      </c>
      <c r="E46" s="86">
        <v>2186736.5699999998</v>
      </c>
      <c r="G46" s="30"/>
      <c r="I46" s="69"/>
      <c r="J46" s="69"/>
    </row>
    <row r="47" spans="1:10" s="70" customFormat="1" ht="12.75" customHeight="1" x14ac:dyDescent="0.2">
      <c r="A47" s="89">
        <v>45157</v>
      </c>
      <c r="B47" s="128" t="s">
        <v>6</v>
      </c>
      <c r="C47" s="10" t="s">
        <v>750</v>
      </c>
      <c r="D47" s="11" t="s">
        <v>13</v>
      </c>
      <c r="E47" s="86">
        <v>2850904.67</v>
      </c>
      <c r="G47" s="30"/>
      <c r="I47" s="69"/>
      <c r="J47" s="69"/>
    </row>
    <row r="48" spans="1:10" s="70" customFormat="1" ht="12.75" customHeight="1" x14ac:dyDescent="0.2">
      <c r="A48" s="89">
        <v>45157</v>
      </c>
      <c r="B48" s="128" t="s">
        <v>6</v>
      </c>
      <c r="C48" s="10" t="s">
        <v>93</v>
      </c>
      <c r="D48" s="11" t="s">
        <v>13</v>
      </c>
      <c r="E48" s="86">
        <v>4992567</v>
      </c>
      <c r="G48" s="30"/>
      <c r="I48" s="69"/>
      <c r="J48" s="69"/>
    </row>
    <row r="49" spans="1:10" s="70" customFormat="1" ht="12.75" customHeight="1" x14ac:dyDescent="0.2">
      <c r="A49" s="89">
        <v>45157</v>
      </c>
      <c r="B49" s="128" t="s">
        <v>6</v>
      </c>
      <c r="C49" s="10" t="s">
        <v>336</v>
      </c>
      <c r="D49" s="11" t="s">
        <v>13</v>
      </c>
      <c r="E49" s="86">
        <v>176076</v>
      </c>
      <c r="G49" s="30"/>
      <c r="I49" s="69"/>
      <c r="J49" s="69"/>
    </row>
    <row r="50" spans="1:10" s="70" customFormat="1" ht="12.75" customHeight="1" x14ac:dyDescent="0.2">
      <c r="A50" s="89">
        <v>45157</v>
      </c>
      <c r="B50" s="128" t="s">
        <v>6</v>
      </c>
      <c r="C50" s="10" t="s">
        <v>1389</v>
      </c>
      <c r="D50" s="11" t="s">
        <v>13</v>
      </c>
      <c r="E50" s="86">
        <v>1000000</v>
      </c>
      <c r="G50" s="30"/>
      <c r="I50" s="69"/>
      <c r="J50" s="69"/>
    </row>
    <row r="51" spans="1:10" s="70" customFormat="1" ht="12.75" customHeight="1" x14ac:dyDescent="0.2">
      <c r="A51" s="89">
        <v>45157</v>
      </c>
      <c r="B51" s="128" t="s">
        <v>6</v>
      </c>
      <c r="C51" s="10" t="s">
        <v>1231</v>
      </c>
      <c r="D51" s="11" t="s">
        <v>13</v>
      </c>
      <c r="E51" s="86">
        <v>394666</v>
      </c>
      <c r="G51" s="30"/>
      <c r="I51" s="69"/>
      <c r="J51" s="69"/>
    </row>
    <row r="52" spans="1:10" s="70" customFormat="1" ht="12.75" customHeight="1" x14ac:dyDescent="0.2">
      <c r="A52" s="89">
        <v>45157</v>
      </c>
      <c r="B52" s="128" t="s">
        <v>6</v>
      </c>
      <c r="C52" s="10" t="s">
        <v>1390</v>
      </c>
      <c r="D52" s="11" t="s">
        <v>13</v>
      </c>
      <c r="E52" s="86">
        <v>5507</v>
      </c>
      <c r="G52" s="30"/>
      <c r="I52" s="69"/>
      <c r="J52" s="69"/>
    </row>
    <row r="53" spans="1:10" s="70" customFormat="1" ht="12.75" customHeight="1" x14ac:dyDescent="0.2">
      <c r="A53" s="89">
        <v>45157</v>
      </c>
      <c r="B53" s="128" t="s">
        <v>6</v>
      </c>
      <c r="C53" s="10" t="s">
        <v>177</v>
      </c>
      <c r="D53" s="11" t="s">
        <v>13</v>
      </c>
      <c r="E53" s="86">
        <v>599091</v>
      </c>
      <c r="G53" s="30"/>
      <c r="I53" s="69"/>
      <c r="J53" s="69"/>
    </row>
    <row r="54" spans="1:10" s="70" customFormat="1" ht="12.75" customHeight="1" x14ac:dyDescent="0.2">
      <c r="A54" s="89">
        <v>45157</v>
      </c>
      <c r="B54" s="128" t="s">
        <v>6</v>
      </c>
      <c r="C54" s="10" t="s">
        <v>1235</v>
      </c>
      <c r="D54" s="11" t="s">
        <v>13</v>
      </c>
      <c r="E54" s="86">
        <v>63718</v>
      </c>
      <c r="G54" s="30"/>
      <c r="I54" s="69"/>
      <c r="J54" s="69"/>
    </row>
    <row r="55" spans="1:10" s="70" customFormat="1" ht="12.75" customHeight="1" x14ac:dyDescent="0.2">
      <c r="A55" s="89">
        <v>45157</v>
      </c>
      <c r="B55" s="128" t="s">
        <v>6</v>
      </c>
      <c r="C55" s="10" t="s">
        <v>1391</v>
      </c>
      <c r="D55" s="11" t="s">
        <v>13</v>
      </c>
      <c r="E55" s="86">
        <v>42525</v>
      </c>
      <c r="G55" s="30"/>
      <c r="I55" s="69"/>
      <c r="J55" s="69"/>
    </row>
    <row r="56" spans="1:10" s="70" customFormat="1" ht="12.75" customHeight="1" x14ac:dyDescent="0.2">
      <c r="A56" s="89">
        <v>45157</v>
      </c>
      <c r="B56" s="128" t="s">
        <v>6</v>
      </c>
      <c r="C56" s="10" t="s">
        <v>149</v>
      </c>
      <c r="D56" s="11" t="s">
        <v>13</v>
      </c>
      <c r="E56" s="86">
        <v>278323</v>
      </c>
      <c r="G56" s="30"/>
      <c r="I56" s="69"/>
      <c r="J56" s="69"/>
    </row>
    <row r="57" spans="1:10" s="70" customFormat="1" ht="12.75" customHeight="1" x14ac:dyDescent="0.2">
      <c r="A57" s="89">
        <v>45157</v>
      </c>
      <c r="B57" s="128" t="s">
        <v>6</v>
      </c>
      <c r="C57" s="10" t="s">
        <v>607</v>
      </c>
      <c r="D57" s="11" t="s">
        <v>13</v>
      </c>
      <c r="E57" s="86">
        <v>31500</v>
      </c>
      <c r="G57" s="30"/>
      <c r="I57" s="69"/>
      <c r="J57" s="69"/>
    </row>
    <row r="58" spans="1:10" s="70" customFormat="1" ht="12.75" customHeight="1" x14ac:dyDescent="0.2">
      <c r="A58" s="89">
        <v>45157</v>
      </c>
      <c r="B58" s="128" t="s">
        <v>6</v>
      </c>
      <c r="C58" s="10" t="s">
        <v>220</v>
      </c>
      <c r="D58" s="11" t="s">
        <v>13</v>
      </c>
      <c r="E58" s="86">
        <v>2100141</v>
      </c>
      <c r="G58" s="30"/>
      <c r="I58" s="69"/>
      <c r="J58" s="69"/>
    </row>
    <row r="59" spans="1:10" s="70" customFormat="1" ht="12.75" customHeight="1" x14ac:dyDescent="0.2">
      <c r="A59" s="89">
        <v>45157</v>
      </c>
      <c r="B59" s="128" t="s">
        <v>6</v>
      </c>
      <c r="C59" s="10" t="s">
        <v>877</v>
      </c>
      <c r="D59" s="11" t="s">
        <v>13</v>
      </c>
      <c r="E59" s="86">
        <v>115869</v>
      </c>
      <c r="G59" s="30"/>
      <c r="I59" s="69"/>
      <c r="J59" s="69"/>
    </row>
    <row r="60" spans="1:10" s="70" customFormat="1" ht="12.75" customHeight="1" x14ac:dyDescent="0.2">
      <c r="A60" s="89">
        <v>45157</v>
      </c>
      <c r="B60" s="128" t="s">
        <v>6</v>
      </c>
      <c r="C60" s="10" t="s">
        <v>820</v>
      </c>
      <c r="D60" s="11" t="s">
        <v>13</v>
      </c>
      <c r="E60" s="86">
        <v>300000</v>
      </c>
      <c r="G60" s="30"/>
      <c r="I60" s="69"/>
      <c r="J60" s="69"/>
    </row>
    <row r="61" spans="1:10" s="70" customFormat="1" ht="12.75" customHeight="1" x14ac:dyDescent="0.2">
      <c r="A61" s="89">
        <v>45157</v>
      </c>
      <c r="B61" s="128" t="s">
        <v>6</v>
      </c>
      <c r="C61" s="10" t="s">
        <v>376</v>
      </c>
      <c r="D61" s="11" t="s">
        <v>13</v>
      </c>
      <c r="E61" s="86">
        <v>832523</v>
      </c>
      <c r="G61" s="30"/>
      <c r="I61" s="69"/>
      <c r="J61" s="69"/>
    </row>
    <row r="62" spans="1:10" s="70" customFormat="1" ht="12.75" customHeight="1" x14ac:dyDescent="0.2">
      <c r="A62" s="89">
        <v>45157</v>
      </c>
      <c r="B62" s="128" t="s">
        <v>6</v>
      </c>
      <c r="C62" s="10" t="s">
        <v>905</v>
      </c>
      <c r="D62" s="11" t="s">
        <v>13</v>
      </c>
      <c r="E62" s="86">
        <v>1486128.5</v>
      </c>
      <c r="G62" s="30"/>
      <c r="I62" s="69"/>
      <c r="J62" s="69"/>
    </row>
    <row r="63" spans="1:10" s="70" customFormat="1" ht="12.75" customHeight="1" x14ac:dyDescent="0.2">
      <c r="A63" s="89">
        <v>45157</v>
      </c>
      <c r="B63" s="128" t="s">
        <v>11</v>
      </c>
      <c r="C63" s="10" t="s">
        <v>64</v>
      </c>
      <c r="D63" s="11" t="s">
        <v>29</v>
      </c>
      <c r="E63" s="86"/>
      <c r="F63" s="70">
        <f>20360.9</f>
        <v>20360.900000000001</v>
      </c>
      <c r="G63" s="30"/>
      <c r="I63" s="69"/>
      <c r="J63" s="69"/>
    </row>
    <row r="64" spans="1:10" s="70" customFormat="1" ht="12.75" customHeight="1" x14ac:dyDescent="0.2">
      <c r="A64" s="89">
        <v>45157</v>
      </c>
      <c r="B64" s="128" t="s">
        <v>11</v>
      </c>
      <c r="C64" s="10" t="s">
        <v>15</v>
      </c>
      <c r="D64" s="11" t="s">
        <v>29</v>
      </c>
      <c r="E64" s="86"/>
      <c r="F64" s="70">
        <v>157243.79999999999</v>
      </c>
      <c r="G64" s="30"/>
      <c r="I64" s="69"/>
      <c r="J64" s="69"/>
    </row>
    <row r="65" spans="1:14" s="70" customFormat="1" ht="12.75" customHeight="1" x14ac:dyDescent="0.2">
      <c r="A65" s="89">
        <v>45157</v>
      </c>
      <c r="B65" s="128" t="s">
        <v>11</v>
      </c>
      <c r="C65" s="10" t="s">
        <v>111</v>
      </c>
      <c r="D65" s="11" t="s">
        <v>29</v>
      </c>
      <c r="E65" s="86"/>
      <c r="F65" s="70">
        <v>1151407.57</v>
      </c>
      <c r="G65" s="30"/>
      <c r="I65" s="69"/>
      <c r="J65" s="69"/>
    </row>
    <row r="66" spans="1:14" s="70" customFormat="1" ht="12.75" customHeight="1" x14ac:dyDescent="0.2">
      <c r="A66" s="89">
        <v>45157</v>
      </c>
      <c r="B66" s="128" t="s">
        <v>11</v>
      </c>
      <c r="C66" s="10" t="s">
        <v>109</v>
      </c>
      <c r="D66" s="11" t="s">
        <v>29</v>
      </c>
      <c r="E66" s="86"/>
      <c r="F66" s="70">
        <v>1045599</v>
      </c>
      <c r="G66" s="30"/>
      <c r="I66" s="69"/>
      <c r="J66" s="69"/>
    </row>
    <row r="67" spans="1:14" s="70" customFormat="1" ht="12.75" customHeight="1" x14ac:dyDescent="0.2">
      <c r="A67" s="89">
        <v>45157</v>
      </c>
      <c r="B67" s="128" t="s">
        <v>11</v>
      </c>
      <c r="C67" s="10" t="s">
        <v>208</v>
      </c>
      <c r="D67" s="11" t="s">
        <v>29</v>
      </c>
      <c r="E67" s="86"/>
      <c r="F67" s="70">
        <v>20500</v>
      </c>
      <c r="G67" s="30"/>
      <c r="I67" s="69"/>
      <c r="J67" s="69"/>
    </row>
    <row r="68" spans="1:14" s="70" customFormat="1" ht="12.75" customHeight="1" x14ac:dyDescent="0.2">
      <c r="A68" s="89">
        <v>45157</v>
      </c>
      <c r="B68" s="128" t="s">
        <v>11</v>
      </c>
      <c r="C68" s="10" t="s">
        <v>210</v>
      </c>
      <c r="D68" s="11" t="s">
        <v>29</v>
      </c>
      <c r="E68" s="86"/>
      <c r="F68" s="70">
        <v>37524</v>
      </c>
      <c r="G68" s="30"/>
      <c r="I68" s="69"/>
      <c r="J68" s="69"/>
    </row>
    <row r="69" spans="1:14" s="70" customFormat="1" ht="12.75" customHeight="1" x14ac:dyDescent="0.2">
      <c r="A69" s="89">
        <v>45157</v>
      </c>
      <c r="B69" s="128" t="s">
        <v>11</v>
      </c>
      <c r="C69" s="10" t="s">
        <v>314</v>
      </c>
      <c r="D69" s="11" t="s">
        <v>29</v>
      </c>
      <c r="E69" s="86"/>
      <c r="F69" s="70">
        <v>51090</v>
      </c>
      <c r="G69" s="30"/>
      <c r="I69" s="69"/>
      <c r="J69" s="69"/>
    </row>
    <row r="70" spans="1:14" s="70" customFormat="1" ht="12.75" customHeight="1" x14ac:dyDescent="0.2">
      <c r="A70" s="89">
        <v>45157</v>
      </c>
      <c r="B70" s="128" t="s">
        <v>11</v>
      </c>
      <c r="C70" s="10" t="s">
        <v>477</v>
      </c>
      <c r="D70" s="11" t="s">
        <v>29</v>
      </c>
      <c r="E70" s="86"/>
      <c r="F70" s="70">
        <v>69860</v>
      </c>
      <c r="G70" s="30"/>
      <c r="I70" s="69"/>
      <c r="J70" s="69"/>
    </row>
    <row r="71" spans="1:14" s="70" customFormat="1" ht="12.75" customHeight="1" x14ac:dyDescent="0.2">
      <c r="A71" s="89">
        <v>45157</v>
      </c>
      <c r="B71" s="128" t="s">
        <v>11</v>
      </c>
      <c r="C71" s="10" t="s">
        <v>1269</v>
      </c>
      <c r="D71" s="11" t="s">
        <v>29</v>
      </c>
      <c r="E71" s="86"/>
      <c r="F71" s="70">
        <v>242765</v>
      </c>
      <c r="G71" s="30"/>
      <c r="I71" s="69"/>
      <c r="J71" s="69"/>
    </row>
    <row r="72" spans="1:14" s="69" customFormat="1" ht="12.75" customHeight="1" x14ac:dyDescent="0.2">
      <c r="A72" s="89">
        <v>45157</v>
      </c>
      <c r="B72" s="128" t="s">
        <v>11</v>
      </c>
      <c r="C72" s="10" t="s">
        <v>118</v>
      </c>
      <c r="D72" s="11" t="s">
        <v>29</v>
      </c>
      <c r="E72" s="86"/>
      <c r="F72" s="70">
        <v>400000</v>
      </c>
      <c r="G72" s="100"/>
    </row>
    <row r="73" spans="1:14" s="69" customFormat="1" ht="12.75" customHeight="1" x14ac:dyDescent="0.2">
      <c r="A73" s="89">
        <v>45157</v>
      </c>
      <c r="B73" s="128" t="s">
        <v>11</v>
      </c>
      <c r="C73" s="10" t="s">
        <v>597</v>
      </c>
      <c r="D73" s="11" t="s">
        <v>29</v>
      </c>
      <c r="E73" s="86"/>
      <c r="F73" s="70">
        <v>294000</v>
      </c>
      <c r="G73" s="100"/>
    </row>
    <row r="74" spans="1:14" s="70" customFormat="1" ht="12.75" customHeight="1" x14ac:dyDescent="0.2">
      <c r="A74" s="89">
        <v>45157</v>
      </c>
      <c r="B74" s="128" t="s">
        <v>11</v>
      </c>
      <c r="C74" s="10" t="s">
        <v>34</v>
      </c>
      <c r="D74" s="11" t="s">
        <v>29</v>
      </c>
      <c r="E74" s="86"/>
      <c r="F74" s="70">
        <v>20000</v>
      </c>
      <c r="G74" s="30"/>
      <c r="I74" s="69"/>
      <c r="J74" s="69"/>
      <c r="K74" s="70" t="s">
        <v>1376</v>
      </c>
    </row>
    <row r="75" spans="1:14" s="2" customFormat="1" ht="12.75" customHeight="1" x14ac:dyDescent="0.2">
      <c r="A75" s="32"/>
      <c r="B75" s="33"/>
      <c r="C75" s="14"/>
      <c r="D75" s="34"/>
      <c r="E75" s="16">
        <f>SUM(E30:E74)</f>
        <v>35278250.840000004</v>
      </c>
      <c r="F75" s="16">
        <f>SUM(F30:F74)</f>
        <v>374577139.69</v>
      </c>
      <c r="G75" s="30"/>
      <c r="H75" s="1"/>
      <c r="I75" s="38">
        <v>339298173.85000002</v>
      </c>
      <c r="J75" s="2" t="s">
        <v>396</v>
      </c>
      <c r="K75" s="92">
        <f>E76-I75</f>
        <v>715</v>
      </c>
      <c r="L75" s="41"/>
      <c r="M75" s="42"/>
    </row>
    <row r="76" spans="1:14" s="2" customFormat="1" ht="12.75" customHeight="1" x14ac:dyDescent="0.2">
      <c r="A76" s="36"/>
      <c r="B76" s="28" t="s">
        <v>11</v>
      </c>
      <c r="C76" s="19" t="s">
        <v>65</v>
      </c>
      <c r="D76" s="37"/>
      <c r="E76" s="38">
        <f>F75-E75</f>
        <v>339298888.85000002</v>
      </c>
      <c r="F76" s="22"/>
      <c r="G76" s="1"/>
      <c r="H76" s="1"/>
      <c r="J76" s="1"/>
      <c r="K76" s="1"/>
      <c r="L76" s="1"/>
      <c r="M76" s="1"/>
    </row>
    <row r="77" spans="1:14" s="2" customFormat="1" ht="12.75" customHeight="1" x14ac:dyDescent="0.2">
      <c r="A77" s="36"/>
      <c r="B77" s="28" t="s">
        <v>66</v>
      </c>
      <c r="C77" s="43" t="s">
        <v>67</v>
      </c>
      <c r="D77" s="43"/>
      <c r="E77" s="12">
        <v>0</v>
      </c>
      <c r="F77" s="22"/>
      <c r="G77" s="1"/>
      <c r="H77" s="40"/>
      <c r="I77" s="45">
        <v>2294.35</v>
      </c>
      <c r="J77" s="46"/>
      <c r="K77" s="46"/>
      <c r="L77" s="13"/>
      <c r="M77" s="69" t="s">
        <v>396</v>
      </c>
    </row>
    <row r="78" spans="1:14" s="2" customFormat="1" ht="12.75" customHeight="1" x14ac:dyDescent="0.25">
      <c r="A78" s="36"/>
      <c r="B78" s="28"/>
      <c r="C78" s="44" t="s">
        <v>68</v>
      </c>
      <c r="D78" s="43"/>
      <c r="E78" s="7">
        <f>E76+E77</f>
        <v>339298888.85000002</v>
      </c>
      <c r="F78" s="22"/>
      <c r="G78" s="1"/>
      <c r="H78" s="103" t="s">
        <v>69</v>
      </c>
      <c r="I78" s="45">
        <v>52.42</v>
      </c>
      <c r="J78" s="46"/>
      <c r="K78" s="46"/>
      <c r="N78" s="1"/>
    </row>
    <row r="79" spans="1:14" s="2" customFormat="1" x14ac:dyDescent="0.2">
      <c r="A79" s="24"/>
      <c r="B79" s="1"/>
      <c r="C79" s="14"/>
      <c r="D79" s="25"/>
      <c r="E79" s="1"/>
      <c r="H79" s="35" t="s">
        <v>70</v>
      </c>
      <c r="I79" s="45">
        <v>-5.99</v>
      </c>
      <c r="J79" s="46">
        <f>+I80-D82</f>
        <v>111.63000000000011</v>
      </c>
      <c r="M79" s="2" t="s">
        <v>396</v>
      </c>
      <c r="N79" s="1"/>
    </row>
    <row r="80" spans="1:14" x14ac:dyDescent="0.2">
      <c r="C80" s="56"/>
      <c r="D80" s="56"/>
      <c r="E80" s="104"/>
      <c r="I80" s="49">
        <f>SUM(I77:I79)</f>
        <v>2340.7800000000002</v>
      </c>
      <c r="J80" s="46"/>
      <c r="K80" s="46"/>
      <c r="L80" s="2"/>
      <c r="M80" s="2"/>
      <c r="N80" s="2"/>
    </row>
    <row r="81" spans="1:14" x14ac:dyDescent="0.2">
      <c r="C81" s="78" t="s">
        <v>575</v>
      </c>
      <c r="D81" s="48" t="s">
        <v>576</v>
      </c>
      <c r="E81" s="104"/>
      <c r="I81" s="2"/>
      <c r="J81" s="2"/>
      <c r="K81" s="2"/>
      <c r="L81" s="2"/>
      <c r="M81" s="2"/>
      <c r="N81" s="2"/>
    </row>
    <row r="82" spans="1:14" s="2" customFormat="1" x14ac:dyDescent="0.2">
      <c r="A82" s="24"/>
      <c r="B82" s="1"/>
      <c r="C82" s="47" t="s">
        <v>570</v>
      </c>
      <c r="D82" s="111">
        <v>2229.15</v>
      </c>
      <c r="E82" s="104"/>
      <c r="G82" s="1"/>
      <c r="H82" s="110" t="s">
        <v>581</v>
      </c>
      <c r="N82" s="2" t="s">
        <v>535</v>
      </c>
    </row>
    <row r="83" spans="1:14" s="2" customFormat="1" x14ac:dyDescent="0.2">
      <c r="A83" s="24"/>
      <c r="B83" s="1"/>
      <c r="C83" s="47" t="s">
        <v>931</v>
      </c>
      <c r="D83" s="111">
        <v>270.95</v>
      </c>
      <c r="E83" s="104"/>
      <c r="G83" s="1"/>
      <c r="H83" s="110" t="s">
        <v>580</v>
      </c>
    </row>
    <row r="84" spans="1:14" s="2" customFormat="1" x14ac:dyDescent="0.2">
      <c r="A84" s="24"/>
      <c r="B84" s="1"/>
      <c r="C84" s="47" t="s">
        <v>572</v>
      </c>
      <c r="D84" s="111">
        <f>+D113/100000</f>
        <v>99.590049100000002</v>
      </c>
      <c r="E84" s="104"/>
      <c r="G84" s="1"/>
      <c r="H84" s="90" t="s">
        <v>587</v>
      </c>
    </row>
    <row r="85" spans="1:14" s="2" customFormat="1" x14ac:dyDescent="0.2">
      <c r="A85" s="24"/>
      <c r="B85" s="1"/>
      <c r="C85" s="108" t="s">
        <v>578</v>
      </c>
      <c r="D85" s="48">
        <f>SUM(D82:D84)</f>
        <v>2599.6900491000001</v>
      </c>
      <c r="E85" s="104"/>
      <c r="G85" s="1"/>
    </row>
    <row r="86" spans="1:14" s="2" customFormat="1" x14ac:dyDescent="0.2">
      <c r="A86" s="24"/>
      <c r="B86" s="1"/>
      <c r="C86" s="47"/>
      <c r="D86" s="107"/>
      <c r="E86" s="104"/>
      <c r="G86" s="1"/>
    </row>
    <row r="87" spans="1:14" s="2" customFormat="1" x14ac:dyDescent="0.2">
      <c r="A87" s="24"/>
      <c r="B87" s="1"/>
      <c r="C87" s="47" t="s">
        <v>932</v>
      </c>
      <c r="D87" s="111">
        <v>136.78</v>
      </c>
      <c r="E87" s="104"/>
      <c r="G87" s="1"/>
      <c r="H87" s="110" t="s">
        <v>581</v>
      </c>
    </row>
    <row r="88" spans="1:14" s="2" customFormat="1" x14ac:dyDescent="0.2">
      <c r="A88" s="24"/>
      <c r="B88" s="1"/>
      <c r="C88" s="136" t="s">
        <v>1142</v>
      </c>
      <c r="D88" s="111">
        <f>314.94+121.87-136.45-60.1</f>
        <v>240.26000000000002</v>
      </c>
      <c r="E88" s="104"/>
      <c r="G88" s="1"/>
      <c r="H88" s="110" t="s">
        <v>581</v>
      </c>
      <c r="J88" s="114" t="s">
        <v>713</v>
      </c>
    </row>
    <row r="89" spans="1:14" s="2" customFormat="1" x14ac:dyDescent="0.2">
      <c r="A89" s="24"/>
      <c r="B89" s="1"/>
      <c r="C89" s="78" t="s">
        <v>579</v>
      </c>
      <c r="D89" s="109">
        <f>D87+D88</f>
        <v>377.04</v>
      </c>
      <c r="E89" s="104"/>
      <c r="G89" s="1"/>
      <c r="I89" s="113"/>
      <c r="J89" s="113" t="s">
        <v>709</v>
      </c>
      <c r="K89" s="113" t="s">
        <v>710</v>
      </c>
      <c r="L89" s="113" t="s">
        <v>711</v>
      </c>
      <c r="M89" s="113" t="s">
        <v>712</v>
      </c>
    </row>
    <row r="90" spans="1:14" s="2" customFormat="1" x14ac:dyDescent="0.2">
      <c r="A90" s="24"/>
      <c r="B90" s="1"/>
      <c r="C90" s="105"/>
      <c r="D90" s="106"/>
      <c r="E90" s="104"/>
      <c r="G90" s="1"/>
      <c r="I90" s="113" t="s">
        <v>706</v>
      </c>
      <c r="J90" s="115"/>
      <c r="K90" s="115">
        <v>968.99</v>
      </c>
      <c r="L90" s="115">
        <v>968.99</v>
      </c>
      <c r="M90" s="113">
        <f>+J90+L90-K90</f>
        <v>0</v>
      </c>
    </row>
    <row r="91" spans="1:14" s="2" customFormat="1" x14ac:dyDescent="0.2">
      <c r="A91" s="24"/>
      <c r="B91" s="1"/>
      <c r="C91" s="78" t="s">
        <v>577</v>
      </c>
      <c r="D91" s="109">
        <f>D82+D89</f>
        <v>2606.19</v>
      </c>
      <c r="E91" s="104"/>
      <c r="G91" s="1"/>
      <c r="I91" s="113" t="s">
        <v>707</v>
      </c>
      <c r="J91" s="115">
        <v>183.1</v>
      </c>
      <c r="K91" s="115">
        <v>3195.48</v>
      </c>
      <c r="L91" s="115">
        <v>3687.95</v>
      </c>
      <c r="M91" s="113">
        <f>+J91+L91-K91</f>
        <v>675.56999999999971</v>
      </c>
    </row>
    <row r="92" spans="1:14" s="2" customFormat="1" x14ac:dyDescent="0.2">
      <c r="A92" s="24"/>
      <c r="B92" s="1"/>
      <c r="C92" s="56"/>
      <c r="D92" s="56"/>
      <c r="E92" s="104"/>
      <c r="G92" s="1"/>
      <c r="I92" s="113" t="s">
        <v>708</v>
      </c>
      <c r="J92" s="115">
        <v>1371.02</v>
      </c>
      <c r="K92" s="115">
        <f>13379.95+136.45</f>
        <v>13516.400000000001</v>
      </c>
      <c r="L92" s="115">
        <f>12936.44+301.37</f>
        <v>13237.810000000001</v>
      </c>
      <c r="M92" s="113">
        <f>+J92+L92-K92</f>
        <v>1092.4300000000003</v>
      </c>
    </row>
    <row r="93" spans="1:14" s="2" customFormat="1" ht="38.25" x14ac:dyDescent="0.2">
      <c r="A93" s="24"/>
      <c r="B93" s="1"/>
      <c r="C93" s="79" t="str">
        <f>"Particulars ( 01-04-2021 to "&amp;TEXT(A5,"dd-mm-yyyy")&amp;" )"</f>
        <v>Particulars ( 01-04-2021 to 19-08-2023 )</v>
      </c>
      <c r="D93" s="80" t="s">
        <v>73</v>
      </c>
      <c r="E93" s="80" t="s">
        <v>74</v>
      </c>
      <c r="F93" s="81" t="s">
        <v>75</v>
      </c>
      <c r="G93" s="80" t="s">
        <v>76</v>
      </c>
      <c r="J93" s="118">
        <f>SUM(J90:J92)</f>
        <v>1554.12</v>
      </c>
      <c r="K93" s="118">
        <f>SUM(K90:K92)</f>
        <v>17680.870000000003</v>
      </c>
      <c r="L93" s="118">
        <f>SUM(L90:L92)</f>
        <v>17894.75</v>
      </c>
      <c r="M93" s="118">
        <f>SUM(M90:M92)</f>
        <v>1768</v>
      </c>
    </row>
    <row r="94" spans="1:14" s="2" customFormat="1" x14ac:dyDescent="0.2">
      <c r="A94" s="24"/>
      <c r="B94" s="1"/>
      <c r="C94" s="50" t="s">
        <v>444</v>
      </c>
      <c r="D94" s="55">
        <f>+L90+L91+J91</f>
        <v>4840.04</v>
      </c>
      <c r="E94" s="55">
        <f>+K90+K91</f>
        <v>4164.47</v>
      </c>
      <c r="F94" s="55">
        <f>+D94-E94</f>
        <v>675.56999999999971</v>
      </c>
      <c r="G94" s="55">
        <f>1500-F94</f>
        <v>824.43000000000029</v>
      </c>
      <c r="H94" s="2" t="s">
        <v>396</v>
      </c>
    </row>
    <row r="95" spans="1:14" s="2" customFormat="1" x14ac:dyDescent="0.2">
      <c r="A95" s="24"/>
      <c r="B95" s="1"/>
      <c r="C95" s="50" t="s">
        <v>71</v>
      </c>
      <c r="D95" s="55">
        <f>+J92+L92</f>
        <v>14608.830000000002</v>
      </c>
      <c r="E95" s="55">
        <f>+K92</f>
        <v>13516.400000000001</v>
      </c>
      <c r="F95" s="55">
        <f>+D95-E95</f>
        <v>1092.4300000000003</v>
      </c>
      <c r="G95" s="55">
        <f>1500+700-F95</f>
        <v>1107.5699999999997</v>
      </c>
      <c r="H95" s="2" t="s">
        <v>396</v>
      </c>
    </row>
    <row r="96" spans="1:14" s="2" customFormat="1" x14ac:dyDescent="0.2">
      <c r="A96" s="24"/>
      <c r="B96" s="1"/>
      <c r="C96" s="14"/>
      <c r="D96" s="56"/>
      <c r="E96" s="13"/>
      <c r="G96" s="1"/>
    </row>
    <row r="97" spans="1:13" s="2" customFormat="1" x14ac:dyDescent="0.2">
      <c r="A97" s="215" t="s">
        <v>80</v>
      </c>
      <c r="B97" s="216"/>
      <c r="C97" s="216"/>
      <c r="D97" s="217"/>
      <c r="E97" s="69"/>
      <c r="F97" s="70"/>
      <c r="G97" s="1"/>
      <c r="H97" s="53"/>
    </row>
    <row r="98" spans="1:13" s="2" customFormat="1" x14ac:dyDescent="0.2">
      <c r="A98" s="71" t="s">
        <v>81</v>
      </c>
      <c r="B98" s="71"/>
      <c r="C98" s="72" t="s">
        <v>82</v>
      </c>
      <c r="D98" s="73" t="s">
        <v>83</v>
      </c>
      <c r="E98" s="69"/>
      <c r="F98" s="70"/>
      <c r="H98" s="53"/>
    </row>
    <row r="99" spans="1:13" s="2" customFormat="1" x14ac:dyDescent="0.2">
      <c r="A99" s="87">
        <v>45139</v>
      </c>
      <c r="B99" s="120" t="s">
        <v>1052</v>
      </c>
      <c r="C99" s="75" t="s">
        <v>85</v>
      </c>
      <c r="D99" s="88">
        <v>552343</v>
      </c>
      <c r="G99" s="1"/>
      <c r="L99" s="1"/>
      <c r="M99" s="1"/>
    </row>
    <row r="100" spans="1:13" s="2" customFormat="1" x14ac:dyDescent="0.2">
      <c r="A100" s="87">
        <v>45140</v>
      </c>
      <c r="B100" s="120" t="s">
        <v>1052</v>
      </c>
      <c r="C100" s="75" t="s">
        <v>270</v>
      </c>
      <c r="D100" s="88">
        <v>244404</v>
      </c>
      <c r="G100" s="1"/>
      <c r="L100" s="1"/>
      <c r="M100" s="1"/>
    </row>
    <row r="101" spans="1:13" s="2" customFormat="1" x14ac:dyDescent="0.2">
      <c r="A101" s="87">
        <v>45140</v>
      </c>
      <c r="B101" s="120" t="s">
        <v>1052</v>
      </c>
      <c r="C101" s="75" t="s">
        <v>270</v>
      </c>
      <c r="D101" s="88">
        <v>550256</v>
      </c>
      <c r="G101" s="1"/>
      <c r="L101" s="1"/>
      <c r="M101" s="1"/>
    </row>
    <row r="102" spans="1:13" s="2" customFormat="1" x14ac:dyDescent="0.2">
      <c r="A102" s="87">
        <v>45140</v>
      </c>
      <c r="B102" s="120" t="s">
        <v>1052</v>
      </c>
      <c r="C102" s="75" t="s">
        <v>270</v>
      </c>
      <c r="D102" s="88">
        <v>191589</v>
      </c>
      <c r="G102" s="1"/>
      <c r="L102" s="1"/>
      <c r="M102" s="1"/>
    </row>
    <row r="103" spans="1:13" s="2" customFormat="1" x14ac:dyDescent="0.2">
      <c r="A103" s="87">
        <v>45140</v>
      </c>
      <c r="B103" s="120" t="s">
        <v>1052</v>
      </c>
      <c r="C103" s="75" t="s">
        <v>270</v>
      </c>
      <c r="D103" s="88">
        <v>74415.91</v>
      </c>
      <c r="G103" s="1"/>
      <c r="L103" s="1"/>
      <c r="M103" s="1"/>
    </row>
    <row r="104" spans="1:13" s="2" customFormat="1" x14ac:dyDescent="0.2">
      <c r="A104" s="87">
        <v>45140</v>
      </c>
      <c r="B104" s="120" t="s">
        <v>1052</v>
      </c>
      <c r="C104" s="75" t="s">
        <v>271</v>
      </c>
      <c r="D104" s="88">
        <v>454781</v>
      </c>
      <c r="G104" s="1"/>
      <c r="L104" s="1"/>
      <c r="M104" s="1"/>
    </row>
    <row r="105" spans="1:13" s="2" customFormat="1" x14ac:dyDescent="0.2">
      <c r="A105" s="87">
        <v>45141</v>
      </c>
      <c r="B105" s="120" t="s">
        <v>1052</v>
      </c>
      <c r="C105" s="75" t="s">
        <v>909</v>
      </c>
      <c r="D105" s="88">
        <v>910969</v>
      </c>
      <c r="G105" s="1"/>
      <c r="L105" s="1"/>
      <c r="M105" s="1"/>
    </row>
    <row r="106" spans="1:13" s="2" customFormat="1" x14ac:dyDescent="0.2">
      <c r="A106" s="87">
        <v>45141</v>
      </c>
      <c r="B106" s="120" t="s">
        <v>1052</v>
      </c>
      <c r="C106" s="75" t="s">
        <v>909</v>
      </c>
      <c r="D106" s="88">
        <v>1424635</v>
      </c>
      <c r="G106" s="1"/>
      <c r="L106" s="1"/>
      <c r="M106" s="1"/>
    </row>
    <row r="107" spans="1:13" s="2" customFormat="1" x14ac:dyDescent="0.2">
      <c r="A107" s="87">
        <v>45143</v>
      </c>
      <c r="B107" s="120" t="s">
        <v>1052</v>
      </c>
      <c r="C107" s="75" t="s">
        <v>85</v>
      </c>
      <c r="D107" s="88">
        <v>644288</v>
      </c>
      <c r="G107" s="1"/>
      <c r="L107" s="1"/>
      <c r="M107" s="1"/>
    </row>
    <row r="108" spans="1:13" s="2" customFormat="1" x14ac:dyDescent="0.2">
      <c r="A108" s="87">
        <v>45146</v>
      </c>
      <c r="B108" s="120" t="s">
        <v>1052</v>
      </c>
      <c r="C108" s="75" t="s">
        <v>85</v>
      </c>
      <c r="D108" s="88">
        <v>136333</v>
      </c>
      <c r="G108" s="1"/>
      <c r="L108" s="1"/>
      <c r="M108" s="1"/>
    </row>
    <row r="109" spans="1:13" s="2" customFormat="1" x14ac:dyDescent="0.2">
      <c r="A109" s="87">
        <v>45146</v>
      </c>
      <c r="B109" s="120" t="s">
        <v>1052</v>
      </c>
      <c r="C109" s="75" t="s">
        <v>1343</v>
      </c>
      <c r="D109" s="88">
        <v>2000000</v>
      </c>
      <c r="G109" s="1"/>
      <c r="L109" s="1"/>
      <c r="M109" s="1"/>
    </row>
    <row r="110" spans="1:13" s="2" customFormat="1" x14ac:dyDescent="0.2">
      <c r="A110" s="87">
        <v>45152</v>
      </c>
      <c r="B110" s="120" t="s">
        <v>1052</v>
      </c>
      <c r="C110" s="75" t="s">
        <v>270</v>
      </c>
      <c r="D110" s="88">
        <v>26225</v>
      </c>
      <c r="G110" s="1"/>
      <c r="L110" s="1"/>
      <c r="M110" s="1"/>
    </row>
    <row r="111" spans="1:13" s="2" customFormat="1" x14ac:dyDescent="0.2">
      <c r="A111" s="87">
        <v>45152</v>
      </c>
      <c r="B111" s="120" t="s">
        <v>1052</v>
      </c>
      <c r="C111" s="75" t="s">
        <v>270</v>
      </c>
      <c r="D111" s="88">
        <v>47499</v>
      </c>
      <c r="G111" s="1"/>
      <c r="L111" s="1"/>
      <c r="M111" s="1"/>
    </row>
    <row r="112" spans="1:13" s="2" customFormat="1" x14ac:dyDescent="0.2">
      <c r="A112" s="87">
        <v>45154</v>
      </c>
      <c r="B112" s="120" t="s">
        <v>1052</v>
      </c>
      <c r="C112" s="75" t="s">
        <v>271</v>
      </c>
      <c r="D112" s="88">
        <v>2701267</v>
      </c>
      <c r="G112" s="1"/>
      <c r="L112" s="1"/>
      <c r="M112" s="1"/>
    </row>
    <row r="113" spans="1:13" s="2" customFormat="1" x14ac:dyDescent="0.2">
      <c r="A113" s="87"/>
      <c r="B113" s="74"/>
      <c r="C113" s="75"/>
      <c r="D113" s="51">
        <f>SUM(D99:D112)</f>
        <v>9959004.9100000001</v>
      </c>
      <c r="F113" s="2" t="s">
        <v>396</v>
      </c>
      <c r="G113" s="1"/>
      <c r="L113" s="1"/>
      <c r="M113" s="1"/>
    </row>
    <row r="114" spans="1:13" s="2" customFormat="1" x14ac:dyDescent="0.2">
      <c r="A114" s="24"/>
      <c r="B114" s="1"/>
      <c r="C114" s="14"/>
      <c r="D114" s="56"/>
      <c r="E114" s="13"/>
      <c r="G114" s="1"/>
      <c r="L114" s="1"/>
      <c r="M114" s="1"/>
    </row>
    <row r="115" spans="1:13" s="2" customFormat="1" x14ac:dyDescent="0.2">
      <c r="A115" s="24"/>
      <c r="B115" s="1"/>
      <c r="C115" s="218" t="s">
        <v>77</v>
      </c>
      <c r="D115" s="219"/>
      <c r="E115" s="219"/>
      <c r="F115" s="220"/>
      <c r="G115" s="1"/>
      <c r="L115" s="1"/>
      <c r="M115" s="1"/>
    </row>
    <row r="116" spans="1:13" s="2" customFormat="1" x14ac:dyDescent="0.2">
      <c r="A116" s="24"/>
      <c r="B116" s="1"/>
      <c r="C116" s="50"/>
      <c r="D116" s="57" t="s">
        <v>78</v>
      </c>
      <c r="E116" s="58" t="s">
        <v>79</v>
      </c>
      <c r="F116" s="57" t="s">
        <v>72</v>
      </c>
      <c r="G116" s="1"/>
      <c r="I116" s="1"/>
      <c r="J116" s="1"/>
      <c r="K116" s="1"/>
      <c r="L116" s="1"/>
      <c r="M116" s="1"/>
    </row>
    <row r="117" spans="1:13" s="2" customFormat="1" x14ac:dyDescent="0.2">
      <c r="A117" s="24"/>
      <c r="B117" s="1"/>
      <c r="C117" s="59" t="str">
        <f>"01-08-2023 to "&amp;TEXT(A5-2,"dd-mm-yyyy")</f>
        <v>01-08-2023 to 17-08-2023</v>
      </c>
      <c r="D117" s="60">
        <v>1942.25</v>
      </c>
      <c r="E117" s="60">
        <v>154.19</v>
      </c>
      <c r="F117" s="61">
        <f>SUM(D117:E117)</f>
        <v>2096.44</v>
      </c>
      <c r="G117" s="1"/>
    </row>
    <row r="118" spans="1:13" s="2" customFormat="1" x14ac:dyDescent="0.2">
      <c r="A118" s="24"/>
      <c r="B118" s="1"/>
      <c r="C118" s="62" t="str">
        <f>TEXT(A5-1,"dd-mm-yyyy")</f>
        <v>18-08-2023</v>
      </c>
      <c r="D118" s="60">
        <v>87.76</v>
      </c>
      <c r="E118" s="60">
        <v>18.16</v>
      </c>
      <c r="F118" s="61">
        <f>SUM(D118:E118)</f>
        <v>105.92</v>
      </c>
      <c r="G118" s="54"/>
      <c r="I118" s="1"/>
      <c r="J118" s="1"/>
      <c r="K118" s="1"/>
      <c r="L118" s="1"/>
      <c r="M118" s="1"/>
    </row>
    <row r="119" spans="1:13" s="2" customFormat="1" ht="13.5" thickBot="1" x14ac:dyDescent="0.25">
      <c r="A119" s="24"/>
      <c r="B119" s="1"/>
      <c r="C119" s="63" t="str">
        <f>"01-08-2023 to "&amp;TEXT(A5-1,"dd-mm-yyyy")</f>
        <v>01-08-2023 to 18-08-2023</v>
      </c>
      <c r="D119" s="64">
        <f>SUM(D117:D118)</f>
        <v>2030.01</v>
      </c>
      <c r="E119" s="64">
        <f>SUM(E117:E118)</f>
        <v>172.35</v>
      </c>
      <c r="F119" s="64">
        <f>SUM(F117:F118)</f>
        <v>2202.36</v>
      </c>
      <c r="G119" s="54"/>
      <c r="I119" s="1"/>
      <c r="J119" s="1"/>
      <c r="K119" s="1"/>
      <c r="L119" s="1"/>
      <c r="M119" s="1"/>
    </row>
    <row r="120" spans="1:13" s="2" customFormat="1" ht="13.5" thickTop="1" x14ac:dyDescent="0.2">
      <c r="A120" s="24"/>
      <c r="B120" s="1"/>
      <c r="C120" s="62"/>
      <c r="D120" s="65"/>
      <c r="E120" s="66"/>
      <c r="F120" s="67"/>
      <c r="G120" s="54"/>
      <c r="I120" s="1"/>
      <c r="J120" s="1"/>
      <c r="K120" s="1"/>
      <c r="L120" s="1"/>
      <c r="M120" s="1"/>
    </row>
    <row r="121" spans="1:13" s="2" customFormat="1" x14ac:dyDescent="0.2">
      <c r="A121" s="24"/>
      <c r="B121" s="1"/>
      <c r="C121" s="62" t="str">
        <f>"01-04-2023 to " &amp;C118</f>
        <v>01-04-2023 to 18-08-2023</v>
      </c>
      <c r="D121" s="68">
        <f>+D119+20859.39</f>
        <v>22889.399999999998</v>
      </c>
      <c r="E121" s="68">
        <f>+E119+1376.76</f>
        <v>1549.11</v>
      </c>
      <c r="F121" s="68">
        <f>+F119+22236.15</f>
        <v>24438.510000000002</v>
      </c>
      <c r="G121" s="54"/>
      <c r="I121" s="1"/>
      <c r="J121" s="1"/>
      <c r="K121" s="1"/>
      <c r="L121" s="1"/>
      <c r="M121" s="1"/>
    </row>
    <row r="122" spans="1:13" x14ac:dyDescent="0.2">
      <c r="C122" s="52"/>
      <c r="D122" s="85"/>
      <c r="E122" s="53"/>
      <c r="F122" s="53"/>
      <c r="G122" s="54"/>
      <c r="H122" s="2" t="s">
        <v>396</v>
      </c>
    </row>
    <row r="123" spans="1:13" s="2" customFormat="1" x14ac:dyDescent="0.2">
      <c r="A123" s="24"/>
      <c r="B123" s="1"/>
      <c r="C123" s="52"/>
      <c r="D123" s="85"/>
      <c r="E123" s="53"/>
      <c r="F123" s="53"/>
      <c r="G123" s="54"/>
      <c r="H123" s="53"/>
    </row>
    <row r="124" spans="1:13" x14ac:dyDescent="0.2">
      <c r="C124" s="52"/>
      <c r="D124" s="85"/>
      <c r="E124" s="53"/>
      <c r="F124" s="53"/>
      <c r="G124" s="54"/>
      <c r="H124" s="53" t="s">
        <v>396</v>
      </c>
    </row>
    <row r="125" spans="1:13" x14ac:dyDescent="0.2">
      <c r="C125" s="52"/>
      <c r="D125" s="85"/>
      <c r="E125" s="53"/>
      <c r="F125" s="53"/>
      <c r="G125" s="54"/>
      <c r="H125" s="53" t="s">
        <v>396</v>
      </c>
      <c r="J125" s="42"/>
    </row>
    <row r="126" spans="1:13" x14ac:dyDescent="0.2">
      <c r="G126" s="54"/>
      <c r="H126" s="53"/>
      <c r="I126" s="101"/>
    </row>
    <row r="127" spans="1:13" x14ac:dyDescent="0.2">
      <c r="G127" s="54"/>
      <c r="H127" s="53"/>
    </row>
    <row r="128" spans="1:13" x14ac:dyDescent="0.2">
      <c r="G128" s="54"/>
      <c r="H128" s="53"/>
    </row>
    <row r="129" spans="8:8" x14ac:dyDescent="0.2">
      <c r="H129" s="53"/>
    </row>
  </sheetData>
  <mergeCells count="6">
    <mergeCell ref="C115:F115"/>
    <mergeCell ref="A1:G1"/>
    <mergeCell ref="A3:F3"/>
    <mergeCell ref="A10:F10"/>
    <mergeCell ref="A28:F28"/>
    <mergeCell ref="A97:D97"/>
  </mergeCells>
  <conditionalFormatting sqref="G94:G95">
    <cfRule type="cellIs" dxfId="355" priority="1" operator="lessThan">
      <formula>0</formula>
    </cfRule>
  </conditionalFormatting>
  <conditionalFormatting sqref="C30">
    <cfRule type="duplicateValues" dxfId="354" priority="2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100-000000000000}">
  <sheetPr codeName="Sheet409">
    <pageSetUpPr fitToPage="1"/>
  </sheetPr>
  <dimension ref="A1:N136"/>
  <sheetViews>
    <sheetView topLeftCell="A75" zoomScaleNormal="100" workbookViewId="0">
      <selection activeCell="D89" sqref="D89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1393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45159</v>
      </c>
      <c r="B5" s="9" t="s">
        <v>6</v>
      </c>
      <c r="C5" s="10" t="s">
        <v>7</v>
      </c>
      <c r="D5" s="11"/>
      <c r="E5" s="12">
        <v>1846581.74</v>
      </c>
      <c r="F5" s="12"/>
      <c r="G5" s="1"/>
      <c r="H5" s="112"/>
      <c r="I5" s="112"/>
    </row>
    <row r="6" spans="1:10" s="2" customFormat="1" ht="14.25" customHeight="1" x14ac:dyDescent="0.4">
      <c r="A6" s="89">
        <v>45159</v>
      </c>
      <c r="B6" s="9" t="s">
        <v>11</v>
      </c>
      <c r="C6" s="10" t="s">
        <v>489</v>
      </c>
      <c r="D6" s="11" t="s">
        <v>29</v>
      </c>
      <c r="E6" s="12"/>
      <c r="F6" s="12">
        <v>300000</v>
      </c>
      <c r="G6" s="1"/>
      <c r="H6" s="112"/>
      <c r="I6" s="112"/>
    </row>
    <row r="7" spans="1:10" s="2" customFormat="1" ht="12.75" customHeight="1" x14ac:dyDescent="0.4">
      <c r="D7" s="15" t="s">
        <v>8</v>
      </c>
      <c r="E7" s="16">
        <f>SUM(E5:E6)</f>
        <v>1846581.74</v>
      </c>
      <c r="F7" s="16">
        <f>SUM(F5:F6)</f>
        <v>300000</v>
      </c>
      <c r="G7" s="1"/>
      <c r="H7" s="112"/>
      <c r="I7" s="112"/>
    </row>
    <row r="8" spans="1:10" s="2" customFormat="1" ht="12.75" customHeight="1" x14ac:dyDescent="0.4">
      <c r="A8" s="17"/>
      <c r="B8" s="18"/>
      <c r="C8" s="19" t="s">
        <v>9</v>
      </c>
      <c r="D8" s="20"/>
      <c r="E8" s="21">
        <f>+E7-F7</f>
        <v>1546581.74</v>
      </c>
      <c r="F8" s="22"/>
      <c r="G8" s="23"/>
      <c r="H8" s="112"/>
      <c r="I8" s="112"/>
      <c r="J8" s="13"/>
    </row>
    <row r="9" spans="1:10" ht="12.75" customHeight="1" x14ac:dyDescent="0.4">
      <c r="H9" s="112"/>
      <c r="I9" s="112"/>
    </row>
    <row r="10" spans="1:10" ht="18" customHeight="1" x14ac:dyDescent="0.4">
      <c r="A10" s="213" t="s">
        <v>1037</v>
      </c>
      <c r="B10" s="213"/>
      <c r="C10" s="213"/>
      <c r="D10" s="213"/>
      <c r="E10" s="213"/>
      <c r="F10" s="213"/>
      <c r="H10" s="112"/>
      <c r="I10" s="112"/>
    </row>
    <row r="11" spans="1:10" ht="12.75" customHeight="1" x14ac:dyDescent="0.4">
      <c r="A11" s="3" t="s">
        <v>1</v>
      </c>
      <c r="B11" s="4" t="s">
        <v>2</v>
      </c>
      <c r="C11" s="5"/>
      <c r="D11" s="6" t="s">
        <v>3</v>
      </c>
      <c r="E11" s="7" t="s">
        <v>4</v>
      </c>
      <c r="F11" s="7" t="s">
        <v>5</v>
      </c>
      <c r="H11" s="112"/>
      <c r="I11" s="112"/>
    </row>
    <row r="12" spans="1:10" s="2" customFormat="1" ht="14.25" customHeight="1" x14ac:dyDescent="0.2">
      <c r="A12" s="89">
        <v>45159</v>
      </c>
      <c r="B12" s="9" t="s">
        <v>6</v>
      </c>
      <c r="C12" s="10" t="s">
        <v>7</v>
      </c>
      <c r="D12" s="11"/>
      <c r="F12" s="12">
        <v>53751629.270000003</v>
      </c>
      <c r="G12" s="1"/>
      <c r="H12" s="130" t="s">
        <v>396</v>
      </c>
      <c r="I12" s="130"/>
    </row>
    <row r="13" spans="1:10" s="70" customFormat="1" ht="12.75" customHeight="1" x14ac:dyDescent="0.2">
      <c r="A13" s="89">
        <v>45159</v>
      </c>
      <c r="B13" s="9" t="s">
        <v>6</v>
      </c>
      <c r="C13" s="76" t="s">
        <v>375</v>
      </c>
      <c r="D13" s="11" t="s">
        <v>13</v>
      </c>
      <c r="E13" s="31">
        <v>938908</v>
      </c>
      <c r="F13" s="31"/>
      <c r="G13" s="30"/>
      <c r="I13" s="69"/>
      <c r="J13" s="69"/>
    </row>
    <row r="14" spans="1:10" s="70" customFormat="1" ht="12.75" customHeight="1" x14ac:dyDescent="0.2">
      <c r="A14" s="89">
        <v>45159</v>
      </c>
      <c r="B14" s="9" t="s">
        <v>11</v>
      </c>
      <c r="C14" s="76" t="s">
        <v>194</v>
      </c>
      <c r="D14" s="11" t="s">
        <v>29</v>
      </c>
      <c r="E14" s="31"/>
      <c r="F14" s="31">
        <v>1199505</v>
      </c>
      <c r="G14" s="30"/>
      <c r="I14" s="69"/>
      <c r="J14" s="69"/>
    </row>
    <row r="15" spans="1:10" s="70" customFormat="1" ht="12.75" customHeight="1" x14ac:dyDescent="0.2">
      <c r="A15" s="89">
        <v>45159</v>
      </c>
      <c r="B15" s="9" t="s">
        <v>11</v>
      </c>
      <c r="C15" s="76" t="s">
        <v>790</v>
      </c>
      <c r="D15" s="11" t="s">
        <v>29</v>
      </c>
      <c r="E15" s="31"/>
      <c r="F15" s="31">
        <v>555503</v>
      </c>
      <c r="G15" s="30"/>
      <c r="I15" s="69"/>
      <c r="J15" s="69"/>
    </row>
    <row r="16" spans="1:10" s="70" customFormat="1" ht="12.75" customHeight="1" x14ac:dyDescent="0.2">
      <c r="A16" s="89">
        <v>45159</v>
      </c>
      <c r="B16" s="9" t="s">
        <v>11</v>
      </c>
      <c r="C16" s="76" t="s">
        <v>849</v>
      </c>
      <c r="D16" s="11" t="s">
        <v>29</v>
      </c>
      <c r="E16" s="31"/>
      <c r="F16" s="31">
        <v>448979</v>
      </c>
      <c r="G16" s="30"/>
      <c r="I16" s="69"/>
      <c r="J16" s="69"/>
    </row>
    <row r="17" spans="1:10" s="70" customFormat="1" ht="12.75" customHeight="1" x14ac:dyDescent="0.2">
      <c r="A17" s="89">
        <v>45159</v>
      </c>
      <c r="B17" s="9" t="s">
        <v>11</v>
      </c>
      <c r="C17" s="76" t="s">
        <v>745</v>
      </c>
      <c r="D17" s="11" t="s">
        <v>29</v>
      </c>
      <c r="E17" s="31"/>
      <c r="F17" s="31">
        <v>550251</v>
      </c>
      <c r="G17" s="30"/>
      <c r="I17" s="69"/>
      <c r="J17" s="69"/>
    </row>
    <row r="18" spans="1:10" s="70" customFormat="1" ht="12.75" customHeight="1" x14ac:dyDescent="0.2">
      <c r="A18" s="89">
        <v>45159</v>
      </c>
      <c r="B18" s="9" t="s">
        <v>11</v>
      </c>
      <c r="C18" s="76" t="s">
        <v>193</v>
      </c>
      <c r="D18" s="11" t="s">
        <v>29</v>
      </c>
      <c r="E18" s="31"/>
      <c r="F18" s="31">
        <v>377547</v>
      </c>
      <c r="G18" s="30"/>
      <c r="I18" s="69"/>
      <c r="J18" s="69"/>
    </row>
    <row r="19" spans="1:10" s="70" customFormat="1" ht="12.75" customHeight="1" x14ac:dyDescent="0.2">
      <c r="A19" s="89">
        <v>45159</v>
      </c>
      <c r="B19" s="9" t="s">
        <v>11</v>
      </c>
      <c r="C19" s="76" t="s">
        <v>56</v>
      </c>
      <c r="D19" s="11" t="s">
        <v>29</v>
      </c>
      <c r="E19" s="31"/>
      <c r="F19" s="31">
        <v>425187</v>
      </c>
      <c r="G19" s="30"/>
      <c r="I19" s="69"/>
      <c r="J19" s="69"/>
    </row>
    <row r="20" spans="1:10" s="70" customFormat="1" ht="12.75" customHeight="1" x14ac:dyDescent="0.2">
      <c r="A20" s="89">
        <v>45159</v>
      </c>
      <c r="B20" s="9" t="s">
        <v>11</v>
      </c>
      <c r="C20" s="76" t="s">
        <v>139</v>
      </c>
      <c r="D20" s="11" t="s">
        <v>29</v>
      </c>
      <c r="E20" s="31"/>
      <c r="F20" s="31">
        <v>510320</v>
      </c>
      <c r="G20" s="30"/>
      <c r="I20" s="69"/>
      <c r="J20" s="69"/>
    </row>
    <row r="21" spans="1:10" s="70" customFormat="1" ht="12.75" customHeight="1" x14ac:dyDescent="0.2">
      <c r="A21" s="89">
        <v>45159</v>
      </c>
      <c r="B21" s="9" t="s">
        <v>11</v>
      </c>
      <c r="C21" s="76" t="s">
        <v>196</v>
      </c>
      <c r="D21" s="11" t="s">
        <v>29</v>
      </c>
      <c r="E21" s="31"/>
      <c r="F21" s="31">
        <v>59701</v>
      </c>
      <c r="G21" s="30"/>
      <c r="I21" s="69"/>
      <c r="J21" s="69"/>
    </row>
    <row r="22" spans="1:10" s="70" customFormat="1" ht="12.75" customHeight="1" x14ac:dyDescent="0.2">
      <c r="A22" s="89">
        <v>45159</v>
      </c>
      <c r="B22" s="9" t="s">
        <v>11</v>
      </c>
      <c r="C22" s="76" t="s">
        <v>135</v>
      </c>
      <c r="D22" s="11" t="s">
        <v>29</v>
      </c>
      <c r="E22" s="31"/>
      <c r="F22" s="31">
        <v>163760</v>
      </c>
      <c r="G22" s="30"/>
      <c r="I22" s="69"/>
      <c r="J22" s="69"/>
    </row>
    <row r="23" spans="1:10" s="70" customFormat="1" ht="12.75" customHeight="1" x14ac:dyDescent="0.2">
      <c r="A23" s="89">
        <v>45159</v>
      </c>
      <c r="B23" s="9" t="s">
        <v>11</v>
      </c>
      <c r="C23" s="76" t="s">
        <v>254</v>
      </c>
      <c r="D23" s="11" t="s">
        <v>29</v>
      </c>
      <c r="E23" s="31"/>
      <c r="F23" s="31">
        <v>90678</v>
      </c>
      <c r="G23" s="30"/>
      <c r="I23" s="69"/>
      <c r="J23" s="69"/>
    </row>
    <row r="24" spans="1:10" s="70" customFormat="1" ht="12.75" customHeight="1" x14ac:dyDescent="0.2">
      <c r="A24" s="89">
        <v>45159</v>
      </c>
      <c r="B24" s="9" t="s">
        <v>11</v>
      </c>
      <c r="C24" s="76" t="s">
        <v>30</v>
      </c>
      <c r="D24" s="11" t="s">
        <v>29</v>
      </c>
      <c r="E24" s="31"/>
      <c r="F24" s="31">
        <v>2456918</v>
      </c>
      <c r="G24" s="30"/>
      <c r="I24" s="69"/>
      <c r="J24" s="69"/>
    </row>
    <row r="25" spans="1:10" s="70" customFormat="1" ht="12.75" customHeight="1" x14ac:dyDescent="0.2">
      <c r="A25" s="89">
        <v>45159</v>
      </c>
      <c r="B25" s="9" t="s">
        <v>11</v>
      </c>
      <c r="C25" s="76" t="s">
        <v>340</v>
      </c>
      <c r="D25" s="11" t="s">
        <v>29</v>
      </c>
      <c r="E25" s="31"/>
      <c r="F25" s="31">
        <v>313909</v>
      </c>
      <c r="G25" s="30"/>
      <c r="I25" s="69"/>
      <c r="J25" s="69"/>
    </row>
    <row r="26" spans="1:10" s="70" customFormat="1" ht="12.75" customHeight="1" x14ac:dyDescent="0.2">
      <c r="A26" s="89">
        <v>45159</v>
      </c>
      <c r="B26" s="9" t="s">
        <v>11</v>
      </c>
      <c r="C26" s="76" t="s">
        <v>799</v>
      </c>
      <c r="D26" s="11" t="s">
        <v>29</v>
      </c>
      <c r="E26" s="31"/>
      <c r="F26" s="31">
        <v>518492</v>
      </c>
      <c r="G26" s="30"/>
      <c r="I26" s="69"/>
      <c r="J26" s="69"/>
    </row>
    <row r="27" spans="1:10" s="70" customFormat="1" ht="12.75" customHeight="1" x14ac:dyDescent="0.2">
      <c r="A27" s="89">
        <v>45159</v>
      </c>
      <c r="B27" s="9" t="s">
        <v>11</v>
      </c>
      <c r="C27" s="76" t="s">
        <v>253</v>
      </c>
      <c r="D27" s="11" t="s">
        <v>29</v>
      </c>
      <c r="E27" s="31"/>
      <c r="F27" s="31">
        <v>230100</v>
      </c>
      <c r="G27" s="30"/>
      <c r="I27" s="69"/>
      <c r="J27" s="69"/>
    </row>
    <row r="28" spans="1:10" s="70" customFormat="1" ht="12.75" customHeight="1" x14ac:dyDescent="0.2">
      <c r="A28" s="89">
        <v>45159</v>
      </c>
      <c r="B28" s="9" t="s">
        <v>11</v>
      </c>
      <c r="C28" s="76" t="s">
        <v>256</v>
      </c>
      <c r="D28" s="11" t="s">
        <v>29</v>
      </c>
      <c r="E28" s="31"/>
      <c r="F28" s="31">
        <v>720833</v>
      </c>
      <c r="G28" s="30"/>
      <c r="I28" s="69"/>
      <c r="J28" s="69"/>
    </row>
    <row r="29" spans="1:10" s="70" customFormat="1" ht="12.75" customHeight="1" x14ac:dyDescent="0.2">
      <c r="A29" s="89">
        <v>45159</v>
      </c>
      <c r="B29" s="9" t="s">
        <v>11</v>
      </c>
      <c r="C29" s="76" t="s">
        <v>1141</v>
      </c>
      <c r="D29" s="11" t="s">
        <v>29</v>
      </c>
      <c r="E29" s="31"/>
      <c r="F29" s="31">
        <v>264132</v>
      </c>
      <c r="G29" s="30"/>
      <c r="I29" s="69"/>
      <c r="J29" s="69"/>
    </row>
    <row r="30" spans="1:10" s="70" customFormat="1" ht="12.75" customHeight="1" x14ac:dyDescent="0.2">
      <c r="A30" s="89">
        <v>45159</v>
      </c>
      <c r="B30" s="9" t="s">
        <v>11</v>
      </c>
      <c r="C30" s="76" t="s">
        <v>308</v>
      </c>
      <c r="D30" s="11" t="s">
        <v>29</v>
      </c>
      <c r="E30" s="31"/>
      <c r="F30" s="31">
        <v>382025</v>
      </c>
      <c r="G30" s="30"/>
      <c r="I30" s="69"/>
      <c r="J30" s="69"/>
    </row>
    <row r="31" spans="1:10" s="70" customFormat="1" ht="12.75" customHeight="1" x14ac:dyDescent="0.2">
      <c r="A31" s="89">
        <v>45159</v>
      </c>
      <c r="B31" s="9" t="s">
        <v>11</v>
      </c>
      <c r="C31" s="76" t="s">
        <v>696</v>
      </c>
      <c r="D31" s="11" t="s">
        <v>29</v>
      </c>
      <c r="E31" s="31"/>
      <c r="F31" s="31">
        <v>1017911</v>
      </c>
      <c r="G31" s="30"/>
      <c r="I31" s="69"/>
      <c r="J31" s="69"/>
    </row>
    <row r="32" spans="1:10" s="70" customFormat="1" ht="12.75" customHeight="1" x14ac:dyDescent="0.2">
      <c r="A32" s="89">
        <v>45159</v>
      </c>
      <c r="B32" s="9" t="s">
        <v>11</v>
      </c>
      <c r="C32" s="76" t="s">
        <v>349</v>
      </c>
      <c r="D32" s="11" t="s">
        <v>29</v>
      </c>
      <c r="E32" s="31"/>
      <c r="F32" s="31">
        <v>13986</v>
      </c>
      <c r="G32" s="30"/>
      <c r="I32" s="69"/>
      <c r="J32" s="69"/>
    </row>
    <row r="33" spans="1:10" s="70" customFormat="1" ht="12.75" customHeight="1" x14ac:dyDescent="0.2">
      <c r="A33" s="89">
        <v>45159</v>
      </c>
      <c r="B33" s="9" t="s">
        <v>11</v>
      </c>
      <c r="C33" s="76" t="s">
        <v>45</v>
      </c>
      <c r="D33" s="11" t="s">
        <v>29</v>
      </c>
      <c r="E33" s="31"/>
      <c r="F33" s="31">
        <v>632447</v>
      </c>
      <c r="G33" s="30"/>
      <c r="I33" s="69"/>
      <c r="J33" s="69"/>
    </row>
    <row r="34" spans="1:10" s="70" customFormat="1" ht="12.75" customHeight="1" x14ac:dyDescent="0.2">
      <c r="A34" s="89">
        <v>45159</v>
      </c>
      <c r="B34" s="9" t="s">
        <v>11</v>
      </c>
      <c r="C34" s="76" t="s">
        <v>46</v>
      </c>
      <c r="D34" s="11" t="s">
        <v>29</v>
      </c>
      <c r="E34" s="31"/>
      <c r="F34" s="31">
        <v>116812</v>
      </c>
      <c r="G34" s="30"/>
      <c r="I34" s="69"/>
      <c r="J34" s="69"/>
    </row>
    <row r="35" spans="1:10" s="70" customFormat="1" ht="12.75" customHeight="1" x14ac:dyDescent="0.2">
      <c r="A35" s="89">
        <v>45159</v>
      </c>
      <c r="B35" s="9" t="s">
        <v>11</v>
      </c>
      <c r="C35" s="76" t="s">
        <v>809</v>
      </c>
      <c r="D35" s="11" t="s">
        <v>29</v>
      </c>
      <c r="E35" s="31"/>
      <c r="F35" s="31">
        <v>127440</v>
      </c>
      <c r="G35" s="30"/>
      <c r="I35" s="69"/>
      <c r="J35" s="69"/>
    </row>
    <row r="36" spans="1:10" s="70" customFormat="1" ht="12.75" customHeight="1" x14ac:dyDescent="0.2">
      <c r="A36" s="89">
        <v>45159</v>
      </c>
      <c r="B36" s="9" t="s">
        <v>11</v>
      </c>
      <c r="C36" s="76" t="s">
        <v>117</v>
      </c>
      <c r="D36" s="11" t="s">
        <v>29</v>
      </c>
      <c r="E36" s="31"/>
      <c r="F36" s="31">
        <v>230170</v>
      </c>
      <c r="G36" s="30"/>
      <c r="I36" s="69"/>
      <c r="J36" s="69"/>
    </row>
    <row r="37" spans="1:10" s="70" customFormat="1" ht="12.75" customHeight="1" x14ac:dyDescent="0.2">
      <c r="A37" s="89">
        <v>45159</v>
      </c>
      <c r="B37" s="9" t="s">
        <v>11</v>
      </c>
      <c r="C37" s="76" t="s">
        <v>1269</v>
      </c>
      <c r="D37" s="11" t="s">
        <v>29</v>
      </c>
      <c r="E37" s="31"/>
      <c r="F37" s="31">
        <v>205344</v>
      </c>
      <c r="G37" s="30"/>
      <c r="I37" s="69"/>
      <c r="J37" s="69"/>
    </row>
    <row r="38" spans="1:10" s="70" customFormat="1" ht="12.75" customHeight="1" x14ac:dyDescent="0.2">
      <c r="A38" s="89">
        <v>45159</v>
      </c>
      <c r="B38" s="9" t="s">
        <v>11</v>
      </c>
      <c r="C38" s="76" t="s">
        <v>49</v>
      </c>
      <c r="D38" s="11" t="s">
        <v>29</v>
      </c>
      <c r="E38" s="31"/>
      <c r="F38" s="31">
        <v>119036</v>
      </c>
      <c r="G38" s="30"/>
      <c r="I38" s="69"/>
      <c r="J38" s="69"/>
    </row>
    <row r="39" spans="1:10" s="70" customFormat="1" ht="12.75" customHeight="1" x14ac:dyDescent="0.2">
      <c r="A39" s="89">
        <v>45159</v>
      </c>
      <c r="B39" s="9" t="s">
        <v>11</v>
      </c>
      <c r="C39" s="76" t="s">
        <v>63</v>
      </c>
      <c r="D39" s="11" t="s">
        <v>29</v>
      </c>
      <c r="E39" s="31"/>
      <c r="F39" s="31">
        <v>5000000</v>
      </c>
      <c r="G39" s="30"/>
      <c r="I39" s="69"/>
      <c r="J39" s="69"/>
    </row>
    <row r="40" spans="1:10" s="70" customFormat="1" ht="12.75" customHeight="1" x14ac:dyDescent="0.2">
      <c r="A40" s="89">
        <v>45159</v>
      </c>
      <c r="B40" s="9" t="s">
        <v>11</v>
      </c>
      <c r="C40" s="76" t="s">
        <v>302</v>
      </c>
      <c r="D40" s="11" t="s">
        <v>29</v>
      </c>
      <c r="E40" s="31"/>
      <c r="F40" s="31">
        <v>31349</v>
      </c>
      <c r="G40" s="30"/>
      <c r="I40" s="69"/>
      <c r="J40" s="69"/>
    </row>
    <row r="41" spans="1:10" s="70" customFormat="1" ht="12.75" customHeight="1" x14ac:dyDescent="0.2">
      <c r="A41" s="89">
        <v>45159</v>
      </c>
      <c r="B41" s="9" t="s">
        <v>11</v>
      </c>
      <c r="C41" s="76" t="s">
        <v>243</v>
      </c>
      <c r="D41" s="11" t="s">
        <v>29</v>
      </c>
      <c r="E41" s="31"/>
      <c r="F41" s="31">
        <v>15179.61</v>
      </c>
      <c r="G41" s="30"/>
      <c r="I41" s="69"/>
      <c r="J41" s="69"/>
    </row>
    <row r="42" spans="1:10" s="70" customFormat="1" ht="12.75" customHeight="1" x14ac:dyDescent="0.2">
      <c r="A42" s="89">
        <v>45159</v>
      </c>
      <c r="B42" s="9" t="s">
        <v>11</v>
      </c>
      <c r="C42" s="76" t="s">
        <v>823</v>
      </c>
      <c r="D42" s="11" t="s">
        <v>29</v>
      </c>
      <c r="E42" s="31"/>
      <c r="F42" s="31">
        <v>21724</v>
      </c>
      <c r="G42" s="30"/>
      <c r="I42" s="69"/>
      <c r="J42" s="69"/>
    </row>
    <row r="43" spans="1:10" s="70" customFormat="1" ht="12.75" customHeight="1" x14ac:dyDescent="0.2">
      <c r="A43" s="89">
        <v>45159</v>
      </c>
      <c r="B43" s="9" t="s">
        <v>11</v>
      </c>
      <c r="C43" s="76" t="s">
        <v>111</v>
      </c>
      <c r="D43" s="11" t="s">
        <v>29</v>
      </c>
      <c r="E43" s="31"/>
      <c r="F43" s="31">
        <v>19173548.510000002</v>
      </c>
      <c r="G43" s="30"/>
      <c r="I43" s="69"/>
      <c r="J43" s="69"/>
    </row>
    <row r="44" spans="1:10" s="70" customFormat="1" ht="12.75" customHeight="1" x14ac:dyDescent="0.2">
      <c r="A44" s="89">
        <v>45159</v>
      </c>
      <c r="B44" s="9" t="s">
        <v>11</v>
      </c>
      <c r="C44" s="76" t="s">
        <v>1324</v>
      </c>
      <c r="D44" s="11" t="s">
        <v>29</v>
      </c>
      <c r="E44" s="31"/>
      <c r="F44" s="31">
        <v>303169</v>
      </c>
      <c r="G44" s="30"/>
      <c r="I44" s="69"/>
      <c r="J44" s="69"/>
    </row>
    <row r="45" spans="1:10" s="70" customFormat="1" ht="12.75" customHeight="1" x14ac:dyDescent="0.2">
      <c r="A45" s="89">
        <v>45159</v>
      </c>
      <c r="B45" s="9" t="s">
        <v>11</v>
      </c>
      <c r="C45" s="76" t="s">
        <v>1394</v>
      </c>
      <c r="D45" s="11" t="s">
        <v>29</v>
      </c>
      <c r="E45" s="31"/>
      <c r="F45" s="31">
        <v>589825</v>
      </c>
      <c r="G45" s="30"/>
      <c r="I45" s="69"/>
      <c r="J45" s="69"/>
    </row>
    <row r="46" spans="1:10" s="70" customFormat="1" ht="12.75" customHeight="1" x14ac:dyDescent="0.2">
      <c r="A46" s="89">
        <v>45159</v>
      </c>
      <c r="B46" s="9" t="s">
        <v>11</v>
      </c>
      <c r="C46" s="76" t="s">
        <v>313</v>
      </c>
      <c r="D46" s="11" t="s">
        <v>29</v>
      </c>
      <c r="E46" s="31"/>
      <c r="F46" s="31">
        <v>1919031</v>
      </c>
      <c r="G46" s="30"/>
      <c r="I46" s="69"/>
      <c r="J46" s="69"/>
    </row>
    <row r="47" spans="1:10" s="70" customFormat="1" ht="12.75" customHeight="1" x14ac:dyDescent="0.2">
      <c r="A47" s="89">
        <v>45159</v>
      </c>
      <c r="B47" s="9" t="s">
        <v>11</v>
      </c>
      <c r="C47" s="76" t="s">
        <v>1363</v>
      </c>
      <c r="D47" s="11" t="s">
        <v>29</v>
      </c>
      <c r="E47" s="31"/>
      <c r="F47" s="31">
        <v>8806855</v>
      </c>
      <c r="G47" s="30"/>
      <c r="I47" s="69"/>
      <c r="J47" s="69"/>
    </row>
    <row r="48" spans="1:10" s="70" customFormat="1" ht="12.75" customHeight="1" x14ac:dyDescent="0.2">
      <c r="A48" s="89">
        <v>45159</v>
      </c>
      <c r="B48" s="9" t="s">
        <v>11</v>
      </c>
      <c r="C48" s="76" t="s">
        <v>412</v>
      </c>
      <c r="D48" s="11" t="s">
        <v>29</v>
      </c>
      <c r="E48" s="31"/>
      <c r="F48" s="31">
        <v>9752457</v>
      </c>
      <c r="G48" s="30"/>
      <c r="I48" s="69"/>
      <c r="J48" s="69"/>
    </row>
    <row r="49" spans="1:10" s="2" customFormat="1" ht="12.75" customHeight="1" x14ac:dyDescent="0.4">
      <c r="D49" s="11" t="s">
        <v>8</v>
      </c>
      <c r="E49" s="16">
        <f>SUM(E13:E48)</f>
        <v>938908</v>
      </c>
      <c r="F49" s="16">
        <f>SUM(F12:F48)</f>
        <v>111095753.39000002</v>
      </c>
      <c r="G49" s="1"/>
      <c r="H49" s="112"/>
      <c r="I49" s="112"/>
    </row>
    <row r="50" spans="1:10" s="2" customFormat="1" ht="12.75" customHeight="1" x14ac:dyDescent="0.4">
      <c r="A50" s="17"/>
      <c r="B50" s="18"/>
      <c r="C50" s="96" t="s">
        <v>9</v>
      </c>
      <c r="D50" s="20"/>
      <c r="E50" s="21">
        <f>+F49-E49</f>
        <v>110156845.39000002</v>
      </c>
      <c r="G50" s="23"/>
      <c r="H50" s="112"/>
      <c r="I50" s="112"/>
      <c r="J50" s="13"/>
    </row>
    <row r="51" spans="1:10" s="2" customFormat="1" ht="12.75" customHeight="1" x14ac:dyDescent="0.4">
      <c r="A51" s="24"/>
      <c r="B51" s="1"/>
      <c r="C51" s="14"/>
      <c r="D51" s="25"/>
      <c r="G51" s="23"/>
      <c r="H51" s="112"/>
      <c r="I51" s="112"/>
      <c r="J51" s="13"/>
    </row>
    <row r="52" spans="1:10" s="2" customFormat="1" ht="21.75" customHeight="1" x14ac:dyDescent="0.4">
      <c r="A52" s="214" t="s">
        <v>10</v>
      </c>
      <c r="B52" s="214"/>
      <c r="C52" s="214"/>
      <c r="D52" s="214"/>
      <c r="E52" s="214"/>
      <c r="F52" s="214"/>
      <c r="G52" s="13"/>
      <c r="H52" s="112"/>
      <c r="I52" s="112"/>
      <c r="J52" s="13"/>
    </row>
    <row r="53" spans="1:10" s="2" customFormat="1" ht="12.75" customHeight="1" x14ac:dyDescent="0.4">
      <c r="A53" s="26" t="s">
        <v>1</v>
      </c>
      <c r="B53" s="27" t="s">
        <v>2</v>
      </c>
      <c r="C53" s="5"/>
      <c r="D53" s="6" t="s">
        <v>3</v>
      </c>
      <c r="E53" s="7" t="s">
        <v>4</v>
      </c>
      <c r="F53" s="7" t="s">
        <v>5</v>
      </c>
      <c r="G53" s="23"/>
      <c r="H53" s="112"/>
      <c r="I53" s="112"/>
      <c r="J53" s="13"/>
    </row>
    <row r="54" spans="1:10" s="2" customFormat="1" ht="12.75" customHeight="1" x14ac:dyDescent="0.2">
      <c r="A54" s="89">
        <v>45159</v>
      </c>
      <c r="B54" s="128" t="s">
        <v>11</v>
      </c>
      <c r="C54" s="29" t="s">
        <v>7</v>
      </c>
      <c r="D54" s="25"/>
      <c r="E54" s="31"/>
      <c r="F54" s="2">
        <v>339298888.85000002</v>
      </c>
      <c r="G54" s="30"/>
      <c r="I54" s="13"/>
      <c r="J54" s="13"/>
    </row>
    <row r="55" spans="1:10" s="70" customFormat="1" ht="12.75" customHeight="1" x14ac:dyDescent="0.2">
      <c r="A55" s="89">
        <v>45159</v>
      </c>
      <c r="B55" s="128" t="s">
        <v>6</v>
      </c>
      <c r="C55" s="10" t="s">
        <v>556</v>
      </c>
      <c r="D55" s="11" t="s">
        <v>13</v>
      </c>
      <c r="E55" s="86">
        <v>602231</v>
      </c>
      <c r="G55" s="30"/>
      <c r="I55" s="69"/>
      <c r="J55" s="69"/>
    </row>
    <row r="56" spans="1:10" s="70" customFormat="1" ht="12.75" customHeight="1" x14ac:dyDescent="0.2">
      <c r="A56" s="89">
        <v>45159</v>
      </c>
      <c r="B56" s="128" t="s">
        <v>6</v>
      </c>
      <c r="C56" s="10" t="s">
        <v>1178</v>
      </c>
      <c r="D56" s="11" t="s">
        <v>13</v>
      </c>
      <c r="E56" s="86">
        <v>19110</v>
      </c>
      <c r="G56" s="30"/>
      <c r="I56" s="69"/>
      <c r="J56" s="69"/>
    </row>
    <row r="57" spans="1:10" s="70" customFormat="1" ht="12.75" customHeight="1" x14ac:dyDescent="0.2">
      <c r="A57" s="89">
        <v>45159</v>
      </c>
      <c r="B57" s="128" t="s">
        <v>6</v>
      </c>
      <c r="C57" s="10" t="s">
        <v>141</v>
      </c>
      <c r="D57" s="11" t="s">
        <v>13</v>
      </c>
      <c r="E57" s="86">
        <v>1362589</v>
      </c>
      <c r="G57" s="30"/>
      <c r="I57" s="69"/>
      <c r="J57" s="69"/>
    </row>
    <row r="58" spans="1:10" s="70" customFormat="1" ht="12.75" customHeight="1" x14ac:dyDescent="0.2">
      <c r="A58" s="89">
        <v>45159</v>
      </c>
      <c r="B58" s="128" t="s">
        <v>6</v>
      </c>
      <c r="C58" s="10" t="s">
        <v>272</v>
      </c>
      <c r="D58" s="11" t="s">
        <v>13</v>
      </c>
      <c r="E58" s="86">
        <v>590815</v>
      </c>
      <c r="G58" s="30"/>
      <c r="I58" s="69"/>
      <c r="J58" s="69"/>
    </row>
    <row r="59" spans="1:10" s="70" customFormat="1" ht="12.75" customHeight="1" x14ac:dyDescent="0.2">
      <c r="A59" s="89">
        <v>45159</v>
      </c>
      <c r="B59" s="128" t="s">
        <v>6</v>
      </c>
      <c r="C59" s="10" t="s">
        <v>469</v>
      </c>
      <c r="D59" s="11" t="s">
        <v>13</v>
      </c>
      <c r="E59" s="86">
        <v>815369</v>
      </c>
      <c r="G59" s="30"/>
      <c r="I59" s="69"/>
      <c r="J59" s="69"/>
    </row>
    <row r="60" spans="1:10" s="70" customFormat="1" ht="12.75" customHeight="1" x14ac:dyDescent="0.2">
      <c r="A60" s="89">
        <v>45159</v>
      </c>
      <c r="B60" s="128" t="s">
        <v>6</v>
      </c>
      <c r="C60" s="10" t="s">
        <v>450</v>
      </c>
      <c r="D60" s="11" t="s">
        <v>13</v>
      </c>
      <c r="E60" s="86">
        <v>619812</v>
      </c>
      <c r="G60" s="30"/>
      <c r="I60" s="69"/>
      <c r="J60" s="69"/>
    </row>
    <row r="61" spans="1:10" s="70" customFormat="1" ht="12.75" customHeight="1" x14ac:dyDescent="0.2">
      <c r="A61" s="89">
        <v>45159</v>
      </c>
      <c r="B61" s="128" t="s">
        <v>6</v>
      </c>
      <c r="C61" s="10" t="s">
        <v>1395</v>
      </c>
      <c r="D61" s="11" t="s">
        <v>13</v>
      </c>
      <c r="E61" s="86">
        <v>809162</v>
      </c>
      <c r="G61" s="30"/>
      <c r="I61" s="69"/>
      <c r="J61" s="69"/>
    </row>
    <row r="62" spans="1:10" s="70" customFormat="1" ht="12.75" customHeight="1" x14ac:dyDescent="0.2">
      <c r="A62" s="89">
        <v>45159</v>
      </c>
      <c r="B62" s="128" t="s">
        <v>6</v>
      </c>
      <c r="C62" s="10" t="s">
        <v>144</v>
      </c>
      <c r="D62" s="11" t="s">
        <v>13</v>
      </c>
      <c r="E62" s="86">
        <v>1368048</v>
      </c>
      <c r="G62" s="30"/>
      <c r="I62" s="69"/>
      <c r="J62" s="69"/>
    </row>
    <row r="63" spans="1:10" s="70" customFormat="1" ht="12.75" customHeight="1" x14ac:dyDescent="0.2">
      <c r="A63" s="89">
        <v>45159</v>
      </c>
      <c r="B63" s="128" t="s">
        <v>6</v>
      </c>
      <c r="C63" s="10" t="s">
        <v>695</v>
      </c>
      <c r="D63" s="11" t="s">
        <v>13</v>
      </c>
      <c r="E63" s="86">
        <v>72643</v>
      </c>
      <c r="G63" s="30"/>
      <c r="I63" s="69"/>
      <c r="J63" s="69"/>
    </row>
    <row r="64" spans="1:10" s="70" customFormat="1" ht="12.75" customHeight="1" x14ac:dyDescent="0.2">
      <c r="A64" s="89">
        <v>45159</v>
      </c>
      <c r="B64" s="128" t="s">
        <v>6</v>
      </c>
      <c r="C64" s="10" t="s">
        <v>276</v>
      </c>
      <c r="D64" s="11" t="s">
        <v>13</v>
      </c>
      <c r="E64" s="86">
        <v>360849</v>
      </c>
      <c r="G64" s="30"/>
      <c r="I64" s="69"/>
      <c r="J64" s="69"/>
    </row>
    <row r="65" spans="1:13" s="70" customFormat="1" ht="12.75" customHeight="1" x14ac:dyDescent="0.2">
      <c r="A65" s="89">
        <v>45159</v>
      </c>
      <c r="B65" s="128" t="s">
        <v>6</v>
      </c>
      <c r="C65" s="10" t="s">
        <v>1396</v>
      </c>
      <c r="D65" s="11" t="s">
        <v>13</v>
      </c>
      <c r="E65" s="86">
        <v>11634</v>
      </c>
      <c r="G65" s="30"/>
      <c r="I65" s="69"/>
      <c r="J65" s="69"/>
    </row>
    <row r="66" spans="1:13" s="70" customFormat="1" ht="12.75" customHeight="1" x14ac:dyDescent="0.2">
      <c r="A66" s="89">
        <v>45159</v>
      </c>
      <c r="B66" s="128" t="s">
        <v>6</v>
      </c>
      <c r="C66" s="10" t="s">
        <v>1397</v>
      </c>
      <c r="D66" s="11" t="s">
        <v>13</v>
      </c>
      <c r="E66" s="86">
        <v>19441</v>
      </c>
      <c r="G66" s="30"/>
      <c r="I66" s="69"/>
      <c r="J66" s="69"/>
    </row>
    <row r="67" spans="1:13" s="70" customFormat="1" ht="12.75" customHeight="1" x14ac:dyDescent="0.2">
      <c r="A67" s="89">
        <v>45159</v>
      </c>
      <c r="B67" s="128" t="s">
        <v>6</v>
      </c>
      <c r="C67" s="10" t="s">
        <v>334</v>
      </c>
      <c r="D67" s="11" t="s">
        <v>13</v>
      </c>
      <c r="E67" s="86">
        <v>1732543</v>
      </c>
      <c r="G67" s="30"/>
      <c r="I67" s="69"/>
      <c r="J67" s="69"/>
    </row>
    <row r="68" spans="1:13" s="70" customFormat="1" ht="12.75" customHeight="1" x14ac:dyDescent="0.2">
      <c r="A68" s="89">
        <v>45159</v>
      </c>
      <c r="B68" s="128" t="s">
        <v>6</v>
      </c>
      <c r="C68" s="10" t="s">
        <v>237</v>
      </c>
      <c r="D68" s="11" t="s">
        <v>13</v>
      </c>
      <c r="E68" s="86">
        <v>1476494</v>
      </c>
      <c r="G68" s="30"/>
      <c r="I68" s="69"/>
      <c r="J68" s="69"/>
    </row>
    <row r="69" spans="1:13" s="70" customFormat="1" ht="12.75" customHeight="1" x14ac:dyDescent="0.2">
      <c r="A69" s="89">
        <v>45159</v>
      </c>
      <c r="B69" s="128" t="s">
        <v>6</v>
      </c>
      <c r="C69" s="10" t="s">
        <v>824</v>
      </c>
      <c r="D69" s="11" t="s">
        <v>13</v>
      </c>
      <c r="E69" s="86">
        <v>196910</v>
      </c>
      <c r="G69" s="30"/>
      <c r="I69" s="69"/>
      <c r="J69" s="69"/>
    </row>
    <row r="70" spans="1:13" s="70" customFormat="1" ht="12.75" customHeight="1" x14ac:dyDescent="0.2">
      <c r="A70" s="89">
        <v>45159</v>
      </c>
      <c r="B70" s="128" t="s">
        <v>6</v>
      </c>
      <c r="C70" s="10" t="s">
        <v>19</v>
      </c>
      <c r="D70" s="11" t="s">
        <v>13</v>
      </c>
      <c r="E70" s="86">
        <v>14049.75</v>
      </c>
      <c r="G70" s="30"/>
      <c r="I70" s="69"/>
      <c r="J70" s="69"/>
    </row>
    <row r="71" spans="1:13" s="70" customFormat="1" ht="12.75" customHeight="1" x14ac:dyDescent="0.2">
      <c r="A71" s="89">
        <v>45159</v>
      </c>
      <c r="B71" s="128" t="s">
        <v>6</v>
      </c>
      <c r="C71" s="10" t="s">
        <v>947</v>
      </c>
      <c r="D71" s="11" t="s">
        <v>13</v>
      </c>
      <c r="E71" s="86">
        <v>6039</v>
      </c>
      <c r="G71" s="30"/>
      <c r="I71" s="69"/>
      <c r="J71" s="69"/>
    </row>
    <row r="72" spans="1:13" s="70" customFormat="1" ht="12.75" customHeight="1" x14ac:dyDescent="0.2">
      <c r="A72" s="89">
        <v>45159</v>
      </c>
      <c r="B72" s="128" t="s">
        <v>6</v>
      </c>
      <c r="C72" s="10" t="s">
        <v>120</v>
      </c>
      <c r="D72" s="11" t="s">
        <v>13</v>
      </c>
      <c r="E72" s="86">
        <v>25449</v>
      </c>
      <c r="G72" s="30"/>
      <c r="I72" s="69"/>
      <c r="J72" s="69"/>
    </row>
    <row r="73" spans="1:13" s="70" customFormat="1" ht="12.75" customHeight="1" x14ac:dyDescent="0.2">
      <c r="A73" s="89">
        <v>45159</v>
      </c>
      <c r="B73" s="128" t="s">
        <v>6</v>
      </c>
      <c r="C73" s="10" t="s">
        <v>149</v>
      </c>
      <c r="D73" s="11" t="s">
        <v>13</v>
      </c>
      <c r="E73" s="86">
        <v>13710</v>
      </c>
      <c r="G73" s="30"/>
      <c r="I73" s="69"/>
      <c r="J73" s="69"/>
    </row>
    <row r="74" spans="1:13" s="70" customFormat="1" ht="12.75" customHeight="1" x14ac:dyDescent="0.2">
      <c r="A74" s="89">
        <v>45159</v>
      </c>
      <c r="B74" s="128" t="s">
        <v>11</v>
      </c>
      <c r="C74" s="10" t="s">
        <v>64</v>
      </c>
      <c r="D74" s="11" t="s">
        <v>29</v>
      </c>
      <c r="E74" s="86"/>
      <c r="F74" s="70">
        <v>5511.14</v>
      </c>
      <c r="G74" s="30"/>
      <c r="I74" s="69"/>
      <c r="J74" s="69"/>
    </row>
    <row r="75" spans="1:13" s="70" customFormat="1" ht="12.75" customHeight="1" x14ac:dyDescent="0.2">
      <c r="A75" s="89">
        <v>45159</v>
      </c>
      <c r="B75" s="128" t="s">
        <v>11</v>
      </c>
      <c r="C75" s="10" t="s">
        <v>111</v>
      </c>
      <c r="D75" s="11" t="s">
        <v>29</v>
      </c>
      <c r="E75" s="86"/>
      <c r="F75" s="70">
        <v>3933849.89</v>
      </c>
      <c r="G75" s="30"/>
      <c r="I75" s="69"/>
      <c r="J75" s="69"/>
    </row>
    <row r="76" spans="1:13" s="70" customFormat="1" ht="12.75" customHeight="1" x14ac:dyDescent="0.2">
      <c r="A76" s="89">
        <v>45159</v>
      </c>
      <c r="B76" s="128" t="s">
        <v>11</v>
      </c>
      <c r="C76" s="10" t="s">
        <v>107</v>
      </c>
      <c r="D76" s="11" t="s">
        <v>29</v>
      </c>
      <c r="E76" s="86"/>
      <c r="F76" s="70">
        <v>102100.5</v>
      </c>
      <c r="G76" s="30"/>
      <c r="I76" s="69"/>
      <c r="J76" s="69"/>
    </row>
    <row r="77" spans="1:13" s="70" customFormat="1" ht="12.75" customHeight="1" x14ac:dyDescent="0.2">
      <c r="A77" s="89">
        <v>45159</v>
      </c>
      <c r="B77" s="128" t="s">
        <v>11</v>
      </c>
      <c r="C77" s="10" t="s">
        <v>498</v>
      </c>
      <c r="D77" s="11" t="s">
        <v>29</v>
      </c>
      <c r="E77" s="86"/>
      <c r="F77" s="70">
        <v>321430.78000000003</v>
      </c>
      <c r="G77" s="30"/>
      <c r="I77" s="69"/>
      <c r="J77" s="69"/>
    </row>
    <row r="78" spans="1:13" s="70" customFormat="1" ht="12.75" customHeight="1" x14ac:dyDescent="0.2">
      <c r="A78" s="89">
        <v>45159</v>
      </c>
      <c r="B78" s="128" t="s">
        <v>11</v>
      </c>
      <c r="C78" s="10" t="s">
        <v>62</v>
      </c>
      <c r="D78" s="11" t="s">
        <v>29</v>
      </c>
      <c r="E78" s="86"/>
      <c r="F78" s="70">
        <v>10000</v>
      </c>
      <c r="G78" s="30"/>
      <c r="I78" s="69"/>
      <c r="J78" s="69"/>
    </row>
    <row r="79" spans="1:13" s="70" customFormat="1" ht="12.75" customHeight="1" x14ac:dyDescent="0.2">
      <c r="A79" s="89">
        <v>45159</v>
      </c>
      <c r="B79" s="128" t="s">
        <v>11</v>
      </c>
      <c r="C79" s="10" t="s">
        <v>57</v>
      </c>
      <c r="D79" s="11" t="s">
        <v>29</v>
      </c>
      <c r="E79" s="86"/>
      <c r="F79" s="70">
        <v>2000000</v>
      </c>
      <c r="G79" s="30"/>
      <c r="I79" s="69"/>
      <c r="J79" s="69"/>
    </row>
    <row r="80" spans="1:13" s="2" customFormat="1" ht="12.75" customHeight="1" x14ac:dyDescent="0.2">
      <c r="A80" s="32"/>
      <c r="B80" s="33"/>
      <c r="C80" s="14"/>
      <c r="D80" s="34"/>
      <c r="E80" s="16">
        <f>SUM(E54:E79)</f>
        <v>10116897.75</v>
      </c>
      <c r="F80" s="16">
        <f>SUM(F54:F79)</f>
        <v>345671781.15999997</v>
      </c>
      <c r="G80" s="30"/>
      <c r="H80" s="1"/>
      <c r="I80" s="38">
        <v>335554883.41000003</v>
      </c>
      <c r="J80" s="2" t="s">
        <v>396</v>
      </c>
      <c r="K80" s="92">
        <f>E81-I80</f>
        <v>0</v>
      </c>
      <c r="L80" s="41"/>
      <c r="M80" s="42"/>
    </row>
    <row r="81" spans="1:14" s="2" customFormat="1" ht="12.75" customHeight="1" x14ac:dyDescent="0.2">
      <c r="A81" s="36"/>
      <c r="B81" s="28" t="s">
        <v>11</v>
      </c>
      <c r="C81" s="19" t="s">
        <v>65</v>
      </c>
      <c r="D81" s="37"/>
      <c r="E81" s="38">
        <f>F80-E80</f>
        <v>335554883.40999997</v>
      </c>
      <c r="F81" s="22"/>
      <c r="G81" s="1"/>
      <c r="H81" s="1"/>
      <c r="J81" s="1"/>
      <c r="K81" s="1"/>
      <c r="L81" s="1"/>
      <c r="M81" s="1"/>
    </row>
    <row r="82" spans="1:14" s="2" customFormat="1" ht="12.75" customHeight="1" x14ac:dyDescent="0.2">
      <c r="A82" s="36"/>
      <c r="B82" s="28" t="s">
        <v>66</v>
      </c>
      <c r="C82" s="43" t="s">
        <v>67</v>
      </c>
      <c r="D82" s="43"/>
      <c r="E82" s="12">
        <v>0</v>
      </c>
      <c r="F82" s="22"/>
      <c r="G82" s="1"/>
      <c r="H82" s="40"/>
      <c r="I82" s="45">
        <v>2437.9699999999998</v>
      </c>
      <c r="J82" s="46"/>
      <c r="K82" s="46"/>
      <c r="L82" s="13"/>
      <c r="M82" s="69" t="s">
        <v>396</v>
      </c>
    </row>
    <row r="83" spans="1:14" s="2" customFormat="1" ht="12.75" customHeight="1" x14ac:dyDescent="0.25">
      <c r="A83" s="36"/>
      <c r="B83" s="28"/>
      <c r="C83" s="44" t="s">
        <v>68</v>
      </c>
      <c r="D83" s="43"/>
      <c r="E83" s="7">
        <f>E81+E82</f>
        <v>335554883.40999997</v>
      </c>
      <c r="F83" s="22"/>
      <c r="G83" s="1"/>
      <c r="H83" s="103" t="s">
        <v>69</v>
      </c>
      <c r="I83" s="45">
        <v>-46.38</v>
      </c>
      <c r="J83" s="46"/>
      <c r="K83" s="46"/>
      <c r="N83" s="1"/>
    </row>
    <row r="84" spans="1:14" s="2" customFormat="1" x14ac:dyDescent="0.2">
      <c r="A84" s="24"/>
      <c r="B84" s="1"/>
      <c r="C84" s="14"/>
      <c r="D84" s="25"/>
      <c r="E84" s="1"/>
      <c r="H84" s="35" t="s">
        <v>70</v>
      </c>
      <c r="I84" s="45">
        <v>0</v>
      </c>
      <c r="J84" s="46">
        <f>+I85-D87</f>
        <v>0</v>
      </c>
      <c r="M84" s="2" t="s">
        <v>396</v>
      </c>
      <c r="N84" s="1"/>
    </row>
    <row r="85" spans="1:14" x14ac:dyDescent="0.2">
      <c r="C85" s="56"/>
      <c r="D85" s="56"/>
      <c r="E85" s="104"/>
      <c r="I85" s="49">
        <f>SUM(I82:I84)</f>
        <v>2391.5899999999997</v>
      </c>
      <c r="J85" s="46"/>
      <c r="K85" s="46"/>
      <c r="L85" s="2"/>
      <c r="M85" s="2"/>
      <c r="N85" s="2"/>
    </row>
    <row r="86" spans="1:14" x14ac:dyDescent="0.2">
      <c r="C86" s="78" t="s">
        <v>575</v>
      </c>
      <c r="D86" s="48" t="s">
        <v>576</v>
      </c>
      <c r="E86" s="104"/>
      <c r="I86" s="2"/>
      <c r="J86" s="2"/>
      <c r="K86" s="2"/>
      <c r="L86" s="2"/>
      <c r="M86" s="2"/>
      <c r="N86" s="2"/>
    </row>
    <row r="87" spans="1:14" s="2" customFormat="1" x14ac:dyDescent="0.2">
      <c r="A87" s="24"/>
      <c r="B87" s="1"/>
      <c r="C87" s="47" t="s">
        <v>570</v>
      </c>
      <c r="D87" s="111">
        <v>2391.59</v>
      </c>
      <c r="E87" s="104"/>
      <c r="G87" s="1"/>
      <c r="H87" s="110" t="s">
        <v>581</v>
      </c>
      <c r="N87" s="2" t="s">
        <v>535</v>
      </c>
    </row>
    <row r="88" spans="1:14" s="2" customFormat="1" x14ac:dyDescent="0.2">
      <c r="A88" s="24"/>
      <c r="B88" s="1"/>
      <c r="C88" s="47" t="s">
        <v>931</v>
      </c>
      <c r="D88" s="111">
        <v>270.95</v>
      </c>
      <c r="E88" s="104"/>
      <c r="G88" s="1"/>
      <c r="H88" s="110" t="s">
        <v>580</v>
      </c>
    </row>
    <row r="89" spans="1:14" s="2" customFormat="1" x14ac:dyDescent="0.2">
      <c r="A89" s="24"/>
      <c r="B89" s="1"/>
      <c r="C89" s="47" t="s">
        <v>572</v>
      </c>
      <c r="D89" s="111">
        <f>+D120/100000</f>
        <v>110.73023910000001</v>
      </c>
      <c r="E89" s="104"/>
      <c r="G89" s="1"/>
      <c r="H89" s="90" t="s">
        <v>587</v>
      </c>
    </row>
    <row r="90" spans="1:14" s="2" customFormat="1" x14ac:dyDescent="0.2">
      <c r="A90" s="24"/>
      <c r="B90" s="1"/>
      <c r="C90" s="108" t="s">
        <v>578</v>
      </c>
      <c r="D90" s="48">
        <f>SUM(D87:D89)</f>
        <v>2773.2702390999998</v>
      </c>
      <c r="E90" s="104"/>
      <c r="G90" s="1"/>
    </row>
    <row r="91" spans="1:14" s="2" customFormat="1" x14ac:dyDescent="0.2">
      <c r="A91" s="24"/>
      <c r="B91" s="1"/>
      <c r="C91" s="47"/>
      <c r="D91" s="107"/>
      <c r="E91" s="104"/>
      <c r="G91" s="1"/>
    </row>
    <row r="92" spans="1:14" s="2" customFormat="1" x14ac:dyDescent="0.2">
      <c r="A92" s="24"/>
      <c r="B92" s="1"/>
      <c r="C92" s="47" t="s">
        <v>932</v>
      </c>
      <c r="D92" s="111">
        <v>136.78</v>
      </c>
      <c r="E92" s="104"/>
      <c r="G92" s="1"/>
      <c r="H92" s="110" t="s">
        <v>581</v>
      </c>
    </row>
    <row r="93" spans="1:14" s="2" customFormat="1" x14ac:dyDescent="0.2">
      <c r="A93" s="24"/>
      <c r="B93" s="1"/>
      <c r="C93" s="136" t="s">
        <v>1142</v>
      </c>
      <c r="D93" s="111">
        <f>314.94+121.87-136.45-60.1</f>
        <v>240.26000000000002</v>
      </c>
      <c r="E93" s="104"/>
      <c r="G93" s="1"/>
      <c r="H93" s="110" t="s">
        <v>581</v>
      </c>
      <c r="J93" s="114" t="s">
        <v>713</v>
      </c>
    </row>
    <row r="94" spans="1:14" s="2" customFormat="1" x14ac:dyDescent="0.2">
      <c r="A94" s="24"/>
      <c r="B94" s="1"/>
      <c r="C94" s="78" t="s">
        <v>579</v>
      </c>
      <c r="D94" s="109">
        <f>D92+D93</f>
        <v>377.04</v>
      </c>
      <c r="E94" s="104"/>
      <c r="G94" s="1"/>
      <c r="I94" s="113"/>
      <c r="J94" s="113" t="s">
        <v>709</v>
      </c>
      <c r="K94" s="113" t="s">
        <v>710</v>
      </c>
      <c r="L94" s="113" t="s">
        <v>711</v>
      </c>
      <c r="M94" s="113" t="s">
        <v>712</v>
      </c>
    </row>
    <row r="95" spans="1:14" s="2" customFormat="1" x14ac:dyDescent="0.2">
      <c r="A95" s="24"/>
      <c r="B95" s="1"/>
      <c r="C95" s="105"/>
      <c r="D95" s="106"/>
      <c r="E95" s="104"/>
      <c r="G95" s="1"/>
      <c r="I95" s="113" t="s">
        <v>706</v>
      </c>
      <c r="J95" s="115"/>
      <c r="K95" s="115">
        <v>968.99</v>
      </c>
      <c r="L95" s="115">
        <v>968.99</v>
      </c>
      <c r="M95" s="113">
        <f>+J95+L95-K95</f>
        <v>0</v>
      </c>
    </row>
    <row r="96" spans="1:14" s="2" customFormat="1" x14ac:dyDescent="0.2">
      <c r="A96" s="24"/>
      <c r="B96" s="1"/>
      <c r="C96" s="78" t="s">
        <v>577</v>
      </c>
      <c r="D96" s="109">
        <f>D87+D94</f>
        <v>2768.63</v>
      </c>
      <c r="E96" s="104"/>
      <c r="G96" s="1"/>
      <c r="I96" s="113" t="s">
        <v>707</v>
      </c>
      <c r="J96" s="115">
        <v>183.1</v>
      </c>
      <c r="K96" s="115">
        <v>3195.48</v>
      </c>
      <c r="L96" s="115">
        <v>3687.95</v>
      </c>
      <c r="M96" s="113">
        <f>+J96+L96-K96</f>
        <v>675.56999999999971</v>
      </c>
    </row>
    <row r="97" spans="1:13" s="2" customFormat="1" x14ac:dyDescent="0.2">
      <c r="A97" s="24"/>
      <c r="B97" s="1"/>
      <c r="C97" s="56"/>
      <c r="D97" s="56"/>
      <c r="E97" s="104"/>
      <c r="G97" s="1"/>
      <c r="I97" s="113" t="s">
        <v>708</v>
      </c>
      <c r="J97" s="115">
        <v>1371.02</v>
      </c>
      <c r="K97" s="115">
        <f>13391.09+136.45</f>
        <v>13527.54</v>
      </c>
      <c r="L97" s="115">
        <f>12936.44+301.37</f>
        <v>13237.810000000001</v>
      </c>
      <c r="M97" s="113">
        <f>+J97+L97-K97</f>
        <v>1081.2900000000009</v>
      </c>
    </row>
    <row r="98" spans="1:13" s="2" customFormat="1" ht="38.25" x14ac:dyDescent="0.2">
      <c r="A98" s="24"/>
      <c r="B98" s="1"/>
      <c r="C98" s="79" t="str">
        <f>"Particulars ( 01-04-2021 to "&amp;TEXT(A5,"dd-mm-yyyy")&amp;" )"</f>
        <v>Particulars ( 01-04-2021 to 21-08-2023 )</v>
      </c>
      <c r="D98" s="80" t="s">
        <v>73</v>
      </c>
      <c r="E98" s="80" t="s">
        <v>74</v>
      </c>
      <c r="F98" s="81" t="s">
        <v>75</v>
      </c>
      <c r="G98" s="80" t="s">
        <v>76</v>
      </c>
      <c r="J98" s="118">
        <f>SUM(J95:J97)</f>
        <v>1554.12</v>
      </c>
      <c r="K98" s="118">
        <f>SUM(K95:K97)</f>
        <v>17692.010000000002</v>
      </c>
      <c r="L98" s="118">
        <f>SUM(L95:L97)</f>
        <v>17894.75</v>
      </c>
      <c r="M98" s="118">
        <f>SUM(M95:M97)</f>
        <v>1756.8600000000006</v>
      </c>
    </row>
    <row r="99" spans="1:13" s="2" customFormat="1" x14ac:dyDescent="0.2">
      <c r="A99" s="24"/>
      <c r="B99" s="1"/>
      <c r="C99" s="50" t="s">
        <v>444</v>
      </c>
      <c r="D99" s="55">
        <f>+L95+L96+J96</f>
        <v>4840.04</v>
      </c>
      <c r="E99" s="55">
        <f>+K95+K96</f>
        <v>4164.47</v>
      </c>
      <c r="F99" s="55">
        <f>+D99-E99</f>
        <v>675.56999999999971</v>
      </c>
      <c r="G99" s="55">
        <f>1500-F99</f>
        <v>824.43000000000029</v>
      </c>
      <c r="H99" s="2" t="s">
        <v>396</v>
      </c>
    </row>
    <row r="100" spans="1:13" s="2" customFormat="1" x14ac:dyDescent="0.2">
      <c r="A100" s="24"/>
      <c r="B100" s="1"/>
      <c r="C100" s="50" t="s">
        <v>71</v>
      </c>
      <c r="D100" s="55">
        <f>+J97+L97</f>
        <v>14608.830000000002</v>
      </c>
      <c r="E100" s="55">
        <f>+K97</f>
        <v>13527.54</v>
      </c>
      <c r="F100" s="55">
        <f>+D100-E100</f>
        <v>1081.2900000000009</v>
      </c>
      <c r="G100" s="55">
        <f>1500+700-F100</f>
        <v>1118.7099999999991</v>
      </c>
      <c r="H100" s="2" t="s">
        <v>396</v>
      </c>
    </row>
    <row r="101" spans="1:13" s="2" customFormat="1" x14ac:dyDescent="0.2">
      <c r="A101" s="24"/>
      <c r="B101" s="1"/>
      <c r="C101" s="14"/>
      <c r="D101" s="56"/>
      <c r="E101" s="13"/>
      <c r="G101" s="1"/>
    </row>
    <row r="102" spans="1:13" s="2" customFormat="1" x14ac:dyDescent="0.2">
      <c r="A102" s="215" t="s">
        <v>80</v>
      </c>
      <c r="B102" s="216"/>
      <c r="C102" s="216"/>
      <c r="D102" s="217"/>
      <c r="E102" s="69"/>
      <c r="F102" s="70"/>
      <c r="G102" s="1"/>
      <c r="H102" s="53"/>
    </row>
    <row r="103" spans="1:13" s="2" customFormat="1" x14ac:dyDescent="0.2">
      <c r="A103" s="71" t="s">
        <v>81</v>
      </c>
      <c r="B103" s="71"/>
      <c r="C103" s="72" t="s">
        <v>82</v>
      </c>
      <c r="D103" s="73" t="s">
        <v>83</v>
      </c>
      <c r="E103" s="69"/>
      <c r="F103" s="70"/>
      <c r="H103" s="53"/>
    </row>
    <row r="104" spans="1:13" s="2" customFormat="1" x14ac:dyDescent="0.2">
      <c r="A104" s="87">
        <v>45139</v>
      </c>
      <c r="B104" s="120" t="s">
        <v>1052</v>
      </c>
      <c r="C104" s="75" t="s">
        <v>85</v>
      </c>
      <c r="D104" s="88">
        <v>552343</v>
      </c>
      <c r="G104" s="1"/>
      <c r="L104" s="1"/>
      <c r="M104" s="1"/>
    </row>
    <row r="105" spans="1:13" s="2" customFormat="1" x14ac:dyDescent="0.2">
      <c r="A105" s="87">
        <v>45140</v>
      </c>
      <c r="B105" s="120" t="s">
        <v>1052</v>
      </c>
      <c r="C105" s="75" t="s">
        <v>270</v>
      </c>
      <c r="D105" s="88">
        <v>244404</v>
      </c>
      <c r="G105" s="1"/>
      <c r="L105" s="1"/>
      <c r="M105" s="1"/>
    </row>
    <row r="106" spans="1:13" s="2" customFormat="1" x14ac:dyDescent="0.2">
      <c r="A106" s="87">
        <v>45140</v>
      </c>
      <c r="B106" s="120" t="s">
        <v>1052</v>
      </c>
      <c r="C106" s="75" t="s">
        <v>270</v>
      </c>
      <c r="D106" s="88">
        <v>550256</v>
      </c>
      <c r="G106" s="1"/>
      <c r="L106" s="1"/>
      <c r="M106" s="1"/>
    </row>
    <row r="107" spans="1:13" s="2" customFormat="1" x14ac:dyDescent="0.2">
      <c r="A107" s="87">
        <v>45140</v>
      </c>
      <c r="B107" s="120" t="s">
        <v>1052</v>
      </c>
      <c r="C107" s="75" t="s">
        <v>270</v>
      </c>
      <c r="D107" s="88">
        <v>191589</v>
      </c>
      <c r="G107" s="1"/>
      <c r="L107" s="1"/>
      <c r="M107" s="1"/>
    </row>
    <row r="108" spans="1:13" s="2" customFormat="1" x14ac:dyDescent="0.2">
      <c r="A108" s="87">
        <v>45140</v>
      </c>
      <c r="B108" s="120" t="s">
        <v>1052</v>
      </c>
      <c r="C108" s="75" t="s">
        <v>270</v>
      </c>
      <c r="D108" s="88">
        <v>74415.91</v>
      </c>
      <c r="G108" s="1"/>
      <c r="L108" s="1"/>
      <c r="M108" s="1"/>
    </row>
    <row r="109" spans="1:13" s="2" customFormat="1" x14ac:dyDescent="0.2">
      <c r="A109" s="87">
        <v>45140</v>
      </c>
      <c r="B109" s="120" t="s">
        <v>1052</v>
      </c>
      <c r="C109" s="75" t="s">
        <v>271</v>
      </c>
      <c r="D109" s="88">
        <v>454781</v>
      </c>
      <c r="G109" s="1"/>
      <c r="L109" s="1"/>
      <c r="M109" s="1"/>
    </row>
    <row r="110" spans="1:13" s="2" customFormat="1" x14ac:dyDescent="0.2">
      <c r="A110" s="87">
        <v>45141</v>
      </c>
      <c r="B110" s="120" t="s">
        <v>1052</v>
      </c>
      <c r="C110" s="75" t="s">
        <v>909</v>
      </c>
      <c r="D110" s="88">
        <v>910969</v>
      </c>
      <c r="G110" s="1"/>
      <c r="L110" s="1"/>
      <c r="M110" s="1"/>
    </row>
    <row r="111" spans="1:13" s="2" customFormat="1" x14ac:dyDescent="0.2">
      <c r="A111" s="87">
        <v>45141</v>
      </c>
      <c r="B111" s="120" t="s">
        <v>1052</v>
      </c>
      <c r="C111" s="75" t="s">
        <v>909</v>
      </c>
      <c r="D111" s="88">
        <v>1424635</v>
      </c>
      <c r="G111" s="1"/>
      <c r="L111" s="1"/>
      <c r="M111" s="1"/>
    </row>
    <row r="112" spans="1:13" s="2" customFormat="1" x14ac:dyDescent="0.2">
      <c r="A112" s="87">
        <v>45143</v>
      </c>
      <c r="B112" s="120" t="s">
        <v>1052</v>
      </c>
      <c r="C112" s="75" t="s">
        <v>85</v>
      </c>
      <c r="D112" s="88">
        <v>644288</v>
      </c>
      <c r="G112" s="1"/>
      <c r="L112" s="1"/>
      <c r="M112" s="1"/>
    </row>
    <row r="113" spans="1:13" s="2" customFormat="1" x14ac:dyDescent="0.2">
      <c r="A113" s="87">
        <v>45146</v>
      </c>
      <c r="B113" s="120" t="s">
        <v>1052</v>
      </c>
      <c r="C113" s="75" t="s">
        <v>85</v>
      </c>
      <c r="D113" s="88">
        <v>136333</v>
      </c>
      <c r="G113" s="1"/>
      <c r="L113" s="1"/>
      <c r="M113" s="1"/>
    </row>
    <row r="114" spans="1:13" s="2" customFormat="1" x14ac:dyDescent="0.2">
      <c r="A114" s="87">
        <v>45146</v>
      </c>
      <c r="B114" s="120" t="s">
        <v>1052</v>
      </c>
      <c r="C114" s="75" t="s">
        <v>1343</v>
      </c>
      <c r="D114" s="88">
        <v>2000000</v>
      </c>
      <c r="G114" s="1"/>
      <c r="L114" s="1"/>
      <c r="M114" s="1"/>
    </row>
    <row r="115" spans="1:13" s="2" customFormat="1" x14ac:dyDescent="0.2">
      <c r="A115" s="87">
        <v>45152</v>
      </c>
      <c r="B115" s="120" t="s">
        <v>1052</v>
      </c>
      <c r="C115" s="75" t="s">
        <v>270</v>
      </c>
      <c r="D115" s="88">
        <v>26225</v>
      </c>
      <c r="G115" s="1"/>
      <c r="L115" s="1"/>
      <c r="M115" s="1"/>
    </row>
    <row r="116" spans="1:13" s="2" customFormat="1" x14ac:dyDescent="0.2">
      <c r="A116" s="87">
        <v>45152</v>
      </c>
      <c r="B116" s="120" t="s">
        <v>1052</v>
      </c>
      <c r="C116" s="75" t="s">
        <v>270</v>
      </c>
      <c r="D116" s="88">
        <v>47499</v>
      </c>
      <c r="G116" s="1"/>
      <c r="L116" s="1"/>
      <c r="M116" s="1"/>
    </row>
    <row r="117" spans="1:13" s="2" customFormat="1" x14ac:dyDescent="0.2">
      <c r="A117" s="87">
        <v>45154</v>
      </c>
      <c r="B117" s="120" t="s">
        <v>1052</v>
      </c>
      <c r="C117" s="75" t="s">
        <v>271</v>
      </c>
      <c r="D117" s="88">
        <v>2701267</v>
      </c>
      <c r="G117" s="1"/>
      <c r="L117" s="1"/>
      <c r="M117" s="1"/>
    </row>
    <row r="118" spans="1:13" s="2" customFormat="1" x14ac:dyDescent="0.2">
      <c r="A118" s="87">
        <v>45157</v>
      </c>
      <c r="B118" s="120" t="s">
        <v>1052</v>
      </c>
      <c r="C118" s="75" t="s">
        <v>888</v>
      </c>
      <c r="D118" s="88">
        <v>1087820</v>
      </c>
      <c r="G118" s="1"/>
      <c r="L118" s="1"/>
      <c r="M118" s="1"/>
    </row>
    <row r="119" spans="1:13" s="2" customFormat="1" x14ac:dyDescent="0.2">
      <c r="A119" s="87">
        <v>45159</v>
      </c>
      <c r="B119" s="120" t="s">
        <v>1052</v>
      </c>
      <c r="C119" s="75" t="s">
        <v>270</v>
      </c>
      <c r="D119" s="88">
        <v>26199</v>
      </c>
      <c r="G119" s="1"/>
      <c r="L119" s="1"/>
      <c r="M119" s="1"/>
    </row>
    <row r="120" spans="1:13" s="2" customFormat="1" x14ac:dyDescent="0.2">
      <c r="A120" s="87"/>
      <c r="B120" s="74"/>
      <c r="C120" s="75"/>
      <c r="D120" s="51">
        <f>SUM(D104:D119)</f>
        <v>11073023.91</v>
      </c>
      <c r="F120" s="2" t="s">
        <v>396</v>
      </c>
      <c r="G120" s="1"/>
      <c r="L120" s="1"/>
      <c r="M120" s="1"/>
    </row>
    <row r="121" spans="1:13" s="2" customFormat="1" x14ac:dyDescent="0.2">
      <c r="A121" s="24"/>
      <c r="B121" s="1"/>
      <c r="C121" s="14"/>
      <c r="D121" s="56"/>
      <c r="E121" s="13"/>
      <c r="G121" s="1"/>
      <c r="L121" s="1"/>
      <c r="M121" s="1"/>
    </row>
    <row r="122" spans="1:13" s="2" customFormat="1" x14ac:dyDescent="0.2">
      <c r="A122" s="24"/>
      <c r="B122" s="1"/>
      <c r="C122" s="218" t="s">
        <v>77</v>
      </c>
      <c r="D122" s="219"/>
      <c r="E122" s="219"/>
      <c r="F122" s="220"/>
      <c r="G122" s="1"/>
      <c r="L122" s="1"/>
      <c r="M122" s="1"/>
    </row>
    <row r="123" spans="1:13" s="2" customFormat="1" x14ac:dyDescent="0.2">
      <c r="A123" s="24"/>
      <c r="B123" s="1"/>
      <c r="C123" s="50"/>
      <c r="D123" s="57" t="s">
        <v>78</v>
      </c>
      <c r="E123" s="58" t="s">
        <v>79</v>
      </c>
      <c r="F123" s="57" t="s">
        <v>72</v>
      </c>
      <c r="G123" s="1"/>
      <c r="I123" s="1"/>
      <c r="J123" s="1"/>
      <c r="K123" s="1"/>
      <c r="L123" s="1"/>
      <c r="M123" s="1"/>
    </row>
    <row r="124" spans="1:13" s="2" customFormat="1" x14ac:dyDescent="0.2">
      <c r="A124" s="24"/>
      <c r="B124" s="1"/>
      <c r="C124" s="59" t="str">
        <f>"01-08-2023 to "&amp;TEXT(A5-2,"dd-mm-yyyy")</f>
        <v>01-08-2023 to 19-08-2023</v>
      </c>
      <c r="D124" s="60">
        <v>2158.71</v>
      </c>
      <c r="E124" s="60">
        <v>178.78</v>
      </c>
      <c r="F124" s="61">
        <f>SUM(D124:E124)</f>
        <v>2337.4900000000002</v>
      </c>
      <c r="G124" s="1"/>
    </row>
    <row r="125" spans="1:13" s="2" customFormat="1" x14ac:dyDescent="0.2">
      <c r="A125" s="24"/>
      <c r="B125" s="1"/>
      <c r="C125" s="62" t="str">
        <f>TEXT(A5-1,"dd-mm-yyyy")</f>
        <v>20-08-2023</v>
      </c>
      <c r="D125" s="60">
        <v>0</v>
      </c>
      <c r="E125" s="60">
        <v>0</v>
      </c>
      <c r="F125" s="61">
        <f>SUM(D125:E125)</f>
        <v>0</v>
      </c>
      <c r="G125" s="54"/>
      <c r="I125" s="1"/>
      <c r="J125" s="1"/>
      <c r="K125" s="1"/>
      <c r="L125" s="1"/>
      <c r="M125" s="1"/>
    </row>
    <row r="126" spans="1:13" s="2" customFormat="1" ht="13.5" thickBot="1" x14ac:dyDescent="0.25">
      <c r="A126" s="24"/>
      <c r="B126" s="1"/>
      <c r="C126" s="63" t="str">
        <f>"01-08-2023 to "&amp;TEXT(A5-1,"dd-mm-yyyy")</f>
        <v>01-08-2023 to 20-08-2023</v>
      </c>
      <c r="D126" s="64">
        <f>SUM(D124:D125)</f>
        <v>2158.71</v>
      </c>
      <c r="E126" s="64">
        <f>SUM(E124:E125)</f>
        <v>178.78</v>
      </c>
      <c r="F126" s="64">
        <f>SUM(F124:F125)</f>
        <v>2337.4900000000002</v>
      </c>
      <c r="G126" s="54"/>
      <c r="I126" s="1"/>
      <c r="J126" s="1"/>
      <c r="K126" s="1"/>
      <c r="L126" s="1"/>
      <c r="M126" s="1"/>
    </row>
    <row r="127" spans="1:13" s="2" customFormat="1" ht="13.5" thickTop="1" x14ac:dyDescent="0.2">
      <c r="A127" s="24"/>
      <c r="B127" s="1"/>
      <c r="C127" s="62"/>
      <c r="D127" s="65"/>
      <c r="E127" s="66"/>
      <c r="F127" s="67"/>
      <c r="G127" s="54"/>
      <c r="I127" s="1"/>
      <c r="J127" s="1"/>
      <c r="K127" s="1"/>
      <c r="L127" s="1"/>
      <c r="M127" s="1"/>
    </row>
    <row r="128" spans="1:13" s="2" customFormat="1" x14ac:dyDescent="0.2">
      <c r="A128" s="24"/>
      <c r="B128" s="1"/>
      <c r="C128" s="62" t="str">
        <f>"01-04-2023 to " &amp;C125</f>
        <v>01-04-2023 to 20-08-2023</v>
      </c>
      <c r="D128" s="68">
        <f>+D126+20859.39</f>
        <v>23018.1</v>
      </c>
      <c r="E128" s="68">
        <f>+E126+1376.76</f>
        <v>1555.54</v>
      </c>
      <c r="F128" s="68">
        <f>+F126+22236.15</f>
        <v>24573.640000000003</v>
      </c>
      <c r="G128" s="54"/>
      <c r="I128" s="1"/>
      <c r="J128" s="1"/>
      <c r="K128" s="1"/>
      <c r="L128" s="1"/>
      <c r="M128" s="1"/>
    </row>
    <row r="129" spans="1:10" x14ac:dyDescent="0.2">
      <c r="C129" s="52"/>
      <c r="D129" s="85"/>
      <c r="E129" s="53"/>
      <c r="F129" s="53"/>
      <c r="G129" s="54"/>
      <c r="H129" s="2" t="s">
        <v>396</v>
      </c>
    </row>
    <row r="130" spans="1:10" s="2" customFormat="1" x14ac:dyDescent="0.2">
      <c r="A130" s="24"/>
      <c r="B130" s="1"/>
      <c r="C130" s="52"/>
      <c r="D130" s="85"/>
      <c r="E130" s="53"/>
      <c r="F130" s="53"/>
      <c r="G130" s="54"/>
      <c r="H130" s="53"/>
    </row>
    <row r="131" spans="1:10" x14ac:dyDescent="0.2">
      <c r="C131" s="52"/>
      <c r="D131" s="85"/>
      <c r="E131" s="53"/>
      <c r="F131" s="53"/>
      <c r="G131" s="54"/>
      <c r="H131" s="53" t="s">
        <v>396</v>
      </c>
    </row>
    <row r="132" spans="1:10" x14ac:dyDescent="0.2">
      <c r="C132" s="52"/>
      <c r="D132" s="85"/>
      <c r="E132" s="53"/>
      <c r="F132" s="53"/>
      <c r="G132" s="54"/>
      <c r="H132" s="53" t="s">
        <v>396</v>
      </c>
      <c r="J132" s="42"/>
    </row>
    <row r="133" spans="1:10" x14ac:dyDescent="0.2">
      <c r="G133" s="54"/>
      <c r="H133" s="53"/>
      <c r="I133" s="101"/>
    </row>
    <row r="134" spans="1:10" x14ac:dyDescent="0.2">
      <c r="G134" s="54"/>
      <c r="H134" s="53"/>
    </row>
    <row r="135" spans="1:10" x14ac:dyDescent="0.2">
      <c r="G135" s="54"/>
      <c r="H135" s="53"/>
    </row>
    <row r="136" spans="1:10" x14ac:dyDescent="0.2">
      <c r="H136" s="53"/>
    </row>
  </sheetData>
  <mergeCells count="6">
    <mergeCell ref="C122:F122"/>
    <mergeCell ref="A1:G1"/>
    <mergeCell ref="A3:F3"/>
    <mergeCell ref="A10:F10"/>
    <mergeCell ref="A52:F52"/>
    <mergeCell ref="A102:D102"/>
  </mergeCells>
  <conditionalFormatting sqref="G99:G100">
    <cfRule type="cellIs" dxfId="353" priority="1" operator="lessThan">
      <formula>0</formula>
    </cfRule>
  </conditionalFormatting>
  <conditionalFormatting sqref="C54">
    <cfRule type="duplicateValues" dxfId="352" priority="2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200-000000000000}">
  <sheetPr codeName="Sheet410">
    <pageSetUpPr fitToPage="1"/>
  </sheetPr>
  <dimension ref="A1:N143"/>
  <sheetViews>
    <sheetView topLeftCell="A4" zoomScaleNormal="100" workbookViewId="0">
      <selection activeCell="E86" sqref="E86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1398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45160</v>
      </c>
      <c r="B5" s="9" t="s">
        <v>6</v>
      </c>
      <c r="C5" s="10" t="s">
        <v>7</v>
      </c>
      <c r="D5" s="11"/>
      <c r="E5" s="12">
        <v>1546581.74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1546581.74</v>
      </c>
      <c r="F6" s="16">
        <f>SUM(F5:F5)</f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+E6-F6</f>
        <v>1546581.74</v>
      </c>
      <c r="F7" s="22"/>
      <c r="G7" s="23"/>
      <c r="H7" s="112"/>
      <c r="I7" s="112"/>
      <c r="J7" s="13"/>
    </row>
    <row r="8" spans="1:10" ht="12.75" customHeight="1" x14ac:dyDescent="0.4">
      <c r="H8" s="112"/>
      <c r="I8" s="112"/>
    </row>
    <row r="9" spans="1:10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12"/>
    </row>
    <row r="10" spans="1:10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12"/>
    </row>
    <row r="11" spans="1:10" s="2" customFormat="1" ht="14.25" customHeight="1" x14ac:dyDescent="0.2">
      <c r="A11" s="89">
        <v>45160</v>
      </c>
      <c r="B11" s="9" t="s">
        <v>6</v>
      </c>
      <c r="C11" s="10" t="s">
        <v>7</v>
      </c>
      <c r="D11" s="11"/>
      <c r="F11" s="12">
        <v>110156845.39000002</v>
      </c>
      <c r="G11" s="1"/>
      <c r="H11" s="130" t="s">
        <v>396</v>
      </c>
      <c r="I11" s="130"/>
    </row>
    <row r="12" spans="1:10" s="70" customFormat="1" ht="12.75" customHeight="1" x14ac:dyDescent="0.2">
      <c r="A12" s="89">
        <v>45160</v>
      </c>
      <c r="B12" s="9" t="s">
        <v>6</v>
      </c>
      <c r="C12" s="76" t="s">
        <v>1399</v>
      </c>
      <c r="D12" s="11" t="s">
        <v>29</v>
      </c>
      <c r="E12" s="31"/>
      <c r="F12" s="31">
        <v>60000</v>
      </c>
      <c r="G12" s="30"/>
      <c r="I12" s="69"/>
      <c r="J12" s="69"/>
    </row>
    <row r="13" spans="1:10" s="70" customFormat="1" ht="12.75" customHeight="1" x14ac:dyDescent="0.2">
      <c r="A13" s="89">
        <v>45160</v>
      </c>
      <c r="B13" s="9" t="s">
        <v>11</v>
      </c>
      <c r="C13" s="76" t="s">
        <v>1400</v>
      </c>
      <c r="D13" s="11" t="s">
        <v>29</v>
      </c>
      <c r="E13" s="31"/>
      <c r="F13" s="31">
        <v>18676</v>
      </c>
      <c r="G13" s="30"/>
      <c r="I13" s="69"/>
      <c r="J13" s="69"/>
    </row>
    <row r="14" spans="1:10" s="70" customFormat="1" ht="12.75" customHeight="1" x14ac:dyDescent="0.2">
      <c r="A14" s="89">
        <v>45160</v>
      </c>
      <c r="B14" s="9" t="s">
        <v>11</v>
      </c>
      <c r="C14" s="76" t="s">
        <v>1124</v>
      </c>
      <c r="D14" s="11" t="s">
        <v>29</v>
      </c>
      <c r="E14" s="31"/>
      <c r="F14" s="31">
        <v>6677</v>
      </c>
      <c r="G14" s="30"/>
      <c r="I14" s="69"/>
      <c r="J14" s="69"/>
    </row>
    <row r="15" spans="1:10" s="70" customFormat="1" ht="12.75" customHeight="1" x14ac:dyDescent="0.2">
      <c r="A15" s="89">
        <v>45160</v>
      </c>
      <c r="B15" s="9" t="s">
        <v>11</v>
      </c>
      <c r="C15" s="76" t="s">
        <v>1313</v>
      </c>
      <c r="D15" s="11" t="s">
        <v>29</v>
      </c>
      <c r="E15" s="31"/>
      <c r="F15" s="31">
        <v>46634</v>
      </c>
      <c r="G15" s="30"/>
      <c r="I15" s="69"/>
      <c r="J15" s="69"/>
    </row>
    <row r="16" spans="1:10" s="70" customFormat="1" ht="12.75" customHeight="1" x14ac:dyDescent="0.2">
      <c r="A16" s="89">
        <v>45160</v>
      </c>
      <c r="B16" s="9" t="s">
        <v>11</v>
      </c>
      <c r="C16" s="76" t="s">
        <v>287</v>
      </c>
      <c r="D16" s="11" t="s">
        <v>29</v>
      </c>
      <c r="E16" s="31"/>
      <c r="F16" s="31">
        <v>15776</v>
      </c>
      <c r="G16" s="30"/>
      <c r="I16" s="69"/>
      <c r="J16" s="69"/>
    </row>
    <row r="17" spans="1:10" s="70" customFormat="1" ht="12.75" customHeight="1" x14ac:dyDescent="0.2">
      <c r="A17" s="89">
        <v>45160</v>
      </c>
      <c r="B17" s="9" t="s">
        <v>11</v>
      </c>
      <c r="C17" s="76" t="s">
        <v>279</v>
      </c>
      <c r="D17" s="11" t="s">
        <v>29</v>
      </c>
      <c r="E17" s="31"/>
      <c r="F17" s="31">
        <v>2222473</v>
      </c>
      <c r="G17" s="30"/>
      <c r="I17" s="69"/>
      <c r="J17" s="69"/>
    </row>
    <row r="18" spans="1:10" s="70" customFormat="1" ht="12.75" customHeight="1" x14ac:dyDescent="0.2">
      <c r="A18" s="89">
        <v>45160</v>
      </c>
      <c r="B18" s="9" t="s">
        <v>11</v>
      </c>
      <c r="C18" s="76" t="s">
        <v>1401</v>
      </c>
      <c r="D18" s="11" t="s">
        <v>29</v>
      </c>
      <c r="E18" s="31"/>
      <c r="F18" s="31">
        <v>794263</v>
      </c>
      <c r="G18" s="30"/>
      <c r="I18" s="69"/>
      <c r="J18" s="69"/>
    </row>
    <row r="19" spans="1:10" s="70" customFormat="1" ht="12.75" customHeight="1" x14ac:dyDescent="0.2">
      <c r="A19" s="89">
        <v>45160</v>
      </c>
      <c r="B19" s="9" t="s">
        <v>11</v>
      </c>
      <c r="C19" s="76" t="s">
        <v>494</v>
      </c>
      <c r="D19" s="11" t="s">
        <v>29</v>
      </c>
      <c r="E19" s="31"/>
      <c r="F19" s="31">
        <v>14248</v>
      </c>
      <c r="G19" s="30"/>
      <c r="I19" s="69"/>
      <c r="J19" s="69"/>
    </row>
    <row r="20" spans="1:10" s="70" customFormat="1" ht="12.75" customHeight="1" x14ac:dyDescent="0.2">
      <c r="A20" s="89">
        <v>45160</v>
      </c>
      <c r="B20" s="9" t="s">
        <v>11</v>
      </c>
      <c r="C20" s="76" t="s">
        <v>32</v>
      </c>
      <c r="D20" s="11" t="s">
        <v>29</v>
      </c>
      <c r="E20" s="31"/>
      <c r="F20" s="31">
        <v>1554762</v>
      </c>
      <c r="G20" s="30"/>
      <c r="I20" s="69"/>
      <c r="J20" s="69"/>
    </row>
    <row r="21" spans="1:10" s="70" customFormat="1" ht="12.75" customHeight="1" x14ac:dyDescent="0.2">
      <c r="A21" s="89">
        <v>45160</v>
      </c>
      <c r="B21" s="9" t="s">
        <v>11</v>
      </c>
      <c r="C21" s="76" t="s">
        <v>235</v>
      </c>
      <c r="D21" s="11" t="s">
        <v>29</v>
      </c>
      <c r="E21" s="31"/>
      <c r="F21" s="31">
        <v>6825</v>
      </c>
      <c r="G21" s="30"/>
      <c r="I21" s="69"/>
      <c r="J21" s="69"/>
    </row>
    <row r="22" spans="1:10" s="70" customFormat="1" ht="12.75" customHeight="1" x14ac:dyDescent="0.2">
      <c r="A22" s="89">
        <v>45160</v>
      </c>
      <c r="B22" s="9" t="s">
        <v>11</v>
      </c>
      <c r="C22" s="76" t="s">
        <v>1228</v>
      </c>
      <c r="D22" s="11" t="s">
        <v>29</v>
      </c>
      <c r="E22" s="31"/>
      <c r="F22" s="31">
        <v>132667</v>
      </c>
      <c r="G22" s="30"/>
      <c r="I22" s="69"/>
      <c r="J22" s="69"/>
    </row>
    <row r="23" spans="1:10" s="2" customFormat="1" ht="12.75" customHeight="1" x14ac:dyDescent="0.4">
      <c r="D23" s="11" t="s">
        <v>8</v>
      </c>
      <c r="E23" s="16">
        <f>SUM(E12:E22)</f>
        <v>0</v>
      </c>
      <c r="F23" s="16">
        <f>SUM(F11:F22)</f>
        <v>115029846.39000002</v>
      </c>
      <c r="G23" s="1"/>
      <c r="H23" s="112"/>
      <c r="I23" s="112"/>
    </row>
    <row r="24" spans="1:10" s="2" customFormat="1" ht="12.75" customHeight="1" x14ac:dyDescent="0.4">
      <c r="A24" s="17"/>
      <c r="B24" s="18"/>
      <c r="C24" s="96" t="s">
        <v>9</v>
      </c>
      <c r="D24" s="20"/>
      <c r="E24" s="21">
        <f>+F23-E23</f>
        <v>115029846.39000002</v>
      </c>
      <c r="G24" s="23"/>
      <c r="H24" s="112"/>
      <c r="I24" s="112"/>
      <c r="J24" s="13"/>
    </row>
    <row r="25" spans="1:10" s="2" customFormat="1" ht="12.75" customHeight="1" x14ac:dyDescent="0.4">
      <c r="A25" s="24"/>
      <c r="B25" s="1"/>
      <c r="C25" s="14"/>
      <c r="D25" s="25"/>
      <c r="G25" s="23"/>
      <c r="H25" s="112"/>
      <c r="I25" s="112"/>
      <c r="J25" s="13"/>
    </row>
    <row r="26" spans="1:10" s="2" customFormat="1" ht="21.75" customHeight="1" x14ac:dyDescent="0.4">
      <c r="A26" s="214" t="s">
        <v>10</v>
      </c>
      <c r="B26" s="214"/>
      <c r="C26" s="214"/>
      <c r="D26" s="214"/>
      <c r="E26" s="214"/>
      <c r="F26" s="214"/>
      <c r="G26" s="13"/>
      <c r="H26" s="112"/>
      <c r="I26" s="112"/>
      <c r="J26" s="13"/>
    </row>
    <row r="27" spans="1:10" s="2" customFormat="1" ht="12.75" customHeight="1" x14ac:dyDescent="0.4">
      <c r="A27" s="26" t="s">
        <v>1</v>
      </c>
      <c r="B27" s="27" t="s">
        <v>2</v>
      </c>
      <c r="C27" s="5"/>
      <c r="D27" s="6" t="s">
        <v>3</v>
      </c>
      <c r="E27" s="7" t="s">
        <v>4</v>
      </c>
      <c r="F27" s="7" t="s">
        <v>5</v>
      </c>
      <c r="G27" s="23"/>
      <c r="H27" s="112"/>
      <c r="I27" s="112"/>
      <c r="J27" s="13"/>
    </row>
    <row r="28" spans="1:10" s="2" customFormat="1" ht="12.75" customHeight="1" x14ac:dyDescent="0.2">
      <c r="A28" s="89">
        <v>45160</v>
      </c>
      <c r="B28" s="128" t="s">
        <v>11</v>
      </c>
      <c r="C28" s="29" t="s">
        <v>7</v>
      </c>
      <c r="D28" s="25"/>
      <c r="E28" s="31"/>
      <c r="F28" s="2">
        <v>335554883.40999997</v>
      </c>
      <c r="G28" s="30"/>
      <c r="I28" s="13"/>
      <c r="J28" s="13"/>
    </row>
    <row r="29" spans="1:10" s="70" customFormat="1" ht="12.75" customHeight="1" x14ac:dyDescent="0.2">
      <c r="A29" s="89">
        <v>45160</v>
      </c>
      <c r="B29" s="128" t="s">
        <v>6</v>
      </c>
      <c r="C29" s="10" t="s">
        <v>421</v>
      </c>
      <c r="D29" s="11" t="s">
        <v>13</v>
      </c>
      <c r="E29" s="86">
        <v>450000</v>
      </c>
      <c r="G29" s="30"/>
      <c r="I29" s="69"/>
      <c r="J29" s="69"/>
    </row>
    <row r="30" spans="1:10" s="70" customFormat="1" ht="12.75" customHeight="1" x14ac:dyDescent="0.2">
      <c r="A30" s="89">
        <v>45160</v>
      </c>
      <c r="B30" s="128" t="s">
        <v>6</v>
      </c>
      <c r="C30" s="10" t="s">
        <v>666</v>
      </c>
      <c r="D30" s="11" t="s">
        <v>13</v>
      </c>
      <c r="E30" s="86">
        <v>51800</v>
      </c>
      <c r="G30" s="30"/>
      <c r="I30" s="69"/>
      <c r="J30" s="69"/>
    </row>
    <row r="31" spans="1:10" s="70" customFormat="1" ht="12.75" customHeight="1" x14ac:dyDescent="0.2">
      <c r="A31" s="89">
        <v>45160</v>
      </c>
      <c r="B31" s="128" t="s">
        <v>6</v>
      </c>
      <c r="C31" s="10" t="s">
        <v>19</v>
      </c>
      <c r="D31" s="11" t="s">
        <v>13</v>
      </c>
      <c r="E31" s="86">
        <v>1578740</v>
      </c>
      <c r="G31" s="30"/>
      <c r="I31" s="69"/>
      <c r="J31" s="69"/>
    </row>
    <row r="32" spans="1:10" s="70" customFormat="1" ht="12.75" customHeight="1" x14ac:dyDescent="0.2">
      <c r="A32" s="89">
        <v>45160</v>
      </c>
      <c r="B32" s="128" t="s">
        <v>6</v>
      </c>
      <c r="C32" s="10" t="s">
        <v>120</v>
      </c>
      <c r="D32" s="11" t="s">
        <v>13</v>
      </c>
      <c r="E32" s="86">
        <v>298845</v>
      </c>
      <c r="G32" s="30"/>
      <c r="I32" s="69"/>
      <c r="J32" s="69"/>
    </row>
    <row r="33" spans="1:10" s="70" customFormat="1" ht="12.75" customHeight="1" x14ac:dyDescent="0.2">
      <c r="A33" s="89">
        <v>45160</v>
      </c>
      <c r="B33" s="128" t="s">
        <v>6</v>
      </c>
      <c r="C33" s="10" t="s">
        <v>843</v>
      </c>
      <c r="D33" s="11" t="s">
        <v>13</v>
      </c>
      <c r="E33" s="86">
        <v>91330</v>
      </c>
      <c r="G33" s="30"/>
      <c r="I33" s="69"/>
      <c r="J33" s="69"/>
    </row>
    <row r="34" spans="1:10" s="70" customFormat="1" ht="12.75" customHeight="1" x14ac:dyDescent="0.2">
      <c r="A34" s="89">
        <v>45160</v>
      </c>
      <c r="B34" s="128" t="s">
        <v>6</v>
      </c>
      <c r="C34" s="10" t="s">
        <v>24</v>
      </c>
      <c r="D34" s="11" t="s">
        <v>13</v>
      </c>
      <c r="E34" s="86">
        <v>5613</v>
      </c>
      <c r="G34" s="30"/>
      <c r="I34" s="69"/>
      <c r="J34" s="69"/>
    </row>
    <row r="35" spans="1:10" s="70" customFormat="1" ht="12.75" customHeight="1" x14ac:dyDescent="0.2">
      <c r="A35" s="89">
        <v>45160</v>
      </c>
      <c r="B35" s="128" t="s">
        <v>6</v>
      </c>
      <c r="C35" s="10" t="s">
        <v>727</v>
      </c>
      <c r="D35" s="11" t="s">
        <v>13</v>
      </c>
      <c r="E35" s="86">
        <v>157090</v>
      </c>
      <c r="G35" s="30"/>
      <c r="I35" s="69"/>
      <c r="J35" s="69"/>
    </row>
    <row r="36" spans="1:10" s="70" customFormat="1" ht="12.75" customHeight="1" x14ac:dyDescent="0.2">
      <c r="A36" s="89">
        <v>45160</v>
      </c>
      <c r="B36" s="128" t="s">
        <v>6</v>
      </c>
      <c r="C36" s="10" t="s">
        <v>947</v>
      </c>
      <c r="D36" s="11" t="s">
        <v>13</v>
      </c>
      <c r="E36" s="86">
        <v>10105</v>
      </c>
      <c r="G36" s="30"/>
      <c r="I36" s="69"/>
      <c r="J36" s="69"/>
    </row>
    <row r="37" spans="1:10" s="70" customFormat="1" ht="12.75" customHeight="1" x14ac:dyDescent="0.2">
      <c r="A37" s="89">
        <v>45160</v>
      </c>
      <c r="B37" s="128" t="s">
        <v>6</v>
      </c>
      <c r="C37" s="10" t="s">
        <v>17</v>
      </c>
      <c r="D37" s="11" t="s">
        <v>13</v>
      </c>
      <c r="E37" s="86">
        <v>244433</v>
      </c>
      <c r="G37" s="30"/>
      <c r="I37" s="69"/>
      <c r="J37" s="69"/>
    </row>
    <row r="38" spans="1:10" s="70" customFormat="1" ht="12.75" customHeight="1" x14ac:dyDescent="0.2">
      <c r="A38" s="89">
        <v>45160</v>
      </c>
      <c r="B38" s="128" t="s">
        <v>6</v>
      </c>
      <c r="C38" s="10" t="s">
        <v>1026</v>
      </c>
      <c r="D38" s="11" t="s">
        <v>13</v>
      </c>
      <c r="E38" s="86">
        <v>133400</v>
      </c>
      <c r="G38" s="30"/>
      <c r="I38" s="69"/>
      <c r="J38" s="69"/>
    </row>
    <row r="39" spans="1:10" s="70" customFormat="1" ht="12.75" customHeight="1" x14ac:dyDescent="0.2">
      <c r="A39" s="89">
        <v>45160</v>
      </c>
      <c r="B39" s="128" t="s">
        <v>6</v>
      </c>
      <c r="C39" s="10" t="s">
        <v>27</v>
      </c>
      <c r="D39" s="11" t="s">
        <v>13</v>
      </c>
      <c r="E39" s="86">
        <v>489581.9</v>
      </c>
      <c r="G39" s="30"/>
      <c r="I39" s="69"/>
      <c r="J39" s="69"/>
    </row>
    <row r="40" spans="1:10" s="70" customFormat="1" ht="12.75" customHeight="1" x14ac:dyDescent="0.2">
      <c r="A40" s="89">
        <v>45160</v>
      </c>
      <c r="B40" s="128" t="s">
        <v>6</v>
      </c>
      <c r="C40" s="10" t="s">
        <v>15</v>
      </c>
      <c r="D40" s="11" t="s">
        <v>13</v>
      </c>
      <c r="E40" s="86">
        <v>10873.19</v>
      </c>
      <c r="G40" s="30"/>
      <c r="I40" s="69"/>
      <c r="J40" s="69"/>
    </row>
    <row r="41" spans="1:10" s="70" customFormat="1" ht="12.75" customHeight="1" x14ac:dyDescent="0.2">
      <c r="A41" s="89">
        <v>45160</v>
      </c>
      <c r="B41" s="128" t="s">
        <v>6</v>
      </c>
      <c r="C41" s="10" t="s">
        <v>678</v>
      </c>
      <c r="D41" s="11" t="s">
        <v>13</v>
      </c>
      <c r="E41" s="86">
        <v>200000</v>
      </c>
      <c r="G41" s="30"/>
      <c r="I41" s="69"/>
      <c r="J41" s="69"/>
    </row>
    <row r="42" spans="1:10" s="70" customFormat="1" ht="12.75" customHeight="1" x14ac:dyDescent="0.2">
      <c r="A42" s="89">
        <v>45160</v>
      </c>
      <c r="B42" s="128" t="s">
        <v>6</v>
      </c>
      <c r="C42" s="10" t="s">
        <v>1405</v>
      </c>
      <c r="D42" s="11" t="s">
        <v>13</v>
      </c>
      <c r="E42" s="86">
        <v>163912.27000000002</v>
      </c>
      <c r="G42" s="30"/>
      <c r="I42" s="69"/>
      <c r="J42" s="69"/>
    </row>
    <row r="43" spans="1:10" s="70" customFormat="1" ht="12.75" customHeight="1" x14ac:dyDescent="0.2">
      <c r="A43" s="89">
        <v>45160</v>
      </c>
      <c r="B43" s="128" t="s">
        <v>6</v>
      </c>
      <c r="C43" s="10" t="s">
        <v>1375</v>
      </c>
      <c r="D43" s="11" t="s">
        <v>13</v>
      </c>
      <c r="E43" s="86">
        <v>7340514</v>
      </c>
      <c r="G43" s="30"/>
      <c r="I43" s="69"/>
      <c r="J43" s="69"/>
    </row>
    <row r="44" spans="1:10" s="70" customFormat="1" ht="12.75" customHeight="1" x14ac:dyDescent="0.2">
      <c r="A44" s="89">
        <v>45160</v>
      </c>
      <c r="B44" s="128" t="s">
        <v>6</v>
      </c>
      <c r="C44" s="10" t="s">
        <v>244</v>
      </c>
      <c r="D44" s="11" t="s">
        <v>13</v>
      </c>
      <c r="E44" s="86">
        <v>630823</v>
      </c>
      <c r="G44" s="30"/>
      <c r="I44" s="69"/>
      <c r="J44" s="69"/>
    </row>
    <row r="45" spans="1:10" s="70" customFormat="1" ht="12.75" customHeight="1" x14ac:dyDescent="0.2">
      <c r="A45" s="89">
        <v>45160</v>
      </c>
      <c r="B45" s="128" t="s">
        <v>6</v>
      </c>
      <c r="C45" s="10" t="s">
        <v>450</v>
      </c>
      <c r="D45" s="11" t="s">
        <v>13</v>
      </c>
      <c r="E45" s="86">
        <v>1117305</v>
      </c>
      <c r="G45" s="30"/>
      <c r="I45" s="69"/>
      <c r="J45" s="69"/>
    </row>
    <row r="46" spans="1:10" s="70" customFormat="1" ht="12.75" customHeight="1" x14ac:dyDescent="0.2">
      <c r="A46" s="89">
        <v>45160</v>
      </c>
      <c r="B46" s="128" t="s">
        <v>6</v>
      </c>
      <c r="C46" s="10" t="s">
        <v>614</v>
      </c>
      <c r="D46" s="11" t="s">
        <v>13</v>
      </c>
      <c r="E46" s="86">
        <v>841737</v>
      </c>
      <c r="G46" s="30"/>
      <c r="I46" s="69"/>
      <c r="J46" s="69"/>
    </row>
    <row r="47" spans="1:10" s="70" customFormat="1" ht="12.75" customHeight="1" x14ac:dyDescent="0.2">
      <c r="A47" s="89">
        <v>45160</v>
      </c>
      <c r="B47" s="128" t="s">
        <v>6</v>
      </c>
      <c r="C47" s="10" t="s">
        <v>555</v>
      </c>
      <c r="D47" s="11" t="s">
        <v>13</v>
      </c>
      <c r="E47" s="86">
        <v>355797</v>
      </c>
      <c r="G47" s="30"/>
      <c r="I47" s="69"/>
      <c r="J47" s="69"/>
    </row>
    <row r="48" spans="1:10" s="70" customFormat="1" ht="12.75" customHeight="1" x14ac:dyDescent="0.2">
      <c r="A48" s="89">
        <v>45160</v>
      </c>
      <c r="B48" s="128" t="s">
        <v>6</v>
      </c>
      <c r="C48" s="10" t="s">
        <v>103</v>
      </c>
      <c r="D48" s="11" t="s">
        <v>13</v>
      </c>
      <c r="E48" s="86">
        <v>78440</v>
      </c>
      <c r="G48" s="30"/>
      <c r="I48" s="69"/>
      <c r="J48" s="69"/>
    </row>
    <row r="49" spans="1:10" s="70" customFormat="1" ht="12.75" customHeight="1" x14ac:dyDescent="0.2">
      <c r="A49" s="89">
        <v>45160</v>
      </c>
      <c r="B49" s="128" t="s">
        <v>6</v>
      </c>
      <c r="C49" s="10" t="s">
        <v>141</v>
      </c>
      <c r="D49" s="11" t="s">
        <v>13</v>
      </c>
      <c r="E49" s="86">
        <v>1513723</v>
      </c>
      <c r="G49" s="30"/>
      <c r="I49" s="69"/>
      <c r="J49" s="69"/>
    </row>
    <row r="50" spans="1:10" s="70" customFormat="1" ht="12.75" customHeight="1" x14ac:dyDescent="0.2">
      <c r="A50" s="89">
        <v>45160</v>
      </c>
      <c r="B50" s="128" t="s">
        <v>6</v>
      </c>
      <c r="C50" s="10" t="s">
        <v>1402</v>
      </c>
      <c r="D50" s="11" t="s">
        <v>13</v>
      </c>
      <c r="E50" s="86">
        <v>194837</v>
      </c>
      <c r="G50" s="30"/>
      <c r="I50" s="69"/>
      <c r="J50" s="69"/>
    </row>
    <row r="51" spans="1:10" s="70" customFormat="1" ht="12.75" customHeight="1" x14ac:dyDescent="0.2">
      <c r="A51" s="89">
        <v>45160</v>
      </c>
      <c r="B51" s="128" t="s">
        <v>6</v>
      </c>
      <c r="C51" s="10" t="s">
        <v>1318</v>
      </c>
      <c r="D51" s="11" t="s">
        <v>13</v>
      </c>
      <c r="E51" s="86">
        <v>1169645</v>
      </c>
      <c r="G51" s="30"/>
      <c r="I51" s="69"/>
      <c r="J51" s="69"/>
    </row>
    <row r="52" spans="1:10" s="70" customFormat="1" ht="12.75" customHeight="1" x14ac:dyDescent="0.2">
      <c r="A52" s="89">
        <v>45160</v>
      </c>
      <c r="B52" s="128" t="s">
        <v>6</v>
      </c>
      <c r="C52" s="10" t="s">
        <v>1231</v>
      </c>
      <c r="D52" s="11" t="s">
        <v>13</v>
      </c>
      <c r="E52" s="86">
        <v>5157</v>
      </c>
      <c r="G52" s="30"/>
      <c r="I52" s="69"/>
      <c r="J52" s="69"/>
    </row>
    <row r="53" spans="1:10" s="70" customFormat="1" ht="12.75" customHeight="1" x14ac:dyDescent="0.2">
      <c r="A53" s="89">
        <v>45160</v>
      </c>
      <c r="B53" s="128" t="s">
        <v>6</v>
      </c>
      <c r="C53" s="10" t="s">
        <v>803</v>
      </c>
      <c r="D53" s="11" t="s">
        <v>13</v>
      </c>
      <c r="E53" s="86">
        <v>30555</v>
      </c>
      <c r="G53" s="30"/>
      <c r="I53" s="69"/>
      <c r="J53" s="69"/>
    </row>
    <row r="54" spans="1:10" s="70" customFormat="1" ht="12.75" customHeight="1" x14ac:dyDescent="0.2">
      <c r="A54" s="89">
        <v>45160</v>
      </c>
      <c r="B54" s="128" t="s">
        <v>6</v>
      </c>
      <c r="C54" s="10" t="s">
        <v>746</v>
      </c>
      <c r="D54" s="11" t="s">
        <v>13</v>
      </c>
      <c r="E54" s="86">
        <v>1061425</v>
      </c>
      <c r="G54" s="30"/>
      <c r="I54" s="69"/>
      <c r="J54" s="69"/>
    </row>
    <row r="55" spans="1:10" s="70" customFormat="1" ht="12.75" customHeight="1" x14ac:dyDescent="0.2">
      <c r="A55" s="89">
        <v>45160</v>
      </c>
      <c r="B55" s="128" t="s">
        <v>6</v>
      </c>
      <c r="C55" s="10" t="s">
        <v>177</v>
      </c>
      <c r="D55" s="11" t="s">
        <v>13</v>
      </c>
      <c r="E55" s="86">
        <v>581709</v>
      </c>
      <c r="G55" s="30"/>
      <c r="I55" s="69"/>
      <c r="J55" s="69"/>
    </row>
    <row r="56" spans="1:10" s="70" customFormat="1" ht="12.75" customHeight="1" x14ac:dyDescent="0.2">
      <c r="A56" s="89">
        <v>45160</v>
      </c>
      <c r="B56" s="128" t="s">
        <v>6</v>
      </c>
      <c r="C56" s="10" t="s">
        <v>379</v>
      </c>
      <c r="D56" s="11" t="s">
        <v>13</v>
      </c>
      <c r="E56" s="86">
        <v>951859.97</v>
      </c>
      <c r="G56" s="30"/>
      <c r="I56" s="69"/>
      <c r="J56" s="69"/>
    </row>
    <row r="57" spans="1:10" s="70" customFormat="1" ht="12.75" customHeight="1" x14ac:dyDescent="0.2">
      <c r="A57" s="89">
        <v>45160</v>
      </c>
      <c r="B57" s="128" t="s">
        <v>6</v>
      </c>
      <c r="C57" s="10" t="s">
        <v>121</v>
      </c>
      <c r="D57" s="11" t="s">
        <v>13</v>
      </c>
      <c r="E57" s="86">
        <v>500000</v>
      </c>
      <c r="G57" s="30"/>
      <c r="I57" s="69"/>
      <c r="J57" s="69"/>
    </row>
    <row r="58" spans="1:10" s="70" customFormat="1" ht="12.75" customHeight="1" x14ac:dyDescent="0.2">
      <c r="A58" s="89">
        <v>45160</v>
      </c>
      <c r="B58" s="128" t="s">
        <v>6</v>
      </c>
      <c r="C58" s="10" t="s">
        <v>1351</v>
      </c>
      <c r="D58" s="11" t="s">
        <v>13</v>
      </c>
      <c r="E58" s="86">
        <v>120295.84</v>
      </c>
      <c r="G58" s="30"/>
      <c r="I58" s="69"/>
      <c r="J58" s="69"/>
    </row>
    <row r="59" spans="1:10" s="70" customFormat="1" ht="12.75" customHeight="1" x14ac:dyDescent="0.2">
      <c r="A59" s="89">
        <v>45160</v>
      </c>
      <c r="B59" s="128" t="s">
        <v>6</v>
      </c>
      <c r="C59" s="10" t="s">
        <v>12</v>
      </c>
      <c r="D59" s="11" t="s">
        <v>13</v>
      </c>
      <c r="E59" s="86">
        <v>1364233.7200000002</v>
      </c>
      <c r="G59" s="30"/>
      <c r="I59" s="69"/>
      <c r="J59" s="69"/>
    </row>
    <row r="60" spans="1:10" s="70" customFormat="1" ht="12.75" customHeight="1" x14ac:dyDescent="0.2">
      <c r="A60" s="89">
        <v>45160</v>
      </c>
      <c r="B60" s="128" t="s">
        <v>11</v>
      </c>
      <c r="C60" s="10" t="s">
        <v>111</v>
      </c>
      <c r="D60" s="11" t="s">
        <v>29</v>
      </c>
      <c r="E60" s="86"/>
      <c r="F60" s="70">
        <v>5722205.7999999998</v>
      </c>
      <c r="G60" s="30"/>
      <c r="I60" s="69"/>
      <c r="J60" s="69"/>
    </row>
    <row r="61" spans="1:10" s="70" customFormat="1" ht="12.75" customHeight="1" x14ac:dyDescent="0.2">
      <c r="A61" s="89">
        <v>45160</v>
      </c>
      <c r="B61" s="128" t="s">
        <v>11</v>
      </c>
      <c r="C61" s="10" t="s">
        <v>738</v>
      </c>
      <c r="D61" s="11" t="s">
        <v>29</v>
      </c>
      <c r="E61" s="86"/>
      <c r="F61" s="70">
        <v>31098</v>
      </c>
      <c r="G61" s="30"/>
      <c r="I61" s="69"/>
      <c r="J61" s="69"/>
    </row>
    <row r="62" spans="1:10" s="70" customFormat="1" ht="12.75" customHeight="1" x14ac:dyDescent="0.2">
      <c r="A62" s="89">
        <v>45160</v>
      </c>
      <c r="B62" s="128" t="s">
        <v>11</v>
      </c>
      <c r="C62" s="10" t="s">
        <v>242</v>
      </c>
      <c r="D62" s="11" t="s">
        <v>29</v>
      </c>
      <c r="E62" s="86"/>
      <c r="F62" s="70">
        <v>73909</v>
      </c>
      <c r="G62" s="30"/>
      <c r="I62" s="69"/>
      <c r="J62" s="69"/>
    </row>
    <row r="63" spans="1:10" s="70" customFormat="1" ht="12.75" customHeight="1" x14ac:dyDescent="0.2">
      <c r="A63" s="89">
        <v>45160</v>
      </c>
      <c r="B63" s="128" t="s">
        <v>11</v>
      </c>
      <c r="C63" s="10" t="s">
        <v>603</v>
      </c>
      <c r="D63" s="11" t="s">
        <v>29</v>
      </c>
      <c r="E63" s="86"/>
      <c r="F63" s="70">
        <v>14954</v>
      </c>
      <c r="G63" s="30"/>
      <c r="I63" s="69"/>
      <c r="J63" s="69"/>
    </row>
    <row r="64" spans="1:10" s="70" customFormat="1" ht="12.75" customHeight="1" x14ac:dyDescent="0.2">
      <c r="A64" s="89">
        <v>45160</v>
      </c>
      <c r="B64" s="128" t="s">
        <v>11</v>
      </c>
      <c r="C64" s="10" t="s">
        <v>800</v>
      </c>
      <c r="D64" s="11" t="s">
        <v>29</v>
      </c>
      <c r="E64" s="86"/>
      <c r="F64" s="70">
        <v>9395</v>
      </c>
      <c r="G64" s="30"/>
      <c r="I64" s="69"/>
      <c r="J64" s="69"/>
    </row>
    <row r="65" spans="1:10" s="70" customFormat="1" ht="12.75" customHeight="1" x14ac:dyDescent="0.2">
      <c r="A65" s="89">
        <v>45160</v>
      </c>
      <c r="B65" s="128" t="s">
        <v>11</v>
      </c>
      <c r="C65" s="10" t="s">
        <v>33</v>
      </c>
      <c r="D65" s="11" t="s">
        <v>29</v>
      </c>
      <c r="E65" s="86"/>
      <c r="F65" s="70">
        <v>9808233</v>
      </c>
      <c r="G65" s="30"/>
      <c r="I65" s="69"/>
      <c r="J65" s="69"/>
    </row>
    <row r="66" spans="1:10" s="70" customFormat="1" ht="12.75" customHeight="1" x14ac:dyDescent="0.2">
      <c r="A66" s="89">
        <v>45160</v>
      </c>
      <c r="B66" s="128" t="s">
        <v>11</v>
      </c>
      <c r="C66" s="10" t="s">
        <v>1403</v>
      </c>
      <c r="D66" s="11" t="s">
        <v>29</v>
      </c>
      <c r="E66" s="86"/>
      <c r="F66" s="70">
        <v>15166331</v>
      </c>
      <c r="G66" s="30"/>
      <c r="I66" s="69"/>
      <c r="J66" s="69"/>
    </row>
    <row r="67" spans="1:10" s="70" customFormat="1" ht="12.75" customHeight="1" x14ac:dyDescent="0.2">
      <c r="A67" s="89">
        <v>45160</v>
      </c>
      <c r="B67" s="128" t="s">
        <v>11</v>
      </c>
      <c r="C67" s="10" t="s">
        <v>278</v>
      </c>
      <c r="D67" s="11" t="s">
        <v>29</v>
      </c>
      <c r="E67" s="86"/>
      <c r="F67" s="70">
        <v>60041</v>
      </c>
      <c r="G67" s="30"/>
      <c r="I67" s="69"/>
      <c r="J67" s="69"/>
    </row>
    <row r="68" spans="1:10" s="70" customFormat="1" ht="12.75" customHeight="1" x14ac:dyDescent="0.2">
      <c r="A68" s="89">
        <v>45160</v>
      </c>
      <c r="B68" s="128" t="s">
        <v>11</v>
      </c>
      <c r="C68" s="10" t="s">
        <v>44</v>
      </c>
      <c r="D68" s="11" t="s">
        <v>29</v>
      </c>
      <c r="E68" s="86"/>
      <c r="F68" s="70">
        <v>81633</v>
      </c>
      <c r="G68" s="30"/>
      <c r="I68" s="69"/>
      <c r="J68" s="69"/>
    </row>
    <row r="69" spans="1:10" s="70" customFormat="1" ht="12.75" customHeight="1" x14ac:dyDescent="0.2">
      <c r="A69" s="89">
        <v>45160</v>
      </c>
      <c r="B69" s="128" t="s">
        <v>11</v>
      </c>
      <c r="C69" s="10" t="s">
        <v>61</v>
      </c>
      <c r="D69" s="11" t="s">
        <v>29</v>
      </c>
      <c r="E69" s="86"/>
      <c r="F69" s="70">
        <v>80133.8</v>
      </c>
      <c r="G69" s="30"/>
      <c r="I69" s="69"/>
      <c r="J69" s="69"/>
    </row>
    <row r="70" spans="1:10" s="70" customFormat="1" ht="12.75" customHeight="1" x14ac:dyDescent="0.2">
      <c r="A70" s="89">
        <v>45160</v>
      </c>
      <c r="B70" s="128" t="s">
        <v>11</v>
      </c>
      <c r="C70" s="10" t="s">
        <v>753</v>
      </c>
      <c r="D70" s="11" t="s">
        <v>29</v>
      </c>
      <c r="E70" s="86"/>
      <c r="F70" s="70">
        <v>20343</v>
      </c>
      <c r="G70" s="30"/>
      <c r="I70" s="69"/>
      <c r="J70" s="69"/>
    </row>
    <row r="71" spans="1:10" s="70" customFormat="1" ht="12.75" customHeight="1" x14ac:dyDescent="0.2">
      <c r="A71" s="89">
        <v>45160</v>
      </c>
      <c r="B71" s="128" t="s">
        <v>11</v>
      </c>
      <c r="C71" s="10" t="s">
        <v>224</v>
      </c>
      <c r="D71" s="11" t="s">
        <v>29</v>
      </c>
      <c r="E71" s="86"/>
      <c r="F71" s="70">
        <v>17522</v>
      </c>
      <c r="G71" s="30"/>
      <c r="I71" s="69"/>
      <c r="J71" s="69"/>
    </row>
    <row r="72" spans="1:10" s="70" customFormat="1" ht="12.75" customHeight="1" x14ac:dyDescent="0.2">
      <c r="A72" s="89">
        <v>45160</v>
      </c>
      <c r="B72" s="128" t="s">
        <v>11</v>
      </c>
      <c r="C72" s="10" t="s">
        <v>226</v>
      </c>
      <c r="D72" s="11" t="s">
        <v>29</v>
      </c>
      <c r="E72" s="86"/>
      <c r="F72" s="70">
        <v>34056</v>
      </c>
      <c r="G72" s="30"/>
      <c r="I72" s="69"/>
      <c r="J72" s="69"/>
    </row>
    <row r="73" spans="1:10" s="70" customFormat="1" ht="12.75" customHeight="1" x14ac:dyDescent="0.2">
      <c r="A73" s="89">
        <v>45160</v>
      </c>
      <c r="B73" s="128" t="s">
        <v>11</v>
      </c>
      <c r="C73" s="10" t="s">
        <v>858</v>
      </c>
      <c r="D73" s="11" t="s">
        <v>29</v>
      </c>
      <c r="E73" s="86"/>
      <c r="F73" s="70">
        <v>16500</v>
      </c>
      <c r="G73" s="30"/>
      <c r="I73" s="69"/>
      <c r="J73" s="69"/>
    </row>
    <row r="74" spans="1:10" s="70" customFormat="1" ht="12.75" customHeight="1" x14ac:dyDescent="0.2">
      <c r="A74" s="89">
        <v>45160</v>
      </c>
      <c r="B74" s="128" t="s">
        <v>11</v>
      </c>
      <c r="C74" s="10" t="s">
        <v>1404</v>
      </c>
      <c r="D74" s="11" t="s">
        <v>29</v>
      </c>
      <c r="E74" s="86"/>
      <c r="F74" s="70">
        <v>19204</v>
      </c>
      <c r="G74" s="30"/>
      <c r="I74" s="69"/>
      <c r="J74" s="69"/>
    </row>
    <row r="75" spans="1:10" s="70" customFormat="1" ht="12.75" customHeight="1" x14ac:dyDescent="0.2">
      <c r="A75" s="89">
        <v>45160</v>
      </c>
      <c r="B75" s="128" t="s">
        <v>11</v>
      </c>
      <c r="C75" s="10" t="s">
        <v>312</v>
      </c>
      <c r="D75" s="11" t="s">
        <v>29</v>
      </c>
      <c r="E75" s="86"/>
      <c r="F75" s="70">
        <v>70800</v>
      </c>
      <c r="G75" s="30"/>
      <c r="I75" s="69"/>
      <c r="J75" s="69"/>
    </row>
    <row r="76" spans="1:10" s="70" customFormat="1" ht="12.75" customHeight="1" x14ac:dyDescent="0.2">
      <c r="A76" s="89">
        <v>45160</v>
      </c>
      <c r="B76" s="128" t="s">
        <v>11</v>
      </c>
      <c r="C76" s="10" t="s">
        <v>392</v>
      </c>
      <c r="D76" s="11" t="s">
        <v>29</v>
      </c>
      <c r="E76" s="86"/>
      <c r="F76" s="70">
        <v>76156</v>
      </c>
      <c r="G76" s="30"/>
      <c r="I76" s="69"/>
      <c r="J76" s="69"/>
    </row>
    <row r="77" spans="1:10" s="70" customFormat="1" ht="12.75" customHeight="1" x14ac:dyDescent="0.2">
      <c r="A77" s="89">
        <v>45160</v>
      </c>
      <c r="B77" s="128" t="s">
        <v>11</v>
      </c>
      <c r="C77" s="10" t="s">
        <v>39</v>
      </c>
      <c r="D77" s="11" t="s">
        <v>29</v>
      </c>
      <c r="E77" s="86"/>
      <c r="F77" s="70">
        <v>52332</v>
      </c>
      <c r="G77" s="30"/>
      <c r="I77" s="69"/>
      <c r="J77" s="69"/>
    </row>
    <row r="78" spans="1:10" s="70" customFormat="1" ht="12.75" customHeight="1" x14ac:dyDescent="0.2">
      <c r="A78" s="89">
        <v>45160</v>
      </c>
      <c r="B78" s="128" t="s">
        <v>11</v>
      </c>
      <c r="C78" s="10" t="s">
        <v>57</v>
      </c>
      <c r="D78" s="11" t="s">
        <v>29</v>
      </c>
      <c r="E78" s="86"/>
      <c r="F78" s="70">
        <v>15000000</v>
      </c>
      <c r="G78" s="30"/>
      <c r="I78" s="69"/>
      <c r="J78" s="69"/>
    </row>
    <row r="79" spans="1:10" s="70" customFormat="1" ht="12.75" customHeight="1" x14ac:dyDescent="0.2">
      <c r="A79" s="89">
        <v>45160</v>
      </c>
      <c r="B79" s="128" t="s">
        <v>11</v>
      </c>
      <c r="C79" s="10" t="s">
        <v>96</v>
      </c>
      <c r="D79" s="11" t="s">
        <v>29</v>
      </c>
      <c r="E79" s="86"/>
      <c r="F79" s="70">
        <v>6176</v>
      </c>
      <c r="G79" s="30"/>
      <c r="I79" s="69"/>
      <c r="J79" s="69"/>
    </row>
    <row r="80" spans="1:10" s="70" customFormat="1" ht="12.75" customHeight="1" x14ac:dyDescent="0.2">
      <c r="A80" s="89">
        <v>45160</v>
      </c>
      <c r="B80" s="128" t="s">
        <v>11</v>
      </c>
      <c r="C80" s="10" t="s">
        <v>171</v>
      </c>
      <c r="D80" s="11" t="s">
        <v>29</v>
      </c>
      <c r="E80" s="86"/>
      <c r="F80" s="70">
        <v>5985</v>
      </c>
      <c r="G80" s="30"/>
      <c r="I80" s="69"/>
      <c r="J80" s="69"/>
    </row>
    <row r="81" spans="1:14" s="70" customFormat="1" ht="12.75" customHeight="1" x14ac:dyDescent="0.2">
      <c r="A81" s="89">
        <v>45160</v>
      </c>
      <c r="B81" s="128" t="s">
        <v>11</v>
      </c>
      <c r="C81" s="10" t="s">
        <v>64</v>
      </c>
      <c r="D81" s="11" t="s">
        <v>29</v>
      </c>
      <c r="E81" s="86"/>
      <c r="F81" s="70">
        <f>28413.47+4425</f>
        <v>32838.47</v>
      </c>
      <c r="G81" s="30"/>
      <c r="I81" s="69"/>
      <c r="J81" s="69"/>
    </row>
    <row r="82" spans="1:14" s="70" customFormat="1" ht="12.75" customHeight="1" x14ac:dyDescent="0.2">
      <c r="A82" s="89">
        <v>45160</v>
      </c>
      <c r="B82" s="128" t="s">
        <v>11</v>
      </c>
      <c r="C82" s="10" t="s">
        <v>156</v>
      </c>
      <c r="D82" s="11" t="s">
        <v>29</v>
      </c>
      <c r="E82" s="86"/>
      <c r="F82" s="70">
        <v>181</v>
      </c>
      <c r="G82" s="30"/>
      <c r="I82" s="69"/>
      <c r="J82" s="69"/>
    </row>
    <row r="83" spans="1:14" s="70" customFormat="1" ht="12.75" customHeight="1" x14ac:dyDescent="0.2">
      <c r="A83" s="89">
        <v>45160</v>
      </c>
      <c r="B83" s="128" t="s">
        <v>11</v>
      </c>
      <c r="C83" s="10" t="s">
        <v>34</v>
      </c>
      <c r="D83" s="11" t="s">
        <v>29</v>
      </c>
      <c r="E83" s="86"/>
      <c r="F83" s="70">
        <v>30000</v>
      </c>
      <c r="G83" s="30"/>
      <c r="I83" s="69"/>
      <c r="J83" s="69"/>
    </row>
    <row r="84" spans="1:14" s="2" customFormat="1" ht="12.75" customHeight="1" x14ac:dyDescent="0.2">
      <c r="A84" s="32"/>
      <c r="B84" s="33"/>
      <c r="C84" s="14"/>
      <c r="D84" s="34"/>
      <c r="E84" s="16">
        <f>SUM(E28:E83)</f>
        <v>21743779.889999997</v>
      </c>
      <c r="F84" s="16">
        <f>SUM(F28:F83)</f>
        <v>381984910.48000002</v>
      </c>
      <c r="G84" s="30"/>
      <c r="H84" s="1"/>
      <c r="I84" s="38">
        <v>360241130.58999997</v>
      </c>
      <c r="J84" s="2" t="s">
        <v>396</v>
      </c>
      <c r="K84" s="92">
        <f>E85-I84</f>
        <v>0</v>
      </c>
      <c r="L84" s="41"/>
      <c r="M84" s="42"/>
    </row>
    <row r="85" spans="1:14" s="2" customFormat="1" ht="12.75" customHeight="1" x14ac:dyDescent="0.2">
      <c r="A85" s="36"/>
      <c r="B85" s="28" t="s">
        <v>11</v>
      </c>
      <c r="C85" s="19" t="s">
        <v>65</v>
      </c>
      <c r="D85" s="37"/>
      <c r="E85" s="38">
        <f>F84-E84</f>
        <v>360241130.59000003</v>
      </c>
      <c r="F85" s="22"/>
      <c r="G85" s="1"/>
      <c r="H85" s="1"/>
      <c r="J85" s="1"/>
      <c r="K85" s="1"/>
      <c r="L85" s="1"/>
      <c r="M85" s="1"/>
    </row>
    <row r="86" spans="1:14" s="2" customFormat="1" ht="12.75" customHeight="1" x14ac:dyDescent="0.2">
      <c r="A86" s="36"/>
      <c r="B86" s="28" t="s">
        <v>66</v>
      </c>
      <c r="C86" s="43" t="s">
        <v>67</v>
      </c>
      <c r="D86" s="43"/>
      <c r="E86" s="12">
        <v>0</v>
      </c>
      <c r="F86" s="22"/>
      <c r="G86" s="1"/>
      <c r="H86" s="40"/>
      <c r="I86" s="45">
        <v>2699.34</v>
      </c>
      <c r="J86" s="46"/>
      <c r="K86" s="46"/>
      <c r="L86" s="13"/>
      <c r="M86" s="69" t="s">
        <v>396</v>
      </c>
    </row>
    <row r="87" spans="1:14" s="2" customFormat="1" ht="12.75" customHeight="1" x14ac:dyDescent="0.25">
      <c r="A87" s="36"/>
      <c r="B87" s="28"/>
      <c r="C87" s="44" t="s">
        <v>68</v>
      </c>
      <c r="D87" s="43"/>
      <c r="E87" s="7">
        <f>E85+E86</f>
        <v>360241130.59000003</v>
      </c>
      <c r="F87" s="22"/>
      <c r="G87" s="1"/>
      <c r="H87" s="103" t="s">
        <v>69</v>
      </c>
      <c r="I87" s="45">
        <v>-46.42</v>
      </c>
      <c r="J87" s="46"/>
      <c r="K87" s="46"/>
      <c r="N87" s="1"/>
    </row>
    <row r="88" spans="1:14" s="2" customFormat="1" x14ac:dyDescent="0.2">
      <c r="A88" s="24"/>
      <c r="B88" s="1"/>
      <c r="C88" s="14"/>
      <c r="D88" s="25"/>
      <c r="E88" s="1"/>
      <c r="H88" s="35" t="s">
        <v>70</v>
      </c>
      <c r="I88" s="45">
        <v>0</v>
      </c>
      <c r="J88" s="46">
        <f>+I89-D91</f>
        <v>0</v>
      </c>
      <c r="M88" s="2" t="s">
        <v>396</v>
      </c>
      <c r="N88" s="1"/>
    </row>
    <row r="89" spans="1:14" x14ac:dyDescent="0.2">
      <c r="C89" s="56"/>
      <c r="D89" s="56"/>
      <c r="E89" s="104"/>
      <c r="I89" s="49">
        <f>SUM(I86:I88)</f>
        <v>2652.92</v>
      </c>
      <c r="J89" s="46"/>
      <c r="K89" s="46"/>
      <c r="L89" s="2"/>
      <c r="M89" s="2"/>
      <c r="N89" s="2"/>
    </row>
    <row r="90" spans="1:14" x14ac:dyDescent="0.2">
      <c r="C90" s="78" t="s">
        <v>575</v>
      </c>
      <c r="D90" s="48" t="s">
        <v>576</v>
      </c>
      <c r="E90" s="104"/>
      <c r="I90" s="2"/>
      <c r="J90" s="2"/>
      <c r="K90" s="2"/>
      <c r="L90" s="2"/>
      <c r="M90" s="2"/>
      <c r="N90" s="2"/>
    </row>
    <row r="91" spans="1:14" s="2" customFormat="1" x14ac:dyDescent="0.2">
      <c r="A91" s="24"/>
      <c r="B91" s="1"/>
      <c r="C91" s="47" t="s">
        <v>570</v>
      </c>
      <c r="D91" s="111">
        <v>2652.92</v>
      </c>
      <c r="E91" s="104"/>
      <c r="G91" s="1"/>
      <c r="H91" s="110" t="s">
        <v>581</v>
      </c>
      <c r="N91" s="2" t="s">
        <v>535</v>
      </c>
    </row>
    <row r="92" spans="1:14" s="2" customFormat="1" x14ac:dyDescent="0.2">
      <c r="A92" s="24"/>
      <c r="B92" s="1"/>
      <c r="C92" s="47" t="s">
        <v>931</v>
      </c>
      <c r="D92" s="111">
        <v>270.95</v>
      </c>
      <c r="E92" s="104"/>
      <c r="G92" s="1"/>
      <c r="H92" s="110" t="s">
        <v>580</v>
      </c>
    </row>
    <row r="93" spans="1:14" s="2" customFormat="1" x14ac:dyDescent="0.2">
      <c r="A93" s="24"/>
      <c r="B93" s="1"/>
      <c r="C93" s="47" t="s">
        <v>572</v>
      </c>
      <c r="D93" s="111">
        <f>+D127/100000</f>
        <v>173.36520910000002</v>
      </c>
      <c r="E93" s="104"/>
      <c r="G93" s="1"/>
      <c r="H93" s="90" t="s">
        <v>587</v>
      </c>
    </row>
    <row r="94" spans="1:14" s="2" customFormat="1" x14ac:dyDescent="0.2">
      <c r="A94" s="24"/>
      <c r="B94" s="1"/>
      <c r="C94" s="108" t="s">
        <v>578</v>
      </c>
      <c r="D94" s="48">
        <f>SUM(D91:D93)</f>
        <v>3097.2352090999998</v>
      </c>
      <c r="E94" s="104"/>
      <c r="G94" s="1"/>
    </row>
    <row r="95" spans="1:14" s="2" customFormat="1" x14ac:dyDescent="0.2">
      <c r="A95" s="24"/>
      <c r="B95" s="1"/>
      <c r="C95" s="47"/>
      <c r="D95" s="107"/>
      <c r="E95" s="104"/>
      <c r="G95" s="1"/>
    </row>
    <row r="96" spans="1:14" s="2" customFormat="1" x14ac:dyDescent="0.2">
      <c r="A96" s="24"/>
      <c r="B96" s="1"/>
      <c r="C96" s="47" t="s">
        <v>932</v>
      </c>
      <c r="D96" s="111">
        <v>136.78</v>
      </c>
      <c r="E96" s="104"/>
      <c r="G96" s="1"/>
      <c r="H96" s="110" t="s">
        <v>581</v>
      </c>
    </row>
    <row r="97" spans="1:13" s="2" customFormat="1" x14ac:dyDescent="0.2">
      <c r="A97" s="24"/>
      <c r="B97" s="1"/>
      <c r="C97" s="136" t="s">
        <v>1142</v>
      </c>
      <c r="D97" s="111">
        <f>319.83+121.87-136.45-60.1</f>
        <v>245.15</v>
      </c>
      <c r="E97" s="104"/>
      <c r="G97" s="1"/>
      <c r="H97" s="110" t="s">
        <v>581</v>
      </c>
      <c r="J97" s="114" t="s">
        <v>713</v>
      </c>
    </row>
    <row r="98" spans="1:13" s="2" customFormat="1" x14ac:dyDescent="0.2">
      <c r="A98" s="24"/>
      <c r="B98" s="1"/>
      <c r="C98" s="78" t="s">
        <v>579</v>
      </c>
      <c r="D98" s="109">
        <f>D96+D97</f>
        <v>381.93</v>
      </c>
      <c r="E98" s="104"/>
      <c r="G98" s="1"/>
      <c r="I98" s="113"/>
      <c r="J98" s="113" t="s">
        <v>709</v>
      </c>
      <c r="K98" s="113" t="s">
        <v>710</v>
      </c>
      <c r="L98" s="113" t="s">
        <v>711</v>
      </c>
      <c r="M98" s="113" t="s">
        <v>712</v>
      </c>
    </row>
    <row r="99" spans="1:13" s="2" customFormat="1" x14ac:dyDescent="0.2">
      <c r="A99" s="24"/>
      <c r="B99" s="1"/>
      <c r="C99" s="105"/>
      <c r="D99" s="106"/>
      <c r="E99" s="104"/>
      <c r="G99" s="1"/>
      <c r="I99" s="113" t="s">
        <v>706</v>
      </c>
      <c r="J99" s="115"/>
      <c r="K99" s="115">
        <v>968.99</v>
      </c>
      <c r="L99" s="115">
        <v>968.99</v>
      </c>
      <c r="M99" s="113">
        <f>+J99+L99-K99</f>
        <v>0</v>
      </c>
    </row>
    <row r="100" spans="1:13" s="2" customFormat="1" x14ac:dyDescent="0.2">
      <c r="A100" s="24"/>
      <c r="B100" s="1"/>
      <c r="C100" s="78" t="s">
        <v>577</v>
      </c>
      <c r="D100" s="109">
        <f>D91+D98</f>
        <v>3034.85</v>
      </c>
      <c r="E100" s="104"/>
      <c r="G100" s="1"/>
      <c r="I100" s="113" t="s">
        <v>707</v>
      </c>
      <c r="J100" s="115">
        <v>183.1</v>
      </c>
      <c r="K100" s="115">
        <v>3195.48</v>
      </c>
      <c r="L100" s="115">
        <v>3687.95</v>
      </c>
      <c r="M100" s="113">
        <f>+J100+L100-K100</f>
        <v>675.56999999999971</v>
      </c>
    </row>
    <row r="101" spans="1:13" s="2" customFormat="1" x14ac:dyDescent="0.2">
      <c r="A101" s="24"/>
      <c r="B101" s="1"/>
      <c r="C101" s="56"/>
      <c r="D101" s="56"/>
      <c r="E101" s="104"/>
      <c r="G101" s="1"/>
      <c r="I101" s="113" t="s">
        <v>708</v>
      </c>
      <c r="J101" s="115">
        <v>1371.02</v>
      </c>
      <c r="K101" s="115">
        <f>13453.72+136.45</f>
        <v>13590.17</v>
      </c>
      <c r="L101" s="115">
        <f>12941.34+301.37</f>
        <v>13242.710000000001</v>
      </c>
      <c r="M101" s="113">
        <f>+J101+L101-K101</f>
        <v>1023.5600000000013</v>
      </c>
    </row>
    <row r="102" spans="1:13" s="2" customFormat="1" ht="38.25" x14ac:dyDescent="0.2">
      <c r="A102" s="24"/>
      <c r="B102" s="1"/>
      <c r="C102" s="79" t="str">
        <f>"Particulars ( 01-04-2021 to "&amp;TEXT(A5,"dd-mm-yyyy")&amp;" )"</f>
        <v>Particulars ( 01-04-2021 to 22-08-2023 )</v>
      </c>
      <c r="D102" s="80" t="s">
        <v>73</v>
      </c>
      <c r="E102" s="80" t="s">
        <v>74</v>
      </c>
      <c r="F102" s="81" t="s">
        <v>75</v>
      </c>
      <c r="G102" s="80" t="s">
        <v>76</v>
      </c>
      <c r="J102" s="118">
        <f>SUM(J99:J101)</f>
        <v>1554.12</v>
      </c>
      <c r="K102" s="118">
        <f>SUM(K99:K101)</f>
        <v>17754.64</v>
      </c>
      <c r="L102" s="118">
        <f>SUM(L99:L101)</f>
        <v>17899.650000000001</v>
      </c>
      <c r="M102" s="118">
        <f>SUM(M99:M101)</f>
        <v>1699.130000000001</v>
      </c>
    </row>
    <row r="103" spans="1:13" s="2" customFormat="1" x14ac:dyDescent="0.2">
      <c r="A103" s="24"/>
      <c r="B103" s="1"/>
      <c r="C103" s="50" t="s">
        <v>444</v>
      </c>
      <c r="D103" s="55">
        <f>+L99+L100+J100</f>
        <v>4840.04</v>
      </c>
      <c r="E103" s="55">
        <f>+K99+K100</f>
        <v>4164.47</v>
      </c>
      <c r="F103" s="55">
        <f>+D103-E103</f>
        <v>675.56999999999971</v>
      </c>
      <c r="G103" s="55">
        <f>1500-F103</f>
        <v>824.43000000000029</v>
      </c>
      <c r="H103" s="2" t="s">
        <v>396</v>
      </c>
    </row>
    <row r="104" spans="1:13" s="2" customFormat="1" x14ac:dyDescent="0.2">
      <c r="A104" s="24"/>
      <c r="B104" s="1"/>
      <c r="C104" s="50" t="s">
        <v>71</v>
      </c>
      <c r="D104" s="55">
        <f>+J101+L101</f>
        <v>14613.730000000001</v>
      </c>
      <c r="E104" s="55">
        <f>+K101</f>
        <v>13590.17</v>
      </c>
      <c r="F104" s="55">
        <f>+D104-E104</f>
        <v>1023.5600000000013</v>
      </c>
      <c r="G104" s="55">
        <f>1500+700-F104</f>
        <v>1176.4399999999987</v>
      </c>
      <c r="H104" s="2" t="s">
        <v>396</v>
      </c>
    </row>
    <row r="105" spans="1:13" s="2" customFormat="1" x14ac:dyDescent="0.2">
      <c r="A105" s="24"/>
      <c r="B105" s="1"/>
      <c r="C105" s="14"/>
      <c r="D105" s="56"/>
      <c r="E105" s="13"/>
      <c r="G105" s="1"/>
    </row>
    <row r="106" spans="1:13" s="2" customFormat="1" x14ac:dyDescent="0.2">
      <c r="A106" s="215" t="s">
        <v>80</v>
      </c>
      <c r="B106" s="216"/>
      <c r="C106" s="216"/>
      <c r="D106" s="217"/>
      <c r="E106" s="69"/>
      <c r="F106" s="70"/>
      <c r="G106" s="1"/>
      <c r="H106" s="53"/>
    </row>
    <row r="107" spans="1:13" s="2" customFormat="1" x14ac:dyDescent="0.2">
      <c r="A107" s="71" t="s">
        <v>81</v>
      </c>
      <c r="B107" s="71"/>
      <c r="C107" s="72" t="s">
        <v>82</v>
      </c>
      <c r="D107" s="73" t="s">
        <v>83</v>
      </c>
      <c r="E107" s="69"/>
      <c r="F107" s="70"/>
      <c r="H107" s="53"/>
    </row>
    <row r="108" spans="1:13" s="2" customFormat="1" x14ac:dyDescent="0.2">
      <c r="A108" s="87">
        <v>45139</v>
      </c>
      <c r="B108" s="120" t="s">
        <v>1052</v>
      </c>
      <c r="C108" s="75" t="s">
        <v>85</v>
      </c>
      <c r="D108" s="88">
        <v>552343</v>
      </c>
      <c r="G108" s="1"/>
      <c r="L108" s="1"/>
      <c r="M108" s="1"/>
    </row>
    <row r="109" spans="1:13" s="2" customFormat="1" x14ac:dyDescent="0.2">
      <c r="A109" s="87">
        <v>45140</v>
      </c>
      <c r="B109" s="120" t="s">
        <v>1052</v>
      </c>
      <c r="C109" s="75" t="s">
        <v>270</v>
      </c>
      <c r="D109" s="88">
        <v>244404</v>
      </c>
      <c r="G109" s="1"/>
      <c r="L109" s="1"/>
      <c r="M109" s="1"/>
    </row>
    <row r="110" spans="1:13" s="2" customFormat="1" x14ac:dyDescent="0.2">
      <c r="A110" s="87">
        <v>45140</v>
      </c>
      <c r="B110" s="120" t="s">
        <v>1052</v>
      </c>
      <c r="C110" s="75" t="s">
        <v>270</v>
      </c>
      <c r="D110" s="88">
        <v>550256</v>
      </c>
      <c r="G110" s="1"/>
      <c r="L110" s="1"/>
      <c r="M110" s="1"/>
    </row>
    <row r="111" spans="1:13" s="2" customFormat="1" x14ac:dyDescent="0.2">
      <c r="A111" s="87">
        <v>45140</v>
      </c>
      <c r="B111" s="120" t="s">
        <v>1052</v>
      </c>
      <c r="C111" s="75" t="s">
        <v>270</v>
      </c>
      <c r="D111" s="88">
        <v>191589</v>
      </c>
      <c r="G111" s="1"/>
      <c r="L111" s="1"/>
      <c r="M111" s="1"/>
    </row>
    <row r="112" spans="1:13" s="2" customFormat="1" x14ac:dyDescent="0.2">
      <c r="A112" s="87">
        <v>45140</v>
      </c>
      <c r="B112" s="120" t="s">
        <v>1052</v>
      </c>
      <c r="C112" s="75" t="s">
        <v>270</v>
      </c>
      <c r="D112" s="88">
        <v>74415.91</v>
      </c>
      <c r="G112" s="1"/>
      <c r="L112" s="1"/>
      <c r="M112" s="1"/>
    </row>
    <row r="113" spans="1:13" s="2" customFormat="1" x14ac:dyDescent="0.2">
      <c r="A113" s="87">
        <v>45140</v>
      </c>
      <c r="B113" s="120" t="s">
        <v>1052</v>
      </c>
      <c r="C113" s="75" t="s">
        <v>271</v>
      </c>
      <c r="D113" s="88">
        <v>454781</v>
      </c>
      <c r="G113" s="1"/>
      <c r="L113" s="1"/>
      <c r="M113" s="1"/>
    </row>
    <row r="114" spans="1:13" s="2" customFormat="1" x14ac:dyDescent="0.2">
      <c r="A114" s="87">
        <v>45141</v>
      </c>
      <c r="B114" s="120" t="s">
        <v>1052</v>
      </c>
      <c r="C114" s="75" t="s">
        <v>909</v>
      </c>
      <c r="D114" s="88">
        <v>910969</v>
      </c>
      <c r="G114" s="1"/>
      <c r="L114" s="1"/>
      <c r="M114" s="1"/>
    </row>
    <row r="115" spans="1:13" s="2" customFormat="1" x14ac:dyDescent="0.2">
      <c r="A115" s="87">
        <v>45141</v>
      </c>
      <c r="B115" s="120" t="s">
        <v>1052</v>
      </c>
      <c r="C115" s="75" t="s">
        <v>909</v>
      </c>
      <c r="D115" s="88">
        <v>1424635</v>
      </c>
      <c r="G115" s="1"/>
      <c r="L115" s="1"/>
      <c r="M115" s="1"/>
    </row>
    <row r="116" spans="1:13" s="2" customFormat="1" x14ac:dyDescent="0.2">
      <c r="A116" s="87">
        <v>45143</v>
      </c>
      <c r="B116" s="120" t="s">
        <v>1052</v>
      </c>
      <c r="C116" s="75" t="s">
        <v>85</v>
      </c>
      <c r="D116" s="88">
        <v>644288</v>
      </c>
      <c r="G116" s="1"/>
      <c r="L116" s="1"/>
      <c r="M116" s="1"/>
    </row>
    <row r="117" spans="1:13" s="2" customFormat="1" x14ac:dyDescent="0.2">
      <c r="A117" s="87">
        <v>45146</v>
      </c>
      <c r="B117" s="120" t="s">
        <v>1052</v>
      </c>
      <c r="C117" s="75" t="s">
        <v>85</v>
      </c>
      <c r="D117" s="88">
        <v>136333</v>
      </c>
      <c r="G117" s="1"/>
      <c r="L117" s="1"/>
      <c r="M117" s="1"/>
    </row>
    <row r="118" spans="1:13" s="2" customFormat="1" x14ac:dyDescent="0.2">
      <c r="A118" s="87">
        <v>45146</v>
      </c>
      <c r="B118" s="120" t="s">
        <v>1052</v>
      </c>
      <c r="C118" s="75" t="s">
        <v>1343</v>
      </c>
      <c r="D118" s="88">
        <v>2000000</v>
      </c>
      <c r="G118" s="1"/>
      <c r="L118" s="1"/>
      <c r="M118" s="1"/>
    </row>
    <row r="119" spans="1:13" s="2" customFormat="1" x14ac:dyDescent="0.2">
      <c r="A119" s="87">
        <v>45152</v>
      </c>
      <c r="B119" s="120" t="s">
        <v>1052</v>
      </c>
      <c r="C119" s="75" t="s">
        <v>270</v>
      </c>
      <c r="D119" s="88">
        <v>26225</v>
      </c>
      <c r="G119" s="1"/>
      <c r="L119" s="1"/>
      <c r="M119" s="1"/>
    </row>
    <row r="120" spans="1:13" s="2" customFormat="1" x14ac:dyDescent="0.2">
      <c r="A120" s="87">
        <v>45152</v>
      </c>
      <c r="B120" s="120" t="s">
        <v>1052</v>
      </c>
      <c r="C120" s="75" t="s">
        <v>270</v>
      </c>
      <c r="D120" s="88">
        <v>47499</v>
      </c>
      <c r="G120" s="1"/>
      <c r="L120" s="1"/>
      <c r="M120" s="1"/>
    </row>
    <row r="121" spans="1:13" s="2" customFormat="1" x14ac:dyDescent="0.2">
      <c r="A121" s="87">
        <v>45154</v>
      </c>
      <c r="B121" s="120" t="s">
        <v>1052</v>
      </c>
      <c r="C121" s="75" t="s">
        <v>271</v>
      </c>
      <c r="D121" s="88">
        <v>2701267</v>
      </c>
      <c r="G121" s="1"/>
      <c r="L121" s="1"/>
      <c r="M121" s="1"/>
    </row>
    <row r="122" spans="1:13" s="2" customFormat="1" x14ac:dyDescent="0.2">
      <c r="A122" s="87">
        <v>45157</v>
      </c>
      <c r="B122" s="120" t="s">
        <v>1052</v>
      </c>
      <c r="C122" s="75" t="s">
        <v>888</v>
      </c>
      <c r="D122" s="88">
        <v>1087820</v>
      </c>
      <c r="G122" s="1"/>
      <c r="L122" s="1"/>
      <c r="M122" s="1"/>
    </row>
    <row r="123" spans="1:13" s="2" customFormat="1" x14ac:dyDescent="0.2">
      <c r="A123" s="87">
        <v>45159</v>
      </c>
      <c r="B123" s="120" t="s">
        <v>1052</v>
      </c>
      <c r="C123" s="75" t="s">
        <v>270</v>
      </c>
      <c r="D123" s="88">
        <v>26199</v>
      </c>
      <c r="G123" s="1"/>
      <c r="L123" s="1"/>
      <c r="M123" s="1"/>
    </row>
    <row r="124" spans="1:13" s="2" customFormat="1" x14ac:dyDescent="0.2">
      <c r="A124" s="87">
        <v>45159</v>
      </c>
      <c r="B124" s="120" t="s">
        <v>1052</v>
      </c>
      <c r="C124" s="75" t="s">
        <v>85</v>
      </c>
      <c r="D124" s="88">
        <v>79111</v>
      </c>
      <c r="G124" s="1"/>
      <c r="L124" s="1"/>
      <c r="M124" s="1"/>
    </row>
    <row r="125" spans="1:13" s="2" customFormat="1" x14ac:dyDescent="0.2">
      <c r="A125" s="87">
        <v>45159</v>
      </c>
      <c r="B125" s="120" t="s">
        <v>1052</v>
      </c>
      <c r="C125" s="75" t="s">
        <v>909</v>
      </c>
      <c r="D125" s="88">
        <v>41960</v>
      </c>
      <c r="G125" s="1"/>
      <c r="L125" s="1"/>
      <c r="M125" s="1"/>
    </row>
    <row r="126" spans="1:13" s="2" customFormat="1" x14ac:dyDescent="0.2">
      <c r="A126" s="87">
        <v>45159</v>
      </c>
      <c r="B126" s="120" t="s">
        <v>1052</v>
      </c>
      <c r="C126" s="75" t="s">
        <v>909</v>
      </c>
      <c r="D126" s="88">
        <v>6142426</v>
      </c>
      <c r="G126" s="1"/>
      <c r="L126" s="1"/>
      <c r="M126" s="1"/>
    </row>
    <row r="127" spans="1:13" s="2" customFormat="1" x14ac:dyDescent="0.2">
      <c r="A127" s="87"/>
      <c r="B127" s="74"/>
      <c r="C127" s="75"/>
      <c r="D127" s="51">
        <f>SUM(D108:D126)</f>
        <v>17336520.91</v>
      </c>
      <c r="F127" s="2" t="s">
        <v>396</v>
      </c>
      <c r="G127" s="1"/>
      <c r="L127" s="1"/>
      <c r="M127" s="1"/>
    </row>
    <row r="128" spans="1:13" s="2" customFormat="1" x14ac:dyDescent="0.2">
      <c r="A128" s="24"/>
      <c r="B128" s="1"/>
      <c r="C128" s="14"/>
      <c r="D128" s="56"/>
      <c r="E128" s="13"/>
      <c r="G128" s="1"/>
      <c r="L128" s="1"/>
      <c r="M128" s="1"/>
    </row>
    <row r="129" spans="1:13" s="2" customFormat="1" x14ac:dyDescent="0.2">
      <c r="A129" s="24"/>
      <c r="B129" s="1"/>
      <c r="C129" s="218" t="s">
        <v>77</v>
      </c>
      <c r="D129" s="219"/>
      <c r="E129" s="219"/>
      <c r="F129" s="220"/>
      <c r="G129" s="1"/>
      <c r="L129" s="1"/>
      <c r="M129" s="1"/>
    </row>
    <row r="130" spans="1:13" s="2" customFormat="1" x14ac:dyDescent="0.2">
      <c r="A130" s="24"/>
      <c r="B130" s="1"/>
      <c r="C130" s="50"/>
      <c r="D130" s="57" t="s">
        <v>78</v>
      </c>
      <c r="E130" s="58" t="s">
        <v>79</v>
      </c>
      <c r="F130" s="57" t="s">
        <v>72</v>
      </c>
      <c r="G130" s="1"/>
      <c r="I130" s="1"/>
      <c r="J130" s="1"/>
      <c r="K130" s="1"/>
      <c r="L130" s="1"/>
      <c r="M130" s="1"/>
    </row>
    <row r="131" spans="1:13" s="2" customFormat="1" x14ac:dyDescent="0.2">
      <c r="A131" s="24"/>
      <c r="B131" s="1"/>
      <c r="C131" s="59" t="str">
        <f>"01-08-2023 to "&amp;TEXT(A5-2,"dd-mm-yyyy")</f>
        <v>01-08-2023 to 20-08-2023</v>
      </c>
      <c r="D131" s="60">
        <v>2158.71</v>
      </c>
      <c r="E131" s="60">
        <v>178.78</v>
      </c>
      <c r="F131" s="61">
        <f>SUM(D131:E131)</f>
        <v>2337.4900000000002</v>
      </c>
      <c r="G131" s="1"/>
    </row>
    <row r="132" spans="1:13" s="2" customFormat="1" x14ac:dyDescent="0.2">
      <c r="A132" s="24"/>
      <c r="B132" s="1"/>
      <c r="C132" s="62" t="str">
        <f>TEXT(A5-1,"dd-mm-yyyy")</f>
        <v>21-08-2023</v>
      </c>
      <c r="D132" s="60">
        <v>41.89</v>
      </c>
      <c r="E132" s="60">
        <v>12.2</v>
      </c>
      <c r="F132" s="61">
        <f>SUM(D132:E132)</f>
        <v>54.09</v>
      </c>
      <c r="G132" s="54"/>
      <c r="I132" s="1"/>
      <c r="J132" s="1"/>
      <c r="K132" s="1"/>
      <c r="L132" s="1"/>
      <c r="M132" s="1"/>
    </row>
    <row r="133" spans="1:13" s="2" customFormat="1" ht="13.5" thickBot="1" x14ac:dyDescent="0.25">
      <c r="A133" s="24"/>
      <c r="B133" s="1"/>
      <c r="C133" s="63" t="str">
        <f>"01-08-2023 to "&amp;TEXT(A5-1,"dd-mm-yyyy")</f>
        <v>01-08-2023 to 21-08-2023</v>
      </c>
      <c r="D133" s="64">
        <f>SUM(D131:D132)</f>
        <v>2200.6</v>
      </c>
      <c r="E133" s="64">
        <f>SUM(E131:E132)</f>
        <v>190.98</v>
      </c>
      <c r="F133" s="64">
        <f>SUM(F131:F132)</f>
        <v>2391.5800000000004</v>
      </c>
      <c r="G133" s="54"/>
      <c r="I133" s="1"/>
      <c r="J133" s="1"/>
      <c r="K133" s="1"/>
      <c r="L133" s="1"/>
      <c r="M133" s="1"/>
    </row>
    <row r="134" spans="1:13" s="2" customFormat="1" ht="13.5" thickTop="1" x14ac:dyDescent="0.2">
      <c r="A134" s="24"/>
      <c r="B134" s="1"/>
      <c r="C134" s="62"/>
      <c r="D134" s="65"/>
      <c r="E134" s="66"/>
      <c r="F134" s="67"/>
      <c r="G134" s="54"/>
      <c r="I134" s="1"/>
      <c r="J134" s="1"/>
      <c r="K134" s="1"/>
      <c r="L134" s="1"/>
      <c r="M134" s="1"/>
    </row>
    <row r="135" spans="1:13" s="2" customFormat="1" x14ac:dyDescent="0.2">
      <c r="A135" s="24"/>
      <c r="B135" s="1"/>
      <c r="C135" s="62" t="str">
        <f>"01-04-2023 to " &amp;C132</f>
        <v>01-04-2023 to 21-08-2023</v>
      </c>
      <c r="D135" s="68">
        <f>+D133+20859.39</f>
        <v>23059.989999999998</v>
      </c>
      <c r="E135" s="68">
        <f>+E133+1376.76</f>
        <v>1567.74</v>
      </c>
      <c r="F135" s="68">
        <f>+F133+22236.15</f>
        <v>24627.730000000003</v>
      </c>
      <c r="G135" s="54"/>
      <c r="I135" s="1"/>
      <c r="J135" s="1"/>
      <c r="K135" s="1"/>
      <c r="L135" s="1"/>
      <c r="M135" s="1"/>
    </row>
    <row r="136" spans="1:13" x14ac:dyDescent="0.2">
      <c r="C136" s="52"/>
      <c r="D136" s="85"/>
      <c r="E136" s="53"/>
      <c r="F136" s="53"/>
      <c r="G136" s="54"/>
      <c r="H136" s="2" t="s">
        <v>396</v>
      </c>
    </row>
    <row r="137" spans="1:13" s="2" customFormat="1" x14ac:dyDescent="0.2">
      <c r="A137" s="24"/>
      <c r="B137" s="1"/>
      <c r="C137" s="52"/>
      <c r="D137" s="85"/>
      <c r="E137" s="53"/>
      <c r="F137" s="53"/>
      <c r="G137" s="54"/>
      <c r="H137" s="53"/>
    </row>
    <row r="138" spans="1:13" x14ac:dyDescent="0.2">
      <c r="C138" s="52"/>
      <c r="D138" s="85"/>
      <c r="E138" s="53"/>
      <c r="F138" s="53"/>
      <c r="G138" s="54"/>
      <c r="H138" s="53" t="s">
        <v>396</v>
      </c>
    </row>
    <row r="139" spans="1:13" x14ac:dyDescent="0.2">
      <c r="C139" s="52"/>
      <c r="D139" s="85"/>
      <c r="E139" s="53"/>
      <c r="F139" s="53"/>
      <c r="G139" s="54"/>
      <c r="H139" s="53" t="s">
        <v>396</v>
      </c>
      <c r="J139" s="42"/>
    </row>
    <row r="140" spans="1:13" x14ac:dyDescent="0.2">
      <c r="G140" s="54"/>
      <c r="H140" s="53"/>
      <c r="I140" s="101"/>
    </row>
    <row r="141" spans="1:13" x14ac:dyDescent="0.2">
      <c r="G141" s="54"/>
      <c r="H141" s="53"/>
    </row>
    <row r="142" spans="1:13" x14ac:dyDescent="0.2">
      <c r="G142" s="54"/>
      <c r="H142" s="53"/>
    </row>
    <row r="143" spans="1:13" x14ac:dyDescent="0.2">
      <c r="H143" s="53"/>
    </row>
  </sheetData>
  <mergeCells count="6">
    <mergeCell ref="C129:F129"/>
    <mergeCell ref="A1:G1"/>
    <mergeCell ref="A3:F3"/>
    <mergeCell ref="A9:F9"/>
    <mergeCell ref="A26:F26"/>
    <mergeCell ref="A106:D106"/>
  </mergeCells>
  <conditionalFormatting sqref="G103:G104">
    <cfRule type="cellIs" dxfId="351" priority="1" operator="lessThan">
      <formula>0</formula>
    </cfRule>
  </conditionalFormatting>
  <conditionalFormatting sqref="C28">
    <cfRule type="duplicateValues" dxfId="350" priority="2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300-000000000000}">
  <sheetPr codeName="Sheet411">
    <pageSetUpPr fitToPage="1"/>
  </sheetPr>
  <dimension ref="A1:N116"/>
  <sheetViews>
    <sheetView zoomScaleNormal="100" workbookViewId="0">
      <selection activeCell="E12" sqref="E12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1406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45161</v>
      </c>
      <c r="B5" s="9" t="s">
        <v>6</v>
      </c>
      <c r="C5" s="10" t="s">
        <v>7</v>
      </c>
      <c r="D5" s="11"/>
      <c r="E5" s="12">
        <v>1546581.74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1546581.74</v>
      </c>
      <c r="F6" s="16">
        <f>SUM(F5:F5)</f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+E6-F6</f>
        <v>1546581.74</v>
      </c>
      <c r="F7" s="22"/>
      <c r="G7" s="23"/>
      <c r="H7" s="112"/>
      <c r="I7" s="112"/>
      <c r="J7" s="13"/>
    </row>
    <row r="8" spans="1:10" ht="12.75" customHeight="1" x14ac:dyDescent="0.4">
      <c r="H8" s="112"/>
      <c r="I8" s="112"/>
    </row>
    <row r="9" spans="1:10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12"/>
    </row>
    <row r="10" spans="1:10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12"/>
    </row>
    <row r="11" spans="1:10" s="2" customFormat="1" ht="14.25" customHeight="1" x14ac:dyDescent="0.2">
      <c r="A11" s="89">
        <v>45161</v>
      </c>
      <c r="B11" s="9" t="s">
        <v>6</v>
      </c>
      <c r="C11" s="10" t="s">
        <v>7</v>
      </c>
      <c r="D11" s="11"/>
      <c r="F11" s="12">
        <v>115029846.39000002</v>
      </c>
      <c r="G11" s="1"/>
      <c r="H11" s="130" t="s">
        <v>396</v>
      </c>
      <c r="I11" s="130"/>
    </row>
    <row r="12" spans="1:10" s="70" customFormat="1" ht="12.75" customHeight="1" x14ac:dyDescent="0.2">
      <c r="A12" s="89">
        <v>45161</v>
      </c>
      <c r="B12" s="9" t="s">
        <v>6</v>
      </c>
      <c r="C12" s="76" t="s">
        <v>1002</v>
      </c>
      <c r="D12" s="11" t="s">
        <v>13</v>
      </c>
      <c r="E12" s="31">
        <v>21005857.240000002</v>
      </c>
      <c r="F12" s="31"/>
      <c r="G12" s="30"/>
      <c r="I12" s="69"/>
      <c r="J12" s="69"/>
    </row>
    <row r="13" spans="1:10" s="70" customFormat="1" ht="12.75" customHeight="1" x14ac:dyDescent="0.2">
      <c r="A13" s="89">
        <v>45161</v>
      </c>
      <c r="B13" s="9" t="s">
        <v>6</v>
      </c>
      <c r="C13" s="76" t="s">
        <v>1137</v>
      </c>
      <c r="D13" s="11" t="s">
        <v>29</v>
      </c>
      <c r="E13" s="31">
        <v>9598.7099999999991</v>
      </c>
      <c r="F13" s="31">
        <v>478919.04000000004</v>
      </c>
      <c r="G13" s="30"/>
      <c r="I13" s="69"/>
      <c r="J13" s="69"/>
    </row>
    <row r="14" spans="1:10" s="70" customFormat="1" ht="12.75" customHeight="1" x14ac:dyDescent="0.2">
      <c r="A14" s="89">
        <v>45161</v>
      </c>
      <c r="B14" s="9" t="s">
        <v>11</v>
      </c>
      <c r="C14" s="76" t="s">
        <v>893</v>
      </c>
      <c r="D14" s="11" t="s">
        <v>29</v>
      </c>
      <c r="E14" s="31"/>
      <c r="F14" s="31">
        <v>32072.5</v>
      </c>
      <c r="G14" s="30"/>
      <c r="I14" s="69"/>
      <c r="J14" s="69"/>
    </row>
    <row r="15" spans="1:10" s="70" customFormat="1" ht="12.75" customHeight="1" x14ac:dyDescent="0.2">
      <c r="A15" s="89">
        <v>45161</v>
      </c>
      <c r="B15" s="9" t="s">
        <v>11</v>
      </c>
      <c r="C15" s="76" t="s">
        <v>302</v>
      </c>
      <c r="D15" s="11" t="s">
        <v>29</v>
      </c>
      <c r="E15" s="31"/>
      <c r="F15" s="31">
        <v>16869</v>
      </c>
      <c r="G15" s="30"/>
      <c r="I15" s="69"/>
      <c r="J15" s="69"/>
    </row>
    <row r="16" spans="1:10" s="70" customFormat="1" ht="12.75" customHeight="1" x14ac:dyDescent="0.2">
      <c r="A16" s="89">
        <v>45161</v>
      </c>
      <c r="B16" s="9" t="s">
        <v>11</v>
      </c>
      <c r="C16" s="76" t="s">
        <v>210</v>
      </c>
      <c r="D16" s="11" t="s">
        <v>29</v>
      </c>
      <c r="E16" s="31"/>
      <c r="F16" s="31">
        <v>24662</v>
      </c>
      <c r="G16" s="30"/>
      <c r="I16" s="69"/>
      <c r="J16" s="69"/>
    </row>
    <row r="17" spans="1:10" s="70" customFormat="1" ht="12.75" customHeight="1" x14ac:dyDescent="0.2">
      <c r="A17" s="89">
        <v>45161</v>
      </c>
      <c r="B17" s="9" t="s">
        <v>11</v>
      </c>
      <c r="C17" s="76" t="s">
        <v>248</v>
      </c>
      <c r="D17" s="11" t="s">
        <v>29</v>
      </c>
      <c r="E17" s="31"/>
      <c r="F17" s="31">
        <v>61578</v>
      </c>
      <c r="G17" s="30"/>
      <c r="I17" s="69"/>
      <c r="J17" s="69"/>
    </row>
    <row r="18" spans="1:10" s="70" customFormat="1" ht="12.75" customHeight="1" x14ac:dyDescent="0.2">
      <c r="A18" s="89">
        <v>45161</v>
      </c>
      <c r="B18" s="9" t="s">
        <v>11</v>
      </c>
      <c r="C18" s="76" t="s">
        <v>91</v>
      </c>
      <c r="D18" s="11" t="s">
        <v>29</v>
      </c>
      <c r="E18" s="31"/>
      <c r="F18" s="31">
        <v>134400</v>
      </c>
      <c r="G18" s="30"/>
      <c r="I18" s="69"/>
      <c r="J18" s="69"/>
    </row>
    <row r="19" spans="1:10" s="70" customFormat="1" ht="12.75" customHeight="1" x14ac:dyDescent="0.2">
      <c r="A19" s="89">
        <v>45161</v>
      </c>
      <c r="B19" s="9" t="s">
        <v>11</v>
      </c>
      <c r="C19" s="76" t="s">
        <v>1407</v>
      </c>
      <c r="D19" s="11" t="s">
        <v>29</v>
      </c>
      <c r="E19" s="31"/>
      <c r="F19" s="31">
        <v>96415</v>
      </c>
      <c r="G19" s="30"/>
      <c r="I19" s="69"/>
      <c r="J19" s="69"/>
    </row>
    <row r="20" spans="1:10" s="70" customFormat="1" ht="12.75" customHeight="1" x14ac:dyDescent="0.2">
      <c r="A20" s="89">
        <v>45161</v>
      </c>
      <c r="B20" s="9" t="s">
        <v>11</v>
      </c>
      <c r="C20" s="76" t="s">
        <v>225</v>
      </c>
      <c r="D20" s="11" t="s">
        <v>29</v>
      </c>
      <c r="E20" s="31"/>
      <c r="F20" s="31">
        <v>20237</v>
      </c>
      <c r="G20" s="30"/>
      <c r="I20" s="69"/>
      <c r="J20" s="69"/>
    </row>
    <row r="21" spans="1:10" s="70" customFormat="1" ht="12.75" customHeight="1" x14ac:dyDescent="0.2">
      <c r="A21" s="89">
        <v>45161</v>
      </c>
      <c r="B21" s="9" t="s">
        <v>11</v>
      </c>
      <c r="C21" s="76" t="s">
        <v>658</v>
      </c>
      <c r="D21" s="11" t="s">
        <v>29</v>
      </c>
      <c r="E21" s="31"/>
      <c r="F21" s="31">
        <v>2360</v>
      </c>
      <c r="G21" s="30"/>
      <c r="I21" s="69"/>
      <c r="J21" s="69"/>
    </row>
    <row r="22" spans="1:10" s="70" customFormat="1" ht="12.75" customHeight="1" x14ac:dyDescent="0.2">
      <c r="A22" s="89">
        <v>45161</v>
      </c>
      <c r="B22" s="9" t="s">
        <v>11</v>
      </c>
      <c r="C22" s="76" t="s">
        <v>52</v>
      </c>
      <c r="D22" s="11" t="s">
        <v>29</v>
      </c>
      <c r="E22" s="31"/>
      <c r="F22" s="31">
        <v>55860</v>
      </c>
      <c r="G22" s="30"/>
      <c r="I22" s="69"/>
      <c r="J22" s="69"/>
    </row>
    <row r="23" spans="1:10" s="70" customFormat="1" ht="12.75" customHeight="1" x14ac:dyDescent="0.2">
      <c r="A23" s="89">
        <v>45161</v>
      </c>
      <c r="B23" s="9" t="s">
        <v>11</v>
      </c>
      <c r="C23" s="76" t="s">
        <v>1408</v>
      </c>
      <c r="D23" s="11" t="s">
        <v>29</v>
      </c>
      <c r="E23" s="31"/>
      <c r="F23" s="31">
        <v>24707.63</v>
      </c>
      <c r="G23" s="30"/>
      <c r="I23" s="69"/>
      <c r="J23" s="69"/>
    </row>
    <row r="24" spans="1:10" s="70" customFormat="1" ht="12.75" customHeight="1" x14ac:dyDescent="0.2">
      <c r="A24" s="89">
        <v>45161</v>
      </c>
      <c r="B24" s="9" t="s">
        <v>11</v>
      </c>
      <c r="C24" s="76" t="s">
        <v>883</v>
      </c>
      <c r="D24" s="11" t="s">
        <v>29</v>
      </c>
      <c r="E24" s="31"/>
      <c r="F24" s="31">
        <v>10006</v>
      </c>
      <c r="G24" s="30"/>
      <c r="I24" s="69"/>
      <c r="J24" s="69"/>
    </row>
    <row r="25" spans="1:10" s="70" customFormat="1" ht="12.75" customHeight="1" x14ac:dyDescent="0.2">
      <c r="A25" s="89">
        <v>45161</v>
      </c>
      <c r="B25" s="9" t="s">
        <v>11</v>
      </c>
      <c r="C25" s="76" t="s">
        <v>1409</v>
      </c>
      <c r="D25" s="11" t="s">
        <v>29</v>
      </c>
      <c r="E25" s="31"/>
      <c r="F25" s="31">
        <v>5940</v>
      </c>
      <c r="G25" s="30"/>
      <c r="I25" s="69"/>
      <c r="J25" s="69"/>
    </row>
    <row r="26" spans="1:10" s="70" customFormat="1" ht="12.75" customHeight="1" x14ac:dyDescent="0.2">
      <c r="A26" s="89">
        <v>45161</v>
      </c>
      <c r="B26" s="9" t="s">
        <v>11</v>
      </c>
      <c r="C26" s="76" t="s">
        <v>600</v>
      </c>
      <c r="D26" s="11" t="s">
        <v>29</v>
      </c>
      <c r="E26" s="31"/>
      <c r="F26" s="31">
        <v>1500000</v>
      </c>
      <c r="G26" s="30"/>
      <c r="I26" s="69"/>
      <c r="J26" s="69"/>
    </row>
    <row r="27" spans="1:10" s="70" customFormat="1" ht="12.75" customHeight="1" x14ac:dyDescent="0.2">
      <c r="A27" s="89">
        <v>45161</v>
      </c>
      <c r="B27" s="9" t="s">
        <v>11</v>
      </c>
      <c r="C27" s="76" t="s">
        <v>649</v>
      </c>
      <c r="D27" s="11" t="s">
        <v>29</v>
      </c>
      <c r="E27" s="31"/>
      <c r="F27" s="31">
        <v>1000000</v>
      </c>
      <c r="G27" s="30"/>
      <c r="I27" s="69"/>
      <c r="J27" s="69"/>
    </row>
    <row r="28" spans="1:10" s="70" customFormat="1" ht="12.75" customHeight="1" x14ac:dyDescent="0.2">
      <c r="A28" s="89">
        <v>45161</v>
      </c>
      <c r="B28" s="9" t="s">
        <v>11</v>
      </c>
      <c r="C28" s="76" t="s">
        <v>1410</v>
      </c>
      <c r="D28" s="11" t="s">
        <v>29</v>
      </c>
      <c r="E28" s="31"/>
      <c r="F28" s="31">
        <v>1653600</v>
      </c>
      <c r="G28" s="30"/>
      <c r="I28" s="69"/>
      <c r="J28" s="69"/>
    </row>
    <row r="29" spans="1:10" s="2" customFormat="1" ht="12.75" customHeight="1" x14ac:dyDescent="0.4">
      <c r="D29" s="11" t="s">
        <v>8</v>
      </c>
      <c r="E29" s="16">
        <f>SUM(E12:E28)</f>
        <v>21015455.950000003</v>
      </c>
      <c r="F29" s="16">
        <f>SUM(F11:F28)</f>
        <v>120147472.56000002</v>
      </c>
      <c r="G29" s="1"/>
      <c r="H29" s="112"/>
      <c r="I29" s="112"/>
    </row>
    <row r="30" spans="1:10" s="2" customFormat="1" ht="12.75" customHeight="1" x14ac:dyDescent="0.4">
      <c r="A30" s="17"/>
      <c r="B30" s="18"/>
      <c r="C30" s="96" t="s">
        <v>9</v>
      </c>
      <c r="D30" s="20"/>
      <c r="E30" s="21">
        <f>+F29-E29</f>
        <v>99132016.610000014</v>
      </c>
      <c r="G30" s="23"/>
      <c r="H30" s="112"/>
      <c r="I30" s="112"/>
      <c r="J30" s="13"/>
    </row>
    <row r="31" spans="1:10" s="2" customFormat="1" ht="12.75" customHeight="1" x14ac:dyDescent="0.4">
      <c r="A31" s="24"/>
      <c r="B31" s="1"/>
      <c r="C31" s="14"/>
      <c r="D31" s="25"/>
      <c r="G31" s="23"/>
      <c r="H31" s="112"/>
      <c r="I31" s="112"/>
      <c r="J31" s="13"/>
    </row>
    <row r="32" spans="1:10" s="2" customFormat="1" ht="21.75" customHeight="1" x14ac:dyDescent="0.4">
      <c r="A32" s="214" t="s">
        <v>10</v>
      </c>
      <c r="B32" s="214"/>
      <c r="C32" s="214"/>
      <c r="D32" s="214"/>
      <c r="E32" s="214"/>
      <c r="F32" s="214"/>
      <c r="G32" s="13"/>
      <c r="H32" s="112"/>
      <c r="I32" s="112"/>
      <c r="J32" s="13"/>
    </row>
    <row r="33" spans="1:10" s="2" customFormat="1" ht="12.75" customHeight="1" x14ac:dyDescent="0.4">
      <c r="A33" s="26" t="s">
        <v>1</v>
      </c>
      <c r="B33" s="27" t="s">
        <v>2</v>
      </c>
      <c r="C33" s="5"/>
      <c r="D33" s="6" t="s">
        <v>3</v>
      </c>
      <c r="E33" s="7" t="s">
        <v>4</v>
      </c>
      <c r="F33" s="7" t="s">
        <v>5</v>
      </c>
      <c r="G33" s="23"/>
      <c r="H33" s="112"/>
      <c r="I33" s="112"/>
      <c r="J33" s="13"/>
    </row>
    <row r="34" spans="1:10" s="2" customFormat="1" ht="12.75" customHeight="1" x14ac:dyDescent="0.2">
      <c r="A34" s="89">
        <v>45161</v>
      </c>
      <c r="B34" s="128" t="s">
        <v>11</v>
      </c>
      <c r="C34" s="29" t="s">
        <v>7</v>
      </c>
      <c r="D34" s="25"/>
      <c r="E34" s="31"/>
      <c r="F34" s="2">
        <v>360241130.59000003</v>
      </c>
      <c r="G34" s="30"/>
      <c r="I34" s="13"/>
      <c r="J34" s="13"/>
    </row>
    <row r="35" spans="1:10" s="70" customFormat="1" ht="12.75" customHeight="1" x14ac:dyDescent="0.2">
      <c r="A35" s="89">
        <v>45161</v>
      </c>
      <c r="B35" s="128" t="s">
        <v>6</v>
      </c>
      <c r="C35" s="10" t="s">
        <v>266</v>
      </c>
      <c r="D35" s="11" t="s">
        <v>13</v>
      </c>
      <c r="E35" s="86">
        <v>350000</v>
      </c>
      <c r="G35" s="30"/>
      <c r="I35" s="69"/>
      <c r="J35" s="69"/>
    </row>
    <row r="36" spans="1:10" s="70" customFormat="1" ht="12.75" customHeight="1" x14ac:dyDescent="0.2">
      <c r="A36" s="89">
        <v>45161</v>
      </c>
      <c r="B36" s="128" t="s">
        <v>6</v>
      </c>
      <c r="C36" s="10" t="s">
        <v>474</v>
      </c>
      <c r="D36" s="11" t="s">
        <v>13</v>
      </c>
      <c r="E36" s="86">
        <v>165625</v>
      </c>
      <c r="G36" s="30"/>
      <c r="I36" s="69"/>
      <c r="J36" s="69"/>
    </row>
    <row r="37" spans="1:10" s="70" customFormat="1" ht="12.75" customHeight="1" x14ac:dyDescent="0.2">
      <c r="A37" s="89">
        <v>45161</v>
      </c>
      <c r="B37" s="128" t="s">
        <v>6</v>
      </c>
      <c r="C37" s="10" t="s">
        <v>17</v>
      </c>
      <c r="D37" s="11" t="s">
        <v>13</v>
      </c>
      <c r="E37" s="86">
        <v>79869</v>
      </c>
      <c r="G37" s="30"/>
      <c r="I37" s="69"/>
      <c r="J37" s="69"/>
    </row>
    <row r="38" spans="1:10" s="70" customFormat="1" ht="12.75" customHeight="1" x14ac:dyDescent="0.2">
      <c r="A38" s="89">
        <v>45161</v>
      </c>
      <c r="B38" s="128" t="s">
        <v>6</v>
      </c>
      <c r="C38" s="10" t="s">
        <v>14</v>
      </c>
      <c r="D38" s="11" t="s">
        <v>13</v>
      </c>
      <c r="E38" s="86">
        <v>1524095</v>
      </c>
      <c r="G38" s="30"/>
      <c r="I38" s="69"/>
      <c r="J38" s="69"/>
    </row>
    <row r="39" spans="1:10" s="70" customFormat="1" ht="12.75" customHeight="1" x14ac:dyDescent="0.2">
      <c r="A39" s="89">
        <v>45161</v>
      </c>
      <c r="B39" s="128" t="s">
        <v>6</v>
      </c>
      <c r="C39" s="10" t="s">
        <v>141</v>
      </c>
      <c r="D39" s="11" t="s">
        <v>13</v>
      </c>
      <c r="E39" s="86">
        <v>2110291</v>
      </c>
      <c r="G39" s="30"/>
      <c r="I39" s="69"/>
      <c r="J39" s="69"/>
    </row>
    <row r="40" spans="1:10" s="70" customFormat="1" ht="12.75" customHeight="1" x14ac:dyDescent="0.2">
      <c r="A40" s="89">
        <v>45161</v>
      </c>
      <c r="B40" s="128" t="s">
        <v>6</v>
      </c>
      <c r="C40" s="10" t="s">
        <v>1241</v>
      </c>
      <c r="D40" s="11" t="s">
        <v>13</v>
      </c>
      <c r="E40" s="86">
        <v>258640</v>
      </c>
      <c r="G40" s="30"/>
      <c r="I40" s="69"/>
      <c r="J40" s="69"/>
    </row>
    <row r="41" spans="1:10" s="70" customFormat="1" ht="12.75" customHeight="1" x14ac:dyDescent="0.2">
      <c r="A41" s="89">
        <v>45161</v>
      </c>
      <c r="B41" s="128" t="s">
        <v>6</v>
      </c>
      <c r="C41" s="10" t="s">
        <v>1247</v>
      </c>
      <c r="D41" s="11" t="s">
        <v>13</v>
      </c>
      <c r="E41" s="86">
        <v>114463</v>
      </c>
      <c r="G41" s="30"/>
      <c r="I41" s="69"/>
      <c r="J41" s="69"/>
    </row>
    <row r="42" spans="1:10" s="70" customFormat="1" ht="12.75" customHeight="1" x14ac:dyDescent="0.2">
      <c r="A42" s="89">
        <v>45161</v>
      </c>
      <c r="B42" s="128" t="s">
        <v>6</v>
      </c>
      <c r="C42" s="10" t="s">
        <v>93</v>
      </c>
      <c r="D42" s="11" t="s">
        <v>13</v>
      </c>
      <c r="E42" s="86">
        <v>4647075</v>
      </c>
      <c r="G42" s="30"/>
      <c r="I42" s="69"/>
      <c r="J42" s="69"/>
    </row>
    <row r="43" spans="1:10" s="70" customFormat="1" ht="12.75" customHeight="1" x14ac:dyDescent="0.2">
      <c r="A43" s="89">
        <v>45161</v>
      </c>
      <c r="B43" s="128" t="s">
        <v>6</v>
      </c>
      <c r="C43" s="10" t="s">
        <v>843</v>
      </c>
      <c r="D43" s="11" t="s">
        <v>13</v>
      </c>
      <c r="E43" s="86">
        <v>98654</v>
      </c>
      <c r="G43" s="30"/>
      <c r="I43" s="69"/>
      <c r="J43" s="69"/>
    </row>
    <row r="44" spans="1:10" s="70" customFormat="1" ht="12.75" customHeight="1" x14ac:dyDescent="0.2">
      <c r="A44" s="89">
        <v>45161</v>
      </c>
      <c r="B44" s="128" t="s">
        <v>6</v>
      </c>
      <c r="C44" s="10" t="s">
        <v>149</v>
      </c>
      <c r="D44" s="11" t="s">
        <v>13</v>
      </c>
      <c r="E44" s="86">
        <v>77718</v>
      </c>
      <c r="G44" s="30"/>
      <c r="I44" s="69"/>
      <c r="J44" s="69"/>
    </row>
    <row r="45" spans="1:10" s="70" customFormat="1" ht="12.75" customHeight="1" x14ac:dyDescent="0.2">
      <c r="A45" s="89">
        <v>45161</v>
      </c>
      <c r="B45" s="128" t="s">
        <v>6</v>
      </c>
      <c r="C45" s="10" t="s">
        <v>1411</v>
      </c>
      <c r="D45" s="11" t="s">
        <v>13</v>
      </c>
      <c r="E45" s="86">
        <v>36728</v>
      </c>
      <c r="G45" s="30"/>
      <c r="I45" s="69"/>
      <c r="J45" s="69"/>
    </row>
    <row r="46" spans="1:10" s="70" customFormat="1" ht="12.75" customHeight="1" x14ac:dyDescent="0.2">
      <c r="A46" s="89">
        <v>45161</v>
      </c>
      <c r="B46" s="128" t="s">
        <v>6</v>
      </c>
      <c r="C46" s="10" t="s">
        <v>178</v>
      </c>
      <c r="D46" s="11" t="s">
        <v>13</v>
      </c>
      <c r="E46" s="86">
        <v>1000000</v>
      </c>
      <c r="G46" s="30"/>
      <c r="I46" s="69"/>
      <c r="J46" s="69"/>
    </row>
    <row r="47" spans="1:10" s="70" customFormat="1" ht="12.75" customHeight="1" x14ac:dyDescent="0.2">
      <c r="A47" s="89">
        <v>45161</v>
      </c>
      <c r="B47" s="128" t="s">
        <v>6</v>
      </c>
      <c r="C47" s="10" t="s">
        <v>202</v>
      </c>
      <c r="D47" s="11" t="s">
        <v>13</v>
      </c>
      <c r="E47" s="86">
        <v>100000</v>
      </c>
      <c r="G47" s="30"/>
      <c r="I47" s="69"/>
      <c r="J47" s="69"/>
    </row>
    <row r="48" spans="1:10" s="70" customFormat="1" ht="12.75" customHeight="1" x14ac:dyDescent="0.2">
      <c r="A48" s="89">
        <v>45161</v>
      </c>
      <c r="B48" s="128" t="s">
        <v>6</v>
      </c>
      <c r="C48" s="10" t="s">
        <v>1175</v>
      </c>
      <c r="D48" s="11" t="s">
        <v>13</v>
      </c>
      <c r="E48" s="86">
        <v>13</v>
      </c>
      <c r="G48" s="30"/>
      <c r="I48" s="69"/>
      <c r="J48" s="69"/>
    </row>
    <row r="49" spans="1:14" s="70" customFormat="1" ht="12.75" customHeight="1" x14ac:dyDescent="0.2">
      <c r="A49" s="89">
        <v>45161</v>
      </c>
      <c r="B49" s="128" t="s">
        <v>6</v>
      </c>
      <c r="C49" s="10" t="s">
        <v>19</v>
      </c>
      <c r="D49" s="11" t="s">
        <v>13</v>
      </c>
      <c r="E49" s="86">
        <v>667619</v>
      </c>
      <c r="G49" s="30"/>
      <c r="I49" s="69"/>
      <c r="J49" s="69"/>
    </row>
    <row r="50" spans="1:14" s="70" customFormat="1" ht="12.75" customHeight="1" x14ac:dyDescent="0.2">
      <c r="A50" s="89">
        <v>45161</v>
      </c>
      <c r="B50" s="128" t="s">
        <v>6</v>
      </c>
      <c r="C50" s="10" t="s">
        <v>947</v>
      </c>
      <c r="D50" s="11" t="s">
        <v>13</v>
      </c>
      <c r="E50" s="86">
        <v>2039044</v>
      </c>
      <c r="G50" s="30"/>
      <c r="I50" s="69"/>
      <c r="J50" s="69"/>
    </row>
    <row r="51" spans="1:14" s="70" customFormat="1" ht="12.75" customHeight="1" x14ac:dyDescent="0.2">
      <c r="A51" s="89">
        <v>45161</v>
      </c>
      <c r="B51" s="128" t="s">
        <v>11</v>
      </c>
      <c r="C51" s="10" t="s">
        <v>64</v>
      </c>
      <c r="D51" s="11" t="s">
        <v>29</v>
      </c>
      <c r="E51" s="86"/>
      <c r="F51" s="70">
        <f>2054.44-0.1</f>
        <v>2054.34</v>
      </c>
      <c r="G51" s="30"/>
      <c r="I51" s="69"/>
      <c r="J51" s="69"/>
    </row>
    <row r="52" spans="1:14" s="70" customFormat="1" ht="12.75" customHeight="1" x14ac:dyDescent="0.2">
      <c r="A52" s="89">
        <v>45161</v>
      </c>
      <c r="B52" s="128" t="s">
        <v>11</v>
      </c>
      <c r="C52" s="10" t="s">
        <v>111</v>
      </c>
      <c r="D52" s="11" t="s">
        <v>29</v>
      </c>
      <c r="E52" s="86"/>
      <c r="F52" s="70">
        <v>1548115.73</v>
      </c>
      <c r="G52" s="30"/>
      <c r="I52" s="69"/>
      <c r="J52" s="69"/>
    </row>
    <row r="53" spans="1:14" s="70" customFormat="1" ht="12.75" customHeight="1" x14ac:dyDescent="0.2">
      <c r="A53" s="89">
        <v>45161</v>
      </c>
      <c r="B53" s="128" t="s">
        <v>11</v>
      </c>
      <c r="C53" s="10" t="s">
        <v>109</v>
      </c>
      <c r="D53" s="11" t="s">
        <v>29</v>
      </c>
      <c r="E53" s="86"/>
      <c r="F53" s="70">
        <v>705967</v>
      </c>
      <c r="G53" s="30"/>
      <c r="I53" s="69"/>
      <c r="J53" s="69"/>
    </row>
    <row r="54" spans="1:14" s="70" customFormat="1" ht="12.75" customHeight="1" x14ac:dyDescent="0.2">
      <c r="A54" s="89">
        <v>45161</v>
      </c>
      <c r="B54" s="128" t="s">
        <v>11</v>
      </c>
      <c r="C54" s="10" t="s">
        <v>284</v>
      </c>
      <c r="D54" s="11" t="s">
        <v>29</v>
      </c>
      <c r="E54" s="86"/>
      <c r="F54" s="70">
        <v>727645</v>
      </c>
      <c r="G54" s="30"/>
      <c r="I54" s="69"/>
      <c r="J54" s="69"/>
    </row>
    <row r="55" spans="1:14" s="70" customFormat="1" ht="12.75" customHeight="1" x14ac:dyDescent="0.2">
      <c r="A55" s="89">
        <v>45161</v>
      </c>
      <c r="B55" s="128" t="s">
        <v>11</v>
      </c>
      <c r="C55" s="10" t="s">
        <v>62</v>
      </c>
      <c r="D55" s="11" t="s">
        <v>29</v>
      </c>
      <c r="E55" s="86"/>
      <c r="F55" s="70">
        <v>158000</v>
      </c>
      <c r="G55" s="30"/>
      <c r="I55" s="69"/>
      <c r="J55" s="69"/>
    </row>
    <row r="56" spans="1:14" s="2" customFormat="1" ht="12.75" customHeight="1" x14ac:dyDescent="0.2">
      <c r="A56" s="32"/>
      <c r="B56" s="33"/>
      <c r="C56" s="14"/>
      <c r="D56" s="34"/>
      <c r="E56" s="16">
        <f>SUM(E34:E55)</f>
        <v>13269834</v>
      </c>
      <c r="F56" s="16">
        <f>SUM(F34:F55)</f>
        <v>363382912.66000003</v>
      </c>
      <c r="G56" s="30"/>
      <c r="H56" s="1"/>
      <c r="I56" s="38">
        <v>350113078.66000003</v>
      </c>
      <c r="J56" s="2" t="s">
        <v>396</v>
      </c>
      <c r="K56" s="92">
        <f>E57-I56</f>
        <v>0</v>
      </c>
      <c r="L56" s="41"/>
      <c r="M56" s="42"/>
    </row>
    <row r="57" spans="1:14" s="2" customFormat="1" ht="12.75" customHeight="1" x14ac:dyDescent="0.2">
      <c r="A57" s="36"/>
      <c r="B57" s="28" t="s">
        <v>11</v>
      </c>
      <c r="C57" s="19" t="s">
        <v>65</v>
      </c>
      <c r="D57" s="37"/>
      <c r="E57" s="38">
        <f>F56-E56</f>
        <v>350113078.66000003</v>
      </c>
      <c r="F57" s="22"/>
      <c r="G57" s="1"/>
      <c r="H57" s="1"/>
      <c r="J57" s="1"/>
      <c r="K57" s="1"/>
      <c r="L57" s="1"/>
      <c r="M57" s="1"/>
    </row>
    <row r="58" spans="1:14" s="2" customFormat="1" ht="12.75" customHeight="1" x14ac:dyDescent="0.2">
      <c r="A58" s="36"/>
      <c r="B58" s="28" t="s">
        <v>66</v>
      </c>
      <c r="C58" s="43" t="s">
        <v>67</v>
      </c>
      <c r="D58" s="43"/>
      <c r="E58" s="12">
        <v>0</v>
      </c>
      <c r="F58" s="22"/>
      <c r="G58" s="1"/>
      <c r="H58" s="40"/>
      <c r="I58" s="45">
        <v>3037.94</v>
      </c>
      <c r="J58" s="46"/>
      <c r="K58" s="46"/>
      <c r="L58" s="13"/>
      <c r="M58" s="69" t="s">
        <v>396</v>
      </c>
    </row>
    <row r="59" spans="1:14" s="2" customFormat="1" ht="12.75" customHeight="1" x14ac:dyDescent="0.25">
      <c r="A59" s="36"/>
      <c r="B59" s="28"/>
      <c r="C59" s="44" t="s">
        <v>68</v>
      </c>
      <c r="D59" s="43"/>
      <c r="E59" s="7">
        <f>E57+E58</f>
        <v>350113078.66000003</v>
      </c>
      <c r="F59" s="22"/>
      <c r="G59" s="1"/>
      <c r="H59" s="103" t="s">
        <v>69</v>
      </c>
      <c r="I59" s="45">
        <v>-46.42</v>
      </c>
      <c r="J59" s="46"/>
      <c r="K59" s="46"/>
      <c r="N59" s="1"/>
    </row>
    <row r="60" spans="1:14" s="2" customFormat="1" x14ac:dyDescent="0.2">
      <c r="A60" s="24"/>
      <c r="B60" s="1"/>
      <c r="C60" s="14"/>
      <c r="D60" s="25"/>
      <c r="E60" s="1"/>
      <c r="H60" s="35" t="s">
        <v>70</v>
      </c>
      <c r="I60" s="45">
        <v>0</v>
      </c>
      <c r="J60" s="46">
        <f>+I61-D63</f>
        <v>0</v>
      </c>
      <c r="M60" s="2" t="s">
        <v>396</v>
      </c>
      <c r="N60" s="1"/>
    </row>
    <row r="61" spans="1:14" x14ac:dyDescent="0.2">
      <c r="C61" s="56"/>
      <c r="D61" s="56"/>
      <c r="E61" s="104"/>
      <c r="I61" s="49">
        <f>SUM(I58:I60)</f>
        <v>2991.52</v>
      </c>
      <c r="J61" s="46"/>
      <c r="K61" s="46"/>
      <c r="L61" s="2"/>
      <c r="M61" s="2"/>
      <c r="N61" s="2"/>
    </row>
    <row r="62" spans="1:14" x14ac:dyDescent="0.2">
      <c r="C62" s="78" t="s">
        <v>575</v>
      </c>
      <c r="D62" s="48" t="s">
        <v>576</v>
      </c>
      <c r="E62" s="104"/>
      <c r="I62" s="2"/>
      <c r="J62" s="2"/>
      <c r="K62" s="2"/>
      <c r="L62" s="2"/>
      <c r="M62" s="2"/>
      <c r="N62" s="2"/>
    </row>
    <row r="63" spans="1:14" s="2" customFormat="1" x14ac:dyDescent="0.2">
      <c r="A63" s="24"/>
      <c r="B63" s="1"/>
      <c r="C63" s="47" t="s">
        <v>570</v>
      </c>
      <c r="D63" s="111">
        <v>2991.52</v>
      </c>
      <c r="E63" s="104"/>
      <c r="G63" s="1"/>
      <c r="H63" s="110" t="s">
        <v>581</v>
      </c>
      <c r="N63" s="2" t="s">
        <v>535</v>
      </c>
    </row>
    <row r="64" spans="1:14" s="2" customFormat="1" x14ac:dyDescent="0.2">
      <c r="A64" s="24"/>
      <c r="B64" s="1"/>
      <c r="C64" s="47" t="s">
        <v>931</v>
      </c>
      <c r="D64" s="111">
        <v>270.95</v>
      </c>
      <c r="E64" s="104"/>
      <c r="G64" s="1"/>
      <c r="H64" s="110" t="s">
        <v>580</v>
      </c>
    </row>
    <row r="65" spans="1:13" s="2" customFormat="1" x14ac:dyDescent="0.2">
      <c r="A65" s="24"/>
      <c r="B65" s="1"/>
      <c r="C65" s="47" t="s">
        <v>572</v>
      </c>
      <c r="D65" s="111">
        <f>+D100/100000</f>
        <v>175.13066910000001</v>
      </c>
      <c r="E65" s="104"/>
      <c r="G65" s="1"/>
      <c r="H65" s="90" t="s">
        <v>587</v>
      </c>
    </row>
    <row r="66" spans="1:13" s="2" customFormat="1" x14ac:dyDescent="0.2">
      <c r="A66" s="24"/>
      <c r="B66" s="1"/>
      <c r="C66" s="108" t="s">
        <v>578</v>
      </c>
      <c r="D66" s="48">
        <f>SUM(D63:D65)</f>
        <v>3437.6006690999998</v>
      </c>
      <c r="E66" s="104"/>
      <c r="G66" s="1"/>
    </row>
    <row r="67" spans="1:13" s="2" customFormat="1" x14ac:dyDescent="0.2">
      <c r="A67" s="24"/>
      <c r="B67" s="1"/>
      <c r="C67" s="47"/>
      <c r="D67" s="107"/>
      <c r="E67" s="104"/>
      <c r="G67" s="1"/>
    </row>
    <row r="68" spans="1:13" s="2" customFormat="1" x14ac:dyDescent="0.2">
      <c r="A68" s="24"/>
      <c r="B68" s="1"/>
      <c r="C68" s="47" t="s">
        <v>932</v>
      </c>
      <c r="D68" s="111">
        <v>136.78</v>
      </c>
      <c r="E68" s="104"/>
      <c r="G68" s="1"/>
      <c r="H68" s="110" t="s">
        <v>581</v>
      </c>
    </row>
    <row r="69" spans="1:13" s="2" customFormat="1" x14ac:dyDescent="0.2">
      <c r="A69" s="24"/>
      <c r="B69" s="1"/>
      <c r="C69" s="136" t="s">
        <v>1142</v>
      </c>
      <c r="D69" s="111">
        <f>319.83+121.87-136.45-60.1</f>
        <v>245.15</v>
      </c>
      <c r="E69" s="104"/>
      <c r="G69" s="1"/>
      <c r="H69" s="110" t="s">
        <v>581</v>
      </c>
      <c r="J69" s="114" t="s">
        <v>713</v>
      </c>
    </row>
    <row r="70" spans="1:13" s="2" customFormat="1" x14ac:dyDescent="0.2">
      <c r="A70" s="24"/>
      <c r="B70" s="1"/>
      <c r="C70" s="78" t="s">
        <v>579</v>
      </c>
      <c r="D70" s="109">
        <f>D68+D69</f>
        <v>381.93</v>
      </c>
      <c r="E70" s="104"/>
      <c r="G70" s="1"/>
      <c r="I70" s="113"/>
      <c r="J70" s="113" t="s">
        <v>709</v>
      </c>
      <c r="K70" s="113" t="s">
        <v>710</v>
      </c>
      <c r="L70" s="113" t="s">
        <v>711</v>
      </c>
      <c r="M70" s="113" t="s">
        <v>712</v>
      </c>
    </row>
    <row r="71" spans="1:13" s="2" customFormat="1" x14ac:dyDescent="0.2">
      <c r="A71" s="24"/>
      <c r="B71" s="1"/>
      <c r="C71" s="105"/>
      <c r="D71" s="106"/>
      <c r="E71" s="104"/>
      <c r="G71" s="1"/>
      <c r="I71" s="113" t="s">
        <v>706</v>
      </c>
      <c r="J71" s="115"/>
      <c r="K71" s="115">
        <v>968.99</v>
      </c>
      <c r="L71" s="115">
        <v>968.99</v>
      </c>
      <c r="M71" s="113">
        <f>+J71+L71-K71</f>
        <v>0</v>
      </c>
    </row>
    <row r="72" spans="1:13" s="2" customFormat="1" x14ac:dyDescent="0.2">
      <c r="A72" s="24"/>
      <c r="B72" s="1"/>
      <c r="C72" s="78" t="s">
        <v>577</v>
      </c>
      <c r="D72" s="109">
        <f>D63+D70</f>
        <v>3373.45</v>
      </c>
      <c r="E72" s="104"/>
      <c r="G72" s="1"/>
      <c r="I72" s="113" t="s">
        <v>707</v>
      </c>
      <c r="J72" s="115">
        <v>183.1</v>
      </c>
      <c r="K72" s="115">
        <v>3195.48</v>
      </c>
      <c r="L72" s="115">
        <v>3687.95</v>
      </c>
      <c r="M72" s="113">
        <f>+J72+L72-K72</f>
        <v>675.56999999999971</v>
      </c>
    </row>
    <row r="73" spans="1:13" s="2" customFormat="1" x14ac:dyDescent="0.2">
      <c r="A73" s="24"/>
      <c r="B73" s="1"/>
      <c r="C73" s="56"/>
      <c r="D73" s="56"/>
      <c r="E73" s="104"/>
      <c r="G73" s="1"/>
      <c r="I73" s="113" t="s">
        <v>708</v>
      </c>
      <c r="J73" s="115">
        <v>1371.02</v>
      </c>
      <c r="K73" s="115">
        <v>13591.93</v>
      </c>
      <c r="L73" s="115">
        <f>12941.34+301.37</f>
        <v>13242.710000000001</v>
      </c>
      <c r="M73" s="113">
        <f>+J73+L73-K73</f>
        <v>1021.8000000000011</v>
      </c>
    </row>
    <row r="74" spans="1:13" s="2" customFormat="1" ht="38.25" x14ac:dyDescent="0.2">
      <c r="A74" s="24"/>
      <c r="B74" s="1"/>
      <c r="C74" s="79" t="str">
        <f>"Particulars ( 01-04-2021 to "&amp;TEXT(A5,"dd-mm-yyyy")&amp;" )"</f>
        <v>Particulars ( 01-04-2021 to 23-08-2023 )</v>
      </c>
      <c r="D74" s="80" t="s">
        <v>73</v>
      </c>
      <c r="E74" s="80" t="s">
        <v>74</v>
      </c>
      <c r="F74" s="81" t="s">
        <v>75</v>
      </c>
      <c r="G74" s="80" t="s">
        <v>76</v>
      </c>
      <c r="J74" s="118">
        <f>SUM(J71:J73)</f>
        <v>1554.12</v>
      </c>
      <c r="K74" s="118">
        <f>SUM(K71:K73)</f>
        <v>17756.400000000001</v>
      </c>
      <c r="L74" s="118">
        <f>SUM(L71:L73)</f>
        <v>17899.650000000001</v>
      </c>
      <c r="M74" s="118">
        <f>SUM(M71:M73)</f>
        <v>1697.3700000000008</v>
      </c>
    </row>
    <row r="75" spans="1:13" s="2" customFormat="1" x14ac:dyDescent="0.2">
      <c r="A75" s="24"/>
      <c r="B75" s="1"/>
      <c r="C75" s="50" t="s">
        <v>444</v>
      </c>
      <c r="D75" s="55">
        <f>+L71+L72+J72</f>
        <v>4840.04</v>
      </c>
      <c r="E75" s="55">
        <f>+K71+K72</f>
        <v>4164.47</v>
      </c>
      <c r="F75" s="55">
        <f>+D75-E75</f>
        <v>675.56999999999971</v>
      </c>
      <c r="G75" s="55">
        <f>1500-F75</f>
        <v>824.43000000000029</v>
      </c>
      <c r="H75" s="2" t="s">
        <v>396</v>
      </c>
    </row>
    <row r="76" spans="1:13" s="2" customFormat="1" x14ac:dyDescent="0.2">
      <c r="A76" s="24"/>
      <c r="B76" s="1"/>
      <c r="C76" s="50" t="s">
        <v>71</v>
      </c>
      <c r="D76" s="55">
        <f>+J73+L73</f>
        <v>14613.730000000001</v>
      </c>
      <c r="E76" s="55">
        <f>+K73</f>
        <v>13591.93</v>
      </c>
      <c r="F76" s="55">
        <f>+D76-E76</f>
        <v>1021.8000000000011</v>
      </c>
      <c r="G76" s="55">
        <f>1500+700-F76</f>
        <v>1178.1999999999989</v>
      </c>
      <c r="H76" s="2" t="s">
        <v>396</v>
      </c>
    </row>
    <row r="77" spans="1:13" s="2" customFormat="1" x14ac:dyDescent="0.2">
      <c r="A77" s="24"/>
      <c r="B77" s="1"/>
      <c r="C77" s="14"/>
      <c r="D77" s="56"/>
      <c r="E77" s="13"/>
      <c r="G77" s="1"/>
    </row>
    <row r="78" spans="1:13" s="2" customFormat="1" x14ac:dyDescent="0.2">
      <c r="A78" s="215" t="s">
        <v>80</v>
      </c>
      <c r="B78" s="216"/>
      <c r="C78" s="216"/>
      <c r="D78" s="217"/>
      <c r="E78" s="69"/>
      <c r="F78" s="70"/>
      <c r="G78" s="1"/>
      <c r="H78" s="53"/>
    </row>
    <row r="79" spans="1:13" s="2" customFormat="1" x14ac:dyDescent="0.2">
      <c r="A79" s="71" t="s">
        <v>81</v>
      </c>
      <c r="B79" s="71"/>
      <c r="C79" s="72" t="s">
        <v>82</v>
      </c>
      <c r="D79" s="73" t="s">
        <v>83</v>
      </c>
      <c r="E79" s="69"/>
      <c r="F79" s="70"/>
      <c r="H79" s="53"/>
    </row>
    <row r="80" spans="1:13" s="2" customFormat="1" x14ac:dyDescent="0.2">
      <c r="A80" s="87">
        <v>45139</v>
      </c>
      <c r="B80" s="120" t="s">
        <v>1052</v>
      </c>
      <c r="C80" s="75" t="s">
        <v>85</v>
      </c>
      <c r="D80" s="88">
        <v>552343</v>
      </c>
      <c r="G80" s="1"/>
      <c r="L80" s="1"/>
      <c r="M80" s="1"/>
    </row>
    <row r="81" spans="1:13" s="2" customFormat="1" x14ac:dyDescent="0.2">
      <c r="A81" s="87">
        <v>45140</v>
      </c>
      <c r="B81" s="120" t="s">
        <v>1052</v>
      </c>
      <c r="C81" s="75" t="s">
        <v>270</v>
      </c>
      <c r="D81" s="88">
        <v>244404</v>
      </c>
      <c r="G81" s="1"/>
      <c r="L81" s="1"/>
      <c r="M81" s="1"/>
    </row>
    <row r="82" spans="1:13" s="2" customFormat="1" x14ac:dyDescent="0.2">
      <c r="A82" s="87">
        <v>45140</v>
      </c>
      <c r="B82" s="120" t="s">
        <v>1052</v>
      </c>
      <c r="C82" s="75" t="s">
        <v>270</v>
      </c>
      <c r="D82" s="88">
        <v>550256</v>
      </c>
      <c r="G82" s="1"/>
      <c r="L82" s="1"/>
      <c r="M82" s="1"/>
    </row>
    <row r="83" spans="1:13" s="2" customFormat="1" x14ac:dyDescent="0.2">
      <c r="A83" s="87">
        <v>45140</v>
      </c>
      <c r="B83" s="120" t="s">
        <v>1052</v>
      </c>
      <c r="C83" s="75" t="s">
        <v>270</v>
      </c>
      <c r="D83" s="88">
        <v>191589</v>
      </c>
      <c r="G83" s="1"/>
      <c r="L83" s="1"/>
      <c r="M83" s="1"/>
    </row>
    <row r="84" spans="1:13" s="2" customFormat="1" x14ac:dyDescent="0.2">
      <c r="A84" s="87">
        <v>45140</v>
      </c>
      <c r="B84" s="120" t="s">
        <v>1052</v>
      </c>
      <c r="C84" s="75" t="s">
        <v>270</v>
      </c>
      <c r="D84" s="88">
        <v>74415.91</v>
      </c>
      <c r="G84" s="1"/>
      <c r="L84" s="1"/>
      <c r="M84" s="1"/>
    </row>
    <row r="85" spans="1:13" s="2" customFormat="1" x14ac:dyDescent="0.2">
      <c r="A85" s="87">
        <v>45140</v>
      </c>
      <c r="B85" s="120" t="s">
        <v>1052</v>
      </c>
      <c r="C85" s="75" t="s">
        <v>271</v>
      </c>
      <c r="D85" s="88">
        <v>454781</v>
      </c>
      <c r="G85" s="1"/>
      <c r="L85" s="1"/>
      <c r="M85" s="1"/>
    </row>
    <row r="86" spans="1:13" s="2" customFormat="1" x14ac:dyDescent="0.2">
      <c r="A86" s="87">
        <v>45141</v>
      </c>
      <c r="B86" s="120" t="s">
        <v>1052</v>
      </c>
      <c r="C86" s="75" t="s">
        <v>909</v>
      </c>
      <c r="D86" s="88">
        <v>910969</v>
      </c>
      <c r="G86" s="1"/>
      <c r="L86" s="1"/>
      <c r="M86" s="1"/>
    </row>
    <row r="87" spans="1:13" s="2" customFormat="1" x14ac:dyDescent="0.2">
      <c r="A87" s="87">
        <v>45141</v>
      </c>
      <c r="B87" s="120" t="s">
        <v>1052</v>
      </c>
      <c r="C87" s="75" t="s">
        <v>909</v>
      </c>
      <c r="D87" s="88">
        <v>1424635</v>
      </c>
      <c r="G87" s="1"/>
      <c r="L87" s="1"/>
      <c r="M87" s="1"/>
    </row>
    <row r="88" spans="1:13" s="2" customFormat="1" x14ac:dyDescent="0.2">
      <c r="A88" s="87">
        <v>45143</v>
      </c>
      <c r="B88" s="120" t="s">
        <v>1052</v>
      </c>
      <c r="C88" s="75" t="s">
        <v>85</v>
      </c>
      <c r="D88" s="88">
        <v>644288</v>
      </c>
      <c r="G88" s="1"/>
      <c r="L88" s="1"/>
      <c r="M88" s="1"/>
    </row>
    <row r="89" spans="1:13" s="2" customFormat="1" x14ac:dyDescent="0.2">
      <c r="A89" s="87">
        <v>45146</v>
      </c>
      <c r="B89" s="120" t="s">
        <v>1052</v>
      </c>
      <c r="C89" s="75" t="s">
        <v>85</v>
      </c>
      <c r="D89" s="88">
        <v>136333</v>
      </c>
      <c r="G89" s="1"/>
      <c r="L89" s="1"/>
      <c r="M89" s="1"/>
    </row>
    <row r="90" spans="1:13" s="2" customFormat="1" x14ac:dyDescent="0.2">
      <c r="A90" s="87">
        <v>45146</v>
      </c>
      <c r="B90" s="120" t="s">
        <v>1052</v>
      </c>
      <c r="C90" s="75" t="s">
        <v>1343</v>
      </c>
      <c r="D90" s="88">
        <v>2000000</v>
      </c>
      <c r="G90" s="1"/>
      <c r="L90" s="1"/>
      <c r="M90" s="1"/>
    </row>
    <row r="91" spans="1:13" s="2" customFormat="1" x14ac:dyDescent="0.2">
      <c r="A91" s="87">
        <v>45152</v>
      </c>
      <c r="B91" s="120" t="s">
        <v>1052</v>
      </c>
      <c r="C91" s="75" t="s">
        <v>270</v>
      </c>
      <c r="D91" s="88">
        <v>26225</v>
      </c>
      <c r="G91" s="1"/>
      <c r="L91" s="1"/>
      <c r="M91" s="1"/>
    </row>
    <row r="92" spans="1:13" s="2" customFormat="1" x14ac:dyDescent="0.2">
      <c r="A92" s="87">
        <v>45152</v>
      </c>
      <c r="B92" s="120" t="s">
        <v>1052</v>
      </c>
      <c r="C92" s="75" t="s">
        <v>270</v>
      </c>
      <c r="D92" s="88">
        <v>47499</v>
      </c>
      <c r="G92" s="1"/>
      <c r="L92" s="1"/>
      <c r="M92" s="1"/>
    </row>
    <row r="93" spans="1:13" s="2" customFormat="1" x14ac:dyDescent="0.2">
      <c r="A93" s="87">
        <v>45154</v>
      </c>
      <c r="B93" s="120" t="s">
        <v>1052</v>
      </c>
      <c r="C93" s="75" t="s">
        <v>271</v>
      </c>
      <c r="D93" s="88">
        <v>2701267</v>
      </c>
      <c r="G93" s="1"/>
      <c r="L93" s="1"/>
      <c r="M93" s="1"/>
    </row>
    <row r="94" spans="1:13" s="2" customFormat="1" x14ac:dyDescent="0.2">
      <c r="A94" s="87">
        <v>45157</v>
      </c>
      <c r="B94" s="120" t="s">
        <v>1052</v>
      </c>
      <c r="C94" s="75" t="s">
        <v>888</v>
      </c>
      <c r="D94" s="88">
        <v>1087820</v>
      </c>
      <c r="G94" s="1"/>
      <c r="L94" s="1"/>
      <c r="M94" s="1"/>
    </row>
    <row r="95" spans="1:13" s="2" customFormat="1" x14ac:dyDescent="0.2">
      <c r="A95" s="87">
        <v>45159</v>
      </c>
      <c r="B95" s="120" t="s">
        <v>1052</v>
      </c>
      <c r="C95" s="75" t="s">
        <v>270</v>
      </c>
      <c r="D95" s="88">
        <v>26199</v>
      </c>
      <c r="G95" s="1"/>
      <c r="L95" s="1"/>
      <c r="M95" s="1"/>
    </row>
    <row r="96" spans="1:13" s="2" customFormat="1" x14ac:dyDescent="0.2">
      <c r="A96" s="87">
        <v>45159</v>
      </c>
      <c r="B96" s="120" t="s">
        <v>1052</v>
      </c>
      <c r="C96" s="75" t="s">
        <v>85</v>
      </c>
      <c r="D96" s="88">
        <v>79111</v>
      </c>
      <c r="G96" s="1"/>
      <c r="L96" s="1"/>
      <c r="M96" s="1"/>
    </row>
    <row r="97" spans="1:13" s="2" customFormat="1" x14ac:dyDescent="0.2">
      <c r="A97" s="87">
        <v>45159</v>
      </c>
      <c r="B97" s="120" t="s">
        <v>1052</v>
      </c>
      <c r="C97" s="75" t="s">
        <v>909</v>
      </c>
      <c r="D97" s="88">
        <v>41960</v>
      </c>
      <c r="G97" s="1"/>
      <c r="L97" s="1"/>
      <c r="M97" s="1"/>
    </row>
    <row r="98" spans="1:13" s="2" customFormat="1" x14ac:dyDescent="0.2">
      <c r="A98" s="87">
        <v>45159</v>
      </c>
      <c r="B98" s="120" t="s">
        <v>1052</v>
      </c>
      <c r="C98" s="75" t="s">
        <v>909</v>
      </c>
      <c r="D98" s="88">
        <v>6142426</v>
      </c>
      <c r="G98" s="1"/>
      <c r="L98" s="1"/>
      <c r="M98" s="1"/>
    </row>
    <row r="99" spans="1:13" s="2" customFormat="1" x14ac:dyDescent="0.2">
      <c r="A99" s="87">
        <v>45160</v>
      </c>
      <c r="B99" s="120" t="s">
        <v>1052</v>
      </c>
      <c r="C99" s="75" t="s">
        <v>271</v>
      </c>
      <c r="D99" s="88">
        <v>176546</v>
      </c>
      <c r="G99" s="1"/>
      <c r="L99" s="1"/>
      <c r="M99" s="1"/>
    </row>
    <row r="100" spans="1:13" s="2" customFormat="1" x14ac:dyDescent="0.2">
      <c r="A100" s="87"/>
      <c r="B100" s="74"/>
      <c r="C100" s="75"/>
      <c r="D100" s="51">
        <f>SUM(D80:D99)</f>
        <v>17513066.91</v>
      </c>
      <c r="F100" s="2" t="s">
        <v>396</v>
      </c>
      <c r="G100" s="1"/>
      <c r="L100" s="1"/>
      <c r="M100" s="1"/>
    </row>
    <row r="101" spans="1:13" s="2" customFormat="1" x14ac:dyDescent="0.2">
      <c r="A101" s="24"/>
      <c r="B101" s="1"/>
      <c r="C101" s="14"/>
      <c r="D101" s="56"/>
      <c r="E101" s="13"/>
      <c r="G101" s="1"/>
      <c r="L101" s="1"/>
      <c r="M101" s="1"/>
    </row>
    <row r="102" spans="1:13" s="2" customFormat="1" x14ac:dyDescent="0.2">
      <c r="A102" s="24"/>
      <c r="B102" s="1"/>
      <c r="C102" s="218" t="s">
        <v>77</v>
      </c>
      <c r="D102" s="219"/>
      <c r="E102" s="219"/>
      <c r="F102" s="220"/>
      <c r="G102" s="1"/>
      <c r="L102" s="1"/>
      <c r="M102" s="1"/>
    </row>
    <row r="103" spans="1:13" s="2" customFormat="1" x14ac:dyDescent="0.2">
      <c r="A103" s="24"/>
      <c r="B103" s="1"/>
      <c r="C103" s="50"/>
      <c r="D103" s="57" t="s">
        <v>78</v>
      </c>
      <c r="E103" s="58" t="s">
        <v>79</v>
      </c>
      <c r="F103" s="57" t="s">
        <v>72</v>
      </c>
      <c r="G103" s="1"/>
      <c r="I103" s="1"/>
      <c r="J103" s="1"/>
      <c r="K103" s="1"/>
      <c r="L103" s="1"/>
      <c r="M103" s="1"/>
    </row>
    <row r="104" spans="1:13" s="2" customFormat="1" x14ac:dyDescent="0.2">
      <c r="A104" s="24"/>
      <c r="B104" s="1"/>
      <c r="C104" s="59" t="str">
        <f>"01-08-2023 to "&amp;TEXT(A5-2,"dd-mm-yyyy")</f>
        <v>01-08-2023 to 21-08-2023</v>
      </c>
      <c r="D104" s="60">
        <v>2200.6</v>
      </c>
      <c r="E104" s="60">
        <v>191.58</v>
      </c>
      <c r="F104" s="61">
        <f>SUM(D104:E104)</f>
        <v>2392.1799999999998</v>
      </c>
      <c r="G104" s="1"/>
    </row>
    <row r="105" spans="1:13" s="2" customFormat="1" x14ac:dyDescent="0.2">
      <c r="A105" s="24"/>
      <c r="B105" s="1"/>
      <c r="C105" s="62" t="str">
        <f>TEXT(A5-1,"dd-mm-yyyy")</f>
        <v>22-08-2023</v>
      </c>
      <c r="D105" s="60">
        <v>273.26</v>
      </c>
      <c r="E105" s="60">
        <v>12.09</v>
      </c>
      <c r="F105" s="61">
        <f>SUM(D105:E105)</f>
        <v>285.34999999999997</v>
      </c>
      <c r="G105" s="54"/>
      <c r="I105" s="1"/>
      <c r="J105" s="1"/>
      <c r="K105" s="1"/>
      <c r="L105" s="1"/>
      <c r="M105" s="1"/>
    </row>
    <row r="106" spans="1:13" s="2" customFormat="1" ht="13.5" thickBot="1" x14ac:dyDescent="0.25">
      <c r="A106" s="24"/>
      <c r="B106" s="1"/>
      <c r="C106" s="63" t="str">
        <f>"01-08-2023 to "&amp;TEXT(A5-1,"dd-mm-yyyy")</f>
        <v>01-08-2023 to 22-08-2023</v>
      </c>
      <c r="D106" s="64">
        <f>SUM(D104:D105)</f>
        <v>2473.8599999999997</v>
      </c>
      <c r="E106" s="64">
        <f>SUM(E104:E105)</f>
        <v>203.67000000000002</v>
      </c>
      <c r="F106" s="64">
        <f>SUM(F104:F105)</f>
        <v>2677.5299999999997</v>
      </c>
      <c r="G106" s="54"/>
      <c r="I106" s="1"/>
      <c r="J106" s="1"/>
      <c r="K106" s="1"/>
      <c r="L106" s="1"/>
      <c r="M106" s="1"/>
    </row>
    <row r="107" spans="1:13" s="2" customFormat="1" ht="13.5" thickTop="1" x14ac:dyDescent="0.2">
      <c r="A107" s="24"/>
      <c r="B107" s="1"/>
      <c r="C107" s="62"/>
      <c r="D107" s="65"/>
      <c r="E107" s="66"/>
      <c r="F107" s="67"/>
      <c r="G107" s="54"/>
      <c r="I107" s="1"/>
      <c r="J107" s="1"/>
      <c r="K107" s="1"/>
      <c r="L107" s="1"/>
      <c r="M107" s="1"/>
    </row>
    <row r="108" spans="1:13" s="2" customFormat="1" x14ac:dyDescent="0.2">
      <c r="A108" s="24"/>
      <c r="B108" s="1"/>
      <c r="C108" s="62" t="str">
        <f>"01-04-2023 to " &amp;C105</f>
        <v>01-04-2023 to 22-08-2023</v>
      </c>
      <c r="D108" s="68">
        <f>+D106+20859.39</f>
        <v>23333.25</v>
      </c>
      <c r="E108" s="68">
        <f>+E106+1376.76</f>
        <v>1580.43</v>
      </c>
      <c r="F108" s="68">
        <f>+F106+22236.15</f>
        <v>24913.68</v>
      </c>
      <c r="G108" s="54"/>
      <c r="I108" s="1"/>
      <c r="J108" s="1"/>
      <c r="K108" s="1"/>
      <c r="L108" s="1"/>
      <c r="M108" s="1"/>
    </row>
    <row r="109" spans="1:13" x14ac:dyDescent="0.2">
      <c r="C109" s="52"/>
      <c r="D109" s="85"/>
      <c r="E109" s="53"/>
      <c r="F109" s="53"/>
      <c r="G109" s="54"/>
      <c r="H109" s="2" t="s">
        <v>396</v>
      </c>
    </row>
    <row r="110" spans="1:13" s="2" customFormat="1" x14ac:dyDescent="0.2">
      <c r="A110" s="24"/>
      <c r="B110" s="1"/>
      <c r="C110" s="52"/>
      <c r="D110" s="85"/>
      <c r="E110" s="53"/>
      <c r="F110" s="53"/>
      <c r="G110" s="54"/>
      <c r="H110" s="53"/>
    </row>
    <row r="111" spans="1:13" x14ac:dyDescent="0.2">
      <c r="C111" s="52"/>
      <c r="D111" s="85"/>
      <c r="E111" s="53"/>
      <c r="F111" s="53"/>
      <c r="G111" s="54"/>
      <c r="H111" s="53" t="s">
        <v>396</v>
      </c>
    </row>
    <row r="112" spans="1:13" x14ac:dyDescent="0.2">
      <c r="C112" s="52"/>
      <c r="D112" s="85"/>
      <c r="E112" s="53"/>
      <c r="F112" s="53"/>
      <c r="G112" s="54"/>
      <c r="H112" s="53" t="s">
        <v>396</v>
      </c>
      <c r="J112" s="42"/>
    </row>
    <row r="113" spans="7:9" x14ac:dyDescent="0.2">
      <c r="G113" s="54"/>
      <c r="H113" s="53"/>
      <c r="I113" s="101"/>
    </row>
    <row r="114" spans="7:9" x14ac:dyDescent="0.2">
      <c r="G114" s="54"/>
      <c r="H114" s="53"/>
    </row>
    <row r="115" spans="7:9" x14ac:dyDescent="0.2">
      <c r="G115" s="54"/>
      <c r="H115" s="53"/>
    </row>
    <row r="116" spans="7:9" x14ac:dyDescent="0.2">
      <c r="H116" s="53"/>
    </row>
  </sheetData>
  <mergeCells count="6">
    <mergeCell ref="C102:F102"/>
    <mergeCell ref="A1:G1"/>
    <mergeCell ref="A3:F3"/>
    <mergeCell ref="A9:F9"/>
    <mergeCell ref="A32:F32"/>
    <mergeCell ref="A78:D78"/>
  </mergeCells>
  <conditionalFormatting sqref="G75:G76">
    <cfRule type="cellIs" dxfId="349" priority="1" operator="lessThan">
      <formula>0</formula>
    </cfRule>
  </conditionalFormatting>
  <conditionalFormatting sqref="C34">
    <cfRule type="duplicateValues" dxfId="348" priority="2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400-000000000000}">
  <sheetPr codeName="Sheet412">
    <pageSetUpPr fitToPage="1"/>
  </sheetPr>
  <dimension ref="A1:N110"/>
  <sheetViews>
    <sheetView zoomScaleNormal="100" workbookViewId="0">
      <selection activeCell="E12" sqref="E12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1412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45162</v>
      </c>
      <c r="B5" s="9" t="s">
        <v>6</v>
      </c>
      <c r="C5" s="10" t="s">
        <v>7</v>
      </c>
      <c r="D5" s="11"/>
      <c r="E5" s="12">
        <v>1546581.74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1546581.74</v>
      </c>
      <c r="F6" s="16">
        <f>SUM(F5:F5)</f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+E6-F6</f>
        <v>1546581.74</v>
      </c>
      <c r="F7" s="22"/>
      <c r="G7" s="23"/>
      <c r="H7" s="112"/>
      <c r="I7" s="112"/>
      <c r="J7" s="13"/>
    </row>
    <row r="8" spans="1:10" ht="12.75" customHeight="1" x14ac:dyDescent="0.4">
      <c r="H8" s="112"/>
      <c r="I8" s="112"/>
    </row>
    <row r="9" spans="1:10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12"/>
    </row>
    <row r="10" spans="1:10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12"/>
    </row>
    <row r="11" spans="1:10" s="2" customFormat="1" ht="14.25" customHeight="1" x14ac:dyDescent="0.2">
      <c r="A11" s="89">
        <v>45162</v>
      </c>
      <c r="B11" s="9" t="s">
        <v>6</v>
      </c>
      <c r="C11" s="10" t="s">
        <v>7</v>
      </c>
      <c r="D11" s="11"/>
      <c r="F11" s="12">
        <v>99132016.610000014</v>
      </c>
      <c r="G11" s="1"/>
      <c r="H11" s="130" t="s">
        <v>396</v>
      </c>
      <c r="I11" s="130"/>
    </row>
    <row r="12" spans="1:10" s="70" customFormat="1" ht="12.75" customHeight="1" x14ac:dyDescent="0.2">
      <c r="A12" s="89">
        <v>45162</v>
      </c>
      <c r="B12" s="9" t="s">
        <v>6</v>
      </c>
      <c r="C12" s="76" t="s">
        <v>1025</v>
      </c>
      <c r="D12" s="11" t="s">
        <v>13</v>
      </c>
      <c r="E12" s="31">
        <v>10000000</v>
      </c>
      <c r="F12" s="31"/>
      <c r="G12" s="30"/>
      <c r="I12" s="69"/>
      <c r="J12" s="69"/>
    </row>
    <row r="13" spans="1:10" s="70" customFormat="1" ht="12.75" customHeight="1" x14ac:dyDescent="0.2">
      <c r="A13" s="89">
        <v>45162</v>
      </c>
      <c r="B13" s="9" t="s">
        <v>11</v>
      </c>
      <c r="C13" s="76" t="s">
        <v>95</v>
      </c>
      <c r="D13" s="11" t="s">
        <v>29</v>
      </c>
      <c r="E13" s="31"/>
      <c r="F13" s="31">
        <v>9900</v>
      </c>
      <c r="G13" s="30"/>
      <c r="I13" s="69"/>
      <c r="J13" s="69"/>
    </row>
    <row r="14" spans="1:10" s="70" customFormat="1" ht="12.75" customHeight="1" x14ac:dyDescent="0.2">
      <c r="A14" s="89">
        <v>45162</v>
      </c>
      <c r="B14" s="9" t="s">
        <v>11</v>
      </c>
      <c r="C14" s="76" t="s">
        <v>1413</v>
      </c>
      <c r="D14" s="11" t="s">
        <v>29</v>
      </c>
      <c r="E14" s="31"/>
      <c r="F14" s="31">
        <v>35800</v>
      </c>
      <c r="G14" s="30"/>
      <c r="I14" s="69"/>
      <c r="J14" s="69"/>
    </row>
    <row r="15" spans="1:10" s="70" customFormat="1" ht="12.75" customHeight="1" x14ac:dyDescent="0.2">
      <c r="A15" s="89">
        <v>45162</v>
      </c>
      <c r="B15" s="9" t="s">
        <v>11</v>
      </c>
      <c r="C15" s="76" t="s">
        <v>229</v>
      </c>
      <c r="D15" s="11" t="s">
        <v>29</v>
      </c>
      <c r="E15" s="31"/>
      <c r="F15" s="31">
        <v>17700</v>
      </c>
      <c r="G15" s="30"/>
      <c r="I15" s="69"/>
      <c r="J15" s="69"/>
    </row>
    <row r="16" spans="1:10" s="70" customFormat="1" ht="12.75" customHeight="1" x14ac:dyDescent="0.2">
      <c r="A16" s="89">
        <v>45162</v>
      </c>
      <c r="B16" s="9" t="s">
        <v>11</v>
      </c>
      <c r="C16" s="76" t="s">
        <v>52</v>
      </c>
      <c r="D16" s="11" t="s">
        <v>29</v>
      </c>
      <c r="E16" s="31"/>
      <c r="F16" s="31">
        <v>98000</v>
      </c>
      <c r="G16" s="30"/>
      <c r="I16" s="69"/>
      <c r="J16" s="69"/>
    </row>
    <row r="17" spans="1:10" s="70" customFormat="1" ht="12.75" customHeight="1" x14ac:dyDescent="0.2">
      <c r="A17" s="89">
        <v>45162</v>
      </c>
      <c r="B17" s="9" t="s">
        <v>11</v>
      </c>
      <c r="C17" s="76" t="s">
        <v>584</v>
      </c>
      <c r="D17" s="11" t="s">
        <v>29</v>
      </c>
      <c r="E17" s="31"/>
      <c r="F17" s="31">
        <v>27843</v>
      </c>
      <c r="G17" s="30"/>
      <c r="I17" s="69"/>
      <c r="J17" s="69"/>
    </row>
    <row r="18" spans="1:10" s="70" customFormat="1" ht="12.75" customHeight="1" x14ac:dyDescent="0.2">
      <c r="A18" s="89">
        <v>45162</v>
      </c>
      <c r="B18" s="9" t="s">
        <v>11</v>
      </c>
      <c r="C18" s="76" t="s">
        <v>1414</v>
      </c>
      <c r="D18" s="11" t="s">
        <v>29</v>
      </c>
      <c r="E18" s="31"/>
      <c r="F18" s="31">
        <v>83600</v>
      </c>
      <c r="G18" s="30"/>
      <c r="I18" s="69"/>
      <c r="J18" s="69"/>
    </row>
    <row r="19" spans="1:10" s="70" customFormat="1" ht="12.75" customHeight="1" x14ac:dyDescent="0.2">
      <c r="A19" s="89">
        <v>45162</v>
      </c>
      <c r="B19" s="9" t="s">
        <v>11</v>
      </c>
      <c r="C19" s="76" t="s">
        <v>1415</v>
      </c>
      <c r="D19" s="11" t="s">
        <v>29</v>
      </c>
      <c r="E19" s="31"/>
      <c r="F19" s="31">
        <v>13827</v>
      </c>
      <c r="G19" s="30"/>
      <c r="I19" s="69"/>
      <c r="J19" s="69"/>
    </row>
    <row r="20" spans="1:10" s="70" customFormat="1" ht="12.75" customHeight="1" x14ac:dyDescent="0.2">
      <c r="A20" s="89">
        <v>45162</v>
      </c>
      <c r="B20" s="9" t="s">
        <v>11</v>
      </c>
      <c r="C20" s="76" t="s">
        <v>1091</v>
      </c>
      <c r="D20" s="11" t="s">
        <v>29</v>
      </c>
      <c r="E20" s="31"/>
      <c r="F20" s="31">
        <v>1770</v>
      </c>
      <c r="G20" s="30"/>
      <c r="I20" s="69"/>
      <c r="J20" s="69"/>
    </row>
    <row r="21" spans="1:10" s="2" customFormat="1" ht="12.75" customHeight="1" x14ac:dyDescent="0.4">
      <c r="D21" s="11" t="s">
        <v>8</v>
      </c>
      <c r="E21" s="16">
        <f>SUM(E12:E20)</f>
        <v>10000000</v>
      </c>
      <c r="F21" s="16">
        <f>SUM(F11:F20)</f>
        <v>99420456.610000014</v>
      </c>
      <c r="G21" s="1"/>
      <c r="H21" s="112"/>
      <c r="I21" s="112"/>
    </row>
    <row r="22" spans="1:10" s="2" customFormat="1" ht="12.75" customHeight="1" x14ac:dyDescent="0.4">
      <c r="A22" s="17"/>
      <c r="B22" s="18"/>
      <c r="C22" s="96" t="s">
        <v>9</v>
      </c>
      <c r="D22" s="20"/>
      <c r="E22" s="21">
        <f>+F21-E21</f>
        <v>89420456.610000014</v>
      </c>
      <c r="G22" s="23"/>
      <c r="H22" s="112"/>
      <c r="I22" s="112"/>
      <c r="J22" s="13"/>
    </row>
    <row r="23" spans="1:10" s="2" customFormat="1" ht="12.75" customHeight="1" x14ac:dyDescent="0.4">
      <c r="A23" s="24"/>
      <c r="B23" s="1"/>
      <c r="C23" s="14"/>
      <c r="D23" s="25"/>
      <c r="G23" s="23"/>
      <c r="H23" s="112"/>
      <c r="I23" s="112"/>
      <c r="J23" s="13"/>
    </row>
    <row r="24" spans="1:10" s="2" customFormat="1" ht="21.75" customHeight="1" x14ac:dyDescent="0.4">
      <c r="A24" s="214" t="s">
        <v>10</v>
      </c>
      <c r="B24" s="214"/>
      <c r="C24" s="214"/>
      <c r="D24" s="214"/>
      <c r="E24" s="214"/>
      <c r="F24" s="214"/>
      <c r="G24" s="13"/>
      <c r="H24" s="112"/>
      <c r="I24" s="112"/>
      <c r="J24" s="13"/>
    </row>
    <row r="25" spans="1:10" s="2" customFormat="1" ht="12.75" customHeight="1" x14ac:dyDescent="0.4">
      <c r="A25" s="26" t="s">
        <v>1</v>
      </c>
      <c r="B25" s="27" t="s">
        <v>2</v>
      </c>
      <c r="C25" s="5"/>
      <c r="D25" s="6" t="s">
        <v>3</v>
      </c>
      <c r="E25" s="7" t="s">
        <v>4</v>
      </c>
      <c r="F25" s="7" t="s">
        <v>5</v>
      </c>
      <c r="G25" s="23"/>
      <c r="H25" s="112"/>
      <c r="I25" s="112"/>
      <c r="J25" s="13"/>
    </row>
    <row r="26" spans="1:10" s="2" customFormat="1" ht="12.75" customHeight="1" x14ac:dyDescent="0.2">
      <c r="A26" s="89">
        <v>45162</v>
      </c>
      <c r="B26" s="128" t="s">
        <v>11</v>
      </c>
      <c r="C26" s="29" t="s">
        <v>7</v>
      </c>
      <c r="D26" s="25"/>
      <c r="E26" s="31"/>
      <c r="F26" s="2">
        <v>350113078.66000003</v>
      </c>
      <c r="G26" s="30"/>
      <c r="I26" s="13"/>
      <c r="J26" s="13"/>
    </row>
    <row r="27" spans="1:10" s="70" customFormat="1" ht="12.75" customHeight="1" x14ac:dyDescent="0.2">
      <c r="A27" s="89">
        <v>45162</v>
      </c>
      <c r="B27" s="128" t="s">
        <v>6</v>
      </c>
      <c r="C27" s="10" t="s">
        <v>19</v>
      </c>
      <c r="D27" s="11" t="s">
        <v>13</v>
      </c>
      <c r="E27" s="86">
        <v>336452</v>
      </c>
      <c r="G27" s="30"/>
      <c r="I27" s="69"/>
      <c r="J27" s="69"/>
    </row>
    <row r="28" spans="1:10" s="70" customFormat="1" ht="12.75" customHeight="1" x14ac:dyDescent="0.2">
      <c r="A28" s="89">
        <v>45162</v>
      </c>
      <c r="B28" s="128" t="s">
        <v>6</v>
      </c>
      <c r="C28" s="10" t="s">
        <v>24</v>
      </c>
      <c r="D28" s="11" t="s">
        <v>13</v>
      </c>
      <c r="E28" s="86">
        <v>10490</v>
      </c>
      <c r="G28" s="30"/>
      <c r="I28" s="69"/>
      <c r="J28" s="69"/>
    </row>
    <row r="29" spans="1:10" s="70" customFormat="1" ht="12.75" customHeight="1" x14ac:dyDescent="0.2">
      <c r="A29" s="89">
        <v>45162</v>
      </c>
      <c r="B29" s="128" t="s">
        <v>6</v>
      </c>
      <c r="C29" s="10" t="s">
        <v>120</v>
      </c>
      <c r="D29" s="11" t="s">
        <v>13</v>
      </c>
      <c r="E29" s="86">
        <v>110975</v>
      </c>
      <c r="G29" s="30"/>
      <c r="I29" s="69"/>
      <c r="J29" s="69"/>
    </row>
    <row r="30" spans="1:10" s="70" customFormat="1" ht="12.75" customHeight="1" x14ac:dyDescent="0.2">
      <c r="A30" s="89">
        <v>45162</v>
      </c>
      <c r="B30" s="128" t="s">
        <v>6</v>
      </c>
      <c r="C30" s="10" t="s">
        <v>1416</v>
      </c>
      <c r="D30" s="11" t="s">
        <v>13</v>
      </c>
      <c r="E30" s="86">
        <v>1326</v>
      </c>
      <c r="G30" s="30"/>
      <c r="I30" s="69"/>
      <c r="J30" s="69"/>
    </row>
    <row r="31" spans="1:10" s="70" customFormat="1" ht="12.75" customHeight="1" x14ac:dyDescent="0.2">
      <c r="A31" s="89">
        <v>45162</v>
      </c>
      <c r="B31" s="128" t="s">
        <v>6</v>
      </c>
      <c r="C31" s="10" t="s">
        <v>556</v>
      </c>
      <c r="D31" s="11" t="s">
        <v>13</v>
      </c>
      <c r="E31" s="86">
        <v>21632</v>
      </c>
      <c r="G31" s="30"/>
      <c r="I31" s="69"/>
      <c r="J31" s="69"/>
    </row>
    <row r="32" spans="1:10" s="70" customFormat="1" ht="12.75" customHeight="1" x14ac:dyDescent="0.2">
      <c r="A32" s="89">
        <v>45162</v>
      </c>
      <c r="B32" s="128" t="s">
        <v>6</v>
      </c>
      <c r="C32" s="10" t="s">
        <v>1241</v>
      </c>
      <c r="D32" s="11" t="s">
        <v>13</v>
      </c>
      <c r="E32" s="86">
        <v>693894</v>
      </c>
      <c r="G32" s="30"/>
      <c r="I32" s="69"/>
      <c r="J32" s="69"/>
    </row>
    <row r="33" spans="1:13" s="70" customFormat="1" ht="12.75" customHeight="1" x14ac:dyDescent="0.2">
      <c r="A33" s="89">
        <v>45162</v>
      </c>
      <c r="B33" s="128" t="s">
        <v>6</v>
      </c>
      <c r="C33" s="10" t="s">
        <v>822</v>
      </c>
      <c r="D33" s="11" t="s">
        <v>13</v>
      </c>
      <c r="E33" s="86">
        <v>1307749</v>
      </c>
      <c r="G33" s="30"/>
      <c r="I33" s="69"/>
      <c r="J33" s="69"/>
    </row>
    <row r="34" spans="1:13" s="70" customFormat="1" ht="12.75" customHeight="1" x14ac:dyDescent="0.2">
      <c r="A34" s="89">
        <v>45162</v>
      </c>
      <c r="B34" s="128" t="s">
        <v>6</v>
      </c>
      <c r="C34" s="10" t="s">
        <v>320</v>
      </c>
      <c r="D34" s="11" t="s">
        <v>13</v>
      </c>
      <c r="E34" s="86">
        <v>1597880</v>
      </c>
      <c r="G34" s="30"/>
      <c r="I34" s="69"/>
      <c r="J34" s="69"/>
    </row>
    <row r="35" spans="1:13" s="70" customFormat="1" ht="12.75" customHeight="1" x14ac:dyDescent="0.2">
      <c r="A35" s="89">
        <v>45162</v>
      </c>
      <c r="B35" s="128" t="s">
        <v>6</v>
      </c>
      <c r="C35" s="10" t="s">
        <v>450</v>
      </c>
      <c r="D35" s="11" t="s">
        <v>13</v>
      </c>
      <c r="E35" s="86">
        <v>256711</v>
      </c>
      <c r="G35" s="30"/>
      <c r="I35" s="69"/>
      <c r="J35" s="69"/>
    </row>
    <row r="36" spans="1:13" s="70" customFormat="1" ht="12.75" customHeight="1" x14ac:dyDescent="0.2">
      <c r="A36" s="89">
        <v>45162</v>
      </c>
      <c r="B36" s="128" t="s">
        <v>6</v>
      </c>
      <c r="C36" s="10" t="s">
        <v>276</v>
      </c>
      <c r="D36" s="11" t="s">
        <v>13</v>
      </c>
      <c r="E36" s="86">
        <v>1257159</v>
      </c>
      <c r="G36" s="30"/>
      <c r="I36" s="69"/>
      <c r="J36" s="69"/>
    </row>
    <row r="37" spans="1:13" s="70" customFormat="1" ht="12.75" customHeight="1" x14ac:dyDescent="0.2">
      <c r="A37" s="89">
        <v>45162</v>
      </c>
      <c r="B37" s="128" t="s">
        <v>6</v>
      </c>
      <c r="C37" s="10" t="s">
        <v>149</v>
      </c>
      <c r="D37" s="11" t="s">
        <v>13</v>
      </c>
      <c r="E37" s="86">
        <v>52841</v>
      </c>
      <c r="G37" s="30"/>
      <c r="I37" s="69"/>
      <c r="J37" s="69"/>
    </row>
    <row r="38" spans="1:13" s="70" customFormat="1" ht="12.75" customHeight="1" x14ac:dyDescent="0.2">
      <c r="A38" s="89">
        <v>45162</v>
      </c>
      <c r="B38" s="128" t="s">
        <v>6</v>
      </c>
      <c r="C38" s="10" t="s">
        <v>15</v>
      </c>
      <c r="D38" s="11" t="s">
        <v>13</v>
      </c>
      <c r="E38" s="86">
        <v>1654.26</v>
      </c>
      <c r="G38" s="30"/>
      <c r="I38" s="69"/>
      <c r="J38" s="69"/>
    </row>
    <row r="39" spans="1:13" s="70" customFormat="1" ht="12.75" customHeight="1" x14ac:dyDescent="0.2">
      <c r="A39" s="89">
        <v>45162</v>
      </c>
      <c r="B39" s="128" t="s">
        <v>6</v>
      </c>
      <c r="C39" s="10" t="s">
        <v>286</v>
      </c>
      <c r="D39" s="11" t="s">
        <v>13</v>
      </c>
      <c r="E39" s="86">
        <v>1345168</v>
      </c>
      <c r="G39" s="30"/>
      <c r="I39" s="69"/>
      <c r="J39" s="69"/>
    </row>
    <row r="40" spans="1:13" s="70" customFormat="1" ht="12.75" customHeight="1" x14ac:dyDescent="0.2">
      <c r="A40" s="89">
        <v>45162</v>
      </c>
      <c r="B40" s="128" t="s">
        <v>6</v>
      </c>
      <c r="C40" s="10" t="s">
        <v>426</v>
      </c>
      <c r="D40" s="11" t="s">
        <v>13</v>
      </c>
      <c r="E40" s="86">
        <v>929827.01</v>
      </c>
      <c r="G40" s="30"/>
      <c r="I40" s="69"/>
      <c r="J40" s="69"/>
    </row>
    <row r="41" spans="1:13" s="70" customFormat="1" ht="12.75" customHeight="1" x14ac:dyDescent="0.2">
      <c r="A41" s="89">
        <v>45162</v>
      </c>
      <c r="B41" s="128" t="s">
        <v>6</v>
      </c>
      <c r="C41" s="10" t="s">
        <v>22</v>
      </c>
      <c r="D41" s="11" t="s">
        <v>13</v>
      </c>
      <c r="E41" s="86">
        <v>258662.26</v>
      </c>
      <c r="G41" s="30"/>
      <c r="I41" s="69"/>
      <c r="J41" s="69"/>
    </row>
    <row r="42" spans="1:13" s="70" customFormat="1" ht="12.75" customHeight="1" x14ac:dyDescent="0.2">
      <c r="A42" s="89">
        <v>45162</v>
      </c>
      <c r="B42" s="128" t="s">
        <v>6</v>
      </c>
      <c r="C42" s="10" t="s">
        <v>564</v>
      </c>
      <c r="D42" s="11" t="s">
        <v>13</v>
      </c>
      <c r="E42" s="86">
        <v>5439863.2199999997</v>
      </c>
      <c r="G42" s="30"/>
      <c r="I42" s="69"/>
      <c r="J42" s="69"/>
    </row>
    <row r="43" spans="1:13" s="70" customFormat="1" ht="12.75" customHeight="1" x14ac:dyDescent="0.2">
      <c r="A43" s="89">
        <v>45162</v>
      </c>
      <c r="B43" s="128" t="s">
        <v>6</v>
      </c>
      <c r="C43" s="10" t="s">
        <v>1212</v>
      </c>
      <c r="D43" s="11" t="s">
        <v>13</v>
      </c>
      <c r="E43" s="86">
        <v>18060</v>
      </c>
      <c r="G43" s="30"/>
      <c r="I43" s="69"/>
      <c r="J43" s="69"/>
    </row>
    <row r="44" spans="1:13" s="70" customFormat="1" ht="12.75" customHeight="1" x14ac:dyDescent="0.2">
      <c r="A44" s="89">
        <v>45162</v>
      </c>
      <c r="B44" s="128" t="s">
        <v>11</v>
      </c>
      <c r="C44" s="10" t="s">
        <v>269</v>
      </c>
      <c r="D44" s="11" t="s">
        <v>29</v>
      </c>
      <c r="E44" s="86"/>
      <c r="F44" s="70">
        <v>8651581</v>
      </c>
      <c r="G44" s="30"/>
      <c r="I44" s="69"/>
      <c r="J44" s="69"/>
    </row>
    <row r="45" spans="1:13" s="70" customFormat="1" ht="12.75" customHeight="1" x14ac:dyDescent="0.2">
      <c r="A45" s="89">
        <v>45162</v>
      </c>
      <c r="B45" s="128" t="s">
        <v>11</v>
      </c>
      <c r="C45" s="10" t="s">
        <v>765</v>
      </c>
      <c r="D45" s="11" t="s">
        <v>29</v>
      </c>
      <c r="E45" s="86"/>
      <c r="F45" s="70">
        <v>245889.05</v>
      </c>
      <c r="G45" s="30"/>
      <c r="I45" s="69"/>
      <c r="J45" s="69"/>
    </row>
    <row r="46" spans="1:13" s="70" customFormat="1" ht="12.75" customHeight="1" x14ac:dyDescent="0.2">
      <c r="A46" s="89">
        <v>45162</v>
      </c>
      <c r="B46" s="128" t="s">
        <v>11</v>
      </c>
      <c r="C46" s="10" t="s">
        <v>64</v>
      </c>
      <c r="D46" s="11" t="s">
        <v>29</v>
      </c>
      <c r="E46" s="86"/>
      <c r="F46" s="70">
        <v>21638.639999999999</v>
      </c>
      <c r="G46" s="30"/>
      <c r="I46" s="69"/>
      <c r="J46" s="69"/>
    </row>
    <row r="47" spans="1:13" s="2" customFormat="1" ht="12.75" customHeight="1" x14ac:dyDescent="0.2">
      <c r="A47" s="32"/>
      <c r="B47" s="33"/>
      <c r="C47" s="14"/>
      <c r="D47" s="34"/>
      <c r="E47" s="16">
        <f>SUM(E26:E46)</f>
        <v>13640343.75</v>
      </c>
      <c r="F47" s="16">
        <f>SUM(F26:F46)</f>
        <v>359032187.35000002</v>
      </c>
      <c r="G47" s="30"/>
      <c r="H47" s="1"/>
      <c r="I47" s="38">
        <v>345391843.60000002</v>
      </c>
      <c r="J47" s="2" t="s">
        <v>396</v>
      </c>
      <c r="K47" s="92">
        <f>E48-I47</f>
        <v>0</v>
      </c>
      <c r="L47" s="41"/>
      <c r="M47" s="42"/>
    </row>
    <row r="48" spans="1:13" s="2" customFormat="1" ht="12.75" customHeight="1" x14ac:dyDescent="0.2">
      <c r="A48" s="36"/>
      <c r="B48" s="28" t="s">
        <v>11</v>
      </c>
      <c r="C48" s="19" t="s">
        <v>65</v>
      </c>
      <c r="D48" s="37"/>
      <c r="E48" s="38">
        <f>F47-E47</f>
        <v>345391843.60000002</v>
      </c>
      <c r="F48" s="22"/>
      <c r="G48" s="1"/>
      <c r="H48" s="1"/>
      <c r="J48" s="1"/>
      <c r="K48" s="1"/>
      <c r="L48" s="1"/>
      <c r="M48" s="1"/>
    </row>
    <row r="49" spans="1:14" s="2" customFormat="1" ht="12.75" customHeight="1" x14ac:dyDescent="0.2">
      <c r="A49" s="36"/>
      <c r="B49" s="28" t="s">
        <v>66</v>
      </c>
      <c r="C49" s="43" t="s">
        <v>67</v>
      </c>
      <c r="D49" s="43"/>
      <c r="E49" s="12">
        <v>0</v>
      </c>
      <c r="F49" s="22"/>
      <c r="G49" s="1"/>
      <c r="H49" s="40"/>
      <c r="I49" s="45">
        <v>3092.24</v>
      </c>
      <c r="J49" s="46"/>
      <c r="K49" s="46"/>
      <c r="L49" s="13"/>
      <c r="M49" s="69" t="s">
        <v>396</v>
      </c>
    </row>
    <row r="50" spans="1:14" s="2" customFormat="1" ht="12.75" customHeight="1" x14ac:dyDescent="0.25">
      <c r="A50" s="36"/>
      <c r="B50" s="28"/>
      <c r="C50" s="44" t="s">
        <v>68</v>
      </c>
      <c r="D50" s="43"/>
      <c r="E50" s="7">
        <f>E48+E49</f>
        <v>345391843.60000002</v>
      </c>
      <c r="F50" s="22"/>
      <c r="G50" s="1"/>
      <c r="H50" s="103" t="s">
        <v>69</v>
      </c>
      <c r="I50" s="45">
        <v>-46.42</v>
      </c>
      <c r="J50" s="46"/>
      <c r="K50" s="46"/>
      <c r="N50" s="1"/>
    </row>
    <row r="51" spans="1:14" s="2" customFormat="1" x14ac:dyDescent="0.2">
      <c r="A51" s="24"/>
      <c r="B51" s="1"/>
      <c r="C51" s="14"/>
      <c r="D51" s="25"/>
      <c r="E51" s="1"/>
      <c r="H51" s="35" t="s">
        <v>70</v>
      </c>
      <c r="I51" s="45">
        <v>0</v>
      </c>
      <c r="J51" s="46">
        <f>+I52-D54</f>
        <v>0</v>
      </c>
      <c r="M51" s="2" t="s">
        <v>396</v>
      </c>
      <c r="N51" s="1"/>
    </row>
    <row r="52" spans="1:14" x14ac:dyDescent="0.2">
      <c r="C52" s="56"/>
      <c r="D52" s="56"/>
      <c r="E52" s="104"/>
      <c r="I52" s="49">
        <f>SUM(I49:I51)</f>
        <v>3045.8199999999997</v>
      </c>
      <c r="J52" s="46"/>
      <c r="K52" s="46"/>
      <c r="L52" s="2"/>
      <c r="M52" s="2"/>
      <c r="N52" s="2"/>
    </row>
    <row r="53" spans="1:14" x14ac:dyDescent="0.2">
      <c r="C53" s="78" t="s">
        <v>575</v>
      </c>
      <c r="D53" s="48" t="s">
        <v>576</v>
      </c>
      <c r="E53" s="104"/>
      <c r="I53" s="2"/>
      <c r="J53" s="2"/>
      <c r="K53" s="2"/>
      <c r="L53" s="2"/>
      <c r="M53" s="2"/>
      <c r="N53" s="2"/>
    </row>
    <row r="54" spans="1:14" s="2" customFormat="1" x14ac:dyDescent="0.2">
      <c r="A54" s="24"/>
      <c r="B54" s="1"/>
      <c r="C54" s="47" t="s">
        <v>570</v>
      </c>
      <c r="D54" s="111">
        <v>3045.82</v>
      </c>
      <c r="E54" s="104"/>
      <c r="G54" s="1"/>
      <c r="H54" s="110" t="s">
        <v>581</v>
      </c>
      <c r="N54" s="2" t="s">
        <v>535</v>
      </c>
    </row>
    <row r="55" spans="1:14" s="2" customFormat="1" x14ac:dyDescent="0.2">
      <c r="A55" s="24"/>
      <c r="B55" s="1"/>
      <c r="C55" s="47" t="s">
        <v>931</v>
      </c>
      <c r="D55" s="111">
        <v>270.95</v>
      </c>
      <c r="E55" s="104"/>
      <c r="G55" s="1"/>
      <c r="H55" s="110" t="s">
        <v>580</v>
      </c>
    </row>
    <row r="56" spans="1:14" s="2" customFormat="1" x14ac:dyDescent="0.2">
      <c r="A56" s="24"/>
      <c r="B56" s="1"/>
      <c r="C56" s="47" t="s">
        <v>572</v>
      </c>
      <c r="D56" s="111">
        <f>+D94/100000</f>
        <v>181.11233910000001</v>
      </c>
      <c r="E56" s="104"/>
      <c r="G56" s="1"/>
      <c r="H56" s="90" t="s">
        <v>587</v>
      </c>
    </row>
    <row r="57" spans="1:14" s="2" customFormat="1" x14ac:dyDescent="0.2">
      <c r="A57" s="24"/>
      <c r="B57" s="1"/>
      <c r="C57" s="108" t="s">
        <v>578</v>
      </c>
      <c r="D57" s="48">
        <f>SUM(D54:D56)</f>
        <v>3497.8823391000001</v>
      </c>
      <c r="E57" s="104"/>
      <c r="G57" s="1"/>
    </row>
    <row r="58" spans="1:14" s="2" customFormat="1" x14ac:dyDescent="0.2">
      <c r="A58" s="24"/>
      <c r="B58" s="1"/>
      <c r="C58" s="47"/>
      <c r="D58" s="107"/>
      <c r="E58" s="104"/>
      <c r="G58" s="1"/>
    </row>
    <row r="59" spans="1:14" s="2" customFormat="1" x14ac:dyDescent="0.2">
      <c r="A59" s="24"/>
      <c r="B59" s="1"/>
      <c r="C59" s="47" t="s">
        <v>932</v>
      </c>
      <c r="D59" s="111">
        <v>136.78</v>
      </c>
      <c r="E59" s="104"/>
      <c r="G59" s="1"/>
      <c r="H59" s="110" t="s">
        <v>581</v>
      </c>
    </row>
    <row r="60" spans="1:14" s="2" customFormat="1" x14ac:dyDescent="0.2">
      <c r="A60" s="24"/>
      <c r="B60" s="1"/>
      <c r="C60" s="136" t="s">
        <v>1142</v>
      </c>
      <c r="D60" s="111">
        <v>242.7</v>
      </c>
      <c r="E60" s="104"/>
      <c r="G60" s="1"/>
      <c r="H60" s="110" t="s">
        <v>581</v>
      </c>
      <c r="J60" s="114" t="s">
        <v>713</v>
      </c>
    </row>
    <row r="61" spans="1:14" s="2" customFormat="1" x14ac:dyDescent="0.2">
      <c r="A61" s="24"/>
      <c r="B61" s="1"/>
      <c r="C61" s="78" t="s">
        <v>579</v>
      </c>
      <c r="D61" s="109">
        <f>D59+D60</f>
        <v>379.48</v>
      </c>
      <c r="E61" s="104"/>
      <c r="G61" s="1"/>
      <c r="I61" s="113"/>
      <c r="J61" s="113" t="s">
        <v>709</v>
      </c>
      <c r="K61" s="113" t="s">
        <v>710</v>
      </c>
      <c r="L61" s="113" t="s">
        <v>711</v>
      </c>
      <c r="M61" s="113" t="s">
        <v>712</v>
      </c>
    </row>
    <row r="62" spans="1:14" s="2" customFormat="1" x14ac:dyDescent="0.2">
      <c r="A62" s="24"/>
      <c r="B62" s="1"/>
      <c r="C62" s="105"/>
      <c r="D62" s="106"/>
      <c r="E62" s="104"/>
      <c r="G62" s="1"/>
      <c r="I62" s="113" t="s">
        <v>706</v>
      </c>
      <c r="J62" s="115"/>
      <c r="K62" s="115">
        <v>968.99</v>
      </c>
      <c r="L62" s="115">
        <v>968.99</v>
      </c>
      <c r="M62" s="113">
        <f>+J62+L62-K62</f>
        <v>0</v>
      </c>
    </row>
    <row r="63" spans="1:14" s="2" customFormat="1" x14ac:dyDescent="0.2">
      <c r="A63" s="24"/>
      <c r="B63" s="1"/>
      <c r="C63" s="78" t="s">
        <v>577</v>
      </c>
      <c r="D63" s="109">
        <f>D54+D61</f>
        <v>3425.3</v>
      </c>
      <c r="E63" s="104"/>
      <c r="G63" s="1"/>
      <c r="I63" s="113" t="s">
        <v>707</v>
      </c>
      <c r="J63" s="115">
        <v>183.1</v>
      </c>
      <c r="K63" s="115">
        <v>3195.48</v>
      </c>
      <c r="L63" s="115">
        <v>3687.95</v>
      </c>
      <c r="M63" s="113">
        <f>+J63+L63-K63</f>
        <v>675.56999999999971</v>
      </c>
    </row>
    <row r="64" spans="1:14" s="2" customFormat="1" x14ac:dyDescent="0.2">
      <c r="A64" s="24"/>
      <c r="B64" s="1"/>
      <c r="C64" s="56"/>
      <c r="D64" s="56"/>
      <c r="E64" s="104"/>
      <c r="G64" s="1"/>
      <c r="I64" s="113" t="s">
        <v>708</v>
      </c>
      <c r="J64" s="115">
        <v>1371.02</v>
      </c>
      <c r="K64" s="115">
        <v>13600.37</v>
      </c>
      <c r="L64" s="115">
        <f>12941.34+301.37</f>
        <v>13242.710000000001</v>
      </c>
      <c r="M64" s="113">
        <f>+J64+L64-K64</f>
        <v>1013.3600000000006</v>
      </c>
    </row>
    <row r="65" spans="1:13" s="2" customFormat="1" ht="38.25" x14ac:dyDescent="0.2">
      <c r="A65" s="24"/>
      <c r="B65" s="1"/>
      <c r="C65" s="79" t="str">
        <f>"Particulars ( 01-04-2021 to "&amp;TEXT(A5,"dd-mm-yyyy")&amp;" )"</f>
        <v>Particulars ( 01-04-2021 to 24-08-2023 )</v>
      </c>
      <c r="D65" s="80" t="s">
        <v>73</v>
      </c>
      <c r="E65" s="80" t="s">
        <v>74</v>
      </c>
      <c r="F65" s="81" t="s">
        <v>75</v>
      </c>
      <c r="G65" s="80" t="s">
        <v>76</v>
      </c>
      <c r="J65" s="118">
        <f>SUM(J62:J64)</f>
        <v>1554.12</v>
      </c>
      <c r="K65" s="118">
        <f>SUM(K62:K64)</f>
        <v>17764.84</v>
      </c>
      <c r="L65" s="118">
        <f>SUM(L62:L64)</f>
        <v>17899.650000000001</v>
      </c>
      <c r="M65" s="118">
        <f>SUM(M62:M64)</f>
        <v>1688.9300000000003</v>
      </c>
    </row>
    <row r="66" spans="1:13" s="2" customFormat="1" x14ac:dyDescent="0.2">
      <c r="A66" s="24"/>
      <c r="B66" s="1"/>
      <c r="C66" s="50" t="s">
        <v>444</v>
      </c>
      <c r="D66" s="55">
        <f>+L62+L63+J63</f>
        <v>4840.04</v>
      </c>
      <c r="E66" s="55">
        <f>+K62+K63</f>
        <v>4164.47</v>
      </c>
      <c r="F66" s="55">
        <f>+D66-E66</f>
        <v>675.56999999999971</v>
      </c>
      <c r="G66" s="55">
        <f>1500-F66</f>
        <v>824.43000000000029</v>
      </c>
      <c r="H66" s="2" t="s">
        <v>396</v>
      </c>
    </row>
    <row r="67" spans="1:13" s="2" customFormat="1" x14ac:dyDescent="0.2">
      <c r="A67" s="24"/>
      <c r="B67" s="1"/>
      <c r="C67" s="50" t="s">
        <v>71</v>
      </c>
      <c r="D67" s="55">
        <f>+J64+L64</f>
        <v>14613.730000000001</v>
      </c>
      <c r="E67" s="55">
        <f>+K64</f>
        <v>13600.37</v>
      </c>
      <c r="F67" s="55">
        <f>+D67-E67</f>
        <v>1013.3600000000006</v>
      </c>
      <c r="G67" s="55">
        <f>1500+700-F67</f>
        <v>1186.6399999999994</v>
      </c>
      <c r="H67" s="2" t="s">
        <v>396</v>
      </c>
    </row>
    <row r="68" spans="1:13" s="2" customFormat="1" x14ac:dyDescent="0.2">
      <c r="A68" s="24"/>
      <c r="B68" s="1"/>
      <c r="C68" s="14"/>
      <c r="D68" s="56"/>
      <c r="E68" s="13"/>
      <c r="G68" s="1"/>
    </row>
    <row r="69" spans="1:13" s="2" customFormat="1" x14ac:dyDescent="0.2">
      <c r="A69" s="215" t="s">
        <v>80</v>
      </c>
      <c r="B69" s="216"/>
      <c r="C69" s="216"/>
      <c r="D69" s="217"/>
      <c r="E69" s="69"/>
      <c r="F69" s="70"/>
      <c r="G69" s="1"/>
      <c r="H69" s="53"/>
    </row>
    <row r="70" spans="1:13" s="2" customFormat="1" x14ac:dyDescent="0.2">
      <c r="A70" s="71" t="s">
        <v>81</v>
      </c>
      <c r="B70" s="71"/>
      <c r="C70" s="72" t="s">
        <v>82</v>
      </c>
      <c r="D70" s="73" t="s">
        <v>83</v>
      </c>
      <c r="E70" s="69"/>
      <c r="F70" s="70"/>
      <c r="H70" s="53"/>
    </row>
    <row r="71" spans="1:13" s="2" customFormat="1" x14ac:dyDescent="0.2">
      <c r="A71" s="87">
        <v>45139</v>
      </c>
      <c r="B71" s="120" t="s">
        <v>1052</v>
      </c>
      <c r="C71" s="75" t="s">
        <v>85</v>
      </c>
      <c r="D71" s="88">
        <v>552343</v>
      </c>
      <c r="G71" s="1"/>
      <c r="L71" s="1"/>
      <c r="M71" s="1"/>
    </row>
    <row r="72" spans="1:13" s="2" customFormat="1" x14ac:dyDescent="0.2">
      <c r="A72" s="87">
        <v>45140</v>
      </c>
      <c r="B72" s="120" t="s">
        <v>1052</v>
      </c>
      <c r="C72" s="75" t="s">
        <v>270</v>
      </c>
      <c r="D72" s="88">
        <v>244404</v>
      </c>
      <c r="G72" s="1"/>
      <c r="L72" s="1"/>
      <c r="M72" s="1"/>
    </row>
    <row r="73" spans="1:13" s="2" customFormat="1" x14ac:dyDescent="0.2">
      <c r="A73" s="87">
        <v>45140</v>
      </c>
      <c r="B73" s="120" t="s">
        <v>1052</v>
      </c>
      <c r="C73" s="75" t="s">
        <v>270</v>
      </c>
      <c r="D73" s="88">
        <v>550256</v>
      </c>
      <c r="G73" s="1"/>
      <c r="L73" s="1"/>
      <c r="M73" s="1"/>
    </row>
    <row r="74" spans="1:13" s="2" customFormat="1" x14ac:dyDescent="0.2">
      <c r="A74" s="87">
        <v>45140</v>
      </c>
      <c r="B74" s="120" t="s">
        <v>1052</v>
      </c>
      <c r="C74" s="75" t="s">
        <v>270</v>
      </c>
      <c r="D74" s="88">
        <v>191589</v>
      </c>
      <c r="G74" s="1"/>
      <c r="L74" s="1"/>
      <c r="M74" s="1"/>
    </row>
    <row r="75" spans="1:13" s="2" customFormat="1" x14ac:dyDescent="0.2">
      <c r="A75" s="87">
        <v>45140</v>
      </c>
      <c r="B75" s="120" t="s">
        <v>1052</v>
      </c>
      <c r="C75" s="75" t="s">
        <v>270</v>
      </c>
      <c r="D75" s="88">
        <v>74415.91</v>
      </c>
      <c r="G75" s="1"/>
      <c r="L75" s="1"/>
      <c r="M75" s="1"/>
    </row>
    <row r="76" spans="1:13" s="2" customFormat="1" x14ac:dyDescent="0.2">
      <c r="A76" s="87">
        <v>45140</v>
      </c>
      <c r="B76" s="120" t="s">
        <v>1052</v>
      </c>
      <c r="C76" s="75" t="s">
        <v>271</v>
      </c>
      <c r="D76" s="88">
        <v>454781</v>
      </c>
      <c r="G76" s="1"/>
      <c r="L76" s="1"/>
      <c r="M76" s="1"/>
    </row>
    <row r="77" spans="1:13" s="2" customFormat="1" x14ac:dyDescent="0.2">
      <c r="A77" s="87">
        <v>45141</v>
      </c>
      <c r="B77" s="120" t="s">
        <v>1052</v>
      </c>
      <c r="C77" s="75" t="s">
        <v>909</v>
      </c>
      <c r="D77" s="88">
        <v>910969</v>
      </c>
      <c r="G77" s="1"/>
      <c r="L77" s="1"/>
      <c r="M77" s="1"/>
    </row>
    <row r="78" spans="1:13" s="2" customFormat="1" x14ac:dyDescent="0.2">
      <c r="A78" s="87">
        <v>45141</v>
      </c>
      <c r="B78" s="120" t="s">
        <v>1052</v>
      </c>
      <c r="C78" s="75" t="s">
        <v>909</v>
      </c>
      <c r="D78" s="88">
        <v>1424635</v>
      </c>
      <c r="G78" s="1"/>
      <c r="L78" s="1"/>
      <c r="M78" s="1"/>
    </row>
    <row r="79" spans="1:13" s="2" customFormat="1" x14ac:dyDescent="0.2">
      <c r="A79" s="87">
        <v>45143</v>
      </c>
      <c r="B79" s="120" t="s">
        <v>1052</v>
      </c>
      <c r="C79" s="75" t="s">
        <v>85</v>
      </c>
      <c r="D79" s="88">
        <v>644288</v>
      </c>
      <c r="G79" s="1"/>
      <c r="L79" s="1"/>
      <c r="M79" s="1"/>
    </row>
    <row r="80" spans="1:13" s="2" customFormat="1" x14ac:dyDescent="0.2">
      <c r="A80" s="87">
        <v>45146</v>
      </c>
      <c r="B80" s="120" t="s">
        <v>1052</v>
      </c>
      <c r="C80" s="75" t="s">
        <v>85</v>
      </c>
      <c r="D80" s="88">
        <v>136333</v>
      </c>
      <c r="G80" s="1"/>
      <c r="L80" s="1"/>
      <c r="M80" s="1"/>
    </row>
    <row r="81" spans="1:13" s="2" customFormat="1" x14ac:dyDescent="0.2">
      <c r="A81" s="87">
        <v>45146</v>
      </c>
      <c r="B81" s="120" t="s">
        <v>1052</v>
      </c>
      <c r="C81" s="75" t="s">
        <v>1343</v>
      </c>
      <c r="D81" s="88">
        <v>2000000</v>
      </c>
      <c r="G81" s="1"/>
      <c r="L81" s="1"/>
      <c r="M81" s="1"/>
    </row>
    <row r="82" spans="1:13" s="2" customFormat="1" x14ac:dyDescent="0.2">
      <c r="A82" s="87">
        <v>45152</v>
      </c>
      <c r="B82" s="120" t="s">
        <v>1052</v>
      </c>
      <c r="C82" s="75" t="s">
        <v>270</v>
      </c>
      <c r="D82" s="88">
        <v>26225</v>
      </c>
      <c r="G82" s="1"/>
      <c r="L82" s="1"/>
      <c r="M82" s="1"/>
    </row>
    <row r="83" spans="1:13" s="2" customFormat="1" x14ac:dyDescent="0.2">
      <c r="A83" s="87">
        <v>45152</v>
      </c>
      <c r="B83" s="120" t="s">
        <v>1052</v>
      </c>
      <c r="C83" s="75" t="s">
        <v>270</v>
      </c>
      <c r="D83" s="88">
        <v>47499</v>
      </c>
      <c r="G83" s="1"/>
      <c r="L83" s="1"/>
      <c r="M83" s="1"/>
    </row>
    <row r="84" spans="1:13" s="2" customFormat="1" x14ac:dyDescent="0.2">
      <c r="A84" s="87">
        <v>45154</v>
      </c>
      <c r="B84" s="120" t="s">
        <v>1052</v>
      </c>
      <c r="C84" s="75" t="s">
        <v>271</v>
      </c>
      <c r="D84" s="88">
        <v>2701267</v>
      </c>
      <c r="G84" s="1"/>
      <c r="L84" s="1"/>
      <c r="M84" s="1"/>
    </row>
    <row r="85" spans="1:13" s="2" customFormat="1" x14ac:dyDescent="0.2">
      <c r="A85" s="87">
        <v>45157</v>
      </c>
      <c r="B85" s="120" t="s">
        <v>1052</v>
      </c>
      <c r="C85" s="75" t="s">
        <v>888</v>
      </c>
      <c r="D85" s="88">
        <v>1087820</v>
      </c>
      <c r="G85" s="1"/>
      <c r="L85" s="1"/>
      <c r="M85" s="1"/>
    </row>
    <row r="86" spans="1:13" s="2" customFormat="1" x14ac:dyDescent="0.2">
      <c r="A86" s="87">
        <v>45159</v>
      </c>
      <c r="B86" s="120" t="s">
        <v>1052</v>
      </c>
      <c r="C86" s="75" t="s">
        <v>270</v>
      </c>
      <c r="D86" s="88">
        <v>26199</v>
      </c>
      <c r="G86" s="1"/>
      <c r="L86" s="1"/>
      <c r="M86" s="1"/>
    </row>
    <row r="87" spans="1:13" s="2" customFormat="1" x14ac:dyDescent="0.2">
      <c r="A87" s="87">
        <v>45159</v>
      </c>
      <c r="B87" s="120" t="s">
        <v>1052</v>
      </c>
      <c r="C87" s="75" t="s">
        <v>85</v>
      </c>
      <c r="D87" s="88">
        <v>79111</v>
      </c>
      <c r="G87" s="1"/>
      <c r="L87" s="1"/>
      <c r="M87" s="1"/>
    </row>
    <row r="88" spans="1:13" s="2" customFormat="1" x14ac:dyDescent="0.2">
      <c r="A88" s="87">
        <v>45159</v>
      </c>
      <c r="B88" s="120" t="s">
        <v>1052</v>
      </c>
      <c r="C88" s="75" t="s">
        <v>909</v>
      </c>
      <c r="D88" s="88">
        <v>41960</v>
      </c>
      <c r="G88" s="1"/>
      <c r="L88" s="1"/>
      <c r="M88" s="1"/>
    </row>
    <row r="89" spans="1:13" s="2" customFormat="1" x14ac:dyDescent="0.2">
      <c r="A89" s="87">
        <v>45159</v>
      </c>
      <c r="B89" s="120" t="s">
        <v>1052</v>
      </c>
      <c r="C89" s="75" t="s">
        <v>909</v>
      </c>
      <c r="D89" s="88">
        <v>6142426</v>
      </c>
      <c r="G89" s="1"/>
      <c r="L89" s="1"/>
      <c r="M89" s="1"/>
    </row>
    <row r="90" spans="1:13" s="2" customFormat="1" x14ac:dyDescent="0.2">
      <c r="A90" s="87">
        <v>45160</v>
      </c>
      <c r="B90" s="120" t="s">
        <v>1052</v>
      </c>
      <c r="C90" s="75" t="s">
        <v>271</v>
      </c>
      <c r="D90" s="88">
        <v>176546</v>
      </c>
      <c r="G90" s="1"/>
      <c r="L90" s="1"/>
      <c r="M90" s="1"/>
    </row>
    <row r="91" spans="1:13" s="2" customFormat="1" x14ac:dyDescent="0.2">
      <c r="A91" s="87">
        <v>45161</v>
      </c>
      <c r="B91" s="120" t="s">
        <v>1052</v>
      </c>
      <c r="C91" s="75" t="s">
        <v>767</v>
      </c>
      <c r="D91" s="88">
        <v>142706</v>
      </c>
      <c r="G91" s="1"/>
      <c r="L91" s="1"/>
      <c r="M91" s="1"/>
    </row>
    <row r="92" spans="1:13" s="2" customFormat="1" x14ac:dyDescent="0.2">
      <c r="A92" s="87">
        <v>45162</v>
      </c>
      <c r="B92" s="120" t="s">
        <v>1052</v>
      </c>
      <c r="C92" s="75" t="s">
        <v>85</v>
      </c>
      <c r="D92" s="88">
        <v>66464</v>
      </c>
      <c r="G92" s="1"/>
      <c r="L92" s="1"/>
      <c r="M92" s="1"/>
    </row>
    <row r="93" spans="1:13" s="2" customFormat="1" x14ac:dyDescent="0.2">
      <c r="A93" s="87">
        <v>45162</v>
      </c>
      <c r="B93" s="120" t="s">
        <v>1052</v>
      </c>
      <c r="C93" s="75" t="s">
        <v>270</v>
      </c>
      <c r="D93" s="88">
        <v>388997</v>
      </c>
      <c r="G93" s="1"/>
      <c r="L93" s="1"/>
      <c r="M93" s="1"/>
    </row>
    <row r="94" spans="1:13" s="2" customFormat="1" x14ac:dyDescent="0.2">
      <c r="A94" s="87"/>
      <c r="B94" s="74"/>
      <c r="C94" s="75"/>
      <c r="D94" s="51">
        <f>SUM(D71:D93)</f>
        <v>18111233.91</v>
      </c>
      <c r="F94" s="2" t="s">
        <v>396</v>
      </c>
      <c r="G94" s="1"/>
      <c r="L94" s="1"/>
      <c r="M94" s="1"/>
    </row>
    <row r="95" spans="1:13" s="2" customFormat="1" x14ac:dyDescent="0.2">
      <c r="A95" s="24"/>
      <c r="B95" s="1"/>
      <c r="C95" s="14"/>
      <c r="D95" s="56"/>
      <c r="E95" s="13"/>
      <c r="G95" s="1"/>
      <c r="L95" s="1"/>
      <c r="M95" s="1"/>
    </row>
    <row r="96" spans="1:13" s="2" customFormat="1" x14ac:dyDescent="0.2">
      <c r="A96" s="24"/>
      <c r="B96" s="1"/>
      <c r="C96" s="218" t="s">
        <v>77</v>
      </c>
      <c r="D96" s="219"/>
      <c r="E96" s="219"/>
      <c r="F96" s="220"/>
      <c r="G96" s="1"/>
      <c r="L96" s="1"/>
      <c r="M96" s="1"/>
    </row>
    <row r="97" spans="1:13" s="2" customFormat="1" x14ac:dyDescent="0.2">
      <c r="A97" s="24"/>
      <c r="B97" s="1"/>
      <c r="C97" s="50"/>
      <c r="D97" s="57" t="s">
        <v>78</v>
      </c>
      <c r="E97" s="58" t="s">
        <v>79</v>
      </c>
      <c r="F97" s="57" t="s">
        <v>72</v>
      </c>
      <c r="G97" s="1"/>
      <c r="I97" s="1"/>
      <c r="J97" s="1"/>
      <c r="K97" s="1"/>
      <c r="L97" s="1"/>
      <c r="M97" s="1"/>
    </row>
    <row r="98" spans="1:13" s="2" customFormat="1" x14ac:dyDescent="0.2">
      <c r="A98" s="24"/>
      <c r="B98" s="1"/>
      <c r="C98" s="59" t="str">
        <f>"01-08-2023 to "&amp;TEXT(A5-2,"dd-mm-yyyy")</f>
        <v>01-08-2023 to 22-08-2023</v>
      </c>
      <c r="D98" s="60">
        <v>2473.86</v>
      </c>
      <c r="E98" s="60">
        <v>203.68</v>
      </c>
      <c r="F98" s="61">
        <f>SUM(D98:E98)</f>
        <v>2677.54</v>
      </c>
      <c r="G98" s="1"/>
    </row>
    <row r="99" spans="1:13" s="2" customFormat="1" x14ac:dyDescent="0.2">
      <c r="A99" s="24"/>
      <c r="B99" s="1"/>
      <c r="C99" s="62" t="str">
        <f>TEXT(A5-1,"dd-mm-yyyy")</f>
        <v>23-08-2023</v>
      </c>
      <c r="D99" s="60">
        <v>133.33000000000001</v>
      </c>
      <c r="E99" s="60">
        <v>10.9</v>
      </c>
      <c r="F99" s="61">
        <f>SUM(D99:E99)</f>
        <v>144.23000000000002</v>
      </c>
      <c r="G99" s="54"/>
      <c r="I99" s="1"/>
      <c r="J99" s="1"/>
      <c r="K99" s="1"/>
      <c r="L99" s="1"/>
      <c r="M99" s="1"/>
    </row>
    <row r="100" spans="1:13" s="2" customFormat="1" ht="13.5" thickBot="1" x14ac:dyDescent="0.25">
      <c r="A100" s="24"/>
      <c r="B100" s="1"/>
      <c r="C100" s="63" t="str">
        <f>"01-08-2023 to "&amp;TEXT(A5-1,"dd-mm-yyyy")</f>
        <v>01-08-2023 to 23-08-2023</v>
      </c>
      <c r="D100" s="64">
        <f>SUM(D98:D99)</f>
        <v>2607.19</v>
      </c>
      <c r="E100" s="64">
        <f>SUM(E98:E99)</f>
        <v>214.58</v>
      </c>
      <c r="F100" s="64">
        <f>SUM(F98:F99)</f>
        <v>2821.77</v>
      </c>
      <c r="G100" s="54"/>
      <c r="I100" s="1"/>
      <c r="J100" s="1"/>
      <c r="K100" s="1"/>
      <c r="L100" s="1"/>
      <c r="M100" s="1"/>
    </row>
    <row r="101" spans="1:13" s="2" customFormat="1" ht="13.5" thickTop="1" x14ac:dyDescent="0.2">
      <c r="A101" s="24"/>
      <c r="B101" s="1"/>
      <c r="C101" s="62"/>
      <c r="D101" s="65"/>
      <c r="E101" s="66"/>
      <c r="F101" s="67"/>
      <c r="G101" s="54"/>
      <c r="I101" s="1"/>
      <c r="J101" s="1"/>
      <c r="K101" s="1"/>
      <c r="L101" s="1"/>
      <c r="M101" s="1"/>
    </row>
    <row r="102" spans="1:13" s="2" customFormat="1" x14ac:dyDescent="0.2">
      <c r="A102" s="24"/>
      <c r="B102" s="1"/>
      <c r="C102" s="62" t="str">
        <f>"01-04-2023 to " &amp;C99</f>
        <v>01-04-2023 to 23-08-2023</v>
      </c>
      <c r="D102" s="68">
        <f>+D100+20859.39</f>
        <v>23466.579999999998</v>
      </c>
      <c r="E102" s="68">
        <f>+E100+1376.76</f>
        <v>1591.34</v>
      </c>
      <c r="F102" s="68">
        <f>+F100+22236.15</f>
        <v>25057.920000000002</v>
      </c>
      <c r="G102" s="54"/>
      <c r="I102" s="1"/>
      <c r="J102" s="1"/>
      <c r="K102" s="1"/>
      <c r="L102" s="1"/>
      <c r="M102" s="1"/>
    </row>
    <row r="103" spans="1:13" x14ac:dyDescent="0.2">
      <c r="C103" s="52"/>
      <c r="D103" s="85"/>
      <c r="E103" s="53"/>
      <c r="F103" s="53"/>
      <c r="G103" s="54"/>
      <c r="H103" s="2" t="s">
        <v>396</v>
      </c>
    </row>
    <row r="104" spans="1:13" s="2" customFormat="1" x14ac:dyDescent="0.2">
      <c r="A104" s="24"/>
      <c r="B104" s="1"/>
      <c r="C104" s="52"/>
      <c r="D104" s="85"/>
      <c r="E104" s="53"/>
      <c r="F104" s="53"/>
      <c r="G104" s="54"/>
      <c r="H104" s="53"/>
    </row>
    <row r="105" spans="1:13" x14ac:dyDescent="0.2">
      <c r="C105" s="52"/>
      <c r="D105" s="85"/>
      <c r="E105" s="53"/>
      <c r="F105" s="53"/>
      <c r="G105" s="54"/>
      <c r="H105" s="53" t="s">
        <v>396</v>
      </c>
    </row>
    <row r="106" spans="1:13" x14ac:dyDescent="0.2">
      <c r="C106" s="52"/>
      <c r="D106" s="85"/>
      <c r="E106" s="53"/>
      <c r="F106" s="53"/>
      <c r="G106" s="54"/>
      <c r="H106" s="53" t="s">
        <v>396</v>
      </c>
      <c r="J106" s="42"/>
    </row>
    <row r="107" spans="1:13" x14ac:dyDescent="0.2">
      <c r="G107" s="54"/>
      <c r="H107" s="53"/>
      <c r="I107" s="101"/>
    </row>
    <row r="108" spans="1:13" x14ac:dyDescent="0.2">
      <c r="G108" s="54"/>
      <c r="H108" s="53"/>
    </row>
    <row r="109" spans="1:13" x14ac:dyDescent="0.2">
      <c r="G109" s="54"/>
      <c r="H109" s="53"/>
    </row>
    <row r="110" spans="1:13" x14ac:dyDescent="0.2">
      <c r="H110" s="53"/>
    </row>
  </sheetData>
  <mergeCells count="6">
    <mergeCell ref="C96:F96"/>
    <mergeCell ref="A1:G1"/>
    <mergeCell ref="A3:F3"/>
    <mergeCell ref="A9:F9"/>
    <mergeCell ref="A24:F24"/>
    <mergeCell ref="A69:D69"/>
  </mergeCells>
  <conditionalFormatting sqref="G66:G67">
    <cfRule type="cellIs" dxfId="347" priority="1" operator="lessThan">
      <formula>0</formula>
    </cfRule>
  </conditionalFormatting>
  <conditionalFormatting sqref="C26">
    <cfRule type="duplicateValues" dxfId="346" priority="2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500-000000000000}">
  <sheetPr codeName="Sheet413">
    <pageSetUpPr fitToPage="1"/>
  </sheetPr>
  <dimension ref="A1:N123"/>
  <sheetViews>
    <sheetView topLeftCell="A27" zoomScaleNormal="100" workbookViewId="0">
      <selection activeCell="E51" sqref="E51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1417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45163</v>
      </c>
      <c r="B5" s="9" t="s">
        <v>6</v>
      </c>
      <c r="C5" s="10" t="s">
        <v>7</v>
      </c>
      <c r="D5" s="11"/>
      <c r="E5" s="12">
        <v>1546581.74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1546581.74</v>
      </c>
      <c r="F6" s="16">
        <f>SUM(F5:F5)</f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+E6-F6</f>
        <v>1546581.74</v>
      </c>
      <c r="F7" s="22"/>
      <c r="G7" s="23"/>
      <c r="H7" s="112"/>
      <c r="I7" s="112"/>
      <c r="J7" s="13"/>
    </row>
    <row r="8" spans="1:10" ht="12.75" customHeight="1" x14ac:dyDescent="0.4">
      <c r="H8" s="112"/>
      <c r="I8" s="112"/>
    </row>
    <row r="9" spans="1:10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12"/>
    </row>
    <row r="10" spans="1:10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12"/>
    </row>
    <row r="11" spans="1:10" s="2" customFormat="1" ht="14.25" customHeight="1" x14ac:dyDescent="0.2">
      <c r="A11" s="89">
        <v>45163</v>
      </c>
      <c r="B11" s="9" t="s">
        <v>6</v>
      </c>
      <c r="C11" s="10" t="s">
        <v>7</v>
      </c>
      <c r="D11" s="11"/>
      <c r="F11" s="12">
        <v>89420456.610000014</v>
      </c>
      <c r="G11" s="1"/>
      <c r="H11" s="130" t="s">
        <v>396</v>
      </c>
      <c r="I11" s="130"/>
    </row>
    <row r="12" spans="1:10" s="70" customFormat="1" ht="12.75" customHeight="1" x14ac:dyDescent="0.2">
      <c r="A12" s="89">
        <v>45163</v>
      </c>
      <c r="B12" s="9" t="s">
        <v>6</v>
      </c>
      <c r="C12" s="76" t="s">
        <v>1421</v>
      </c>
      <c r="D12" s="11" t="s">
        <v>13</v>
      </c>
      <c r="E12" s="31">
        <v>30000000</v>
      </c>
      <c r="F12" s="31"/>
      <c r="G12" s="30"/>
      <c r="I12" s="69"/>
      <c r="J12" s="69"/>
    </row>
    <row r="13" spans="1:10" s="70" customFormat="1" ht="12.75" customHeight="1" x14ac:dyDescent="0.2">
      <c r="A13" s="89">
        <v>45163</v>
      </c>
      <c r="B13" s="9" t="s">
        <v>6</v>
      </c>
      <c r="C13" s="76" t="s">
        <v>1002</v>
      </c>
      <c r="D13" s="11" t="s">
        <v>13</v>
      </c>
      <c r="E13" s="31">
        <v>3577221.79</v>
      </c>
      <c r="F13" s="31"/>
      <c r="G13" s="30"/>
      <c r="I13" s="69"/>
      <c r="J13" s="69"/>
    </row>
    <row r="14" spans="1:10" s="70" customFormat="1" ht="12.75" customHeight="1" x14ac:dyDescent="0.2">
      <c r="A14" s="89">
        <v>45163</v>
      </c>
      <c r="B14" s="9" t="s">
        <v>6</v>
      </c>
      <c r="C14" s="29" t="s">
        <v>419</v>
      </c>
      <c r="D14" s="11" t="s">
        <v>13</v>
      </c>
      <c r="E14" s="31">
        <v>247040</v>
      </c>
      <c r="F14" s="31"/>
      <c r="G14" s="30"/>
      <c r="I14" s="69"/>
      <c r="J14" s="69"/>
    </row>
    <row r="15" spans="1:10" s="70" customFormat="1" ht="12.75" customHeight="1" x14ac:dyDescent="0.2">
      <c r="A15" s="89">
        <v>45163</v>
      </c>
      <c r="B15" s="9" t="s">
        <v>6</v>
      </c>
      <c r="C15" s="29" t="s">
        <v>1137</v>
      </c>
      <c r="D15" s="11" t="s">
        <v>13</v>
      </c>
      <c r="E15" s="31">
        <v>38468.979999999996</v>
      </c>
      <c r="F15" s="31"/>
      <c r="G15" s="30"/>
      <c r="I15" s="69"/>
      <c r="J15" s="69"/>
    </row>
    <row r="16" spans="1:10" s="70" customFormat="1" ht="12.75" customHeight="1" x14ac:dyDescent="0.2">
      <c r="A16" s="89">
        <v>45163</v>
      </c>
      <c r="B16" s="9" t="s">
        <v>11</v>
      </c>
      <c r="C16" s="76" t="s">
        <v>1137</v>
      </c>
      <c r="D16" s="11" t="s">
        <v>29</v>
      </c>
      <c r="E16" s="31"/>
      <c r="F16" s="31">
        <v>12483.349999999999</v>
      </c>
      <c r="G16" s="30"/>
      <c r="I16" s="69"/>
      <c r="J16" s="69"/>
    </row>
    <row r="17" spans="1:10" s="70" customFormat="1" ht="12.75" customHeight="1" x14ac:dyDescent="0.2">
      <c r="A17" s="89">
        <v>45163</v>
      </c>
      <c r="B17" s="9" t="s">
        <v>11</v>
      </c>
      <c r="C17" s="76" t="s">
        <v>704</v>
      </c>
      <c r="D17" s="11" t="s">
        <v>29</v>
      </c>
      <c r="E17" s="31"/>
      <c r="F17" s="31">
        <v>11000</v>
      </c>
      <c r="G17" s="30"/>
      <c r="I17" s="69"/>
      <c r="J17" s="69"/>
    </row>
    <row r="18" spans="1:10" s="70" customFormat="1" ht="12.75" customHeight="1" x14ac:dyDescent="0.2">
      <c r="A18" s="89">
        <v>45163</v>
      </c>
      <c r="B18" s="9" t="s">
        <v>11</v>
      </c>
      <c r="C18" s="76" t="s">
        <v>132</v>
      </c>
      <c r="D18" s="11" t="s">
        <v>29</v>
      </c>
      <c r="E18" s="31"/>
      <c r="F18" s="31">
        <v>10029</v>
      </c>
      <c r="G18" s="30"/>
      <c r="I18" s="69"/>
      <c r="J18" s="69"/>
    </row>
    <row r="19" spans="1:10" s="70" customFormat="1" ht="12.75" customHeight="1" x14ac:dyDescent="0.2">
      <c r="A19" s="89">
        <v>45163</v>
      </c>
      <c r="B19" s="9" t="s">
        <v>11</v>
      </c>
      <c r="C19" s="76" t="s">
        <v>259</v>
      </c>
      <c r="D19" s="11" t="s">
        <v>29</v>
      </c>
      <c r="E19" s="31"/>
      <c r="F19" s="31">
        <v>3401</v>
      </c>
      <c r="G19" s="30"/>
      <c r="I19" s="69"/>
      <c r="J19" s="69"/>
    </row>
    <row r="20" spans="1:10" s="70" customFormat="1" ht="12.75" customHeight="1" x14ac:dyDescent="0.2">
      <c r="A20" s="89">
        <v>45163</v>
      </c>
      <c r="B20" s="9" t="s">
        <v>11</v>
      </c>
      <c r="C20" s="76" t="s">
        <v>1418</v>
      </c>
      <c r="D20" s="11" t="s">
        <v>29</v>
      </c>
      <c r="E20" s="31"/>
      <c r="F20" s="31">
        <v>146650</v>
      </c>
      <c r="G20" s="30"/>
      <c r="I20" s="69"/>
      <c r="J20" s="69"/>
    </row>
    <row r="21" spans="1:10" s="70" customFormat="1" ht="12.75" customHeight="1" x14ac:dyDescent="0.2">
      <c r="A21" s="89">
        <v>45163</v>
      </c>
      <c r="B21" s="9" t="s">
        <v>11</v>
      </c>
      <c r="C21" s="76" t="s">
        <v>886</v>
      </c>
      <c r="D21" s="11" t="s">
        <v>29</v>
      </c>
      <c r="E21" s="31"/>
      <c r="F21" s="31">
        <v>2842</v>
      </c>
      <c r="G21" s="30"/>
      <c r="I21" s="69"/>
      <c r="J21" s="69"/>
    </row>
    <row r="22" spans="1:10" s="70" customFormat="1" ht="12.75" customHeight="1" x14ac:dyDescent="0.2">
      <c r="A22" s="89">
        <v>45163</v>
      </c>
      <c r="B22" s="9" t="s">
        <v>11</v>
      </c>
      <c r="C22" s="76" t="s">
        <v>1025</v>
      </c>
      <c r="D22" s="11" t="s">
        <v>29</v>
      </c>
      <c r="E22" s="31"/>
      <c r="F22" s="31">
        <v>14500000</v>
      </c>
      <c r="G22" s="30"/>
      <c r="I22" s="69"/>
      <c r="J22" s="69"/>
    </row>
    <row r="23" spans="1:10" s="70" customFormat="1" ht="12.75" customHeight="1" x14ac:dyDescent="0.2">
      <c r="A23" s="89">
        <v>45163</v>
      </c>
      <c r="B23" s="9" t="s">
        <v>11</v>
      </c>
      <c r="C23" s="76" t="s">
        <v>1091</v>
      </c>
      <c r="D23" s="11" t="s">
        <v>29</v>
      </c>
      <c r="E23" s="31"/>
      <c r="F23" s="31">
        <v>29500</v>
      </c>
      <c r="G23" s="30"/>
      <c r="I23" s="69"/>
      <c r="J23" s="69"/>
    </row>
    <row r="24" spans="1:10" s="2" customFormat="1" ht="12.75" customHeight="1" x14ac:dyDescent="0.4">
      <c r="D24" s="11" t="s">
        <v>8</v>
      </c>
      <c r="E24" s="16">
        <f>SUM(E12:E23)</f>
        <v>33862730.769999996</v>
      </c>
      <c r="F24" s="16">
        <f>SUM(F11:F23)</f>
        <v>104136361.96000001</v>
      </c>
      <c r="G24" s="1"/>
      <c r="H24" s="112"/>
      <c r="I24" s="112"/>
    </row>
    <row r="25" spans="1:10" s="2" customFormat="1" ht="12.75" customHeight="1" x14ac:dyDescent="0.4">
      <c r="A25" s="17"/>
      <c r="B25" s="18"/>
      <c r="C25" s="96" t="s">
        <v>9</v>
      </c>
      <c r="D25" s="20"/>
      <c r="E25" s="21">
        <f>+F24-E24</f>
        <v>70273631.190000013</v>
      </c>
      <c r="G25" s="23"/>
      <c r="H25" s="112"/>
      <c r="I25" s="112"/>
      <c r="J25" s="13"/>
    </row>
    <row r="26" spans="1:10" s="2" customFormat="1" ht="12.75" customHeight="1" x14ac:dyDescent="0.4">
      <c r="A26" s="24"/>
      <c r="B26" s="1"/>
      <c r="C26" s="14"/>
      <c r="D26" s="25"/>
      <c r="G26" s="23"/>
      <c r="H26" s="112"/>
      <c r="I26" s="112"/>
      <c r="J26" s="13"/>
    </row>
    <row r="27" spans="1:10" s="2" customFormat="1" ht="21.75" customHeight="1" x14ac:dyDescent="0.4">
      <c r="A27" s="214" t="s">
        <v>10</v>
      </c>
      <c r="B27" s="214"/>
      <c r="C27" s="214"/>
      <c r="D27" s="214"/>
      <c r="E27" s="214"/>
      <c r="F27" s="214"/>
      <c r="G27" s="13"/>
      <c r="H27" s="112"/>
      <c r="I27" s="112"/>
      <c r="J27" s="13"/>
    </row>
    <row r="28" spans="1:10" s="2" customFormat="1" ht="12.75" customHeight="1" x14ac:dyDescent="0.4">
      <c r="A28" s="26" t="s">
        <v>1</v>
      </c>
      <c r="B28" s="27" t="s">
        <v>2</v>
      </c>
      <c r="C28" s="5"/>
      <c r="D28" s="6" t="s">
        <v>3</v>
      </c>
      <c r="E28" s="7" t="s">
        <v>4</v>
      </c>
      <c r="F28" s="7" t="s">
        <v>5</v>
      </c>
      <c r="G28" s="23"/>
      <c r="H28" s="112"/>
      <c r="I28" s="112"/>
      <c r="J28" s="13"/>
    </row>
    <row r="29" spans="1:10" s="2" customFormat="1" ht="12.75" customHeight="1" x14ac:dyDescent="0.2">
      <c r="A29" s="89">
        <v>45163</v>
      </c>
      <c r="B29" s="128" t="s">
        <v>11</v>
      </c>
      <c r="C29" s="29" t="s">
        <v>7</v>
      </c>
      <c r="D29" s="25"/>
      <c r="E29" s="31"/>
      <c r="F29" s="2">
        <v>345391843.60000002</v>
      </c>
      <c r="G29" s="30"/>
      <c r="I29" s="13"/>
      <c r="J29" s="13"/>
    </row>
    <row r="30" spans="1:10" s="70" customFormat="1" ht="12.75" customHeight="1" x14ac:dyDescent="0.2">
      <c r="A30" s="89">
        <v>45163</v>
      </c>
      <c r="B30" s="128" t="s">
        <v>6</v>
      </c>
      <c r="C30" s="10" t="s">
        <v>200</v>
      </c>
      <c r="D30" s="11" t="s">
        <v>13</v>
      </c>
      <c r="E30" s="86">
        <v>39822</v>
      </c>
      <c r="G30" s="30"/>
      <c r="I30" s="69"/>
      <c r="J30" s="69"/>
    </row>
    <row r="31" spans="1:10" s="70" customFormat="1" ht="12.75" customHeight="1" x14ac:dyDescent="0.2">
      <c r="A31" s="89">
        <v>45163</v>
      </c>
      <c r="B31" s="128" t="s">
        <v>6</v>
      </c>
      <c r="C31" s="10" t="s">
        <v>15</v>
      </c>
      <c r="D31" s="11" t="s">
        <v>13</v>
      </c>
      <c r="E31" s="86">
        <v>9083.6999999999989</v>
      </c>
      <c r="G31" s="30"/>
      <c r="I31" s="69"/>
      <c r="J31" s="69"/>
    </row>
    <row r="32" spans="1:10" s="70" customFormat="1" ht="12.75" customHeight="1" x14ac:dyDescent="0.2">
      <c r="A32" s="89">
        <v>45163</v>
      </c>
      <c r="B32" s="128" t="s">
        <v>6</v>
      </c>
      <c r="C32" s="10" t="s">
        <v>14</v>
      </c>
      <c r="D32" s="11" t="s">
        <v>13</v>
      </c>
      <c r="E32" s="86">
        <v>14439</v>
      </c>
      <c r="G32" s="30"/>
      <c r="I32" s="69"/>
      <c r="J32" s="69"/>
    </row>
    <row r="33" spans="1:10" s="70" customFormat="1" ht="12.75" customHeight="1" x14ac:dyDescent="0.2">
      <c r="A33" s="89">
        <v>45163</v>
      </c>
      <c r="B33" s="128" t="s">
        <v>6</v>
      </c>
      <c r="C33" s="10" t="s">
        <v>688</v>
      </c>
      <c r="D33" s="11" t="s">
        <v>13</v>
      </c>
      <c r="E33" s="86">
        <v>3317</v>
      </c>
      <c r="G33" s="30"/>
      <c r="I33" s="69"/>
      <c r="J33" s="69"/>
    </row>
    <row r="34" spans="1:10" s="70" customFormat="1" ht="12.75" customHeight="1" x14ac:dyDescent="0.2">
      <c r="A34" s="89">
        <v>45163</v>
      </c>
      <c r="B34" s="128" t="s">
        <v>6</v>
      </c>
      <c r="C34" s="10" t="s">
        <v>1419</v>
      </c>
      <c r="D34" s="11" t="s">
        <v>13</v>
      </c>
      <c r="E34" s="86">
        <v>235620</v>
      </c>
      <c r="G34" s="30"/>
      <c r="I34" s="69"/>
      <c r="J34" s="69"/>
    </row>
    <row r="35" spans="1:10" s="70" customFormat="1" ht="12.75" customHeight="1" x14ac:dyDescent="0.2">
      <c r="A35" s="89">
        <v>45163</v>
      </c>
      <c r="B35" s="128" t="s">
        <v>6</v>
      </c>
      <c r="C35" s="10" t="s">
        <v>667</v>
      </c>
      <c r="D35" s="11" t="s">
        <v>13</v>
      </c>
      <c r="E35" s="86">
        <v>12660</v>
      </c>
      <c r="G35" s="30"/>
      <c r="I35" s="69"/>
      <c r="J35" s="69"/>
    </row>
    <row r="36" spans="1:10" s="70" customFormat="1" ht="12.75" customHeight="1" x14ac:dyDescent="0.2">
      <c r="A36" s="89">
        <v>45163</v>
      </c>
      <c r="B36" s="128" t="s">
        <v>6</v>
      </c>
      <c r="C36" s="10" t="s">
        <v>543</v>
      </c>
      <c r="D36" s="11" t="s">
        <v>13</v>
      </c>
      <c r="E36" s="86">
        <v>5558</v>
      </c>
      <c r="G36" s="30"/>
      <c r="I36" s="69"/>
      <c r="J36" s="69"/>
    </row>
    <row r="37" spans="1:10" s="70" customFormat="1" ht="12.75" customHeight="1" x14ac:dyDescent="0.2">
      <c r="A37" s="89">
        <v>45163</v>
      </c>
      <c r="B37" s="128" t="s">
        <v>6</v>
      </c>
      <c r="C37" s="10" t="s">
        <v>1231</v>
      </c>
      <c r="D37" s="11" t="s">
        <v>13</v>
      </c>
      <c r="E37" s="86">
        <v>393077</v>
      </c>
      <c r="G37" s="30"/>
      <c r="I37" s="69"/>
      <c r="J37" s="69"/>
    </row>
    <row r="38" spans="1:10" s="70" customFormat="1" ht="12.75" customHeight="1" x14ac:dyDescent="0.2">
      <c r="A38" s="89">
        <v>45163</v>
      </c>
      <c r="B38" s="128" t="s">
        <v>6</v>
      </c>
      <c r="C38" s="10" t="s">
        <v>1310</v>
      </c>
      <c r="D38" s="11" t="s">
        <v>13</v>
      </c>
      <c r="E38" s="86">
        <v>22276</v>
      </c>
      <c r="G38" s="30"/>
      <c r="I38" s="69"/>
      <c r="J38" s="69"/>
    </row>
    <row r="39" spans="1:10" s="70" customFormat="1" ht="12.75" customHeight="1" x14ac:dyDescent="0.2">
      <c r="A39" s="89">
        <v>45163</v>
      </c>
      <c r="B39" s="128" t="s">
        <v>6</v>
      </c>
      <c r="C39" s="10" t="s">
        <v>1241</v>
      </c>
      <c r="D39" s="11" t="s">
        <v>13</v>
      </c>
      <c r="E39" s="86">
        <v>389405</v>
      </c>
      <c r="G39" s="30"/>
      <c r="I39" s="69"/>
      <c r="J39" s="69"/>
    </row>
    <row r="40" spans="1:10" s="70" customFormat="1" ht="12.75" customHeight="1" x14ac:dyDescent="0.2">
      <c r="A40" s="89">
        <v>45163</v>
      </c>
      <c r="B40" s="128" t="s">
        <v>6</v>
      </c>
      <c r="C40" s="10" t="s">
        <v>503</v>
      </c>
      <c r="D40" s="11" t="s">
        <v>13</v>
      </c>
      <c r="E40" s="86">
        <v>66805.570000000007</v>
      </c>
      <c r="G40" s="30"/>
      <c r="I40" s="69"/>
      <c r="J40" s="69"/>
    </row>
    <row r="41" spans="1:10" s="70" customFormat="1" ht="12.75" customHeight="1" x14ac:dyDescent="0.2">
      <c r="A41" s="89">
        <v>45163</v>
      </c>
      <c r="B41" s="128" t="s">
        <v>6</v>
      </c>
      <c r="C41" s="10" t="s">
        <v>234</v>
      </c>
      <c r="D41" s="11" t="s">
        <v>13</v>
      </c>
      <c r="E41" s="86">
        <v>22029</v>
      </c>
      <c r="G41" s="30"/>
      <c r="I41" s="69"/>
      <c r="J41" s="69"/>
    </row>
    <row r="42" spans="1:10" s="70" customFormat="1" ht="12.75" customHeight="1" x14ac:dyDescent="0.2">
      <c r="A42" s="89">
        <v>45163</v>
      </c>
      <c r="B42" s="128" t="s">
        <v>6</v>
      </c>
      <c r="C42" s="10" t="s">
        <v>266</v>
      </c>
      <c r="D42" s="11" t="s">
        <v>13</v>
      </c>
      <c r="E42" s="86">
        <v>162047</v>
      </c>
      <c r="G42" s="30"/>
      <c r="I42" s="69"/>
      <c r="J42" s="69"/>
    </row>
    <row r="43" spans="1:10" s="70" customFormat="1" ht="12.75" customHeight="1" x14ac:dyDescent="0.2">
      <c r="A43" s="89">
        <v>45163</v>
      </c>
      <c r="B43" s="128" t="s">
        <v>6</v>
      </c>
      <c r="C43" s="10" t="s">
        <v>149</v>
      </c>
      <c r="D43" s="11" t="s">
        <v>13</v>
      </c>
      <c r="E43" s="86">
        <v>250325</v>
      </c>
      <c r="G43" s="30"/>
      <c r="I43" s="69"/>
      <c r="J43" s="69"/>
    </row>
    <row r="44" spans="1:10" s="70" customFormat="1" ht="12.75" customHeight="1" x14ac:dyDescent="0.2">
      <c r="A44" s="89">
        <v>45163</v>
      </c>
      <c r="B44" s="128" t="s">
        <v>6</v>
      </c>
      <c r="C44" s="10" t="s">
        <v>456</v>
      </c>
      <c r="D44" s="11" t="s">
        <v>13</v>
      </c>
      <c r="E44" s="86">
        <v>160000</v>
      </c>
      <c r="G44" s="30"/>
      <c r="I44" s="69"/>
      <c r="J44" s="69"/>
    </row>
    <row r="45" spans="1:10" s="70" customFormat="1" ht="12.75" customHeight="1" x14ac:dyDescent="0.2">
      <c r="A45" s="89">
        <v>45163</v>
      </c>
      <c r="B45" s="128" t="s">
        <v>6</v>
      </c>
      <c r="C45" s="10" t="s">
        <v>237</v>
      </c>
      <c r="D45" s="11" t="s">
        <v>13</v>
      </c>
      <c r="E45" s="86">
        <v>341564</v>
      </c>
      <c r="G45" s="30"/>
      <c r="I45" s="69"/>
      <c r="J45" s="69"/>
    </row>
    <row r="46" spans="1:10" s="70" customFormat="1" ht="12.75" customHeight="1" x14ac:dyDescent="0.2">
      <c r="A46" s="89">
        <v>45163</v>
      </c>
      <c r="B46" s="128" t="s">
        <v>6</v>
      </c>
      <c r="C46" s="10" t="s">
        <v>19</v>
      </c>
      <c r="D46" s="11" t="s">
        <v>13</v>
      </c>
      <c r="E46" s="86">
        <v>7080</v>
      </c>
      <c r="G46" s="30"/>
      <c r="I46" s="69"/>
      <c r="J46" s="69"/>
    </row>
    <row r="47" spans="1:10" s="70" customFormat="1" ht="12.75" customHeight="1" x14ac:dyDescent="0.2">
      <c r="A47" s="89">
        <v>45163</v>
      </c>
      <c r="B47" s="128" t="s">
        <v>6</v>
      </c>
      <c r="C47" s="10" t="s">
        <v>145</v>
      </c>
      <c r="D47" s="11" t="s">
        <v>13</v>
      </c>
      <c r="E47" s="86">
        <v>1338623</v>
      </c>
      <c r="G47" s="30"/>
      <c r="I47" s="69"/>
      <c r="J47" s="69"/>
    </row>
    <row r="48" spans="1:10" s="70" customFormat="1" ht="12.75" customHeight="1" x14ac:dyDescent="0.2">
      <c r="A48" s="89">
        <v>45163</v>
      </c>
      <c r="B48" s="128" t="s">
        <v>6</v>
      </c>
      <c r="C48" s="10" t="s">
        <v>1391</v>
      </c>
      <c r="D48" s="11" t="s">
        <v>13</v>
      </c>
      <c r="E48" s="86">
        <v>8400</v>
      </c>
      <c r="G48" s="30"/>
      <c r="I48" s="69"/>
      <c r="J48" s="69"/>
    </row>
    <row r="49" spans="1:14" s="70" customFormat="1" ht="12.75" customHeight="1" x14ac:dyDescent="0.2">
      <c r="A49" s="89">
        <v>45163</v>
      </c>
      <c r="B49" s="128" t="s">
        <v>6</v>
      </c>
      <c r="C49" s="10" t="s">
        <v>163</v>
      </c>
      <c r="D49" s="11" t="s">
        <v>13</v>
      </c>
      <c r="E49" s="86">
        <v>441402</v>
      </c>
      <c r="G49" s="30"/>
      <c r="I49" s="69"/>
      <c r="J49" s="69"/>
    </row>
    <row r="50" spans="1:14" s="70" customFormat="1" ht="12.75" customHeight="1" x14ac:dyDescent="0.2">
      <c r="A50" s="89">
        <v>45163</v>
      </c>
      <c r="B50" s="128" t="s">
        <v>6</v>
      </c>
      <c r="C50" s="10" t="s">
        <v>213</v>
      </c>
      <c r="D50" s="11" t="s">
        <v>13</v>
      </c>
      <c r="E50" s="86">
        <v>52450</v>
      </c>
      <c r="G50" s="30"/>
      <c r="I50" s="69"/>
      <c r="J50" s="69"/>
    </row>
    <row r="51" spans="1:14" s="70" customFormat="1" ht="12.75" customHeight="1" x14ac:dyDescent="0.2">
      <c r="A51" s="89">
        <v>45163</v>
      </c>
      <c r="B51" s="128" t="s">
        <v>6</v>
      </c>
      <c r="C51" s="10" t="s">
        <v>1420</v>
      </c>
      <c r="D51" s="11" t="s">
        <v>13</v>
      </c>
      <c r="E51" s="86">
        <v>796426</v>
      </c>
      <c r="G51" s="30"/>
      <c r="I51" s="69"/>
      <c r="J51" s="69"/>
    </row>
    <row r="52" spans="1:14" s="70" customFormat="1" ht="12.75" customHeight="1" x14ac:dyDescent="0.2">
      <c r="A52" s="89">
        <v>45163</v>
      </c>
      <c r="B52" s="128" t="s">
        <v>11</v>
      </c>
      <c r="C52" s="10" t="s">
        <v>748</v>
      </c>
      <c r="D52" s="11" t="s">
        <v>29</v>
      </c>
      <c r="E52" s="86"/>
      <c r="F52" s="70">
        <v>572808.1</v>
      </c>
      <c r="G52" s="30"/>
      <c r="I52" s="69"/>
      <c r="J52" s="69"/>
    </row>
    <row r="53" spans="1:14" s="70" customFormat="1" ht="12.75" customHeight="1" x14ac:dyDescent="0.2">
      <c r="A53" s="89">
        <v>45163</v>
      </c>
      <c r="B53" s="128" t="s">
        <v>11</v>
      </c>
      <c r="C53" s="10" t="s">
        <v>64</v>
      </c>
      <c r="D53" s="11" t="s">
        <v>29</v>
      </c>
      <c r="E53" s="86"/>
      <c r="F53" s="70">
        <v>4690.51</v>
      </c>
      <c r="G53" s="30"/>
      <c r="I53" s="69"/>
      <c r="J53" s="69"/>
    </row>
    <row r="54" spans="1:14" s="70" customFormat="1" ht="12.75" customHeight="1" x14ac:dyDescent="0.2">
      <c r="A54" s="89">
        <v>45163</v>
      </c>
      <c r="B54" s="128" t="s">
        <v>11</v>
      </c>
      <c r="C54" s="10" t="s">
        <v>199</v>
      </c>
      <c r="D54" s="11" t="s">
        <v>29</v>
      </c>
      <c r="E54" s="86"/>
      <c r="F54" s="70">
        <v>1251173</v>
      </c>
      <c r="G54" s="30"/>
      <c r="I54" s="69"/>
      <c r="J54" s="69"/>
    </row>
    <row r="55" spans="1:14" s="70" customFormat="1" ht="12.75" customHeight="1" x14ac:dyDescent="0.2">
      <c r="A55" s="89">
        <v>45163</v>
      </c>
      <c r="B55" s="128" t="s">
        <v>11</v>
      </c>
      <c r="C55" s="10" t="s">
        <v>62</v>
      </c>
      <c r="D55" s="11" t="s">
        <v>29</v>
      </c>
      <c r="E55" s="86"/>
      <c r="F55" s="70">
        <v>206000</v>
      </c>
      <c r="G55" s="30"/>
      <c r="I55" s="69"/>
      <c r="J55" s="69"/>
    </row>
    <row r="56" spans="1:14" s="70" customFormat="1" ht="12.75" customHeight="1" x14ac:dyDescent="0.2">
      <c r="A56" s="89">
        <v>45163</v>
      </c>
      <c r="B56" s="128" t="s">
        <v>11</v>
      </c>
      <c r="C56" s="10" t="s">
        <v>34</v>
      </c>
      <c r="D56" s="11" t="s">
        <v>29</v>
      </c>
      <c r="E56" s="86"/>
      <c r="F56" s="70">
        <v>30000</v>
      </c>
      <c r="G56" s="30"/>
      <c r="I56" s="69"/>
      <c r="J56" s="69"/>
    </row>
    <row r="57" spans="1:14" s="70" customFormat="1" ht="12.75" customHeight="1" x14ac:dyDescent="0.2">
      <c r="A57" s="89">
        <v>45163</v>
      </c>
      <c r="B57" s="128" t="s">
        <v>11</v>
      </c>
      <c r="C57" s="10" t="s">
        <v>107</v>
      </c>
      <c r="D57" s="11" t="s">
        <v>29</v>
      </c>
      <c r="E57" s="86"/>
      <c r="F57" s="70">
        <v>737129.81</v>
      </c>
      <c r="G57" s="30"/>
      <c r="I57" s="69"/>
      <c r="J57" s="69"/>
    </row>
    <row r="58" spans="1:14" s="70" customFormat="1" ht="12.75" customHeight="1" x14ac:dyDescent="0.2">
      <c r="A58" s="89">
        <v>45163</v>
      </c>
      <c r="B58" s="128" t="s">
        <v>11</v>
      </c>
      <c r="C58" s="10" t="s">
        <v>558</v>
      </c>
      <c r="D58" s="11" t="s">
        <v>29</v>
      </c>
      <c r="E58" s="86"/>
      <c r="F58" s="70">
        <v>1640401.19</v>
      </c>
      <c r="G58" s="30"/>
      <c r="I58" s="69"/>
      <c r="J58" s="69"/>
    </row>
    <row r="59" spans="1:14" s="70" customFormat="1" ht="12.75" customHeight="1" x14ac:dyDescent="0.2">
      <c r="A59" s="89">
        <v>45163</v>
      </c>
      <c r="B59" s="128" t="s">
        <v>11</v>
      </c>
      <c r="C59" s="10" t="s">
        <v>786</v>
      </c>
      <c r="D59" s="11" t="s">
        <v>29</v>
      </c>
      <c r="E59" s="86"/>
      <c r="F59" s="70">
        <v>625000</v>
      </c>
      <c r="G59" s="30"/>
      <c r="I59" s="69"/>
      <c r="J59" s="69"/>
    </row>
    <row r="60" spans="1:14" s="2" customFormat="1" ht="12.75" customHeight="1" x14ac:dyDescent="0.2">
      <c r="A60" s="32"/>
      <c r="B60" s="33"/>
      <c r="C60" s="14"/>
      <c r="D60" s="34"/>
      <c r="E60" s="16">
        <f>SUM(E29:E59)</f>
        <v>4772409.2699999996</v>
      </c>
      <c r="F60" s="16">
        <f>SUM(F29:F59)</f>
        <v>350459046.21000004</v>
      </c>
      <c r="G60" s="30"/>
      <c r="H60" s="1"/>
      <c r="I60" s="38">
        <v>95686636.939999998</v>
      </c>
      <c r="J60" s="2" t="s">
        <v>396</v>
      </c>
      <c r="K60" s="92">
        <f>E61-I60</f>
        <v>250000000.00000006</v>
      </c>
      <c r="L60" s="41"/>
      <c r="M60" s="42"/>
    </row>
    <row r="61" spans="1:14" s="2" customFormat="1" ht="12.75" customHeight="1" x14ac:dyDescent="0.2">
      <c r="A61" s="36"/>
      <c r="B61" s="28" t="s">
        <v>11</v>
      </c>
      <c r="C61" s="19" t="s">
        <v>65</v>
      </c>
      <c r="D61" s="37"/>
      <c r="E61" s="38">
        <f>F60-E60</f>
        <v>345686636.94000006</v>
      </c>
      <c r="F61" s="22"/>
      <c r="G61" s="1"/>
      <c r="H61" s="1"/>
      <c r="J61" s="1"/>
      <c r="K61" s="1"/>
      <c r="L61" s="1"/>
      <c r="M61" s="1"/>
    </row>
    <row r="62" spans="1:14" s="2" customFormat="1" ht="12.75" customHeight="1" x14ac:dyDescent="0.2">
      <c r="A62" s="36"/>
      <c r="B62" s="28" t="s">
        <v>66</v>
      </c>
      <c r="C62" s="43" t="s">
        <v>67</v>
      </c>
      <c r="D62" s="43"/>
      <c r="E62" s="12">
        <v>0</v>
      </c>
      <c r="F62" s="22"/>
      <c r="G62" s="1"/>
      <c r="H62" s="40"/>
      <c r="I62" s="45">
        <f>3575.12-400</f>
        <v>3175.12</v>
      </c>
      <c r="J62" s="46"/>
      <c r="K62" s="46"/>
      <c r="L62" s="13"/>
      <c r="M62" s="69" t="s">
        <v>396</v>
      </c>
    </row>
    <row r="63" spans="1:14" s="2" customFormat="1" ht="12.75" customHeight="1" x14ac:dyDescent="0.25">
      <c r="A63" s="36"/>
      <c r="B63" s="28"/>
      <c r="C63" s="44" t="s">
        <v>68</v>
      </c>
      <c r="D63" s="43"/>
      <c r="E63" s="7">
        <f>E61+E62</f>
        <v>345686636.94000006</v>
      </c>
      <c r="F63" s="22"/>
      <c r="G63" s="1"/>
      <c r="H63" s="103" t="s">
        <v>69</v>
      </c>
      <c r="I63" s="45">
        <v>-46.42</v>
      </c>
      <c r="J63" s="46"/>
      <c r="K63" s="46"/>
      <c r="N63" s="1"/>
    </row>
    <row r="64" spans="1:14" s="2" customFormat="1" x14ac:dyDescent="0.2">
      <c r="A64" s="24"/>
      <c r="B64" s="1"/>
      <c r="C64" s="14"/>
      <c r="D64" s="25"/>
      <c r="E64" s="1"/>
      <c r="H64" s="35" t="s">
        <v>70</v>
      </c>
      <c r="I64" s="45">
        <v>0</v>
      </c>
      <c r="J64" s="46">
        <f>+I65-D67</f>
        <v>0</v>
      </c>
      <c r="M64" s="2" t="s">
        <v>396</v>
      </c>
      <c r="N64" s="1"/>
    </row>
    <row r="65" spans="1:14" x14ac:dyDescent="0.2">
      <c r="C65" s="56"/>
      <c r="D65" s="56"/>
      <c r="E65" s="104"/>
      <c r="I65" s="49">
        <f>SUM(I62:I64)</f>
        <v>3128.7</v>
      </c>
      <c r="J65" s="46"/>
      <c r="K65" s="46"/>
      <c r="L65" s="2"/>
      <c r="M65" s="2"/>
      <c r="N65" s="2"/>
    </row>
    <row r="66" spans="1:14" x14ac:dyDescent="0.2">
      <c r="C66" s="78" t="s">
        <v>575</v>
      </c>
      <c r="D66" s="48" t="s">
        <v>576</v>
      </c>
      <c r="E66" s="104"/>
      <c r="I66" s="2"/>
      <c r="J66" s="2"/>
      <c r="K66" s="2"/>
      <c r="L66" s="2"/>
      <c r="M66" s="2"/>
      <c r="N66" s="2"/>
    </row>
    <row r="67" spans="1:14" s="2" customFormat="1" x14ac:dyDescent="0.2">
      <c r="A67" s="24"/>
      <c r="B67" s="1"/>
      <c r="C67" s="47" t="s">
        <v>570</v>
      </c>
      <c r="D67" s="111">
        <v>3128.7</v>
      </c>
      <c r="E67" s="104"/>
      <c r="G67" s="1"/>
      <c r="H67" s="110" t="s">
        <v>581</v>
      </c>
      <c r="N67" s="2" t="s">
        <v>535</v>
      </c>
    </row>
    <row r="68" spans="1:14" s="2" customFormat="1" x14ac:dyDescent="0.2">
      <c r="A68" s="24"/>
      <c r="B68" s="1"/>
      <c r="C68" s="47" t="s">
        <v>931</v>
      </c>
      <c r="D68" s="111">
        <v>270.95</v>
      </c>
      <c r="E68" s="104"/>
      <c r="G68" s="1"/>
      <c r="H68" s="110" t="s">
        <v>580</v>
      </c>
    </row>
    <row r="69" spans="1:14" s="2" customFormat="1" x14ac:dyDescent="0.2">
      <c r="A69" s="24"/>
      <c r="B69" s="1"/>
      <c r="C69" s="47" t="s">
        <v>572</v>
      </c>
      <c r="D69" s="111">
        <f>+D107/100000</f>
        <v>181.11233910000001</v>
      </c>
      <c r="E69" s="104"/>
      <c r="G69" s="1"/>
      <c r="H69" s="90" t="s">
        <v>587</v>
      </c>
    </row>
    <row r="70" spans="1:14" s="2" customFormat="1" x14ac:dyDescent="0.2">
      <c r="A70" s="24"/>
      <c r="B70" s="1"/>
      <c r="C70" s="108" t="s">
        <v>578</v>
      </c>
      <c r="D70" s="48">
        <f>SUM(D67:D69)</f>
        <v>3580.7623390999997</v>
      </c>
      <c r="E70" s="104"/>
      <c r="G70" s="1"/>
    </row>
    <row r="71" spans="1:14" s="2" customFormat="1" x14ac:dyDescent="0.2">
      <c r="A71" s="24"/>
      <c r="B71" s="1"/>
      <c r="C71" s="47"/>
      <c r="D71" s="107"/>
      <c r="E71" s="104"/>
      <c r="G71" s="1"/>
    </row>
    <row r="72" spans="1:14" s="2" customFormat="1" x14ac:dyDescent="0.2">
      <c r="A72" s="24"/>
      <c r="B72" s="1"/>
      <c r="C72" s="47" t="s">
        <v>932</v>
      </c>
      <c r="D72" s="111">
        <v>136.78</v>
      </c>
      <c r="E72" s="104"/>
      <c r="G72" s="1"/>
      <c r="H72" s="110" t="s">
        <v>581</v>
      </c>
    </row>
    <row r="73" spans="1:14" s="2" customFormat="1" x14ac:dyDescent="0.2">
      <c r="A73" s="24"/>
      <c r="B73" s="1"/>
      <c r="C73" s="136" t="s">
        <v>1142</v>
      </c>
      <c r="D73" s="111">
        <v>236.97</v>
      </c>
      <c r="E73" s="104"/>
      <c r="G73" s="1"/>
      <c r="H73" s="110" t="s">
        <v>581</v>
      </c>
      <c r="J73" s="114" t="s">
        <v>713</v>
      </c>
    </row>
    <row r="74" spans="1:14" s="2" customFormat="1" x14ac:dyDescent="0.2">
      <c r="A74" s="24"/>
      <c r="B74" s="1"/>
      <c r="C74" s="78" t="s">
        <v>579</v>
      </c>
      <c r="D74" s="109">
        <f>D72+D73</f>
        <v>373.75</v>
      </c>
      <c r="E74" s="104"/>
      <c r="G74" s="1"/>
      <c r="I74" s="113"/>
      <c r="J74" s="113" t="s">
        <v>709</v>
      </c>
      <c r="K74" s="113" t="s">
        <v>710</v>
      </c>
      <c r="L74" s="113" t="s">
        <v>711</v>
      </c>
      <c r="M74" s="113" t="s">
        <v>712</v>
      </c>
    </row>
    <row r="75" spans="1:14" s="2" customFormat="1" x14ac:dyDescent="0.2">
      <c r="A75" s="24"/>
      <c r="B75" s="1"/>
      <c r="C75" s="105"/>
      <c r="D75" s="106"/>
      <c r="E75" s="104"/>
      <c r="G75" s="1"/>
      <c r="I75" s="113" t="s">
        <v>706</v>
      </c>
      <c r="J75" s="115"/>
      <c r="K75" s="115">
        <v>968.99</v>
      </c>
      <c r="L75" s="115">
        <v>968.99</v>
      </c>
      <c r="M75" s="113">
        <f>+J75+L75-K75</f>
        <v>0</v>
      </c>
    </row>
    <row r="76" spans="1:14" s="2" customFormat="1" x14ac:dyDescent="0.2">
      <c r="A76" s="24"/>
      <c r="B76" s="1"/>
      <c r="C76" s="78" t="s">
        <v>577</v>
      </c>
      <c r="D76" s="109">
        <f>D67+D74</f>
        <v>3502.45</v>
      </c>
      <c r="E76" s="104"/>
      <c r="G76" s="1"/>
      <c r="I76" s="113" t="s">
        <v>707</v>
      </c>
      <c r="J76" s="115">
        <v>183.1</v>
      </c>
      <c r="K76" s="115">
        <v>3195.48</v>
      </c>
      <c r="L76" s="115">
        <v>3687.95</v>
      </c>
      <c r="M76" s="113">
        <f>+J76+L76-K76</f>
        <v>675.56999999999971</v>
      </c>
    </row>
    <row r="77" spans="1:14" s="2" customFormat="1" x14ac:dyDescent="0.2">
      <c r="A77" s="24"/>
      <c r="B77" s="1"/>
      <c r="C77" s="56"/>
      <c r="D77" s="56"/>
      <c r="E77" s="104"/>
      <c r="G77" s="1"/>
      <c r="I77" s="113" t="s">
        <v>708</v>
      </c>
      <c r="J77" s="115">
        <v>1371.02</v>
      </c>
      <c r="K77" s="115">
        <v>13606.1</v>
      </c>
      <c r="L77" s="115">
        <f>12941.34+301.37</f>
        <v>13242.710000000001</v>
      </c>
      <c r="M77" s="113">
        <f>+J77+L77-K77</f>
        <v>1007.630000000001</v>
      </c>
    </row>
    <row r="78" spans="1:14" s="2" customFormat="1" ht="38.25" x14ac:dyDescent="0.2">
      <c r="A78" s="24"/>
      <c r="B78" s="1"/>
      <c r="C78" s="79" t="str">
        <f>"Particulars ( 01-04-2021 to "&amp;TEXT(A5,"dd-mm-yyyy")&amp;" )"</f>
        <v>Particulars ( 01-04-2021 to 25-08-2023 )</v>
      </c>
      <c r="D78" s="80" t="s">
        <v>73</v>
      </c>
      <c r="E78" s="80" t="s">
        <v>74</v>
      </c>
      <c r="F78" s="81" t="s">
        <v>75</v>
      </c>
      <c r="G78" s="80" t="s">
        <v>76</v>
      </c>
      <c r="J78" s="118">
        <f>SUM(J75:J77)</f>
        <v>1554.12</v>
      </c>
      <c r="K78" s="118">
        <f>SUM(K75:K77)</f>
        <v>17770.57</v>
      </c>
      <c r="L78" s="118">
        <f>SUM(L75:L77)</f>
        <v>17899.650000000001</v>
      </c>
      <c r="M78" s="118">
        <f>SUM(M75:M77)</f>
        <v>1683.2000000000007</v>
      </c>
    </row>
    <row r="79" spans="1:14" s="2" customFormat="1" x14ac:dyDescent="0.2">
      <c r="A79" s="24"/>
      <c r="B79" s="1"/>
      <c r="C79" s="50" t="s">
        <v>444</v>
      </c>
      <c r="D79" s="55">
        <f>+L75+L76+J76</f>
        <v>4840.04</v>
      </c>
      <c r="E79" s="55">
        <f>+K75+K76</f>
        <v>4164.47</v>
      </c>
      <c r="F79" s="55">
        <f>+D79-E79</f>
        <v>675.56999999999971</v>
      </c>
      <c r="G79" s="55">
        <f>1500-F79</f>
        <v>824.43000000000029</v>
      </c>
      <c r="H79" s="2" t="s">
        <v>396</v>
      </c>
    </row>
    <row r="80" spans="1:14" s="2" customFormat="1" x14ac:dyDescent="0.2">
      <c r="A80" s="24"/>
      <c r="B80" s="1"/>
      <c r="C80" s="50" t="s">
        <v>71</v>
      </c>
      <c r="D80" s="55">
        <f>+J77+L77</f>
        <v>14613.730000000001</v>
      </c>
      <c r="E80" s="55">
        <f>+K77</f>
        <v>13606.1</v>
      </c>
      <c r="F80" s="55">
        <f>+D80-E80</f>
        <v>1007.630000000001</v>
      </c>
      <c r="G80" s="55">
        <f>1500+700-F80</f>
        <v>1192.369999999999</v>
      </c>
      <c r="H80" s="2" t="s">
        <v>396</v>
      </c>
    </row>
    <row r="81" spans="1:13" s="2" customFormat="1" x14ac:dyDescent="0.2">
      <c r="A81" s="24"/>
      <c r="B81" s="1"/>
      <c r="C81" s="14"/>
      <c r="D81" s="56"/>
      <c r="E81" s="13"/>
      <c r="G81" s="1"/>
    </row>
    <row r="82" spans="1:13" s="2" customFormat="1" x14ac:dyDescent="0.2">
      <c r="A82" s="215" t="s">
        <v>80</v>
      </c>
      <c r="B82" s="216"/>
      <c r="C82" s="216"/>
      <c r="D82" s="217"/>
      <c r="E82" s="69"/>
      <c r="F82" s="70"/>
      <c r="G82" s="1"/>
      <c r="H82" s="53"/>
    </row>
    <row r="83" spans="1:13" s="2" customFormat="1" x14ac:dyDescent="0.2">
      <c r="A83" s="71" t="s">
        <v>81</v>
      </c>
      <c r="B83" s="71"/>
      <c r="C83" s="72" t="s">
        <v>82</v>
      </c>
      <c r="D83" s="73" t="s">
        <v>83</v>
      </c>
      <c r="E83" s="69"/>
      <c r="F83" s="70"/>
      <c r="H83" s="53"/>
    </row>
    <row r="84" spans="1:13" s="2" customFormat="1" x14ac:dyDescent="0.2">
      <c r="A84" s="87">
        <v>45139</v>
      </c>
      <c r="B84" s="120" t="s">
        <v>1052</v>
      </c>
      <c r="C84" s="75" t="s">
        <v>85</v>
      </c>
      <c r="D84" s="88">
        <v>552343</v>
      </c>
      <c r="G84" s="1"/>
      <c r="L84" s="1"/>
      <c r="M84" s="1"/>
    </row>
    <row r="85" spans="1:13" s="2" customFormat="1" x14ac:dyDescent="0.2">
      <c r="A85" s="87">
        <v>45140</v>
      </c>
      <c r="B85" s="120" t="s">
        <v>1052</v>
      </c>
      <c r="C85" s="75" t="s">
        <v>270</v>
      </c>
      <c r="D85" s="88">
        <v>244404</v>
      </c>
      <c r="G85" s="1"/>
      <c r="L85" s="1"/>
      <c r="M85" s="1"/>
    </row>
    <row r="86" spans="1:13" s="2" customFormat="1" x14ac:dyDescent="0.2">
      <c r="A86" s="87">
        <v>45140</v>
      </c>
      <c r="B86" s="120" t="s">
        <v>1052</v>
      </c>
      <c r="C86" s="75" t="s">
        <v>270</v>
      </c>
      <c r="D86" s="88">
        <v>550256</v>
      </c>
      <c r="G86" s="1"/>
      <c r="L86" s="1"/>
      <c r="M86" s="1"/>
    </row>
    <row r="87" spans="1:13" s="2" customFormat="1" x14ac:dyDescent="0.2">
      <c r="A87" s="87">
        <v>45140</v>
      </c>
      <c r="B87" s="120" t="s">
        <v>1052</v>
      </c>
      <c r="C87" s="75" t="s">
        <v>270</v>
      </c>
      <c r="D87" s="88">
        <v>191589</v>
      </c>
      <c r="G87" s="1"/>
      <c r="L87" s="1"/>
      <c r="M87" s="1"/>
    </row>
    <row r="88" spans="1:13" s="2" customFormat="1" x14ac:dyDescent="0.2">
      <c r="A88" s="87">
        <v>45140</v>
      </c>
      <c r="B88" s="120" t="s">
        <v>1052</v>
      </c>
      <c r="C88" s="75" t="s">
        <v>270</v>
      </c>
      <c r="D88" s="88">
        <v>74415.91</v>
      </c>
      <c r="G88" s="1"/>
      <c r="L88" s="1"/>
      <c r="M88" s="1"/>
    </row>
    <row r="89" spans="1:13" s="2" customFormat="1" x14ac:dyDescent="0.2">
      <c r="A89" s="87">
        <v>45140</v>
      </c>
      <c r="B89" s="120" t="s">
        <v>1052</v>
      </c>
      <c r="C89" s="75" t="s">
        <v>271</v>
      </c>
      <c r="D89" s="88">
        <v>454781</v>
      </c>
      <c r="G89" s="1"/>
      <c r="L89" s="1"/>
      <c r="M89" s="1"/>
    </row>
    <row r="90" spans="1:13" s="2" customFormat="1" x14ac:dyDescent="0.2">
      <c r="A90" s="87">
        <v>45141</v>
      </c>
      <c r="B90" s="120" t="s">
        <v>1052</v>
      </c>
      <c r="C90" s="75" t="s">
        <v>909</v>
      </c>
      <c r="D90" s="88">
        <v>910969</v>
      </c>
      <c r="G90" s="1"/>
      <c r="L90" s="1"/>
      <c r="M90" s="1"/>
    </row>
    <row r="91" spans="1:13" s="2" customFormat="1" x14ac:dyDescent="0.2">
      <c r="A91" s="87">
        <v>45141</v>
      </c>
      <c r="B91" s="120" t="s">
        <v>1052</v>
      </c>
      <c r="C91" s="75" t="s">
        <v>909</v>
      </c>
      <c r="D91" s="88">
        <v>1424635</v>
      </c>
      <c r="G91" s="1"/>
      <c r="L91" s="1"/>
      <c r="M91" s="1"/>
    </row>
    <row r="92" spans="1:13" s="2" customFormat="1" x14ac:dyDescent="0.2">
      <c r="A92" s="87">
        <v>45143</v>
      </c>
      <c r="B92" s="120" t="s">
        <v>1052</v>
      </c>
      <c r="C92" s="75" t="s">
        <v>85</v>
      </c>
      <c r="D92" s="88">
        <v>644288</v>
      </c>
      <c r="G92" s="1"/>
      <c r="L92" s="1"/>
      <c r="M92" s="1"/>
    </row>
    <row r="93" spans="1:13" s="2" customFormat="1" x14ac:dyDescent="0.2">
      <c r="A93" s="87">
        <v>45146</v>
      </c>
      <c r="B93" s="120" t="s">
        <v>1052</v>
      </c>
      <c r="C93" s="75" t="s">
        <v>85</v>
      </c>
      <c r="D93" s="88">
        <v>136333</v>
      </c>
      <c r="G93" s="1"/>
      <c r="L93" s="1"/>
      <c r="M93" s="1"/>
    </row>
    <row r="94" spans="1:13" s="2" customFormat="1" x14ac:dyDescent="0.2">
      <c r="A94" s="87">
        <v>45146</v>
      </c>
      <c r="B94" s="120" t="s">
        <v>1052</v>
      </c>
      <c r="C94" s="75" t="s">
        <v>1343</v>
      </c>
      <c r="D94" s="88">
        <v>2000000</v>
      </c>
      <c r="G94" s="1"/>
      <c r="L94" s="1"/>
      <c r="M94" s="1"/>
    </row>
    <row r="95" spans="1:13" s="2" customFormat="1" x14ac:dyDescent="0.2">
      <c r="A95" s="87">
        <v>45152</v>
      </c>
      <c r="B95" s="120" t="s">
        <v>1052</v>
      </c>
      <c r="C95" s="75" t="s">
        <v>270</v>
      </c>
      <c r="D95" s="88">
        <v>26225</v>
      </c>
      <c r="G95" s="1"/>
      <c r="L95" s="1"/>
      <c r="M95" s="1"/>
    </row>
    <row r="96" spans="1:13" s="2" customFormat="1" x14ac:dyDescent="0.2">
      <c r="A96" s="87">
        <v>45152</v>
      </c>
      <c r="B96" s="120" t="s">
        <v>1052</v>
      </c>
      <c r="C96" s="75" t="s">
        <v>270</v>
      </c>
      <c r="D96" s="88">
        <v>47499</v>
      </c>
      <c r="G96" s="1"/>
      <c r="L96" s="1"/>
      <c r="M96" s="1"/>
    </row>
    <row r="97" spans="1:13" s="2" customFormat="1" x14ac:dyDescent="0.2">
      <c r="A97" s="87">
        <v>45154</v>
      </c>
      <c r="B97" s="120" t="s">
        <v>1052</v>
      </c>
      <c r="C97" s="75" t="s">
        <v>271</v>
      </c>
      <c r="D97" s="88">
        <v>2701267</v>
      </c>
      <c r="G97" s="1"/>
      <c r="L97" s="1"/>
      <c r="M97" s="1"/>
    </row>
    <row r="98" spans="1:13" s="2" customFormat="1" x14ac:dyDescent="0.2">
      <c r="A98" s="87">
        <v>45157</v>
      </c>
      <c r="B98" s="120" t="s">
        <v>1052</v>
      </c>
      <c r="C98" s="75" t="s">
        <v>888</v>
      </c>
      <c r="D98" s="88">
        <v>1087820</v>
      </c>
      <c r="G98" s="1"/>
      <c r="L98" s="1"/>
      <c r="M98" s="1"/>
    </row>
    <row r="99" spans="1:13" s="2" customFormat="1" x14ac:dyDescent="0.2">
      <c r="A99" s="87">
        <v>45159</v>
      </c>
      <c r="B99" s="120" t="s">
        <v>1052</v>
      </c>
      <c r="C99" s="75" t="s">
        <v>270</v>
      </c>
      <c r="D99" s="88">
        <v>26199</v>
      </c>
      <c r="G99" s="1"/>
      <c r="L99" s="1"/>
      <c r="M99" s="1"/>
    </row>
    <row r="100" spans="1:13" s="2" customFormat="1" x14ac:dyDescent="0.2">
      <c r="A100" s="87">
        <v>45159</v>
      </c>
      <c r="B100" s="120" t="s">
        <v>1052</v>
      </c>
      <c r="C100" s="75" t="s">
        <v>85</v>
      </c>
      <c r="D100" s="88">
        <v>79111</v>
      </c>
      <c r="G100" s="1"/>
      <c r="L100" s="1"/>
      <c r="M100" s="1"/>
    </row>
    <row r="101" spans="1:13" s="2" customFormat="1" x14ac:dyDescent="0.2">
      <c r="A101" s="87">
        <v>45159</v>
      </c>
      <c r="B101" s="120" t="s">
        <v>1052</v>
      </c>
      <c r="C101" s="75" t="s">
        <v>909</v>
      </c>
      <c r="D101" s="88">
        <v>41960</v>
      </c>
      <c r="G101" s="1"/>
      <c r="L101" s="1"/>
      <c r="M101" s="1"/>
    </row>
    <row r="102" spans="1:13" s="2" customFormat="1" x14ac:dyDescent="0.2">
      <c r="A102" s="87">
        <v>45159</v>
      </c>
      <c r="B102" s="120" t="s">
        <v>1052</v>
      </c>
      <c r="C102" s="75" t="s">
        <v>909</v>
      </c>
      <c r="D102" s="88">
        <v>6142426</v>
      </c>
      <c r="G102" s="1"/>
      <c r="L102" s="1"/>
      <c r="M102" s="1"/>
    </row>
    <row r="103" spans="1:13" s="2" customFormat="1" x14ac:dyDescent="0.2">
      <c r="A103" s="87">
        <v>45160</v>
      </c>
      <c r="B103" s="120" t="s">
        <v>1052</v>
      </c>
      <c r="C103" s="75" t="s">
        <v>271</v>
      </c>
      <c r="D103" s="88">
        <v>176546</v>
      </c>
      <c r="G103" s="1"/>
      <c r="L103" s="1"/>
      <c r="M103" s="1"/>
    </row>
    <row r="104" spans="1:13" s="2" customFormat="1" x14ac:dyDescent="0.2">
      <c r="A104" s="87">
        <v>45161</v>
      </c>
      <c r="B104" s="120" t="s">
        <v>1052</v>
      </c>
      <c r="C104" s="75" t="s">
        <v>767</v>
      </c>
      <c r="D104" s="88">
        <v>142706</v>
      </c>
      <c r="G104" s="1"/>
      <c r="L104" s="1"/>
      <c r="M104" s="1"/>
    </row>
    <row r="105" spans="1:13" s="2" customFormat="1" x14ac:dyDescent="0.2">
      <c r="A105" s="87">
        <v>45162</v>
      </c>
      <c r="B105" s="120" t="s">
        <v>1052</v>
      </c>
      <c r="C105" s="75" t="s">
        <v>85</v>
      </c>
      <c r="D105" s="88">
        <v>66464</v>
      </c>
      <c r="G105" s="1"/>
      <c r="L105" s="1"/>
      <c r="M105" s="1"/>
    </row>
    <row r="106" spans="1:13" s="2" customFormat="1" x14ac:dyDescent="0.2">
      <c r="A106" s="87">
        <v>45162</v>
      </c>
      <c r="B106" s="120" t="s">
        <v>1052</v>
      </c>
      <c r="C106" s="75" t="s">
        <v>270</v>
      </c>
      <c r="D106" s="88">
        <v>388997</v>
      </c>
      <c r="G106" s="1"/>
      <c r="L106" s="1"/>
      <c r="M106" s="1"/>
    </row>
    <row r="107" spans="1:13" s="2" customFormat="1" x14ac:dyDescent="0.2">
      <c r="A107" s="87"/>
      <c r="B107" s="74"/>
      <c r="C107" s="75"/>
      <c r="D107" s="51">
        <f>SUM(D84:D106)</f>
        <v>18111233.91</v>
      </c>
      <c r="F107" s="2" t="s">
        <v>396</v>
      </c>
      <c r="G107" s="1"/>
      <c r="L107" s="1"/>
      <c r="M107" s="1"/>
    </row>
    <row r="108" spans="1:13" s="2" customFormat="1" x14ac:dyDescent="0.2">
      <c r="A108" s="24"/>
      <c r="B108" s="1"/>
      <c r="C108" s="14"/>
      <c r="D108" s="56"/>
      <c r="E108" s="13"/>
      <c r="G108" s="1"/>
      <c r="L108" s="1"/>
      <c r="M108" s="1"/>
    </row>
    <row r="109" spans="1:13" s="2" customFormat="1" x14ac:dyDescent="0.2">
      <c r="A109" s="24"/>
      <c r="B109" s="1"/>
      <c r="C109" s="218" t="s">
        <v>77</v>
      </c>
      <c r="D109" s="219"/>
      <c r="E109" s="219"/>
      <c r="F109" s="220"/>
      <c r="G109" s="1"/>
      <c r="L109" s="1"/>
      <c r="M109" s="1"/>
    </row>
    <row r="110" spans="1:13" s="2" customFormat="1" x14ac:dyDescent="0.2">
      <c r="A110" s="24"/>
      <c r="B110" s="1"/>
      <c r="C110" s="50"/>
      <c r="D110" s="57" t="s">
        <v>78</v>
      </c>
      <c r="E110" s="58" t="s">
        <v>79</v>
      </c>
      <c r="F110" s="57" t="s">
        <v>72</v>
      </c>
      <c r="G110" s="1"/>
      <c r="I110" s="1"/>
      <c r="J110" s="1"/>
      <c r="K110" s="1"/>
      <c r="L110" s="1"/>
      <c r="M110" s="1"/>
    </row>
    <row r="111" spans="1:13" s="2" customFormat="1" x14ac:dyDescent="0.2">
      <c r="A111" s="24"/>
      <c r="B111" s="1"/>
      <c r="C111" s="59" t="str">
        <f>"01-08-2023 to "&amp;TEXT(A5-2,"dd-mm-yyyy")</f>
        <v>01-08-2023 to 23-08-2023</v>
      </c>
      <c r="D111" s="60">
        <v>2607.19</v>
      </c>
      <c r="E111" s="60">
        <v>214.58</v>
      </c>
      <c r="F111" s="61">
        <f>SUM(D111:E111)</f>
        <v>2821.77</v>
      </c>
      <c r="G111" s="1"/>
    </row>
    <row r="112" spans="1:13" s="2" customFormat="1" x14ac:dyDescent="0.2">
      <c r="A112" s="24"/>
      <c r="B112" s="1"/>
      <c r="C112" s="62" t="str">
        <f>TEXT(A5-1,"dd-mm-yyyy")</f>
        <v>24-08-2023</v>
      </c>
      <c r="D112" s="60">
        <v>14.12</v>
      </c>
      <c r="E112" s="60">
        <v>19.2</v>
      </c>
      <c r="F112" s="61">
        <f>SUM(D112:E112)</f>
        <v>33.32</v>
      </c>
      <c r="G112" s="54"/>
      <c r="I112" s="1"/>
      <c r="J112" s="1"/>
      <c r="K112" s="1"/>
      <c r="L112" s="1"/>
      <c r="M112" s="1"/>
    </row>
    <row r="113" spans="1:13" s="2" customFormat="1" ht="13.5" thickBot="1" x14ac:dyDescent="0.25">
      <c r="A113" s="24"/>
      <c r="B113" s="1"/>
      <c r="C113" s="63" t="str">
        <f>"01-08-2023 to "&amp;TEXT(A5-1,"dd-mm-yyyy")</f>
        <v>01-08-2023 to 24-08-2023</v>
      </c>
      <c r="D113" s="64">
        <f>SUM(D111:D112)</f>
        <v>2621.31</v>
      </c>
      <c r="E113" s="64">
        <f>SUM(E111:E112)</f>
        <v>233.78</v>
      </c>
      <c r="F113" s="64">
        <f>SUM(F111:F112)</f>
        <v>2855.09</v>
      </c>
      <c r="G113" s="54"/>
      <c r="I113" s="1"/>
      <c r="J113" s="1"/>
      <c r="K113" s="1"/>
      <c r="L113" s="1"/>
      <c r="M113" s="1"/>
    </row>
    <row r="114" spans="1:13" s="2" customFormat="1" ht="13.5" thickTop="1" x14ac:dyDescent="0.2">
      <c r="A114" s="24"/>
      <c r="B114" s="1"/>
      <c r="C114" s="62"/>
      <c r="D114" s="65"/>
      <c r="E114" s="66"/>
      <c r="F114" s="67"/>
      <c r="G114" s="54"/>
      <c r="I114" s="1"/>
      <c r="J114" s="1"/>
      <c r="K114" s="1"/>
      <c r="L114" s="1"/>
      <c r="M114" s="1"/>
    </row>
    <row r="115" spans="1:13" s="2" customFormat="1" x14ac:dyDescent="0.2">
      <c r="A115" s="24"/>
      <c r="B115" s="1"/>
      <c r="C115" s="62" t="str">
        <f>"01-04-2023 to " &amp;C112</f>
        <v>01-04-2023 to 24-08-2023</v>
      </c>
      <c r="D115" s="68">
        <f>+D113+20859.39</f>
        <v>23480.7</v>
      </c>
      <c r="E115" s="68">
        <f>+E113+1376.76</f>
        <v>1610.54</v>
      </c>
      <c r="F115" s="68">
        <f>+F113+22236.15</f>
        <v>25091.24</v>
      </c>
      <c r="G115" s="54"/>
      <c r="I115" s="1"/>
      <c r="J115" s="1"/>
      <c r="K115" s="1"/>
      <c r="L115" s="1"/>
      <c r="M115" s="1"/>
    </row>
    <row r="116" spans="1:13" x14ac:dyDescent="0.2">
      <c r="C116" s="52"/>
      <c r="D116" s="85"/>
      <c r="E116" s="53"/>
      <c r="F116" s="53"/>
      <c r="G116" s="54"/>
      <c r="H116" s="2" t="s">
        <v>396</v>
      </c>
    </row>
    <row r="117" spans="1:13" s="2" customFormat="1" x14ac:dyDescent="0.2">
      <c r="A117" s="24"/>
      <c r="B117" s="1"/>
      <c r="C117" s="52"/>
      <c r="D117" s="85"/>
      <c r="E117" s="53"/>
      <c r="F117" s="53"/>
      <c r="G117" s="54"/>
      <c r="H117" s="53"/>
    </row>
    <row r="118" spans="1:13" x14ac:dyDescent="0.2">
      <c r="C118" s="52"/>
      <c r="D118" s="85"/>
      <c r="E118" s="53"/>
      <c r="F118" s="53"/>
      <c r="G118" s="54"/>
      <c r="H118" s="53" t="s">
        <v>396</v>
      </c>
    </row>
    <row r="119" spans="1:13" x14ac:dyDescent="0.2">
      <c r="C119" s="52"/>
      <c r="D119" s="85"/>
      <c r="E119" s="53"/>
      <c r="F119" s="53"/>
      <c r="G119" s="54"/>
      <c r="H119" s="53" t="s">
        <v>396</v>
      </c>
      <c r="J119" s="42"/>
    </row>
    <row r="120" spans="1:13" x14ac:dyDescent="0.2">
      <c r="G120" s="54"/>
      <c r="H120" s="53"/>
      <c r="I120" s="101"/>
    </row>
    <row r="121" spans="1:13" x14ac:dyDescent="0.2">
      <c r="G121" s="54"/>
      <c r="H121" s="53"/>
    </row>
    <row r="122" spans="1:13" x14ac:dyDescent="0.2">
      <c r="G122" s="54"/>
      <c r="H122" s="53"/>
    </row>
    <row r="123" spans="1:13" x14ac:dyDescent="0.2">
      <c r="H123" s="53"/>
    </row>
  </sheetData>
  <mergeCells count="6">
    <mergeCell ref="C109:F109"/>
    <mergeCell ref="A1:G1"/>
    <mergeCell ref="A3:F3"/>
    <mergeCell ref="A9:F9"/>
    <mergeCell ref="A27:F27"/>
    <mergeCell ref="A82:D82"/>
  </mergeCells>
  <conditionalFormatting sqref="G79:G80">
    <cfRule type="cellIs" dxfId="345" priority="1" operator="lessThan">
      <formula>0</formula>
    </cfRule>
  </conditionalFormatting>
  <conditionalFormatting sqref="C29">
    <cfRule type="duplicateValues" dxfId="344" priority="2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600-000000000000}">
  <sheetPr codeName="Sheet414">
    <pageSetUpPr fitToPage="1"/>
  </sheetPr>
  <dimension ref="A1:N94"/>
  <sheetViews>
    <sheetView topLeftCell="A13" zoomScaleNormal="100" workbookViewId="0">
      <selection activeCell="A2" sqref="A2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1422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45164</v>
      </c>
      <c r="B5" s="9" t="s">
        <v>6</v>
      </c>
      <c r="C5" s="10" t="s">
        <v>7</v>
      </c>
      <c r="D5" s="11"/>
      <c r="E5" s="12">
        <v>1546581.74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1546581.74</v>
      </c>
      <c r="F6" s="16">
        <f>SUM(F5:F5)</f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+E6-F6</f>
        <v>1546581.74</v>
      </c>
      <c r="F7" s="22"/>
      <c r="G7" s="23"/>
      <c r="H7" s="112"/>
      <c r="I7" s="112"/>
      <c r="J7" s="13"/>
    </row>
    <row r="8" spans="1:10" ht="12.75" customHeight="1" x14ac:dyDescent="0.4">
      <c r="H8" s="112"/>
      <c r="I8" s="112"/>
    </row>
    <row r="9" spans="1:10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12"/>
    </row>
    <row r="10" spans="1:10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12"/>
    </row>
    <row r="11" spans="1:10" s="2" customFormat="1" ht="14.25" customHeight="1" x14ac:dyDescent="0.2">
      <c r="A11" s="89">
        <v>45164</v>
      </c>
      <c r="B11" s="9" t="s">
        <v>6</v>
      </c>
      <c r="C11" s="10" t="s">
        <v>7</v>
      </c>
      <c r="D11" s="11"/>
      <c r="F11" s="12">
        <v>70273631.189999998</v>
      </c>
      <c r="G11" s="1"/>
      <c r="H11" s="130" t="s">
        <v>396</v>
      </c>
      <c r="I11" s="130"/>
    </row>
    <row r="12" spans="1:10" s="70" customFormat="1" ht="12.75" customHeight="1" x14ac:dyDescent="0.2">
      <c r="A12" s="89">
        <v>45164</v>
      </c>
      <c r="B12" s="9" t="s">
        <v>6</v>
      </c>
      <c r="C12" s="149" t="s">
        <v>1002</v>
      </c>
      <c r="D12" s="150" t="s">
        <v>13</v>
      </c>
      <c r="E12" s="31">
        <v>4112317.08</v>
      </c>
      <c r="F12" s="31"/>
      <c r="G12" s="30"/>
      <c r="I12" s="69"/>
      <c r="J12" s="69"/>
    </row>
    <row r="13" spans="1:10" s="70" customFormat="1" ht="12.75" customHeight="1" x14ac:dyDescent="0.2">
      <c r="A13" s="89">
        <v>45164</v>
      </c>
      <c r="B13" s="9" t="s">
        <v>6</v>
      </c>
      <c r="C13" s="149" t="s">
        <v>158</v>
      </c>
      <c r="D13" s="150" t="s">
        <v>13</v>
      </c>
      <c r="E13" s="31">
        <v>112951</v>
      </c>
      <c r="F13" s="31"/>
      <c r="G13" s="30"/>
      <c r="I13" s="69"/>
      <c r="J13" s="69"/>
    </row>
    <row r="14" spans="1:10" s="70" customFormat="1" ht="12.75" customHeight="1" x14ac:dyDescent="0.2">
      <c r="A14" s="89">
        <v>45164</v>
      </c>
      <c r="B14" s="9" t="s">
        <v>11</v>
      </c>
      <c r="C14" s="149" t="s">
        <v>1433</v>
      </c>
      <c r="D14" s="150" t="s">
        <v>1434</v>
      </c>
      <c r="E14" s="31"/>
      <c r="F14" s="31">
        <v>73638.48</v>
      </c>
      <c r="G14" s="30"/>
      <c r="I14" s="69"/>
      <c r="J14" s="69"/>
    </row>
    <row r="15" spans="1:10" s="2" customFormat="1" ht="12.75" customHeight="1" x14ac:dyDescent="0.4">
      <c r="D15" s="11" t="s">
        <v>8</v>
      </c>
      <c r="E15" s="16">
        <f>SUM(E12:E14)</f>
        <v>4225268.08</v>
      </c>
      <c r="F15" s="16">
        <f>SUM(F11:F14)</f>
        <v>70347269.670000002</v>
      </c>
      <c r="G15" s="1"/>
      <c r="H15" s="112"/>
      <c r="I15" s="112"/>
    </row>
    <row r="16" spans="1:10" s="2" customFormat="1" ht="12.75" customHeight="1" x14ac:dyDescent="0.4">
      <c r="A16" s="17"/>
      <c r="B16" s="18"/>
      <c r="C16" s="96" t="s">
        <v>9</v>
      </c>
      <c r="D16" s="20"/>
      <c r="E16" s="21">
        <f>+F15-E15</f>
        <v>66122001.590000004</v>
      </c>
      <c r="G16" s="23"/>
      <c r="H16" s="112"/>
      <c r="I16" s="112"/>
      <c r="J16" s="13"/>
    </row>
    <row r="17" spans="1:13" s="2" customFormat="1" ht="12.75" customHeight="1" x14ac:dyDescent="0.4">
      <c r="A17" s="24"/>
      <c r="B17" s="1"/>
      <c r="C17" s="14"/>
      <c r="D17" s="25"/>
      <c r="G17" s="23"/>
      <c r="H17" s="112"/>
      <c r="I17" s="112"/>
      <c r="J17" s="13"/>
    </row>
    <row r="18" spans="1:13" s="2" customFormat="1" ht="21.75" customHeight="1" x14ac:dyDescent="0.4">
      <c r="A18" s="214" t="s">
        <v>10</v>
      </c>
      <c r="B18" s="214"/>
      <c r="C18" s="214"/>
      <c r="D18" s="214"/>
      <c r="E18" s="214"/>
      <c r="F18" s="214"/>
      <c r="G18" s="13"/>
      <c r="H18" s="112"/>
      <c r="I18" s="112"/>
      <c r="J18" s="13"/>
    </row>
    <row r="19" spans="1:13" s="2" customFormat="1" ht="12.75" customHeight="1" x14ac:dyDescent="0.4">
      <c r="A19" s="26" t="s">
        <v>1</v>
      </c>
      <c r="B19" s="27" t="s">
        <v>2</v>
      </c>
      <c r="C19" s="5"/>
      <c r="D19" s="6" t="s">
        <v>3</v>
      </c>
      <c r="E19" s="7" t="s">
        <v>4</v>
      </c>
      <c r="F19" s="7" t="s">
        <v>5</v>
      </c>
      <c r="G19" s="23"/>
      <c r="H19" s="112"/>
      <c r="I19" s="112"/>
      <c r="J19" s="13"/>
    </row>
    <row r="20" spans="1:13" s="2" customFormat="1" ht="12.75" customHeight="1" x14ac:dyDescent="0.2">
      <c r="A20" s="89">
        <v>45164</v>
      </c>
      <c r="B20" s="128" t="s">
        <v>11</v>
      </c>
      <c r="C20" s="29" t="s">
        <v>7</v>
      </c>
      <c r="D20" s="25"/>
      <c r="E20" s="31"/>
      <c r="F20" s="2">
        <v>345686636.94</v>
      </c>
      <c r="G20" s="30"/>
      <c r="I20" s="13"/>
      <c r="J20" s="13"/>
    </row>
    <row r="21" spans="1:13" s="70" customFormat="1" ht="12.75" customHeight="1" x14ac:dyDescent="0.2">
      <c r="A21" s="89">
        <v>45164</v>
      </c>
      <c r="B21" s="128" t="s">
        <v>6</v>
      </c>
      <c r="C21" s="151" t="s">
        <v>1435</v>
      </c>
      <c r="D21" s="150" t="s">
        <v>1436</v>
      </c>
      <c r="E21" s="86">
        <v>451849</v>
      </c>
      <c r="G21" s="30"/>
      <c r="I21" s="69"/>
      <c r="J21" s="69"/>
    </row>
    <row r="22" spans="1:13" s="70" customFormat="1" ht="12.75" customHeight="1" x14ac:dyDescent="0.2">
      <c r="A22" s="89">
        <v>45164</v>
      </c>
      <c r="B22" s="128" t="s">
        <v>6</v>
      </c>
      <c r="C22" s="151" t="s">
        <v>1437</v>
      </c>
      <c r="D22" s="150" t="s">
        <v>1436</v>
      </c>
      <c r="E22" s="86">
        <v>2993</v>
      </c>
      <c r="G22" s="30"/>
      <c r="I22" s="69"/>
      <c r="J22" s="69"/>
    </row>
    <row r="23" spans="1:13" s="70" customFormat="1" ht="12.75" customHeight="1" x14ac:dyDescent="0.2">
      <c r="A23" s="89">
        <v>45164</v>
      </c>
      <c r="B23" s="128" t="s">
        <v>6</v>
      </c>
      <c r="C23" s="151" t="s">
        <v>1438</v>
      </c>
      <c r="D23" s="150" t="s">
        <v>1436</v>
      </c>
      <c r="E23" s="86">
        <v>500000</v>
      </c>
      <c r="G23" s="30"/>
      <c r="I23" s="69"/>
      <c r="J23" s="69"/>
    </row>
    <row r="24" spans="1:13" s="70" customFormat="1" ht="12.75" customHeight="1" x14ac:dyDescent="0.2">
      <c r="A24" s="89">
        <v>45164</v>
      </c>
      <c r="B24" s="128" t="s">
        <v>6</v>
      </c>
      <c r="C24" s="151" t="s">
        <v>1439</v>
      </c>
      <c r="D24" s="150" t="s">
        <v>1436</v>
      </c>
      <c r="E24" s="86">
        <v>787804</v>
      </c>
      <c r="G24" s="30"/>
      <c r="I24" s="69"/>
      <c r="J24" s="69"/>
    </row>
    <row r="25" spans="1:13" s="70" customFormat="1" ht="12.75" customHeight="1" x14ac:dyDescent="0.2">
      <c r="A25" s="89">
        <v>45164</v>
      </c>
      <c r="B25" s="128" t="s">
        <v>6</v>
      </c>
      <c r="C25" s="151" t="s">
        <v>1440</v>
      </c>
      <c r="D25" s="150" t="s">
        <v>1436</v>
      </c>
      <c r="E25" s="86">
        <v>590</v>
      </c>
      <c r="G25" s="30"/>
      <c r="I25" s="69"/>
      <c r="J25" s="69"/>
    </row>
    <row r="26" spans="1:13" s="70" customFormat="1" ht="12.75" customHeight="1" x14ac:dyDescent="0.2">
      <c r="A26" s="89">
        <v>45164</v>
      </c>
      <c r="B26" s="128" t="s">
        <v>6</v>
      </c>
      <c r="C26" s="151" t="s">
        <v>1441</v>
      </c>
      <c r="D26" s="150" t="s">
        <v>1436</v>
      </c>
      <c r="E26" s="86">
        <v>203.26</v>
      </c>
      <c r="G26" s="30"/>
      <c r="I26" s="69"/>
      <c r="J26" s="69"/>
    </row>
    <row r="27" spans="1:13" s="70" customFormat="1" ht="12.75" customHeight="1" x14ac:dyDescent="0.2">
      <c r="A27" s="89">
        <v>45164</v>
      </c>
      <c r="B27" s="128" t="s">
        <v>6</v>
      </c>
      <c r="C27" s="151" t="s">
        <v>1442</v>
      </c>
      <c r="D27" s="150" t="s">
        <v>1436</v>
      </c>
      <c r="E27" s="86">
        <v>7657</v>
      </c>
      <c r="G27" s="30"/>
      <c r="I27" s="69"/>
      <c r="J27" s="69"/>
    </row>
    <row r="28" spans="1:13" s="70" customFormat="1" ht="12.75" customHeight="1" x14ac:dyDescent="0.2">
      <c r="A28" s="89">
        <v>45164</v>
      </c>
      <c r="B28" s="128" t="s">
        <v>6</v>
      </c>
      <c r="C28" s="151" t="s">
        <v>1443</v>
      </c>
      <c r="D28" s="150" t="s">
        <v>1436</v>
      </c>
      <c r="E28" s="86">
        <v>14175</v>
      </c>
      <c r="G28" s="30"/>
      <c r="I28" s="69"/>
      <c r="J28" s="69"/>
    </row>
    <row r="29" spans="1:13" s="70" customFormat="1" ht="12.75" customHeight="1" x14ac:dyDescent="0.2">
      <c r="A29" s="89">
        <v>45164</v>
      </c>
      <c r="B29" s="128" t="s">
        <v>6</v>
      </c>
      <c r="C29" s="151" t="s">
        <v>1444</v>
      </c>
      <c r="D29" s="150" t="s">
        <v>1436</v>
      </c>
      <c r="E29" s="86">
        <v>500000</v>
      </c>
      <c r="G29" s="30"/>
      <c r="I29" s="69"/>
      <c r="J29" s="69"/>
      <c r="K29" s="148" t="s">
        <v>1423</v>
      </c>
    </row>
    <row r="30" spans="1:13" s="2" customFormat="1" ht="12.75" customHeight="1" x14ac:dyDescent="0.2">
      <c r="A30" s="32"/>
      <c r="B30" s="33"/>
      <c r="C30" s="14"/>
      <c r="D30" s="34"/>
      <c r="E30" s="16">
        <f>SUM(E20:E29)</f>
        <v>2265271.2599999998</v>
      </c>
      <c r="F30" s="16">
        <f>SUM(F20:F29)</f>
        <v>345686636.94</v>
      </c>
      <c r="G30" s="30"/>
      <c r="H30" s="1"/>
      <c r="I30" s="38">
        <f>96589550.47-3168184.79</f>
        <v>93421365.679999992</v>
      </c>
      <c r="J30" s="2" t="s">
        <v>396</v>
      </c>
      <c r="K30" s="92">
        <f>E31-I30</f>
        <v>250000000</v>
      </c>
      <c r="L30" s="41"/>
      <c r="M30" s="42"/>
    </row>
    <row r="31" spans="1:13" s="2" customFormat="1" ht="12.75" customHeight="1" x14ac:dyDescent="0.2">
      <c r="A31" s="36"/>
      <c r="B31" s="28" t="s">
        <v>11</v>
      </c>
      <c r="C31" s="19" t="s">
        <v>65</v>
      </c>
      <c r="D31" s="37"/>
      <c r="E31" s="38">
        <f>F30-E30</f>
        <v>343421365.68000001</v>
      </c>
      <c r="F31" s="22"/>
      <c r="G31" s="1"/>
      <c r="H31" s="1"/>
      <c r="J31" s="1"/>
      <c r="K31" s="1"/>
      <c r="L31" s="1"/>
      <c r="M31" s="1"/>
    </row>
    <row r="32" spans="1:13" s="2" customFormat="1" ht="12.75" customHeight="1" x14ac:dyDescent="0.2">
      <c r="A32" s="36"/>
      <c r="B32" s="28" t="s">
        <v>66</v>
      </c>
      <c r="C32" s="43" t="s">
        <v>67</v>
      </c>
      <c r="D32" s="43"/>
      <c r="E32" s="12">
        <v>0</v>
      </c>
      <c r="F32" s="22"/>
      <c r="G32" s="1"/>
      <c r="H32" s="40"/>
      <c r="I32" s="45">
        <v>3340.14</v>
      </c>
      <c r="J32" s="46"/>
      <c r="K32" s="46"/>
      <c r="L32" s="13"/>
      <c r="M32" s="69" t="s">
        <v>396</v>
      </c>
    </row>
    <row r="33" spans="1:14" s="2" customFormat="1" ht="12.75" customHeight="1" x14ac:dyDescent="0.25">
      <c r="A33" s="36"/>
      <c r="B33" s="28"/>
      <c r="C33" s="44" t="s">
        <v>68</v>
      </c>
      <c r="D33" s="43"/>
      <c r="E33" s="7">
        <f>E31+E32</f>
        <v>343421365.68000001</v>
      </c>
      <c r="F33" s="22"/>
      <c r="G33" s="1"/>
      <c r="H33" s="103" t="s">
        <v>69</v>
      </c>
      <c r="I33" s="45">
        <v>-46.42</v>
      </c>
      <c r="J33" s="46"/>
      <c r="K33" s="46"/>
      <c r="N33" s="1"/>
    </row>
    <row r="34" spans="1:14" s="2" customFormat="1" x14ac:dyDescent="0.2">
      <c r="A34" s="24"/>
      <c r="B34" s="1"/>
      <c r="C34" s="14"/>
      <c r="D34" s="25"/>
      <c r="E34" s="1"/>
      <c r="H34" s="35" t="s">
        <v>70</v>
      </c>
      <c r="I34" s="45">
        <v>0</v>
      </c>
      <c r="J34" s="46">
        <f>+I35-D37</f>
        <v>0</v>
      </c>
      <c r="M34" s="2" t="s">
        <v>396</v>
      </c>
      <c r="N34" s="1"/>
    </row>
    <row r="35" spans="1:14" x14ac:dyDescent="0.2">
      <c r="C35" s="56"/>
      <c r="D35" s="56"/>
      <c r="E35" s="104"/>
      <c r="I35" s="49">
        <f>SUM(I32:I34)</f>
        <v>3293.72</v>
      </c>
      <c r="J35" s="46"/>
      <c r="K35" s="46"/>
      <c r="L35" s="2"/>
      <c r="M35" s="2"/>
      <c r="N35" s="2"/>
    </row>
    <row r="36" spans="1:14" x14ac:dyDescent="0.2">
      <c r="C36" s="78" t="s">
        <v>575</v>
      </c>
      <c r="D36" s="48" t="s">
        <v>576</v>
      </c>
      <c r="E36" s="104"/>
      <c r="I36" s="2"/>
      <c r="J36" s="2"/>
      <c r="K36" s="2"/>
      <c r="L36" s="2"/>
      <c r="M36" s="2"/>
      <c r="N36" s="2"/>
    </row>
    <row r="37" spans="1:14" s="2" customFormat="1" x14ac:dyDescent="0.2">
      <c r="A37" s="24"/>
      <c r="B37" s="1"/>
      <c r="C37" s="47" t="s">
        <v>570</v>
      </c>
      <c r="D37" s="111">
        <v>3293.72</v>
      </c>
      <c r="E37" s="104"/>
      <c r="G37" s="1"/>
      <c r="H37" s="110" t="s">
        <v>581</v>
      </c>
      <c r="N37" s="2" t="s">
        <v>535</v>
      </c>
    </row>
    <row r="38" spans="1:14" s="2" customFormat="1" x14ac:dyDescent="0.2">
      <c r="A38" s="24"/>
      <c r="B38" s="1"/>
      <c r="C38" s="47" t="s">
        <v>931</v>
      </c>
      <c r="D38" s="111">
        <v>368.7</v>
      </c>
      <c r="E38" s="104"/>
      <c r="G38" s="1"/>
      <c r="H38" s="110" t="s">
        <v>580</v>
      </c>
    </row>
    <row r="39" spans="1:14" s="2" customFormat="1" x14ac:dyDescent="0.2">
      <c r="A39" s="24"/>
      <c r="B39" s="1"/>
      <c r="C39" s="47" t="s">
        <v>572</v>
      </c>
      <c r="D39" s="111">
        <f>+D78/100000</f>
        <v>204.88407910000001</v>
      </c>
      <c r="E39" s="104"/>
      <c r="G39" s="1"/>
      <c r="H39" s="90" t="s">
        <v>587</v>
      </c>
    </row>
    <row r="40" spans="1:14" s="2" customFormat="1" x14ac:dyDescent="0.2">
      <c r="A40" s="24"/>
      <c r="B40" s="1"/>
      <c r="C40" s="108" t="s">
        <v>578</v>
      </c>
      <c r="D40" s="48">
        <f>SUM(D37:D39)</f>
        <v>3867.3040790999994</v>
      </c>
      <c r="E40" s="104"/>
      <c r="G40" s="1"/>
    </row>
    <row r="41" spans="1:14" s="2" customFormat="1" x14ac:dyDescent="0.2">
      <c r="A41" s="24"/>
      <c r="B41" s="1"/>
      <c r="C41" s="47"/>
      <c r="D41" s="107"/>
      <c r="E41" s="104"/>
      <c r="G41" s="1"/>
    </row>
    <row r="42" spans="1:14" s="2" customFormat="1" x14ac:dyDescent="0.2">
      <c r="A42" s="24"/>
      <c r="B42" s="1"/>
      <c r="C42" s="47" t="s">
        <v>932</v>
      </c>
      <c r="D42" s="111">
        <v>136.78</v>
      </c>
      <c r="E42" s="104"/>
      <c r="G42" s="1"/>
      <c r="H42" s="110" t="s">
        <v>581</v>
      </c>
    </row>
    <row r="43" spans="1:14" s="2" customFormat="1" x14ac:dyDescent="0.2">
      <c r="A43" s="24"/>
      <c r="B43" s="1"/>
      <c r="C43" s="136" t="s">
        <v>1142</v>
      </c>
      <c r="D43" s="111">
        <v>236.97</v>
      </c>
      <c r="E43" s="104"/>
      <c r="G43" s="1"/>
      <c r="H43" s="110" t="s">
        <v>581</v>
      </c>
      <c r="J43" s="114" t="s">
        <v>713</v>
      </c>
    </row>
    <row r="44" spans="1:14" s="2" customFormat="1" x14ac:dyDescent="0.2">
      <c r="A44" s="24"/>
      <c r="B44" s="1"/>
      <c r="C44" s="78" t="s">
        <v>579</v>
      </c>
      <c r="D44" s="109">
        <f>D42+D43</f>
        <v>373.75</v>
      </c>
      <c r="E44" s="104"/>
      <c r="G44" s="1"/>
      <c r="I44" s="113"/>
      <c r="J44" s="113" t="s">
        <v>709</v>
      </c>
      <c r="K44" s="113" t="s">
        <v>710</v>
      </c>
      <c r="L44" s="113" t="s">
        <v>711</v>
      </c>
      <c r="M44" s="113" t="s">
        <v>712</v>
      </c>
    </row>
    <row r="45" spans="1:14" s="2" customFormat="1" x14ac:dyDescent="0.2">
      <c r="A45" s="24"/>
      <c r="B45" s="1"/>
      <c r="C45" s="105"/>
      <c r="D45" s="106"/>
      <c r="E45" s="104"/>
      <c r="G45" s="1"/>
      <c r="I45" s="113" t="s">
        <v>706</v>
      </c>
      <c r="J45" s="115"/>
      <c r="K45" s="115">
        <v>968.99</v>
      </c>
      <c r="L45" s="115">
        <v>968.99</v>
      </c>
      <c r="M45" s="113">
        <f>+J45+L45-K45</f>
        <v>0</v>
      </c>
    </row>
    <row r="46" spans="1:14" s="2" customFormat="1" x14ac:dyDescent="0.2">
      <c r="A46" s="24"/>
      <c r="B46" s="1"/>
      <c r="C46" s="78" t="s">
        <v>577</v>
      </c>
      <c r="D46" s="109">
        <f>D37+D44</f>
        <v>3667.47</v>
      </c>
      <c r="E46" s="104"/>
      <c r="G46" s="1"/>
      <c r="I46" s="113" t="s">
        <v>707</v>
      </c>
      <c r="J46" s="115">
        <v>183.1</v>
      </c>
      <c r="K46" s="115">
        <v>3293.22</v>
      </c>
      <c r="L46" s="115">
        <v>3687.95</v>
      </c>
      <c r="M46" s="113">
        <f>+J46+L46-K46</f>
        <v>577.82999999999993</v>
      </c>
    </row>
    <row r="47" spans="1:14" s="2" customFormat="1" x14ac:dyDescent="0.2">
      <c r="A47" s="24"/>
      <c r="B47" s="1"/>
      <c r="C47" s="56"/>
      <c r="D47" s="56"/>
      <c r="E47" s="104"/>
      <c r="G47" s="1"/>
      <c r="I47" s="113" t="s">
        <v>708</v>
      </c>
      <c r="J47" s="115">
        <v>1371.02</v>
      </c>
      <c r="K47" s="115">
        <v>13629.87</v>
      </c>
      <c r="L47" s="115">
        <f>12941.34+301.37</f>
        <v>13242.710000000001</v>
      </c>
      <c r="M47" s="113">
        <f>+J47+L47-K47</f>
        <v>983.86000000000058</v>
      </c>
    </row>
    <row r="48" spans="1:14" s="2" customFormat="1" ht="38.25" x14ac:dyDescent="0.2">
      <c r="A48" s="24"/>
      <c r="B48" s="1"/>
      <c r="C48" s="79" t="str">
        <f>"Particulars ( 01-04-2021 to "&amp;TEXT(A5,"dd-mm-yyyy")&amp;" )"</f>
        <v>Particulars ( 01-04-2021 to 26-08-2023 )</v>
      </c>
      <c r="D48" s="80" t="s">
        <v>73</v>
      </c>
      <c r="E48" s="80" t="s">
        <v>74</v>
      </c>
      <c r="F48" s="81" t="s">
        <v>75</v>
      </c>
      <c r="G48" s="80" t="s">
        <v>76</v>
      </c>
      <c r="J48" s="118">
        <f>SUM(J45:J47)</f>
        <v>1554.12</v>
      </c>
      <c r="K48" s="118">
        <f>SUM(K45:K47)</f>
        <v>17892.080000000002</v>
      </c>
      <c r="L48" s="118">
        <f>SUM(L45:L47)</f>
        <v>17899.650000000001</v>
      </c>
      <c r="M48" s="118">
        <f>SUM(M45:M47)</f>
        <v>1561.6900000000005</v>
      </c>
    </row>
    <row r="49" spans="1:13" s="2" customFormat="1" x14ac:dyDescent="0.2">
      <c r="A49" s="24"/>
      <c r="B49" s="1"/>
      <c r="C49" s="50" t="s">
        <v>444</v>
      </c>
      <c r="D49" s="55">
        <f>+L45+L46+J46</f>
        <v>4840.04</v>
      </c>
      <c r="E49" s="55">
        <f>+K45+K46</f>
        <v>4262.21</v>
      </c>
      <c r="F49" s="55">
        <f>+D49-E49</f>
        <v>577.82999999999993</v>
      </c>
      <c r="G49" s="55">
        <f>1500-F49</f>
        <v>922.17000000000007</v>
      </c>
      <c r="H49" s="2" t="s">
        <v>396</v>
      </c>
    </row>
    <row r="50" spans="1:13" s="2" customFormat="1" x14ac:dyDescent="0.2">
      <c r="A50" s="24"/>
      <c r="B50" s="1"/>
      <c r="C50" s="50" t="s">
        <v>71</v>
      </c>
      <c r="D50" s="55">
        <f>+J47+L47</f>
        <v>14613.730000000001</v>
      </c>
      <c r="E50" s="55">
        <f>+K47</f>
        <v>13629.87</v>
      </c>
      <c r="F50" s="55">
        <f>+D50-E50</f>
        <v>983.86000000000058</v>
      </c>
      <c r="G50" s="55">
        <f>1500+700-F50</f>
        <v>1216.1399999999994</v>
      </c>
      <c r="H50" s="2" t="s">
        <v>396</v>
      </c>
    </row>
    <row r="51" spans="1:13" s="2" customFormat="1" x14ac:dyDescent="0.2">
      <c r="A51" s="24"/>
      <c r="B51" s="1"/>
      <c r="C51" s="14"/>
      <c r="D51" s="56"/>
      <c r="E51" s="13"/>
      <c r="G51" s="1"/>
    </row>
    <row r="52" spans="1:13" s="2" customFormat="1" x14ac:dyDescent="0.2">
      <c r="A52" s="215" t="s">
        <v>80</v>
      </c>
      <c r="B52" s="216"/>
      <c r="C52" s="216"/>
      <c r="D52" s="217"/>
      <c r="E52" s="69"/>
      <c r="F52" s="70"/>
      <c r="G52" s="1"/>
      <c r="H52" s="53"/>
    </row>
    <row r="53" spans="1:13" s="2" customFormat="1" x14ac:dyDescent="0.2">
      <c r="A53" s="71" t="s">
        <v>81</v>
      </c>
      <c r="B53" s="71"/>
      <c r="C53" s="72" t="s">
        <v>82</v>
      </c>
      <c r="D53" s="73" t="s">
        <v>83</v>
      </c>
      <c r="E53" s="69"/>
      <c r="F53" s="70"/>
      <c r="H53" s="53"/>
    </row>
    <row r="54" spans="1:13" s="2" customFormat="1" x14ac:dyDescent="0.2">
      <c r="A54" s="87">
        <v>45139</v>
      </c>
      <c r="B54" s="120" t="s">
        <v>1052</v>
      </c>
      <c r="C54" s="75" t="s">
        <v>85</v>
      </c>
      <c r="D54" s="88">
        <v>552343</v>
      </c>
      <c r="G54" s="1"/>
      <c r="L54" s="1"/>
      <c r="M54" s="1"/>
    </row>
    <row r="55" spans="1:13" s="2" customFormat="1" x14ac:dyDescent="0.2">
      <c r="A55" s="87">
        <v>45140</v>
      </c>
      <c r="B55" s="120" t="s">
        <v>1052</v>
      </c>
      <c r="C55" s="75" t="s">
        <v>270</v>
      </c>
      <c r="D55" s="88">
        <v>244404</v>
      </c>
      <c r="G55" s="1"/>
      <c r="L55" s="1"/>
      <c r="M55" s="1"/>
    </row>
    <row r="56" spans="1:13" s="2" customFormat="1" x14ac:dyDescent="0.2">
      <c r="A56" s="87">
        <v>45140</v>
      </c>
      <c r="B56" s="120" t="s">
        <v>1052</v>
      </c>
      <c r="C56" s="75" t="s">
        <v>270</v>
      </c>
      <c r="D56" s="88">
        <v>550256</v>
      </c>
      <c r="G56" s="1"/>
      <c r="L56" s="1"/>
      <c r="M56" s="1"/>
    </row>
    <row r="57" spans="1:13" s="2" customFormat="1" x14ac:dyDescent="0.2">
      <c r="A57" s="87">
        <v>45140</v>
      </c>
      <c r="B57" s="120" t="s">
        <v>1052</v>
      </c>
      <c r="C57" s="75" t="s">
        <v>270</v>
      </c>
      <c r="D57" s="88">
        <v>191589</v>
      </c>
      <c r="G57" s="1"/>
      <c r="L57" s="1"/>
      <c r="M57" s="1"/>
    </row>
    <row r="58" spans="1:13" s="2" customFormat="1" x14ac:dyDescent="0.2">
      <c r="A58" s="87">
        <v>45140</v>
      </c>
      <c r="B58" s="120" t="s">
        <v>1052</v>
      </c>
      <c r="C58" s="75" t="s">
        <v>270</v>
      </c>
      <c r="D58" s="88">
        <v>74415.91</v>
      </c>
      <c r="G58" s="1"/>
      <c r="L58" s="1"/>
      <c r="M58" s="1"/>
    </row>
    <row r="59" spans="1:13" s="2" customFormat="1" x14ac:dyDescent="0.2">
      <c r="A59" s="87">
        <v>45140</v>
      </c>
      <c r="B59" s="120" t="s">
        <v>1052</v>
      </c>
      <c r="C59" s="75" t="s">
        <v>271</v>
      </c>
      <c r="D59" s="88">
        <v>454781</v>
      </c>
      <c r="G59" s="1"/>
      <c r="L59" s="1"/>
      <c r="M59" s="1"/>
    </row>
    <row r="60" spans="1:13" s="2" customFormat="1" x14ac:dyDescent="0.2">
      <c r="A60" s="87">
        <v>45141</v>
      </c>
      <c r="B60" s="120" t="s">
        <v>1052</v>
      </c>
      <c r="C60" s="75" t="s">
        <v>909</v>
      </c>
      <c r="D60" s="88">
        <v>910969</v>
      </c>
      <c r="G60" s="1"/>
      <c r="L60" s="1"/>
      <c r="M60" s="1"/>
    </row>
    <row r="61" spans="1:13" s="2" customFormat="1" x14ac:dyDescent="0.2">
      <c r="A61" s="87">
        <v>45141</v>
      </c>
      <c r="B61" s="120" t="s">
        <v>1052</v>
      </c>
      <c r="C61" s="75" t="s">
        <v>909</v>
      </c>
      <c r="D61" s="88">
        <v>1424635</v>
      </c>
      <c r="G61" s="1"/>
      <c r="L61" s="1"/>
      <c r="M61" s="1"/>
    </row>
    <row r="62" spans="1:13" s="2" customFormat="1" x14ac:dyDescent="0.2">
      <c r="A62" s="87">
        <v>45143</v>
      </c>
      <c r="B62" s="120" t="s">
        <v>1052</v>
      </c>
      <c r="C62" s="75" t="s">
        <v>85</v>
      </c>
      <c r="D62" s="88">
        <v>644288</v>
      </c>
      <c r="G62" s="1"/>
      <c r="L62" s="1"/>
      <c r="M62" s="1"/>
    </row>
    <row r="63" spans="1:13" s="2" customFormat="1" x14ac:dyDescent="0.2">
      <c r="A63" s="87">
        <v>45146</v>
      </c>
      <c r="B63" s="120" t="s">
        <v>1052</v>
      </c>
      <c r="C63" s="75" t="s">
        <v>85</v>
      </c>
      <c r="D63" s="88">
        <v>136333</v>
      </c>
      <c r="G63" s="1"/>
      <c r="L63" s="1"/>
      <c r="M63" s="1"/>
    </row>
    <row r="64" spans="1:13" s="2" customFormat="1" x14ac:dyDescent="0.2">
      <c r="A64" s="87">
        <v>45146</v>
      </c>
      <c r="B64" s="120" t="s">
        <v>1052</v>
      </c>
      <c r="C64" s="75" t="s">
        <v>1343</v>
      </c>
      <c r="D64" s="88">
        <v>2000000</v>
      </c>
      <c r="G64" s="1"/>
      <c r="L64" s="1"/>
      <c r="M64" s="1"/>
    </row>
    <row r="65" spans="1:13" s="2" customFormat="1" x14ac:dyDescent="0.2">
      <c r="A65" s="87">
        <v>45152</v>
      </c>
      <c r="B65" s="120" t="s">
        <v>1052</v>
      </c>
      <c r="C65" s="75" t="s">
        <v>270</v>
      </c>
      <c r="D65" s="88">
        <v>26225</v>
      </c>
      <c r="G65" s="1"/>
      <c r="L65" s="1"/>
      <c r="M65" s="1"/>
    </row>
    <row r="66" spans="1:13" s="2" customFormat="1" x14ac:dyDescent="0.2">
      <c r="A66" s="87">
        <v>45152</v>
      </c>
      <c r="B66" s="120" t="s">
        <v>1052</v>
      </c>
      <c r="C66" s="75" t="s">
        <v>270</v>
      </c>
      <c r="D66" s="88">
        <v>47499</v>
      </c>
      <c r="G66" s="1"/>
      <c r="L66" s="1"/>
      <c r="M66" s="1"/>
    </row>
    <row r="67" spans="1:13" s="2" customFormat="1" x14ac:dyDescent="0.2">
      <c r="A67" s="87">
        <v>45154</v>
      </c>
      <c r="B67" s="120" t="s">
        <v>1052</v>
      </c>
      <c r="C67" s="75" t="s">
        <v>271</v>
      </c>
      <c r="D67" s="88">
        <v>2701267</v>
      </c>
      <c r="G67" s="1"/>
      <c r="L67" s="1"/>
      <c r="M67" s="1"/>
    </row>
    <row r="68" spans="1:13" s="2" customFormat="1" x14ac:dyDescent="0.2">
      <c r="A68" s="87">
        <v>45157</v>
      </c>
      <c r="B68" s="120" t="s">
        <v>1052</v>
      </c>
      <c r="C68" s="75" t="s">
        <v>888</v>
      </c>
      <c r="D68" s="88">
        <v>1087820</v>
      </c>
      <c r="G68" s="1"/>
      <c r="L68" s="1"/>
      <c r="M68" s="1"/>
    </row>
    <row r="69" spans="1:13" s="2" customFormat="1" x14ac:dyDescent="0.2">
      <c r="A69" s="87">
        <v>45159</v>
      </c>
      <c r="B69" s="120" t="s">
        <v>1052</v>
      </c>
      <c r="C69" s="75" t="s">
        <v>270</v>
      </c>
      <c r="D69" s="88">
        <v>26199</v>
      </c>
      <c r="G69" s="1"/>
      <c r="L69" s="1"/>
      <c r="M69" s="1"/>
    </row>
    <row r="70" spans="1:13" s="2" customFormat="1" x14ac:dyDescent="0.2">
      <c r="A70" s="87">
        <v>45159</v>
      </c>
      <c r="B70" s="120" t="s">
        <v>1052</v>
      </c>
      <c r="C70" s="75" t="s">
        <v>85</v>
      </c>
      <c r="D70" s="88">
        <v>79111</v>
      </c>
      <c r="G70" s="1"/>
      <c r="L70" s="1"/>
      <c r="M70" s="1"/>
    </row>
    <row r="71" spans="1:13" s="2" customFormat="1" x14ac:dyDescent="0.2">
      <c r="A71" s="87">
        <v>45159</v>
      </c>
      <c r="B71" s="120" t="s">
        <v>1052</v>
      </c>
      <c r="C71" s="75" t="s">
        <v>909</v>
      </c>
      <c r="D71" s="88">
        <v>41960</v>
      </c>
      <c r="G71" s="1"/>
      <c r="L71" s="1"/>
      <c r="M71" s="1"/>
    </row>
    <row r="72" spans="1:13" s="2" customFormat="1" x14ac:dyDescent="0.2">
      <c r="A72" s="87">
        <v>45159</v>
      </c>
      <c r="B72" s="120" t="s">
        <v>1052</v>
      </c>
      <c r="C72" s="75" t="s">
        <v>909</v>
      </c>
      <c r="D72" s="88">
        <v>6142426</v>
      </c>
      <c r="G72" s="1"/>
      <c r="L72" s="1"/>
      <c r="M72" s="1"/>
    </row>
    <row r="73" spans="1:13" s="2" customFormat="1" x14ac:dyDescent="0.2">
      <c r="A73" s="87">
        <v>45160</v>
      </c>
      <c r="B73" s="120" t="s">
        <v>1052</v>
      </c>
      <c r="C73" s="75" t="s">
        <v>271</v>
      </c>
      <c r="D73" s="88">
        <v>176546</v>
      </c>
      <c r="G73" s="1"/>
      <c r="L73" s="1"/>
      <c r="M73" s="1"/>
    </row>
    <row r="74" spans="1:13" s="2" customFormat="1" x14ac:dyDescent="0.2">
      <c r="A74" s="87">
        <v>45161</v>
      </c>
      <c r="B74" s="120" t="s">
        <v>1052</v>
      </c>
      <c r="C74" s="75" t="s">
        <v>767</v>
      </c>
      <c r="D74" s="88">
        <v>142706</v>
      </c>
      <c r="G74" s="1"/>
      <c r="L74" s="1"/>
      <c r="M74" s="1"/>
    </row>
    <row r="75" spans="1:13" s="2" customFormat="1" x14ac:dyDescent="0.2">
      <c r="A75" s="87">
        <v>45162</v>
      </c>
      <c r="B75" s="120" t="s">
        <v>1052</v>
      </c>
      <c r="C75" s="75" t="s">
        <v>85</v>
      </c>
      <c r="D75" s="88">
        <v>66464</v>
      </c>
      <c r="G75" s="1"/>
      <c r="L75" s="1"/>
      <c r="M75" s="1"/>
    </row>
    <row r="76" spans="1:13" s="2" customFormat="1" x14ac:dyDescent="0.2">
      <c r="A76" s="87">
        <v>45162</v>
      </c>
      <c r="B76" s="120" t="s">
        <v>1052</v>
      </c>
      <c r="C76" s="75" t="s">
        <v>270</v>
      </c>
      <c r="D76" s="88">
        <v>388997</v>
      </c>
      <c r="G76" s="1"/>
      <c r="L76" s="1"/>
      <c r="M76" s="1"/>
    </row>
    <row r="77" spans="1:13" s="2" customFormat="1" x14ac:dyDescent="0.2">
      <c r="A77" s="87">
        <v>45163</v>
      </c>
      <c r="B77" s="120" t="s">
        <v>1052</v>
      </c>
      <c r="C77" s="75" t="s">
        <v>1343</v>
      </c>
      <c r="D77" s="88">
        <v>2377174</v>
      </c>
      <c r="G77" s="1"/>
      <c r="L77" s="1"/>
      <c r="M77" s="1"/>
    </row>
    <row r="78" spans="1:13" s="2" customFormat="1" x14ac:dyDescent="0.2">
      <c r="A78" s="87"/>
      <c r="B78" s="74"/>
      <c r="C78" s="75"/>
      <c r="D78" s="51">
        <f>SUM(D54:D77)</f>
        <v>20488407.91</v>
      </c>
      <c r="F78" s="2" t="s">
        <v>396</v>
      </c>
      <c r="G78" s="1"/>
      <c r="L78" s="1"/>
      <c r="M78" s="1"/>
    </row>
    <row r="79" spans="1:13" s="2" customFormat="1" x14ac:dyDescent="0.2">
      <c r="A79" s="24"/>
      <c r="B79" s="1"/>
      <c r="C79" s="14"/>
      <c r="D79" s="56"/>
      <c r="E79" s="13"/>
      <c r="G79" s="1"/>
      <c r="L79" s="1"/>
      <c r="M79" s="1"/>
    </row>
    <row r="80" spans="1:13" s="2" customFormat="1" x14ac:dyDescent="0.2">
      <c r="A80" s="24"/>
      <c r="B80" s="1"/>
      <c r="C80" s="218" t="s">
        <v>77</v>
      </c>
      <c r="D80" s="219"/>
      <c r="E80" s="219"/>
      <c r="F80" s="220"/>
      <c r="G80" s="1"/>
      <c r="L80" s="1"/>
      <c r="M80" s="1"/>
    </row>
    <row r="81" spans="1:13" s="2" customFormat="1" x14ac:dyDescent="0.2">
      <c r="A81" s="24"/>
      <c r="B81" s="1"/>
      <c r="C81" s="50"/>
      <c r="D81" s="57" t="s">
        <v>78</v>
      </c>
      <c r="E81" s="58" t="s">
        <v>79</v>
      </c>
      <c r="F81" s="57" t="s">
        <v>72</v>
      </c>
      <c r="G81" s="1"/>
      <c r="I81" s="1"/>
      <c r="J81" s="1"/>
      <c r="K81" s="1"/>
      <c r="L81" s="1"/>
      <c r="M81" s="1"/>
    </row>
    <row r="82" spans="1:13" s="2" customFormat="1" x14ac:dyDescent="0.2">
      <c r="A82" s="24"/>
      <c r="B82" s="1"/>
      <c r="C82" s="59" t="str">
        <f>"01-08-2023 to "&amp;TEXT(A5-2,"dd-mm-yyyy")</f>
        <v>01-08-2023 to 24-08-2023</v>
      </c>
      <c r="D82" s="60">
        <v>2631.77</v>
      </c>
      <c r="E82" s="60">
        <v>233.78</v>
      </c>
      <c r="F82" s="61">
        <f>SUM(D82:E82)</f>
        <v>2865.55</v>
      </c>
      <c r="G82" s="1"/>
    </row>
    <row r="83" spans="1:13" s="2" customFormat="1" x14ac:dyDescent="0.2">
      <c r="A83" s="24"/>
      <c r="B83" s="1"/>
      <c r="C83" s="62" t="str">
        <f>TEXT(A5-1,"dd-mm-yyyy")</f>
        <v>25-08-2023</v>
      </c>
      <c r="D83" s="60">
        <v>87.23</v>
      </c>
      <c r="E83" s="60">
        <v>12.53</v>
      </c>
      <c r="F83" s="61">
        <f>SUM(D83:E83)</f>
        <v>99.76</v>
      </c>
      <c r="G83" s="54"/>
      <c r="I83" s="1"/>
      <c r="J83" s="1"/>
      <c r="K83" s="1"/>
      <c r="L83" s="1"/>
      <c r="M83" s="1"/>
    </row>
    <row r="84" spans="1:13" s="2" customFormat="1" ht="13.5" thickBot="1" x14ac:dyDescent="0.25">
      <c r="A84" s="24"/>
      <c r="B84" s="1"/>
      <c r="C84" s="63" t="str">
        <f>"01-08-2023 to "&amp;TEXT(A5-1,"dd-mm-yyyy")</f>
        <v>01-08-2023 to 25-08-2023</v>
      </c>
      <c r="D84" s="64">
        <f>SUM(D82:D83)</f>
        <v>2719</v>
      </c>
      <c r="E84" s="64">
        <f>SUM(E82:E83)</f>
        <v>246.31</v>
      </c>
      <c r="F84" s="64">
        <f>SUM(F82:F83)</f>
        <v>2965.3100000000004</v>
      </c>
      <c r="G84" s="54"/>
      <c r="I84" s="1"/>
      <c r="J84" s="1"/>
      <c r="K84" s="1"/>
      <c r="L84" s="1"/>
      <c r="M84" s="1"/>
    </row>
    <row r="85" spans="1:13" s="2" customFormat="1" ht="13.5" thickTop="1" x14ac:dyDescent="0.2">
      <c r="A85" s="24"/>
      <c r="B85" s="1"/>
      <c r="C85" s="62"/>
      <c r="D85" s="65"/>
      <c r="E85" s="66"/>
      <c r="F85" s="67"/>
      <c r="G85" s="54"/>
      <c r="I85" s="1"/>
      <c r="J85" s="1"/>
      <c r="K85" s="1"/>
      <c r="L85" s="1"/>
      <c r="M85" s="1"/>
    </row>
    <row r="86" spans="1:13" s="2" customFormat="1" x14ac:dyDescent="0.2">
      <c r="A86" s="24"/>
      <c r="B86" s="1"/>
      <c r="C86" s="62" t="str">
        <f>"01-04-2023 to " &amp;C83</f>
        <v>01-04-2023 to 25-08-2023</v>
      </c>
      <c r="D86" s="68">
        <f>+D84+20859.39</f>
        <v>23578.39</v>
      </c>
      <c r="E86" s="68">
        <f>+E84+1376.76</f>
        <v>1623.07</v>
      </c>
      <c r="F86" s="68">
        <f>+F84+22236.15</f>
        <v>25201.460000000003</v>
      </c>
      <c r="G86" s="54"/>
      <c r="I86" s="1"/>
      <c r="J86" s="1"/>
      <c r="K86" s="1"/>
      <c r="L86" s="1"/>
      <c r="M86" s="1"/>
    </row>
    <row r="87" spans="1:13" x14ac:dyDescent="0.2">
      <c r="C87" s="52"/>
      <c r="D87" s="85"/>
      <c r="E87" s="53"/>
      <c r="F87" s="53"/>
      <c r="G87" s="54"/>
      <c r="H87" s="2" t="s">
        <v>396</v>
      </c>
    </row>
    <row r="88" spans="1:13" s="2" customFormat="1" x14ac:dyDescent="0.2">
      <c r="A88" s="24"/>
      <c r="B88" s="1"/>
      <c r="C88" s="52"/>
      <c r="D88" s="85"/>
      <c r="E88" s="53"/>
      <c r="F88" s="53"/>
      <c r="G88" s="54"/>
      <c r="H88" s="53"/>
    </row>
    <row r="89" spans="1:13" x14ac:dyDescent="0.2">
      <c r="C89" s="52"/>
      <c r="D89" s="85"/>
      <c r="E89" s="53"/>
      <c r="F89" s="53"/>
      <c r="G89" s="54"/>
      <c r="H89" s="53" t="s">
        <v>396</v>
      </c>
    </row>
    <row r="90" spans="1:13" x14ac:dyDescent="0.2">
      <c r="C90" s="52"/>
      <c r="D90" s="85"/>
      <c r="E90" s="53"/>
      <c r="F90" s="53"/>
      <c r="G90" s="54"/>
      <c r="H90" s="53" t="s">
        <v>396</v>
      </c>
      <c r="J90" s="42"/>
    </row>
    <row r="91" spans="1:13" x14ac:dyDescent="0.2">
      <c r="G91" s="54"/>
      <c r="H91" s="53"/>
      <c r="I91" s="101"/>
    </row>
    <row r="92" spans="1:13" x14ac:dyDescent="0.2">
      <c r="G92" s="54"/>
      <c r="H92" s="53"/>
    </row>
    <row r="93" spans="1:13" x14ac:dyDescent="0.2">
      <c r="G93" s="54"/>
      <c r="H93" s="53"/>
    </row>
    <row r="94" spans="1:13" x14ac:dyDescent="0.2">
      <c r="H94" s="53"/>
    </row>
  </sheetData>
  <mergeCells count="6">
    <mergeCell ref="C80:F80"/>
    <mergeCell ref="A1:G1"/>
    <mergeCell ref="A3:F3"/>
    <mergeCell ref="A9:F9"/>
    <mergeCell ref="A18:F18"/>
    <mergeCell ref="A52:D52"/>
  </mergeCells>
  <conditionalFormatting sqref="G49:G50">
    <cfRule type="cellIs" dxfId="343" priority="1" operator="lessThan">
      <formula>0</formula>
    </cfRule>
  </conditionalFormatting>
  <conditionalFormatting sqref="C20">
    <cfRule type="duplicateValues" dxfId="342" priority="2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700-000000000000}">
  <sheetPr codeName="Sheet415">
    <pageSetUpPr fitToPage="1"/>
  </sheetPr>
  <dimension ref="A1:N161"/>
  <sheetViews>
    <sheetView topLeftCell="A58" zoomScaleNormal="100" workbookViewId="0">
      <selection activeCell="I95" sqref="I95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1424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45166</v>
      </c>
      <c r="B5" s="9" t="s">
        <v>6</v>
      </c>
      <c r="C5" s="10" t="s">
        <v>7</v>
      </c>
      <c r="D5" s="11"/>
      <c r="E5" s="12">
        <v>1546581.74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1546581.74</v>
      </c>
      <c r="F6" s="16">
        <f>SUM(F5:F5)</f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+E6-F6</f>
        <v>1546581.74</v>
      </c>
      <c r="F7" s="22"/>
      <c r="G7" s="23"/>
      <c r="H7" s="112"/>
      <c r="I7" s="112"/>
      <c r="J7" s="13"/>
    </row>
    <row r="8" spans="1:10" ht="12.75" customHeight="1" x14ac:dyDescent="0.4">
      <c r="H8" s="112"/>
      <c r="I8" s="112"/>
    </row>
    <row r="9" spans="1:10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12"/>
    </row>
    <row r="10" spans="1:10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12"/>
    </row>
    <row r="11" spans="1:10" s="2" customFormat="1" ht="14.25" customHeight="1" x14ac:dyDescent="0.2">
      <c r="A11" s="89">
        <v>45166</v>
      </c>
      <c r="B11" s="9" t="s">
        <v>6</v>
      </c>
      <c r="C11" s="10" t="s">
        <v>7</v>
      </c>
      <c r="D11" s="11"/>
      <c r="F11" s="12">
        <v>66122001.590000018</v>
      </c>
      <c r="G11" s="1"/>
      <c r="H11" s="130" t="s">
        <v>396</v>
      </c>
      <c r="I11" s="130"/>
    </row>
    <row r="12" spans="1:10" s="70" customFormat="1" ht="12.75" customHeight="1" x14ac:dyDescent="0.2">
      <c r="A12" s="89">
        <v>45166</v>
      </c>
      <c r="B12" s="9" t="s">
        <v>6</v>
      </c>
      <c r="C12" s="76" t="s">
        <v>419</v>
      </c>
      <c r="D12" s="11" t="s">
        <v>13</v>
      </c>
      <c r="E12" s="31">
        <v>1100000</v>
      </c>
      <c r="F12" s="31"/>
      <c r="G12" s="30"/>
      <c r="I12" s="69"/>
      <c r="J12" s="69"/>
    </row>
    <row r="13" spans="1:10" s="70" customFormat="1" ht="12.75" customHeight="1" x14ac:dyDescent="0.2">
      <c r="A13" s="89">
        <v>45166</v>
      </c>
      <c r="B13" s="9" t="s">
        <v>6</v>
      </c>
      <c r="C13" s="76" t="s">
        <v>1255</v>
      </c>
      <c r="D13" s="11" t="s">
        <v>13</v>
      </c>
      <c r="E13" s="31">
        <v>3601000</v>
      </c>
      <c r="F13" s="31"/>
      <c r="G13" s="30"/>
      <c r="I13" s="69"/>
      <c r="J13" s="69"/>
    </row>
    <row r="14" spans="1:10" s="70" customFormat="1" ht="12.75" customHeight="1" x14ac:dyDescent="0.2">
      <c r="A14" s="89">
        <v>45166</v>
      </c>
      <c r="B14" s="9" t="s">
        <v>6</v>
      </c>
      <c r="C14" s="76" t="s">
        <v>763</v>
      </c>
      <c r="D14" s="11" t="s">
        <v>13</v>
      </c>
      <c r="E14" s="31">
        <v>1031524</v>
      </c>
      <c r="F14" s="31"/>
      <c r="G14" s="30"/>
      <c r="I14" s="69"/>
      <c r="J14" s="69"/>
    </row>
    <row r="15" spans="1:10" s="70" customFormat="1" ht="12.75" customHeight="1" x14ac:dyDescent="0.2">
      <c r="A15" s="89">
        <v>45166</v>
      </c>
      <c r="B15" s="9" t="s">
        <v>11</v>
      </c>
      <c r="C15" s="76" t="s">
        <v>726</v>
      </c>
      <c r="D15" s="11" t="s">
        <v>29</v>
      </c>
      <c r="E15" s="31"/>
      <c r="F15" s="31">
        <v>424751</v>
      </c>
      <c r="G15" s="30"/>
      <c r="I15" s="69"/>
      <c r="J15" s="69"/>
    </row>
    <row r="16" spans="1:10" s="70" customFormat="1" ht="12.75" customHeight="1" x14ac:dyDescent="0.2">
      <c r="A16" s="89">
        <v>45166</v>
      </c>
      <c r="B16" s="9" t="s">
        <v>11</v>
      </c>
      <c r="C16" s="76" t="s">
        <v>345</v>
      </c>
      <c r="D16" s="11" t="s">
        <v>29</v>
      </c>
      <c r="E16" s="31"/>
      <c r="F16" s="31">
        <v>17199</v>
      </c>
      <c r="G16" s="30"/>
      <c r="I16" s="69"/>
      <c r="J16" s="69"/>
    </row>
    <row r="17" spans="1:10" s="70" customFormat="1" ht="12.75" customHeight="1" x14ac:dyDescent="0.2">
      <c r="A17" s="89">
        <v>45166</v>
      </c>
      <c r="B17" s="9" t="s">
        <v>11</v>
      </c>
      <c r="C17" s="76" t="s">
        <v>56</v>
      </c>
      <c r="D17" s="11" t="s">
        <v>29</v>
      </c>
      <c r="E17" s="31"/>
      <c r="F17" s="31">
        <v>956020.5</v>
      </c>
      <c r="G17" s="30"/>
      <c r="I17" s="69"/>
      <c r="J17" s="69"/>
    </row>
    <row r="18" spans="1:10" s="70" customFormat="1" ht="12.75" customHeight="1" x14ac:dyDescent="0.2">
      <c r="A18" s="89">
        <v>45166</v>
      </c>
      <c r="B18" s="9" t="s">
        <v>11</v>
      </c>
      <c r="C18" s="76" t="s">
        <v>745</v>
      </c>
      <c r="D18" s="11" t="s">
        <v>29</v>
      </c>
      <c r="E18" s="31"/>
      <c r="F18" s="31">
        <v>792211</v>
      </c>
      <c r="G18" s="30"/>
      <c r="I18" s="69"/>
      <c r="J18" s="69"/>
    </row>
    <row r="19" spans="1:10" s="70" customFormat="1" ht="12.75" customHeight="1" x14ac:dyDescent="0.2">
      <c r="A19" s="89">
        <v>45166</v>
      </c>
      <c r="B19" s="9" t="s">
        <v>11</v>
      </c>
      <c r="C19" s="76" t="s">
        <v>849</v>
      </c>
      <c r="D19" s="11" t="s">
        <v>29</v>
      </c>
      <c r="E19" s="31"/>
      <c r="F19" s="31">
        <v>525717</v>
      </c>
      <c r="G19" s="30"/>
      <c r="I19" s="69"/>
      <c r="J19" s="69"/>
    </row>
    <row r="20" spans="1:10" s="70" customFormat="1" ht="12.75" customHeight="1" x14ac:dyDescent="0.2">
      <c r="A20" s="89">
        <v>45166</v>
      </c>
      <c r="B20" s="9" t="s">
        <v>11</v>
      </c>
      <c r="C20" s="76" t="s">
        <v>194</v>
      </c>
      <c r="D20" s="11" t="s">
        <v>29</v>
      </c>
      <c r="E20" s="31"/>
      <c r="F20" s="31">
        <v>641194</v>
      </c>
      <c r="G20" s="30"/>
      <c r="I20" s="69"/>
      <c r="J20" s="69"/>
    </row>
    <row r="21" spans="1:10" s="70" customFormat="1" ht="12.75" customHeight="1" x14ac:dyDescent="0.2">
      <c r="A21" s="89">
        <v>45166</v>
      </c>
      <c r="B21" s="9" t="s">
        <v>11</v>
      </c>
      <c r="C21" s="76" t="s">
        <v>193</v>
      </c>
      <c r="D21" s="11" t="s">
        <v>29</v>
      </c>
      <c r="E21" s="31"/>
      <c r="F21" s="31">
        <v>241633</v>
      </c>
      <c r="G21" s="30"/>
      <c r="I21" s="69"/>
      <c r="J21" s="69"/>
    </row>
    <row r="22" spans="1:10" s="70" customFormat="1" ht="12.75" customHeight="1" x14ac:dyDescent="0.2">
      <c r="A22" s="89">
        <v>45166</v>
      </c>
      <c r="B22" s="9" t="s">
        <v>11</v>
      </c>
      <c r="C22" s="76" t="s">
        <v>790</v>
      </c>
      <c r="D22" s="11" t="s">
        <v>29</v>
      </c>
      <c r="E22" s="31"/>
      <c r="F22" s="31">
        <v>409860</v>
      </c>
      <c r="G22" s="30"/>
      <c r="I22" s="69"/>
      <c r="J22" s="69"/>
    </row>
    <row r="23" spans="1:10" s="70" customFormat="1" ht="12.75" customHeight="1" x14ac:dyDescent="0.2">
      <c r="A23" s="89">
        <v>45166</v>
      </c>
      <c r="B23" s="9" t="s">
        <v>11</v>
      </c>
      <c r="C23" s="76" t="s">
        <v>139</v>
      </c>
      <c r="D23" s="11" t="s">
        <v>29</v>
      </c>
      <c r="E23" s="31"/>
      <c r="F23" s="31">
        <v>1208159</v>
      </c>
      <c r="G23" s="30"/>
      <c r="I23" s="69"/>
      <c r="J23" s="69"/>
    </row>
    <row r="24" spans="1:10" s="70" customFormat="1" ht="12.75" customHeight="1" x14ac:dyDescent="0.2">
      <c r="A24" s="89">
        <v>45166</v>
      </c>
      <c r="B24" s="9" t="s">
        <v>11</v>
      </c>
      <c r="C24" s="76" t="s">
        <v>1425</v>
      </c>
      <c r="D24" s="11" t="s">
        <v>29</v>
      </c>
      <c r="E24" s="31"/>
      <c r="F24" s="31">
        <v>24662</v>
      </c>
      <c r="G24" s="30"/>
      <c r="I24" s="69"/>
      <c r="J24" s="69"/>
    </row>
    <row r="25" spans="1:10" s="70" customFormat="1" ht="12.75" customHeight="1" x14ac:dyDescent="0.2">
      <c r="A25" s="89">
        <v>45166</v>
      </c>
      <c r="B25" s="9" t="s">
        <v>11</v>
      </c>
      <c r="C25" s="76" t="s">
        <v>1426</v>
      </c>
      <c r="D25" s="11" t="s">
        <v>29</v>
      </c>
      <c r="E25" s="31"/>
      <c r="F25" s="31">
        <v>24615</v>
      </c>
      <c r="G25" s="30"/>
      <c r="I25" s="69"/>
      <c r="J25" s="69"/>
    </row>
    <row r="26" spans="1:10" s="70" customFormat="1" ht="12.75" customHeight="1" x14ac:dyDescent="0.2">
      <c r="A26" s="89">
        <v>45166</v>
      </c>
      <c r="B26" s="9" t="s">
        <v>11</v>
      </c>
      <c r="C26" s="76" t="s">
        <v>1325</v>
      </c>
      <c r="D26" s="11" t="s">
        <v>29</v>
      </c>
      <c r="E26" s="31"/>
      <c r="F26" s="31">
        <v>1203368</v>
      </c>
      <c r="G26" s="30"/>
      <c r="I26" s="69"/>
      <c r="J26" s="69"/>
    </row>
    <row r="27" spans="1:10" s="70" customFormat="1" ht="12.75" customHeight="1" x14ac:dyDescent="0.2">
      <c r="A27" s="89">
        <v>45166</v>
      </c>
      <c r="B27" s="9" t="s">
        <v>11</v>
      </c>
      <c r="C27" s="76" t="s">
        <v>412</v>
      </c>
      <c r="D27" s="11" t="s">
        <v>29</v>
      </c>
      <c r="E27" s="31"/>
      <c r="F27" s="31">
        <v>1179656.6000000001</v>
      </c>
      <c r="G27" s="30"/>
      <c r="I27" s="69"/>
      <c r="J27" s="69"/>
    </row>
    <row r="28" spans="1:10" s="70" customFormat="1" ht="12.75" customHeight="1" x14ac:dyDescent="0.2">
      <c r="A28" s="89">
        <v>45166</v>
      </c>
      <c r="B28" s="9" t="s">
        <v>11</v>
      </c>
      <c r="C28" s="76" t="s">
        <v>443</v>
      </c>
      <c r="D28" s="11" t="s">
        <v>29</v>
      </c>
      <c r="E28" s="31"/>
      <c r="F28" s="31">
        <v>3000000</v>
      </c>
      <c r="G28" s="30"/>
      <c r="I28" s="69"/>
      <c r="J28" s="69"/>
    </row>
    <row r="29" spans="1:10" s="70" customFormat="1" ht="12.75" customHeight="1" x14ac:dyDescent="0.2">
      <c r="A29" s="89">
        <v>45166</v>
      </c>
      <c r="B29" s="9" t="s">
        <v>11</v>
      </c>
      <c r="C29" s="76" t="s">
        <v>147</v>
      </c>
      <c r="D29" s="11" t="s">
        <v>29</v>
      </c>
      <c r="E29" s="31"/>
      <c r="F29" s="31">
        <v>4642645</v>
      </c>
      <c r="G29" s="30"/>
      <c r="I29" s="69"/>
      <c r="J29" s="69"/>
    </row>
    <row r="30" spans="1:10" s="2" customFormat="1" ht="12.75" customHeight="1" x14ac:dyDescent="0.4">
      <c r="D30" s="11" t="s">
        <v>8</v>
      </c>
      <c r="E30" s="16">
        <f>SUM(E12:E29)</f>
        <v>5732524</v>
      </c>
      <c r="F30" s="16">
        <f>SUM(F11:F29)</f>
        <v>81413692.690000013</v>
      </c>
      <c r="G30" s="1"/>
      <c r="H30" s="112"/>
      <c r="I30" s="112"/>
    </row>
    <row r="31" spans="1:10" s="2" customFormat="1" ht="12.75" customHeight="1" x14ac:dyDescent="0.4">
      <c r="A31" s="17"/>
      <c r="B31" s="18"/>
      <c r="C31" s="96" t="s">
        <v>9</v>
      </c>
      <c r="D31" s="20"/>
      <c r="E31" s="21">
        <f>+F30-E30</f>
        <v>75681168.690000013</v>
      </c>
      <c r="G31" s="23"/>
      <c r="H31" s="112"/>
      <c r="I31" s="112"/>
      <c r="J31" s="13"/>
    </row>
    <row r="32" spans="1:10" s="2" customFormat="1" ht="12.75" customHeight="1" x14ac:dyDescent="0.4">
      <c r="A32" s="24"/>
      <c r="B32" s="1"/>
      <c r="C32" s="14"/>
      <c r="D32" s="25"/>
      <c r="G32" s="23"/>
      <c r="H32" s="112"/>
      <c r="I32" s="112"/>
      <c r="J32" s="13"/>
    </row>
    <row r="33" spans="1:10" s="2" customFormat="1" ht="21.75" customHeight="1" x14ac:dyDescent="0.4">
      <c r="A33" s="214" t="s">
        <v>10</v>
      </c>
      <c r="B33" s="214"/>
      <c r="C33" s="214"/>
      <c r="D33" s="214"/>
      <c r="E33" s="214"/>
      <c r="F33" s="214"/>
      <c r="G33" s="13"/>
      <c r="H33" s="112"/>
      <c r="I33" s="112"/>
      <c r="J33" s="13"/>
    </row>
    <row r="34" spans="1:10" s="2" customFormat="1" ht="12.75" customHeight="1" x14ac:dyDescent="0.4">
      <c r="A34" s="26" t="s">
        <v>1</v>
      </c>
      <c r="B34" s="27" t="s">
        <v>2</v>
      </c>
      <c r="C34" s="5"/>
      <c r="D34" s="6" t="s">
        <v>3</v>
      </c>
      <c r="E34" s="7" t="s">
        <v>4</v>
      </c>
      <c r="F34" s="7" t="s">
        <v>5</v>
      </c>
      <c r="G34" s="23"/>
      <c r="H34" s="112"/>
      <c r="I34" s="112"/>
      <c r="J34" s="13"/>
    </row>
    <row r="35" spans="1:10" s="2" customFormat="1" ht="12.75" customHeight="1" x14ac:dyDescent="0.2">
      <c r="A35" s="89">
        <v>45166</v>
      </c>
      <c r="B35" s="128" t="s">
        <v>11</v>
      </c>
      <c r="C35" s="29" t="s">
        <v>7</v>
      </c>
      <c r="D35" s="25"/>
      <c r="E35" s="31"/>
      <c r="F35" s="2">
        <v>343421365.68000007</v>
      </c>
      <c r="G35" s="30"/>
      <c r="I35" s="13"/>
      <c r="J35" s="13"/>
    </row>
    <row r="36" spans="1:10" s="70" customFormat="1" ht="12.75" customHeight="1" x14ac:dyDescent="0.2">
      <c r="A36" s="89">
        <v>45166</v>
      </c>
      <c r="B36" s="128" t="s">
        <v>6</v>
      </c>
      <c r="C36" s="10" t="s">
        <v>516</v>
      </c>
      <c r="D36" s="11" t="s">
        <v>13</v>
      </c>
      <c r="E36" s="86">
        <v>55000</v>
      </c>
      <c r="G36" s="30"/>
      <c r="I36" s="69"/>
      <c r="J36" s="69"/>
    </row>
    <row r="37" spans="1:10" s="70" customFormat="1" ht="12.75" customHeight="1" x14ac:dyDescent="0.2">
      <c r="A37" s="89">
        <v>45166</v>
      </c>
      <c r="B37" s="128" t="s">
        <v>6</v>
      </c>
      <c r="C37" s="10" t="s">
        <v>105</v>
      </c>
      <c r="D37" s="11" t="s">
        <v>13</v>
      </c>
      <c r="E37" s="86">
        <v>150586</v>
      </c>
      <c r="G37" s="30"/>
      <c r="I37" s="69"/>
      <c r="J37" s="69"/>
    </row>
    <row r="38" spans="1:10" s="70" customFormat="1" ht="12.75" customHeight="1" x14ac:dyDescent="0.2">
      <c r="A38" s="89">
        <v>45166</v>
      </c>
      <c r="B38" s="128" t="s">
        <v>6</v>
      </c>
      <c r="C38" s="10" t="s">
        <v>332</v>
      </c>
      <c r="D38" s="11" t="s">
        <v>13</v>
      </c>
      <c r="E38" s="86">
        <v>155042</v>
      </c>
      <c r="G38" s="30"/>
      <c r="I38" s="69"/>
      <c r="J38" s="69"/>
    </row>
    <row r="39" spans="1:10" s="70" customFormat="1" ht="12.75" customHeight="1" x14ac:dyDescent="0.2">
      <c r="A39" s="89">
        <v>45166</v>
      </c>
      <c r="B39" s="128" t="s">
        <v>6</v>
      </c>
      <c r="C39" s="10" t="s">
        <v>1231</v>
      </c>
      <c r="D39" s="11" t="s">
        <v>13</v>
      </c>
      <c r="E39" s="86">
        <v>156606</v>
      </c>
      <c r="G39" s="30"/>
      <c r="I39" s="69"/>
      <c r="J39" s="69"/>
    </row>
    <row r="40" spans="1:10" s="70" customFormat="1" ht="12.75" customHeight="1" x14ac:dyDescent="0.2">
      <c r="A40" s="89">
        <v>45166</v>
      </c>
      <c r="B40" s="128" t="s">
        <v>6</v>
      </c>
      <c r="C40" s="10" t="s">
        <v>461</v>
      </c>
      <c r="D40" s="11" t="s">
        <v>13</v>
      </c>
      <c r="E40" s="86">
        <v>380942</v>
      </c>
      <c r="G40" s="30"/>
      <c r="I40" s="69"/>
      <c r="J40" s="69"/>
    </row>
    <row r="41" spans="1:10" s="70" customFormat="1" ht="12.75" customHeight="1" x14ac:dyDescent="0.2">
      <c r="A41" s="89">
        <v>45166</v>
      </c>
      <c r="B41" s="128" t="s">
        <v>6</v>
      </c>
      <c r="C41" s="10" t="s">
        <v>1427</v>
      </c>
      <c r="D41" s="11" t="s">
        <v>13</v>
      </c>
      <c r="E41" s="86">
        <v>2362.5</v>
      </c>
      <c r="G41" s="30"/>
      <c r="I41" s="69"/>
      <c r="J41" s="69"/>
    </row>
    <row r="42" spans="1:10" s="70" customFormat="1" ht="12.75" customHeight="1" x14ac:dyDescent="0.2">
      <c r="A42" s="89">
        <v>45166</v>
      </c>
      <c r="B42" s="128" t="s">
        <v>6</v>
      </c>
      <c r="C42" s="10" t="s">
        <v>1428</v>
      </c>
      <c r="D42" s="11" t="s">
        <v>13</v>
      </c>
      <c r="E42" s="86">
        <v>286650</v>
      </c>
      <c r="G42" s="30"/>
      <c r="I42" s="69"/>
      <c r="J42" s="69"/>
    </row>
    <row r="43" spans="1:10" s="70" customFormat="1" ht="12.75" customHeight="1" x14ac:dyDescent="0.2">
      <c r="A43" s="89">
        <v>45166</v>
      </c>
      <c r="B43" s="128" t="s">
        <v>6</v>
      </c>
      <c r="C43" s="10" t="s">
        <v>1429</v>
      </c>
      <c r="D43" s="11" t="s">
        <v>13</v>
      </c>
      <c r="E43" s="86">
        <v>2096336</v>
      </c>
      <c r="G43" s="30"/>
      <c r="I43" s="69"/>
      <c r="J43" s="69"/>
    </row>
    <row r="44" spans="1:10" s="70" customFormat="1" ht="12.75" customHeight="1" x14ac:dyDescent="0.2">
      <c r="A44" s="89">
        <v>45166</v>
      </c>
      <c r="B44" s="128" t="s">
        <v>6</v>
      </c>
      <c r="C44" s="10" t="s">
        <v>1430</v>
      </c>
      <c r="D44" s="11" t="s">
        <v>13</v>
      </c>
      <c r="E44" s="86">
        <v>5198</v>
      </c>
      <c r="G44" s="30"/>
      <c r="I44" s="69"/>
      <c r="J44" s="69"/>
    </row>
    <row r="45" spans="1:10" s="70" customFormat="1" ht="12.75" customHeight="1" x14ac:dyDescent="0.2">
      <c r="A45" s="89">
        <v>45166</v>
      </c>
      <c r="B45" s="128" t="s">
        <v>6</v>
      </c>
      <c r="C45" s="10" t="s">
        <v>144</v>
      </c>
      <c r="D45" s="11" t="s">
        <v>13</v>
      </c>
      <c r="E45" s="86">
        <v>1749978</v>
      </c>
      <c r="G45" s="30"/>
      <c r="I45" s="69"/>
      <c r="J45" s="69"/>
    </row>
    <row r="46" spans="1:10" s="70" customFormat="1" ht="12.75" customHeight="1" x14ac:dyDescent="0.2">
      <c r="A46" s="89">
        <v>45166</v>
      </c>
      <c r="B46" s="128" t="s">
        <v>6</v>
      </c>
      <c r="C46" s="10" t="s">
        <v>503</v>
      </c>
      <c r="D46" s="11" t="s">
        <v>13</v>
      </c>
      <c r="E46" s="86">
        <v>10741.76</v>
      </c>
      <c r="G46" s="30"/>
      <c r="I46" s="69"/>
      <c r="J46" s="69"/>
    </row>
    <row r="47" spans="1:10" s="70" customFormat="1" ht="12.75" customHeight="1" x14ac:dyDescent="0.2">
      <c r="A47" s="89">
        <v>45166</v>
      </c>
      <c r="B47" s="128" t="s">
        <v>6</v>
      </c>
      <c r="C47" s="10" t="s">
        <v>247</v>
      </c>
      <c r="D47" s="11" t="s">
        <v>13</v>
      </c>
      <c r="E47" s="86">
        <v>1960000</v>
      </c>
      <c r="G47" s="30"/>
      <c r="I47" s="69"/>
      <c r="J47" s="69"/>
    </row>
    <row r="48" spans="1:10" s="70" customFormat="1" ht="12.75" customHeight="1" x14ac:dyDescent="0.2">
      <c r="A48" s="89">
        <v>45166</v>
      </c>
      <c r="B48" s="128" t="s">
        <v>6</v>
      </c>
      <c r="C48" s="10" t="s">
        <v>1333</v>
      </c>
      <c r="D48" s="11" t="s">
        <v>13</v>
      </c>
      <c r="E48" s="86">
        <v>217791</v>
      </c>
      <c r="G48" s="30"/>
      <c r="I48" s="69"/>
      <c r="J48" s="69"/>
    </row>
    <row r="49" spans="1:10" s="70" customFormat="1" ht="12.75" customHeight="1" x14ac:dyDescent="0.2">
      <c r="A49" s="89">
        <v>45166</v>
      </c>
      <c r="B49" s="128" t="s">
        <v>6</v>
      </c>
      <c r="C49" s="10" t="s">
        <v>413</v>
      </c>
      <c r="D49" s="11" t="s">
        <v>13</v>
      </c>
      <c r="E49" s="86">
        <v>350000</v>
      </c>
      <c r="G49" s="30"/>
      <c r="I49" s="69"/>
      <c r="J49" s="69"/>
    </row>
    <row r="50" spans="1:10" s="70" customFormat="1" ht="12.75" customHeight="1" x14ac:dyDescent="0.2">
      <c r="A50" s="89">
        <v>45166</v>
      </c>
      <c r="B50" s="128" t="s">
        <v>6</v>
      </c>
      <c r="C50" s="10" t="s">
        <v>1431</v>
      </c>
      <c r="D50" s="11" t="s">
        <v>13</v>
      </c>
      <c r="E50" s="86">
        <v>102816</v>
      </c>
      <c r="G50" s="30"/>
      <c r="I50" s="69"/>
      <c r="J50" s="69"/>
    </row>
    <row r="51" spans="1:10" s="70" customFormat="1" ht="12.75" customHeight="1" x14ac:dyDescent="0.2">
      <c r="A51" s="89">
        <v>45166</v>
      </c>
      <c r="B51" s="128" t="s">
        <v>6</v>
      </c>
      <c r="C51" s="10" t="s">
        <v>1389</v>
      </c>
      <c r="D51" s="11" t="s">
        <v>13</v>
      </c>
      <c r="E51" s="86">
        <v>807459</v>
      </c>
      <c r="G51" s="30"/>
      <c r="I51" s="69"/>
      <c r="J51" s="69"/>
    </row>
    <row r="52" spans="1:10" s="70" customFormat="1" ht="12.75" customHeight="1" x14ac:dyDescent="0.2">
      <c r="A52" s="89">
        <v>45166</v>
      </c>
      <c r="B52" s="128" t="s">
        <v>6</v>
      </c>
      <c r="C52" s="10" t="s">
        <v>1447</v>
      </c>
      <c r="D52" s="11" t="s">
        <v>13</v>
      </c>
      <c r="E52" s="86">
        <v>27404</v>
      </c>
      <c r="G52" s="30"/>
      <c r="I52" s="69"/>
      <c r="J52" s="69"/>
    </row>
    <row r="53" spans="1:10" s="70" customFormat="1" ht="12.75" customHeight="1" x14ac:dyDescent="0.2">
      <c r="A53" s="89">
        <v>45166</v>
      </c>
      <c r="B53" s="128" t="s">
        <v>6</v>
      </c>
      <c r="C53" s="10" t="s">
        <v>1445</v>
      </c>
      <c r="D53" s="11" t="s">
        <v>13</v>
      </c>
      <c r="E53" s="86">
        <v>9398</v>
      </c>
      <c r="G53" s="30"/>
      <c r="I53" s="69"/>
      <c r="J53" s="69"/>
    </row>
    <row r="54" spans="1:10" s="70" customFormat="1" ht="12.75" customHeight="1" x14ac:dyDescent="0.2">
      <c r="A54" s="89">
        <v>45166</v>
      </c>
      <c r="B54" s="128" t="s">
        <v>6</v>
      </c>
      <c r="C54" s="10" t="s">
        <v>1446</v>
      </c>
      <c r="D54" s="11" t="s">
        <v>13</v>
      </c>
      <c r="E54" s="86">
        <v>394774</v>
      </c>
      <c r="G54" s="30"/>
      <c r="I54" s="69"/>
      <c r="J54" s="69"/>
    </row>
    <row r="55" spans="1:10" s="70" customFormat="1" ht="12.75" customHeight="1" x14ac:dyDescent="0.2">
      <c r="A55" s="89">
        <v>45166</v>
      </c>
      <c r="B55" s="128" t="s">
        <v>6</v>
      </c>
      <c r="C55" s="10" t="s">
        <v>311</v>
      </c>
      <c r="D55" s="11" t="s">
        <v>13</v>
      </c>
      <c r="E55" s="86">
        <v>1711011</v>
      </c>
      <c r="G55" s="30"/>
      <c r="I55" s="69"/>
      <c r="J55" s="69"/>
    </row>
    <row r="56" spans="1:10" s="70" customFormat="1" ht="12.75" customHeight="1" x14ac:dyDescent="0.2">
      <c r="A56" s="89">
        <v>45166</v>
      </c>
      <c r="B56" s="128" t="s">
        <v>6</v>
      </c>
      <c r="C56" s="10" t="s">
        <v>1271</v>
      </c>
      <c r="D56" s="11" t="s">
        <v>13</v>
      </c>
      <c r="E56" s="86">
        <v>50000</v>
      </c>
      <c r="G56" s="30"/>
      <c r="I56" s="69"/>
      <c r="J56" s="69"/>
    </row>
    <row r="57" spans="1:10" s="70" customFormat="1" ht="12.75" customHeight="1" x14ac:dyDescent="0.2">
      <c r="A57" s="89">
        <v>45166</v>
      </c>
      <c r="B57" s="128" t="s">
        <v>6</v>
      </c>
      <c r="C57" s="10" t="s">
        <v>93</v>
      </c>
      <c r="D57" s="11" t="s">
        <v>13</v>
      </c>
      <c r="E57" s="86">
        <v>4907038</v>
      </c>
      <c r="G57" s="30"/>
      <c r="I57" s="69"/>
      <c r="J57" s="69"/>
    </row>
    <row r="58" spans="1:10" s="70" customFormat="1" ht="12.75" customHeight="1" x14ac:dyDescent="0.2">
      <c r="A58" s="89">
        <v>45166</v>
      </c>
      <c r="B58" s="128" t="s">
        <v>6</v>
      </c>
      <c r="C58" s="10" t="s">
        <v>819</v>
      </c>
      <c r="D58" s="11" t="s">
        <v>13</v>
      </c>
      <c r="E58" s="86">
        <v>3809</v>
      </c>
      <c r="G58" s="30"/>
      <c r="I58" s="69"/>
      <c r="J58" s="69"/>
    </row>
    <row r="59" spans="1:10" s="70" customFormat="1" ht="12.75" customHeight="1" x14ac:dyDescent="0.2">
      <c r="A59" s="89">
        <v>45166</v>
      </c>
      <c r="B59" s="128" t="s">
        <v>6</v>
      </c>
      <c r="C59" s="10" t="s">
        <v>165</v>
      </c>
      <c r="D59" s="11" t="s">
        <v>13</v>
      </c>
      <c r="E59" s="86">
        <v>21598</v>
      </c>
      <c r="G59" s="30"/>
      <c r="I59" s="69"/>
      <c r="J59" s="69"/>
    </row>
    <row r="60" spans="1:10" s="70" customFormat="1" ht="12.75" customHeight="1" x14ac:dyDescent="0.2">
      <c r="A60" s="89">
        <v>45166</v>
      </c>
      <c r="B60" s="128" t="s">
        <v>11</v>
      </c>
      <c r="C60" s="10" t="s">
        <v>111</v>
      </c>
      <c r="D60" s="11" t="s">
        <v>29</v>
      </c>
      <c r="E60" s="86"/>
      <c r="F60" s="70">
        <v>4300564.37</v>
      </c>
      <c r="G60" s="30"/>
      <c r="I60" s="69"/>
      <c r="J60" s="69"/>
    </row>
    <row r="61" spans="1:10" s="70" customFormat="1" ht="12.75" customHeight="1" x14ac:dyDescent="0.2">
      <c r="A61" s="89">
        <v>45166</v>
      </c>
      <c r="B61" s="128" t="s">
        <v>11</v>
      </c>
      <c r="C61" s="10" t="s">
        <v>109</v>
      </c>
      <c r="D61" s="11" t="s">
        <v>29</v>
      </c>
      <c r="E61" s="86"/>
      <c r="F61" s="70">
        <v>671914</v>
      </c>
      <c r="G61" s="30"/>
      <c r="I61" s="69"/>
      <c r="J61" s="69"/>
    </row>
    <row r="62" spans="1:10" s="70" customFormat="1" ht="12.75" customHeight="1" x14ac:dyDescent="0.2">
      <c r="A62" s="89">
        <v>45166</v>
      </c>
      <c r="B62" s="128" t="s">
        <v>11</v>
      </c>
      <c r="C62" s="10" t="s">
        <v>447</v>
      </c>
      <c r="D62" s="11" t="s">
        <v>29</v>
      </c>
      <c r="E62" s="86"/>
      <c r="F62" s="70">
        <v>273600</v>
      </c>
      <c r="G62" s="30"/>
      <c r="I62" s="69"/>
      <c r="J62" s="69"/>
    </row>
    <row r="63" spans="1:10" s="70" customFormat="1" ht="12.75" customHeight="1" x14ac:dyDescent="0.2">
      <c r="A63" s="89">
        <v>45166</v>
      </c>
      <c r="B63" s="128" t="s">
        <v>11</v>
      </c>
      <c r="C63" s="10" t="s">
        <v>1403</v>
      </c>
      <c r="D63" s="11" t="s">
        <v>29</v>
      </c>
      <c r="E63" s="86"/>
      <c r="F63" s="70">
        <v>276900</v>
      </c>
      <c r="G63" s="30"/>
      <c r="I63" s="69"/>
      <c r="J63" s="69"/>
    </row>
    <row r="64" spans="1:10" s="70" customFormat="1" ht="12.75" customHeight="1" x14ac:dyDescent="0.2">
      <c r="A64" s="89">
        <v>45166</v>
      </c>
      <c r="B64" s="128" t="s">
        <v>11</v>
      </c>
      <c r="C64" s="10" t="s">
        <v>462</v>
      </c>
      <c r="D64" s="11" t="s">
        <v>29</v>
      </c>
      <c r="E64" s="86"/>
      <c r="F64" s="70">
        <v>18837.259999999998</v>
      </c>
      <c r="G64" s="30"/>
      <c r="I64" s="69"/>
      <c r="J64" s="69"/>
    </row>
    <row r="65" spans="1:10" s="70" customFormat="1" ht="12.75" customHeight="1" x14ac:dyDescent="0.2">
      <c r="A65" s="89">
        <v>45166</v>
      </c>
      <c r="B65" s="128" t="s">
        <v>11</v>
      </c>
      <c r="C65" s="10" t="s">
        <v>116</v>
      </c>
      <c r="D65" s="11" t="s">
        <v>29</v>
      </c>
      <c r="E65" s="86"/>
      <c r="F65" s="70">
        <v>21217</v>
      </c>
      <c r="G65" s="30"/>
      <c r="I65" s="69"/>
      <c r="J65" s="69"/>
    </row>
    <row r="66" spans="1:10" s="70" customFormat="1" ht="12.75" customHeight="1" x14ac:dyDescent="0.2">
      <c r="A66" s="89">
        <v>45166</v>
      </c>
      <c r="B66" s="128" t="s">
        <v>11</v>
      </c>
      <c r="C66" s="10" t="s">
        <v>481</v>
      </c>
      <c r="D66" s="11" t="s">
        <v>29</v>
      </c>
      <c r="E66" s="86"/>
      <c r="F66" s="70">
        <v>6608</v>
      </c>
      <c r="G66" s="30"/>
      <c r="I66" s="69"/>
      <c r="J66" s="69"/>
    </row>
    <row r="67" spans="1:10" s="70" customFormat="1" ht="12.75" customHeight="1" x14ac:dyDescent="0.2">
      <c r="A67" s="89">
        <v>45166</v>
      </c>
      <c r="B67" s="128" t="s">
        <v>11</v>
      </c>
      <c r="C67" s="10" t="s">
        <v>528</v>
      </c>
      <c r="D67" s="11" t="s">
        <v>29</v>
      </c>
      <c r="E67" s="86"/>
      <c r="F67" s="70">
        <v>17765.599999999999</v>
      </c>
      <c r="G67" s="30"/>
      <c r="I67" s="69"/>
      <c r="J67" s="69"/>
    </row>
    <row r="68" spans="1:10" s="70" customFormat="1" ht="12.75" customHeight="1" x14ac:dyDescent="0.2">
      <c r="A68" s="89">
        <v>45166</v>
      </c>
      <c r="B68" s="128" t="s">
        <v>11</v>
      </c>
      <c r="C68" s="10" t="s">
        <v>415</v>
      </c>
      <c r="D68" s="11" t="s">
        <v>29</v>
      </c>
      <c r="E68" s="86"/>
      <c r="F68" s="70">
        <v>5900</v>
      </c>
      <c r="G68" s="30"/>
      <c r="I68" s="69"/>
      <c r="J68" s="69"/>
    </row>
    <row r="69" spans="1:10" s="70" customFormat="1" ht="12.75" customHeight="1" x14ac:dyDescent="0.2">
      <c r="A69" s="89">
        <v>45166</v>
      </c>
      <c r="B69" s="128" t="s">
        <v>11</v>
      </c>
      <c r="C69" s="10" t="s">
        <v>60</v>
      </c>
      <c r="D69" s="11" t="s">
        <v>29</v>
      </c>
      <c r="E69" s="86"/>
      <c r="F69" s="70">
        <v>5286</v>
      </c>
      <c r="G69" s="30"/>
      <c r="I69" s="69"/>
      <c r="J69" s="69"/>
    </row>
    <row r="70" spans="1:10" s="70" customFormat="1" ht="12.75" customHeight="1" x14ac:dyDescent="0.2">
      <c r="A70" s="89">
        <v>45166</v>
      </c>
      <c r="B70" s="128" t="s">
        <v>11</v>
      </c>
      <c r="C70" s="10" t="s">
        <v>604</v>
      </c>
      <c r="D70" s="11" t="s">
        <v>29</v>
      </c>
      <c r="E70" s="86"/>
      <c r="F70" s="70">
        <v>25520</v>
      </c>
      <c r="G70" s="30"/>
      <c r="I70" s="69"/>
      <c r="J70" s="69"/>
    </row>
    <row r="71" spans="1:10" s="70" customFormat="1" ht="12.75" customHeight="1" x14ac:dyDescent="0.2">
      <c r="A71" s="89">
        <v>45166</v>
      </c>
      <c r="B71" s="128" t="s">
        <v>11</v>
      </c>
      <c r="C71" s="10" t="s">
        <v>370</v>
      </c>
      <c r="D71" s="11" t="s">
        <v>29</v>
      </c>
      <c r="E71" s="86"/>
      <c r="F71" s="70">
        <v>50530</v>
      </c>
      <c r="G71" s="30"/>
      <c r="I71" s="69"/>
      <c r="J71" s="69"/>
    </row>
    <row r="72" spans="1:10" s="70" customFormat="1" ht="12.75" customHeight="1" x14ac:dyDescent="0.2">
      <c r="A72" s="89">
        <v>45166</v>
      </c>
      <c r="B72" s="128" t="s">
        <v>11</v>
      </c>
      <c r="C72" s="10" t="s">
        <v>208</v>
      </c>
      <c r="D72" s="11" t="s">
        <v>29</v>
      </c>
      <c r="E72" s="86"/>
      <c r="F72" s="70">
        <v>22368</v>
      </c>
      <c r="G72" s="30"/>
      <c r="I72" s="69"/>
      <c r="J72" s="69"/>
    </row>
    <row r="73" spans="1:10" s="70" customFormat="1" ht="12.75" customHeight="1" x14ac:dyDescent="0.2">
      <c r="A73" s="89">
        <v>45166</v>
      </c>
      <c r="B73" s="128" t="s">
        <v>11</v>
      </c>
      <c r="C73" s="10" t="s">
        <v>211</v>
      </c>
      <c r="D73" s="11" t="s">
        <v>29</v>
      </c>
      <c r="E73" s="86"/>
      <c r="F73" s="70">
        <v>190903.36</v>
      </c>
      <c r="G73" s="30"/>
      <c r="I73" s="69"/>
      <c r="J73" s="69"/>
    </row>
    <row r="74" spans="1:10" s="70" customFormat="1" ht="12.75" customHeight="1" x14ac:dyDescent="0.2">
      <c r="A74" s="89">
        <v>45166</v>
      </c>
      <c r="B74" s="128" t="s">
        <v>11</v>
      </c>
      <c r="C74" s="10" t="s">
        <v>252</v>
      </c>
      <c r="D74" s="11" t="s">
        <v>29</v>
      </c>
      <c r="E74" s="86"/>
      <c r="F74" s="70">
        <v>14388.92</v>
      </c>
      <c r="G74" s="30"/>
      <c r="I74" s="69"/>
      <c r="J74" s="69"/>
    </row>
    <row r="75" spans="1:10" s="70" customFormat="1" ht="12.75" customHeight="1" x14ac:dyDescent="0.2">
      <c r="A75" s="89">
        <v>45166</v>
      </c>
      <c r="B75" s="128" t="s">
        <v>11</v>
      </c>
      <c r="C75" s="10" t="s">
        <v>292</v>
      </c>
      <c r="D75" s="11" t="s">
        <v>29</v>
      </c>
      <c r="E75" s="86"/>
      <c r="F75" s="70">
        <v>3600</v>
      </c>
      <c r="G75" s="30"/>
      <c r="I75" s="69"/>
      <c r="J75" s="69"/>
    </row>
    <row r="76" spans="1:10" s="70" customFormat="1" ht="12.75" customHeight="1" x14ac:dyDescent="0.2">
      <c r="A76" s="89">
        <v>45166</v>
      </c>
      <c r="B76" s="128" t="s">
        <v>11</v>
      </c>
      <c r="C76" s="10" t="s">
        <v>823</v>
      </c>
      <c r="D76" s="11" t="s">
        <v>29</v>
      </c>
      <c r="E76" s="86"/>
      <c r="F76" s="70">
        <v>14721</v>
      </c>
      <c r="G76" s="30"/>
      <c r="I76" s="69"/>
      <c r="J76" s="69"/>
    </row>
    <row r="77" spans="1:10" s="70" customFormat="1" ht="12.75" customHeight="1" x14ac:dyDescent="0.2">
      <c r="A77" s="89">
        <v>45166</v>
      </c>
      <c r="B77" s="128" t="s">
        <v>11</v>
      </c>
      <c r="C77" s="10" t="s">
        <v>338</v>
      </c>
      <c r="D77" s="11" t="s">
        <v>29</v>
      </c>
      <c r="E77" s="86"/>
      <c r="F77" s="70">
        <v>152530.57999999999</v>
      </c>
      <c r="G77" s="30"/>
      <c r="I77" s="69"/>
      <c r="J77" s="69"/>
    </row>
    <row r="78" spans="1:10" s="70" customFormat="1" ht="12.75" customHeight="1" x14ac:dyDescent="0.2">
      <c r="A78" s="89">
        <v>45166</v>
      </c>
      <c r="B78" s="128" t="s">
        <v>11</v>
      </c>
      <c r="C78" s="10" t="s">
        <v>54</v>
      </c>
      <c r="D78" s="11" t="s">
        <v>29</v>
      </c>
      <c r="E78" s="86"/>
      <c r="F78" s="70">
        <v>372</v>
      </c>
      <c r="G78" s="30"/>
      <c r="I78" s="69"/>
      <c r="J78" s="69"/>
    </row>
    <row r="79" spans="1:10" s="70" customFormat="1" ht="12.75" customHeight="1" x14ac:dyDescent="0.2">
      <c r="A79" s="89">
        <v>45166</v>
      </c>
      <c r="B79" s="128" t="s">
        <v>11</v>
      </c>
      <c r="C79" s="10" t="s">
        <v>339</v>
      </c>
      <c r="D79" s="11" t="s">
        <v>29</v>
      </c>
      <c r="E79" s="86"/>
      <c r="F79" s="70">
        <v>94105.2</v>
      </c>
      <c r="G79" s="30"/>
      <c r="I79" s="69"/>
      <c r="J79" s="69"/>
    </row>
    <row r="80" spans="1:10" s="70" customFormat="1" ht="12.75" customHeight="1" x14ac:dyDescent="0.2">
      <c r="A80" s="89">
        <v>45166</v>
      </c>
      <c r="B80" s="128" t="s">
        <v>11</v>
      </c>
      <c r="C80" s="10" t="s">
        <v>663</v>
      </c>
      <c r="D80" s="11" t="s">
        <v>29</v>
      </c>
      <c r="E80" s="86"/>
      <c r="F80" s="70">
        <v>1386000</v>
      </c>
      <c r="G80" s="30"/>
      <c r="I80" s="69"/>
      <c r="J80" s="69"/>
    </row>
    <row r="81" spans="1:13" s="70" customFormat="1" ht="12.75" customHeight="1" x14ac:dyDescent="0.2">
      <c r="A81" s="89">
        <v>45166</v>
      </c>
      <c r="B81" s="128" t="s">
        <v>11</v>
      </c>
      <c r="C81" s="10" t="s">
        <v>417</v>
      </c>
      <c r="D81" s="11" t="s">
        <v>29</v>
      </c>
      <c r="E81" s="86"/>
      <c r="F81" s="70">
        <v>1419027</v>
      </c>
      <c r="G81" s="30"/>
      <c r="I81" s="69"/>
      <c r="J81" s="69"/>
    </row>
    <row r="82" spans="1:13" s="70" customFormat="1" ht="12.75" customHeight="1" x14ac:dyDescent="0.2">
      <c r="A82" s="89">
        <v>45166</v>
      </c>
      <c r="B82" s="128" t="s">
        <v>11</v>
      </c>
      <c r="C82" s="10" t="s">
        <v>204</v>
      </c>
      <c r="D82" s="11" t="s">
        <v>29</v>
      </c>
      <c r="E82" s="86"/>
      <c r="F82" s="70">
        <v>1539086</v>
      </c>
      <c r="G82" s="30"/>
      <c r="I82" s="69"/>
      <c r="J82" s="69"/>
    </row>
    <row r="83" spans="1:13" s="70" customFormat="1" ht="12.75" customHeight="1" x14ac:dyDescent="0.2">
      <c r="A83" s="89">
        <v>45166</v>
      </c>
      <c r="B83" s="128" t="s">
        <v>11</v>
      </c>
      <c r="C83" s="10" t="s">
        <v>348</v>
      </c>
      <c r="D83" s="11" t="s">
        <v>29</v>
      </c>
      <c r="E83" s="86"/>
      <c r="F83" s="70">
        <v>66330</v>
      </c>
      <c r="G83" s="30"/>
      <c r="I83" s="69"/>
      <c r="J83" s="69"/>
    </row>
    <row r="84" spans="1:13" s="70" customFormat="1" ht="12.75" customHeight="1" x14ac:dyDescent="0.2">
      <c r="A84" s="89">
        <v>45166</v>
      </c>
      <c r="B84" s="128" t="s">
        <v>11</v>
      </c>
      <c r="C84" s="10" t="s">
        <v>356</v>
      </c>
      <c r="D84" s="11" t="s">
        <v>29</v>
      </c>
      <c r="E84" s="86"/>
      <c r="F84" s="70">
        <v>443126.76</v>
      </c>
      <c r="G84" s="30"/>
      <c r="I84" s="69"/>
      <c r="J84" s="69"/>
    </row>
    <row r="85" spans="1:13" s="70" customFormat="1" ht="12.75" customHeight="1" x14ac:dyDescent="0.2">
      <c r="A85" s="89">
        <v>45166</v>
      </c>
      <c r="B85" s="128" t="s">
        <v>11</v>
      </c>
      <c r="C85" s="10" t="s">
        <v>232</v>
      </c>
      <c r="D85" s="11" t="s">
        <v>29</v>
      </c>
      <c r="E85" s="86"/>
      <c r="F85" s="70">
        <v>8006</v>
      </c>
      <c r="G85" s="30"/>
      <c r="I85" s="69"/>
      <c r="J85" s="69"/>
    </row>
    <row r="86" spans="1:13" s="70" customFormat="1" ht="12.75" customHeight="1" x14ac:dyDescent="0.2">
      <c r="A86" s="89">
        <v>45166</v>
      </c>
      <c r="B86" s="128" t="s">
        <v>11</v>
      </c>
      <c r="C86" s="10" t="s">
        <v>1164</v>
      </c>
      <c r="D86" s="11" t="s">
        <v>29</v>
      </c>
      <c r="E86" s="86"/>
      <c r="F86" s="70">
        <v>44894</v>
      </c>
      <c r="G86" s="30"/>
      <c r="I86" s="69"/>
      <c r="J86" s="69"/>
    </row>
    <row r="87" spans="1:13" s="70" customFormat="1" ht="12.75" customHeight="1" x14ac:dyDescent="0.2">
      <c r="A87" s="89">
        <v>45166</v>
      </c>
      <c r="B87" s="128" t="s">
        <v>11</v>
      </c>
      <c r="C87" s="10" t="s">
        <v>958</v>
      </c>
      <c r="D87" s="11" t="s">
        <v>29</v>
      </c>
      <c r="E87" s="86"/>
      <c r="F87" s="70">
        <v>8260</v>
      </c>
      <c r="G87" s="30"/>
      <c r="I87" s="69"/>
      <c r="J87" s="69"/>
    </row>
    <row r="88" spans="1:13" s="70" customFormat="1" ht="12.75" customHeight="1" x14ac:dyDescent="0.2">
      <c r="A88" s="89">
        <v>45166</v>
      </c>
      <c r="B88" s="128" t="s">
        <v>11</v>
      </c>
      <c r="C88" s="10" t="s">
        <v>125</v>
      </c>
      <c r="D88" s="11" t="s">
        <v>29</v>
      </c>
      <c r="E88" s="86"/>
      <c r="F88" s="70">
        <v>467599</v>
      </c>
      <c r="G88" s="30"/>
      <c r="I88" s="69"/>
      <c r="J88" s="69"/>
    </row>
    <row r="89" spans="1:13" s="70" customFormat="1" ht="12.75" customHeight="1" x14ac:dyDescent="0.2">
      <c r="A89" s="89">
        <v>45166</v>
      </c>
      <c r="B89" s="128" t="s">
        <v>11</v>
      </c>
      <c r="C89" s="10" t="s">
        <v>199</v>
      </c>
      <c r="D89" s="11" t="s">
        <v>29</v>
      </c>
      <c r="E89" s="86"/>
      <c r="F89" s="70">
        <v>101830</v>
      </c>
      <c r="G89" s="30"/>
      <c r="I89" s="69"/>
      <c r="J89" s="69"/>
    </row>
    <row r="90" spans="1:13" s="70" customFormat="1" ht="12.75" customHeight="1" x14ac:dyDescent="0.2">
      <c r="A90" s="89">
        <v>45166</v>
      </c>
      <c r="B90" s="128" t="s">
        <v>11</v>
      </c>
      <c r="C90" s="10" t="s">
        <v>34</v>
      </c>
      <c r="D90" s="11" t="s">
        <v>29</v>
      </c>
      <c r="E90" s="86"/>
      <c r="F90" s="70">
        <v>20000</v>
      </c>
      <c r="G90" s="30"/>
      <c r="I90" s="69"/>
      <c r="J90" s="69"/>
    </row>
    <row r="91" spans="1:13" s="70" customFormat="1" ht="12.75" customHeight="1" x14ac:dyDescent="0.2">
      <c r="A91" s="89">
        <v>45166</v>
      </c>
      <c r="B91" s="128" t="s">
        <v>11</v>
      </c>
      <c r="C91" s="10" t="s">
        <v>268</v>
      </c>
      <c r="D91" s="11" t="s">
        <v>29</v>
      </c>
      <c r="E91" s="86"/>
      <c r="F91" s="70">
        <v>67708</v>
      </c>
      <c r="G91" s="30"/>
      <c r="I91" s="69"/>
      <c r="J91" s="69"/>
    </row>
    <row r="92" spans="1:13" s="70" customFormat="1" ht="12.75" customHeight="1" x14ac:dyDescent="0.2">
      <c r="A92" s="89">
        <v>45166</v>
      </c>
      <c r="B92" s="128" t="s">
        <v>11</v>
      </c>
      <c r="C92" s="10" t="s">
        <v>561</v>
      </c>
      <c r="D92" s="11" t="s">
        <v>29</v>
      </c>
      <c r="E92" s="86"/>
      <c r="F92" s="70">
        <v>322596</v>
      </c>
      <c r="G92" s="30"/>
      <c r="I92" s="69"/>
      <c r="J92" s="69"/>
    </row>
    <row r="93" spans="1:13" s="70" customFormat="1" ht="12.75" customHeight="1" x14ac:dyDescent="0.2">
      <c r="A93" s="89">
        <v>45166</v>
      </c>
      <c r="B93" s="128" t="s">
        <v>11</v>
      </c>
      <c r="C93" s="10" t="s">
        <v>62</v>
      </c>
      <c r="D93" s="11" t="s">
        <v>29</v>
      </c>
      <c r="E93" s="86"/>
      <c r="F93" s="70">
        <v>10000</v>
      </c>
      <c r="G93" s="30"/>
      <c r="I93" s="69"/>
      <c r="J93" s="69"/>
      <c r="K93" s="148" t="s">
        <v>1432</v>
      </c>
    </row>
    <row r="94" spans="1:13" s="2" customFormat="1" ht="12.75" customHeight="1" x14ac:dyDescent="0.2">
      <c r="A94" s="32"/>
      <c r="B94" s="33"/>
      <c r="C94" s="14"/>
      <c r="D94" s="34"/>
      <c r="E94" s="16">
        <f>SUM(E35:E93)</f>
        <v>15612540.26</v>
      </c>
      <c r="F94" s="16">
        <f>SUM(F35:F93)</f>
        <v>355493459.73000008</v>
      </c>
      <c r="G94" s="30"/>
      <c r="H94" s="1"/>
      <c r="I94" s="38">
        <v>89102925.469999999</v>
      </c>
      <c r="J94" s="2" t="s">
        <v>396</v>
      </c>
      <c r="K94" s="92">
        <f>E95-I94</f>
        <v>250777994.00000009</v>
      </c>
      <c r="L94" s="41"/>
      <c r="M94" s="42"/>
    </row>
    <row r="95" spans="1:13" s="2" customFormat="1" ht="12.75" customHeight="1" x14ac:dyDescent="0.2">
      <c r="A95" s="36"/>
      <c r="B95" s="28" t="s">
        <v>11</v>
      </c>
      <c r="C95" s="19" t="s">
        <v>65</v>
      </c>
      <c r="D95" s="37"/>
      <c r="E95" s="38">
        <f>F94-E94</f>
        <v>339880919.47000009</v>
      </c>
      <c r="F95" s="22"/>
      <c r="G95" s="1"/>
      <c r="H95" s="1"/>
      <c r="J95" s="1"/>
      <c r="K95" s="1"/>
      <c r="L95" s="1"/>
      <c r="M95" s="1"/>
    </row>
    <row r="96" spans="1:13" s="2" customFormat="1" ht="12.75" customHeight="1" x14ac:dyDescent="0.2">
      <c r="A96" s="36"/>
      <c r="B96" s="28" t="s">
        <v>66</v>
      </c>
      <c r="C96" s="43" t="s">
        <v>67</v>
      </c>
      <c r="D96" s="43"/>
      <c r="E96" s="12">
        <v>0</v>
      </c>
      <c r="F96" s="22"/>
      <c r="G96" s="1"/>
      <c r="H96" s="40"/>
      <c r="I96" s="45">
        <v>3555.21</v>
      </c>
      <c r="J96" s="46"/>
      <c r="K96" s="46"/>
      <c r="L96" s="13"/>
      <c r="M96" s="69" t="s">
        <v>396</v>
      </c>
    </row>
    <row r="97" spans="1:14" s="2" customFormat="1" ht="12.75" customHeight="1" x14ac:dyDescent="0.25">
      <c r="A97" s="36"/>
      <c r="B97" s="28"/>
      <c r="C97" s="44" t="s">
        <v>68</v>
      </c>
      <c r="D97" s="43"/>
      <c r="E97" s="7">
        <f>E95+E96</f>
        <v>339880919.47000009</v>
      </c>
      <c r="F97" s="22"/>
      <c r="G97" s="1"/>
      <c r="H97" s="103" t="s">
        <v>69</v>
      </c>
      <c r="I97" s="45">
        <v>-102.38</v>
      </c>
      <c r="J97" s="46"/>
      <c r="K97" s="46"/>
      <c r="N97" s="1"/>
    </row>
    <row r="98" spans="1:14" s="2" customFormat="1" x14ac:dyDescent="0.2">
      <c r="A98" s="24"/>
      <c r="B98" s="1"/>
      <c r="C98" s="14"/>
      <c r="D98" s="25"/>
      <c r="E98" s="1"/>
      <c r="H98" s="35" t="s">
        <v>70</v>
      </c>
      <c r="I98" s="45">
        <v>46.43</v>
      </c>
      <c r="J98" s="46">
        <f>+I99-D101</f>
        <v>0</v>
      </c>
      <c r="M98" s="2" t="s">
        <v>396</v>
      </c>
      <c r="N98" s="1"/>
    </row>
    <row r="99" spans="1:14" x14ac:dyDescent="0.2">
      <c r="C99" s="56"/>
      <c r="D99" s="56"/>
      <c r="E99" s="104"/>
      <c r="I99" s="49">
        <f>SUM(I96:I98)</f>
        <v>3499.2599999999998</v>
      </c>
      <c r="J99" s="46"/>
      <c r="K99" s="46"/>
      <c r="L99" s="2"/>
      <c r="M99" s="2"/>
      <c r="N99" s="2"/>
    </row>
    <row r="100" spans="1:14" x14ac:dyDescent="0.2">
      <c r="C100" s="78" t="s">
        <v>575</v>
      </c>
      <c r="D100" s="48" t="s">
        <v>576</v>
      </c>
      <c r="E100" s="104"/>
      <c r="I100" s="2"/>
      <c r="J100" s="2"/>
      <c r="K100" s="2"/>
      <c r="L100" s="2"/>
      <c r="M100" s="2"/>
      <c r="N100" s="2"/>
    </row>
    <row r="101" spans="1:14" s="2" customFormat="1" x14ac:dyDescent="0.2">
      <c r="A101" s="24"/>
      <c r="B101" s="1"/>
      <c r="C101" s="47" t="s">
        <v>570</v>
      </c>
      <c r="D101" s="111">
        <v>3499.26</v>
      </c>
      <c r="E101" s="104"/>
      <c r="G101" s="1"/>
      <c r="H101" s="110" t="s">
        <v>581</v>
      </c>
      <c r="N101" s="2" t="s">
        <v>535</v>
      </c>
    </row>
    <row r="102" spans="1:14" s="2" customFormat="1" x14ac:dyDescent="0.2">
      <c r="A102" s="24"/>
      <c r="B102" s="1"/>
      <c r="C102" s="47" t="s">
        <v>931</v>
      </c>
      <c r="D102" s="111">
        <v>368.7</v>
      </c>
      <c r="E102" s="104"/>
      <c r="G102" s="1"/>
      <c r="H102" s="110" t="s">
        <v>580</v>
      </c>
    </row>
    <row r="103" spans="1:14" s="2" customFormat="1" x14ac:dyDescent="0.2">
      <c r="A103" s="24"/>
      <c r="B103" s="1"/>
      <c r="C103" s="47" t="s">
        <v>572</v>
      </c>
      <c r="D103" s="111">
        <f>+D145/100000</f>
        <v>253.82040910000001</v>
      </c>
      <c r="E103" s="104"/>
      <c r="G103" s="1"/>
      <c r="H103" s="90" t="s">
        <v>587</v>
      </c>
    </row>
    <row r="104" spans="1:14" s="2" customFormat="1" x14ac:dyDescent="0.2">
      <c r="A104" s="24"/>
      <c r="B104" s="1"/>
      <c r="C104" s="108" t="s">
        <v>578</v>
      </c>
      <c r="D104" s="48">
        <f>SUM(D101:D103)</f>
        <v>4121.7804090999998</v>
      </c>
      <c r="E104" s="104"/>
      <c r="G104" s="1"/>
    </row>
    <row r="105" spans="1:14" s="2" customFormat="1" x14ac:dyDescent="0.2">
      <c r="A105" s="24"/>
      <c r="B105" s="1"/>
      <c r="C105" s="47"/>
      <c r="D105" s="107"/>
      <c r="E105" s="104"/>
      <c r="G105" s="1"/>
    </row>
    <row r="106" spans="1:14" s="2" customFormat="1" x14ac:dyDescent="0.2">
      <c r="A106" s="24"/>
      <c r="B106" s="1"/>
      <c r="C106" s="47" t="s">
        <v>932</v>
      </c>
      <c r="D106" s="111">
        <v>136.78</v>
      </c>
      <c r="E106" s="104"/>
      <c r="G106" s="1"/>
      <c r="H106" s="110" t="s">
        <v>581</v>
      </c>
    </row>
    <row r="107" spans="1:14" s="2" customFormat="1" x14ac:dyDescent="0.2">
      <c r="A107" s="24"/>
      <c r="B107" s="1"/>
      <c r="C107" s="136" t="s">
        <v>1142</v>
      </c>
      <c r="D107" s="111">
        <v>236.97</v>
      </c>
      <c r="E107" s="104"/>
      <c r="G107" s="1"/>
      <c r="H107" s="110" t="s">
        <v>581</v>
      </c>
      <c r="J107" s="114" t="s">
        <v>713</v>
      </c>
    </row>
    <row r="108" spans="1:14" s="2" customFormat="1" x14ac:dyDescent="0.2">
      <c r="A108" s="24"/>
      <c r="B108" s="1"/>
      <c r="C108" s="78" t="s">
        <v>579</v>
      </c>
      <c r="D108" s="109">
        <f>D106+D107</f>
        <v>373.75</v>
      </c>
      <c r="E108" s="104"/>
      <c r="G108" s="1"/>
      <c r="I108" s="113"/>
      <c r="J108" s="113" t="s">
        <v>709</v>
      </c>
      <c r="K108" s="113" t="s">
        <v>710</v>
      </c>
      <c r="L108" s="113" t="s">
        <v>711</v>
      </c>
      <c r="M108" s="113" t="s">
        <v>712</v>
      </c>
    </row>
    <row r="109" spans="1:14" s="2" customFormat="1" x14ac:dyDescent="0.2">
      <c r="A109" s="24"/>
      <c r="B109" s="1"/>
      <c r="C109" s="105"/>
      <c r="D109" s="106"/>
      <c r="E109" s="104"/>
      <c r="G109" s="1"/>
      <c r="I109" s="113" t="s">
        <v>706</v>
      </c>
      <c r="J109" s="115"/>
      <c r="K109" s="115">
        <v>968.99</v>
      </c>
      <c r="L109" s="115">
        <v>968.99</v>
      </c>
      <c r="M109" s="113">
        <f>+J109+L109-K109</f>
        <v>0</v>
      </c>
    </row>
    <row r="110" spans="1:14" s="2" customFormat="1" x14ac:dyDescent="0.2">
      <c r="A110" s="24"/>
      <c r="B110" s="1"/>
      <c r="C110" s="78" t="s">
        <v>577</v>
      </c>
      <c r="D110" s="109">
        <f>D101+D108</f>
        <v>3873.01</v>
      </c>
      <c r="E110" s="104"/>
      <c r="G110" s="1"/>
      <c r="I110" s="113" t="s">
        <v>707</v>
      </c>
      <c r="J110" s="115">
        <v>183.1</v>
      </c>
      <c r="K110" s="115">
        <v>3293.22</v>
      </c>
      <c r="L110" s="115">
        <v>3687.95</v>
      </c>
      <c r="M110" s="113">
        <f>+J110+L110-K110</f>
        <v>577.82999999999993</v>
      </c>
    </row>
    <row r="111" spans="1:14" s="2" customFormat="1" x14ac:dyDescent="0.2">
      <c r="A111" s="24"/>
      <c r="B111" s="1"/>
      <c r="C111" s="56"/>
      <c r="D111" s="56"/>
      <c r="E111" s="104"/>
      <c r="G111" s="1"/>
      <c r="I111" s="113" t="s">
        <v>708</v>
      </c>
      <c r="J111" s="115">
        <v>1371.02</v>
      </c>
      <c r="K111" s="115">
        <v>13678.81</v>
      </c>
      <c r="L111" s="115">
        <f>12941.34+301.37</f>
        <v>13242.710000000001</v>
      </c>
      <c r="M111" s="113">
        <f>+J111+L111-K111</f>
        <v>934.92000000000189</v>
      </c>
    </row>
    <row r="112" spans="1:14" s="2" customFormat="1" ht="38.25" x14ac:dyDescent="0.2">
      <c r="A112" s="24"/>
      <c r="B112" s="1"/>
      <c r="C112" s="79" t="str">
        <f>"Particulars ( 01-04-2021 to "&amp;TEXT(A5,"dd-mm-yyyy")&amp;" )"</f>
        <v>Particulars ( 01-04-2021 to 28-08-2023 )</v>
      </c>
      <c r="D112" s="80" t="s">
        <v>73</v>
      </c>
      <c r="E112" s="80" t="s">
        <v>74</v>
      </c>
      <c r="F112" s="81" t="s">
        <v>75</v>
      </c>
      <c r="G112" s="80" t="s">
        <v>76</v>
      </c>
      <c r="J112" s="118">
        <f>SUM(J109:J111)</f>
        <v>1554.12</v>
      </c>
      <c r="K112" s="118">
        <f>SUM(K109:K111)</f>
        <v>17941.02</v>
      </c>
      <c r="L112" s="118">
        <f>SUM(L109:L111)</f>
        <v>17899.650000000001</v>
      </c>
      <c r="M112" s="118">
        <f>SUM(M109:M111)</f>
        <v>1512.7500000000018</v>
      </c>
    </row>
    <row r="113" spans="1:13" s="2" customFormat="1" x14ac:dyDescent="0.2">
      <c r="A113" s="24"/>
      <c r="B113" s="1"/>
      <c r="C113" s="50" t="s">
        <v>444</v>
      </c>
      <c r="D113" s="55">
        <f>+L109+L110+J110</f>
        <v>4840.04</v>
      </c>
      <c r="E113" s="55">
        <f>+K109+K110</f>
        <v>4262.21</v>
      </c>
      <c r="F113" s="55">
        <f>+D113-E113</f>
        <v>577.82999999999993</v>
      </c>
      <c r="G113" s="55">
        <f>1500-F113</f>
        <v>922.17000000000007</v>
      </c>
      <c r="H113" s="2" t="s">
        <v>396</v>
      </c>
    </row>
    <row r="114" spans="1:13" s="2" customFormat="1" x14ac:dyDescent="0.2">
      <c r="A114" s="24"/>
      <c r="B114" s="1"/>
      <c r="C114" s="50" t="s">
        <v>71</v>
      </c>
      <c r="D114" s="55">
        <f>+J111+L111</f>
        <v>14613.730000000001</v>
      </c>
      <c r="E114" s="55">
        <f>+K111</f>
        <v>13678.81</v>
      </c>
      <c r="F114" s="55">
        <f>+D114-E114</f>
        <v>934.92000000000189</v>
      </c>
      <c r="G114" s="55">
        <f>1500+700-F114</f>
        <v>1265.0799999999981</v>
      </c>
      <c r="H114" s="2" t="s">
        <v>396</v>
      </c>
    </row>
    <row r="115" spans="1:13" s="2" customFormat="1" x14ac:dyDescent="0.2">
      <c r="A115" s="24"/>
      <c r="B115" s="1"/>
      <c r="C115" s="14"/>
      <c r="D115" s="56"/>
      <c r="E115" s="13"/>
      <c r="G115" s="1"/>
    </row>
    <row r="116" spans="1:13" s="2" customFormat="1" x14ac:dyDescent="0.2">
      <c r="A116" s="215" t="s">
        <v>80</v>
      </c>
      <c r="B116" s="216"/>
      <c r="C116" s="216"/>
      <c r="D116" s="217"/>
      <c r="E116" s="69"/>
      <c r="F116" s="70"/>
      <c r="G116" s="1"/>
      <c r="H116" s="53"/>
    </row>
    <row r="117" spans="1:13" s="2" customFormat="1" x14ac:dyDescent="0.2">
      <c r="A117" s="71" t="s">
        <v>81</v>
      </c>
      <c r="B117" s="71"/>
      <c r="C117" s="72" t="s">
        <v>82</v>
      </c>
      <c r="D117" s="73" t="s">
        <v>83</v>
      </c>
      <c r="E117" s="69"/>
      <c r="F117" s="70"/>
      <c r="H117" s="53"/>
    </row>
    <row r="118" spans="1:13" s="2" customFormat="1" x14ac:dyDescent="0.2">
      <c r="A118" s="87">
        <v>45139</v>
      </c>
      <c r="B118" s="120" t="s">
        <v>1052</v>
      </c>
      <c r="C118" s="75" t="s">
        <v>85</v>
      </c>
      <c r="D118" s="88">
        <v>552343</v>
      </c>
      <c r="G118" s="1"/>
      <c r="L118" s="1"/>
      <c r="M118" s="1"/>
    </row>
    <row r="119" spans="1:13" s="2" customFormat="1" x14ac:dyDescent="0.2">
      <c r="A119" s="87">
        <v>45140</v>
      </c>
      <c r="B119" s="120" t="s">
        <v>1052</v>
      </c>
      <c r="C119" s="75" t="s">
        <v>270</v>
      </c>
      <c r="D119" s="88">
        <v>244404</v>
      </c>
      <c r="G119" s="1"/>
      <c r="L119" s="1"/>
      <c r="M119" s="1"/>
    </row>
    <row r="120" spans="1:13" s="2" customFormat="1" x14ac:dyDescent="0.2">
      <c r="A120" s="87">
        <v>45140</v>
      </c>
      <c r="B120" s="120" t="s">
        <v>1052</v>
      </c>
      <c r="C120" s="75" t="s">
        <v>270</v>
      </c>
      <c r="D120" s="88">
        <v>550256</v>
      </c>
      <c r="G120" s="1"/>
      <c r="L120" s="1"/>
      <c r="M120" s="1"/>
    </row>
    <row r="121" spans="1:13" s="2" customFormat="1" x14ac:dyDescent="0.2">
      <c r="A121" s="87">
        <v>45140</v>
      </c>
      <c r="B121" s="120" t="s">
        <v>1052</v>
      </c>
      <c r="C121" s="75" t="s">
        <v>270</v>
      </c>
      <c r="D121" s="88">
        <v>191589</v>
      </c>
      <c r="G121" s="1"/>
      <c r="L121" s="1"/>
      <c r="M121" s="1"/>
    </row>
    <row r="122" spans="1:13" s="2" customFormat="1" x14ac:dyDescent="0.2">
      <c r="A122" s="87">
        <v>45140</v>
      </c>
      <c r="B122" s="120" t="s">
        <v>1052</v>
      </c>
      <c r="C122" s="75" t="s">
        <v>270</v>
      </c>
      <c r="D122" s="88">
        <v>74415.91</v>
      </c>
      <c r="G122" s="1"/>
      <c r="L122" s="1"/>
      <c r="M122" s="1"/>
    </row>
    <row r="123" spans="1:13" s="2" customFormat="1" x14ac:dyDescent="0.2">
      <c r="A123" s="87">
        <v>45140</v>
      </c>
      <c r="B123" s="120" t="s">
        <v>1052</v>
      </c>
      <c r="C123" s="75" t="s">
        <v>271</v>
      </c>
      <c r="D123" s="88">
        <v>454781</v>
      </c>
      <c r="G123" s="1"/>
      <c r="L123" s="1"/>
      <c r="M123" s="1"/>
    </row>
    <row r="124" spans="1:13" s="2" customFormat="1" x14ac:dyDescent="0.2">
      <c r="A124" s="87">
        <v>45141</v>
      </c>
      <c r="B124" s="120" t="s">
        <v>1052</v>
      </c>
      <c r="C124" s="75" t="s">
        <v>909</v>
      </c>
      <c r="D124" s="88">
        <v>910969</v>
      </c>
      <c r="G124" s="1"/>
      <c r="L124" s="1"/>
      <c r="M124" s="1"/>
    </row>
    <row r="125" spans="1:13" s="2" customFormat="1" x14ac:dyDescent="0.2">
      <c r="A125" s="87">
        <v>45141</v>
      </c>
      <c r="B125" s="120" t="s">
        <v>1052</v>
      </c>
      <c r="C125" s="75" t="s">
        <v>909</v>
      </c>
      <c r="D125" s="88">
        <v>1424635</v>
      </c>
      <c r="G125" s="1"/>
      <c r="L125" s="1"/>
      <c r="M125" s="1"/>
    </row>
    <row r="126" spans="1:13" s="2" customFormat="1" x14ac:dyDescent="0.2">
      <c r="A126" s="87">
        <v>45143</v>
      </c>
      <c r="B126" s="120" t="s">
        <v>1052</v>
      </c>
      <c r="C126" s="75" t="s">
        <v>85</v>
      </c>
      <c r="D126" s="88">
        <v>644288</v>
      </c>
      <c r="G126" s="1"/>
      <c r="L126" s="1"/>
      <c r="M126" s="1"/>
    </row>
    <row r="127" spans="1:13" s="2" customFormat="1" x14ac:dyDescent="0.2">
      <c r="A127" s="87">
        <v>45146</v>
      </c>
      <c r="B127" s="120" t="s">
        <v>1052</v>
      </c>
      <c r="C127" s="75" t="s">
        <v>85</v>
      </c>
      <c r="D127" s="88">
        <v>136333</v>
      </c>
      <c r="G127" s="1"/>
      <c r="L127" s="1"/>
      <c r="M127" s="1"/>
    </row>
    <row r="128" spans="1:13" s="2" customFormat="1" x14ac:dyDescent="0.2">
      <c r="A128" s="87">
        <v>45146</v>
      </c>
      <c r="B128" s="120" t="s">
        <v>1052</v>
      </c>
      <c r="C128" s="75" t="s">
        <v>1343</v>
      </c>
      <c r="D128" s="88">
        <v>2000000</v>
      </c>
      <c r="G128" s="1"/>
      <c r="L128" s="1"/>
      <c r="M128" s="1"/>
    </row>
    <row r="129" spans="1:13" s="2" customFormat="1" x14ac:dyDescent="0.2">
      <c r="A129" s="87">
        <v>45152</v>
      </c>
      <c r="B129" s="120" t="s">
        <v>1052</v>
      </c>
      <c r="C129" s="75" t="s">
        <v>270</v>
      </c>
      <c r="D129" s="88">
        <v>26225</v>
      </c>
      <c r="G129" s="1"/>
      <c r="L129" s="1"/>
      <c r="M129" s="1"/>
    </row>
    <row r="130" spans="1:13" s="2" customFormat="1" x14ac:dyDescent="0.2">
      <c r="A130" s="87">
        <v>45152</v>
      </c>
      <c r="B130" s="120" t="s">
        <v>1052</v>
      </c>
      <c r="C130" s="75" t="s">
        <v>270</v>
      </c>
      <c r="D130" s="88">
        <v>47499</v>
      </c>
      <c r="G130" s="1"/>
      <c r="L130" s="1"/>
      <c r="M130" s="1"/>
    </row>
    <row r="131" spans="1:13" s="2" customFormat="1" x14ac:dyDescent="0.2">
      <c r="A131" s="87">
        <v>45154</v>
      </c>
      <c r="B131" s="120" t="s">
        <v>1052</v>
      </c>
      <c r="C131" s="75" t="s">
        <v>271</v>
      </c>
      <c r="D131" s="88">
        <v>2701267</v>
      </c>
      <c r="G131" s="1"/>
      <c r="L131" s="1"/>
      <c r="M131" s="1"/>
    </row>
    <row r="132" spans="1:13" s="2" customFormat="1" x14ac:dyDescent="0.2">
      <c r="A132" s="87">
        <v>45157</v>
      </c>
      <c r="B132" s="120" t="s">
        <v>1052</v>
      </c>
      <c r="C132" s="75" t="s">
        <v>888</v>
      </c>
      <c r="D132" s="88">
        <v>1087820</v>
      </c>
      <c r="G132" s="1"/>
      <c r="L132" s="1"/>
      <c r="M132" s="1"/>
    </row>
    <row r="133" spans="1:13" s="2" customFormat="1" x14ac:dyDescent="0.2">
      <c r="A133" s="87">
        <v>45159</v>
      </c>
      <c r="B133" s="120" t="s">
        <v>1052</v>
      </c>
      <c r="C133" s="75" t="s">
        <v>270</v>
      </c>
      <c r="D133" s="88">
        <v>26199</v>
      </c>
      <c r="G133" s="1"/>
      <c r="L133" s="1"/>
      <c r="M133" s="1"/>
    </row>
    <row r="134" spans="1:13" s="2" customFormat="1" x14ac:dyDescent="0.2">
      <c r="A134" s="87">
        <v>45159</v>
      </c>
      <c r="B134" s="120" t="s">
        <v>1052</v>
      </c>
      <c r="C134" s="75" t="s">
        <v>85</v>
      </c>
      <c r="D134" s="88">
        <v>79111</v>
      </c>
      <c r="G134" s="1"/>
      <c r="L134" s="1"/>
      <c r="M134" s="1"/>
    </row>
    <row r="135" spans="1:13" s="2" customFormat="1" x14ac:dyDescent="0.2">
      <c r="A135" s="87">
        <v>45159</v>
      </c>
      <c r="B135" s="120" t="s">
        <v>1052</v>
      </c>
      <c r="C135" s="75" t="s">
        <v>909</v>
      </c>
      <c r="D135" s="88">
        <v>41960</v>
      </c>
      <c r="G135" s="1"/>
      <c r="L135" s="1"/>
      <c r="M135" s="1"/>
    </row>
    <row r="136" spans="1:13" s="2" customFormat="1" x14ac:dyDescent="0.2">
      <c r="A136" s="87">
        <v>45159</v>
      </c>
      <c r="B136" s="120" t="s">
        <v>1052</v>
      </c>
      <c r="C136" s="75" t="s">
        <v>909</v>
      </c>
      <c r="D136" s="88">
        <v>6142426</v>
      </c>
      <c r="G136" s="1"/>
      <c r="L136" s="1"/>
      <c r="M136" s="1"/>
    </row>
    <row r="137" spans="1:13" s="2" customFormat="1" x14ac:dyDescent="0.2">
      <c r="A137" s="87">
        <v>45160</v>
      </c>
      <c r="B137" s="120" t="s">
        <v>1052</v>
      </c>
      <c r="C137" s="75" t="s">
        <v>271</v>
      </c>
      <c r="D137" s="88">
        <v>176546</v>
      </c>
      <c r="G137" s="1"/>
      <c r="L137" s="1"/>
      <c r="M137" s="1"/>
    </row>
    <row r="138" spans="1:13" s="2" customFormat="1" x14ac:dyDescent="0.2">
      <c r="A138" s="87">
        <v>45161</v>
      </c>
      <c r="B138" s="120" t="s">
        <v>1052</v>
      </c>
      <c r="C138" s="75" t="s">
        <v>767</v>
      </c>
      <c r="D138" s="88">
        <v>142706</v>
      </c>
      <c r="G138" s="1"/>
      <c r="L138" s="1"/>
      <c r="M138" s="1"/>
    </row>
    <row r="139" spans="1:13" s="2" customFormat="1" x14ac:dyDescent="0.2">
      <c r="A139" s="87">
        <v>45162</v>
      </c>
      <c r="B139" s="120" t="s">
        <v>1052</v>
      </c>
      <c r="C139" s="75" t="s">
        <v>85</v>
      </c>
      <c r="D139" s="88">
        <v>66464</v>
      </c>
      <c r="G139" s="1"/>
      <c r="L139" s="1"/>
      <c r="M139" s="1"/>
    </row>
    <row r="140" spans="1:13" s="2" customFormat="1" x14ac:dyDescent="0.2">
      <c r="A140" s="87">
        <v>45162</v>
      </c>
      <c r="B140" s="120" t="s">
        <v>1052</v>
      </c>
      <c r="C140" s="75" t="s">
        <v>270</v>
      </c>
      <c r="D140" s="88">
        <v>388997</v>
      </c>
      <c r="G140" s="1"/>
      <c r="L140" s="1"/>
      <c r="M140" s="1"/>
    </row>
    <row r="141" spans="1:13" s="2" customFormat="1" x14ac:dyDescent="0.2">
      <c r="A141" s="87">
        <v>45163</v>
      </c>
      <c r="B141" s="120" t="s">
        <v>1052</v>
      </c>
      <c r="C141" s="75" t="s">
        <v>1343</v>
      </c>
      <c r="D141" s="88">
        <v>2377174</v>
      </c>
      <c r="G141" s="1"/>
      <c r="L141" s="1"/>
      <c r="M141" s="1"/>
    </row>
    <row r="142" spans="1:13" s="2" customFormat="1" x14ac:dyDescent="0.2">
      <c r="A142" s="87">
        <v>45166</v>
      </c>
      <c r="B142" s="120" t="s">
        <v>1052</v>
      </c>
      <c r="C142" s="75" t="s">
        <v>85</v>
      </c>
      <c r="D142" s="88">
        <v>696337</v>
      </c>
      <c r="G142" s="1"/>
      <c r="L142" s="1"/>
      <c r="M142" s="1"/>
    </row>
    <row r="143" spans="1:13" s="2" customFormat="1" x14ac:dyDescent="0.2">
      <c r="A143" s="87">
        <v>45166</v>
      </c>
      <c r="B143" s="120" t="s">
        <v>1052</v>
      </c>
      <c r="C143" s="75" t="s">
        <v>270</v>
      </c>
      <c r="D143" s="88">
        <v>3967770</v>
      </c>
      <c r="G143" s="1"/>
      <c r="L143" s="1"/>
      <c r="M143" s="1"/>
    </row>
    <row r="144" spans="1:13" s="2" customFormat="1" x14ac:dyDescent="0.2">
      <c r="A144" s="87">
        <v>45166</v>
      </c>
      <c r="B144" s="120" t="s">
        <v>1052</v>
      </c>
      <c r="C144" s="75" t="s">
        <v>85</v>
      </c>
      <c r="D144" s="88">
        <v>229526</v>
      </c>
      <c r="G144" s="1"/>
      <c r="L144" s="1"/>
      <c r="M144" s="1"/>
    </row>
    <row r="145" spans="1:13" s="2" customFormat="1" x14ac:dyDescent="0.2">
      <c r="A145" s="87"/>
      <c r="B145" s="74"/>
      <c r="C145" s="75"/>
      <c r="D145" s="51">
        <f>SUM(D118:D144)</f>
        <v>25382040.91</v>
      </c>
      <c r="F145" s="2" t="s">
        <v>396</v>
      </c>
      <c r="G145" s="1"/>
      <c r="L145" s="1"/>
      <c r="M145" s="1"/>
    </row>
    <row r="146" spans="1:13" s="2" customFormat="1" x14ac:dyDescent="0.2">
      <c r="A146" s="24"/>
      <c r="B146" s="1"/>
      <c r="C146" s="14"/>
      <c r="D146" s="56"/>
      <c r="E146" s="13"/>
      <c r="G146" s="1"/>
      <c r="L146" s="1"/>
      <c r="M146" s="1"/>
    </row>
    <row r="147" spans="1:13" s="2" customFormat="1" x14ac:dyDescent="0.2">
      <c r="A147" s="24"/>
      <c r="B147" s="1"/>
      <c r="C147" s="218" t="s">
        <v>77</v>
      </c>
      <c r="D147" s="219"/>
      <c r="E147" s="219"/>
      <c r="F147" s="220"/>
      <c r="G147" s="1"/>
      <c r="L147" s="1"/>
      <c r="M147" s="1"/>
    </row>
    <row r="148" spans="1:13" s="2" customFormat="1" x14ac:dyDescent="0.2">
      <c r="A148" s="24"/>
      <c r="B148" s="1"/>
      <c r="C148" s="50"/>
      <c r="D148" s="57" t="s">
        <v>78</v>
      </c>
      <c r="E148" s="58" t="s">
        <v>79</v>
      </c>
      <c r="F148" s="57" t="s">
        <v>72</v>
      </c>
      <c r="G148" s="1"/>
      <c r="I148" s="1"/>
      <c r="J148" s="1"/>
      <c r="K148" s="1"/>
      <c r="L148" s="1"/>
      <c r="M148" s="1"/>
    </row>
    <row r="149" spans="1:13" s="2" customFormat="1" x14ac:dyDescent="0.2">
      <c r="A149" s="24"/>
      <c r="B149" s="1"/>
      <c r="C149" s="59" t="str">
        <f>"01-08-2023 to "&amp;TEXT(A5-2,"dd-mm-yyyy")</f>
        <v>01-08-2023 to 26-08-2023</v>
      </c>
      <c r="D149" s="60">
        <v>2818.81</v>
      </c>
      <c r="E149" s="60">
        <v>259.07</v>
      </c>
      <c r="F149" s="61">
        <f>SUM(D149:E149)</f>
        <v>3077.88</v>
      </c>
      <c r="G149" s="1"/>
    </row>
    <row r="150" spans="1:13" s="2" customFormat="1" x14ac:dyDescent="0.2">
      <c r="A150" s="24"/>
      <c r="B150" s="1"/>
      <c r="C150" s="62" t="str">
        <f>TEXT(A5-1,"dd-mm-yyyy")</f>
        <v>27-08-2023</v>
      </c>
      <c r="D150" s="60">
        <v>39.19</v>
      </c>
      <c r="E150" s="60">
        <v>0</v>
      </c>
      <c r="F150" s="61">
        <f>SUM(D150:E150)</f>
        <v>39.19</v>
      </c>
      <c r="G150" s="54"/>
      <c r="I150" s="1"/>
      <c r="J150" s="1"/>
      <c r="K150" s="1"/>
      <c r="L150" s="1"/>
      <c r="M150" s="1"/>
    </row>
    <row r="151" spans="1:13" s="2" customFormat="1" ht="13.5" thickBot="1" x14ac:dyDescent="0.25">
      <c r="A151" s="24"/>
      <c r="B151" s="1"/>
      <c r="C151" s="63" t="str">
        <f>"01-08-2023 to "&amp;TEXT(A5-1,"dd-mm-yyyy")</f>
        <v>01-08-2023 to 27-08-2023</v>
      </c>
      <c r="D151" s="64">
        <f>SUM(D149:D150)</f>
        <v>2858</v>
      </c>
      <c r="E151" s="64">
        <f>SUM(E149:E150)</f>
        <v>259.07</v>
      </c>
      <c r="F151" s="64">
        <f>SUM(F149:F150)</f>
        <v>3117.07</v>
      </c>
      <c r="G151" s="54"/>
      <c r="I151" s="1"/>
      <c r="J151" s="1"/>
      <c r="K151" s="1"/>
      <c r="L151" s="1"/>
      <c r="M151" s="1"/>
    </row>
    <row r="152" spans="1:13" s="2" customFormat="1" ht="13.5" thickTop="1" x14ac:dyDescent="0.2">
      <c r="A152" s="24"/>
      <c r="B152" s="1"/>
      <c r="C152" s="62"/>
      <c r="D152" s="65"/>
      <c r="E152" s="66"/>
      <c r="F152" s="67"/>
      <c r="G152" s="54"/>
      <c r="I152" s="1"/>
      <c r="J152" s="1"/>
      <c r="K152" s="1"/>
      <c r="L152" s="1"/>
      <c r="M152" s="1"/>
    </row>
    <row r="153" spans="1:13" s="2" customFormat="1" x14ac:dyDescent="0.2">
      <c r="A153" s="24"/>
      <c r="B153" s="1"/>
      <c r="C153" s="62" t="str">
        <f>"01-04-2023 to " &amp;C150</f>
        <v>01-04-2023 to 27-08-2023</v>
      </c>
      <c r="D153" s="68">
        <f>+D151+20859.39</f>
        <v>23717.39</v>
      </c>
      <c r="E153" s="68">
        <f>+E151+1376.76</f>
        <v>1635.83</v>
      </c>
      <c r="F153" s="68">
        <f>+F151+22236.15</f>
        <v>25353.22</v>
      </c>
      <c r="G153" s="54"/>
      <c r="I153" s="1"/>
      <c r="J153" s="1"/>
      <c r="K153" s="1"/>
      <c r="L153" s="1"/>
      <c r="M153" s="1"/>
    </row>
    <row r="154" spans="1:13" x14ac:dyDescent="0.2">
      <c r="C154" s="52"/>
      <c r="D154" s="85"/>
      <c r="E154" s="53"/>
      <c r="F154" s="53"/>
      <c r="G154" s="54"/>
      <c r="H154" s="2" t="s">
        <v>396</v>
      </c>
    </row>
    <row r="155" spans="1:13" s="2" customFormat="1" x14ac:dyDescent="0.2">
      <c r="A155" s="24"/>
      <c r="B155" s="1"/>
      <c r="C155" s="52"/>
      <c r="D155" s="85"/>
      <c r="E155" s="53"/>
      <c r="F155" s="53"/>
      <c r="G155" s="54"/>
      <c r="H155" s="53"/>
    </row>
    <row r="156" spans="1:13" x14ac:dyDescent="0.2">
      <c r="C156" s="52"/>
      <c r="D156" s="85"/>
      <c r="E156" s="53"/>
      <c r="F156" s="53"/>
      <c r="G156" s="54"/>
      <c r="H156" s="53" t="s">
        <v>396</v>
      </c>
    </row>
    <row r="157" spans="1:13" x14ac:dyDescent="0.2">
      <c r="C157" s="52"/>
      <c r="D157" s="85"/>
      <c r="E157" s="53"/>
      <c r="F157" s="53"/>
      <c r="G157" s="54"/>
      <c r="H157" s="53" t="s">
        <v>396</v>
      </c>
      <c r="J157" s="42"/>
    </row>
    <row r="158" spans="1:13" x14ac:dyDescent="0.2">
      <c r="G158" s="54"/>
      <c r="H158" s="53"/>
      <c r="I158" s="101"/>
    </row>
    <row r="159" spans="1:13" x14ac:dyDescent="0.2">
      <c r="G159" s="54"/>
      <c r="H159" s="53"/>
    </row>
    <row r="160" spans="1:13" x14ac:dyDescent="0.2">
      <c r="G160" s="54"/>
      <c r="H160" s="53"/>
    </row>
    <row r="161" spans="8:8" x14ac:dyDescent="0.2">
      <c r="H161" s="53"/>
    </row>
  </sheetData>
  <mergeCells count="6">
    <mergeCell ref="C147:F147"/>
    <mergeCell ref="A1:G1"/>
    <mergeCell ref="A3:F3"/>
    <mergeCell ref="A9:F9"/>
    <mergeCell ref="A33:F33"/>
    <mergeCell ref="A116:D116"/>
  </mergeCells>
  <conditionalFormatting sqref="G113:G114">
    <cfRule type="cellIs" dxfId="341" priority="1" operator="lessThan">
      <formula>0</formula>
    </cfRule>
  </conditionalFormatting>
  <conditionalFormatting sqref="C35">
    <cfRule type="duplicateValues" dxfId="340" priority="2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800-000000000000}">
  <sheetPr codeName="Sheet416">
    <pageSetUpPr fitToPage="1"/>
  </sheetPr>
  <dimension ref="A1:N146"/>
  <sheetViews>
    <sheetView zoomScaleNormal="100" workbookViewId="0">
      <selection activeCell="E12" sqref="E12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1448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45167</v>
      </c>
      <c r="B5" s="9" t="s">
        <v>6</v>
      </c>
      <c r="C5" s="10" t="s">
        <v>7</v>
      </c>
      <c r="D5" s="11"/>
      <c r="E5" s="12">
        <v>1546581.74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1546581.74</v>
      </c>
      <c r="F6" s="16">
        <f>SUM(F5:F5)</f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+E6-F6</f>
        <v>1546581.74</v>
      </c>
      <c r="F7" s="22"/>
      <c r="G7" s="23"/>
      <c r="H7" s="112"/>
      <c r="I7" s="112"/>
      <c r="J7" s="13"/>
    </row>
    <row r="8" spans="1:10" ht="12.75" customHeight="1" x14ac:dyDescent="0.4">
      <c r="H8" s="112"/>
      <c r="I8" s="112"/>
    </row>
    <row r="9" spans="1:10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12"/>
    </row>
    <row r="10" spans="1:10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12"/>
    </row>
    <row r="11" spans="1:10" s="2" customFormat="1" ht="14.25" customHeight="1" x14ac:dyDescent="0.2">
      <c r="A11" s="89">
        <v>45167</v>
      </c>
      <c r="B11" s="9" t="s">
        <v>6</v>
      </c>
      <c r="C11" s="10" t="s">
        <v>7</v>
      </c>
      <c r="D11" s="11"/>
      <c r="F11" s="12">
        <v>75681168.690000013</v>
      </c>
      <c r="G11" s="1"/>
      <c r="H11" s="130" t="s">
        <v>396</v>
      </c>
      <c r="I11" s="130"/>
    </row>
    <row r="12" spans="1:10" s="70" customFormat="1" ht="12.75" customHeight="1" x14ac:dyDescent="0.2">
      <c r="A12" s="89">
        <v>45167</v>
      </c>
      <c r="B12" s="9" t="s">
        <v>6</v>
      </c>
      <c r="C12" s="76" t="s">
        <v>220</v>
      </c>
      <c r="D12" s="11" t="s">
        <v>13</v>
      </c>
      <c r="E12" s="31">
        <v>949288</v>
      </c>
      <c r="F12" s="31"/>
      <c r="G12" s="30"/>
      <c r="I12" s="69"/>
      <c r="J12" s="69"/>
    </row>
    <row r="13" spans="1:10" s="2" customFormat="1" ht="12.75" customHeight="1" x14ac:dyDescent="0.4">
      <c r="D13" s="11" t="s">
        <v>8</v>
      </c>
      <c r="E13" s="16">
        <f>SUM(E12:E12)</f>
        <v>949288</v>
      </c>
      <c r="F13" s="16">
        <f>SUM(F11:F12)</f>
        <v>75681168.690000013</v>
      </c>
      <c r="G13" s="1"/>
      <c r="H13" s="112"/>
      <c r="I13" s="112"/>
    </row>
    <row r="14" spans="1:10" s="2" customFormat="1" ht="12.75" customHeight="1" x14ac:dyDescent="0.4">
      <c r="A14" s="17"/>
      <c r="B14" s="18"/>
      <c r="C14" s="96" t="s">
        <v>9</v>
      </c>
      <c r="D14" s="20"/>
      <c r="E14" s="21">
        <f>+F13-E13</f>
        <v>74731880.690000013</v>
      </c>
      <c r="G14" s="23"/>
      <c r="H14" s="112"/>
      <c r="I14" s="112"/>
      <c r="J14" s="13"/>
    </row>
    <row r="15" spans="1:10" s="2" customFormat="1" ht="12.75" customHeight="1" x14ac:dyDescent="0.4">
      <c r="A15" s="24"/>
      <c r="B15" s="1"/>
      <c r="C15" s="14"/>
      <c r="D15" s="25"/>
      <c r="G15" s="23"/>
      <c r="H15" s="112"/>
      <c r="I15" s="112"/>
      <c r="J15" s="13"/>
    </row>
    <row r="16" spans="1:10" s="2" customFormat="1" ht="21.75" customHeight="1" x14ac:dyDescent="0.4">
      <c r="A16" s="214" t="s">
        <v>10</v>
      </c>
      <c r="B16" s="214"/>
      <c r="C16" s="214"/>
      <c r="D16" s="214"/>
      <c r="E16" s="214"/>
      <c r="F16" s="214"/>
      <c r="G16" s="13"/>
      <c r="H16" s="112"/>
      <c r="I16" s="112"/>
      <c r="J16" s="13"/>
    </row>
    <row r="17" spans="1:10" s="2" customFormat="1" ht="12.75" customHeight="1" x14ac:dyDescent="0.4">
      <c r="A17" s="26" t="s">
        <v>1</v>
      </c>
      <c r="B17" s="27" t="s">
        <v>2</v>
      </c>
      <c r="C17" s="5"/>
      <c r="D17" s="6" t="s">
        <v>3</v>
      </c>
      <c r="E17" s="7" t="s">
        <v>4</v>
      </c>
      <c r="F17" s="7" t="s">
        <v>5</v>
      </c>
      <c r="G17" s="23"/>
      <c r="H17" s="112"/>
      <c r="I17" s="112"/>
      <c r="J17" s="13"/>
    </row>
    <row r="18" spans="1:10" s="2" customFormat="1" ht="12.75" customHeight="1" x14ac:dyDescent="0.2">
      <c r="A18" s="89">
        <v>45167</v>
      </c>
      <c r="B18" s="128" t="s">
        <v>11</v>
      </c>
      <c r="C18" s="29" t="s">
        <v>7</v>
      </c>
      <c r="D18" s="25"/>
      <c r="E18" s="31"/>
      <c r="F18" s="2">
        <v>339491922.47000009</v>
      </c>
      <c r="G18" s="30"/>
      <c r="I18" s="13"/>
      <c r="J18" s="13"/>
    </row>
    <row r="19" spans="1:10" s="70" customFormat="1" ht="12.75" customHeight="1" x14ac:dyDescent="0.2">
      <c r="A19" s="89">
        <v>45167</v>
      </c>
      <c r="B19" s="128" t="s">
        <v>6</v>
      </c>
      <c r="C19" s="10" t="s">
        <v>502</v>
      </c>
      <c r="D19" s="11" t="s">
        <v>13</v>
      </c>
      <c r="E19" s="86">
        <v>3389</v>
      </c>
      <c r="G19" s="30"/>
      <c r="I19" s="69"/>
      <c r="J19" s="69"/>
    </row>
    <row r="20" spans="1:10" s="70" customFormat="1" ht="12.75" customHeight="1" x14ac:dyDescent="0.2">
      <c r="A20" s="89">
        <v>45167</v>
      </c>
      <c r="B20" s="128" t="s">
        <v>6</v>
      </c>
      <c r="C20" s="10" t="s">
        <v>120</v>
      </c>
      <c r="D20" s="11" t="s">
        <v>13</v>
      </c>
      <c r="E20" s="86">
        <v>2175163.94</v>
      </c>
      <c r="G20" s="30"/>
      <c r="I20" s="69"/>
      <c r="J20" s="69"/>
    </row>
    <row r="21" spans="1:10" s="70" customFormat="1" ht="12.75" customHeight="1" x14ac:dyDescent="0.2">
      <c r="A21" s="89">
        <v>45167</v>
      </c>
      <c r="B21" s="128" t="s">
        <v>6</v>
      </c>
      <c r="C21" s="10" t="s">
        <v>24</v>
      </c>
      <c r="D21" s="11" t="s">
        <v>13</v>
      </c>
      <c r="E21" s="86">
        <v>66784.25</v>
      </c>
      <c r="G21" s="30"/>
      <c r="I21" s="69"/>
      <c r="J21" s="69"/>
    </row>
    <row r="22" spans="1:10" s="70" customFormat="1" ht="12.75" customHeight="1" x14ac:dyDescent="0.2">
      <c r="A22" s="89">
        <v>45167</v>
      </c>
      <c r="B22" s="128" t="s">
        <v>6</v>
      </c>
      <c r="C22" s="10" t="s">
        <v>19</v>
      </c>
      <c r="D22" s="11" t="s">
        <v>13</v>
      </c>
      <c r="E22" s="86">
        <v>131073</v>
      </c>
      <c r="G22" s="30"/>
      <c r="I22" s="69"/>
      <c r="J22" s="69"/>
    </row>
    <row r="23" spans="1:10" s="70" customFormat="1" ht="12.75" customHeight="1" x14ac:dyDescent="0.2">
      <c r="A23" s="89">
        <v>45167</v>
      </c>
      <c r="B23" s="128" t="s">
        <v>6</v>
      </c>
      <c r="C23" s="10" t="s">
        <v>1449</v>
      </c>
      <c r="D23" s="11" t="s">
        <v>13</v>
      </c>
      <c r="E23" s="86">
        <v>814</v>
      </c>
      <c r="G23" s="30"/>
      <c r="I23" s="69"/>
      <c r="J23" s="69"/>
    </row>
    <row r="24" spans="1:10" s="70" customFormat="1" ht="12.75" customHeight="1" x14ac:dyDescent="0.2">
      <c r="A24" s="89">
        <v>45167</v>
      </c>
      <c r="B24" s="128" t="s">
        <v>6</v>
      </c>
      <c r="C24" s="10" t="s">
        <v>583</v>
      </c>
      <c r="D24" s="11" t="s">
        <v>13</v>
      </c>
      <c r="E24" s="86">
        <v>934</v>
      </c>
      <c r="G24" s="30"/>
      <c r="I24" s="69"/>
      <c r="J24" s="69"/>
    </row>
    <row r="25" spans="1:10" s="70" customFormat="1" ht="12.75" customHeight="1" x14ac:dyDescent="0.2">
      <c r="A25" s="89">
        <v>45167</v>
      </c>
      <c r="B25" s="128" t="s">
        <v>6</v>
      </c>
      <c r="C25" s="10" t="s">
        <v>1082</v>
      </c>
      <c r="D25" s="11" t="s">
        <v>13</v>
      </c>
      <c r="E25" s="86">
        <v>3364.61</v>
      </c>
      <c r="G25" s="30"/>
      <c r="I25" s="69"/>
      <c r="J25" s="69"/>
    </row>
    <row r="26" spans="1:10" s="70" customFormat="1" ht="12.75" customHeight="1" x14ac:dyDescent="0.2">
      <c r="A26" s="89">
        <v>45167</v>
      </c>
      <c r="B26" s="128" t="s">
        <v>6</v>
      </c>
      <c r="C26" s="10" t="s">
        <v>276</v>
      </c>
      <c r="D26" s="11" t="s">
        <v>13</v>
      </c>
      <c r="E26" s="86">
        <v>8916</v>
      </c>
      <c r="G26" s="30"/>
      <c r="I26" s="69"/>
      <c r="J26" s="69"/>
    </row>
    <row r="27" spans="1:10" s="70" customFormat="1" ht="12.75" customHeight="1" x14ac:dyDescent="0.2">
      <c r="A27" s="89">
        <v>45167</v>
      </c>
      <c r="B27" s="128" t="s">
        <v>6</v>
      </c>
      <c r="C27" s="10" t="s">
        <v>1334</v>
      </c>
      <c r="D27" s="11" t="s">
        <v>13</v>
      </c>
      <c r="E27" s="86">
        <v>208384</v>
      </c>
      <c r="G27" s="30"/>
      <c r="I27" s="69"/>
      <c r="J27" s="69"/>
    </row>
    <row r="28" spans="1:10" s="70" customFormat="1" ht="12.75" customHeight="1" x14ac:dyDescent="0.2">
      <c r="A28" s="89">
        <v>45167</v>
      </c>
      <c r="B28" s="128" t="s">
        <v>6</v>
      </c>
      <c r="C28" s="10" t="s">
        <v>555</v>
      </c>
      <c r="D28" s="11" t="s">
        <v>13</v>
      </c>
      <c r="E28" s="86">
        <v>235721</v>
      </c>
      <c r="G28" s="30"/>
      <c r="I28" s="69"/>
      <c r="J28" s="69"/>
    </row>
    <row r="29" spans="1:10" s="70" customFormat="1" ht="12.75" customHeight="1" x14ac:dyDescent="0.2">
      <c r="A29" s="89">
        <v>45167</v>
      </c>
      <c r="B29" s="128" t="s">
        <v>6</v>
      </c>
      <c r="C29" s="10" t="s">
        <v>390</v>
      </c>
      <c r="D29" s="11" t="s">
        <v>13</v>
      </c>
      <c r="E29" s="86">
        <v>11329</v>
      </c>
      <c r="G29" s="30"/>
      <c r="I29" s="69"/>
      <c r="J29" s="69"/>
    </row>
    <row r="30" spans="1:10" s="70" customFormat="1" ht="12.75" customHeight="1" x14ac:dyDescent="0.2">
      <c r="A30" s="89">
        <v>45167</v>
      </c>
      <c r="B30" s="128" t="s">
        <v>6</v>
      </c>
      <c r="C30" s="10" t="s">
        <v>320</v>
      </c>
      <c r="D30" s="11" t="s">
        <v>13</v>
      </c>
      <c r="E30" s="86">
        <v>1974444</v>
      </c>
      <c r="G30" s="30"/>
      <c r="I30" s="69"/>
      <c r="J30" s="69"/>
    </row>
    <row r="31" spans="1:10" s="70" customFormat="1" ht="12.75" customHeight="1" x14ac:dyDescent="0.2">
      <c r="A31" s="89">
        <v>45167</v>
      </c>
      <c r="B31" s="128" t="s">
        <v>6</v>
      </c>
      <c r="C31" s="10" t="s">
        <v>1429</v>
      </c>
      <c r="D31" s="11" t="s">
        <v>13</v>
      </c>
      <c r="E31" s="86">
        <v>142603</v>
      </c>
      <c r="G31" s="30"/>
      <c r="I31" s="69"/>
      <c r="J31" s="69"/>
    </row>
    <row r="32" spans="1:10" s="70" customFormat="1" ht="12.75" customHeight="1" x14ac:dyDescent="0.2">
      <c r="A32" s="89">
        <v>45167</v>
      </c>
      <c r="B32" s="128" t="s">
        <v>6</v>
      </c>
      <c r="C32" s="10" t="s">
        <v>822</v>
      </c>
      <c r="D32" s="11" t="s">
        <v>13</v>
      </c>
      <c r="E32" s="86">
        <v>280088</v>
      </c>
      <c r="G32" s="30"/>
      <c r="I32" s="69"/>
      <c r="J32" s="69"/>
    </row>
    <row r="33" spans="1:10" s="70" customFormat="1" ht="12.75" customHeight="1" x14ac:dyDescent="0.2">
      <c r="A33" s="89">
        <v>45167</v>
      </c>
      <c r="B33" s="128" t="s">
        <v>6</v>
      </c>
      <c r="C33" s="10" t="s">
        <v>219</v>
      </c>
      <c r="D33" s="11" t="s">
        <v>13</v>
      </c>
      <c r="E33" s="86">
        <v>805334</v>
      </c>
      <c r="G33" s="30"/>
      <c r="I33" s="69"/>
      <c r="J33" s="69"/>
    </row>
    <row r="34" spans="1:10" s="70" customFormat="1" ht="12.75" customHeight="1" x14ac:dyDescent="0.2">
      <c r="A34" s="89">
        <v>45167</v>
      </c>
      <c r="B34" s="128" t="s">
        <v>6</v>
      </c>
      <c r="C34" s="10" t="s">
        <v>1397</v>
      </c>
      <c r="D34" s="11" t="s">
        <v>13</v>
      </c>
      <c r="E34" s="86">
        <v>326527</v>
      </c>
      <c r="G34" s="30"/>
      <c r="I34" s="69"/>
      <c r="J34" s="69"/>
    </row>
    <row r="35" spans="1:10" s="70" customFormat="1" ht="12.75" customHeight="1" x14ac:dyDescent="0.2">
      <c r="A35" s="89">
        <v>45167</v>
      </c>
      <c r="B35" s="128" t="s">
        <v>6</v>
      </c>
      <c r="C35" s="10" t="s">
        <v>515</v>
      </c>
      <c r="D35" s="11" t="s">
        <v>13</v>
      </c>
      <c r="E35" s="86">
        <v>31028</v>
      </c>
      <c r="G35" s="30"/>
      <c r="I35" s="69"/>
      <c r="J35" s="69"/>
    </row>
    <row r="36" spans="1:10" s="70" customFormat="1" ht="12.75" customHeight="1" x14ac:dyDescent="0.2">
      <c r="A36" s="89">
        <v>45167</v>
      </c>
      <c r="B36" s="128" t="s">
        <v>6</v>
      </c>
      <c r="C36" s="10" t="s">
        <v>177</v>
      </c>
      <c r="D36" s="11" t="s">
        <v>13</v>
      </c>
      <c r="E36" s="86">
        <v>243199</v>
      </c>
      <c r="G36" s="30"/>
      <c r="I36" s="69"/>
      <c r="J36" s="69"/>
    </row>
    <row r="37" spans="1:10" s="70" customFormat="1" ht="12.75" customHeight="1" x14ac:dyDescent="0.2">
      <c r="A37" s="89">
        <v>45167</v>
      </c>
      <c r="B37" s="128" t="s">
        <v>6</v>
      </c>
      <c r="C37" s="10" t="s">
        <v>16</v>
      </c>
      <c r="D37" s="11" t="s">
        <v>13</v>
      </c>
      <c r="E37" s="86">
        <v>12443</v>
      </c>
      <c r="G37" s="30"/>
      <c r="I37" s="69"/>
      <c r="J37" s="69"/>
    </row>
    <row r="38" spans="1:10" s="70" customFormat="1" ht="12.75" customHeight="1" x14ac:dyDescent="0.2">
      <c r="A38" s="89">
        <v>45167</v>
      </c>
      <c r="B38" s="128" t="s">
        <v>6</v>
      </c>
      <c r="C38" s="10" t="s">
        <v>325</v>
      </c>
      <c r="D38" s="11" t="s">
        <v>13</v>
      </c>
      <c r="E38" s="86">
        <v>5667</v>
      </c>
      <c r="G38" s="30"/>
      <c r="I38" s="69"/>
      <c r="J38" s="69"/>
    </row>
    <row r="39" spans="1:10" s="70" customFormat="1" ht="12.75" customHeight="1" x14ac:dyDescent="0.2">
      <c r="A39" s="89">
        <v>45167</v>
      </c>
      <c r="B39" s="128" t="s">
        <v>6</v>
      </c>
      <c r="C39" s="10" t="s">
        <v>146</v>
      </c>
      <c r="D39" s="11" t="s">
        <v>13</v>
      </c>
      <c r="E39" s="86">
        <v>215061.72</v>
      </c>
      <c r="G39" s="30"/>
      <c r="I39" s="69"/>
      <c r="J39" s="69"/>
    </row>
    <row r="40" spans="1:10" s="70" customFormat="1" ht="12.75" customHeight="1" x14ac:dyDescent="0.2">
      <c r="A40" s="89">
        <v>45167</v>
      </c>
      <c r="B40" s="128" t="s">
        <v>6</v>
      </c>
      <c r="C40" s="10" t="s">
        <v>15</v>
      </c>
      <c r="D40" s="11" t="s">
        <v>13</v>
      </c>
      <c r="E40" s="86">
        <v>17065.16</v>
      </c>
      <c r="G40" s="30"/>
      <c r="I40" s="69"/>
      <c r="J40" s="69"/>
    </row>
    <row r="41" spans="1:10" s="70" customFormat="1" ht="12.75" customHeight="1" x14ac:dyDescent="0.2">
      <c r="A41" s="89">
        <v>45167</v>
      </c>
      <c r="B41" s="128" t="s">
        <v>6</v>
      </c>
      <c r="C41" s="10" t="s">
        <v>257</v>
      </c>
      <c r="D41" s="11" t="s">
        <v>13</v>
      </c>
      <c r="E41" s="86">
        <v>2185439.17</v>
      </c>
      <c r="G41" s="30"/>
      <c r="I41" s="69"/>
      <c r="J41" s="69"/>
    </row>
    <row r="42" spans="1:10" s="70" customFormat="1" ht="12.75" customHeight="1" x14ac:dyDescent="0.2">
      <c r="A42" s="89">
        <v>45167</v>
      </c>
      <c r="B42" s="128" t="s">
        <v>6</v>
      </c>
      <c r="C42" s="10" t="s">
        <v>877</v>
      </c>
      <c r="D42" s="11" t="s">
        <v>13</v>
      </c>
      <c r="E42" s="86">
        <v>8400</v>
      </c>
      <c r="G42" s="30"/>
      <c r="I42" s="69"/>
      <c r="J42" s="69"/>
    </row>
    <row r="43" spans="1:10" s="70" customFormat="1" ht="12.75" customHeight="1" x14ac:dyDescent="0.2">
      <c r="A43" s="89">
        <v>45167</v>
      </c>
      <c r="B43" s="128" t="s">
        <v>6</v>
      </c>
      <c r="C43" s="10" t="s">
        <v>180</v>
      </c>
      <c r="D43" s="11" t="s">
        <v>13</v>
      </c>
      <c r="E43" s="86">
        <v>56700</v>
      </c>
      <c r="G43" s="30"/>
      <c r="I43" s="69"/>
      <c r="J43" s="69"/>
    </row>
    <row r="44" spans="1:10" s="70" customFormat="1" ht="12.75" customHeight="1" x14ac:dyDescent="0.2">
      <c r="A44" s="89">
        <v>45167</v>
      </c>
      <c r="B44" s="128" t="s">
        <v>6</v>
      </c>
      <c r="C44" s="10" t="s">
        <v>27</v>
      </c>
      <c r="D44" s="11" t="s">
        <v>29</v>
      </c>
      <c r="E44" s="86">
        <v>206109.8</v>
      </c>
      <c r="G44" s="30"/>
      <c r="I44" s="69"/>
      <c r="J44" s="69"/>
    </row>
    <row r="45" spans="1:10" s="70" customFormat="1" ht="12.75" customHeight="1" x14ac:dyDescent="0.2">
      <c r="A45" s="89">
        <v>45166</v>
      </c>
      <c r="B45" s="128" t="s">
        <v>6</v>
      </c>
      <c r="C45" s="10" t="s">
        <v>270</v>
      </c>
      <c r="D45" s="11" t="s">
        <v>13</v>
      </c>
      <c r="E45" s="86">
        <v>388997</v>
      </c>
      <c r="G45" s="30"/>
      <c r="I45" s="69"/>
      <c r="J45" s="69"/>
    </row>
    <row r="46" spans="1:10" s="69" customFormat="1" ht="12.75" customHeight="1" x14ac:dyDescent="0.2">
      <c r="A46" s="97">
        <v>45167</v>
      </c>
      <c r="B46" s="132" t="s">
        <v>11</v>
      </c>
      <c r="C46" s="121" t="s">
        <v>1241</v>
      </c>
      <c r="D46" s="122" t="s">
        <v>1451</v>
      </c>
      <c r="E46" s="147"/>
      <c r="F46" s="69">
        <v>528699</v>
      </c>
      <c r="G46" s="100"/>
    </row>
    <row r="47" spans="1:10" s="70" customFormat="1" ht="12.75" customHeight="1" x14ac:dyDescent="0.2">
      <c r="A47" s="89">
        <v>45167</v>
      </c>
      <c r="B47" s="128" t="s">
        <v>11</v>
      </c>
      <c r="C47" s="10" t="s">
        <v>64</v>
      </c>
      <c r="D47" s="11" t="s">
        <v>29</v>
      </c>
      <c r="E47" s="86"/>
      <c r="F47" s="70">
        <v>5940.12</v>
      </c>
      <c r="G47" s="30"/>
      <c r="I47" s="69"/>
      <c r="J47" s="69"/>
    </row>
    <row r="48" spans="1:10" s="70" customFormat="1" ht="12.75" customHeight="1" x14ac:dyDescent="0.2">
      <c r="A48" s="89">
        <v>45167</v>
      </c>
      <c r="B48" s="128" t="s">
        <v>11</v>
      </c>
      <c r="C48" s="10" t="s">
        <v>1268</v>
      </c>
      <c r="D48" s="11" t="s">
        <v>29</v>
      </c>
      <c r="E48" s="86"/>
      <c r="F48" s="70">
        <v>2527.21</v>
      </c>
      <c r="G48" s="30"/>
      <c r="I48" s="69"/>
      <c r="J48" s="69"/>
    </row>
    <row r="49" spans="1:10" s="70" customFormat="1" ht="12.75" customHeight="1" x14ac:dyDescent="0.2">
      <c r="A49" s="89">
        <v>45167</v>
      </c>
      <c r="B49" s="128" t="s">
        <v>11</v>
      </c>
      <c r="C49" s="10" t="s">
        <v>111</v>
      </c>
      <c r="D49" s="11" t="s">
        <v>29</v>
      </c>
      <c r="E49" s="86"/>
      <c r="F49" s="70">
        <v>13692591.009999998</v>
      </c>
      <c r="G49" s="30"/>
      <c r="I49" s="69"/>
      <c r="J49" s="69"/>
    </row>
    <row r="50" spans="1:10" s="70" customFormat="1" ht="12.75" customHeight="1" x14ac:dyDescent="0.2">
      <c r="A50" s="89">
        <v>45167</v>
      </c>
      <c r="B50" s="128" t="s">
        <v>11</v>
      </c>
      <c r="C50" s="10" t="s">
        <v>199</v>
      </c>
      <c r="D50" s="11" t="s">
        <v>29</v>
      </c>
      <c r="E50" s="86"/>
      <c r="F50" s="70">
        <v>1241729</v>
      </c>
      <c r="G50" s="30"/>
      <c r="I50" s="69"/>
      <c r="J50" s="69"/>
    </row>
    <row r="51" spans="1:10" s="70" customFormat="1" ht="12.75" customHeight="1" x14ac:dyDescent="0.2">
      <c r="A51" s="89">
        <v>45167</v>
      </c>
      <c r="B51" s="128" t="s">
        <v>11</v>
      </c>
      <c r="C51" s="10" t="s">
        <v>125</v>
      </c>
      <c r="D51" s="11" t="s">
        <v>29</v>
      </c>
      <c r="E51" s="86"/>
      <c r="F51" s="70">
        <v>182974</v>
      </c>
      <c r="G51" s="30"/>
      <c r="I51" s="69"/>
      <c r="J51" s="69"/>
    </row>
    <row r="52" spans="1:10" s="70" customFormat="1" ht="12.75" customHeight="1" x14ac:dyDescent="0.2">
      <c r="A52" s="89">
        <v>45167</v>
      </c>
      <c r="B52" s="128" t="s">
        <v>11</v>
      </c>
      <c r="C52" s="10" t="s">
        <v>1403</v>
      </c>
      <c r="D52" s="11" t="s">
        <v>29</v>
      </c>
      <c r="E52" s="86"/>
      <c r="F52" s="70">
        <v>39218</v>
      </c>
      <c r="G52" s="30"/>
      <c r="I52" s="69"/>
      <c r="J52" s="69"/>
    </row>
    <row r="53" spans="1:10" s="70" customFormat="1" ht="12.75" customHeight="1" x14ac:dyDescent="0.2">
      <c r="A53" s="89">
        <v>45167</v>
      </c>
      <c r="B53" s="128" t="s">
        <v>11</v>
      </c>
      <c r="C53" s="10" t="s">
        <v>135</v>
      </c>
      <c r="D53" s="11" t="s">
        <v>29</v>
      </c>
      <c r="E53" s="86"/>
      <c r="F53" s="70">
        <v>266055</v>
      </c>
      <c r="G53" s="30"/>
      <c r="I53" s="69"/>
      <c r="J53" s="69"/>
    </row>
    <row r="54" spans="1:10" s="70" customFormat="1" ht="12.75" customHeight="1" x14ac:dyDescent="0.2">
      <c r="A54" s="89">
        <v>45167</v>
      </c>
      <c r="B54" s="128" t="s">
        <v>11</v>
      </c>
      <c r="C54" s="10" t="s">
        <v>254</v>
      </c>
      <c r="D54" s="11" t="s">
        <v>29</v>
      </c>
      <c r="E54" s="86"/>
      <c r="F54" s="70">
        <v>93180</v>
      </c>
      <c r="G54" s="30"/>
      <c r="I54" s="69"/>
      <c r="J54" s="69"/>
    </row>
    <row r="55" spans="1:10" s="70" customFormat="1" ht="12.75" customHeight="1" x14ac:dyDescent="0.2">
      <c r="A55" s="89">
        <v>45167</v>
      </c>
      <c r="B55" s="128" t="s">
        <v>11</v>
      </c>
      <c r="C55" s="10" t="s">
        <v>340</v>
      </c>
      <c r="D55" s="11" t="s">
        <v>29</v>
      </c>
      <c r="E55" s="86"/>
      <c r="F55" s="70">
        <v>153270</v>
      </c>
      <c r="G55" s="30"/>
      <c r="I55" s="69"/>
      <c r="J55" s="69"/>
    </row>
    <row r="56" spans="1:10" s="70" customFormat="1" ht="12.75" customHeight="1" x14ac:dyDescent="0.2">
      <c r="A56" s="89">
        <v>45167</v>
      </c>
      <c r="B56" s="128" t="s">
        <v>11</v>
      </c>
      <c r="C56" s="10" t="s">
        <v>596</v>
      </c>
      <c r="D56" s="11" t="s">
        <v>29</v>
      </c>
      <c r="E56" s="86"/>
      <c r="F56" s="70">
        <v>53100</v>
      </c>
      <c r="G56" s="30"/>
      <c r="I56" s="69"/>
      <c r="J56" s="69"/>
    </row>
    <row r="57" spans="1:10" s="70" customFormat="1" ht="12.75" customHeight="1" x14ac:dyDescent="0.2">
      <c r="A57" s="89">
        <v>45167</v>
      </c>
      <c r="B57" s="128" t="s">
        <v>11</v>
      </c>
      <c r="C57" s="10" t="s">
        <v>1141</v>
      </c>
      <c r="D57" s="11" t="s">
        <v>29</v>
      </c>
      <c r="E57" s="86"/>
      <c r="F57" s="70">
        <v>132095</v>
      </c>
      <c r="G57" s="30"/>
      <c r="I57" s="69"/>
      <c r="J57" s="69"/>
    </row>
    <row r="58" spans="1:10" s="70" customFormat="1" ht="12.75" customHeight="1" x14ac:dyDescent="0.2">
      <c r="A58" s="89">
        <v>45167</v>
      </c>
      <c r="B58" s="128" t="s">
        <v>11</v>
      </c>
      <c r="C58" s="10" t="s">
        <v>372</v>
      </c>
      <c r="D58" s="11" t="s">
        <v>29</v>
      </c>
      <c r="E58" s="86"/>
      <c r="F58" s="70">
        <v>296184</v>
      </c>
      <c r="G58" s="30"/>
      <c r="I58" s="69"/>
      <c r="J58" s="69"/>
    </row>
    <row r="59" spans="1:10" s="70" customFormat="1" ht="12.75" customHeight="1" x14ac:dyDescent="0.2">
      <c r="A59" s="89">
        <v>45167</v>
      </c>
      <c r="B59" s="128" t="s">
        <v>11</v>
      </c>
      <c r="C59" s="10" t="s">
        <v>411</v>
      </c>
      <c r="D59" s="11" t="s">
        <v>29</v>
      </c>
      <c r="E59" s="86"/>
      <c r="F59" s="70">
        <v>53100</v>
      </c>
      <c r="G59" s="30"/>
      <c r="I59" s="69"/>
      <c r="J59" s="69"/>
    </row>
    <row r="60" spans="1:10" s="70" customFormat="1" ht="12.75" customHeight="1" x14ac:dyDescent="0.2">
      <c r="A60" s="89">
        <v>45167</v>
      </c>
      <c r="B60" s="128" t="s">
        <v>11</v>
      </c>
      <c r="C60" s="10" t="s">
        <v>243</v>
      </c>
      <c r="D60" s="11" t="s">
        <v>29</v>
      </c>
      <c r="E60" s="86"/>
      <c r="F60" s="70">
        <v>3573.16</v>
      </c>
      <c r="G60" s="30"/>
      <c r="I60" s="69"/>
      <c r="J60" s="69"/>
    </row>
    <row r="61" spans="1:10" s="70" customFormat="1" ht="12.75" customHeight="1" x14ac:dyDescent="0.2">
      <c r="A61" s="89">
        <v>45167</v>
      </c>
      <c r="B61" s="128" t="s">
        <v>11</v>
      </c>
      <c r="C61" s="10" t="s">
        <v>44</v>
      </c>
      <c r="D61" s="11" t="s">
        <v>29</v>
      </c>
      <c r="E61" s="86"/>
      <c r="F61" s="70">
        <v>170034</v>
      </c>
      <c r="G61" s="30"/>
      <c r="I61" s="69"/>
      <c r="J61" s="69"/>
    </row>
    <row r="62" spans="1:10" s="70" customFormat="1" ht="12.75" customHeight="1" x14ac:dyDescent="0.2">
      <c r="A62" s="89">
        <v>45167</v>
      </c>
      <c r="B62" s="128" t="s">
        <v>11</v>
      </c>
      <c r="C62" s="10" t="s">
        <v>45</v>
      </c>
      <c r="D62" s="11" t="s">
        <v>29</v>
      </c>
      <c r="E62" s="86"/>
      <c r="F62" s="70">
        <v>133207</v>
      </c>
      <c r="G62" s="30"/>
      <c r="I62" s="69"/>
      <c r="J62" s="69"/>
    </row>
    <row r="63" spans="1:10" s="70" customFormat="1" ht="12.75" customHeight="1" x14ac:dyDescent="0.2">
      <c r="A63" s="89">
        <v>45167</v>
      </c>
      <c r="B63" s="128" t="s">
        <v>11</v>
      </c>
      <c r="C63" s="10" t="s">
        <v>509</v>
      </c>
      <c r="D63" s="11" t="s">
        <v>29</v>
      </c>
      <c r="E63" s="86"/>
      <c r="F63" s="70">
        <v>32980</v>
      </c>
      <c r="G63" s="30"/>
      <c r="I63" s="69"/>
      <c r="J63" s="69"/>
    </row>
    <row r="64" spans="1:10" s="70" customFormat="1" ht="12.75" customHeight="1" x14ac:dyDescent="0.2">
      <c r="A64" s="89">
        <v>45167</v>
      </c>
      <c r="B64" s="128" t="s">
        <v>11</v>
      </c>
      <c r="C64" s="10" t="s">
        <v>290</v>
      </c>
      <c r="D64" s="11" t="s">
        <v>29</v>
      </c>
      <c r="E64" s="86"/>
      <c r="F64" s="70">
        <v>17350</v>
      </c>
      <c r="G64" s="30"/>
      <c r="I64" s="69"/>
      <c r="J64" s="69"/>
    </row>
    <row r="65" spans="1:14" s="70" customFormat="1" ht="12.75" customHeight="1" x14ac:dyDescent="0.2">
      <c r="A65" s="89">
        <v>45167</v>
      </c>
      <c r="B65" s="128" t="s">
        <v>11</v>
      </c>
      <c r="C65" s="10" t="s">
        <v>117</v>
      </c>
      <c r="D65" s="11" t="s">
        <v>29</v>
      </c>
      <c r="E65" s="86"/>
      <c r="F65" s="70">
        <v>44095</v>
      </c>
      <c r="G65" s="30"/>
      <c r="I65" s="69"/>
      <c r="J65" s="69"/>
    </row>
    <row r="66" spans="1:14" s="70" customFormat="1" ht="12.75" customHeight="1" x14ac:dyDescent="0.2">
      <c r="A66" s="89">
        <v>45167</v>
      </c>
      <c r="B66" s="128" t="s">
        <v>11</v>
      </c>
      <c r="C66" s="10" t="s">
        <v>392</v>
      </c>
      <c r="D66" s="11" t="s">
        <v>29</v>
      </c>
      <c r="E66" s="86"/>
      <c r="F66" s="70">
        <v>32627</v>
      </c>
      <c r="G66" s="30"/>
      <c r="I66" s="69"/>
      <c r="J66" s="69"/>
    </row>
    <row r="67" spans="1:14" s="70" customFormat="1" ht="12.75" customHeight="1" x14ac:dyDescent="0.2">
      <c r="A67" s="89">
        <v>45167</v>
      </c>
      <c r="B67" s="128" t="s">
        <v>11</v>
      </c>
      <c r="C67" s="10" t="s">
        <v>472</v>
      </c>
      <c r="D67" s="11" t="s">
        <v>29</v>
      </c>
      <c r="E67" s="86"/>
      <c r="F67" s="70">
        <v>8260</v>
      </c>
      <c r="G67" s="30"/>
      <c r="I67" s="69"/>
      <c r="J67" s="69"/>
    </row>
    <row r="68" spans="1:14" s="70" customFormat="1" ht="12.75" customHeight="1" x14ac:dyDescent="0.2">
      <c r="A68" s="89">
        <v>45167</v>
      </c>
      <c r="B68" s="128" t="s">
        <v>11</v>
      </c>
      <c r="C68" s="10" t="s">
        <v>1269</v>
      </c>
      <c r="D68" s="11" t="s">
        <v>29</v>
      </c>
      <c r="E68" s="86"/>
      <c r="F68" s="70">
        <v>355330</v>
      </c>
      <c r="G68" s="30"/>
      <c r="I68" s="69"/>
      <c r="J68" s="69"/>
    </row>
    <row r="69" spans="1:14" s="70" customFormat="1" ht="12.75" customHeight="1" x14ac:dyDescent="0.2">
      <c r="A69" s="89">
        <v>45167</v>
      </c>
      <c r="B69" s="128" t="s">
        <v>11</v>
      </c>
      <c r="C69" s="10" t="s">
        <v>41</v>
      </c>
      <c r="D69" s="11" t="s">
        <v>29</v>
      </c>
      <c r="E69" s="86"/>
      <c r="F69" s="70">
        <v>96867</v>
      </c>
      <c r="G69" s="30"/>
      <c r="I69" s="69"/>
      <c r="J69" s="69"/>
    </row>
    <row r="70" spans="1:14" s="70" customFormat="1" ht="12.75" customHeight="1" x14ac:dyDescent="0.2">
      <c r="A70" s="89">
        <v>45167</v>
      </c>
      <c r="B70" s="128" t="s">
        <v>11</v>
      </c>
      <c r="C70" s="10" t="s">
        <v>28</v>
      </c>
      <c r="D70" s="11" t="s">
        <v>29</v>
      </c>
      <c r="E70" s="86"/>
      <c r="F70" s="70">
        <v>247239.5</v>
      </c>
      <c r="G70" s="30"/>
      <c r="I70" s="69"/>
      <c r="J70" s="69"/>
    </row>
    <row r="71" spans="1:14" s="70" customFormat="1" ht="12.75" customHeight="1" x14ac:dyDescent="0.2">
      <c r="A71" s="89">
        <v>45167</v>
      </c>
      <c r="B71" s="128" t="s">
        <v>11</v>
      </c>
      <c r="C71" s="10" t="s">
        <v>34</v>
      </c>
      <c r="D71" s="11" t="s">
        <v>29</v>
      </c>
      <c r="E71" s="86"/>
      <c r="F71" s="70">
        <v>15000</v>
      </c>
      <c r="G71" s="30"/>
      <c r="I71" s="69"/>
      <c r="J71" s="69"/>
    </row>
    <row r="72" spans="1:14" s="70" customFormat="1" ht="12.75" customHeight="1" x14ac:dyDescent="0.2">
      <c r="A72" s="89">
        <v>45167</v>
      </c>
      <c r="B72" s="128" t="s">
        <v>11</v>
      </c>
      <c r="C72" s="10" t="s">
        <v>886</v>
      </c>
      <c r="D72" s="11" t="s">
        <v>29</v>
      </c>
      <c r="E72" s="86"/>
      <c r="F72" s="70">
        <v>5684</v>
      </c>
      <c r="G72" s="30"/>
      <c r="I72" s="69"/>
      <c r="J72" s="69"/>
    </row>
    <row r="73" spans="1:14" s="70" customFormat="1" ht="12.75" customHeight="1" x14ac:dyDescent="0.2">
      <c r="A73" s="89">
        <v>45167</v>
      </c>
      <c r="B73" s="128" t="s">
        <v>11</v>
      </c>
      <c r="C73" s="10" t="s">
        <v>156</v>
      </c>
      <c r="D73" s="11" t="s">
        <v>29</v>
      </c>
      <c r="E73" s="86"/>
      <c r="F73" s="70">
        <v>661.54</v>
      </c>
      <c r="G73" s="30"/>
      <c r="I73" s="69"/>
      <c r="J73" s="69"/>
    </row>
    <row r="74" spans="1:14" s="70" customFormat="1" ht="12.75" customHeight="1" x14ac:dyDescent="0.2">
      <c r="A74" s="89">
        <v>45167</v>
      </c>
      <c r="B74" s="128" t="s">
        <v>11</v>
      </c>
      <c r="C74" s="10" t="s">
        <v>1450</v>
      </c>
      <c r="D74" s="11" t="s">
        <v>29</v>
      </c>
      <c r="E74" s="86"/>
      <c r="F74" s="70">
        <v>635044.11</v>
      </c>
      <c r="G74" s="30"/>
      <c r="I74" s="69"/>
      <c r="J74" s="69"/>
    </row>
    <row r="75" spans="1:14" s="70" customFormat="1" ht="12.75" customHeight="1" x14ac:dyDescent="0.2">
      <c r="A75" s="89">
        <v>45167</v>
      </c>
      <c r="B75" s="128" t="s">
        <v>11</v>
      </c>
      <c r="C75" s="10" t="s">
        <v>62</v>
      </c>
      <c r="D75" s="11" t="s">
        <v>29</v>
      </c>
      <c r="E75" s="86"/>
      <c r="F75" s="70">
        <v>90000</v>
      </c>
      <c r="G75" s="30"/>
      <c r="I75" s="69"/>
      <c r="J75" s="69"/>
    </row>
    <row r="76" spans="1:14" s="70" customFormat="1" ht="12.75" customHeight="1" x14ac:dyDescent="0.2">
      <c r="A76" s="89">
        <v>45167</v>
      </c>
      <c r="B76" s="128" t="s">
        <v>11</v>
      </c>
      <c r="C76" s="10" t="s">
        <v>27</v>
      </c>
      <c r="D76" s="11" t="s">
        <v>29</v>
      </c>
      <c r="E76" s="86"/>
      <c r="F76" s="70">
        <v>2635694.7000000002</v>
      </c>
      <c r="G76" s="30"/>
      <c r="I76" s="69"/>
      <c r="J76" s="69"/>
      <c r="K76" s="148" t="s">
        <v>1432</v>
      </c>
    </row>
    <row r="77" spans="1:14" s="2" customFormat="1" ht="12.75" customHeight="1" x14ac:dyDescent="0.2">
      <c r="A77" s="32"/>
      <c r="B77" s="33"/>
      <c r="C77" s="14"/>
      <c r="D77" s="34"/>
      <c r="E77" s="16">
        <f>SUM(E18:E76)</f>
        <v>9744978.6500000004</v>
      </c>
      <c r="F77" s="16">
        <f>SUM(F18:F76)</f>
        <v>360756231.82000011</v>
      </c>
      <c r="G77" s="30"/>
      <c r="H77" s="1"/>
      <c r="I77" s="38">
        <v>101011253.17</v>
      </c>
      <c r="J77" s="2" t="s">
        <v>396</v>
      </c>
      <c r="K77" s="92">
        <f>E78-I77</f>
        <v>250000000.00000012</v>
      </c>
      <c r="L77" s="41"/>
      <c r="M77" s="42"/>
    </row>
    <row r="78" spans="1:14" s="2" customFormat="1" ht="12.75" customHeight="1" x14ac:dyDescent="0.2">
      <c r="A78" s="36"/>
      <c r="B78" s="28" t="s">
        <v>11</v>
      </c>
      <c r="C78" s="19" t="s">
        <v>65</v>
      </c>
      <c r="D78" s="37"/>
      <c r="E78" s="38">
        <f>F77-E77</f>
        <v>351011253.17000014</v>
      </c>
      <c r="F78" s="22"/>
      <c r="G78" s="1"/>
      <c r="H78" s="1"/>
      <c r="J78" s="1"/>
      <c r="K78" s="1"/>
      <c r="L78" s="1"/>
      <c r="M78" s="1"/>
    </row>
    <row r="79" spans="1:14" s="2" customFormat="1" ht="12.75" customHeight="1" x14ac:dyDescent="0.2">
      <c r="A79" s="36"/>
      <c r="B79" s="28" t="s">
        <v>66</v>
      </c>
      <c r="C79" s="43" t="s">
        <v>67</v>
      </c>
      <c r="D79" s="43"/>
      <c r="E79" s="12">
        <v>0</v>
      </c>
      <c r="F79" s="22"/>
      <c r="G79" s="1"/>
      <c r="H79" s="40"/>
      <c r="I79" s="45">
        <v>3659.88</v>
      </c>
      <c r="J79" s="46"/>
      <c r="K79" s="46"/>
      <c r="L79" s="13"/>
      <c r="M79" s="69" t="s">
        <v>396</v>
      </c>
    </row>
    <row r="80" spans="1:14" s="2" customFormat="1" ht="12.75" customHeight="1" x14ac:dyDescent="0.25">
      <c r="A80" s="36"/>
      <c r="B80" s="28"/>
      <c r="C80" s="44" t="s">
        <v>68</v>
      </c>
      <c r="D80" s="43"/>
      <c r="E80" s="7">
        <f>E78+E79</f>
        <v>351011253.17000014</v>
      </c>
      <c r="F80" s="22"/>
      <c r="G80" s="1"/>
      <c r="H80" s="103" t="s">
        <v>69</v>
      </c>
      <c r="I80" s="45">
        <v>-102.38</v>
      </c>
      <c r="J80" s="46"/>
      <c r="K80" s="46"/>
      <c r="N80" s="1"/>
    </row>
    <row r="81" spans="1:14" s="2" customFormat="1" x14ac:dyDescent="0.2">
      <c r="A81" s="24"/>
      <c r="B81" s="1"/>
      <c r="C81" s="14"/>
      <c r="D81" s="25"/>
      <c r="E81" s="1"/>
      <c r="H81" s="35" t="s">
        <v>70</v>
      </c>
      <c r="I81" s="45">
        <v>46.43</v>
      </c>
      <c r="J81" s="46">
        <f>+I82-D84</f>
        <v>0</v>
      </c>
      <c r="M81" s="2" t="s">
        <v>396</v>
      </c>
      <c r="N81" s="1"/>
    </row>
    <row r="82" spans="1:14" x14ac:dyDescent="0.2">
      <c r="C82" s="56"/>
      <c r="D82" s="56"/>
      <c r="E82" s="104"/>
      <c r="I82" s="49">
        <f>SUM(I79:I81)</f>
        <v>3603.93</v>
      </c>
      <c r="J82" s="46"/>
      <c r="K82" s="46"/>
      <c r="L82" s="2"/>
      <c r="M82" s="2"/>
      <c r="N82" s="2"/>
    </row>
    <row r="83" spans="1:14" x14ac:dyDescent="0.2">
      <c r="C83" s="78" t="s">
        <v>575</v>
      </c>
      <c r="D83" s="48" t="s">
        <v>576</v>
      </c>
      <c r="E83" s="104"/>
      <c r="I83" s="2"/>
      <c r="J83" s="2"/>
      <c r="K83" s="2"/>
      <c r="L83" s="2"/>
      <c r="M83" s="2"/>
      <c r="N83" s="2"/>
    </row>
    <row r="84" spans="1:14" s="2" customFormat="1" x14ac:dyDescent="0.2">
      <c r="A84" s="24"/>
      <c r="B84" s="1"/>
      <c r="C84" s="47" t="s">
        <v>570</v>
      </c>
      <c r="D84" s="111">
        <v>3603.93</v>
      </c>
      <c r="E84" s="104"/>
      <c r="G84" s="1"/>
      <c r="H84" s="110" t="s">
        <v>581</v>
      </c>
      <c r="N84" s="2" t="s">
        <v>535</v>
      </c>
    </row>
    <row r="85" spans="1:14" s="2" customFormat="1" x14ac:dyDescent="0.2">
      <c r="A85" s="24"/>
      <c r="B85" s="1"/>
      <c r="C85" s="47" t="s">
        <v>931</v>
      </c>
      <c r="D85" s="111">
        <v>368.7</v>
      </c>
      <c r="E85" s="104"/>
      <c r="G85" s="1"/>
      <c r="H85" s="110" t="s">
        <v>580</v>
      </c>
    </row>
    <row r="86" spans="1:14" s="2" customFormat="1" x14ac:dyDescent="0.2">
      <c r="A86" s="24"/>
      <c r="B86" s="1"/>
      <c r="C86" s="47" t="s">
        <v>572</v>
      </c>
      <c r="D86" s="111">
        <f>+D130/100000</f>
        <v>250.24273909999999</v>
      </c>
      <c r="E86" s="104"/>
      <c r="G86" s="1"/>
      <c r="H86" s="90" t="s">
        <v>587</v>
      </c>
    </row>
    <row r="87" spans="1:14" s="2" customFormat="1" x14ac:dyDescent="0.2">
      <c r="A87" s="24"/>
      <c r="B87" s="1"/>
      <c r="C87" s="108" t="s">
        <v>578</v>
      </c>
      <c r="D87" s="48">
        <f>SUM(D84:D86)</f>
        <v>4222.8727390999993</v>
      </c>
      <c r="E87" s="104"/>
      <c r="G87" s="1"/>
    </row>
    <row r="88" spans="1:14" s="2" customFormat="1" x14ac:dyDescent="0.2">
      <c r="A88" s="24"/>
      <c r="B88" s="1"/>
      <c r="C88" s="47"/>
      <c r="D88" s="107"/>
      <c r="E88" s="104"/>
      <c r="G88" s="1"/>
    </row>
    <row r="89" spans="1:14" s="2" customFormat="1" x14ac:dyDescent="0.2">
      <c r="A89" s="24"/>
      <c r="B89" s="1"/>
      <c r="C89" s="47" t="s">
        <v>932</v>
      </c>
      <c r="D89" s="111">
        <v>136.78</v>
      </c>
      <c r="E89" s="104"/>
      <c r="G89" s="1"/>
      <c r="H89" s="110" t="s">
        <v>581</v>
      </c>
    </row>
    <row r="90" spans="1:14" s="2" customFormat="1" x14ac:dyDescent="0.2">
      <c r="A90" s="24"/>
      <c r="B90" s="1"/>
      <c r="C90" s="136" t="s">
        <v>1142</v>
      </c>
      <c r="D90" s="111">
        <f>121.87+321.89-136.45-94.64</f>
        <v>212.67000000000002</v>
      </c>
      <c r="E90" s="104"/>
      <c r="G90" s="1"/>
      <c r="H90" s="110" t="s">
        <v>581</v>
      </c>
      <c r="J90" s="114" t="s">
        <v>713</v>
      </c>
    </row>
    <row r="91" spans="1:14" s="2" customFormat="1" x14ac:dyDescent="0.2">
      <c r="A91" s="24"/>
      <c r="B91" s="1"/>
      <c r="C91" s="78" t="s">
        <v>579</v>
      </c>
      <c r="D91" s="109">
        <f>D89+D90</f>
        <v>349.45000000000005</v>
      </c>
      <c r="E91" s="104"/>
      <c r="G91" s="1"/>
      <c r="I91" s="113"/>
      <c r="J91" s="113" t="s">
        <v>709</v>
      </c>
      <c r="K91" s="113" t="s">
        <v>710</v>
      </c>
      <c r="L91" s="113" t="s">
        <v>711</v>
      </c>
      <c r="M91" s="113" t="s">
        <v>712</v>
      </c>
    </row>
    <row r="92" spans="1:14" s="2" customFormat="1" x14ac:dyDescent="0.2">
      <c r="A92" s="24"/>
      <c r="B92" s="1"/>
      <c r="C92" s="105"/>
      <c r="D92" s="106"/>
      <c r="E92" s="104"/>
      <c r="G92" s="1"/>
      <c r="I92" s="113" t="s">
        <v>706</v>
      </c>
      <c r="J92" s="115"/>
      <c r="K92" s="115">
        <v>968.99</v>
      </c>
      <c r="L92" s="115">
        <v>968.99</v>
      </c>
      <c r="M92" s="113">
        <f>+J92+L92-K92</f>
        <v>0</v>
      </c>
    </row>
    <row r="93" spans="1:14" s="2" customFormat="1" x14ac:dyDescent="0.2">
      <c r="A93" s="24"/>
      <c r="B93" s="1"/>
      <c r="C93" s="78" t="s">
        <v>577</v>
      </c>
      <c r="D93" s="109">
        <f>D84+D91</f>
        <v>3953.38</v>
      </c>
      <c r="E93" s="104"/>
      <c r="G93" s="1"/>
      <c r="I93" s="113" t="s">
        <v>707</v>
      </c>
      <c r="J93" s="115">
        <v>183.1</v>
      </c>
      <c r="K93" s="115">
        <v>3293.22</v>
      </c>
      <c r="L93" s="115">
        <v>3687.95</v>
      </c>
      <c r="M93" s="113">
        <f>+J93+L93-K93</f>
        <v>577.82999999999993</v>
      </c>
    </row>
    <row r="94" spans="1:14" s="2" customFormat="1" x14ac:dyDescent="0.2">
      <c r="A94" s="24"/>
      <c r="B94" s="1"/>
      <c r="C94" s="56"/>
      <c r="D94" s="56"/>
      <c r="E94" s="104"/>
      <c r="G94" s="1"/>
      <c r="I94" s="113" t="s">
        <v>708</v>
      </c>
      <c r="J94" s="115">
        <v>1371.02</v>
      </c>
      <c r="K94" s="115">
        <v>13701.59</v>
      </c>
      <c r="L94" s="115">
        <v>13244.77</v>
      </c>
      <c r="M94" s="113">
        <f>+J94+L94-K94</f>
        <v>914.20000000000073</v>
      </c>
    </row>
    <row r="95" spans="1:14" s="2" customFormat="1" ht="38.25" x14ac:dyDescent="0.2">
      <c r="A95" s="24"/>
      <c r="B95" s="1"/>
      <c r="C95" s="79" t="str">
        <f>"Particulars ( 01-04-2021 to "&amp;TEXT(A5,"dd-mm-yyyy")&amp;" )"</f>
        <v>Particulars ( 01-04-2021 to 29-08-2023 )</v>
      </c>
      <c r="D95" s="80" t="s">
        <v>73</v>
      </c>
      <c r="E95" s="80" t="s">
        <v>74</v>
      </c>
      <c r="F95" s="81" t="s">
        <v>75</v>
      </c>
      <c r="G95" s="80" t="s">
        <v>76</v>
      </c>
      <c r="J95" s="118">
        <f>SUM(J92:J94)</f>
        <v>1554.12</v>
      </c>
      <c r="K95" s="118">
        <f>SUM(K92:K94)</f>
        <v>17963.8</v>
      </c>
      <c r="L95" s="118">
        <f>SUM(L92:L94)</f>
        <v>17901.71</v>
      </c>
      <c r="M95" s="118">
        <f>SUM(M92:M94)</f>
        <v>1492.0300000000007</v>
      </c>
    </row>
    <row r="96" spans="1:14" s="2" customFormat="1" x14ac:dyDescent="0.2">
      <c r="A96" s="24"/>
      <c r="B96" s="1"/>
      <c r="C96" s="50" t="s">
        <v>444</v>
      </c>
      <c r="D96" s="55">
        <f>+L92+L93+J93</f>
        <v>4840.04</v>
      </c>
      <c r="E96" s="55">
        <f>+K92+K93</f>
        <v>4262.21</v>
      </c>
      <c r="F96" s="55">
        <f>+D96-E96</f>
        <v>577.82999999999993</v>
      </c>
      <c r="G96" s="55">
        <f>1500-F96</f>
        <v>922.17000000000007</v>
      </c>
      <c r="H96" s="2" t="s">
        <v>396</v>
      </c>
    </row>
    <row r="97" spans="1:13" s="2" customFormat="1" x14ac:dyDescent="0.2">
      <c r="A97" s="24"/>
      <c r="B97" s="1"/>
      <c r="C97" s="50" t="s">
        <v>71</v>
      </c>
      <c r="D97" s="55">
        <f>+J94+L94</f>
        <v>14615.79</v>
      </c>
      <c r="E97" s="55">
        <f>+K94</f>
        <v>13701.59</v>
      </c>
      <c r="F97" s="55">
        <f>+D97-E97</f>
        <v>914.20000000000073</v>
      </c>
      <c r="G97" s="55">
        <f>1500+700-F97</f>
        <v>1285.7999999999993</v>
      </c>
      <c r="H97" s="2" t="s">
        <v>396</v>
      </c>
    </row>
    <row r="98" spans="1:13" s="2" customFormat="1" x14ac:dyDescent="0.2">
      <c r="A98" s="24"/>
      <c r="B98" s="1"/>
      <c r="C98" s="14"/>
      <c r="D98" s="56"/>
      <c r="E98" s="13"/>
      <c r="G98" s="1"/>
    </row>
    <row r="99" spans="1:13" s="2" customFormat="1" x14ac:dyDescent="0.2">
      <c r="A99" s="215" t="s">
        <v>80</v>
      </c>
      <c r="B99" s="216"/>
      <c r="C99" s="216"/>
      <c r="D99" s="217"/>
      <c r="E99" s="69"/>
      <c r="F99" s="70"/>
      <c r="G99" s="1"/>
      <c r="H99" s="53"/>
    </row>
    <row r="100" spans="1:13" s="2" customFormat="1" x14ac:dyDescent="0.2">
      <c r="A100" s="71" t="s">
        <v>81</v>
      </c>
      <c r="B100" s="71"/>
      <c r="C100" s="72" t="s">
        <v>82</v>
      </c>
      <c r="D100" s="73" t="s">
        <v>83</v>
      </c>
      <c r="E100" s="69"/>
      <c r="F100" s="70"/>
      <c r="H100" s="53"/>
    </row>
    <row r="101" spans="1:13" s="2" customFormat="1" x14ac:dyDescent="0.2">
      <c r="A101" s="87">
        <v>45139</v>
      </c>
      <c r="B101" s="120" t="s">
        <v>1052</v>
      </c>
      <c r="C101" s="75" t="s">
        <v>85</v>
      </c>
      <c r="D101" s="88">
        <v>552343</v>
      </c>
      <c r="G101" s="1"/>
      <c r="L101" s="1"/>
      <c r="M101" s="1"/>
    </row>
    <row r="102" spans="1:13" s="2" customFormat="1" x14ac:dyDescent="0.2">
      <c r="A102" s="87">
        <v>45140</v>
      </c>
      <c r="B102" s="120" t="s">
        <v>1052</v>
      </c>
      <c r="C102" s="75" t="s">
        <v>270</v>
      </c>
      <c r="D102" s="88">
        <v>244404</v>
      </c>
      <c r="G102" s="1"/>
      <c r="L102" s="1"/>
      <c r="M102" s="1"/>
    </row>
    <row r="103" spans="1:13" s="2" customFormat="1" x14ac:dyDescent="0.2">
      <c r="A103" s="87">
        <v>45140</v>
      </c>
      <c r="B103" s="120" t="s">
        <v>1052</v>
      </c>
      <c r="C103" s="75" t="s">
        <v>270</v>
      </c>
      <c r="D103" s="88">
        <v>550256</v>
      </c>
      <c r="G103" s="1"/>
      <c r="L103" s="1"/>
      <c r="M103" s="1"/>
    </row>
    <row r="104" spans="1:13" s="2" customFormat="1" x14ac:dyDescent="0.2">
      <c r="A104" s="87">
        <v>45140</v>
      </c>
      <c r="B104" s="120" t="s">
        <v>1052</v>
      </c>
      <c r="C104" s="75" t="s">
        <v>270</v>
      </c>
      <c r="D104" s="88">
        <v>191589</v>
      </c>
      <c r="G104" s="1"/>
      <c r="L104" s="1"/>
      <c r="M104" s="1"/>
    </row>
    <row r="105" spans="1:13" s="2" customFormat="1" x14ac:dyDescent="0.2">
      <c r="A105" s="87">
        <v>45140</v>
      </c>
      <c r="B105" s="120" t="s">
        <v>1052</v>
      </c>
      <c r="C105" s="75" t="s">
        <v>270</v>
      </c>
      <c r="D105" s="88">
        <v>74415.91</v>
      </c>
      <c r="G105" s="1"/>
      <c r="L105" s="1"/>
      <c r="M105" s="1"/>
    </row>
    <row r="106" spans="1:13" s="2" customFormat="1" x14ac:dyDescent="0.2">
      <c r="A106" s="87">
        <v>45140</v>
      </c>
      <c r="B106" s="120" t="s">
        <v>1052</v>
      </c>
      <c r="C106" s="75" t="s">
        <v>271</v>
      </c>
      <c r="D106" s="88">
        <v>454781</v>
      </c>
      <c r="G106" s="1"/>
      <c r="L106" s="1"/>
      <c r="M106" s="1"/>
    </row>
    <row r="107" spans="1:13" s="2" customFormat="1" x14ac:dyDescent="0.2">
      <c r="A107" s="87">
        <v>45141</v>
      </c>
      <c r="B107" s="120" t="s">
        <v>1052</v>
      </c>
      <c r="C107" s="75" t="s">
        <v>86</v>
      </c>
      <c r="D107" s="88">
        <v>910969</v>
      </c>
      <c r="G107" s="1"/>
      <c r="L107" s="1"/>
      <c r="M107" s="1"/>
    </row>
    <row r="108" spans="1:13" s="2" customFormat="1" x14ac:dyDescent="0.2">
      <c r="A108" s="87">
        <v>45141</v>
      </c>
      <c r="B108" s="120" t="s">
        <v>1052</v>
      </c>
      <c r="C108" s="75" t="s">
        <v>86</v>
      </c>
      <c r="D108" s="88">
        <v>1424635</v>
      </c>
      <c r="G108" s="1"/>
      <c r="L108" s="1"/>
      <c r="M108" s="1"/>
    </row>
    <row r="109" spans="1:13" s="2" customFormat="1" x14ac:dyDescent="0.2">
      <c r="A109" s="87">
        <v>45143</v>
      </c>
      <c r="B109" s="120" t="s">
        <v>1052</v>
      </c>
      <c r="C109" s="75" t="s">
        <v>85</v>
      </c>
      <c r="D109" s="88">
        <v>644288</v>
      </c>
      <c r="G109" s="1"/>
      <c r="L109" s="1"/>
      <c r="M109" s="1"/>
    </row>
    <row r="110" spans="1:13" s="2" customFormat="1" x14ac:dyDescent="0.2">
      <c r="A110" s="87">
        <v>45146</v>
      </c>
      <c r="B110" s="120" t="s">
        <v>1052</v>
      </c>
      <c r="C110" s="75" t="s">
        <v>85</v>
      </c>
      <c r="D110" s="88">
        <v>136333</v>
      </c>
      <c r="G110" s="1"/>
      <c r="L110" s="1"/>
      <c r="M110" s="1"/>
    </row>
    <row r="111" spans="1:13" s="2" customFormat="1" x14ac:dyDescent="0.2">
      <c r="A111" s="87">
        <v>45147</v>
      </c>
      <c r="B111" s="120" t="s">
        <v>1052</v>
      </c>
      <c r="C111" s="75" t="s">
        <v>84</v>
      </c>
      <c r="D111" s="88">
        <v>5549</v>
      </c>
      <c r="G111" s="1"/>
      <c r="L111" s="1"/>
      <c r="M111" s="1"/>
    </row>
    <row r="112" spans="1:13" s="2" customFormat="1" x14ac:dyDescent="0.2">
      <c r="A112" s="87">
        <v>45147</v>
      </c>
      <c r="B112" s="120" t="s">
        <v>1052</v>
      </c>
      <c r="C112" s="75" t="s">
        <v>84</v>
      </c>
      <c r="D112" s="88">
        <v>1994451</v>
      </c>
      <c r="G112" s="1"/>
      <c r="L112" s="1"/>
      <c r="M112" s="1"/>
    </row>
    <row r="113" spans="1:13" s="2" customFormat="1" x14ac:dyDescent="0.2">
      <c r="A113" s="87">
        <v>45152</v>
      </c>
      <c r="B113" s="120" t="s">
        <v>1052</v>
      </c>
      <c r="C113" s="75" t="s">
        <v>270</v>
      </c>
      <c r="D113" s="88">
        <v>26225</v>
      </c>
      <c r="G113" s="1"/>
      <c r="L113" s="1"/>
      <c r="M113" s="1"/>
    </row>
    <row r="114" spans="1:13" s="2" customFormat="1" x14ac:dyDescent="0.2">
      <c r="A114" s="87">
        <v>45152</v>
      </c>
      <c r="B114" s="120" t="s">
        <v>1052</v>
      </c>
      <c r="C114" s="75" t="s">
        <v>270</v>
      </c>
      <c r="D114" s="88">
        <v>41835</v>
      </c>
      <c r="G114" s="1"/>
      <c r="L114" s="1"/>
      <c r="M114" s="1"/>
    </row>
    <row r="115" spans="1:13" s="2" customFormat="1" x14ac:dyDescent="0.2">
      <c r="A115" s="87">
        <v>45152</v>
      </c>
      <c r="B115" s="120" t="s">
        <v>1052</v>
      </c>
      <c r="C115" s="75" t="s">
        <v>270</v>
      </c>
      <c r="D115" s="88">
        <v>5664</v>
      </c>
      <c r="G115" s="1"/>
      <c r="L115" s="1"/>
      <c r="M115" s="1"/>
    </row>
    <row r="116" spans="1:13" s="2" customFormat="1" x14ac:dyDescent="0.2">
      <c r="A116" s="87">
        <v>45154</v>
      </c>
      <c r="B116" s="120" t="s">
        <v>1052</v>
      </c>
      <c r="C116" s="75" t="s">
        <v>271</v>
      </c>
      <c r="D116" s="88">
        <v>2701267</v>
      </c>
      <c r="G116" s="1"/>
      <c r="L116" s="1"/>
      <c r="M116" s="1"/>
    </row>
    <row r="117" spans="1:13" s="2" customFormat="1" x14ac:dyDescent="0.2">
      <c r="A117" s="87">
        <v>45157</v>
      </c>
      <c r="B117" s="120" t="s">
        <v>1052</v>
      </c>
      <c r="C117" s="75" t="s">
        <v>88</v>
      </c>
      <c r="D117" s="88">
        <v>1087820</v>
      </c>
      <c r="G117" s="1"/>
      <c r="L117" s="1"/>
      <c r="M117" s="1"/>
    </row>
    <row r="118" spans="1:13" s="2" customFormat="1" x14ac:dyDescent="0.2">
      <c r="A118" s="87">
        <v>45159</v>
      </c>
      <c r="B118" s="120" t="s">
        <v>1052</v>
      </c>
      <c r="C118" s="75" t="s">
        <v>270</v>
      </c>
      <c r="D118" s="88">
        <v>26199</v>
      </c>
      <c r="G118" s="1"/>
      <c r="L118" s="1"/>
      <c r="M118" s="1"/>
    </row>
    <row r="119" spans="1:13" s="2" customFormat="1" x14ac:dyDescent="0.2">
      <c r="A119" s="87">
        <v>45159</v>
      </c>
      <c r="B119" s="120" t="s">
        <v>1052</v>
      </c>
      <c r="C119" s="75" t="s">
        <v>85</v>
      </c>
      <c r="D119" s="88">
        <v>79111</v>
      </c>
      <c r="G119" s="1"/>
      <c r="L119" s="1"/>
      <c r="M119" s="1"/>
    </row>
    <row r="120" spans="1:13" s="2" customFormat="1" x14ac:dyDescent="0.2">
      <c r="A120" s="87">
        <v>45159</v>
      </c>
      <c r="B120" s="120" t="s">
        <v>1052</v>
      </c>
      <c r="C120" s="75" t="s">
        <v>86</v>
      </c>
      <c r="D120" s="88">
        <v>6142426</v>
      </c>
      <c r="G120" s="1"/>
      <c r="L120" s="1"/>
      <c r="M120" s="1"/>
    </row>
    <row r="121" spans="1:13" s="2" customFormat="1" x14ac:dyDescent="0.2">
      <c r="A121" s="87">
        <v>45159</v>
      </c>
      <c r="B121" s="120" t="s">
        <v>1052</v>
      </c>
      <c r="C121" s="75" t="s">
        <v>86</v>
      </c>
      <c r="D121" s="88">
        <v>41960</v>
      </c>
      <c r="G121" s="1"/>
      <c r="L121" s="1"/>
      <c r="M121" s="1"/>
    </row>
    <row r="122" spans="1:13" s="2" customFormat="1" x14ac:dyDescent="0.2">
      <c r="A122" s="87">
        <v>45160</v>
      </c>
      <c r="B122" s="120" t="s">
        <v>1052</v>
      </c>
      <c r="C122" s="75" t="s">
        <v>271</v>
      </c>
      <c r="D122" s="88">
        <v>176546</v>
      </c>
      <c r="G122" s="1"/>
      <c r="L122" s="1"/>
      <c r="M122" s="1"/>
    </row>
    <row r="123" spans="1:13" s="2" customFormat="1" x14ac:dyDescent="0.2">
      <c r="A123" s="87">
        <v>45161</v>
      </c>
      <c r="B123" s="120" t="s">
        <v>1052</v>
      </c>
      <c r="C123" s="75" t="s">
        <v>18</v>
      </c>
      <c r="D123" s="88">
        <v>142706</v>
      </c>
      <c r="G123" s="1"/>
      <c r="L123" s="1"/>
      <c r="M123" s="1"/>
    </row>
    <row r="124" spans="1:13" s="2" customFormat="1" x14ac:dyDescent="0.2">
      <c r="A124" s="87">
        <v>45162</v>
      </c>
      <c r="B124" s="120" t="s">
        <v>1052</v>
      </c>
      <c r="C124" s="75" t="s">
        <v>85</v>
      </c>
      <c r="D124" s="88">
        <v>66464</v>
      </c>
      <c r="G124" s="1"/>
      <c r="L124" s="1"/>
      <c r="M124" s="1"/>
    </row>
    <row r="125" spans="1:13" s="2" customFormat="1" x14ac:dyDescent="0.2">
      <c r="A125" s="87">
        <v>45163</v>
      </c>
      <c r="B125" s="120" t="s">
        <v>1052</v>
      </c>
      <c r="C125" s="75" t="s">
        <v>84</v>
      </c>
      <c r="D125" s="88">
        <v>2377174</v>
      </c>
      <c r="G125" s="1"/>
      <c r="L125" s="1"/>
      <c r="M125" s="1"/>
    </row>
    <row r="126" spans="1:13" s="2" customFormat="1" x14ac:dyDescent="0.2">
      <c r="A126" s="87">
        <v>45166</v>
      </c>
      <c r="B126" s="120" t="s">
        <v>1052</v>
      </c>
      <c r="C126" s="75" t="s">
        <v>85</v>
      </c>
      <c r="D126" s="88">
        <v>696337</v>
      </c>
      <c r="G126" s="1"/>
      <c r="L126" s="1"/>
      <c r="M126" s="1"/>
    </row>
    <row r="127" spans="1:13" s="2" customFormat="1" x14ac:dyDescent="0.2">
      <c r="A127" s="87">
        <v>45166</v>
      </c>
      <c r="B127" s="120" t="s">
        <v>1052</v>
      </c>
      <c r="C127" s="75" t="s">
        <v>270</v>
      </c>
      <c r="D127" s="88">
        <v>3967770</v>
      </c>
      <c r="G127" s="1"/>
      <c r="L127" s="1"/>
      <c r="M127" s="1"/>
    </row>
    <row r="128" spans="1:13" s="2" customFormat="1" x14ac:dyDescent="0.2">
      <c r="A128" s="87">
        <v>45166</v>
      </c>
      <c r="B128" s="120" t="s">
        <v>1052</v>
      </c>
      <c r="C128" s="75" t="s">
        <v>85</v>
      </c>
      <c r="D128" s="88">
        <v>229526</v>
      </c>
      <c r="G128" s="1"/>
      <c r="L128" s="1"/>
      <c r="M128" s="1"/>
    </row>
    <row r="129" spans="1:13" s="2" customFormat="1" x14ac:dyDescent="0.2">
      <c r="A129" s="87">
        <v>45167</v>
      </c>
      <c r="B129" s="120" t="s">
        <v>1052</v>
      </c>
      <c r="C129" s="75" t="s">
        <v>88</v>
      </c>
      <c r="D129" s="88">
        <v>31230</v>
      </c>
      <c r="G129" s="1"/>
      <c r="L129" s="1"/>
      <c r="M129" s="1"/>
    </row>
    <row r="130" spans="1:13" s="2" customFormat="1" x14ac:dyDescent="0.2">
      <c r="A130" s="87"/>
      <c r="B130" s="74"/>
      <c r="C130" s="75"/>
      <c r="D130" s="51">
        <f>SUM(D101:D129)</f>
        <v>25024273.91</v>
      </c>
      <c r="F130" s="2" t="s">
        <v>396</v>
      </c>
      <c r="G130" s="1"/>
      <c r="L130" s="1"/>
      <c r="M130" s="1"/>
    </row>
    <row r="131" spans="1:13" s="2" customFormat="1" x14ac:dyDescent="0.2">
      <c r="A131" s="24"/>
      <c r="B131" s="1"/>
      <c r="C131" s="14"/>
      <c r="D131" s="56"/>
      <c r="E131" s="13"/>
      <c r="G131" s="1"/>
      <c r="L131" s="1"/>
      <c r="M131" s="1"/>
    </row>
    <row r="132" spans="1:13" s="2" customFormat="1" x14ac:dyDescent="0.2">
      <c r="A132" s="24"/>
      <c r="B132" s="1"/>
      <c r="C132" s="218" t="s">
        <v>77</v>
      </c>
      <c r="D132" s="219"/>
      <c r="E132" s="219"/>
      <c r="F132" s="220"/>
      <c r="G132" s="1"/>
      <c r="L132" s="1"/>
      <c r="M132" s="1"/>
    </row>
    <row r="133" spans="1:13" s="2" customFormat="1" x14ac:dyDescent="0.2">
      <c r="A133" s="24"/>
      <c r="B133" s="1"/>
      <c r="C133" s="50"/>
      <c r="D133" s="57" t="s">
        <v>78</v>
      </c>
      <c r="E133" s="58" t="s">
        <v>79</v>
      </c>
      <c r="F133" s="57" t="s">
        <v>72</v>
      </c>
      <c r="G133" s="1"/>
      <c r="I133" s="1"/>
      <c r="J133" s="1"/>
      <c r="K133" s="1"/>
      <c r="L133" s="1"/>
      <c r="M133" s="1"/>
    </row>
    <row r="134" spans="1:13" s="2" customFormat="1" x14ac:dyDescent="0.2">
      <c r="A134" s="24"/>
      <c r="B134" s="1"/>
      <c r="C134" s="59" t="str">
        <f>"01-08-2023 to "&amp;TEXT(A5-2,"dd-mm-yyyy")</f>
        <v>01-08-2023 to 27-08-2023</v>
      </c>
      <c r="D134" s="60">
        <v>2858</v>
      </c>
      <c r="E134" s="60">
        <v>259.07</v>
      </c>
      <c r="F134" s="61">
        <f>SUM(D134:E134)</f>
        <v>3117.07</v>
      </c>
      <c r="G134" s="1"/>
    </row>
    <row r="135" spans="1:13" s="2" customFormat="1" x14ac:dyDescent="0.2">
      <c r="A135" s="24"/>
      <c r="B135" s="1"/>
      <c r="C135" s="62" t="str">
        <f>TEXT(A5-1,"dd-mm-yyyy")</f>
        <v>28-08-2023</v>
      </c>
      <c r="D135" s="60">
        <v>102.29</v>
      </c>
      <c r="E135" s="60">
        <v>12.24</v>
      </c>
      <c r="F135" s="61">
        <f>SUM(D135:E135)</f>
        <v>114.53</v>
      </c>
      <c r="G135" s="54"/>
      <c r="I135" s="1"/>
      <c r="J135" s="1"/>
      <c r="K135" s="1"/>
      <c r="L135" s="1"/>
      <c r="M135" s="1"/>
    </row>
    <row r="136" spans="1:13" s="2" customFormat="1" ht="13.5" thickBot="1" x14ac:dyDescent="0.25">
      <c r="A136" s="24"/>
      <c r="B136" s="1"/>
      <c r="C136" s="63" t="str">
        <f>"01-08-2023 to "&amp;TEXT(A5-1,"dd-mm-yyyy")</f>
        <v>01-08-2023 to 28-08-2023</v>
      </c>
      <c r="D136" s="64">
        <f>SUM(D134:D135)</f>
        <v>2960.29</v>
      </c>
      <c r="E136" s="64">
        <f>SUM(E134:E135)</f>
        <v>271.31</v>
      </c>
      <c r="F136" s="64">
        <f>SUM(F134:F135)</f>
        <v>3231.6000000000004</v>
      </c>
      <c r="G136" s="54"/>
      <c r="I136" s="1"/>
      <c r="J136" s="1"/>
      <c r="K136" s="1"/>
      <c r="L136" s="1"/>
      <c r="M136" s="1"/>
    </row>
    <row r="137" spans="1:13" s="2" customFormat="1" ht="13.5" thickTop="1" x14ac:dyDescent="0.2">
      <c r="A137" s="24"/>
      <c r="B137" s="1"/>
      <c r="C137" s="62"/>
      <c r="D137" s="65"/>
      <c r="E137" s="66"/>
      <c r="F137" s="67"/>
      <c r="G137" s="54"/>
      <c r="I137" s="1"/>
      <c r="J137" s="1"/>
      <c r="K137" s="1"/>
      <c r="L137" s="1"/>
      <c r="M137" s="1"/>
    </row>
    <row r="138" spans="1:13" s="2" customFormat="1" x14ac:dyDescent="0.2">
      <c r="A138" s="24"/>
      <c r="B138" s="1"/>
      <c r="C138" s="62" t="str">
        <f>"01-04-2023 to " &amp;C135</f>
        <v>01-04-2023 to 28-08-2023</v>
      </c>
      <c r="D138" s="68">
        <f>+D136+20859.39</f>
        <v>23819.68</v>
      </c>
      <c r="E138" s="68">
        <f>+E136+1376.76</f>
        <v>1648.07</v>
      </c>
      <c r="F138" s="68">
        <f>+F136+22236.15</f>
        <v>25467.75</v>
      </c>
      <c r="G138" s="54"/>
      <c r="I138" s="1"/>
      <c r="J138" s="1"/>
      <c r="K138" s="1"/>
      <c r="L138" s="1"/>
      <c r="M138" s="1"/>
    </row>
    <row r="139" spans="1:13" x14ac:dyDescent="0.2">
      <c r="C139" s="52"/>
      <c r="D139" s="85"/>
      <c r="E139" s="53"/>
      <c r="F139" s="53"/>
      <c r="G139" s="54"/>
      <c r="H139" s="2" t="s">
        <v>396</v>
      </c>
    </row>
    <row r="140" spans="1:13" s="2" customFormat="1" x14ac:dyDescent="0.2">
      <c r="A140" s="24"/>
      <c r="B140" s="1"/>
      <c r="C140" s="52"/>
      <c r="D140" s="85"/>
      <c r="E140" s="53"/>
      <c r="F140" s="53"/>
      <c r="G140" s="54"/>
      <c r="H140" s="53"/>
    </row>
    <row r="141" spans="1:13" x14ac:dyDescent="0.2">
      <c r="C141" s="52"/>
      <c r="D141" s="85"/>
      <c r="E141" s="53"/>
      <c r="F141" s="53"/>
      <c r="G141" s="54"/>
      <c r="H141" s="53" t="s">
        <v>396</v>
      </c>
    </row>
    <row r="142" spans="1:13" x14ac:dyDescent="0.2">
      <c r="C142" s="52"/>
      <c r="D142" s="85"/>
      <c r="E142" s="53"/>
      <c r="F142" s="53"/>
      <c r="G142" s="54"/>
      <c r="H142" s="53" t="s">
        <v>396</v>
      </c>
      <c r="J142" s="42"/>
    </row>
    <row r="143" spans="1:13" x14ac:dyDescent="0.2">
      <c r="G143" s="54"/>
      <c r="H143" s="53"/>
      <c r="I143" s="101"/>
    </row>
    <row r="144" spans="1:13" x14ac:dyDescent="0.2">
      <c r="G144" s="54"/>
      <c r="H144" s="53"/>
    </row>
    <row r="145" spans="7:8" x14ac:dyDescent="0.2">
      <c r="G145" s="54"/>
      <c r="H145" s="53"/>
    </row>
    <row r="146" spans="7:8" x14ac:dyDescent="0.2">
      <c r="H146" s="53"/>
    </row>
  </sheetData>
  <mergeCells count="6">
    <mergeCell ref="C132:F132"/>
    <mergeCell ref="A1:G1"/>
    <mergeCell ref="A3:F3"/>
    <mergeCell ref="A9:F9"/>
    <mergeCell ref="A16:F16"/>
    <mergeCell ref="A99:D99"/>
  </mergeCells>
  <conditionalFormatting sqref="G96:G97">
    <cfRule type="cellIs" dxfId="339" priority="1" operator="lessThan">
      <formula>0</formula>
    </cfRule>
  </conditionalFormatting>
  <conditionalFormatting sqref="C18">
    <cfRule type="duplicateValues" dxfId="338" priority="2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900-000000000000}">
  <sheetPr codeName="Sheet417">
    <pageSetUpPr fitToPage="1"/>
  </sheetPr>
  <dimension ref="A1:N137"/>
  <sheetViews>
    <sheetView topLeftCell="A61" zoomScaleNormal="100" workbookViewId="0">
      <selection activeCell="D43" sqref="D43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1455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45169</v>
      </c>
      <c r="B5" s="9" t="s">
        <v>6</v>
      </c>
      <c r="C5" s="10" t="s">
        <v>7</v>
      </c>
      <c r="D5" s="11"/>
      <c r="E5" s="12">
        <v>1546581.74</v>
      </c>
      <c r="F5" s="12"/>
      <c r="G5" s="1"/>
      <c r="H5" s="112"/>
      <c r="I5" s="112"/>
    </row>
    <row r="6" spans="1:10" s="2" customFormat="1" ht="12.75" customHeight="1" x14ac:dyDescent="0.4">
      <c r="D6" s="15" t="s">
        <v>8</v>
      </c>
      <c r="E6" s="16">
        <f>SUM(E5:E5)</f>
        <v>1546581.74</v>
      </c>
      <c r="F6" s="16">
        <f>SUM(F5:F5)</f>
        <v>0</v>
      </c>
      <c r="G6" s="1"/>
      <c r="H6" s="112"/>
      <c r="I6" s="112"/>
    </row>
    <row r="7" spans="1:10" s="2" customFormat="1" ht="12.75" customHeight="1" x14ac:dyDescent="0.4">
      <c r="A7" s="17"/>
      <c r="B7" s="18"/>
      <c r="C7" s="19" t="s">
        <v>9</v>
      </c>
      <c r="D7" s="20"/>
      <c r="E7" s="21">
        <f>+E6-F6</f>
        <v>1546581.74</v>
      </c>
      <c r="F7" s="22"/>
      <c r="G7" s="23"/>
      <c r="H7" s="112"/>
      <c r="I7" s="112"/>
      <c r="J7" s="13"/>
    </row>
    <row r="8" spans="1:10" ht="12.75" customHeight="1" x14ac:dyDescent="0.4">
      <c r="H8" s="112"/>
      <c r="I8" s="112"/>
    </row>
    <row r="9" spans="1:10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12"/>
    </row>
    <row r="10" spans="1:10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12"/>
    </row>
    <row r="11" spans="1:10" s="2" customFormat="1" ht="14.25" customHeight="1" x14ac:dyDescent="0.2">
      <c r="A11" s="89">
        <v>45169</v>
      </c>
      <c r="B11" s="9" t="s">
        <v>6</v>
      </c>
      <c r="C11" s="10" t="s">
        <v>7</v>
      </c>
      <c r="D11" s="11"/>
      <c r="F11" s="12">
        <v>74731880.690000013</v>
      </c>
      <c r="G11" s="1"/>
      <c r="H11" s="130" t="s">
        <v>396</v>
      </c>
      <c r="I11" s="130"/>
    </row>
    <row r="12" spans="1:10" s="2" customFormat="1" ht="14.25" customHeight="1" x14ac:dyDescent="0.2">
      <c r="A12" s="89">
        <v>45169</v>
      </c>
      <c r="B12" s="9" t="s">
        <v>6</v>
      </c>
      <c r="C12" s="10" t="s">
        <v>21</v>
      </c>
      <c r="D12" s="11"/>
      <c r="E12" s="2">
        <v>250000</v>
      </c>
      <c r="F12" s="12"/>
      <c r="G12" s="1"/>
      <c r="H12" s="130"/>
      <c r="I12" s="130"/>
    </row>
    <row r="13" spans="1:10" s="2" customFormat="1" ht="14.25" customHeight="1" x14ac:dyDescent="0.2">
      <c r="A13" s="89">
        <v>45169</v>
      </c>
      <c r="B13" s="9" t="s">
        <v>6</v>
      </c>
      <c r="C13" s="10" t="s">
        <v>1255</v>
      </c>
      <c r="D13" s="11"/>
      <c r="E13" s="2">
        <v>2027819</v>
      </c>
      <c r="F13" s="12"/>
      <c r="G13" s="1"/>
      <c r="H13" s="130"/>
      <c r="I13" s="130"/>
    </row>
    <row r="14" spans="1:10" s="2" customFormat="1" ht="14.25" customHeight="1" x14ac:dyDescent="0.2">
      <c r="A14" s="89">
        <v>45169</v>
      </c>
      <c r="B14" s="9" t="s">
        <v>6</v>
      </c>
      <c r="C14" s="10" t="s">
        <v>419</v>
      </c>
      <c r="D14" s="11"/>
      <c r="E14" s="2">
        <v>1100424</v>
      </c>
      <c r="F14" s="12"/>
      <c r="G14" s="1"/>
      <c r="H14" s="130"/>
      <c r="I14" s="130"/>
    </row>
    <row r="15" spans="1:10" s="2" customFormat="1" ht="12.75" customHeight="1" x14ac:dyDescent="0.4">
      <c r="D15" s="11" t="s">
        <v>8</v>
      </c>
      <c r="E15" s="16">
        <f>SUM(E11:E14)</f>
        <v>3378243</v>
      </c>
      <c r="F15" s="16">
        <f>SUM(F11:F14)</f>
        <v>74731880.690000013</v>
      </c>
      <c r="G15" s="1"/>
      <c r="H15" s="112"/>
      <c r="I15" s="112"/>
    </row>
    <row r="16" spans="1:10" s="2" customFormat="1" ht="12.75" customHeight="1" x14ac:dyDescent="0.4">
      <c r="A16" s="17"/>
      <c r="B16" s="18"/>
      <c r="C16" s="96" t="s">
        <v>9</v>
      </c>
      <c r="D16" s="20"/>
      <c r="E16" s="21">
        <f>+F15-E15</f>
        <v>71353637.690000013</v>
      </c>
      <c r="G16" s="23"/>
      <c r="H16" s="112"/>
      <c r="I16" s="112"/>
      <c r="J16" s="13"/>
    </row>
    <row r="17" spans="1:14" s="2" customFormat="1" ht="12.75" customHeight="1" x14ac:dyDescent="0.2">
      <c r="A17" s="36"/>
      <c r="B17" s="28" t="s">
        <v>66</v>
      </c>
      <c r="C17" s="43" t="s">
        <v>1458</v>
      </c>
      <c r="D17" s="43"/>
      <c r="E17" s="12">
        <v>30000000</v>
      </c>
      <c r="F17" s="22"/>
      <c r="G17" s="1"/>
      <c r="H17" s="40"/>
      <c r="I17" s="45"/>
      <c r="J17" s="46"/>
      <c r="K17" s="46"/>
      <c r="L17" s="13"/>
      <c r="M17" s="69" t="s">
        <v>396</v>
      </c>
    </row>
    <row r="18" spans="1:14" s="2" customFormat="1" ht="12.75" customHeight="1" x14ac:dyDescent="0.25">
      <c r="A18" s="36"/>
      <c r="B18" s="28"/>
      <c r="C18" s="44" t="s">
        <v>68</v>
      </c>
      <c r="D18" s="43"/>
      <c r="E18" s="7">
        <f>+E16+E17</f>
        <v>101353637.69000001</v>
      </c>
      <c r="F18" s="22"/>
      <c r="G18" s="1"/>
      <c r="H18" s="103"/>
      <c r="I18" s="45"/>
      <c r="J18" s="46"/>
      <c r="K18" s="46"/>
      <c r="N18" s="1"/>
    </row>
    <row r="19" spans="1:14" s="2" customFormat="1" ht="12.75" customHeight="1" x14ac:dyDescent="0.4">
      <c r="A19" s="24"/>
      <c r="B19" s="1"/>
      <c r="C19" s="14"/>
      <c r="D19" s="25"/>
      <c r="G19" s="23"/>
      <c r="H19" s="112"/>
      <c r="I19" s="112"/>
      <c r="J19" s="13"/>
    </row>
    <row r="20" spans="1:14" s="2" customFormat="1" ht="21.75" customHeight="1" x14ac:dyDescent="0.4">
      <c r="A20" s="214" t="s">
        <v>10</v>
      </c>
      <c r="B20" s="214"/>
      <c r="C20" s="214"/>
      <c r="D20" s="214"/>
      <c r="E20" s="214"/>
      <c r="F20" s="214"/>
      <c r="G20" s="13"/>
      <c r="H20" s="112"/>
      <c r="I20" s="112"/>
      <c r="J20" s="13"/>
    </row>
    <row r="21" spans="1:14" s="2" customFormat="1" ht="12.75" customHeight="1" x14ac:dyDescent="0.4">
      <c r="A21" s="26" t="s">
        <v>1</v>
      </c>
      <c r="B21" s="27" t="s">
        <v>2</v>
      </c>
      <c r="C21" s="5"/>
      <c r="D21" s="6" t="s">
        <v>3</v>
      </c>
      <c r="E21" s="7" t="s">
        <v>4</v>
      </c>
      <c r="F21" s="7" t="s">
        <v>5</v>
      </c>
      <c r="G21" s="23"/>
      <c r="H21" s="112"/>
      <c r="I21" s="112"/>
      <c r="J21" s="13"/>
    </row>
    <row r="22" spans="1:14" s="2" customFormat="1" ht="12.75" customHeight="1" x14ac:dyDescent="0.2">
      <c r="A22" s="89">
        <v>45169</v>
      </c>
      <c r="B22" s="128" t="s">
        <v>11</v>
      </c>
      <c r="C22" s="29" t="s">
        <v>7</v>
      </c>
      <c r="D22" s="25"/>
      <c r="E22" s="31"/>
      <c r="F22" s="2">
        <f>351011253.17-250000000</f>
        <v>101011253.17000002</v>
      </c>
      <c r="G22" s="30"/>
      <c r="I22" s="13"/>
      <c r="J22" s="13"/>
    </row>
    <row r="23" spans="1:14" s="70" customFormat="1" ht="12.75" customHeight="1" x14ac:dyDescent="0.2">
      <c r="A23" s="89">
        <v>45169</v>
      </c>
      <c r="B23" s="128" t="s">
        <v>6</v>
      </c>
      <c r="C23" s="10" t="s">
        <v>1241</v>
      </c>
      <c r="D23" s="11" t="s">
        <v>13</v>
      </c>
      <c r="E23" s="86">
        <v>787339</v>
      </c>
      <c r="G23" s="30"/>
      <c r="I23" s="69"/>
      <c r="J23" s="69"/>
    </row>
    <row r="24" spans="1:14" s="70" customFormat="1" ht="12.75" customHeight="1" x14ac:dyDescent="0.2">
      <c r="A24" s="89">
        <v>45169</v>
      </c>
      <c r="B24" s="128" t="s">
        <v>6</v>
      </c>
      <c r="C24" s="10" t="s">
        <v>180</v>
      </c>
      <c r="D24" s="11" t="s">
        <v>13</v>
      </c>
      <c r="E24" s="86">
        <v>47559</v>
      </c>
      <c r="G24" s="30"/>
      <c r="I24" s="69"/>
      <c r="J24" s="69"/>
    </row>
    <row r="25" spans="1:14" s="70" customFormat="1" ht="12.75" customHeight="1" x14ac:dyDescent="0.2">
      <c r="A25" s="89">
        <v>45169</v>
      </c>
      <c r="B25" s="128" t="s">
        <v>6</v>
      </c>
      <c r="C25" s="10" t="s">
        <v>122</v>
      </c>
      <c r="D25" s="11" t="s">
        <v>13</v>
      </c>
      <c r="E25" s="86">
        <v>26434</v>
      </c>
      <c r="G25" s="30"/>
      <c r="I25" s="69"/>
      <c r="J25" s="69"/>
    </row>
    <row r="26" spans="1:14" s="70" customFormat="1" ht="12.75" customHeight="1" x14ac:dyDescent="0.2">
      <c r="A26" s="89">
        <v>45169</v>
      </c>
      <c r="B26" s="128" t="s">
        <v>6</v>
      </c>
      <c r="C26" s="10" t="s">
        <v>386</v>
      </c>
      <c r="D26" s="11" t="s">
        <v>13</v>
      </c>
      <c r="E26" s="86">
        <v>200000</v>
      </c>
      <c r="G26" s="30"/>
      <c r="I26" s="69"/>
      <c r="J26" s="69"/>
    </row>
    <row r="27" spans="1:14" s="70" customFormat="1" ht="12.75" customHeight="1" x14ac:dyDescent="0.2">
      <c r="A27" s="89">
        <v>45169</v>
      </c>
      <c r="B27" s="128" t="s">
        <v>6</v>
      </c>
      <c r="C27" s="10" t="s">
        <v>1375</v>
      </c>
      <c r="D27" s="11" t="s">
        <v>13</v>
      </c>
      <c r="E27" s="86">
        <v>2971365</v>
      </c>
      <c r="G27" s="30"/>
      <c r="I27" s="69"/>
      <c r="J27" s="69"/>
    </row>
    <row r="28" spans="1:14" s="70" customFormat="1" ht="12.75" customHeight="1" x14ac:dyDescent="0.2">
      <c r="A28" s="89">
        <v>45169</v>
      </c>
      <c r="B28" s="128" t="s">
        <v>6</v>
      </c>
      <c r="C28" s="10" t="s">
        <v>326</v>
      </c>
      <c r="D28" s="11" t="s">
        <v>13</v>
      </c>
      <c r="E28" s="86">
        <v>3042144</v>
      </c>
      <c r="G28" s="30"/>
      <c r="I28" s="69"/>
      <c r="J28" s="69"/>
    </row>
    <row r="29" spans="1:14" s="70" customFormat="1" ht="12.75" customHeight="1" x14ac:dyDescent="0.2">
      <c r="A29" s="89">
        <v>45169</v>
      </c>
      <c r="B29" s="128" t="s">
        <v>6</v>
      </c>
      <c r="C29" s="10" t="s">
        <v>519</v>
      </c>
      <c r="D29" s="11" t="s">
        <v>13</v>
      </c>
      <c r="E29" s="86">
        <v>105412</v>
      </c>
      <c r="G29" s="30"/>
      <c r="I29" s="69"/>
      <c r="J29" s="69"/>
    </row>
    <row r="30" spans="1:14" s="70" customFormat="1" ht="12.75" customHeight="1" x14ac:dyDescent="0.2">
      <c r="A30" s="89">
        <v>45169</v>
      </c>
      <c r="B30" s="128" t="s">
        <v>6</v>
      </c>
      <c r="C30" s="10" t="s">
        <v>1229</v>
      </c>
      <c r="D30" s="11" t="s">
        <v>13</v>
      </c>
      <c r="E30" s="86">
        <v>685609</v>
      </c>
      <c r="G30" s="30"/>
      <c r="I30" s="69"/>
      <c r="J30" s="69"/>
    </row>
    <row r="31" spans="1:14" s="70" customFormat="1" ht="12.75" customHeight="1" x14ac:dyDescent="0.2">
      <c r="A31" s="89">
        <v>45169</v>
      </c>
      <c r="B31" s="128" t="s">
        <v>6</v>
      </c>
      <c r="C31" s="10" t="s">
        <v>503</v>
      </c>
      <c r="D31" s="11" t="s">
        <v>13</v>
      </c>
      <c r="E31" s="86">
        <v>391227.69999999995</v>
      </c>
      <c r="G31" s="30"/>
      <c r="I31" s="69"/>
      <c r="J31" s="69"/>
    </row>
    <row r="32" spans="1:14" s="70" customFormat="1" ht="12.75" customHeight="1" x14ac:dyDescent="0.2">
      <c r="A32" s="89">
        <v>45169</v>
      </c>
      <c r="B32" s="128" t="s">
        <v>6</v>
      </c>
      <c r="C32" s="10" t="s">
        <v>456</v>
      </c>
      <c r="D32" s="11" t="s">
        <v>13</v>
      </c>
      <c r="E32" s="86">
        <v>261500</v>
      </c>
      <c r="G32" s="30"/>
      <c r="I32" s="69"/>
      <c r="J32" s="69"/>
    </row>
    <row r="33" spans="1:10" s="70" customFormat="1" ht="12.75" customHeight="1" x14ac:dyDescent="0.2">
      <c r="A33" s="89">
        <v>45169</v>
      </c>
      <c r="B33" s="128" t="s">
        <v>6</v>
      </c>
      <c r="C33" s="10" t="s">
        <v>670</v>
      </c>
      <c r="D33" s="11" t="s">
        <v>13</v>
      </c>
      <c r="E33" s="86">
        <v>652201</v>
      </c>
      <c r="G33" s="30"/>
      <c r="I33" s="69"/>
      <c r="J33" s="69"/>
    </row>
    <row r="34" spans="1:10" s="70" customFormat="1" ht="12.75" customHeight="1" x14ac:dyDescent="0.2">
      <c r="A34" s="89">
        <v>45169</v>
      </c>
      <c r="B34" s="128" t="s">
        <v>6</v>
      </c>
      <c r="C34" s="10" t="s">
        <v>434</v>
      </c>
      <c r="D34" s="11" t="s">
        <v>13</v>
      </c>
      <c r="E34" s="86">
        <v>230678</v>
      </c>
      <c r="G34" s="30"/>
      <c r="I34" s="69"/>
      <c r="J34" s="69"/>
    </row>
    <row r="35" spans="1:10" s="70" customFormat="1" ht="12.75" customHeight="1" x14ac:dyDescent="0.2">
      <c r="A35" s="89">
        <v>45169</v>
      </c>
      <c r="B35" s="128" t="s">
        <v>6</v>
      </c>
      <c r="C35" s="10" t="s">
        <v>247</v>
      </c>
      <c r="D35" s="11" t="s">
        <v>13</v>
      </c>
      <c r="E35" s="86">
        <v>1680</v>
      </c>
      <c r="G35" s="30"/>
      <c r="I35" s="69"/>
      <c r="J35" s="69"/>
    </row>
    <row r="36" spans="1:10" s="70" customFormat="1" ht="12.75" customHeight="1" x14ac:dyDescent="0.2">
      <c r="A36" s="89">
        <v>45169</v>
      </c>
      <c r="B36" s="128" t="s">
        <v>6</v>
      </c>
      <c r="C36" s="10" t="s">
        <v>797</v>
      </c>
      <c r="D36" s="11" t="s">
        <v>13</v>
      </c>
      <c r="E36" s="86">
        <v>300000</v>
      </c>
      <c r="G36" s="30"/>
      <c r="I36" s="69"/>
      <c r="J36" s="69"/>
    </row>
    <row r="37" spans="1:10" s="70" customFormat="1" ht="12.75" customHeight="1" x14ac:dyDescent="0.2">
      <c r="A37" s="89">
        <v>45169</v>
      </c>
      <c r="B37" s="128" t="s">
        <v>6</v>
      </c>
      <c r="C37" s="10" t="s">
        <v>1333</v>
      </c>
      <c r="D37" s="11" t="s">
        <v>13</v>
      </c>
      <c r="E37" s="86">
        <v>373470</v>
      </c>
      <c r="G37" s="30"/>
      <c r="I37" s="69"/>
      <c r="J37" s="69"/>
    </row>
    <row r="38" spans="1:10" s="70" customFormat="1" ht="12.75" customHeight="1" x14ac:dyDescent="0.2">
      <c r="A38" s="89">
        <v>45169</v>
      </c>
      <c r="B38" s="128" t="s">
        <v>6</v>
      </c>
      <c r="C38" s="10" t="s">
        <v>1453</v>
      </c>
      <c r="D38" s="11" t="s">
        <v>13</v>
      </c>
      <c r="E38" s="86">
        <v>740234</v>
      </c>
      <c r="G38" s="30"/>
      <c r="I38" s="69"/>
      <c r="J38" s="69"/>
    </row>
    <row r="39" spans="1:10" s="70" customFormat="1" ht="12.75" customHeight="1" x14ac:dyDescent="0.2">
      <c r="A39" s="89">
        <v>45169</v>
      </c>
      <c r="B39" s="128" t="s">
        <v>6</v>
      </c>
      <c r="C39" s="10" t="s">
        <v>390</v>
      </c>
      <c r="D39" s="11" t="s">
        <v>13</v>
      </c>
      <c r="E39" s="86">
        <v>1857534</v>
      </c>
      <c r="G39" s="30"/>
      <c r="I39" s="69"/>
      <c r="J39" s="69"/>
    </row>
    <row r="40" spans="1:10" s="70" customFormat="1" ht="12.75" customHeight="1" x14ac:dyDescent="0.2">
      <c r="A40" s="89">
        <v>45169</v>
      </c>
      <c r="B40" s="128" t="s">
        <v>6</v>
      </c>
      <c r="C40" s="10" t="s">
        <v>316</v>
      </c>
      <c r="D40" s="11" t="s">
        <v>13</v>
      </c>
      <c r="E40" s="86">
        <v>366262</v>
      </c>
      <c r="G40" s="30"/>
      <c r="I40" s="69"/>
      <c r="J40" s="69"/>
    </row>
    <row r="41" spans="1:10" s="70" customFormat="1" ht="12.75" customHeight="1" x14ac:dyDescent="0.2">
      <c r="A41" s="89">
        <v>45169</v>
      </c>
      <c r="B41" s="128" t="s">
        <v>6</v>
      </c>
      <c r="C41" s="10" t="s">
        <v>16</v>
      </c>
      <c r="D41" s="11" t="s">
        <v>13</v>
      </c>
      <c r="E41" s="86">
        <v>122930.28</v>
      </c>
      <c r="G41" s="30"/>
      <c r="I41" s="69"/>
      <c r="J41" s="69"/>
    </row>
    <row r="42" spans="1:10" s="70" customFormat="1" ht="12.75" customHeight="1" x14ac:dyDescent="0.2">
      <c r="A42" s="89">
        <v>45169</v>
      </c>
      <c r="B42" s="128" t="s">
        <v>6</v>
      </c>
      <c r="C42" s="10" t="s">
        <v>1232</v>
      </c>
      <c r="D42" s="11" t="s">
        <v>13</v>
      </c>
      <c r="E42" s="86">
        <v>116672</v>
      </c>
      <c r="G42" s="30"/>
      <c r="I42" s="69"/>
      <c r="J42" s="69"/>
    </row>
    <row r="43" spans="1:10" s="70" customFormat="1" ht="12.75" customHeight="1" x14ac:dyDescent="0.2">
      <c r="A43" s="89">
        <v>45169</v>
      </c>
      <c r="B43" s="128" t="s">
        <v>6</v>
      </c>
      <c r="C43" s="10" t="s">
        <v>15</v>
      </c>
      <c r="D43" s="11" t="s">
        <v>13</v>
      </c>
      <c r="E43" s="86">
        <v>72502.61</v>
      </c>
      <c r="G43" s="30"/>
      <c r="I43" s="69"/>
      <c r="J43" s="69"/>
    </row>
    <row r="44" spans="1:10" s="70" customFormat="1" ht="12.75" customHeight="1" x14ac:dyDescent="0.2">
      <c r="A44" s="89">
        <v>45169</v>
      </c>
      <c r="B44" s="128" t="s">
        <v>6</v>
      </c>
      <c r="C44" s="10" t="s">
        <v>758</v>
      </c>
      <c r="D44" s="11" t="s">
        <v>13</v>
      </c>
      <c r="E44" s="86">
        <v>112974.9</v>
      </c>
      <c r="G44" s="30"/>
      <c r="I44" s="69"/>
      <c r="J44" s="69"/>
    </row>
    <row r="45" spans="1:10" s="70" customFormat="1" ht="12.75" customHeight="1" x14ac:dyDescent="0.2">
      <c r="A45" s="89">
        <v>45169</v>
      </c>
      <c r="B45" s="128" t="s">
        <v>6</v>
      </c>
      <c r="C45" s="10" t="s">
        <v>755</v>
      </c>
      <c r="D45" s="11" t="s">
        <v>13</v>
      </c>
      <c r="E45" s="86">
        <v>583191.5</v>
      </c>
      <c r="G45" s="30"/>
      <c r="I45" s="69"/>
      <c r="J45" s="69"/>
    </row>
    <row r="46" spans="1:10" s="69" customFormat="1" ht="12.75" customHeight="1" x14ac:dyDescent="0.2">
      <c r="A46" s="89">
        <v>45169</v>
      </c>
      <c r="B46" s="132" t="s">
        <v>11</v>
      </c>
      <c r="C46" s="121" t="s">
        <v>413</v>
      </c>
      <c r="D46" s="122" t="s">
        <v>1451</v>
      </c>
      <c r="E46" s="147"/>
      <c r="F46" s="69">
        <v>350000</v>
      </c>
      <c r="G46" s="100"/>
    </row>
    <row r="47" spans="1:10" s="70" customFormat="1" ht="12.75" customHeight="1" x14ac:dyDescent="0.2">
      <c r="A47" s="89">
        <v>45169</v>
      </c>
      <c r="B47" s="128" t="s">
        <v>11</v>
      </c>
      <c r="C47" s="10" t="s">
        <v>64</v>
      </c>
      <c r="D47" s="11" t="s">
        <v>29</v>
      </c>
      <c r="E47" s="86"/>
      <c r="F47" s="70">
        <v>29.5</v>
      </c>
      <c r="G47" s="30"/>
      <c r="I47" s="69"/>
      <c r="J47" s="69"/>
    </row>
    <row r="48" spans="1:10" s="70" customFormat="1" ht="12.75" customHeight="1" x14ac:dyDescent="0.2">
      <c r="A48" s="89">
        <v>45169</v>
      </c>
      <c r="B48" s="128" t="s">
        <v>11</v>
      </c>
      <c r="C48" s="10" t="s">
        <v>64</v>
      </c>
      <c r="D48" s="142" t="s">
        <v>29</v>
      </c>
      <c r="E48" s="86"/>
      <c r="F48" s="70">
        <v>826</v>
      </c>
      <c r="G48" s="30"/>
      <c r="I48" s="69"/>
      <c r="J48" s="69"/>
    </row>
    <row r="49" spans="1:10" s="70" customFormat="1" ht="12.75" customHeight="1" x14ac:dyDescent="0.2">
      <c r="A49" s="89">
        <v>45169</v>
      </c>
      <c r="B49" s="128" t="s">
        <v>11</v>
      </c>
      <c r="C49" s="10" t="s">
        <v>256</v>
      </c>
      <c r="D49" s="142" t="s">
        <v>29</v>
      </c>
      <c r="E49" s="86"/>
      <c r="F49" s="70">
        <v>368515</v>
      </c>
      <c r="G49" s="30"/>
      <c r="I49" s="69"/>
      <c r="J49" s="69"/>
    </row>
    <row r="50" spans="1:10" s="70" customFormat="1" ht="12.75" customHeight="1" x14ac:dyDescent="0.2">
      <c r="A50" s="89">
        <v>45169</v>
      </c>
      <c r="B50" s="128" t="s">
        <v>11</v>
      </c>
      <c r="C50" s="10" t="s">
        <v>769</v>
      </c>
      <c r="D50" s="142" t="s">
        <v>29</v>
      </c>
      <c r="E50" s="86"/>
      <c r="F50" s="70">
        <v>75093</v>
      </c>
      <c r="G50" s="30"/>
      <c r="I50" s="69"/>
      <c r="J50" s="69"/>
    </row>
    <row r="51" spans="1:10" s="70" customFormat="1" ht="12.75" customHeight="1" x14ac:dyDescent="0.2">
      <c r="A51" s="89">
        <v>45169</v>
      </c>
      <c r="B51" s="128" t="s">
        <v>11</v>
      </c>
      <c r="C51" s="10" t="s">
        <v>650</v>
      </c>
      <c r="D51" s="142" t="s">
        <v>29</v>
      </c>
      <c r="E51" s="86"/>
      <c r="F51" s="70">
        <v>673849</v>
      </c>
      <c r="G51" s="30"/>
      <c r="I51" s="69"/>
      <c r="J51" s="69"/>
    </row>
    <row r="52" spans="1:10" s="70" customFormat="1" ht="12.75" customHeight="1" x14ac:dyDescent="0.2">
      <c r="A52" s="89">
        <v>45169</v>
      </c>
      <c r="B52" s="128" t="s">
        <v>11</v>
      </c>
      <c r="C52" s="10" t="s">
        <v>1452</v>
      </c>
      <c r="D52" s="142" t="s">
        <v>29</v>
      </c>
      <c r="E52" s="86"/>
      <c r="F52" s="70">
        <v>925927</v>
      </c>
      <c r="G52" s="30"/>
      <c r="I52" s="69"/>
      <c r="J52" s="69"/>
    </row>
    <row r="53" spans="1:10" s="70" customFormat="1" ht="12.75" customHeight="1" x14ac:dyDescent="0.2">
      <c r="A53" s="89">
        <v>45169</v>
      </c>
      <c r="B53" s="128" t="s">
        <v>11</v>
      </c>
      <c r="C53" s="10" t="s">
        <v>235</v>
      </c>
      <c r="D53" s="142" t="s">
        <v>29</v>
      </c>
      <c r="E53" s="86"/>
      <c r="F53" s="70">
        <v>6240</v>
      </c>
      <c r="G53" s="30"/>
      <c r="I53" s="69"/>
      <c r="J53" s="69"/>
    </row>
    <row r="54" spans="1:10" s="70" customFormat="1" ht="12.75" customHeight="1" x14ac:dyDescent="0.2">
      <c r="A54" s="89">
        <v>45169</v>
      </c>
      <c r="B54" s="128" t="s">
        <v>11</v>
      </c>
      <c r="C54" s="10" t="s">
        <v>55</v>
      </c>
      <c r="D54" s="142" t="s">
        <v>29</v>
      </c>
      <c r="E54" s="86"/>
      <c r="F54" s="70">
        <v>4428035.3899999997</v>
      </c>
      <c r="G54" s="30"/>
      <c r="I54" s="69"/>
      <c r="J54" s="69"/>
    </row>
    <row r="55" spans="1:10" s="70" customFormat="1" ht="12.75" customHeight="1" x14ac:dyDescent="0.2">
      <c r="A55" s="89">
        <v>45169</v>
      </c>
      <c r="B55" s="128" t="s">
        <v>11</v>
      </c>
      <c r="C55" s="10" t="s">
        <v>735</v>
      </c>
      <c r="D55" s="142" t="s">
        <v>29</v>
      </c>
      <c r="E55" s="86"/>
      <c r="F55" s="70">
        <v>1815222</v>
      </c>
      <c r="G55" s="30"/>
      <c r="I55" s="69"/>
      <c r="J55" s="69"/>
    </row>
    <row r="56" spans="1:10" s="70" customFormat="1" ht="12.75" customHeight="1" x14ac:dyDescent="0.2">
      <c r="A56" s="89">
        <v>45169</v>
      </c>
      <c r="B56" s="128" t="s">
        <v>11</v>
      </c>
      <c r="C56" s="10" t="s">
        <v>442</v>
      </c>
      <c r="D56" s="142" t="s">
        <v>29</v>
      </c>
      <c r="E56" s="86"/>
      <c r="F56" s="70">
        <v>2260018</v>
      </c>
      <c r="G56" s="30"/>
      <c r="I56" s="69"/>
      <c r="J56" s="69"/>
    </row>
    <row r="57" spans="1:10" s="70" customFormat="1" ht="12.75" customHeight="1" x14ac:dyDescent="0.2">
      <c r="A57" s="89">
        <v>45169</v>
      </c>
      <c r="B57" s="128" t="s">
        <v>11</v>
      </c>
      <c r="C57" s="10" t="s">
        <v>512</v>
      </c>
      <c r="D57" s="142" t="s">
        <v>29</v>
      </c>
      <c r="E57" s="86"/>
      <c r="F57" s="70">
        <v>150745</v>
      </c>
      <c r="G57" s="30"/>
      <c r="I57" s="69"/>
      <c r="J57" s="69"/>
    </row>
    <row r="58" spans="1:10" s="70" customFormat="1" ht="12.75" customHeight="1" x14ac:dyDescent="0.2">
      <c r="A58" s="89">
        <v>45169</v>
      </c>
      <c r="B58" s="128" t="s">
        <v>11</v>
      </c>
      <c r="C58" s="10" t="s">
        <v>937</v>
      </c>
      <c r="D58" s="142" t="s">
        <v>29</v>
      </c>
      <c r="E58" s="86"/>
      <c r="F58" s="70">
        <v>4974</v>
      </c>
      <c r="G58" s="30"/>
      <c r="I58" s="69"/>
      <c r="J58" s="69"/>
    </row>
    <row r="59" spans="1:10" s="70" customFormat="1" ht="12.75" customHeight="1" x14ac:dyDescent="0.2">
      <c r="A59" s="89">
        <v>45169</v>
      </c>
      <c r="B59" s="128" t="s">
        <v>11</v>
      </c>
      <c r="C59" s="10" t="s">
        <v>443</v>
      </c>
      <c r="D59" s="142" t="s">
        <v>29</v>
      </c>
      <c r="E59" s="86"/>
      <c r="F59" s="70">
        <v>1000000</v>
      </c>
      <c r="G59" s="30"/>
      <c r="I59" s="69"/>
      <c r="J59" s="69"/>
    </row>
    <row r="60" spans="1:10" s="70" customFormat="1" ht="12.75" customHeight="1" x14ac:dyDescent="0.2">
      <c r="A60" s="89">
        <v>45169</v>
      </c>
      <c r="B60" s="128" t="s">
        <v>11</v>
      </c>
      <c r="C60" s="10" t="s">
        <v>302</v>
      </c>
      <c r="D60" s="142" t="s">
        <v>29</v>
      </c>
      <c r="E60" s="86"/>
      <c r="F60" s="70">
        <v>8509</v>
      </c>
      <c r="G60" s="30"/>
      <c r="I60" s="69"/>
      <c r="J60" s="69"/>
    </row>
    <row r="61" spans="1:10" s="70" customFormat="1" ht="12.75" customHeight="1" x14ac:dyDescent="0.2">
      <c r="A61" s="89">
        <v>45169</v>
      </c>
      <c r="B61" s="128" t="s">
        <v>11</v>
      </c>
      <c r="C61" s="10" t="s">
        <v>476</v>
      </c>
      <c r="D61" s="142" t="s">
        <v>29</v>
      </c>
      <c r="E61" s="86"/>
      <c r="F61" s="70">
        <v>9865</v>
      </c>
      <c r="G61" s="30"/>
      <c r="I61" s="69"/>
      <c r="J61" s="69"/>
    </row>
    <row r="62" spans="1:10" s="70" customFormat="1" ht="12.75" customHeight="1" x14ac:dyDescent="0.2">
      <c r="A62" s="89">
        <v>45169</v>
      </c>
      <c r="B62" s="128" t="s">
        <v>11</v>
      </c>
      <c r="C62" s="10" t="s">
        <v>314</v>
      </c>
      <c r="D62" s="142" t="s">
        <v>29</v>
      </c>
      <c r="E62" s="86"/>
      <c r="F62" s="70">
        <v>40884</v>
      </c>
      <c r="G62" s="30"/>
      <c r="I62" s="69"/>
      <c r="J62" s="69"/>
    </row>
    <row r="63" spans="1:10" s="70" customFormat="1" ht="12.75" customHeight="1" x14ac:dyDescent="0.2">
      <c r="A63" s="89">
        <v>45169</v>
      </c>
      <c r="B63" s="128" t="s">
        <v>11</v>
      </c>
      <c r="C63" s="10" t="s">
        <v>733</v>
      </c>
      <c r="D63" s="142" t="s">
        <v>29</v>
      </c>
      <c r="E63" s="86"/>
      <c r="F63" s="70">
        <v>2197593</v>
      </c>
      <c r="G63" s="30"/>
      <c r="I63" s="69"/>
      <c r="J63" s="69"/>
    </row>
    <row r="64" spans="1:10" s="70" customFormat="1" ht="12.75" customHeight="1" x14ac:dyDescent="0.2">
      <c r="A64" s="89">
        <v>45169</v>
      </c>
      <c r="B64" s="128" t="s">
        <v>11</v>
      </c>
      <c r="C64" s="10" t="s">
        <v>732</v>
      </c>
      <c r="D64" s="142" t="s">
        <v>29</v>
      </c>
      <c r="E64" s="86"/>
      <c r="F64" s="70">
        <v>3296390</v>
      </c>
      <c r="G64" s="30"/>
      <c r="I64" s="69"/>
      <c r="J64" s="69"/>
    </row>
    <row r="65" spans="1:14" s="70" customFormat="1" ht="12.75" customHeight="1" x14ac:dyDescent="0.2">
      <c r="A65" s="89">
        <v>45169</v>
      </c>
      <c r="B65" s="128" t="s">
        <v>11</v>
      </c>
      <c r="C65" s="10" t="s">
        <v>1183</v>
      </c>
      <c r="D65" s="142" t="s">
        <v>29</v>
      </c>
      <c r="E65" s="86"/>
      <c r="F65" s="70">
        <v>233738.74000000002</v>
      </c>
      <c r="G65" s="30"/>
      <c r="I65" s="69"/>
      <c r="J65" s="69"/>
    </row>
    <row r="66" spans="1:14" s="70" customFormat="1" ht="12.75" customHeight="1" x14ac:dyDescent="0.2">
      <c r="A66" s="89">
        <v>45169</v>
      </c>
      <c r="B66" s="128" t="s">
        <v>11</v>
      </c>
      <c r="C66" s="10" t="s">
        <v>1454</v>
      </c>
      <c r="D66" s="142" t="s">
        <v>29</v>
      </c>
      <c r="E66" s="86"/>
      <c r="F66" s="70">
        <v>388997</v>
      </c>
      <c r="G66" s="30"/>
      <c r="I66" s="69"/>
      <c r="J66" s="69"/>
    </row>
    <row r="67" spans="1:14" s="2" customFormat="1" ht="12.75" customHeight="1" x14ac:dyDescent="0.2">
      <c r="A67" s="32"/>
      <c r="B67" s="33"/>
      <c r="C67" s="14"/>
      <c r="D67" s="34"/>
      <c r="E67" s="16">
        <f>SUM(E22:E66)</f>
        <v>14048919.989999998</v>
      </c>
      <c r="F67" s="16">
        <f>SUM(F22:F66)</f>
        <v>119246703.80000001</v>
      </c>
      <c r="G67" s="30"/>
      <c r="H67" s="1"/>
      <c r="I67" s="38">
        <v>105197783.81</v>
      </c>
      <c r="J67" s="2" t="s">
        <v>396</v>
      </c>
      <c r="K67" s="92">
        <f>E68-I67</f>
        <v>0</v>
      </c>
      <c r="L67" s="41"/>
      <c r="M67" s="42"/>
    </row>
    <row r="68" spans="1:14" s="2" customFormat="1" ht="12.75" customHeight="1" x14ac:dyDescent="0.2">
      <c r="A68" s="36"/>
      <c r="B68" s="28" t="s">
        <v>11</v>
      </c>
      <c r="C68" s="19" t="s">
        <v>65</v>
      </c>
      <c r="D68" s="37"/>
      <c r="E68" s="38">
        <f>F67-E67</f>
        <v>105197783.81000002</v>
      </c>
      <c r="F68" s="22"/>
      <c r="G68" s="1"/>
      <c r="H68" s="1"/>
      <c r="J68" s="1"/>
      <c r="K68" s="1"/>
      <c r="L68" s="1"/>
      <c r="M68" s="1"/>
    </row>
    <row r="69" spans="1:14" s="2" customFormat="1" ht="12.75" customHeight="1" x14ac:dyDescent="0.2">
      <c r="A69" s="36"/>
      <c r="B69" s="28" t="s">
        <v>66</v>
      </c>
      <c r="C69" s="43" t="s">
        <v>1457</v>
      </c>
      <c r="D69" s="43"/>
      <c r="E69" s="12">
        <v>350000000</v>
      </c>
      <c r="F69" s="22"/>
      <c r="G69" s="1"/>
      <c r="H69" s="40"/>
      <c r="I69" s="45">
        <v>3828.65</v>
      </c>
      <c r="J69" s="46"/>
      <c r="K69" s="46"/>
      <c r="L69" s="13"/>
      <c r="M69" s="69" t="s">
        <v>396</v>
      </c>
    </row>
    <row r="70" spans="1:14" s="2" customFormat="1" ht="12.75" customHeight="1" x14ac:dyDescent="0.25">
      <c r="A70" s="36"/>
      <c r="B70" s="28"/>
      <c r="C70" s="44" t="s">
        <v>68</v>
      </c>
      <c r="D70" s="43"/>
      <c r="E70" s="7">
        <f>+E69+E68</f>
        <v>455197783.81</v>
      </c>
      <c r="F70" s="22"/>
      <c r="G70" s="1"/>
      <c r="H70" s="103" t="s">
        <v>69</v>
      </c>
      <c r="I70" s="45">
        <v>-108.22</v>
      </c>
      <c r="J70" s="46"/>
      <c r="K70" s="46"/>
      <c r="N70" s="1"/>
    </row>
    <row r="71" spans="1:14" s="2" customFormat="1" x14ac:dyDescent="0.2">
      <c r="A71" s="24"/>
      <c r="B71" s="1"/>
      <c r="C71" s="14"/>
      <c r="D71" s="25"/>
      <c r="E71" s="1"/>
      <c r="H71" s="35" t="s">
        <v>70</v>
      </c>
      <c r="I71" s="45">
        <v>46.43</v>
      </c>
      <c r="J71" s="46">
        <f>+I72-D74</f>
        <v>0</v>
      </c>
      <c r="M71" s="2" t="s">
        <v>396</v>
      </c>
      <c r="N71" s="1"/>
    </row>
    <row r="72" spans="1:14" x14ac:dyDescent="0.2">
      <c r="C72" s="56"/>
      <c r="D72" s="56"/>
      <c r="E72" s="104"/>
      <c r="I72" s="49">
        <f>SUM(I69:I71)</f>
        <v>3766.86</v>
      </c>
      <c r="J72" s="46"/>
      <c r="K72" s="46"/>
      <c r="L72" s="2"/>
      <c r="M72" s="2"/>
      <c r="N72" s="2"/>
    </row>
    <row r="73" spans="1:14" x14ac:dyDescent="0.2">
      <c r="C73" s="78" t="s">
        <v>575</v>
      </c>
      <c r="D73" s="48" t="s">
        <v>576</v>
      </c>
      <c r="E73" s="104"/>
      <c r="I73" s="2"/>
      <c r="J73" s="2"/>
      <c r="K73" s="2"/>
      <c r="L73" s="2"/>
      <c r="M73" s="2"/>
      <c r="N73" s="2"/>
    </row>
    <row r="74" spans="1:14" s="2" customFormat="1" x14ac:dyDescent="0.2">
      <c r="A74" s="24"/>
      <c r="B74" s="1"/>
      <c r="C74" s="47" t="s">
        <v>570</v>
      </c>
      <c r="D74" s="111">
        <v>3766.86</v>
      </c>
      <c r="E74" s="104"/>
      <c r="G74" s="1"/>
      <c r="H74" s="110" t="s">
        <v>581</v>
      </c>
      <c r="N74" s="2" t="s">
        <v>535</v>
      </c>
    </row>
    <row r="75" spans="1:14" s="2" customFormat="1" x14ac:dyDescent="0.2">
      <c r="A75" s="24"/>
      <c r="B75" s="1"/>
      <c r="C75" s="47" t="s">
        <v>931</v>
      </c>
      <c r="D75" s="111">
        <v>368.7</v>
      </c>
      <c r="E75" s="104"/>
      <c r="G75" s="1"/>
      <c r="H75" s="110" t="s">
        <v>580</v>
      </c>
    </row>
    <row r="76" spans="1:14" s="2" customFormat="1" x14ac:dyDescent="0.2">
      <c r="A76" s="24"/>
      <c r="B76" s="1"/>
      <c r="C76" s="47" t="s">
        <v>572</v>
      </c>
      <c r="D76" s="111">
        <f>+D121/100000</f>
        <v>321.49405910000002</v>
      </c>
      <c r="E76" s="104"/>
      <c r="G76" s="1"/>
      <c r="H76" s="90" t="s">
        <v>587</v>
      </c>
    </row>
    <row r="77" spans="1:14" s="2" customFormat="1" x14ac:dyDescent="0.2">
      <c r="A77" s="24"/>
      <c r="B77" s="1"/>
      <c r="C77" s="108" t="s">
        <v>578</v>
      </c>
      <c r="D77" s="48">
        <f>SUM(D74:D76)</f>
        <v>4457.0540591000008</v>
      </c>
      <c r="E77" s="104"/>
      <c r="G77" s="1"/>
    </row>
    <row r="78" spans="1:14" s="2" customFormat="1" x14ac:dyDescent="0.2">
      <c r="A78" s="24"/>
      <c r="B78" s="1"/>
      <c r="C78" s="47"/>
      <c r="D78" s="107"/>
      <c r="E78" s="104"/>
      <c r="G78" s="1"/>
    </row>
    <row r="79" spans="1:14" s="2" customFormat="1" x14ac:dyDescent="0.2">
      <c r="A79" s="24"/>
      <c r="B79" s="1"/>
      <c r="C79" s="47" t="s">
        <v>932</v>
      </c>
      <c r="D79" s="111">
        <v>136.78</v>
      </c>
      <c r="E79" s="104"/>
      <c r="G79" s="1"/>
      <c r="H79" s="110" t="s">
        <v>581</v>
      </c>
    </row>
    <row r="80" spans="1:14" s="2" customFormat="1" x14ac:dyDescent="0.2">
      <c r="A80" s="24"/>
      <c r="B80" s="1"/>
      <c r="C80" s="136" t="s">
        <v>1142</v>
      </c>
      <c r="D80" s="111">
        <f>121.87+328.86-136.45-94.64</f>
        <v>219.64000000000004</v>
      </c>
      <c r="E80" s="104"/>
      <c r="G80" s="1"/>
      <c r="H80" s="110" t="s">
        <v>581</v>
      </c>
      <c r="J80" s="114" t="s">
        <v>713</v>
      </c>
    </row>
    <row r="81" spans="1:13" s="2" customFormat="1" x14ac:dyDescent="0.2">
      <c r="A81" s="24"/>
      <c r="B81" s="1"/>
      <c r="C81" s="78" t="s">
        <v>579</v>
      </c>
      <c r="D81" s="109">
        <f>D79+D80</f>
        <v>356.42000000000007</v>
      </c>
      <c r="E81" s="104"/>
      <c r="G81" s="1"/>
      <c r="I81" s="113"/>
      <c r="J81" s="113" t="s">
        <v>709</v>
      </c>
      <c r="K81" s="113" t="s">
        <v>710</v>
      </c>
      <c r="L81" s="113" t="s">
        <v>711</v>
      </c>
      <c r="M81" s="113" t="s">
        <v>712</v>
      </c>
    </row>
    <row r="82" spans="1:13" s="2" customFormat="1" x14ac:dyDescent="0.2">
      <c r="A82" s="24"/>
      <c r="B82" s="1"/>
      <c r="C82" s="105"/>
      <c r="D82" s="106"/>
      <c r="E82" s="104"/>
      <c r="G82" s="1"/>
      <c r="I82" s="113" t="s">
        <v>706</v>
      </c>
      <c r="J82" s="115"/>
      <c r="K82" s="115">
        <v>968.99</v>
      </c>
      <c r="L82" s="115">
        <v>968.99</v>
      </c>
      <c r="M82" s="113">
        <f>+J82+L82-K82</f>
        <v>0</v>
      </c>
    </row>
    <row r="83" spans="1:13" s="2" customFormat="1" x14ac:dyDescent="0.2">
      <c r="A83" s="24"/>
      <c r="B83" s="1"/>
      <c r="C83" s="78" t="s">
        <v>577</v>
      </c>
      <c r="D83" s="109">
        <f>D74+D81</f>
        <v>4123.2800000000007</v>
      </c>
      <c r="E83" s="104"/>
      <c r="G83" s="1"/>
      <c r="I83" s="113" t="s">
        <v>707</v>
      </c>
      <c r="J83" s="115">
        <v>183.1</v>
      </c>
      <c r="K83" s="115">
        <v>3293.22</v>
      </c>
      <c r="L83" s="115">
        <v>3687.95</v>
      </c>
      <c r="M83" s="113">
        <f>+J83+L83-K83</f>
        <v>577.82999999999993</v>
      </c>
    </row>
    <row r="84" spans="1:13" s="2" customFormat="1" x14ac:dyDescent="0.2">
      <c r="A84" s="24"/>
      <c r="B84" s="1"/>
      <c r="C84" s="56"/>
      <c r="D84" s="56"/>
      <c r="E84" s="104"/>
      <c r="G84" s="1"/>
      <c r="I84" s="113" t="s">
        <v>708</v>
      </c>
      <c r="J84" s="115">
        <v>1371.02</v>
      </c>
      <c r="K84" s="115">
        <v>13772.84</v>
      </c>
      <c r="L84" s="115">
        <v>13251.73</v>
      </c>
      <c r="M84" s="113">
        <f>+J84+L84-K84</f>
        <v>849.90999999999985</v>
      </c>
    </row>
    <row r="85" spans="1:13" s="2" customFormat="1" ht="38.25" x14ac:dyDescent="0.2">
      <c r="A85" s="24"/>
      <c r="B85" s="1"/>
      <c r="C85" s="79" t="str">
        <f>"Particulars ( 01-04-2021 to "&amp;TEXT(A5,"dd-mm-yyyy")&amp;" )"</f>
        <v>Particulars ( 01-04-2021 to 31-08-2023 )</v>
      </c>
      <c r="D85" s="80" t="s">
        <v>73</v>
      </c>
      <c r="E85" s="80" t="s">
        <v>74</v>
      </c>
      <c r="F85" s="81" t="s">
        <v>75</v>
      </c>
      <c r="G85" s="80" t="s">
        <v>76</v>
      </c>
      <c r="J85" s="118">
        <f>SUM(J82:J84)</f>
        <v>1554.12</v>
      </c>
      <c r="K85" s="118">
        <f>SUM(K82:K84)</f>
        <v>18035.05</v>
      </c>
      <c r="L85" s="118">
        <f>SUM(L82:L84)</f>
        <v>17908.669999999998</v>
      </c>
      <c r="M85" s="118">
        <f>SUM(M82:M84)</f>
        <v>1427.7399999999998</v>
      </c>
    </row>
    <row r="86" spans="1:13" s="2" customFormat="1" x14ac:dyDescent="0.2">
      <c r="A86" s="24"/>
      <c r="B86" s="1"/>
      <c r="C86" s="50" t="s">
        <v>444</v>
      </c>
      <c r="D86" s="55">
        <f>+L82+L83+J83</f>
        <v>4840.04</v>
      </c>
      <c r="E86" s="55">
        <f>+K82+K83</f>
        <v>4262.21</v>
      </c>
      <c r="F86" s="55">
        <f>+D86-E86</f>
        <v>577.82999999999993</v>
      </c>
      <c r="G86" s="55">
        <f>1500-F86</f>
        <v>922.17000000000007</v>
      </c>
      <c r="H86" s="2" t="s">
        <v>396</v>
      </c>
    </row>
    <row r="87" spans="1:13" s="2" customFormat="1" x14ac:dyDescent="0.2">
      <c r="A87" s="24"/>
      <c r="B87" s="1"/>
      <c r="C87" s="50" t="s">
        <v>71</v>
      </c>
      <c r="D87" s="55">
        <f>+J84+L84</f>
        <v>14622.75</v>
      </c>
      <c r="E87" s="55">
        <f>+K84</f>
        <v>13772.84</v>
      </c>
      <c r="F87" s="55">
        <f>+D87-E87</f>
        <v>849.90999999999985</v>
      </c>
      <c r="G87" s="55">
        <f>1500+700-F87</f>
        <v>1350.0900000000001</v>
      </c>
      <c r="H87" s="2" t="s">
        <v>396</v>
      </c>
    </row>
    <row r="88" spans="1:13" s="2" customFormat="1" x14ac:dyDescent="0.2">
      <c r="A88" s="24"/>
      <c r="B88" s="1"/>
      <c r="C88" s="14"/>
      <c r="D88" s="56"/>
      <c r="E88" s="13"/>
      <c r="G88" s="1"/>
    </row>
    <row r="89" spans="1:13" s="2" customFormat="1" x14ac:dyDescent="0.2">
      <c r="A89" s="215" t="s">
        <v>80</v>
      </c>
      <c r="B89" s="216"/>
      <c r="C89" s="216"/>
      <c r="D89" s="217"/>
      <c r="E89" s="69"/>
      <c r="F89" s="70"/>
      <c r="G89" s="1"/>
      <c r="H89" s="53"/>
    </row>
    <row r="90" spans="1:13" s="2" customFormat="1" x14ac:dyDescent="0.2">
      <c r="A90" s="71" t="s">
        <v>81</v>
      </c>
      <c r="B90" s="71"/>
      <c r="C90" s="72" t="s">
        <v>82</v>
      </c>
      <c r="D90" s="73" t="s">
        <v>83</v>
      </c>
      <c r="E90" s="69"/>
      <c r="F90" s="70"/>
      <c r="H90" s="53"/>
    </row>
    <row r="91" spans="1:13" s="2" customFormat="1" x14ac:dyDescent="0.2">
      <c r="A91" s="87">
        <v>45139</v>
      </c>
      <c r="B91" s="120" t="s">
        <v>1052</v>
      </c>
      <c r="C91" s="75" t="s">
        <v>85</v>
      </c>
      <c r="D91" s="88">
        <v>552343</v>
      </c>
      <c r="G91" s="1"/>
      <c r="L91" s="1"/>
      <c r="M91" s="1"/>
    </row>
    <row r="92" spans="1:13" s="2" customFormat="1" x14ac:dyDescent="0.2">
      <c r="A92" s="87">
        <v>45140</v>
      </c>
      <c r="B92" s="120" t="s">
        <v>1052</v>
      </c>
      <c r="C92" s="75" t="s">
        <v>270</v>
      </c>
      <c r="D92" s="88">
        <v>244404</v>
      </c>
      <c r="G92" s="1"/>
      <c r="L92" s="1"/>
      <c r="M92" s="1"/>
    </row>
    <row r="93" spans="1:13" s="2" customFormat="1" x14ac:dyDescent="0.2">
      <c r="A93" s="87">
        <v>45140</v>
      </c>
      <c r="B93" s="120" t="s">
        <v>1052</v>
      </c>
      <c r="C93" s="75" t="s">
        <v>270</v>
      </c>
      <c r="D93" s="88">
        <v>550256</v>
      </c>
      <c r="G93" s="1"/>
      <c r="L93" s="1"/>
      <c r="M93" s="1"/>
    </row>
    <row r="94" spans="1:13" s="2" customFormat="1" x14ac:dyDescent="0.2">
      <c r="A94" s="87">
        <v>45140</v>
      </c>
      <c r="B94" s="120" t="s">
        <v>1052</v>
      </c>
      <c r="C94" s="75" t="s">
        <v>270</v>
      </c>
      <c r="D94" s="88">
        <v>191589</v>
      </c>
      <c r="G94" s="1"/>
      <c r="L94" s="1"/>
      <c r="M94" s="1"/>
    </row>
    <row r="95" spans="1:13" s="2" customFormat="1" x14ac:dyDescent="0.2">
      <c r="A95" s="87">
        <v>45140</v>
      </c>
      <c r="B95" s="120" t="s">
        <v>1052</v>
      </c>
      <c r="C95" s="75" t="s">
        <v>270</v>
      </c>
      <c r="D95" s="88">
        <v>74415.91</v>
      </c>
      <c r="G95" s="1"/>
      <c r="L95" s="1"/>
      <c r="M95" s="1"/>
    </row>
    <row r="96" spans="1:13" s="2" customFormat="1" x14ac:dyDescent="0.2">
      <c r="A96" s="87">
        <v>45140</v>
      </c>
      <c r="B96" s="120" t="s">
        <v>1052</v>
      </c>
      <c r="C96" s="75" t="s">
        <v>271</v>
      </c>
      <c r="D96" s="88">
        <v>454781</v>
      </c>
      <c r="G96" s="1"/>
      <c r="L96" s="1"/>
      <c r="M96" s="1"/>
    </row>
    <row r="97" spans="1:13" s="2" customFormat="1" x14ac:dyDescent="0.2">
      <c r="A97" s="87">
        <v>45141</v>
      </c>
      <c r="B97" s="120" t="s">
        <v>1052</v>
      </c>
      <c r="C97" s="75" t="s">
        <v>86</v>
      </c>
      <c r="D97" s="88">
        <v>910969</v>
      </c>
      <c r="G97" s="1"/>
      <c r="L97" s="1"/>
      <c r="M97" s="1"/>
    </row>
    <row r="98" spans="1:13" s="2" customFormat="1" x14ac:dyDescent="0.2">
      <c r="A98" s="87">
        <v>45141</v>
      </c>
      <c r="B98" s="120" t="s">
        <v>1052</v>
      </c>
      <c r="C98" s="75" t="s">
        <v>86</v>
      </c>
      <c r="D98" s="88">
        <v>1424635</v>
      </c>
      <c r="G98" s="1"/>
      <c r="L98" s="1"/>
      <c r="M98" s="1"/>
    </row>
    <row r="99" spans="1:13" s="2" customFormat="1" x14ac:dyDescent="0.2">
      <c r="A99" s="87">
        <v>45143</v>
      </c>
      <c r="B99" s="120" t="s">
        <v>1052</v>
      </c>
      <c r="C99" s="75" t="s">
        <v>85</v>
      </c>
      <c r="D99" s="88">
        <v>644288</v>
      </c>
      <c r="G99" s="1"/>
      <c r="L99" s="1"/>
      <c r="M99" s="1"/>
    </row>
    <row r="100" spans="1:13" s="2" customFormat="1" x14ac:dyDescent="0.2">
      <c r="A100" s="87">
        <v>45146</v>
      </c>
      <c r="B100" s="120" t="s">
        <v>1052</v>
      </c>
      <c r="C100" s="75" t="s">
        <v>85</v>
      </c>
      <c r="D100" s="88">
        <v>136333</v>
      </c>
      <c r="G100" s="1"/>
      <c r="L100" s="1"/>
      <c r="M100" s="1"/>
    </row>
    <row r="101" spans="1:13" s="2" customFormat="1" x14ac:dyDescent="0.2">
      <c r="A101" s="87">
        <v>45147</v>
      </c>
      <c r="B101" s="120" t="s">
        <v>1052</v>
      </c>
      <c r="C101" s="75" t="s">
        <v>84</v>
      </c>
      <c r="D101" s="88">
        <v>5549</v>
      </c>
      <c r="G101" s="1"/>
      <c r="L101" s="1"/>
      <c r="M101" s="1"/>
    </row>
    <row r="102" spans="1:13" s="2" customFormat="1" x14ac:dyDescent="0.2">
      <c r="A102" s="87">
        <v>45147</v>
      </c>
      <c r="B102" s="120" t="s">
        <v>1052</v>
      </c>
      <c r="C102" s="75" t="s">
        <v>84</v>
      </c>
      <c r="D102" s="88">
        <v>1994451</v>
      </c>
      <c r="G102" s="1"/>
      <c r="L102" s="1"/>
      <c r="M102" s="1"/>
    </row>
    <row r="103" spans="1:13" s="2" customFormat="1" x14ac:dyDescent="0.2">
      <c r="A103" s="87">
        <v>45152</v>
      </c>
      <c r="B103" s="120" t="s">
        <v>1052</v>
      </c>
      <c r="C103" s="75" t="s">
        <v>270</v>
      </c>
      <c r="D103" s="88">
        <v>26225</v>
      </c>
      <c r="G103" s="1"/>
      <c r="L103" s="1"/>
      <c r="M103" s="1"/>
    </row>
    <row r="104" spans="1:13" s="2" customFormat="1" x14ac:dyDescent="0.2">
      <c r="A104" s="87">
        <v>45152</v>
      </c>
      <c r="B104" s="120" t="s">
        <v>1052</v>
      </c>
      <c r="C104" s="75" t="s">
        <v>270</v>
      </c>
      <c r="D104" s="88">
        <v>41835</v>
      </c>
      <c r="G104" s="1"/>
      <c r="L104" s="1"/>
      <c r="M104" s="1"/>
    </row>
    <row r="105" spans="1:13" s="2" customFormat="1" x14ac:dyDescent="0.2">
      <c r="A105" s="87">
        <v>45152</v>
      </c>
      <c r="B105" s="120" t="s">
        <v>1052</v>
      </c>
      <c r="C105" s="75" t="s">
        <v>270</v>
      </c>
      <c r="D105" s="88">
        <v>5664</v>
      </c>
      <c r="G105" s="1"/>
      <c r="L105" s="1"/>
      <c r="M105" s="1"/>
    </row>
    <row r="106" spans="1:13" s="2" customFormat="1" x14ac:dyDescent="0.2">
      <c r="A106" s="87">
        <v>45154</v>
      </c>
      <c r="B106" s="120" t="s">
        <v>1052</v>
      </c>
      <c r="C106" s="75" t="s">
        <v>271</v>
      </c>
      <c r="D106" s="88">
        <v>2701267</v>
      </c>
      <c r="G106" s="1"/>
      <c r="L106" s="1"/>
      <c r="M106" s="1"/>
    </row>
    <row r="107" spans="1:13" s="2" customFormat="1" x14ac:dyDescent="0.2">
      <c r="A107" s="87">
        <v>45157</v>
      </c>
      <c r="B107" s="120" t="s">
        <v>1052</v>
      </c>
      <c r="C107" s="75" t="s">
        <v>88</v>
      </c>
      <c r="D107" s="88">
        <v>1087820</v>
      </c>
      <c r="G107" s="1"/>
      <c r="L107" s="1"/>
      <c r="M107" s="1"/>
    </row>
    <row r="108" spans="1:13" s="2" customFormat="1" x14ac:dyDescent="0.2">
      <c r="A108" s="87">
        <v>45159</v>
      </c>
      <c r="B108" s="120" t="s">
        <v>1052</v>
      </c>
      <c r="C108" s="75" t="s">
        <v>270</v>
      </c>
      <c r="D108" s="88">
        <v>26199</v>
      </c>
      <c r="G108" s="1"/>
      <c r="L108" s="1"/>
      <c r="M108" s="1"/>
    </row>
    <row r="109" spans="1:13" s="2" customFormat="1" x14ac:dyDescent="0.2">
      <c r="A109" s="87">
        <v>45159</v>
      </c>
      <c r="B109" s="120" t="s">
        <v>1052</v>
      </c>
      <c r="C109" s="75" t="s">
        <v>85</v>
      </c>
      <c r="D109" s="88">
        <v>79111</v>
      </c>
      <c r="G109" s="1"/>
      <c r="L109" s="1"/>
      <c r="M109" s="1"/>
    </row>
    <row r="110" spans="1:13" s="2" customFormat="1" x14ac:dyDescent="0.2">
      <c r="A110" s="87">
        <v>45159</v>
      </c>
      <c r="B110" s="120" t="s">
        <v>1052</v>
      </c>
      <c r="C110" s="75" t="s">
        <v>86</v>
      </c>
      <c r="D110" s="88">
        <v>6142426</v>
      </c>
      <c r="G110" s="1"/>
      <c r="L110" s="1"/>
      <c r="M110" s="1"/>
    </row>
    <row r="111" spans="1:13" s="2" customFormat="1" x14ac:dyDescent="0.2">
      <c r="A111" s="87">
        <v>45159</v>
      </c>
      <c r="B111" s="120" t="s">
        <v>1052</v>
      </c>
      <c r="C111" s="75" t="s">
        <v>86</v>
      </c>
      <c r="D111" s="88">
        <v>41960</v>
      </c>
      <c r="G111" s="1"/>
      <c r="L111" s="1"/>
      <c r="M111" s="1"/>
    </row>
    <row r="112" spans="1:13" s="2" customFormat="1" x14ac:dyDescent="0.2">
      <c r="A112" s="87">
        <v>45160</v>
      </c>
      <c r="B112" s="120" t="s">
        <v>1052</v>
      </c>
      <c r="C112" s="75" t="s">
        <v>271</v>
      </c>
      <c r="D112" s="88">
        <v>176546</v>
      </c>
      <c r="G112" s="1"/>
      <c r="L112" s="1"/>
      <c r="M112" s="1"/>
    </row>
    <row r="113" spans="1:13" s="2" customFormat="1" x14ac:dyDescent="0.2">
      <c r="A113" s="87">
        <v>45161</v>
      </c>
      <c r="B113" s="120" t="s">
        <v>1052</v>
      </c>
      <c r="C113" s="75" t="s">
        <v>18</v>
      </c>
      <c r="D113" s="88">
        <v>142706</v>
      </c>
      <c r="G113" s="1"/>
      <c r="L113" s="1"/>
      <c r="M113" s="1"/>
    </row>
    <row r="114" spans="1:13" s="2" customFormat="1" x14ac:dyDescent="0.2">
      <c r="A114" s="87">
        <v>45162</v>
      </c>
      <c r="B114" s="120" t="s">
        <v>1052</v>
      </c>
      <c r="C114" s="75" t="s">
        <v>85</v>
      </c>
      <c r="D114" s="88">
        <v>66464</v>
      </c>
      <c r="G114" s="1"/>
      <c r="L114" s="1"/>
      <c r="M114" s="1"/>
    </row>
    <row r="115" spans="1:13" s="2" customFormat="1" x14ac:dyDescent="0.2">
      <c r="A115" s="87">
        <v>45163</v>
      </c>
      <c r="B115" s="120" t="s">
        <v>1052</v>
      </c>
      <c r="C115" s="75" t="s">
        <v>84</v>
      </c>
      <c r="D115" s="88">
        <v>2377174</v>
      </c>
      <c r="G115" s="1"/>
      <c r="L115" s="1"/>
      <c r="M115" s="1"/>
    </row>
    <row r="116" spans="1:13" s="2" customFormat="1" x14ac:dyDescent="0.2">
      <c r="A116" s="87">
        <v>45166</v>
      </c>
      <c r="B116" s="120" t="s">
        <v>1052</v>
      </c>
      <c r="C116" s="75" t="s">
        <v>85</v>
      </c>
      <c r="D116" s="88">
        <v>696337</v>
      </c>
      <c r="G116" s="1"/>
      <c r="L116" s="1"/>
      <c r="M116" s="1"/>
    </row>
    <row r="117" spans="1:13" s="2" customFormat="1" x14ac:dyDescent="0.2">
      <c r="A117" s="87">
        <v>45166</v>
      </c>
      <c r="B117" s="120" t="s">
        <v>1052</v>
      </c>
      <c r="C117" s="75" t="s">
        <v>270</v>
      </c>
      <c r="D117" s="88">
        <v>3967770</v>
      </c>
      <c r="G117" s="1"/>
      <c r="L117" s="1"/>
      <c r="M117" s="1"/>
    </row>
    <row r="118" spans="1:13" s="2" customFormat="1" x14ac:dyDescent="0.2">
      <c r="A118" s="87">
        <v>45166</v>
      </c>
      <c r="B118" s="120" t="s">
        <v>1052</v>
      </c>
      <c r="C118" s="75" t="s">
        <v>85</v>
      </c>
      <c r="D118" s="88">
        <v>229526</v>
      </c>
      <c r="G118" s="1"/>
      <c r="L118" s="1"/>
      <c r="M118" s="1"/>
    </row>
    <row r="119" spans="1:13" s="2" customFormat="1" x14ac:dyDescent="0.2">
      <c r="A119" s="87">
        <v>45167</v>
      </c>
      <c r="B119" s="120" t="s">
        <v>1052</v>
      </c>
      <c r="C119" s="75" t="s">
        <v>88</v>
      </c>
      <c r="D119" s="88">
        <v>31230</v>
      </c>
      <c r="G119" s="1"/>
      <c r="L119" s="1"/>
      <c r="M119" s="1"/>
    </row>
    <row r="120" spans="1:13" s="2" customFormat="1" x14ac:dyDescent="0.2">
      <c r="A120" s="87">
        <v>45169</v>
      </c>
      <c r="B120" s="120" t="s">
        <v>1052</v>
      </c>
      <c r="C120" s="75" t="s">
        <v>1456</v>
      </c>
      <c r="D120" s="88">
        <v>7125132</v>
      </c>
      <c r="G120" s="1"/>
      <c r="L120" s="1"/>
      <c r="M120" s="1"/>
    </row>
    <row r="121" spans="1:13" s="2" customFormat="1" x14ac:dyDescent="0.2">
      <c r="A121" s="87"/>
      <c r="B121" s="74"/>
      <c r="C121" s="75"/>
      <c r="D121" s="51">
        <f>SUM(D91:D120)</f>
        <v>32149405.91</v>
      </c>
      <c r="F121" s="2" t="s">
        <v>396</v>
      </c>
      <c r="G121" s="1"/>
      <c r="L121" s="1"/>
      <c r="M121" s="1"/>
    </row>
    <row r="122" spans="1:13" s="2" customFormat="1" x14ac:dyDescent="0.2">
      <c r="A122" s="24"/>
      <c r="B122" s="1"/>
      <c r="C122" s="14"/>
      <c r="D122" s="56"/>
      <c r="E122" s="13"/>
      <c r="G122" s="1"/>
      <c r="L122" s="1"/>
      <c r="M122" s="1"/>
    </row>
    <row r="123" spans="1:13" s="2" customFormat="1" x14ac:dyDescent="0.2">
      <c r="A123" s="24"/>
      <c r="B123" s="1"/>
      <c r="C123" s="218" t="s">
        <v>77</v>
      </c>
      <c r="D123" s="219"/>
      <c r="E123" s="219"/>
      <c r="F123" s="220"/>
      <c r="G123" s="1"/>
      <c r="L123" s="1"/>
      <c r="M123" s="1"/>
    </row>
    <row r="124" spans="1:13" s="2" customFormat="1" x14ac:dyDescent="0.2">
      <c r="A124" s="24"/>
      <c r="B124" s="1"/>
      <c r="C124" s="50"/>
      <c r="D124" s="57" t="s">
        <v>78</v>
      </c>
      <c r="E124" s="58" t="s">
        <v>79</v>
      </c>
      <c r="F124" s="57" t="s">
        <v>72</v>
      </c>
      <c r="G124" s="1"/>
      <c r="I124" s="1"/>
      <c r="J124" s="1"/>
      <c r="K124" s="1"/>
      <c r="L124" s="1"/>
      <c r="M124" s="1"/>
    </row>
    <row r="125" spans="1:13" s="2" customFormat="1" x14ac:dyDescent="0.2">
      <c r="A125" s="24"/>
      <c r="B125" s="1"/>
      <c r="C125" s="59" t="str">
        <f>"01-08-2023 to "&amp;TEXT(A5-2,"dd-mm-yyyy")</f>
        <v>01-08-2023 to 29-08-2023</v>
      </c>
      <c r="D125" s="60">
        <v>3147.29</v>
      </c>
      <c r="E125" s="60">
        <v>278.73</v>
      </c>
      <c r="F125" s="61">
        <f>SUM(D125:E125)</f>
        <v>3426.02</v>
      </c>
      <c r="G125" s="1"/>
    </row>
    <row r="126" spans="1:13" s="2" customFormat="1" x14ac:dyDescent="0.2">
      <c r="A126" s="24"/>
      <c r="B126" s="1"/>
      <c r="C126" s="62" t="str">
        <f>TEXT(A5-1,"dd-mm-yyyy")</f>
        <v>30-08-2023</v>
      </c>
      <c r="D126" s="60">
        <v>177.02</v>
      </c>
      <c r="E126" s="60">
        <v>17.53</v>
      </c>
      <c r="F126" s="61">
        <f>SUM(D126:E126)</f>
        <v>194.55</v>
      </c>
      <c r="G126" s="54"/>
      <c r="I126" s="1"/>
      <c r="J126" s="1"/>
      <c r="K126" s="1"/>
      <c r="L126" s="1"/>
      <c r="M126" s="1"/>
    </row>
    <row r="127" spans="1:13" s="2" customFormat="1" ht="13.5" thickBot="1" x14ac:dyDescent="0.25">
      <c r="A127" s="24"/>
      <c r="B127" s="1"/>
      <c r="C127" s="63" t="str">
        <f>"01-08-2023 to "&amp;TEXT(A5-1,"dd-mm-yyyy")</f>
        <v>01-08-2023 to 30-08-2023</v>
      </c>
      <c r="D127" s="64">
        <f>SUM(D125:D126)</f>
        <v>3324.31</v>
      </c>
      <c r="E127" s="64">
        <f>SUM(E125:E126)</f>
        <v>296.26</v>
      </c>
      <c r="F127" s="64">
        <f>SUM(F125:F126)</f>
        <v>3620.57</v>
      </c>
      <c r="G127" s="54"/>
      <c r="I127" s="1"/>
      <c r="J127" s="1"/>
      <c r="K127" s="1"/>
      <c r="L127" s="1"/>
      <c r="M127" s="1"/>
    </row>
    <row r="128" spans="1:13" s="2" customFormat="1" ht="13.5" thickTop="1" x14ac:dyDescent="0.2">
      <c r="A128" s="24"/>
      <c r="B128" s="1"/>
      <c r="C128" s="62"/>
      <c r="D128" s="65"/>
      <c r="E128" s="66"/>
      <c r="F128" s="67"/>
      <c r="G128" s="54"/>
      <c r="I128" s="1"/>
      <c r="J128" s="1"/>
      <c r="K128" s="1"/>
      <c r="L128" s="1"/>
      <c r="M128" s="1"/>
    </row>
    <row r="129" spans="1:13" s="2" customFormat="1" x14ac:dyDescent="0.2">
      <c r="A129" s="24"/>
      <c r="B129" s="1"/>
      <c r="C129" s="62" t="str">
        <f>"01-04-2023 to " &amp;C126</f>
        <v>01-04-2023 to 30-08-2023</v>
      </c>
      <c r="D129" s="68">
        <f>+D127+20859.39</f>
        <v>24183.7</v>
      </c>
      <c r="E129" s="68">
        <f>+E127+1376.76</f>
        <v>1673.02</v>
      </c>
      <c r="F129" s="68">
        <f>+F127+22236.15</f>
        <v>25856.720000000001</v>
      </c>
      <c r="G129" s="54"/>
      <c r="I129" s="1"/>
      <c r="J129" s="1"/>
      <c r="K129" s="1"/>
      <c r="L129" s="1"/>
      <c r="M129" s="1"/>
    </row>
    <row r="130" spans="1:13" x14ac:dyDescent="0.2">
      <c r="C130" s="52"/>
      <c r="D130" s="85"/>
      <c r="E130" s="53"/>
      <c r="F130" s="53"/>
      <c r="G130" s="54"/>
      <c r="H130" s="2" t="s">
        <v>396</v>
      </c>
    </row>
    <row r="131" spans="1:13" s="2" customFormat="1" x14ac:dyDescent="0.2">
      <c r="A131" s="24"/>
      <c r="B131" s="1"/>
      <c r="C131" s="52"/>
      <c r="D131" s="85"/>
      <c r="E131" s="53"/>
      <c r="F131" s="53"/>
      <c r="G131" s="54"/>
      <c r="H131" s="53"/>
    </row>
    <row r="132" spans="1:13" x14ac:dyDescent="0.2">
      <c r="C132" s="52"/>
      <c r="D132" s="85"/>
      <c r="E132" s="53"/>
      <c r="F132" s="53"/>
      <c r="G132" s="54"/>
      <c r="H132" s="53" t="s">
        <v>396</v>
      </c>
    </row>
    <row r="133" spans="1:13" x14ac:dyDescent="0.2">
      <c r="C133" s="52"/>
      <c r="D133" s="85"/>
      <c r="E133" s="53"/>
      <c r="F133" s="53"/>
      <c r="G133" s="54"/>
      <c r="H133" s="53" t="s">
        <v>396</v>
      </c>
      <c r="J133" s="42"/>
    </row>
    <row r="134" spans="1:13" x14ac:dyDescent="0.2">
      <c r="G134" s="54"/>
      <c r="H134" s="53"/>
      <c r="I134" s="101"/>
    </row>
    <row r="135" spans="1:13" x14ac:dyDescent="0.2">
      <c r="G135" s="54"/>
      <c r="H135" s="53"/>
    </row>
    <row r="136" spans="1:13" x14ac:dyDescent="0.2">
      <c r="G136" s="54"/>
      <c r="H136" s="53"/>
    </row>
    <row r="137" spans="1:13" x14ac:dyDescent="0.2">
      <c r="H137" s="53"/>
    </row>
  </sheetData>
  <mergeCells count="6">
    <mergeCell ref="C123:F123"/>
    <mergeCell ref="A1:G1"/>
    <mergeCell ref="A3:F3"/>
    <mergeCell ref="A9:F9"/>
    <mergeCell ref="A20:F20"/>
    <mergeCell ref="A89:D89"/>
  </mergeCells>
  <conditionalFormatting sqref="G86:G87">
    <cfRule type="cellIs" dxfId="337" priority="1" operator="lessThan">
      <formula>0</formula>
    </cfRule>
  </conditionalFormatting>
  <conditionalFormatting sqref="C22">
    <cfRule type="duplicateValues" dxfId="336" priority="2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A00-000000000000}">
  <sheetPr codeName="Sheet418">
    <pageSetUpPr fitToPage="1"/>
  </sheetPr>
  <dimension ref="A1:N114"/>
  <sheetViews>
    <sheetView zoomScaleNormal="100" workbookViewId="0">
      <selection activeCell="E54" sqref="E54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1459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45170</v>
      </c>
      <c r="B5" s="9" t="s">
        <v>6</v>
      </c>
      <c r="C5" s="10" t="s">
        <v>7</v>
      </c>
      <c r="D5" s="11"/>
      <c r="E5" s="12">
        <v>1546581.74</v>
      </c>
      <c r="F5" s="12"/>
      <c r="G5" s="1"/>
      <c r="H5" s="112"/>
      <c r="I5" s="112"/>
    </row>
    <row r="6" spans="1:10" s="2" customFormat="1" ht="14.25" customHeight="1" x14ac:dyDescent="0.4">
      <c r="A6" s="89">
        <v>45170</v>
      </c>
      <c r="B6" s="9" t="s">
        <v>6</v>
      </c>
      <c r="C6" s="10" t="s">
        <v>582</v>
      </c>
      <c r="D6" s="11" t="s">
        <v>13</v>
      </c>
      <c r="E6" s="12">
        <v>7560</v>
      </c>
      <c r="F6" s="12"/>
      <c r="G6" s="1"/>
      <c r="H6" s="112"/>
      <c r="I6" s="112"/>
    </row>
    <row r="7" spans="1:10" s="2" customFormat="1" ht="14.25" customHeight="1" x14ac:dyDescent="0.4">
      <c r="A7" s="89">
        <v>45170</v>
      </c>
      <c r="B7" s="9" t="s">
        <v>6</v>
      </c>
      <c r="C7" s="10" t="s">
        <v>683</v>
      </c>
      <c r="D7" s="11" t="s">
        <v>13</v>
      </c>
      <c r="E7" s="12">
        <v>1235251.24</v>
      </c>
      <c r="F7" s="12"/>
      <c r="G7" s="1"/>
      <c r="H7" s="112"/>
      <c r="I7" s="112"/>
    </row>
    <row r="8" spans="1:10" s="2" customFormat="1" ht="12.75" customHeight="1" x14ac:dyDescent="0.4">
      <c r="D8" s="15" t="s">
        <v>8</v>
      </c>
      <c r="E8" s="16">
        <f>SUM(E5:E7)</f>
        <v>2789392.98</v>
      </c>
      <c r="F8" s="16">
        <f>SUM(F5:F5)</f>
        <v>0</v>
      </c>
      <c r="G8" s="1"/>
      <c r="H8" s="112"/>
      <c r="I8" s="112"/>
    </row>
    <row r="9" spans="1:10" s="2" customFormat="1" ht="12.75" customHeight="1" x14ac:dyDescent="0.4">
      <c r="A9" s="17"/>
      <c r="B9" s="18"/>
      <c r="C9" s="19" t="s">
        <v>9</v>
      </c>
      <c r="D9" s="20"/>
      <c r="E9" s="21">
        <f>+E8-F8</f>
        <v>2789392.98</v>
      </c>
      <c r="F9" s="22"/>
      <c r="G9" s="23"/>
      <c r="H9" s="112"/>
      <c r="I9" s="112"/>
      <c r="J9" s="13"/>
    </row>
    <row r="10" spans="1:10" ht="12.75" customHeight="1" x14ac:dyDescent="0.4">
      <c r="H10" s="112"/>
      <c r="I10" s="112"/>
    </row>
    <row r="11" spans="1:10" ht="18" customHeight="1" x14ac:dyDescent="0.4">
      <c r="A11" s="213" t="s">
        <v>1037</v>
      </c>
      <c r="B11" s="213"/>
      <c r="C11" s="213"/>
      <c r="D11" s="213"/>
      <c r="E11" s="213"/>
      <c r="F11" s="213"/>
      <c r="H11" s="112"/>
      <c r="I11" s="112"/>
    </row>
    <row r="12" spans="1:10" ht="12.75" customHeight="1" x14ac:dyDescent="0.4">
      <c r="A12" s="3" t="s">
        <v>1</v>
      </c>
      <c r="B12" s="4" t="s">
        <v>2</v>
      </c>
      <c r="C12" s="5"/>
      <c r="D12" s="6" t="s">
        <v>3</v>
      </c>
      <c r="E12" s="7" t="s">
        <v>4</v>
      </c>
      <c r="F12" s="7" t="s">
        <v>5</v>
      </c>
      <c r="H12" s="112"/>
      <c r="I12" s="112"/>
    </row>
    <row r="13" spans="1:10" s="2" customFormat="1" ht="14.25" customHeight="1" x14ac:dyDescent="0.2">
      <c r="A13" s="89">
        <v>45170</v>
      </c>
      <c r="B13" s="9" t="s">
        <v>6</v>
      </c>
      <c r="C13" s="10" t="s">
        <v>7</v>
      </c>
      <c r="D13" s="11"/>
      <c r="F13" s="12">
        <v>71353637.690000013</v>
      </c>
      <c r="G13" s="1"/>
      <c r="H13" s="130" t="s">
        <v>396</v>
      </c>
      <c r="I13" s="130"/>
    </row>
    <row r="14" spans="1:10" s="2" customFormat="1" ht="14.25" customHeight="1" x14ac:dyDescent="0.2">
      <c r="A14" s="89">
        <v>45170</v>
      </c>
      <c r="B14" s="9" t="s">
        <v>11</v>
      </c>
      <c r="C14" s="76" t="s">
        <v>1460</v>
      </c>
      <c r="D14" s="11" t="s">
        <v>29</v>
      </c>
      <c r="F14" s="12">
        <v>89520.76</v>
      </c>
      <c r="G14" s="1"/>
      <c r="H14" s="130"/>
      <c r="I14" s="130"/>
    </row>
    <row r="15" spans="1:10" s="2" customFormat="1" ht="14.25" customHeight="1" x14ac:dyDescent="0.2">
      <c r="A15" s="89">
        <v>45170</v>
      </c>
      <c r="B15" s="9" t="s">
        <v>11</v>
      </c>
      <c r="C15" s="76" t="s">
        <v>1462</v>
      </c>
      <c r="D15" s="11" t="s">
        <v>29</v>
      </c>
      <c r="F15" s="12">
        <v>51205</v>
      </c>
      <c r="G15" s="1"/>
      <c r="H15" s="130"/>
      <c r="I15" s="130"/>
    </row>
    <row r="16" spans="1:10" s="2" customFormat="1" ht="14.25" customHeight="1" x14ac:dyDescent="0.2">
      <c r="A16" s="89">
        <v>45170</v>
      </c>
      <c r="B16" s="9" t="s">
        <v>11</v>
      </c>
      <c r="C16" s="76" t="s">
        <v>395</v>
      </c>
      <c r="D16" s="11" t="s">
        <v>29</v>
      </c>
      <c r="F16" s="12">
        <v>500000</v>
      </c>
      <c r="G16" s="1"/>
      <c r="H16" s="130"/>
      <c r="I16" s="130"/>
    </row>
    <row r="17" spans="1:9" s="2" customFormat="1" ht="14.25" customHeight="1" x14ac:dyDescent="0.2">
      <c r="A17" s="89">
        <v>45170</v>
      </c>
      <c r="B17" s="9" t="s">
        <v>11</v>
      </c>
      <c r="C17" s="76" t="s">
        <v>337</v>
      </c>
      <c r="D17" s="11" t="s">
        <v>29</v>
      </c>
      <c r="F17" s="12">
        <v>125280</v>
      </c>
      <c r="G17" s="1"/>
      <c r="H17" s="130"/>
      <c r="I17" s="130"/>
    </row>
    <row r="18" spans="1:9" s="2" customFormat="1" ht="14.25" customHeight="1" x14ac:dyDescent="0.2">
      <c r="A18" s="89">
        <v>45170</v>
      </c>
      <c r="B18" s="9" t="s">
        <v>11</v>
      </c>
      <c r="C18" s="76" t="s">
        <v>486</v>
      </c>
      <c r="D18" s="11" t="s">
        <v>29</v>
      </c>
      <c r="F18" s="12">
        <v>1200000</v>
      </c>
      <c r="G18" s="1"/>
      <c r="H18" s="130"/>
      <c r="I18" s="130"/>
    </row>
    <row r="19" spans="1:9" s="2" customFormat="1" ht="14.25" customHeight="1" x14ac:dyDescent="0.2">
      <c r="A19" s="89">
        <v>45170</v>
      </c>
      <c r="B19" s="9" t="s">
        <v>11</v>
      </c>
      <c r="C19" s="76" t="s">
        <v>482</v>
      </c>
      <c r="D19" s="11" t="s">
        <v>29</v>
      </c>
      <c r="F19" s="12">
        <v>68470</v>
      </c>
      <c r="G19" s="1"/>
      <c r="H19" s="130"/>
      <c r="I19" s="130"/>
    </row>
    <row r="20" spans="1:9" s="2" customFormat="1" ht="14.25" customHeight="1" x14ac:dyDescent="0.2">
      <c r="A20" s="89">
        <v>45170</v>
      </c>
      <c r="B20" s="9" t="s">
        <v>11</v>
      </c>
      <c r="C20" s="76" t="s">
        <v>32</v>
      </c>
      <c r="D20" s="11" t="s">
        <v>29</v>
      </c>
      <c r="F20" s="12">
        <v>844737</v>
      </c>
      <c r="G20" s="1"/>
      <c r="H20" s="130"/>
      <c r="I20" s="130"/>
    </row>
    <row r="21" spans="1:9" s="2" customFormat="1" ht="14.25" customHeight="1" x14ac:dyDescent="0.2">
      <c r="A21" s="89">
        <v>45170</v>
      </c>
      <c r="B21" s="9" t="s">
        <v>11</v>
      </c>
      <c r="C21" s="76" t="s">
        <v>452</v>
      </c>
      <c r="D21" s="11" t="s">
        <v>29</v>
      </c>
      <c r="F21" s="12">
        <v>380278</v>
      </c>
      <c r="G21" s="1"/>
      <c r="H21" s="130"/>
      <c r="I21" s="130"/>
    </row>
    <row r="22" spans="1:9" s="2" customFormat="1" ht="14.25" customHeight="1" x14ac:dyDescent="0.2">
      <c r="A22" s="89">
        <v>45170</v>
      </c>
      <c r="B22" s="9" t="s">
        <v>11</v>
      </c>
      <c r="C22" s="76" t="s">
        <v>198</v>
      </c>
      <c r="D22" s="11" t="s">
        <v>29</v>
      </c>
      <c r="F22" s="12">
        <v>750000</v>
      </c>
      <c r="G22" s="1"/>
      <c r="H22" s="130"/>
      <c r="I22" s="130"/>
    </row>
    <row r="23" spans="1:9" s="2" customFormat="1" ht="14.25" customHeight="1" x14ac:dyDescent="0.2">
      <c r="A23" s="89">
        <v>45170</v>
      </c>
      <c r="B23" s="9" t="s">
        <v>11</v>
      </c>
      <c r="C23" s="76" t="s">
        <v>443</v>
      </c>
      <c r="D23" s="11" t="s">
        <v>29</v>
      </c>
      <c r="F23" s="12">
        <v>750000</v>
      </c>
      <c r="G23" s="1"/>
      <c r="H23" s="130"/>
      <c r="I23" s="130"/>
    </row>
    <row r="24" spans="1:9" s="2" customFormat="1" ht="14.25" customHeight="1" x14ac:dyDescent="0.2">
      <c r="A24" s="89">
        <v>45170</v>
      </c>
      <c r="B24" s="9" t="s">
        <v>11</v>
      </c>
      <c r="C24" s="76" t="s">
        <v>98</v>
      </c>
      <c r="D24" s="11" t="s">
        <v>29</v>
      </c>
      <c r="F24" s="12">
        <v>5160</v>
      </c>
      <c r="G24" s="1"/>
      <c r="H24" s="130"/>
      <c r="I24" s="130"/>
    </row>
    <row r="25" spans="1:9" s="2" customFormat="1" ht="14.25" customHeight="1" x14ac:dyDescent="0.2">
      <c r="A25" s="89">
        <v>45170</v>
      </c>
      <c r="B25" s="9" t="s">
        <v>11</v>
      </c>
      <c r="C25" s="76" t="s">
        <v>96</v>
      </c>
      <c r="D25" s="11" t="s">
        <v>29</v>
      </c>
      <c r="F25" s="12">
        <v>7527</v>
      </c>
      <c r="G25" s="1"/>
      <c r="H25" s="130"/>
      <c r="I25" s="130"/>
    </row>
    <row r="26" spans="1:9" s="2" customFormat="1" ht="14.25" customHeight="1" x14ac:dyDescent="0.2">
      <c r="A26" s="89">
        <v>45170</v>
      </c>
      <c r="B26" s="9" t="s">
        <v>11</v>
      </c>
      <c r="C26" s="76" t="s">
        <v>55</v>
      </c>
      <c r="D26" s="11" t="s">
        <v>29</v>
      </c>
      <c r="F26" s="12">
        <v>2120751.4</v>
      </c>
      <c r="G26" s="1"/>
      <c r="H26" s="130"/>
      <c r="I26" s="130"/>
    </row>
    <row r="27" spans="1:9" s="2" customFormat="1" ht="14.25" customHeight="1" x14ac:dyDescent="0.2">
      <c r="A27" s="89">
        <v>45170</v>
      </c>
      <c r="B27" s="9" t="s">
        <v>11</v>
      </c>
      <c r="C27" s="76" t="s">
        <v>412</v>
      </c>
      <c r="D27" s="11" t="s">
        <v>29</v>
      </c>
      <c r="F27" s="12">
        <v>963859</v>
      </c>
      <c r="G27" s="1"/>
      <c r="H27" s="130"/>
      <c r="I27" s="130"/>
    </row>
    <row r="28" spans="1:9" s="2" customFormat="1" ht="14.25" customHeight="1" x14ac:dyDescent="0.2">
      <c r="A28" s="89">
        <v>45170</v>
      </c>
      <c r="B28" s="9" t="s">
        <v>11</v>
      </c>
      <c r="C28" s="76" t="s">
        <v>352</v>
      </c>
      <c r="D28" s="11" t="s">
        <v>29</v>
      </c>
      <c r="F28" s="12">
        <v>47223</v>
      </c>
      <c r="G28" s="1"/>
      <c r="H28" s="130"/>
      <c r="I28" s="130"/>
    </row>
    <row r="29" spans="1:9" s="2" customFormat="1" ht="14.25" customHeight="1" x14ac:dyDescent="0.2">
      <c r="A29" s="89">
        <v>45170</v>
      </c>
      <c r="B29" s="9" t="s">
        <v>11</v>
      </c>
      <c r="C29" s="76" t="s">
        <v>729</v>
      </c>
      <c r="D29" s="11" t="s">
        <v>29</v>
      </c>
      <c r="F29" s="12">
        <v>24811.63</v>
      </c>
      <c r="G29" s="1"/>
      <c r="H29" s="130"/>
      <c r="I29" s="130"/>
    </row>
    <row r="30" spans="1:9" s="2" customFormat="1" ht="14.25" customHeight="1" x14ac:dyDescent="0.2">
      <c r="A30" s="89">
        <v>45170</v>
      </c>
      <c r="B30" s="9" t="s">
        <v>11</v>
      </c>
      <c r="C30" s="76" t="s">
        <v>1461</v>
      </c>
      <c r="D30" s="11" t="s">
        <v>29</v>
      </c>
      <c r="F30" s="12">
        <v>94424</v>
      </c>
      <c r="G30" s="1"/>
      <c r="H30" s="130"/>
      <c r="I30" s="130"/>
    </row>
    <row r="31" spans="1:9" s="2" customFormat="1" ht="14.25" customHeight="1" x14ac:dyDescent="0.2">
      <c r="A31" s="89">
        <v>45170</v>
      </c>
      <c r="B31" s="9" t="s">
        <v>11</v>
      </c>
      <c r="C31" s="76" t="s">
        <v>63</v>
      </c>
      <c r="D31" s="11" t="s">
        <v>29</v>
      </c>
      <c r="F31" s="12">
        <v>5000000</v>
      </c>
      <c r="G31" s="1"/>
      <c r="H31" s="130"/>
      <c r="I31" s="130"/>
    </row>
    <row r="32" spans="1:9" s="2" customFormat="1" ht="12.75" customHeight="1" x14ac:dyDescent="0.4">
      <c r="D32" s="11" t="s">
        <v>8</v>
      </c>
      <c r="E32" s="16">
        <f>SUM(E13:E31)</f>
        <v>0</v>
      </c>
      <c r="F32" s="16">
        <f>SUM(F13:F31)</f>
        <v>84376884.480000019</v>
      </c>
      <c r="G32" s="1"/>
      <c r="H32" s="112"/>
      <c r="I32" s="112"/>
    </row>
    <row r="33" spans="1:14" s="2" customFormat="1" ht="12.75" customHeight="1" x14ac:dyDescent="0.4">
      <c r="A33" s="17"/>
      <c r="B33" s="18"/>
      <c r="C33" s="96" t="s">
        <v>9</v>
      </c>
      <c r="D33" s="20"/>
      <c r="E33" s="21">
        <f>+F32-E32</f>
        <v>84376884.480000019</v>
      </c>
      <c r="G33" s="23"/>
      <c r="H33" s="112"/>
      <c r="I33" s="112"/>
      <c r="J33" s="13"/>
    </row>
    <row r="34" spans="1:14" s="2" customFormat="1" ht="12.75" customHeight="1" x14ac:dyDescent="0.2">
      <c r="A34" s="36"/>
      <c r="B34" s="28" t="s">
        <v>66</v>
      </c>
      <c r="C34" s="43" t="s">
        <v>1458</v>
      </c>
      <c r="D34" s="43"/>
      <c r="E34" s="12">
        <v>30000000</v>
      </c>
      <c r="F34" s="22"/>
      <c r="G34" s="1"/>
      <c r="H34" s="40"/>
      <c r="I34" s="45"/>
      <c r="J34" s="46"/>
      <c r="K34" s="46"/>
      <c r="L34" s="13"/>
      <c r="M34" s="69" t="s">
        <v>396</v>
      </c>
    </row>
    <row r="35" spans="1:14" s="2" customFormat="1" ht="12.75" customHeight="1" x14ac:dyDescent="0.25">
      <c r="A35" s="36"/>
      <c r="B35" s="28"/>
      <c r="C35" s="44" t="s">
        <v>68</v>
      </c>
      <c r="D35" s="43"/>
      <c r="E35" s="7">
        <f>+E33+E34</f>
        <v>114376884.48000002</v>
      </c>
      <c r="F35" s="22"/>
      <c r="G35" s="1"/>
      <c r="H35" s="103"/>
      <c r="I35" s="45"/>
      <c r="J35" s="46"/>
      <c r="K35" s="46"/>
      <c r="N35" s="1"/>
    </row>
    <row r="36" spans="1:14" s="2" customFormat="1" ht="12.75" customHeight="1" x14ac:dyDescent="0.4">
      <c r="A36" s="24"/>
      <c r="B36" s="1"/>
      <c r="C36" s="14"/>
      <c r="D36" s="25"/>
      <c r="G36" s="23"/>
      <c r="H36" s="112"/>
      <c r="I36" s="112"/>
      <c r="J36" s="13"/>
    </row>
    <row r="37" spans="1:14" s="2" customFormat="1" ht="21.75" customHeight="1" x14ac:dyDescent="0.4">
      <c r="A37" s="214" t="s">
        <v>10</v>
      </c>
      <c r="B37" s="214"/>
      <c r="C37" s="214"/>
      <c r="D37" s="214"/>
      <c r="E37" s="214"/>
      <c r="F37" s="214"/>
      <c r="G37" s="13"/>
      <c r="H37" s="112"/>
      <c r="I37" s="112"/>
      <c r="J37" s="13"/>
    </row>
    <row r="38" spans="1:14" s="2" customFormat="1" ht="12.75" customHeight="1" x14ac:dyDescent="0.4">
      <c r="A38" s="26" t="s">
        <v>1</v>
      </c>
      <c r="B38" s="27" t="s">
        <v>2</v>
      </c>
      <c r="C38" s="5"/>
      <c r="D38" s="6" t="s">
        <v>3</v>
      </c>
      <c r="E38" s="7" t="s">
        <v>4</v>
      </c>
      <c r="F38" s="7" t="s">
        <v>5</v>
      </c>
      <c r="G38" s="23"/>
      <c r="H38" s="112"/>
      <c r="I38" s="112"/>
      <c r="J38" s="13"/>
    </row>
    <row r="39" spans="1:14" s="2" customFormat="1" ht="12.75" customHeight="1" x14ac:dyDescent="0.2">
      <c r="A39" s="89">
        <v>45170</v>
      </c>
      <c r="B39" s="128" t="s">
        <v>11</v>
      </c>
      <c r="C39" s="29" t="s">
        <v>7</v>
      </c>
      <c r="D39" s="25"/>
      <c r="E39" s="31"/>
      <c r="F39" s="2">
        <v>105197783.81000002</v>
      </c>
      <c r="G39" s="30"/>
      <c r="I39" s="13"/>
      <c r="J39" s="13"/>
    </row>
    <row r="40" spans="1:14" s="70" customFormat="1" ht="12.75" customHeight="1" x14ac:dyDescent="0.2">
      <c r="A40" s="89">
        <v>45170</v>
      </c>
      <c r="B40" s="128" t="s">
        <v>6</v>
      </c>
      <c r="C40" s="10" t="s">
        <v>200</v>
      </c>
      <c r="D40" s="11" t="s">
        <v>13</v>
      </c>
      <c r="E40" s="86">
        <v>98895</v>
      </c>
      <c r="G40" s="30"/>
      <c r="I40" s="69"/>
      <c r="J40" s="69"/>
    </row>
    <row r="41" spans="1:14" s="70" customFormat="1" ht="12.75" customHeight="1" x14ac:dyDescent="0.2">
      <c r="A41" s="89">
        <v>45170</v>
      </c>
      <c r="B41" s="128" t="s">
        <v>6</v>
      </c>
      <c r="C41" s="10" t="s">
        <v>311</v>
      </c>
      <c r="D41" s="11" t="s">
        <v>13</v>
      </c>
      <c r="E41" s="86">
        <v>547173</v>
      </c>
      <c r="G41" s="30"/>
      <c r="I41" s="69"/>
      <c r="J41" s="69"/>
    </row>
    <row r="42" spans="1:14" s="70" customFormat="1" ht="12.75" customHeight="1" x14ac:dyDescent="0.2">
      <c r="A42" s="89">
        <v>45170</v>
      </c>
      <c r="B42" s="128" t="s">
        <v>6</v>
      </c>
      <c r="C42" s="10" t="s">
        <v>24</v>
      </c>
      <c r="D42" s="11" t="s">
        <v>13</v>
      </c>
      <c r="E42" s="86">
        <v>18043</v>
      </c>
      <c r="G42" s="30"/>
      <c r="I42" s="69"/>
      <c r="J42" s="69"/>
    </row>
    <row r="43" spans="1:14" s="70" customFormat="1" ht="12.75" customHeight="1" x14ac:dyDescent="0.2">
      <c r="A43" s="89">
        <v>45170</v>
      </c>
      <c r="B43" s="128" t="s">
        <v>6</v>
      </c>
      <c r="C43" s="10" t="s">
        <v>683</v>
      </c>
      <c r="D43" s="11" t="s">
        <v>13</v>
      </c>
      <c r="E43" s="86">
        <v>5250</v>
      </c>
      <c r="G43" s="30"/>
      <c r="I43" s="69"/>
      <c r="J43" s="69"/>
    </row>
    <row r="44" spans="1:14" s="70" customFormat="1" ht="12.75" customHeight="1" x14ac:dyDescent="0.2">
      <c r="A44" s="89">
        <v>45170</v>
      </c>
      <c r="B44" s="128" t="s">
        <v>6</v>
      </c>
      <c r="C44" s="10" t="s">
        <v>1375</v>
      </c>
      <c r="D44" s="11" t="s">
        <v>13</v>
      </c>
      <c r="E44" s="86">
        <v>1622763</v>
      </c>
      <c r="G44" s="30"/>
      <c r="I44" s="69"/>
      <c r="J44" s="69"/>
    </row>
    <row r="45" spans="1:14" s="70" customFormat="1" ht="12.75" customHeight="1" x14ac:dyDescent="0.2">
      <c r="A45" s="89">
        <v>45170</v>
      </c>
      <c r="B45" s="128" t="s">
        <v>6</v>
      </c>
      <c r="C45" s="10" t="s">
        <v>1241</v>
      </c>
      <c r="D45" s="11" t="s">
        <v>13</v>
      </c>
      <c r="E45" s="86">
        <v>134546</v>
      </c>
      <c r="G45" s="30"/>
      <c r="I45" s="69"/>
      <c r="J45" s="69"/>
    </row>
    <row r="46" spans="1:14" s="70" customFormat="1" ht="12.75" customHeight="1" x14ac:dyDescent="0.2">
      <c r="A46" s="89">
        <v>45170</v>
      </c>
      <c r="B46" s="128" t="s">
        <v>6</v>
      </c>
      <c r="C46" s="10" t="s">
        <v>238</v>
      </c>
      <c r="D46" s="11" t="s">
        <v>13</v>
      </c>
      <c r="E46" s="86">
        <v>500000</v>
      </c>
      <c r="G46" s="30"/>
      <c r="I46" s="69"/>
      <c r="J46" s="69"/>
    </row>
    <row r="47" spans="1:14" s="70" customFormat="1" ht="12.75" customHeight="1" x14ac:dyDescent="0.2">
      <c r="A47" s="89">
        <v>45170</v>
      </c>
      <c r="B47" s="128" t="s">
        <v>6</v>
      </c>
      <c r="C47" s="10" t="s">
        <v>797</v>
      </c>
      <c r="D47" s="11" t="s">
        <v>13</v>
      </c>
      <c r="E47" s="86">
        <v>86131</v>
      </c>
      <c r="G47" s="30"/>
      <c r="I47" s="69"/>
      <c r="J47" s="69"/>
    </row>
    <row r="48" spans="1:14" s="70" customFormat="1" ht="12.75" customHeight="1" x14ac:dyDescent="0.2">
      <c r="A48" s="89">
        <v>45170</v>
      </c>
      <c r="B48" s="128" t="s">
        <v>6</v>
      </c>
      <c r="C48" s="10" t="s">
        <v>103</v>
      </c>
      <c r="D48" s="11" t="s">
        <v>13</v>
      </c>
      <c r="E48" s="86">
        <v>525053</v>
      </c>
      <c r="G48" s="30"/>
      <c r="I48" s="69"/>
      <c r="J48" s="69"/>
    </row>
    <row r="49" spans="1:10" s="70" customFormat="1" ht="12.75" customHeight="1" x14ac:dyDescent="0.2">
      <c r="A49" s="89">
        <v>45170</v>
      </c>
      <c r="B49" s="128" t="s">
        <v>6</v>
      </c>
      <c r="C49" s="10" t="s">
        <v>177</v>
      </c>
      <c r="D49" s="11" t="s">
        <v>13</v>
      </c>
      <c r="E49" s="86">
        <v>194119</v>
      </c>
      <c r="G49" s="30"/>
      <c r="I49" s="69"/>
      <c r="J49" s="69"/>
    </row>
    <row r="50" spans="1:10" s="70" customFormat="1" ht="12.75" customHeight="1" x14ac:dyDescent="0.2">
      <c r="A50" s="89">
        <v>45170</v>
      </c>
      <c r="B50" s="128" t="s">
        <v>6</v>
      </c>
      <c r="C50" s="10" t="s">
        <v>1419</v>
      </c>
      <c r="D50" s="11" t="s">
        <v>13</v>
      </c>
      <c r="E50" s="86">
        <v>196491</v>
      </c>
      <c r="G50" s="30"/>
      <c r="I50" s="69"/>
      <c r="J50" s="69"/>
    </row>
    <row r="51" spans="1:10" s="70" customFormat="1" ht="12.75" customHeight="1" x14ac:dyDescent="0.2">
      <c r="A51" s="89">
        <v>45170</v>
      </c>
      <c r="B51" s="128" t="s">
        <v>6</v>
      </c>
      <c r="C51" s="10" t="s">
        <v>149</v>
      </c>
      <c r="D51" s="11" t="s">
        <v>13</v>
      </c>
      <c r="E51" s="86">
        <v>3264</v>
      </c>
      <c r="G51" s="30"/>
      <c r="I51" s="69"/>
      <c r="J51" s="69"/>
    </row>
    <row r="52" spans="1:10" s="70" customFormat="1" ht="12.75" customHeight="1" x14ac:dyDescent="0.2">
      <c r="A52" s="89">
        <v>45170</v>
      </c>
      <c r="B52" s="128" t="s">
        <v>6</v>
      </c>
      <c r="C52" s="10" t="s">
        <v>105</v>
      </c>
      <c r="D52" s="11" t="s">
        <v>13</v>
      </c>
      <c r="E52" s="86">
        <v>827934</v>
      </c>
      <c r="G52" s="30"/>
      <c r="I52" s="69"/>
      <c r="J52" s="69"/>
    </row>
    <row r="53" spans="1:10" s="70" customFormat="1" ht="12.75" customHeight="1" x14ac:dyDescent="0.2">
      <c r="A53" s="89">
        <v>45170</v>
      </c>
      <c r="B53" s="128" t="s">
        <v>6</v>
      </c>
      <c r="C53" s="10" t="s">
        <v>15</v>
      </c>
      <c r="D53" s="11" t="s">
        <v>13</v>
      </c>
      <c r="E53" s="86">
        <v>4464.32</v>
      </c>
      <c r="G53" s="30"/>
      <c r="I53" s="69"/>
      <c r="J53" s="69"/>
    </row>
    <row r="54" spans="1:10" s="70" customFormat="1" ht="12.75" customHeight="1" x14ac:dyDescent="0.2">
      <c r="A54" s="89">
        <v>45170</v>
      </c>
      <c r="B54" s="128" t="s">
        <v>6</v>
      </c>
      <c r="C54" s="10" t="s">
        <v>281</v>
      </c>
      <c r="D54" s="11" t="s">
        <v>13</v>
      </c>
      <c r="E54" s="86">
        <v>192596</v>
      </c>
      <c r="G54" s="30"/>
      <c r="I54" s="69"/>
      <c r="J54" s="69"/>
    </row>
    <row r="55" spans="1:10" s="70" customFormat="1" ht="12.75" customHeight="1" x14ac:dyDescent="0.2">
      <c r="A55" s="89">
        <v>45170</v>
      </c>
      <c r="B55" s="128" t="s">
        <v>6</v>
      </c>
      <c r="C55" s="10" t="s">
        <v>16</v>
      </c>
      <c r="D55" s="11" t="s">
        <v>13</v>
      </c>
      <c r="E55" s="86">
        <v>102626.30000000002</v>
      </c>
      <c r="G55" s="152"/>
      <c r="I55" s="69"/>
      <c r="J55" s="69"/>
    </row>
    <row r="56" spans="1:10" s="70" customFormat="1" ht="12.75" customHeight="1" x14ac:dyDescent="0.2">
      <c r="A56" s="89">
        <v>45170</v>
      </c>
      <c r="B56" s="128" t="s">
        <v>6</v>
      </c>
      <c r="C56" s="10" t="s">
        <v>1031</v>
      </c>
      <c r="D56" s="11" t="s">
        <v>13</v>
      </c>
      <c r="E56" s="86">
        <v>39.200000000000003</v>
      </c>
      <c r="G56" s="30"/>
      <c r="I56" s="69"/>
      <c r="J56" s="69"/>
    </row>
    <row r="57" spans="1:10" s="70" customFormat="1" ht="12.75" customHeight="1" x14ac:dyDescent="0.2">
      <c r="A57" s="89">
        <v>45170</v>
      </c>
      <c r="B57" s="128" t="s">
        <v>6</v>
      </c>
      <c r="C57" s="10" t="s">
        <v>516</v>
      </c>
      <c r="D57" s="11" t="s">
        <v>13</v>
      </c>
      <c r="E57" s="86">
        <v>55261</v>
      </c>
      <c r="G57" s="30"/>
      <c r="I57" s="69"/>
      <c r="J57" s="69"/>
    </row>
    <row r="58" spans="1:10" s="70" customFormat="1" ht="12.75" customHeight="1" x14ac:dyDescent="0.2">
      <c r="A58" s="89">
        <v>45170</v>
      </c>
      <c r="B58" s="128" t="s">
        <v>11</v>
      </c>
      <c r="C58" s="10" t="s">
        <v>1463</v>
      </c>
      <c r="D58" s="11" t="s">
        <v>29</v>
      </c>
      <c r="E58" s="86"/>
      <c r="F58" s="70">
        <f>147294.52</f>
        <v>147294.51999999999</v>
      </c>
      <c r="G58" s="30"/>
      <c r="I58" s="69"/>
      <c r="J58" s="69"/>
    </row>
    <row r="59" spans="1:10" s="70" customFormat="1" ht="12.75" customHeight="1" x14ac:dyDescent="0.2">
      <c r="A59" s="89">
        <v>45170</v>
      </c>
      <c r="B59" s="128" t="s">
        <v>11</v>
      </c>
      <c r="C59" s="10" t="s">
        <v>1464</v>
      </c>
      <c r="D59" s="11" t="s">
        <v>29</v>
      </c>
      <c r="E59" s="86"/>
      <c r="F59" s="70">
        <v>313801.37</v>
      </c>
      <c r="G59" s="30"/>
      <c r="I59" s="69"/>
      <c r="J59" s="69"/>
    </row>
    <row r="60" spans="1:10" s="70" customFormat="1" ht="12.75" customHeight="1" x14ac:dyDescent="0.2">
      <c r="A60" s="89">
        <v>45170</v>
      </c>
      <c r="B60" s="128" t="s">
        <v>11</v>
      </c>
      <c r="C60" s="10" t="s">
        <v>1465</v>
      </c>
      <c r="D60" s="11" t="s">
        <v>29</v>
      </c>
      <c r="E60" s="86"/>
      <c r="F60" s="70">
        <v>153698.63</v>
      </c>
      <c r="G60" s="30"/>
      <c r="I60" s="69"/>
      <c r="J60" s="69"/>
    </row>
    <row r="61" spans="1:10" s="69" customFormat="1" ht="12.75" customHeight="1" x14ac:dyDescent="0.2">
      <c r="A61" s="97">
        <v>45170</v>
      </c>
      <c r="B61" s="132" t="s">
        <v>11</v>
      </c>
      <c r="C61" s="121" t="s">
        <v>503</v>
      </c>
      <c r="D61" s="122" t="s">
        <v>258</v>
      </c>
      <c r="E61" s="147"/>
      <c r="F61" s="69">
        <v>384061.98</v>
      </c>
      <c r="G61" s="100"/>
    </row>
    <row r="62" spans="1:10" s="70" customFormat="1" ht="12.75" customHeight="1" x14ac:dyDescent="0.2">
      <c r="A62" s="89">
        <v>45170</v>
      </c>
      <c r="B62" s="128" t="s">
        <v>11</v>
      </c>
      <c r="C62" s="10" t="s">
        <v>1031</v>
      </c>
      <c r="D62" s="11" t="s">
        <v>29</v>
      </c>
      <c r="E62" s="86"/>
      <c r="F62" s="70">
        <v>8.76</v>
      </c>
      <c r="G62" s="30"/>
      <c r="I62" s="69"/>
      <c r="J62" s="69"/>
    </row>
    <row r="63" spans="1:10" s="70" customFormat="1" ht="12.75" customHeight="1" x14ac:dyDescent="0.2">
      <c r="A63" s="89">
        <v>45170</v>
      </c>
      <c r="B63" s="128" t="s">
        <v>11</v>
      </c>
      <c r="C63" s="10" t="s">
        <v>64</v>
      </c>
      <c r="D63" s="11" t="s">
        <v>29</v>
      </c>
      <c r="E63" s="86"/>
      <c r="F63" s="70">
        <v>10.620000000000001</v>
      </c>
      <c r="G63" s="30"/>
      <c r="I63" s="69"/>
      <c r="J63" s="69"/>
    </row>
    <row r="64" spans="1:10" s="70" customFormat="1" ht="12.75" customHeight="1" x14ac:dyDescent="0.2">
      <c r="A64" s="89">
        <v>45170</v>
      </c>
      <c r="B64" s="128" t="s">
        <v>11</v>
      </c>
      <c r="C64" s="10" t="s">
        <v>102</v>
      </c>
      <c r="D64" s="11" t="s">
        <v>29</v>
      </c>
      <c r="E64" s="86"/>
      <c r="F64" s="70">
        <v>2240589</v>
      </c>
      <c r="G64" s="30"/>
      <c r="I64" s="69"/>
      <c r="J64" s="69"/>
    </row>
    <row r="65" spans="1:14" s="70" customFormat="1" ht="12.75" customHeight="1" x14ac:dyDescent="0.2">
      <c r="A65" s="89">
        <v>45170</v>
      </c>
      <c r="B65" s="128" t="s">
        <v>11</v>
      </c>
      <c r="C65" s="10" t="s">
        <v>92</v>
      </c>
      <c r="D65" s="11" t="s">
        <v>29</v>
      </c>
      <c r="E65" s="86"/>
      <c r="F65" s="70">
        <v>16615</v>
      </c>
      <c r="G65" s="30"/>
      <c r="I65" s="69"/>
      <c r="J65" s="69"/>
    </row>
    <row r="66" spans="1:14" s="70" customFormat="1" ht="12.75" customHeight="1" x14ac:dyDescent="0.2">
      <c r="A66" s="89">
        <v>45170</v>
      </c>
      <c r="B66" s="128" t="s">
        <v>11</v>
      </c>
      <c r="C66" s="10" t="s">
        <v>518</v>
      </c>
      <c r="D66" s="11" t="s">
        <v>29</v>
      </c>
      <c r="E66" s="86"/>
      <c r="F66" s="70">
        <v>20302</v>
      </c>
      <c r="G66" s="30"/>
      <c r="I66" s="69"/>
      <c r="J66" s="69"/>
    </row>
    <row r="67" spans="1:14" s="70" customFormat="1" ht="12.75" customHeight="1" x14ac:dyDescent="0.2">
      <c r="A67" s="89">
        <v>45170</v>
      </c>
      <c r="B67" s="128" t="s">
        <v>11</v>
      </c>
      <c r="C67" s="10" t="s">
        <v>109</v>
      </c>
      <c r="D67" s="11" t="s">
        <v>29</v>
      </c>
      <c r="E67" s="86"/>
      <c r="F67" s="70">
        <v>662940</v>
      </c>
      <c r="G67" s="30"/>
      <c r="I67" s="69"/>
      <c r="J67" s="69"/>
    </row>
    <row r="68" spans="1:14" s="69" customFormat="1" ht="12.75" customHeight="1" x14ac:dyDescent="0.2">
      <c r="A68" s="89">
        <v>45170</v>
      </c>
      <c r="B68" s="128" t="s">
        <v>11</v>
      </c>
      <c r="C68" s="10" t="s">
        <v>740</v>
      </c>
      <c r="D68" s="11" t="s">
        <v>29</v>
      </c>
      <c r="E68" s="86"/>
      <c r="F68" s="70">
        <v>44098</v>
      </c>
      <c r="G68" s="100"/>
    </row>
    <row r="69" spans="1:14" s="70" customFormat="1" ht="12.75" customHeight="1" x14ac:dyDescent="0.2">
      <c r="A69" s="89">
        <v>45170</v>
      </c>
      <c r="B69" s="128" t="s">
        <v>11</v>
      </c>
      <c r="C69" s="10" t="s">
        <v>715</v>
      </c>
      <c r="D69" s="11" t="s">
        <v>29</v>
      </c>
      <c r="E69" s="86"/>
      <c r="F69" s="70">
        <v>2899050</v>
      </c>
      <c r="G69" s="30"/>
      <c r="I69" s="69"/>
      <c r="J69" s="69"/>
    </row>
    <row r="70" spans="1:14" s="70" customFormat="1" ht="12.75" customHeight="1" x14ac:dyDescent="0.2">
      <c r="A70" s="89">
        <v>45170</v>
      </c>
      <c r="B70" s="128" t="s">
        <v>11</v>
      </c>
      <c r="C70" s="10" t="s">
        <v>107</v>
      </c>
      <c r="D70" s="142" t="s">
        <v>29</v>
      </c>
      <c r="E70" s="86"/>
      <c r="F70" s="70">
        <v>741742.07</v>
      </c>
      <c r="G70" s="30"/>
      <c r="I70" s="69"/>
      <c r="J70" s="69"/>
    </row>
    <row r="71" spans="1:14" s="70" customFormat="1" ht="12.75" customHeight="1" x14ac:dyDescent="0.2">
      <c r="A71" s="89">
        <v>45170</v>
      </c>
      <c r="B71" s="128" t="s">
        <v>11</v>
      </c>
      <c r="C71" s="10" t="s">
        <v>108</v>
      </c>
      <c r="D71" s="142" t="s">
        <v>29</v>
      </c>
      <c r="E71" s="86"/>
      <c r="F71" s="70">
        <v>290427.12</v>
      </c>
      <c r="G71" s="30"/>
      <c r="I71" s="69"/>
      <c r="J71" s="69"/>
    </row>
    <row r="72" spans="1:14" s="70" customFormat="1" ht="12.75" customHeight="1" x14ac:dyDescent="0.2">
      <c r="A72" s="89">
        <v>45170</v>
      </c>
      <c r="B72" s="128" t="s">
        <v>11</v>
      </c>
      <c r="C72" s="10" t="s">
        <v>34</v>
      </c>
      <c r="D72" s="142" t="s">
        <v>29</v>
      </c>
      <c r="E72" s="86"/>
      <c r="F72" s="70">
        <v>45000</v>
      </c>
      <c r="G72" s="30"/>
      <c r="I72" s="69"/>
      <c r="J72" s="69"/>
    </row>
    <row r="73" spans="1:14" s="2" customFormat="1" ht="12.75" customHeight="1" x14ac:dyDescent="0.2">
      <c r="A73" s="32"/>
      <c r="B73" s="33"/>
      <c r="C73" s="14"/>
      <c r="D73" s="34"/>
      <c r="E73" s="16">
        <f>SUM(E39:E72)</f>
        <v>5114648.82</v>
      </c>
      <c r="F73" s="16">
        <f>SUM(F39:F72)</f>
        <v>113157422.88000003</v>
      </c>
      <c r="G73" s="30"/>
      <c r="H73" s="1"/>
      <c r="I73" s="38">
        <v>108042774.06</v>
      </c>
      <c r="J73" s="2" t="s">
        <v>396</v>
      </c>
      <c r="K73" s="92">
        <f>E74-I73</f>
        <v>0</v>
      </c>
      <c r="L73" s="41"/>
      <c r="M73" s="42"/>
    </row>
    <row r="74" spans="1:14" s="2" customFormat="1" ht="12.75" customHeight="1" x14ac:dyDescent="0.2">
      <c r="A74" s="36"/>
      <c r="B74" s="28" t="s">
        <v>11</v>
      </c>
      <c r="C74" s="19" t="s">
        <v>65</v>
      </c>
      <c r="D74" s="37"/>
      <c r="E74" s="38">
        <f>F73-E73</f>
        <v>108042774.06000003</v>
      </c>
      <c r="F74" s="22"/>
      <c r="G74" s="1"/>
      <c r="H74" s="1"/>
      <c r="J74" s="1"/>
      <c r="K74" s="1"/>
      <c r="L74" s="1"/>
      <c r="M74" s="1"/>
    </row>
    <row r="75" spans="1:14" s="2" customFormat="1" ht="12.75" customHeight="1" x14ac:dyDescent="0.2">
      <c r="A75" s="36"/>
      <c r="B75" s="28" t="s">
        <v>66</v>
      </c>
      <c r="C75" s="43" t="s">
        <v>1457</v>
      </c>
      <c r="D75" s="43"/>
      <c r="E75" s="12">
        <v>350000000</v>
      </c>
      <c r="F75" s="22"/>
      <c r="G75" s="1"/>
      <c r="H75" s="40"/>
      <c r="I75" s="45">
        <v>43.45</v>
      </c>
      <c r="J75" s="46"/>
      <c r="K75" s="46"/>
      <c r="L75" s="13"/>
      <c r="M75" s="69" t="s">
        <v>396</v>
      </c>
    </row>
    <row r="76" spans="1:14" s="2" customFormat="1" ht="12.75" customHeight="1" x14ac:dyDescent="0.25">
      <c r="A76" s="36"/>
      <c r="B76" s="28"/>
      <c r="C76" s="44" t="s">
        <v>68</v>
      </c>
      <c r="D76" s="43"/>
      <c r="E76" s="7">
        <f>+E75+E74</f>
        <v>458042774.06000006</v>
      </c>
      <c r="F76" s="22"/>
      <c r="G76" s="1"/>
      <c r="H76" s="103" t="s">
        <v>69</v>
      </c>
      <c r="I76" s="45">
        <v>-8.4600000000000009</v>
      </c>
      <c r="J76" s="46"/>
      <c r="K76" s="46"/>
      <c r="N76" s="1"/>
    </row>
    <row r="77" spans="1:14" s="2" customFormat="1" x14ac:dyDescent="0.2">
      <c r="A77" s="24"/>
      <c r="B77" s="1"/>
      <c r="C77" s="14"/>
      <c r="D77" s="25"/>
      <c r="E77" s="1"/>
      <c r="H77" s="35" t="s">
        <v>70</v>
      </c>
      <c r="I77" s="45">
        <v>8.4600000000000009</v>
      </c>
      <c r="J77" s="46">
        <f>+I78-D80</f>
        <v>0</v>
      </c>
      <c r="M77" s="2" t="s">
        <v>396</v>
      </c>
      <c r="N77" s="1"/>
    </row>
    <row r="78" spans="1:14" x14ac:dyDescent="0.2">
      <c r="C78" s="56"/>
      <c r="D78" s="56"/>
      <c r="E78" s="104"/>
      <c r="I78" s="49">
        <f>SUM(I75:I77)</f>
        <v>43.45</v>
      </c>
      <c r="J78" s="46"/>
      <c r="K78" s="46"/>
      <c r="L78" s="2"/>
      <c r="M78" s="2"/>
      <c r="N78" s="2"/>
    </row>
    <row r="79" spans="1:14" x14ac:dyDescent="0.2">
      <c r="C79" s="78" t="s">
        <v>575</v>
      </c>
      <c r="D79" s="48" t="s">
        <v>576</v>
      </c>
      <c r="E79" s="104"/>
      <c r="I79" s="2"/>
      <c r="J79" s="2"/>
      <c r="K79" s="2"/>
      <c r="L79" s="2"/>
      <c r="M79" s="2"/>
      <c r="N79" s="2"/>
    </row>
    <row r="80" spans="1:14" s="2" customFormat="1" x14ac:dyDescent="0.2">
      <c r="A80" s="24"/>
      <c r="B80" s="1"/>
      <c r="C80" s="47" t="s">
        <v>570</v>
      </c>
      <c r="D80" s="111">
        <v>43.45</v>
      </c>
      <c r="E80" s="104"/>
      <c r="G80" s="1"/>
      <c r="H80" s="110" t="s">
        <v>581</v>
      </c>
      <c r="N80" s="2" t="s">
        <v>535</v>
      </c>
    </row>
    <row r="81" spans="1:13" s="2" customFormat="1" x14ac:dyDescent="0.2">
      <c r="A81" s="24"/>
      <c r="B81" s="1"/>
      <c r="C81" s="47" t="s">
        <v>931</v>
      </c>
      <c r="D81" s="111">
        <v>67.05</v>
      </c>
      <c r="E81" s="104"/>
      <c r="G81" s="1"/>
      <c r="H81" s="110" t="s">
        <v>580</v>
      </c>
    </row>
    <row r="82" spans="1:13" s="2" customFormat="1" x14ac:dyDescent="0.2">
      <c r="A82" s="24"/>
      <c r="B82" s="1"/>
      <c r="C82" s="47" t="s">
        <v>572</v>
      </c>
      <c r="D82" s="111">
        <f>+D98/100000</f>
        <v>1.17174</v>
      </c>
      <c r="E82" s="104"/>
      <c r="G82" s="1"/>
      <c r="H82" s="90" t="s">
        <v>587</v>
      </c>
    </row>
    <row r="83" spans="1:13" s="2" customFormat="1" x14ac:dyDescent="0.2">
      <c r="A83" s="24"/>
      <c r="B83" s="1"/>
      <c r="C83" s="108" t="s">
        <v>578</v>
      </c>
      <c r="D83" s="48">
        <f>SUM(D80:D82)</f>
        <v>111.67174</v>
      </c>
      <c r="E83" s="104"/>
      <c r="G83" s="1"/>
    </row>
    <row r="84" spans="1:13" s="2" customFormat="1" x14ac:dyDescent="0.2">
      <c r="A84" s="24"/>
      <c r="B84" s="1"/>
      <c r="C84" s="47"/>
      <c r="D84" s="107"/>
      <c r="E84" s="104"/>
      <c r="G84" s="1"/>
    </row>
    <row r="85" spans="1:13" s="2" customFormat="1" x14ac:dyDescent="0.2">
      <c r="A85" s="24"/>
      <c r="B85" s="1"/>
      <c r="C85" s="47" t="s">
        <v>932</v>
      </c>
      <c r="D85" s="111">
        <v>0</v>
      </c>
      <c r="E85" s="104"/>
      <c r="G85" s="1"/>
      <c r="H85" s="110" t="s">
        <v>581</v>
      </c>
    </row>
    <row r="86" spans="1:13" s="2" customFormat="1" x14ac:dyDescent="0.2">
      <c r="A86" s="24"/>
      <c r="B86" s="1"/>
      <c r="C86" s="136" t="s">
        <v>1142</v>
      </c>
      <c r="D86" s="111">
        <v>0</v>
      </c>
      <c r="E86" s="104"/>
      <c r="G86" s="1"/>
      <c r="H86" s="110" t="s">
        <v>581</v>
      </c>
      <c r="J86" s="114" t="s">
        <v>713</v>
      </c>
    </row>
    <row r="87" spans="1:13" s="2" customFormat="1" x14ac:dyDescent="0.2">
      <c r="A87" s="24"/>
      <c r="B87" s="1"/>
      <c r="C87" s="78" t="s">
        <v>579</v>
      </c>
      <c r="D87" s="109">
        <f>D85+D86</f>
        <v>0</v>
      </c>
      <c r="E87" s="104"/>
      <c r="G87" s="1"/>
      <c r="I87" s="113"/>
      <c r="J87" s="113" t="s">
        <v>709</v>
      </c>
      <c r="K87" s="113" t="s">
        <v>710</v>
      </c>
      <c r="L87" s="113" t="s">
        <v>711</v>
      </c>
      <c r="M87" s="113" t="s">
        <v>712</v>
      </c>
    </row>
    <row r="88" spans="1:13" s="2" customFormat="1" x14ac:dyDescent="0.2">
      <c r="A88" s="24"/>
      <c r="B88" s="1"/>
      <c r="C88" s="105"/>
      <c r="D88" s="106"/>
      <c r="E88" s="104"/>
      <c r="G88" s="1"/>
      <c r="I88" s="113" t="s">
        <v>706</v>
      </c>
      <c r="J88" s="115"/>
      <c r="K88" s="115">
        <v>968.99</v>
      </c>
      <c r="L88" s="115">
        <v>968.99</v>
      </c>
      <c r="M88" s="113">
        <f>+J88+L88-K88</f>
        <v>0</v>
      </c>
    </row>
    <row r="89" spans="1:13" s="2" customFormat="1" x14ac:dyDescent="0.2">
      <c r="A89" s="24"/>
      <c r="B89" s="1"/>
      <c r="C89" s="78" t="s">
        <v>577</v>
      </c>
      <c r="D89" s="109">
        <f>D80+D87</f>
        <v>43.45</v>
      </c>
      <c r="E89" s="104"/>
      <c r="G89" s="1"/>
      <c r="I89" s="113" t="s">
        <v>707</v>
      </c>
      <c r="J89" s="115">
        <v>183.1</v>
      </c>
      <c r="K89" s="115">
        <v>3360.28</v>
      </c>
      <c r="L89" s="115">
        <v>3687.95</v>
      </c>
      <c r="M89" s="113">
        <f>+J89+L89-K89</f>
        <v>510.76999999999953</v>
      </c>
    </row>
    <row r="90" spans="1:13" s="2" customFormat="1" x14ac:dyDescent="0.2">
      <c r="A90" s="24"/>
      <c r="B90" s="1"/>
      <c r="C90" s="56"/>
      <c r="D90" s="56"/>
      <c r="E90" s="104"/>
      <c r="G90" s="1"/>
      <c r="I90" s="113" t="s">
        <v>708</v>
      </c>
      <c r="J90" s="115">
        <v>1371.02</v>
      </c>
      <c r="K90" s="115">
        <v>13774.01</v>
      </c>
      <c r="L90" s="115">
        <v>13251.73</v>
      </c>
      <c r="M90" s="113">
        <f>+J90+L90-K90</f>
        <v>848.73999999999978</v>
      </c>
    </row>
    <row r="91" spans="1:13" s="2" customFormat="1" ht="38.25" x14ac:dyDescent="0.2">
      <c r="A91" s="24"/>
      <c r="B91" s="1"/>
      <c r="C91" s="79" t="str">
        <f>"Particulars ( 01-04-2021 to "&amp;TEXT(A5,"dd-mm-yyyy")&amp;" )"</f>
        <v>Particulars ( 01-04-2021 to 01-09-2023 )</v>
      </c>
      <c r="D91" s="80" t="s">
        <v>73</v>
      </c>
      <c r="E91" s="80" t="s">
        <v>74</v>
      </c>
      <c r="F91" s="81" t="s">
        <v>75</v>
      </c>
      <c r="G91" s="80" t="s">
        <v>76</v>
      </c>
      <c r="J91" s="118">
        <f>SUM(J88:J90)</f>
        <v>1554.12</v>
      </c>
      <c r="K91" s="118">
        <f>SUM(K88:K90)</f>
        <v>18103.28</v>
      </c>
      <c r="L91" s="118">
        <f>SUM(L88:L90)</f>
        <v>17908.669999999998</v>
      </c>
      <c r="M91" s="118">
        <f>SUM(M88:M90)</f>
        <v>1359.5099999999993</v>
      </c>
    </row>
    <row r="92" spans="1:13" s="2" customFormat="1" x14ac:dyDescent="0.2">
      <c r="A92" s="24"/>
      <c r="B92" s="1"/>
      <c r="C92" s="50" t="s">
        <v>444</v>
      </c>
      <c r="D92" s="55">
        <f>+L88+L89+J89</f>
        <v>4840.04</v>
      </c>
      <c r="E92" s="55">
        <f>+K88+K89</f>
        <v>4329.2700000000004</v>
      </c>
      <c r="F92" s="55">
        <f>+D92-E92</f>
        <v>510.76999999999953</v>
      </c>
      <c r="G92" s="55">
        <f>1500-F92</f>
        <v>989.23000000000047</v>
      </c>
      <c r="H92" s="2" t="s">
        <v>396</v>
      </c>
    </row>
    <row r="93" spans="1:13" s="2" customFormat="1" x14ac:dyDescent="0.2">
      <c r="A93" s="24"/>
      <c r="B93" s="1"/>
      <c r="C93" s="50" t="s">
        <v>71</v>
      </c>
      <c r="D93" s="55">
        <f>+J90+L90</f>
        <v>14622.75</v>
      </c>
      <c r="E93" s="55">
        <f>+K90</f>
        <v>13774.01</v>
      </c>
      <c r="F93" s="55">
        <f>+D93-E93</f>
        <v>848.73999999999978</v>
      </c>
      <c r="G93" s="55">
        <f>1500+700-F93</f>
        <v>1351.2600000000002</v>
      </c>
      <c r="H93" s="2" t="s">
        <v>396</v>
      </c>
    </row>
    <row r="94" spans="1:13" s="2" customFormat="1" x14ac:dyDescent="0.2">
      <c r="A94" s="24"/>
      <c r="B94" s="1"/>
      <c r="C94" s="14"/>
      <c r="D94" s="56"/>
      <c r="E94" s="13"/>
      <c r="G94" s="1"/>
    </row>
    <row r="95" spans="1:13" s="2" customFormat="1" x14ac:dyDescent="0.2">
      <c r="A95" s="215" t="s">
        <v>80</v>
      </c>
      <c r="B95" s="216"/>
      <c r="C95" s="216"/>
      <c r="D95" s="217"/>
      <c r="E95" s="69"/>
      <c r="F95" s="70"/>
      <c r="G95" s="1"/>
      <c r="H95" s="53"/>
    </row>
    <row r="96" spans="1:13" s="2" customFormat="1" x14ac:dyDescent="0.2">
      <c r="A96" s="71" t="s">
        <v>81</v>
      </c>
      <c r="B96" s="71"/>
      <c r="C96" s="72" t="s">
        <v>82</v>
      </c>
      <c r="D96" s="73" t="s">
        <v>83</v>
      </c>
      <c r="E96" s="69"/>
      <c r="F96" s="70"/>
      <c r="H96" s="53"/>
    </row>
    <row r="97" spans="1:13" s="2" customFormat="1" x14ac:dyDescent="0.2">
      <c r="A97" s="87">
        <v>45170</v>
      </c>
      <c r="B97" s="120" t="s">
        <v>1052</v>
      </c>
      <c r="C97" s="75" t="s">
        <v>270</v>
      </c>
      <c r="D97" s="88">
        <v>117174</v>
      </c>
      <c r="G97" s="1"/>
      <c r="L97" s="1"/>
      <c r="M97" s="1"/>
    </row>
    <row r="98" spans="1:13" s="2" customFormat="1" x14ac:dyDescent="0.2">
      <c r="A98" s="87"/>
      <c r="B98" s="74"/>
      <c r="C98" s="75"/>
      <c r="D98" s="51">
        <f>SUM(D97:D97)</f>
        <v>117174</v>
      </c>
      <c r="F98" s="2" t="s">
        <v>396</v>
      </c>
      <c r="G98" s="1"/>
      <c r="L98" s="1"/>
      <c r="M98" s="1"/>
    </row>
    <row r="99" spans="1:13" s="2" customFormat="1" x14ac:dyDescent="0.2">
      <c r="A99" s="24"/>
      <c r="B99" s="1"/>
      <c r="C99" s="14"/>
      <c r="D99" s="56"/>
      <c r="E99" s="13"/>
      <c r="G99" s="1"/>
      <c r="L99" s="1"/>
      <c r="M99" s="1"/>
    </row>
    <row r="100" spans="1:13" s="2" customFormat="1" x14ac:dyDescent="0.2">
      <c r="A100" s="24"/>
      <c r="B100" s="1"/>
      <c r="C100" s="218" t="s">
        <v>77</v>
      </c>
      <c r="D100" s="219"/>
      <c r="E100" s="219"/>
      <c r="F100" s="220"/>
      <c r="G100" s="1"/>
      <c r="L100" s="1"/>
      <c r="M100" s="1"/>
    </row>
    <row r="101" spans="1:13" s="2" customFormat="1" x14ac:dyDescent="0.2">
      <c r="A101" s="24"/>
      <c r="B101" s="1"/>
      <c r="C101" s="50"/>
      <c r="D101" s="57" t="s">
        <v>78</v>
      </c>
      <c r="E101" s="58" t="s">
        <v>79</v>
      </c>
      <c r="F101" s="57" t="s">
        <v>72</v>
      </c>
      <c r="G101" s="1"/>
      <c r="I101" s="1"/>
      <c r="J101" s="1"/>
      <c r="K101" s="1"/>
      <c r="L101" s="1"/>
      <c r="M101" s="1"/>
    </row>
    <row r="102" spans="1:13" s="2" customFormat="1" x14ac:dyDescent="0.2">
      <c r="A102" s="24"/>
      <c r="B102" s="1"/>
      <c r="C102" s="59" t="str">
        <f>"01-08-2023 to "&amp;TEXT(A5-2,"dd-mm-yyyy")</f>
        <v>01-08-2023 to 30-08-2023</v>
      </c>
      <c r="D102" s="60">
        <v>3324.31</v>
      </c>
      <c r="E102" s="60">
        <v>296.26</v>
      </c>
      <c r="F102" s="61">
        <f>SUM(D102:E102)</f>
        <v>3620.5699999999997</v>
      </c>
      <c r="G102" s="1"/>
    </row>
    <row r="103" spans="1:13" s="2" customFormat="1" x14ac:dyDescent="0.2">
      <c r="A103" s="24"/>
      <c r="B103" s="1"/>
      <c r="C103" s="62" t="str">
        <f>TEXT(A5-1,"dd-mm-yyyy")</f>
        <v>31-08-2023</v>
      </c>
      <c r="D103" s="60">
        <v>77.63</v>
      </c>
      <c r="E103" s="60">
        <v>12.23</v>
      </c>
      <c r="F103" s="61">
        <f>SUM(D103:E103)</f>
        <v>89.86</v>
      </c>
      <c r="G103" s="54"/>
      <c r="I103" s="1"/>
      <c r="J103" s="1"/>
      <c r="K103" s="1"/>
      <c r="L103" s="1"/>
      <c r="M103" s="1"/>
    </row>
    <row r="104" spans="1:13" s="2" customFormat="1" ht="13.5" thickBot="1" x14ac:dyDescent="0.25">
      <c r="A104" s="24"/>
      <c r="B104" s="1"/>
      <c r="C104" s="63" t="str">
        <f>"01-08-2023 to "&amp;TEXT(A5-1,"dd-mm-yyyy")</f>
        <v>01-08-2023 to 31-08-2023</v>
      </c>
      <c r="D104" s="64">
        <f>SUM(D102:D103)</f>
        <v>3401.94</v>
      </c>
      <c r="E104" s="64">
        <f>SUM(E102:E103)</f>
        <v>308.49</v>
      </c>
      <c r="F104" s="64">
        <f>SUM(F102:F103)</f>
        <v>3710.43</v>
      </c>
      <c r="G104" s="54"/>
      <c r="I104" s="1"/>
      <c r="J104" s="1"/>
      <c r="K104" s="1"/>
      <c r="L104" s="1"/>
      <c r="M104" s="1"/>
    </row>
    <row r="105" spans="1:13" s="2" customFormat="1" ht="13.5" thickTop="1" x14ac:dyDescent="0.2">
      <c r="A105" s="24"/>
      <c r="B105" s="1"/>
      <c r="C105" s="62"/>
      <c r="D105" s="65"/>
      <c r="E105" s="66"/>
      <c r="F105" s="67"/>
      <c r="G105" s="54"/>
      <c r="I105" s="1"/>
      <c r="J105" s="1"/>
      <c r="K105" s="1"/>
      <c r="L105" s="1"/>
      <c r="M105" s="1"/>
    </row>
    <row r="106" spans="1:13" s="2" customFormat="1" x14ac:dyDescent="0.2">
      <c r="A106" s="24"/>
      <c r="B106" s="1"/>
      <c r="C106" s="62" t="str">
        <f>"01-04-2023 to " &amp;C103</f>
        <v>01-04-2023 to 31-08-2023</v>
      </c>
      <c r="D106" s="68">
        <f>+D104+20859.39</f>
        <v>24261.329999999998</v>
      </c>
      <c r="E106" s="68">
        <f>+E104+1376.76</f>
        <v>1685.25</v>
      </c>
      <c r="F106" s="68">
        <f>+F104+22236.15</f>
        <v>25946.58</v>
      </c>
      <c r="G106" s="54"/>
      <c r="I106" s="1"/>
      <c r="J106" s="1"/>
      <c r="K106" s="1"/>
      <c r="L106" s="1"/>
      <c r="M106" s="1"/>
    </row>
    <row r="107" spans="1:13" x14ac:dyDescent="0.2">
      <c r="C107" s="52"/>
      <c r="D107" s="85"/>
      <c r="E107" s="53"/>
      <c r="F107" s="53"/>
      <c r="G107" s="54"/>
      <c r="H107" s="2" t="s">
        <v>396</v>
      </c>
    </row>
    <row r="108" spans="1:13" s="2" customFormat="1" x14ac:dyDescent="0.2">
      <c r="A108" s="24"/>
      <c r="B108" s="1"/>
      <c r="C108" s="52"/>
      <c r="D108" s="85"/>
      <c r="E108" s="53"/>
      <c r="F108" s="53"/>
      <c r="G108" s="54"/>
      <c r="H108" s="53"/>
    </row>
    <row r="109" spans="1:13" x14ac:dyDescent="0.2">
      <c r="C109" s="52"/>
      <c r="D109" s="85"/>
      <c r="E109" s="53"/>
      <c r="F109" s="53"/>
      <c r="G109" s="54"/>
      <c r="H109" s="53" t="s">
        <v>396</v>
      </c>
    </row>
    <row r="110" spans="1:13" x14ac:dyDescent="0.2">
      <c r="C110" s="52"/>
      <c r="D110" s="85"/>
      <c r="E110" s="53"/>
      <c r="F110" s="53"/>
      <c r="G110" s="54"/>
      <c r="H110" s="53" t="s">
        <v>396</v>
      </c>
      <c r="J110" s="42"/>
    </row>
    <row r="111" spans="1:13" x14ac:dyDescent="0.2">
      <c r="G111" s="54"/>
      <c r="H111" s="53"/>
      <c r="I111" s="101"/>
    </row>
    <row r="112" spans="1:13" x14ac:dyDescent="0.2">
      <c r="G112" s="54"/>
      <c r="H112" s="53"/>
    </row>
    <row r="113" spans="7:8" x14ac:dyDescent="0.2">
      <c r="G113" s="54"/>
      <c r="H113" s="53"/>
    </row>
    <row r="114" spans="7:8" x14ac:dyDescent="0.2">
      <c r="H114" s="53"/>
    </row>
  </sheetData>
  <mergeCells count="6">
    <mergeCell ref="C100:F100"/>
    <mergeCell ref="A1:G1"/>
    <mergeCell ref="A3:F3"/>
    <mergeCell ref="A11:F11"/>
    <mergeCell ref="A37:F37"/>
    <mergeCell ref="A95:D95"/>
  </mergeCells>
  <conditionalFormatting sqref="G92:G93">
    <cfRule type="cellIs" dxfId="335" priority="1" operator="lessThan">
      <formula>0</formula>
    </cfRule>
  </conditionalFormatting>
  <conditionalFormatting sqref="C39">
    <cfRule type="duplicateValues" dxfId="334" priority="2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B00-000000000000}">
  <sheetPr codeName="Sheet419">
    <pageSetUpPr fitToPage="1"/>
  </sheetPr>
  <dimension ref="A1:N83"/>
  <sheetViews>
    <sheetView topLeftCell="A13" zoomScaleNormal="100" workbookViewId="0">
      <selection activeCell="E36" sqref="E36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1466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45171</v>
      </c>
      <c r="B5" s="9" t="s">
        <v>6</v>
      </c>
      <c r="C5" s="10" t="s">
        <v>7</v>
      </c>
      <c r="D5" s="11"/>
      <c r="E5" s="12">
        <v>2789392.98</v>
      </c>
      <c r="F5" s="12"/>
      <c r="G5" s="1"/>
      <c r="H5" s="112"/>
      <c r="I5" s="112"/>
    </row>
    <row r="6" spans="1:10" s="2" customFormat="1" ht="14.25" customHeight="1" x14ac:dyDescent="0.4">
      <c r="A6" s="89">
        <v>45171</v>
      </c>
      <c r="B6" s="9" t="s">
        <v>6</v>
      </c>
      <c r="C6" s="10" t="s">
        <v>266</v>
      </c>
      <c r="D6" s="11" t="s">
        <v>13</v>
      </c>
      <c r="E6" s="12">
        <v>371485</v>
      </c>
      <c r="F6" s="12"/>
      <c r="G6" s="1"/>
      <c r="H6" s="112"/>
      <c r="I6" s="112"/>
    </row>
    <row r="7" spans="1:10" s="2" customFormat="1" ht="12.75" customHeight="1" x14ac:dyDescent="0.4">
      <c r="D7" s="15" t="s">
        <v>8</v>
      </c>
      <c r="E7" s="16">
        <f>SUM(E5:E6)</f>
        <v>3160877.98</v>
      </c>
      <c r="F7" s="16">
        <f>SUM(F5:F5)</f>
        <v>0</v>
      </c>
      <c r="G7" s="1"/>
      <c r="H7" s="112"/>
      <c r="I7" s="112"/>
    </row>
    <row r="8" spans="1:10" s="2" customFormat="1" ht="12.75" customHeight="1" x14ac:dyDescent="0.4">
      <c r="A8" s="17"/>
      <c r="B8" s="18"/>
      <c r="C8" s="19" t="s">
        <v>9</v>
      </c>
      <c r="D8" s="20"/>
      <c r="E8" s="21">
        <f>+E7-F7</f>
        <v>3160877.98</v>
      </c>
      <c r="F8" s="22"/>
      <c r="G8" s="23"/>
      <c r="H8" s="112"/>
      <c r="I8" s="112"/>
      <c r="J8" s="13"/>
    </row>
    <row r="9" spans="1:10" ht="12.75" customHeight="1" x14ac:dyDescent="0.4">
      <c r="H9" s="112"/>
      <c r="I9" s="112"/>
    </row>
    <row r="10" spans="1:10" ht="18" customHeight="1" x14ac:dyDescent="0.4">
      <c r="A10" s="213" t="s">
        <v>1037</v>
      </c>
      <c r="B10" s="213"/>
      <c r="C10" s="213"/>
      <c r="D10" s="213"/>
      <c r="E10" s="213"/>
      <c r="F10" s="213"/>
      <c r="H10" s="112"/>
      <c r="I10" s="112"/>
    </row>
    <row r="11" spans="1:10" ht="12.75" customHeight="1" x14ac:dyDescent="0.4">
      <c r="A11" s="3" t="s">
        <v>1</v>
      </c>
      <c r="B11" s="4" t="s">
        <v>2</v>
      </c>
      <c r="C11" s="5"/>
      <c r="D11" s="6" t="s">
        <v>3</v>
      </c>
      <c r="E11" s="7" t="s">
        <v>4</v>
      </c>
      <c r="F11" s="7" t="s">
        <v>5</v>
      </c>
      <c r="H11" s="112"/>
      <c r="I11" s="112"/>
    </row>
    <row r="12" spans="1:10" s="2" customFormat="1" ht="14.25" customHeight="1" x14ac:dyDescent="0.2">
      <c r="A12" s="89">
        <v>45171</v>
      </c>
      <c r="B12" s="9" t="s">
        <v>6</v>
      </c>
      <c r="C12" s="10" t="s">
        <v>7</v>
      </c>
      <c r="D12" s="11"/>
      <c r="F12" s="12">
        <v>84376884.480000019</v>
      </c>
      <c r="G12" s="1"/>
      <c r="H12" s="130" t="s">
        <v>396</v>
      </c>
      <c r="I12" s="130"/>
    </row>
    <row r="13" spans="1:10" s="2" customFormat="1" ht="14.25" customHeight="1" x14ac:dyDescent="0.2">
      <c r="A13" s="89">
        <v>45171</v>
      </c>
      <c r="B13" s="9" t="s">
        <v>11</v>
      </c>
      <c r="C13" s="76" t="s">
        <v>57</v>
      </c>
      <c r="D13" s="11" t="s">
        <v>29</v>
      </c>
      <c r="F13" s="31">
        <v>4000000</v>
      </c>
      <c r="G13" s="1"/>
      <c r="H13" s="130"/>
      <c r="I13" s="130"/>
    </row>
    <row r="14" spans="1:10" s="2" customFormat="1" ht="14.25" customHeight="1" x14ac:dyDescent="0.2">
      <c r="A14" s="89">
        <v>45171</v>
      </c>
      <c r="B14" s="9" t="s">
        <v>11</v>
      </c>
      <c r="C14" s="76" t="s">
        <v>273</v>
      </c>
      <c r="D14" s="11" t="s">
        <v>29</v>
      </c>
      <c r="F14" s="31">
        <v>10252.790000000001</v>
      </c>
      <c r="G14" s="1"/>
      <c r="H14" s="130"/>
      <c r="I14" s="130"/>
    </row>
    <row r="15" spans="1:10" s="2" customFormat="1" ht="14.25" customHeight="1" x14ac:dyDescent="0.2">
      <c r="A15" s="89">
        <v>45171</v>
      </c>
      <c r="B15" s="9" t="s">
        <v>11</v>
      </c>
      <c r="C15" s="76" t="s">
        <v>610</v>
      </c>
      <c r="D15" s="11" t="s">
        <v>29</v>
      </c>
      <c r="F15" s="31">
        <v>10620</v>
      </c>
      <c r="G15" s="1"/>
      <c r="H15" s="130"/>
      <c r="I15" s="130"/>
    </row>
    <row r="16" spans="1:10" s="2" customFormat="1" ht="14.25" customHeight="1" x14ac:dyDescent="0.2">
      <c r="A16" s="89">
        <v>45171</v>
      </c>
      <c r="B16" s="9" t="s">
        <v>11</v>
      </c>
      <c r="C16" s="76" t="s">
        <v>1467</v>
      </c>
      <c r="D16" s="11" t="s">
        <v>29</v>
      </c>
      <c r="F16" s="31">
        <v>11894</v>
      </c>
      <c r="G16" s="1"/>
      <c r="H16" s="130"/>
      <c r="I16" s="130"/>
    </row>
    <row r="17" spans="1:14" s="2" customFormat="1" ht="14.25" customHeight="1" x14ac:dyDescent="0.2">
      <c r="A17" s="89">
        <v>45171</v>
      </c>
      <c r="B17" s="9" t="s">
        <v>11</v>
      </c>
      <c r="C17" s="76" t="s">
        <v>1335</v>
      </c>
      <c r="D17" s="11" t="s">
        <v>29</v>
      </c>
      <c r="F17" s="31">
        <v>365059</v>
      </c>
      <c r="G17" s="1"/>
      <c r="H17" s="130"/>
      <c r="I17" s="130"/>
    </row>
    <row r="18" spans="1:14" s="2" customFormat="1" ht="12.75" customHeight="1" x14ac:dyDescent="0.4">
      <c r="D18" s="11" t="s">
        <v>8</v>
      </c>
      <c r="E18" s="16">
        <f>SUM(E12:E17)</f>
        <v>0</v>
      </c>
      <c r="F18" s="16">
        <f>SUM(F12:F17)</f>
        <v>88774710.270000026</v>
      </c>
      <c r="G18" s="1"/>
      <c r="H18" s="112"/>
      <c r="I18" s="112"/>
    </row>
    <row r="19" spans="1:14" s="2" customFormat="1" ht="12.75" customHeight="1" x14ac:dyDescent="0.4">
      <c r="A19" s="17"/>
      <c r="B19" s="18"/>
      <c r="C19" s="96" t="s">
        <v>9</v>
      </c>
      <c r="D19" s="20"/>
      <c r="E19" s="21">
        <f>+F18-E18</f>
        <v>88774710.270000026</v>
      </c>
      <c r="G19" s="23"/>
      <c r="H19" s="112"/>
      <c r="I19" s="153" t="s">
        <v>779</v>
      </c>
      <c r="J19" s="13"/>
    </row>
    <row r="20" spans="1:14" s="2" customFormat="1" ht="12.75" customHeight="1" x14ac:dyDescent="0.2">
      <c r="A20" s="36"/>
      <c r="B20" s="28" t="s">
        <v>66</v>
      </c>
      <c r="C20" s="43" t="s">
        <v>1458</v>
      </c>
      <c r="D20" s="43"/>
      <c r="E20" s="12">
        <v>30000000</v>
      </c>
      <c r="F20" s="22"/>
      <c r="G20" s="1"/>
      <c r="H20" s="40"/>
      <c r="I20" s="154">
        <v>100000</v>
      </c>
      <c r="J20" s="146"/>
      <c r="K20" s="146"/>
      <c r="L20" s="13"/>
      <c r="M20" s="69" t="s">
        <v>396</v>
      </c>
    </row>
    <row r="21" spans="1:14" s="2" customFormat="1" ht="12.75" customHeight="1" x14ac:dyDescent="0.25">
      <c r="A21" s="36"/>
      <c r="B21" s="28"/>
      <c r="C21" s="44" t="s">
        <v>68</v>
      </c>
      <c r="D21" s="43"/>
      <c r="E21" s="7">
        <f>+E19+E20</f>
        <v>118774710.27000003</v>
      </c>
      <c r="F21" s="22"/>
      <c r="G21" s="1"/>
      <c r="H21" s="103"/>
      <c r="I21" s="155"/>
      <c r="J21" s="146"/>
      <c r="K21" s="146"/>
      <c r="N21" s="1"/>
    </row>
    <row r="22" spans="1:14" s="2" customFormat="1" ht="12.75" customHeight="1" x14ac:dyDescent="0.4">
      <c r="A22" s="24"/>
      <c r="B22" s="1"/>
      <c r="C22" s="14"/>
      <c r="D22" s="25"/>
      <c r="G22" s="23"/>
      <c r="H22" s="112"/>
      <c r="I22" s="112"/>
      <c r="J22" s="13"/>
    </row>
    <row r="23" spans="1:14" s="2" customFormat="1" ht="21.75" customHeight="1" x14ac:dyDescent="0.4">
      <c r="A23" s="214" t="s">
        <v>10</v>
      </c>
      <c r="B23" s="214"/>
      <c r="C23" s="214"/>
      <c r="D23" s="214"/>
      <c r="E23" s="214"/>
      <c r="F23" s="214"/>
      <c r="G23" s="13"/>
      <c r="H23" s="112"/>
      <c r="I23" s="112"/>
      <c r="J23" s="13"/>
    </row>
    <row r="24" spans="1:14" s="2" customFormat="1" ht="12.75" customHeight="1" x14ac:dyDescent="0.4">
      <c r="A24" s="26" t="s">
        <v>1</v>
      </c>
      <c r="B24" s="27" t="s">
        <v>2</v>
      </c>
      <c r="C24" s="5"/>
      <c r="D24" s="6" t="s">
        <v>3</v>
      </c>
      <c r="E24" s="7" t="s">
        <v>4</v>
      </c>
      <c r="F24" s="7" t="s">
        <v>5</v>
      </c>
      <c r="G24" s="23"/>
      <c r="H24" s="112"/>
      <c r="I24" s="112"/>
      <c r="J24" s="13"/>
    </row>
    <row r="25" spans="1:14" s="2" customFormat="1" ht="12.75" customHeight="1" x14ac:dyDescent="0.2">
      <c r="A25" s="89">
        <v>45171</v>
      </c>
      <c r="B25" s="128" t="s">
        <v>11</v>
      </c>
      <c r="C25" s="29" t="s">
        <v>7</v>
      </c>
      <c r="D25" s="25"/>
      <c r="E25" s="31"/>
      <c r="F25" s="2">
        <v>108042774.06000003</v>
      </c>
      <c r="G25" s="30"/>
      <c r="I25" s="13"/>
      <c r="J25" s="13"/>
    </row>
    <row r="26" spans="1:14" s="70" customFormat="1" ht="12.75" customHeight="1" x14ac:dyDescent="0.2">
      <c r="A26" s="89">
        <v>45171</v>
      </c>
      <c r="B26" s="128" t="s">
        <v>6</v>
      </c>
      <c r="C26" s="10" t="s">
        <v>364</v>
      </c>
      <c r="D26" s="11" t="s">
        <v>13</v>
      </c>
      <c r="E26" s="86">
        <v>407213</v>
      </c>
      <c r="G26" s="30"/>
      <c r="I26" s="69"/>
      <c r="J26" s="69"/>
    </row>
    <row r="27" spans="1:14" s="70" customFormat="1" ht="12.75" customHeight="1" x14ac:dyDescent="0.2">
      <c r="A27" s="89">
        <v>45171</v>
      </c>
      <c r="B27" s="128" t="s">
        <v>6</v>
      </c>
      <c r="C27" s="10" t="s">
        <v>421</v>
      </c>
      <c r="D27" s="11" t="s">
        <v>13</v>
      </c>
      <c r="E27" s="86">
        <v>350000</v>
      </c>
      <c r="G27" s="30"/>
      <c r="I27" s="69"/>
      <c r="J27" s="69"/>
    </row>
    <row r="28" spans="1:14" s="70" customFormat="1" ht="12.75" customHeight="1" x14ac:dyDescent="0.2">
      <c r="A28" s="89">
        <v>45171</v>
      </c>
      <c r="B28" s="128" t="s">
        <v>6</v>
      </c>
      <c r="C28" s="10" t="s">
        <v>743</v>
      </c>
      <c r="D28" s="11" t="s">
        <v>13</v>
      </c>
      <c r="E28" s="86">
        <v>95052</v>
      </c>
      <c r="G28" s="30"/>
      <c r="I28" s="69"/>
      <c r="J28" s="69"/>
    </row>
    <row r="29" spans="1:14" s="70" customFormat="1" ht="12.75" customHeight="1" x14ac:dyDescent="0.2">
      <c r="A29" s="89">
        <v>45171</v>
      </c>
      <c r="B29" s="128" t="s">
        <v>6</v>
      </c>
      <c r="C29" s="10" t="s">
        <v>316</v>
      </c>
      <c r="D29" s="11" t="s">
        <v>13</v>
      </c>
      <c r="E29" s="86">
        <v>82128</v>
      </c>
      <c r="G29" s="30"/>
      <c r="I29" s="69"/>
      <c r="J29" s="69"/>
    </row>
    <row r="30" spans="1:14" s="70" customFormat="1" ht="12.75" customHeight="1" x14ac:dyDescent="0.2">
      <c r="A30" s="89">
        <v>45171</v>
      </c>
      <c r="B30" s="128" t="s">
        <v>6</v>
      </c>
      <c r="C30" s="10" t="s">
        <v>640</v>
      </c>
      <c r="D30" s="11" t="s">
        <v>13</v>
      </c>
      <c r="E30" s="86">
        <v>451444</v>
      </c>
      <c r="G30" s="30"/>
      <c r="I30" s="69"/>
      <c r="J30" s="69"/>
    </row>
    <row r="31" spans="1:14" s="70" customFormat="1" ht="12.75" customHeight="1" x14ac:dyDescent="0.2">
      <c r="A31" s="89">
        <v>45171</v>
      </c>
      <c r="B31" s="128" t="s">
        <v>6</v>
      </c>
      <c r="C31" s="10" t="s">
        <v>1241</v>
      </c>
      <c r="D31" s="11" t="s">
        <v>13</v>
      </c>
      <c r="E31" s="86">
        <v>23184</v>
      </c>
      <c r="G31" s="30"/>
      <c r="I31" s="69"/>
      <c r="J31" s="69"/>
    </row>
    <row r="32" spans="1:14" s="70" customFormat="1" ht="12.75" customHeight="1" x14ac:dyDescent="0.2">
      <c r="A32" s="89">
        <v>45171</v>
      </c>
      <c r="B32" s="128" t="s">
        <v>6</v>
      </c>
      <c r="C32" s="10" t="s">
        <v>1468</v>
      </c>
      <c r="D32" s="11" t="s">
        <v>13</v>
      </c>
      <c r="E32" s="86">
        <v>5616187</v>
      </c>
      <c r="G32" s="30"/>
      <c r="I32" s="69"/>
      <c r="J32" s="69"/>
    </row>
    <row r="33" spans="1:14" s="70" customFormat="1" ht="12.75" customHeight="1" x14ac:dyDescent="0.2">
      <c r="A33" s="89">
        <v>45171</v>
      </c>
      <c r="B33" s="128" t="s">
        <v>6</v>
      </c>
      <c r="C33" s="10" t="s">
        <v>16</v>
      </c>
      <c r="D33" s="11" t="s">
        <v>13</v>
      </c>
      <c r="E33" s="86">
        <v>4898</v>
      </c>
      <c r="G33" s="30"/>
      <c r="I33" s="69"/>
      <c r="J33" s="69"/>
    </row>
    <row r="34" spans="1:14" s="70" customFormat="1" ht="12.75" customHeight="1" x14ac:dyDescent="0.2">
      <c r="A34" s="89">
        <v>45171</v>
      </c>
      <c r="B34" s="128" t="s">
        <v>6</v>
      </c>
      <c r="C34" s="10" t="s">
        <v>1469</v>
      </c>
      <c r="D34" s="11" t="s">
        <v>13</v>
      </c>
      <c r="E34" s="86">
        <v>9083</v>
      </c>
      <c r="G34" s="30"/>
      <c r="I34" s="69"/>
      <c r="J34" s="69"/>
    </row>
    <row r="35" spans="1:14" s="70" customFormat="1" ht="12.75" customHeight="1" x14ac:dyDescent="0.2">
      <c r="A35" s="89">
        <v>45171</v>
      </c>
      <c r="B35" s="128" t="s">
        <v>6</v>
      </c>
      <c r="C35" s="10" t="s">
        <v>177</v>
      </c>
      <c r="D35" s="11" t="s">
        <v>13</v>
      </c>
      <c r="E35" s="86">
        <v>1144913</v>
      </c>
      <c r="G35" s="30"/>
      <c r="I35" s="69"/>
      <c r="J35" s="69"/>
    </row>
    <row r="36" spans="1:14" s="70" customFormat="1" ht="12.75" customHeight="1" x14ac:dyDescent="0.2">
      <c r="A36" s="89">
        <v>45171</v>
      </c>
      <c r="B36" s="128" t="s">
        <v>6</v>
      </c>
      <c r="C36" s="10" t="s">
        <v>15</v>
      </c>
      <c r="D36" s="11" t="s">
        <v>13</v>
      </c>
      <c r="E36" s="86">
        <v>475.56</v>
      </c>
      <c r="G36" s="30"/>
      <c r="I36" s="69"/>
      <c r="J36" s="69"/>
    </row>
    <row r="37" spans="1:14" s="70" customFormat="1" ht="12.75" customHeight="1" x14ac:dyDescent="0.2">
      <c r="A37" s="89">
        <v>45171</v>
      </c>
      <c r="B37" s="128" t="s">
        <v>11</v>
      </c>
      <c r="C37" s="10" t="s">
        <v>199</v>
      </c>
      <c r="D37" s="11" t="s">
        <v>29</v>
      </c>
      <c r="E37" s="86"/>
      <c r="F37" s="70">
        <v>417143</v>
      </c>
      <c r="G37" s="30"/>
      <c r="I37" s="69"/>
      <c r="J37" s="69"/>
    </row>
    <row r="38" spans="1:14" s="70" customFormat="1" ht="12.75" customHeight="1" x14ac:dyDescent="0.2">
      <c r="A38" s="89">
        <v>45171</v>
      </c>
      <c r="B38" s="128" t="s">
        <v>11</v>
      </c>
      <c r="C38" s="10" t="s">
        <v>1403</v>
      </c>
      <c r="D38" s="11" t="s">
        <v>29</v>
      </c>
      <c r="E38" s="86"/>
      <c r="F38" s="70">
        <v>889250</v>
      </c>
      <c r="G38" s="30"/>
      <c r="I38" s="69"/>
      <c r="J38" s="69"/>
    </row>
    <row r="39" spans="1:14" s="70" customFormat="1" ht="12.75" customHeight="1" x14ac:dyDescent="0.2">
      <c r="A39" s="89">
        <v>45171</v>
      </c>
      <c r="B39" s="128" t="s">
        <v>11</v>
      </c>
      <c r="C39" s="10" t="s">
        <v>57</v>
      </c>
      <c r="D39" s="11" t="s">
        <v>29</v>
      </c>
      <c r="E39" s="86"/>
      <c r="F39" s="70">
        <v>9000000</v>
      </c>
      <c r="G39" s="30"/>
      <c r="I39" s="69"/>
      <c r="J39" s="69"/>
    </row>
    <row r="40" spans="1:14" s="70" customFormat="1" ht="12.75" customHeight="1" x14ac:dyDescent="0.2">
      <c r="A40" s="89">
        <v>45171</v>
      </c>
      <c r="B40" s="128" t="s">
        <v>11</v>
      </c>
      <c r="C40" s="10" t="s">
        <v>27</v>
      </c>
      <c r="D40" s="11" t="s">
        <v>29</v>
      </c>
      <c r="E40" s="86"/>
      <c r="F40" s="70">
        <v>392266.94</v>
      </c>
      <c r="G40" s="30"/>
      <c r="I40" s="69"/>
      <c r="J40" s="69"/>
    </row>
    <row r="41" spans="1:14" s="2" customFormat="1" ht="12.75" customHeight="1" x14ac:dyDescent="0.2">
      <c r="A41" s="32"/>
      <c r="B41" s="33"/>
      <c r="C41" s="14"/>
      <c r="D41" s="34"/>
      <c r="E41" s="16">
        <f>SUM(E25:E40)</f>
        <v>8184577.5599999996</v>
      </c>
      <c r="F41" s="16">
        <f>SUM(F25:F40)</f>
        <v>118741434.00000003</v>
      </c>
      <c r="G41" s="30"/>
      <c r="H41" s="1"/>
      <c r="I41" s="38">
        <v>110556856.44</v>
      </c>
      <c r="J41" s="2" t="s">
        <v>396</v>
      </c>
      <c r="K41" s="92">
        <f>E42-I41</f>
        <v>0</v>
      </c>
      <c r="L41" s="41"/>
      <c r="M41" s="42"/>
    </row>
    <row r="42" spans="1:14" s="2" customFormat="1" ht="12.75" customHeight="1" x14ac:dyDescent="0.2">
      <c r="A42" s="36"/>
      <c r="B42" s="28" t="s">
        <v>11</v>
      </c>
      <c r="C42" s="19" t="s">
        <v>65</v>
      </c>
      <c r="D42" s="37"/>
      <c r="E42" s="38">
        <f>F41-E41</f>
        <v>110556856.44000003</v>
      </c>
      <c r="F42" s="22"/>
      <c r="G42" s="1"/>
      <c r="H42" s="1"/>
      <c r="J42" s="1"/>
      <c r="K42" s="1"/>
      <c r="L42" s="1"/>
      <c r="M42" s="1"/>
    </row>
    <row r="43" spans="1:14" s="2" customFormat="1" ht="12.75" customHeight="1" x14ac:dyDescent="0.2">
      <c r="A43" s="36"/>
      <c r="B43" s="28" t="s">
        <v>66</v>
      </c>
      <c r="C43" s="43" t="s">
        <v>1457</v>
      </c>
      <c r="D43" s="43"/>
      <c r="E43" s="12">
        <v>350000000</v>
      </c>
      <c r="F43" s="22"/>
      <c r="G43" s="1"/>
      <c r="H43" s="40"/>
      <c r="I43" s="45">
        <v>140.07</v>
      </c>
      <c r="J43" s="46"/>
      <c r="K43" s="46"/>
      <c r="L43" s="13"/>
      <c r="M43" s="69" t="s">
        <v>396</v>
      </c>
    </row>
    <row r="44" spans="1:14" s="2" customFormat="1" ht="12.75" customHeight="1" x14ac:dyDescent="0.25">
      <c r="A44" s="36"/>
      <c r="B44" s="28"/>
      <c r="C44" s="44" t="s">
        <v>68</v>
      </c>
      <c r="D44" s="43"/>
      <c r="E44" s="7">
        <f>+E43+E42</f>
        <v>460556856.44000006</v>
      </c>
      <c r="F44" s="22"/>
      <c r="G44" s="1"/>
      <c r="H44" s="103" t="s">
        <v>69</v>
      </c>
      <c r="I44" s="45">
        <v>-8.4600000000000009</v>
      </c>
      <c r="J44" s="46"/>
      <c r="K44" s="46"/>
      <c r="N44" s="1"/>
    </row>
    <row r="45" spans="1:14" s="2" customFormat="1" x14ac:dyDescent="0.2">
      <c r="A45" s="24"/>
      <c r="B45" s="1"/>
      <c r="C45" s="14"/>
      <c r="D45" s="25"/>
      <c r="E45" s="1"/>
      <c r="H45" s="35" t="s">
        <v>70</v>
      </c>
      <c r="I45" s="45">
        <v>8.4600000000000009</v>
      </c>
      <c r="J45" s="46">
        <f>+I46-D48</f>
        <v>0</v>
      </c>
      <c r="M45" s="2" t="s">
        <v>396</v>
      </c>
      <c r="N45" s="1"/>
    </row>
    <row r="46" spans="1:14" x14ac:dyDescent="0.2">
      <c r="C46" s="56"/>
      <c r="D46" s="56"/>
      <c r="E46" s="104"/>
      <c r="I46" s="49">
        <f>SUM(I43:I45)</f>
        <v>140.07</v>
      </c>
      <c r="J46" s="46"/>
      <c r="K46" s="46"/>
      <c r="L46" s="2"/>
      <c r="M46" s="2"/>
      <c r="N46" s="2"/>
    </row>
    <row r="47" spans="1:14" x14ac:dyDescent="0.2">
      <c r="C47" s="78" t="s">
        <v>575</v>
      </c>
      <c r="D47" s="48" t="s">
        <v>576</v>
      </c>
      <c r="E47" s="104"/>
      <c r="I47" s="2"/>
      <c r="J47" s="2"/>
      <c r="K47" s="2"/>
      <c r="L47" s="2"/>
      <c r="M47" s="2"/>
      <c r="N47" s="2"/>
    </row>
    <row r="48" spans="1:14" s="2" customFormat="1" x14ac:dyDescent="0.2">
      <c r="A48" s="24"/>
      <c r="B48" s="1"/>
      <c r="C48" s="47" t="s">
        <v>570</v>
      </c>
      <c r="D48" s="111">
        <v>140.07</v>
      </c>
      <c r="E48" s="104"/>
      <c r="G48" s="1"/>
      <c r="H48" s="110" t="s">
        <v>581</v>
      </c>
      <c r="N48" s="2" t="s">
        <v>535</v>
      </c>
    </row>
    <row r="49" spans="1:13" s="2" customFormat="1" x14ac:dyDescent="0.2">
      <c r="A49" s="24"/>
      <c r="B49" s="1"/>
      <c r="C49" s="47" t="s">
        <v>931</v>
      </c>
      <c r="D49" s="111">
        <v>67.05</v>
      </c>
      <c r="E49" s="104"/>
      <c r="G49" s="1"/>
      <c r="H49" s="110" t="s">
        <v>580</v>
      </c>
    </row>
    <row r="50" spans="1:13" s="2" customFormat="1" x14ac:dyDescent="0.2">
      <c r="A50" s="24"/>
      <c r="B50" s="1"/>
      <c r="C50" s="47" t="s">
        <v>572</v>
      </c>
      <c r="D50" s="111">
        <f>+D67/100000</f>
        <v>3.9593500000000001</v>
      </c>
      <c r="E50" s="104"/>
      <c r="G50" s="1"/>
      <c r="H50" s="90" t="s">
        <v>587</v>
      </c>
    </row>
    <row r="51" spans="1:13" s="2" customFormat="1" x14ac:dyDescent="0.2">
      <c r="A51" s="24"/>
      <c r="B51" s="1"/>
      <c r="C51" s="108" t="s">
        <v>578</v>
      </c>
      <c r="D51" s="48">
        <f>SUM(D48:D50)</f>
        <v>211.07935000000001</v>
      </c>
      <c r="E51" s="104"/>
      <c r="G51" s="1"/>
    </row>
    <row r="52" spans="1:13" s="2" customFormat="1" x14ac:dyDescent="0.2">
      <c r="A52" s="24"/>
      <c r="B52" s="1"/>
      <c r="C52" s="47"/>
      <c r="D52" s="107"/>
      <c r="E52" s="104"/>
      <c r="G52" s="1"/>
    </row>
    <row r="53" spans="1:13" s="2" customFormat="1" x14ac:dyDescent="0.2">
      <c r="A53" s="24"/>
      <c r="B53" s="1"/>
      <c r="C53" s="47" t="s">
        <v>932</v>
      </c>
      <c r="D53" s="111">
        <v>0</v>
      </c>
      <c r="E53" s="104"/>
      <c r="G53" s="1"/>
      <c r="H53" s="110" t="s">
        <v>581</v>
      </c>
    </row>
    <row r="54" spans="1:13" s="2" customFormat="1" x14ac:dyDescent="0.2">
      <c r="A54" s="24"/>
      <c r="B54" s="1"/>
      <c r="C54" s="136" t="s">
        <v>1142</v>
      </c>
      <c r="D54" s="111">
        <v>0</v>
      </c>
      <c r="E54" s="104"/>
      <c r="G54" s="1"/>
      <c r="H54" s="110" t="s">
        <v>581</v>
      </c>
      <c r="J54" s="114" t="s">
        <v>713</v>
      </c>
    </row>
    <row r="55" spans="1:13" s="2" customFormat="1" x14ac:dyDescent="0.2">
      <c r="A55" s="24"/>
      <c r="B55" s="1"/>
      <c r="C55" s="78" t="s">
        <v>579</v>
      </c>
      <c r="D55" s="109">
        <f>D53+D54</f>
        <v>0</v>
      </c>
      <c r="E55" s="104"/>
      <c r="G55" s="1"/>
      <c r="I55" s="113"/>
      <c r="J55" s="113" t="s">
        <v>709</v>
      </c>
      <c r="K55" s="113" t="s">
        <v>710</v>
      </c>
      <c r="L55" s="113" t="s">
        <v>711</v>
      </c>
      <c r="M55" s="113" t="s">
        <v>712</v>
      </c>
    </row>
    <row r="56" spans="1:13" s="2" customFormat="1" x14ac:dyDescent="0.2">
      <c r="A56" s="24"/>
      <c r="B56" s="1"/>
      <c r="C56" s="105"/>
      <c r="D56" s="106"/>
      <c r="E56" s="104"/>
      <c r="G56" s="1"/>
      <c r="I56" s="113" t="s">
        <v>706</v>
      </c>
      <c r="J56" s="115"/>
      <c r="K56" s="115">
        <v>968.99</v>
      </c>
      <c r="L56" s="115">
        <v>968.99</v>
      </c>
      <c r="M56" s="113">
        <f>+J56+L56-K56</f>
        <v>0</v>
      </c>
    </row>
    <row r="57" spans="1:13" s="2" customFormat="1" x14ac:dyDescent="0.2">
      <c r="A57" s="24"/>
      <c r="B57" s="1"/>
      <c r="C57" s="78" t="s">
        <v>577</v>
      </c>
      <c r="D57" s="109">
        <f>D48+D55</f>
        <v>140.07</v>
      </c>
      <c r="E57" s="104"/>
      <c r="G57" s="1"/>
      <c r="I57" s="113" t="s">
        <v>707</v>
      </c>
      <c r="J57" s="115">
        <v>183.1</v>
      </c>
      <c r="K57" s="115">
        <v>3360.28</v>
      </c>
      <c r="L57" s="115">
        <v>3687.95</v>
      </c>
      <c r="M57" s="113">
        <f>+J57+L57-K57</f>
        <v>510.76999999999953</v>
      </c>
    </row>
    <row r="58" spans="1:13" s="2" customFormat="1" x14ac:dyDescent="0.2">
      <c r="A58" s="24"/>
      <c r="B58" s="1"/>
      <c r="C58" s="56"/>
      <c r="D58" s="56"/>
      <c r="E58" s="104"/>
      <c r="G58" s="1"/>
      <c r="I58" s="113" t="s">
        <v>708</v>
      </c>
      <c r="J58" s="115">
        <v>1371.02</v>
      </c>
      <c r="K58" s="115">
        <v>13780.72</v>
      </c>
      <c r="L58" s="115">
        <v>13251.73</v>
      </c>
      <c r="M58" s="113">
        <f>+J58+L58-K58</f>
        <v>842.03000000000065</v>
      </c>
    </row>
    <row r="59" spans="1:13" s="2" customFormat="1" ht="38.25" x14ac:dyDescent="0.2">
      <c r="A59" s="24"/>
      <c r="B59" s="1"/>
      <c r="C59" s="79" t="str">
        <f>"Particulars ( 01-04-2021 to "&amp;TEXT(A5,"dd-mm-yyyy")&amp;" )"</f>
        <v>Particulars ( 01-04-2021 to 02-09-2023 )</v>
      </c>
      <c r="D59" s="80" t="s">
        <v>73</v>
      </c>
      <c r="E59" s="80" t="s">
        <v>74</v>
      </c>
      <c r="F59" s="81" t="s">
        <v>75</v>
      </c>
      <c r="G59" s="80" t="s">
        <v>76</v>
      </c>
      <c r="J59" s="118">
        <f>SUM(J56:J58)</f>
        <v>1554.12</v>
      </c>
      <c r="K59" s="118">
        <f>SUM(K56:K58)</f>
        <v>18109.989999999998</v>
      </c>
      <c r="L59" s="118">
        <f>SUM(L56:L58)</f>
        <v>17908.669999999998</v>
      </c>
      <c r="M59" s="118">
        <f>SUM(M56:M58)</f>
        <v>1352.8000000000002</v>
      </c>
    </row>
    <row r="60" spans="1:13" s="2" customFormat="1" x14ac:dyDescent="0.2">
      <c r="A60" s="24"/>
      <c r="B60" s="1"/>
      <c r="C60" s="50" t="s">
        <v>444</v>
      </c>
      <c r="D60" s="55">
        <f>+L56+L57+J57</f>
        <v>4840.04</v>
      </c>
      <c r="E60" s="55">
        <f>+K56+K57</f>
        <v>4329.2700000000004</v>
      </c>
      <c r="F60" s="55">
        <f>+D60-E60</f>
        <v>510.76999999999953</v>
      </c>
      <c r="G60" s="55">
        <f>1500-F60</f>
        <v>989.23000000000047</v>
      </c>
      <c r="H60" s="2" t="s">
        <v>396</v>
      </c>
    </row>
    <row r="61" spans="1:13" s="2" customFormat="1" x14ac:dyDescent="0.2">
      <c r="A61" s="24"/>
      <c r="B61" s="1"/>
      <c r="C61" s="50" t="s">
        <v>71</v>
      </c>
      <c r="D61" s="55">
        <f>+J58+L58</f>
        <v>14622.75</v>
      </c>
      <c r="E61" s="55">
        <f>+K58</f>
        <v>13780.72</v>
      </c>
      <c r="F61" s="55">
        <f>+D61-E61</f>
        <v>842.03000000000065</v>
      </c>
      <c r="G61" s="55">
        <f>1500+700-F61</f>
        <v>1357.9699999999993</v>
      </c>
      <c r="H61" s="2" t="s">
        <v>396</v>
      </c>
    </row>
    <row r="62" spans="1:13" s="2" customFormat="1" x14ac:dyDescent="0.2">
      <c r="A62" s="24"/>
      <c r="B62" s="1"/>
      <c r="C62" s="14"/>
      <c r="D62" s="56"/>
      <c r="E62" s="13"/>
      <c r="G62" s="1"/>
    </row>
    <row r="63" spans="1:13" s="2" customFormat="1" x14ac:dyDescent="0.2">
      <c r="A63" s="215" t="s">
        <v>80</v>
      </c>
      <c r="B63" s="216"/>
      <c r="C63" s="216"/>
      <c r="D63" s="217"/>
      <c r="E63" s="69"/>
      <c r="F63" s="70"/>
      <c r="G63" s="1"/>
      <c r="H63" s="53"/>
    </row>
    <row r="64" spans="1:13" s="2" customFormat="1" x14ac:dyDescent="0.2">
      <c r="A64" s="71" t="s">
        <v>81</v>
      </c>
      <c r="B64" s="71"/>
      <c r="C64" s="72" t="s">
        <v>82</v>
      </c>
      <c r="D64" s="73" t="s">
        <v>83</v>
      </c>
      <c r="E64" s="69"/>
      <c r="F64" s="70"/>
      <c r="H64" s="53"/>
    </row>
    <row r="65" spans="1:13" s="2" customFormat="1" x14ac:dyDescent="0.2">
      <c r="A65" s="87">
        <v>45170</v>
      </c>
      <c r="B65" s="120" t="s">
        <v>1052</v>
      </c>
      <c r="C65" s="75" t="s">
        <v>270</v>
      </c>
      <c r="D65" s="88">
        <v>117174</v>
      </c>
      <c r="G65" s="1"/>
      <c r="L65" s="1"/>
      <c r="M65" s="1"/>
    </row>
    <row r="66" spans="1:13" s="2" customFormat="1" x14ac:dyDescent="0.2">
      <c r="A66" s="87">
        <v>45171</v>
      </c>
      <c r="B66" s="120" t="s">
        <v>1052</v>
      </c>
      <c r="C66" s="75" t="s">
        <v>767</v>
      </c>
      <c r="D66" s="88">
        <v>278761</v>
      </c>
      <c r="G66" s="1"/>
      <c r="L66" s="1"/>
      <c r="M66" s="1"/>
    </row>
    <row r="67" spans="1:13" s="2" customFormat="1" x14ac:dyDescent="0.2">
      <c r="A67" s="87"/>
      <c r="B67" s="74"/>
      <c r="C67" s="75"/>
      <c r="D67" s="51">
        <f>SUM(D65:D66)</f>
        <v>395935</v>
      </c>
      <c r="F67" s="2" t="s">
        <v>396</v>
      </c>
      <c r="G67" s="1"/>
      <c r="L67" s="1"/>
      <c r="M67" s="1"/>
    </row>
    <row r="68" spans="1:13" s="2" customFormat="1" x14ac:dyDescent="0.2">
      <c r="A68" s="24"/>
      <c r="B68" s="1"/>
      <c r="C68" s="14"/>
      <c r="D68" s="56"/>
      <c r="E68" s="13"/>
      <c r="G68" s="1"/>
      <c r="L68" s="1"/>
      <c r="M68" s="1"/>
    </row>
    <row r="69" spans="1:13" s="2" customFormat="1" x14ac:dyDescent="0.2">
      <c r="A69" s="24"/>
      <c r="B69" s="1"/>
      <c r="C69" s="218" t="s">
        <v>77</v>
      </c>
      <c r="D69" s="219"/>
      <c r="E69" s="219"/>
      <c r="F69" s="220"/>
      <c r="G69" s="1"/>
      <c r="L69" s="1"/>
      <c r="M69" s="1"/>
    </row>
    <row r="70" spans="1:13" s="2" customFormat="1" x14ac:dyDescent="0.2">
      <c r="A70" s="24"/>
      <c r="B70" s="1"/>
      <c r="C70" s="50"/>
      <c r="D70" s="57" t="s">
        <v>78</v>
      </c>
      <c r="E70" s="58" t="s">
        <v>79</v>
      </c>
      <c r="F70" s="57" t="s">
        <v>72</v>
      </c>
      <c r="G70" s="1"/>
      <c r="I70" s="1"/>
      <c r="J70" s="1"/>
      <c r="K70" s="1"/>
      <c r="L70" s="1"/>
      <c r="M70" s="1"/>
    </row>
    <row r="71" spans="1:13" s="2" customFormat="1" x14ac:dyDescent="0.2">
      <c r="A71" s="24"/>
      <c r="B71" s="1"/>
      <c r="C71" s="59" t="str">
        <f>"01-08-2023 to "&amp;TEXT(A5-2,"dd-mm-yyyy")</f>
        <v>01-08-2023 to 31-08-2023</v>
      </c>
      <c r="D71" s="60">
        <v>3401.94</v>
      </c>
      <c r="E71" s="60">
        <v>308.49</v>
      </c>
      <c r="F71" s="61">
        <f>SUM(D71:E71)</f>
        <v>3710.4300000000003</v>
      </c>
      <c r="G71" s="1"/>
    </row>
    <row r="72" spans="1:13" s="2" customFormat="1" x14ac:dyDescent="0.2">
      <c r="A72" s="24"/>
      <c r="B72" s="1"/>
      <c r="C72" s="62" t="str">
        <f>TEXT(A5-1,"dd-mm-yyyy")</f>
        <v>01-09-2023</v>
      </c>
      <c r="D72" s="60">
        <v>119.59</v>
      </c>
      <c r="E72" s="60">
        <v>14.57</v>
      </c>
      <c r="F72" s="61">
        <f>SUM(D72:E72)</f>
        <v>134.16</v>
      </c>
      <c r="G72" s="54"/>
      <c r="I72" s="1"/>
      <c r="J72" s="1"/>
      <c r="K72" s="1"/>
      <c r="L72" s="1"/>
      <c r="M72" s="1"/>
    </row>
    <row r="73" spans="1:13" s="2" customFormat="1" ht="13.5" thickBot="1" x14ac:dyDescent="0.25">
      <c r="A73" s="24"/>
      <c r="B73" s="1"/>
      <c r="C73" s="63" t="str">
        <f>"01-08-2023 to "&amp;TEXT(A5-1,"dd-mm-yyyy")</f>
        <v>01-08-2023 to 01-09-2023</v>
      </c>
      <c r="D73" s="64">
        <f>SUM(D71:D72)</f>
        <v>3521.53</v>
      </c>
      <c r="E73" s="64">
        <f>SUM(E71:E72)</f>
        <v>323.06</v>
      </c>
      <c r="F73" s="64">
        <f>SUM(F71:F72)</f>
        <v>3844.59</v>
      </c>
      <c r="G73" s="54"/>
      <c r="I73" s="1"/>
      <c r="J73" s="1"/>
      <c r="K73" s="1"/>
      <c r="L73" s="1"/>
      <c r="M73" s="1"/>
    </row>
    <row r="74" spans="1:13" s="2" customFormat="1" ht="13.5" thickTop="1" x14ac:dyDescent="0.2">
      <c r="A74" s="24"/>
      <c r="B74" s="1"/>
      <c r="C74" s="62"/>
      <c r="D74" s="65"/>
      <c r="E74" s="66"/>
      <c r="F74" s="67"/>
      <c r="G74" s="54"/>
      <c r="I74" s="1"/>
      <c r="J74" s="1"/>
      <c r="K74" s="1"/>
      <c r="L74" s="1"/>
      <c r="M74" s="1"/>
    </row>
    <row r="75" spans="1:13" s="2" customFormat="1" x14ac:dyDescent="0.2">
      <c r="A75" s="24"/>
      <c r="B75" s="1"/>
      <c r="C75" s="62" t="str">
        <f>"01-04-2023 to " &amp;C72</f>
        <v>01-04-2023 to 01-09-2023</v>
      </c>
      <c r="D75" s="68">
        <f>+D73+20859.39</f>
        <v>24380.92</v>
      </c>
      <c r="E75" s="68">
        <f>+E73+1376.76</f>
        <v>1699.82</v>
      </c>
      <c r="F75" s="68">
        <f>+F73+22236.15</f>
        <v>26080.74</v>
      </c>
      <c r="G75" s="54"/>
      <c r="I75" s="1"/>
      <c r="J75" s="1"/>
      <c r="K75" s="1"/>
      <c r="L75" s="1"/>
      <c r="M75" s="1"/>
    </row>
    <row r="76" spans="1:13" x14ac:dyDescent="0.2">
      <c r="C76" s="52"/>
      <c r="D76" s="85"/>
      <c r="E76" s="53"/>
      <c r="F76" s="53"/>
      <c r="G76" s="54"/>
      <c r="H76" s="2" t="s">
        <v>396</v>
      </c>
    </row>
    <row r="77" spans="1:13" s="2" customFormat="1" x14ac:dyDescent="0.2">
      <c r="A77" s="24"/>
      <c r="B77" s="1"/>
      <c r="C77" s="52"/>
      <c r="D77" s="85"/>
      <c r="E77" s="53"/>
      <c r="F77" s="53"/>
      <c r="G77" s="54"/>
      <c r="H77" s="53"/>
    </row>
    <row r="78" spans="1:13" x14ac:dyDescent="0.2">
      <c r="C78" s="52"/>
      <c r="D78" s="85"/>
      <c r="E78" s="53"/>
      <c r="F78" s="53"/>
      <c r="G78" s="54"/>
      <c r="H78" s="53" t="s">
        <v>396</v>
      </c>
    </row>
    <row r="79" spans="1:13" x14ac:dyDescent="0.2">
      <c r="C79" s="52"/>
      <c r="D79" s="85"/>
      <c r="E79" s="53"/>
      <c r="F79" s="53"/>
      <c r="G79" s="54"/>
      <c r="H79" s="53" t="s">
        <v>396</v>
      </c>
      <c r="J79" s="42"/>
    </row>
    <row r="80" spans="1:13" x14ac:dyDescent="0.2">
      <c r="G80" s="54"/>
      <c r="H80" s="53"/>
      <c r="I80" s="101"/>
    </row>
    <row r="81" spans="7:8" x14ac:dyDescent="0.2">
      <c r="G81" s="54"/>
      <c r="H81" s="53"/>
    </row>
    <row r="82" spans="7:8" x14ac:dyDescent="0.2">
      <c r="G82" s="54"/>
      <c r="H82" s="53"/>
    </row>
    <row r="83" spans="7:8" x14ac:dyDescent="0.2">
      <c r="H83" s="53"/>
    </row>
  </sheetData>
  <mergeCells count="6">
    <mergeCell ref="C69:F69"/>
    <mergeCell ref="A1:G1"/>
    <mergeCell ref="A3:F3"/>
    <mergeCell ref="A10:F10"/>
    <mergeCell ref="A23:F23"/>
    <mergeCell ref="A63:D63"/>
  </mergeCells>
  <conditionalFormatting sqref="G60:G61">
    <cfRule type="cellIs" dxfId="333" priority="1" operator="lessThan">
      <formula>0</formula>
    </cfRule>
  </conditionalFormatting>
  <conditionalFormatting sqref="C25">
    <cfRule type="duplicateValues" dxfId="332" priority="2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C00-000000000000}">
  <sheetPr codeName="Sheet420">
    <pageSetUpPr fitToPage="1"/>
  </sheetPr>
  <dimension ref="A1:N126"/>
  <sheetViews>
    <sheetView topLeftCell="A21" zoomScaleNormal="100" workbookViewId="0">
      <selection activeCell="E40" sqref="E40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3" ht="20.25" customHeight="1" x14ac:dyDescent="0.4">
      <c r="A1" s="212" t="s">
        <v>1470</v>
      </c>
      <c r="B1" s="212"/>
      <c r="C1" s="212"/>
      <c r="D1" s="212"/>
      <c r="E1" s="212"/>
      <c r="F1" s="212"/>
      <c r="G1" s="212"/>
      <c r="H1" s="112"/>
      <c r="I1" s="112"/>
    </row>
    <row r="2" spans="1:13" ht="12.75" customHeight="1" x14ac:dyDescent="0.4">
      <c r="H2" s="112"/>
      <c r="I2" s="112"/>
    </row>
    <row r="3" spans="1:13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3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3" s="2" customFormat="1" ht="14.25" customHeight="1" x14ac:dyDescent="0.4">
      <c r="A5" s="89">
        <v>45173</v>
      </c>
      <c r="B5" s="9" t="s">
        <v>6</v>
      </c>
      <c r="C5" s="10" t="s">
        <v>7</v>
      </c>
      <c r="D5" s="11"/>
      <c r="E5" s="12">
        <v>3160877.98</v>
      </c>
      <c r="F5" s="12"/>
      <c r="G5" s="1"/>
      <c r="H5" s="112"/>
      <c r="I5" s="112"/>
    </row>
    <row r="6" spans="1:13" s="2" customFormat="1" ht="14.25" customHeight="1" x14ac:dyDescent="0.4">
      <c r="A6" s="89">
        <v>45173</v>
      </c>
      <c r="B6" s="9" t="s">
        <v>6</v>
      </c>
      <c r="C6" s="10" t="s">
        <v>400</v>
      </c>
      <c r="D6" s="11" t="s">
        <v>13</v>
      </c>
      <c r="E6" s="12">
        <v>1000000</v>
      </c>
      <c r="F6" s="12"/>
      <c r="G6" s="1"/>
      <c r="H6" s="112"/>
      <c r="I6" s="112"/>
    </row>
    <row r="7" spans="1:13" s="2" customFormat="1" ht="12.75" customHeight="1" x14ac:dyDescent="0.4">
      <c r="D7" s="15" t="s">
        <v>8</v>
      </c>
      <c r="E7" s="16">
        <f>SUM(E5:E6)</f>
        <v>4160877.98</v>
      </c>
      <c r="F7" s="16">
        <f>SUM(F5:F5)</f>
        <v>0</v>
      </c>
      <c r="G7" s="1"/>
      <c r="H7" s="112"/>
      <c r="I7" s="112"/>
    </row>
    <row r="8" spans="1:13" s="2" customFormat="1" ht="12.75" customHeight="1" x14ac:dyDescent="0.4">
      <c r="A8" s="17"/>
      <c r="B8" s="18"/>
      <c r="C8" s="19" t="s">
        <v>9</v>
      </c>
      <c r="D8" s="20"/>
      <c r="E8" s="21">
        <f>+E7-F7</f>
        <v>4160877.98</v>
      </c>
      <c r="F8" s="22"/>
      <c r="G8" s="23"/>
      <c r="H8" s="112"/>
      <c r="I8" s="112"/>
      <c r="J8" s="13"/>
    </row>
    <row r="9" spans="1:13" ht="12.75" customHeight="1" x14ac:dyDescent="0.4">
      <c r="H9" s="112"/>
      <c r="I9" s="112"/>
    </row>
    <row r="10" spans="1:13" ht="18" customHeight="1" x14ac:dyDescent="0.4">
      <c r="A10" s="213" t="s">
        <v>1037</v>
      </c>
      <c r="B10" s="213"/>
      <c r="C10" s="213"/>
      <c r="D10" s="213"/>
      <c r="E10" s="213"/>
      <c r="F10" s="213"/>
      <c r="H10" s="112"/>
      <c r="I10" s="112"/>
    </row>
    <row r="11" spans="1:13" ht="12.75" customHeight="1" x14ac:dyDescent="0.4">
      <c r="A11" s="3" t="s">
        <v>1</v>
      </c>
      <c r="B11" s="4" t="s">
        <v>2</v>
      </c>
      <c r="C11" s="5"/>
      <c r="D11" s="6" t="s">
        <v>3</v>
      </c>
      <c r="E11" s="7" t="s">
        <v>4</v>
      </c>
      <c r="F11" s="7" t="s">
        <v>5</v>
      </c>
      <c r="H11" s="112"/>
      <c r="I11" s="112"/>
    </row>
    <row r="12" spans="1:13" s="2" customFormat="1" ht="14.25" customHeight="1" x14ac:dyDescent="0.2">
      <c r="A12" s="89">
        <v>45173</v>
      </c>
      <c r="B12" s="9" t="s">
        <v>6</v>
      </c>
      <c r="C12" s="10" t="s">
        <v>7</v>
      </c>
      <c r="D12" s="11"/>
      <c r="F12" s="12">
        <v>88774710.270000026</v>
      </c>
      <c r="G12" s="1"/>
      <c r="H12" s="130" t="s">
        <v>396</v>
      </c>
      <c r="I12" s="130"/>
    </row>
    <row r="13" spans="1:13" s="2" customFormat="1" ht="14.25" customHeight="1" x14ac:dyDescent="0.2">
      <c r="A13" s="89">
        <v>45173</v>
      </c>
      <c r="B13" s="9" t="s">
        <v>11</v>
      </c>
      <c r="C13" s="76" t="s">
        <v>1460</v>
      </c>
      <c r="D13" s="11" t="s">
        <v>29</v>
      </c>
      <c r="F13" s="31">
        <v>378265</v>
      </c>
      <c r="G13" s="1"/>
      <c r="H13" s="130"/>
      <c r="I13" s="130"/>
    </row>
    <row r="14" spans="1:13" s="2" customFormat="1" ht="12.75" customHeight="1" x14ac:dyDescent="0.4">
      <c r="D14" s="11" t="s">
        <v>8</v>
      </c>
      <c r="E14" s="16">
        <f>SUM(E12:E13)</f>
        <v>0</v>
      </c>
      <c r="F14" s="16">
        <f>SUM(F12:F13)</f>
        <v>89152975.270000026</v>
      </c>
      <c r="G14" s="1"/>
      <c r="H14" s="112"/>
      <c r="I14" s="112"/>
    </row>
    <row r="15" spans="1:13" s="2" customFormat="1" ht="12.75" customHeight="1" x14ac:dyDescent="0.4">
      <c r="A15" s="17"/>
      <c r="B15" s="18"/>
      <c r="C15" s="96" t="s">
        <v>9</v>
      </c>
      <c r="D15" s="20"/>
      <c r="E15" s="21">
        <f>+F14-E14</f>
        <v>89152975.270000026</v>
      </c>
      <c r="G15" s="23"/>
      <c r="H15" s="112"/>
      <c r="I15" s="153" t="s">
        <v>779</v>
      </c>
      <c r="J15" s="13"/>
    </row>
    <row r="16" spans="1:13" s="2" customFormat="1" ht="12.75" customHeight="1" x14ac:dyDescent="0.2">
      <c r="A16" s="36"/>
      <c r="B16" s="28" t="s">
        <v>66</v>
      </c>
      <c r="C16" s="43" t="s">
        <v>1458</v>
      </c>
      <c r="D16" s="43"/>
      <c r="E16" s="12">
        <v>30000000</v>
      </c>
      <c r="F16" s="22"/>
      <c r="G16" s="1"/>
      <c r="H16" s="40"/>
      <c r="I16" s="154">
        <v>100000</v>
      </c>
      <c r="J16" s="146"/>
      <c r="K16" s="146"/>
      <c r="L16" s="13"/>
      <c r="M16" s="69" t="s">
        <v>396</v>
      </c>
    </row>
    <row r="17" spans="1:14" s="2" customFormat="1" ht="12.75" customHeight="1" x14ac:dyDescent="0.25">
      <c r="A17" s="36"/>
      <c r="B17" s="28"/>
      <c r="C17" s="44" t="s">
        <v>68</v>
      </c>
      <c r="D17" s="43"/>
      <c r="E17" s="7">
        <f>+E15+E16</f>
        <v>119152975.27000003</v>
      </c>
      <c r="F17" s="22"/>
      <c r="G17" s="1"/>
      <c r="H17" s="103"/>
      <c r="I17" s="155"/>
      <c r="J17" s="146"/>
      <c r="K17" s="146"/>
      <c r="N17" s="1"/>
    </row>
    <row r="18" spans="1:14" s="2" customFormat="1" ht="12.75" customHeight="1" x14ac:dyDescent="0.4">
      <c r="A18" s="24"/>
      <c r="B18" s="1"/>
      <c r="C18" s="14"/>
      <c r="D18" s="25"/>
      <c r="G18" s="23"/>
      <c r="H18" s="112"/>
      <c r="I18" s="112"/>
      <c r="J18" s="13"/>
    </row>
    <row r="19" spans="1:14" s="2" customFormat="1" ht="21.75" customHeight="1" x14ac:dyDescent="0.4">
      <c r="A19" s="214" t="s">
        <v>10</v>
      </c>
      <c r="B19" s="214"/>
      <c r="C19" s="214"/>
      <c r="D19" s="214"/>
      <c r="E19" s="214"/>
      <c r="F19" s="214"/>
      <c r="G19" s="13"/>
      <c r="H19" s="112"/>
      <c r="I19" s="112"/>
      <c r="J19" s="13"/>
    </row>
    <row r="20" spans="1:14" s="2" customFormat="1" ht="12.75" customHeight="1" x14ac:dyDescent="0.4">
      <c r="A20" s="26" t="s">
        <v>1</v>
      </c>
      <c r="B20" s="27" t="s">
        <v>2</v>
      </c>
      <c r="C20" s="5"/>
      <c r="D20" s="6" t="s">
        <v>3</v>
      </c>
      <c r="E20" s="7" t="s">
        <v>4</v>
      </c>
      <c r="F20" s="7" t="s">
        <v>5</v>
      </c>
      <c r="G20" s="23"/>
      <c r="H20" s="112"/>
      <c r="I20" s="112"/>
      <c r="J20" s="13"/>
    </row>
    <row r="21" spans="1:14" s="2" customFormat="1" ht="12.75" customHeight="1" x14ac:dyDescent="0.2">
      <c r="A21" s="89">
        <v>45173</v>
      </c>
      <c r="B21" s="128" t="s">
        <v>11</v>
      </c>
      <c r="C21" s="29" t="s">
        <v>7</v>
      </c>
      <c r="D21" s="25"/>
      <c r="E21" s="31"/>
      <c r="F21" s="2">
        <v>110556856.44000003</v>
      </c>
      <c r="G21" s="30"/>
      <c r="I21" s="13"/>
      <c r="J21" s="13"/>
    </row>
    <row r="22" spans="1:14" s="70" customFormat="1" ht="12.75" customHeight="1" x14ac:dyDescent="0.2">
      <c r="A22" s="89">
        <v>45173</v>
      </c>
      <c r="B22" s="128" t="s">
        <v>6</v>
      </c>
      <c r="C22" s="10" t="s">
        <v>391</v>
      </c>
      <c r="D22" s="11" t="s">
        <v>13</v>
      </c>
      <c r="E22" s="86">
        <v>7560</v>
      </c>
      <c r="G22" s="30"/>
      <c r="I22" s="69"/>
      <c r="J22" s="69"/>
    </row>
    <row r="23" spans="1:14" s="70" customFormat="1" ht="12.75" customHeight="1" x14ac:dyDescent="0.2">
      <c r="A23" s="89">
        <v>45173</v>
      </c>
      <c r="B23" s="128" t="s">
        <v>6</v>
      </c>
      <c r="C23" s="10" t="s">
        <v>264</v>
      </c>
      <c r="D23" s="11" t="s">
        <v>13</v>
      </c>
      <c r="E23" s="86">
        <v>2052113</v>
      </c>
      <c r="G23" s="30"/>
      <c r="I23" s="69"/>
      <c r="J23" s="69"/>
    </row>
    <row r="24" spans="1:14" s="70" customFormat="1" ht="12.75" customHeight="1" x14ac:dyDescent="0.2">
      <c r="A24" s="89">
        <v>45173</v>
      </c>
      <c r="B24" s="128" t="s">
        <v>6</v>
      </c>
      <c r="C24" s="10" t="s">
        <v>403</v>
      </c>
      <c r="D24" s="11" t="s">
        <v>13</v>
      </c>
      <c r="E24" s="86">
        <v>304226</v>
      </c>
      <c r="G24" s="30"/>
      <c r="I24" s="69"/>
      <c r="J24" s="69"/>
    </row>
    <row r="25" spans="1:14" s="70" customFormat="1" ht="12.75" customHeight="1" x14ac:dyDescent="0.2">
      <c r="A25" s="89">
        <v>45173</v>
      </c>
      <c r="B25" s="128" t="s">
        <v>6</v>
      </c>
      <c r="C25" s="10" t="s">
        <v>465</v>
      </c>
      <c r="D25" s="11" t="s">
        <v>13</v>
      </c>
      <c r="E25" s="86">
        <v>2503538</v>
      </c>
      <c r="G25" s="30"/>
      <c r="I25" s="69"/>
      <c r="J25" s="69"/>
    </row>
    <row r="26" spans="1:14" s="70" customFormat="1" ht="12.75" customHeight="1" x14ac:dyDescent="0.2">
      <c r="A26" s="89">
        <v>45173</v>
      </c>
      <c r="B26" s="128" t="s">
        <v>6</v>
      </c>
      <c r="C26" s="10" t="s">
        <v>332</v>
      </c>
      <c r="D26" s="11" t="s">
        <v>13</v>
      </c>
      <c r="E26" s="86">
        <v>4615</v>
      </c>
      <c r="G26" s="30"/>
      <c r="I26" s="69"/>
      <c r="J26" s="69"/>
    </row>
    <row r="27" spans="1:14" s="70" customFormat="1" ht="12.75" customHeight="1" x14ac:dyDescent="0.2">
      <c r="A27" s="89">
        <v>45173</v>
      </c>
      <c r="B27" s="128" t="s">
        <v>6</v>
      </c>
      <c r="C27" s="10" t="s">
        <v>993</v>
      </c>
      <c r="D27" s="11" t="s">
        <v>13</v>
      </c>
      <c r="E27" s="86">
        <v>419242</v>
      </c>
      <c r="G27" s="30"/>
      <c r="I27" s="69"/>
      <c r="J27" s="69"/>
    </row>
    <row r="28" spans="1:14" s="70" customFormat="1" ht="12.75" customHeight="1" x14ac:dyDescent="0.2">
      <c r="A28" s="89">
        <v>45173</v>
      </c>
      <c r="B28" s="128" t="s">
        <v>6</v>
      </c>
      <c r="C28" s="10" t="s">
        <v>159</v>
      </c>
      <c r="D28" s="11" t="s">
        <v>13</v>
      </c>
      <c r="E28" s="86">
        <v>352975</v>
      </c>
      <c r="G28" s="30"/>
      <c r="I28" s="69"/>
      <c r="J28" s="69"/>
    </row>
    <row r="29" spans="1:14" s="70" customFormat="1" ht="12.75" customHeight="1" x14ac:dyDescent="0.2">
      <c r="A29" s="89">
        <v>45173</v>
      </c>
      <c r="B29" s="128" t="s">
        <v>6</v>
      </c>
      <c r="C29" s="10" t="s">
        <v>822</v>
      </c>
      <c r="D29" s="11" t="s">
        <v>13</v>
      </c>
      <c r="E29" s="86">
        <v>64694</v>
      </c>
      <c r="G29" s="30"/>
      <c r="I29" s="69"/>
      <c r="J29" s="69"/>
    </row>
    <row r="30" spans="1:14" s="70" customFormat="1" ht="12.75" customHeight="1" x14ac:dyDescent="0.2">
      <c r="A30" s="89">
        <v>45173</v>
      </c>
      <c r="B30" s="128" t="s">
        <v>6</v>
      </c>
      <c r="C30" s="10" t="s">
        <v>598</v>
      </c>
      <c r="D30" s="11" t="s">
        <v>13</v>
      </c>
      <c r="E30" s="86">
        <v>500000</v>
      </c>
      <c r="G30" s="30"/>
      <c r="I30" s="69"/>
      <c r="J30" s="69"/>
    </row>
    <row r="31" spans="1:14" s="70" customFormat="1" ht="12.75" customHeight="1" x14ac:dyDescent="0.2">
      <c r="A31" s="89">
        <v>45173</v>
      </c>
      <c r="B31" s="128" t="s">
        <v>6</v>
      </c>
      <c r="C31" s="10" t="s">
        <v>299</v>
      </c>
      <c r="D31" s="11" t="s">
        <v>13</v>
      </c>
      <c r="E31" s="86">
        <v>70848</v>
      </c>
      <c r="G31" s="30"/>
      <c r="I31" s="69"/>
      <c r="J31" s="69"/>
    </row>
    <row r="32" spans="1:14" s="70" customFormat="1" ht="12.75" customHeight="1" x14ac:dyDescent="0.2">
      <c r="A32" s="89">
        <v>45173</v>
      </c>
      <c r="B32" s="128" t="s">
        <v>6</v>
      </c>
      <c r="C32" s="10" t="s">
        <v>1471</v>
      </c>
      <c r="D32" s="11" t="s">
        <v>13</v>
      </c>
      <c r="E32" s="86">
        <v>1364586</v>
      </c>
      <c r="G32" s="30"/>
      <c r="I32" s="69"/>
      <c r="J32" s="69"/>
    </row>
    <row r="33" spans="1:10" s="70" customFormat="1" ht="12.75" customHeight="1" x14ac:dyDescent="0.2">
      <c r="A33" s="89">
        <v>45173</v>
      </c>
      <c r="B33" s="128" t="s">
        <v>6</v>
      </c>
      <c r="C33" s="10" t="s">
        <v>16</v>
      </c>
      <c r="D33" s="11" t="s">
        <v>13</v>
      </c>
      <c r="E33" s="86">
        <v>1039890.8</v>
      </c>
      <c r="G33" s="30"/>
      <c r="I33" s="69"/>
      <c r="J33" s="69"/>
    </row>
    <row r="34" spans="1:10" s="70" customFormat="1" ht="12.75" customHeight="1" x14ac:dyDescent="0.2">
      <c r="A34" s="89">
        <v>45173</v>
      </c>
      <c r="B34" s="128" t="s">
        <v>6</v>
      </c>
      <c r="C34" s="10" t="s">
        <v>1235</v>
      </c>
      <c r="D34" s="11" t="s">
        <v>13</v>
      </c>
      <c r="E34" s="86">
        <v>6535</v>
      </c>
      <c r="G34" s="30"/>
      <c r="I34" s="69"/>
      <c r="J34" s="69"/>
    </row>
    <row r="35" spans="1:10" s="70" customFormat="1" ht="12.75" customHeight="1" x14ac:dyDescent="0.2">
      <c r="A35" s="89">
        <v>45173</v>
      </c>
      <c r="B35" s="128" t="s">
        <v>6</v>
      </c>
      <c r="C35" s="10" t="s">
        <v>456</v>
      </c>
      <c r="D35" s="11" t="s">
        <v>13</v>
      </c>
      <c r="E35" s="86">
        <v>200000</v>
      </c>
      <c r="G35" s="30"/>
      <c r="I35" s="69"/>
      <c r="J35" s="69"/>
    </row>
    <row r="36" spans="1:10" s="70" customFormat="1" ht="12.75" customHeight="1" x14ac:dyDescent="0.2">
      <c r="A36" s="89">
        <v>45173</v>
      </c>
      <c r="B36" s="128" t="s">
        <v>6</v>
      </c>
      <c r="C36" s="10" t="s">
        <v>564</v>
      </c>
      <c r="D36" s="11" t="s">
        <v>13</v>
      </c>
      <c r="E36" s="86">
        <v>2126434.7999999998</v>
      </c>
      <c r="G36" s="30"/>
      <c r="I36" s="69"/>
      <c r="J36" s="69"/>
    </row>
    <row r="37" spans="1:10" s="70" customFormat="1" ht="12.75" customHeight="1" x14ac:dyDescent="0.2">
      <c r="A37" s="89">
        <v>45173</v>
      </c>
      <c r="B37" s="128" t="s">
        <v>6</v>
      </c>
      <c r="C37" s="10" t="s">
        <v>426</v>
      </c>
      <c r="D37" s="11" t="s">
        <v>13</v>
      </c>
      <c r="E37" s="86">
        <v>82492.98</v>
      </c>
      <c r="G37" s="30"/>
      <c r="I37" s="69"/>
      <c r="J37" s="69"/>
    </row>
    <row r="38" spans="1:10" s="70" customFormat="1" ht="12.75" customHeight="1" x14ac:dyDescent="0.2">
      <c r="A38" s="89">
        <v>45173</v>
      </c>
      <c r="B38" s="128" t="s">
        <v>6</v>
      </c>
      <c r="C38" s="10" t="s">
        <v>283</v>
      </c>
      <c r="D38" s="11" t="s">
        <v>13</v>
      </c>
      <c r="E38" s="86">
        <v>1899389</v>
      </c>
      <c r="G38" s="30"/>
      <c r="I38" s="69"/>
      <c r="J38" s="69"/>
    </row>
    <row r="39" spans="1:10" s="70" customFormat="1" ht="12.75" customHeight="1" x14ac:dyDescent="0.2">
      <c r="A39" s="89">
        <v>45173</v>
      </c>
      <c r="B39" s="128" t="s">
        <v>6</v>
      </c>
      <c r="C39" s="10" t="s">
        <v>379</v>
      </c>
      <c r="D39" s="11" t="s">
        <v>13</v>
      </c>
      <c r="E39" s="86">
        <v>824167.5</v>
      </c>
      <c r="G39" s="30"/>
      <c r="I39" s="69"/>
      <c r="J39" s="69"/>
    </row>
    <row r="40" spans="1:10" s="70" customFormat="1" ht="12.75" customHeight="1" x14ac:dyDescent="0.2">
      <c r="A40" s="89">
        <v>45173</v>
      </c>
      <c r="B40" s="128" t="s">
        <v>6</v>
      </c>
      <c r="C40" s="10" t="s">
        <v>389</v>
      </c>
      <c r="D40" s="11" t="s">
        <v>13</v>
      </c>
      <c r="E40" s="86">
        <v>1123353.6100000001</v>
      </c>
      <c r="G40" s="30"/>
      <c r="I40" s="69"/>
      <c r="J40" s="69"/>
    </row>
    <row r="41" spans="1:10" s="70" customFormat="1" ht="12.75" customHeight="1" x14ac:dyDescent="0.2">
      <c r="A41" s="89">
        <v>45173</v>
      </c>
      <c r="B41" s="128" t="s">
        <v>6</v>
      </c>
      <c r="C41" s="10" t="s">
        <v>15</v>
      </c>
      <c r="D41" s="11" t="s">
        <v>13</v>
      </c>
      <c r="E41" s="86">
        <v>22423.969999999998</v>
      </c>
      <c r="G41" s="30"/>
      <c r="I41" s="69"/>
      <c r="J41" s="69"/>
    </row>
    <row r="42" spans="1:10" s="70" customFormat="1" ht="12.75" customHeight="1" x14ac:dyDescent="0.2">
      <c r="A42" s="89">
        <v>45173</v>
      </c>
      <c r="B42" s="128" t="s">
        <v>6</v>
      </c>
      <c r="C42" s="10" t="s">
        <v>513</v>
      </c>
      <c r="D42" s="11" t="s">
        <v>13</v>
      </c>
      <c r="E42" s="86">
        <v>1820733</v>
      </c>
      <c r="G42" s="30"/>
      <c r="I42" s="69"/>
      <c r="J42" s="69"/>
    </row>
    <row r="43" spans="1:10" s="70" customFormat="1" ht="12.75" customHeight="1" x14ac:dyDescent="0.2">
      <c r="A43" s="89">
        <v>45173</v>
      </c>
      <c r="B43" s="128" t="s">
        <v>11</v>
      </c>
      <c r="C43" s="10" t="s">
        <v>284</v>
      </c>
      <c r="D43" s="11" t="s">
        <v>29</v>
      </c>
      <c r="E43" s="86"/>
      <c r="F43" s="70">
        <v>1844407</v>
      </c>
      <c r="G43" s="30"/>
      <c r="I43" s="69"/>
      <c r="J43" s="69"/>
    </row>
    <row r="44" spans="1:10" s="70" customFormat="1" ht="12.75" customHeight="1" x14ac:dyDescent="0.2">
      <c r="A44" s="89">
        <v>45173</v>
      </c>
      <c r="B44" s="128" t="s">
        <v>11</v>
      </c>
      <c r="C44" s="10" t="s">
        <v>184</v>
      </c>
      <c r="D44" s="11" t="s">
        <v>29</v>
      </c>
      <c r="E44" s="86"/>
      <c r="F44" s="70">
        <v>53856</v>
      </c>
      <c r="G44" s="30"/>
      <c r="I44" s="69"/>
      <c r="J44" s="69"/>
    </row>
    <row r="45" spans="1:10" s="70" customFormat="1" ht="12.75" customHeight="1" x14ac:dyDescent="0.2">
      <c r="A45" s="89">
        <v>45173</v>
      </c>
      <c r="B45" s="128" t="s">
        <v>11</v>
      </c>
      <c r="C45" s="10" t="s">
        <v>185</v>
      </c>
      <c r="D45" s="11" t="s">
        <v>29</v>
      </c>
      <c r="E45" s="86"/>
      <c r="F45" s="70">
        <v>936081</v>
      </c>
      <c r="G45" s="30"/>
      <c r="I45" s="69"/>
      <c r="J45" s="69"/>
    </row>
    <row r="46" spans="1:10" s="70" customFormat="1" ht="12.75" customHeight="1" x14ac:dyDescent="0.2">
      <c r="A46" s="89">
        <v>45173</v>
      </c>
      <c r="B46" s="128" t="s">
        <v>11</v>
      </c>
      <c r="C46" s="10" t="s">
        <v>187</v>
      </c>
      <c r="D46" s="11" t="s">
        <v>29</v>
      </c>
      <c r="E46" s="86"/>
      <c r="F46" s="70">
        <v>1212060</v>
      </c>
      <c r="G46" s="30"/>
      <c r="I46" s="69"/>
      <c r="J46" s="69"/>
    </row>
    <row r="47" spans="1:10" s="70" customFormat="1" ht="12.75" customHeight="1" x14ac:dyDescent="0.2">
      <c r="A47" s="89">
        <v>45173</v>
      </c>
      <c r="B47" s="128" t="s">
        <v>11</v>
      </c>
      <c r="C47" s="10" t="s">
        <v>188</v>
      </c>
      <c r="D47" s="11" t="s">
        <v>29</v>
      </c>
      <c r="E47" s="86"/>
      <c r="F47" s="70">
        <v>144840</v>
      </c>
      <c r="G47" s="30"/>
      <c r="I47" s="69"/>
      <c r="J47" s="69"/>
    </row>
    <row r="48" spans="1:10" s="70" customFormat="1" ht="12.75" customHeight="1" x14ac:dyDescent="0.2">
      <c r="A48" s="89">
        <v>45173</v>
      </c>
      <c r="B48" s="128" t="s">
        <v>11</v>
      </c>
      <c r="C48" s="10" t="s">
        <v>630</v>
      </c>
      <c r="D48" s="11" t="s">
        <v>29</v>
      </c>
      <c r="E48" s="86"/>
      <c r="F48" s="70">
        <v>22500</v>
      </c>
      <c r="G48" s="30"/>
      <c r="I48" s="69"/>
      <c r="J48" s="69"/>
    </row>
    <row r="49" spans="1:10" s="70" customFormat="1" ht="12.75" customHeight="1" x14ac:dyDescent="0.2">
      <c r="A49" s="89">
        <v>45173</v>
      </c>
      <c r="B49" s="128" t="s">
        <v>11</v>
      </c>
      <c r="C49" s="10" t="s">
        <v>190</v>
      </c>
      <c r="D49" s="11" t="s">
        <v>29</v>
      </c>
      <c r="E49" s="86"/>
      <c r="F49" s="70">
        <v>1489606</v>
      </c>
      <c r="G49" s="30"/>
      <c r="I49" s="69"/>
      <c r="J49" s="69"/>
    </row>
    <row r="50" spans="1:10" s="70" customFormat="1" ht="12.75" customHeight="1" x14ac:dyDescent="0.2">
      <c r="A50" s="89">
        <v>45173</v>
      </c>
      <c r="B50" s="128" t="s">
        <v>11</v>
      </c>
      <c r="C50" s="10" t="s">
        <v>191</v>
      </c>
      <c r="D50" s="11" t="s">
        <v>29</v>
      </c>
      <c r="E50" s="86"/>
      <c r="F50" s="70">
        <v>194487</v>
      </c>
      <c r="G50" s="30"/>
      <c r="I50" s="69"/>
      <c r="J50" s="69"/>
    </row>
    <row r="51" spans="1:10" s="70" customFormat="1" ht="12.75" customHeight="1" x14ac:dyDescent="0.2">
      <c r="A51" s="89">
        <v>45173</v>
      </c>
      <c r="B51" s="128" t="s">
        <v>11</v>
      </c>
      <c r="C51" s="10" t="s">
        <v>588</v>
      </c>
      <c r="D51" s="11" t="s">
        <v>29</v>
      </c>
      <c r="E51" s="86"/>
      <c r="F51" s="70">
        <v>180903</v>
      </c>
      <c r="G51" s="30"/>
      <c r="I51" s="69"/>
      <c r="J51" s="69"/>
    </row>
    <row r="52" spans="1:10" s="70" customFormat="1" ht="12.75" customHeight="1" x14ac:dyDescent="0.2">
      <c r="A52" s="89">
        <v>45173</v>
      </c>
      <c r="B52" s="128" t="s">
        <v>11</v>
      </c>
      <c r="C52" s="10" t="s">
        <v>206</v>
      </c>
      <c r="D52" s="11" t="s">
        <v>29</v>
      </c>
      <c r="E52" s="86"/>
      <c r="F52" s="70">
        <v>894233</v>
      </c>
      <c r="G52" s="30"/>
      <c r="I52" s="69"/>
      <c r="J52" s="69"/>
    </row>
    <row r="53" spans="1:10" s="70" customFormat="1" ht="12.75" customHeight="1" x14ac:dyDescent="0.2">
      <c r="A53" s="89">
        <v>45173</v>
      </c>
      <c r="B53" s="128" t="s">
        <v>11</v>
      </c>
      <c r="C53" s="10" t="s">
        <v>192</v>
      </c>
      <c r="D53" s="11" t="s">
        <v>29</v>
      </c>
      <c r="E53" s="86"/>
      <c r="F53" s="70">
        <v>649585</v>
      </c>
      <c r="G53" s="30"/>
      <c r="I53" s="69"/>
      <c r="J53" s="69"/>
    </row>
    <row r="54" spans="1:10" s="70" customFormat="1" ht="12.75" customHeight="1" x14ac:dyDescent="0.2">
      <c r="A54" s="89">
        <v>45173</v>
      </c>
      <c r="B54" s="128" t="s">
        <v>11</v>
      </c>
      <c r="C54" s="10" t="s">
        <v>804</v>
      </c>
      <c r="D54" s="11" t="s">
        <v>29</v>
      </c>
      <c r="E54" s="86"/>
      <c r="F54" s="70">
        <v>397583</v>
      </c>
      <c r="G54" s="30"/>
      <c r="I54" s="69"/>
      <c r="J54" s="69"/>
    </row>
    <row r="55" spans="1:10" s="70" customFormat="1" ht="12.75" customHeight="1" x14ac:dyDescent="0.2">
      <c r="A55" s="89">
        <v>45173</v>
      </c>
      <c r="B55" s="128" t="s">
        <v>11</v>
      </c>
      <c r="C55" s="10" t="s">
        <v>664</v>
      </c>
      <c r="D55" s="11" t="s">
        <v>29</v>
      </c>
      <c r="E55" s="86"/>
      <c r="F55" s="70">
        <v>33432</v>
      </c>
      <c r="G55" s="30"/>
      <c r="I55" s="69"/>
      <c r="J55" s="69"/>
    </row>
    <row r="56" spans="1:10" s="70" customFormat="1" ht="12.75" customHeight="1" x14ac:dyDescent="0.2">
      <c r="A56" s="89">
        <v>45173</v>
      </c>
      <c r="B56" s="128" t="s">
        <v>11</v>
      </c>
      <c r="C56" s="10" t="s">
        <v>387</v>
      </c>
      <c r="D56" s="11" t="s">
        <v>29</v>
      </c>
      <c r="E56" s="86"/>
      <c r="F56" s="70">
        <v>23324</v>
      </c>
      <c r="G56" s="30"/>
      <c r="I56" s="69"/>
      <c r="J56" s="69"/>
    </row>
    <row r="57" spans="1:10" s="70" customFormat="1" ht="12.75" customHeight="1" x14ac:dyDescent="0.2">
      <c r="A57" s="89">
        <v>45173</v>
      </c>
      <c r="B57" s="128" t="s">
        <v>11</v>
      </c>
      <c r="C57" s="10" t="s">
        <v>789</v>
      </c>
      <c r="D57" s="11" t="s">
        <v>29</v>
      </c>
      <c r="E57" s="86"/>
      <c r="F57" s="70">
        <v>641312</v>
      </c>
      <c r="G57" s="30"/>
      <c r="I57" s="69"/>
      <c r="J57" s="69"/>
    </row>
    <row r="58" spans="1:10" s="70" customFormat="1" ht="12.75" customHeight="1" x14ac:dyDescent="0.2">
      <c r="A58" s="89">
        <v>45173</v>
      </c>
      <c r="B58" s="128" t="s">
        <v>11</v>
      </c>
      <c r="C58" s="10" t="s">
        <v>167</v>
      </c>
      <c r="D58" s="11" t="s">
        <v>29</v>
      </c>
      <c r="E58" s="86"/>
      <c r="F58" s="70">
        <v>65884</v>
      </c>
      <c r="G58" s="30"/>
      <c r="I58" s="69"/>
      <c r="J58" s="69"/>
    </row>
    <row r="59" spans="1:10" s="70" customFormat="1" ht="12.75" customHeight="1" x14ac:dyDescent="0.2">
      <c r="A59" s="89">
        <v>45173</v>
      </c>
      <c r="B59" s="128" t="s">
        <v>11</v>
      </c>
      <c r="C59" s="10" t="s">
        <v>170</v>
      </c>
      <c r="D59" s="11" t="s">
        <v>29</v>
      </c>
      <c r="E59" s="86"/>
      <c r="F59" s="70">
        <v>10000</v>
      </c>
      <c r="G59" s="30"/>
      <c r="I59" s="69"/>
      <c r="J59" s="69"/>
    </row>
    <row r="60" spans="1:10" s="70" customFormat="1" ht="12.75" customHeight="1" x14ac:dyDescent="0.2">
      <c r="A60" s="89">
        <v>45173</v>
      </c>
      <c r="B60" s="128" t="s">
        <v>11</v>
      </c>
      <c r="C60" s="10" t="s">
        <v>169</v>
      </c>
      <c r="D60" s="11" t="s">
        <v>29</v>
      </c>
      <c r="E60" s="86"/>
      <c r="F60" s="70">
        <v>8500</v>
      </c>
      <c r="G60" s="30"/>
      <c r="I60" s="69"/>
      <c r="J60" s="69"/>
    </row>
    <row r="61" spans="1:10" s="70" customFormat="1" ht="12.75" customHeight="1" x14ac:dyDescent="0.2">
      <c r="A61" s="89">
        <v>45173</v>
      </c>
      <c r="B61" s="128" t="s">
        <v>11</v>
      </c>
      <c r="C61" s="10" t="s">
        <v>168</v>
      </c>
      <c r="D61" s="11" t="s">
        <v>29</v>
      </c>
      <c r="E61" s="86"/>
      <c r="F61" s="70">
        <v>3600</v>
      </c>
      <c r="G61" s="30"/>
      <c r="I61" s="69"/>
      <c r="J61" s="69"/>
    </row>
    <row r="62" spans="1:10" s="70" customFormat="1" ht="12.75" customHeight="1" x14ac:dyDescent="0.2">
      <c r="A62" s="89">
        <v>45173</v>
      </c>
      <c r="B62" s="128" t="s">
        <v>11</v>
      </c>
      <c r="C62" s="10" t="s">
        <v>354</v>
      </c>
      <c r="D62" s="11" t="s">
        <v>29</v>
      </c>
      <c r="E62" s="86"/>
      <c r="F62" s="70">
        <v>358735.42</v>
      </c>
      <c r="G62" s="30"/>
      <c r="I62" s="69"/>
      <c r="J62" s="69"/>
    </row>
    <row r="63" spans="1:10" s="70" customFormat="1" ht="12.75" customHeight="1" x14ac:dyDescent="0.2">
      <c r="A63" s="89">
        <v>45173</v>
      </c>
      <c r="B63" s="128" t="s">
        <v>11</v>
      </c>
      <c r="C63" s="10" t="s">
        <v>663</v>
      </c>
      <c r="D63" s="11" t="s">
        <v>29</v>
      </c>
      <c r="E63" s="86"/>
      <c r="F63" s="70">
        <v>332640</v>
      </c>
      <c r="G63" s="30"/>
      <c r="I63" s="69"/>
      <c r="J63" s="69"/>
    </row>
    <row r="64" spans="1:10" s="70" customFormat="1" ht="12.75" customHeight="1" x14ac:dyDescent="0.2">
      <c r="A64" s="89">
        <v>45173</v>
      </c>
      <c r="B64" s="128" t="s">
        <v>11</v>
      </c>
      <c r="C64" s="10" t="s">
        <v>823</v>
      </c>
      <c r="D64" s="11" t="s">
        <v>29</v>
      </c>
      <c r="E64" s="86"/>
      <c r="F64" s="70">
        <v>17825</v>
      </c>
      <c r="G64" s="30"/>
      <c r="I64" s="69"/>
      <c r="J64" s="69"/>
    </row>
    <row r="65" spans="1:10" s="70" customFormat="1" ht="12.75" customHeight="1" x14ac:dyDescent="0.2">
      <c r="A65" s="89">
        <v>45173</v>
      </c>
      <c r="B65" s="128" t="s">
        <v>11</v>
      </c>
      <c r="C65" s="10" t="s">
        <v>34</v>
      </c>
      <c r="D65" s="11" t="s">
        <v>29</v>
      </c>
      <c r="E65" s="86"/>
      <c r="F65" s="70">
        <v>90000</v>
      </c>
      <c r="G65" s="30"/>
      <c r="I65" s="69"/>
      <c r="J65" s="69"/>
    </row>
    <row r="66" spans="1:10" s="70" customFormat="1" ht="12.75" customHeight="1" x14ac:dyDescent="0.2">
      <c r="A66" s="89">
        <v>45173</v>
      </c>
      <c r="B66" s="128" t="s">
        <v>11</v>
      </c>
      <c r="C66" s="10" t="s">
        <v>63</v>
      </c>
      <c r="D66" s="11" t="s">
        <v>29</v>
      </c>
      <c r="E66" s="86"/>
      <c r="F66" s="70">
        <v>2500000</v>
      </c>
      <c r="G66" s="30"/>
      <c r="I66" s="69"/>
      <c r="J66" s="69"/>
    </row>
    <row r="67" spans="1:10" s="70" customFormat="1" ht="12.75" customHeight="1" x14ac:dyDescent="0.2">
      <c r="A67" s="89">
        <v>45173</v>
      </c>
      <c r="B67" s="128" t="s">
        <v>11</v>
      </c>
      <c r="C67" s="10" t="s">
        <v>402</v>
      </c>
      <c r="D67" s="11" t="s">
        <v>29</v>
      </c>
      <c r="E67" s="86"/>
      <c r="F67" s="70">
        <v>1000000</v>
      </c>
      <c r="G67" s="30"/>
      <c r="I67" s="69"/>
      <c r="J67" s="69"/>
    </row>
    <row r="68" spans="1:10" s="70" customFormat="1" ht="12.75" customHeight="1" x14ac:dyDescent="0.2">
      <c r="A68" s="89">
        <v>45173</v>
      </c>
      <c r="B68" s="128" t="s">
        <v>11</v>
      </c>
      <c r="C68" s="10" t="s">
        <v>313</v>
      </c>
      <c r="D68" s="11" t="s">
        <v>29</v>
      </c>
      <c r="E68" s="86"/>
      <c r="F68" s="70">
        <v>611742</v>
      </c>
      <c r="G68" s="30"/>
      <c r="I68" s="69"/>
      <c r="J68" s="69"/>
    </row>
    <row r="69" spans="1:10" s="70" customFormat="1" ht="12.75" customHeight="1" x14ac:dyDescent="0.2">
      <c r="A69" s="89">
        <v>45173</v>
      </c>
      <c r="B69" s="128" t="s">
        <v>11</v>
      </c>
      <c r="C69" s="10" t="s">
        <v>1394</v>
      </c>
      <c r="D69" s="11" t="s">
        <v>29</v>
      </c>
      <c r="E69" s="86"/>
      <c r="F69" s="70">
        <v>1800250</v>
      </c>
      <c r="G69" s="30"/>
      <c r="I69" s="69"/>
      <c r="J69" s="69"/>
    </row>
    <row r="70" spans="1:10" s="70" customFormat="1" ht="12.75" customHeight="1" x14ac:dyDescent="0.2">
      <c r="A70" s="89">
        <v>45173</v>
      </c>
      <c r="B70" s="128" t="s">
        <v>11</v>
      </c>
      <c r="C70" s="10" t="s">
        <v>1325</v>
      </c>
      <c r="D70" s="11" t="s">
        <v>29</v>
      </c>
      <c r="E70" s="86"/>
      <c r="F70" s="70">
        <v>870888</v>
      </c>
      <c r="G70" s="30"/>
      <c r="I70" s="69"/>
      <c r="J70" s="69"/>
    </row>
    <row r="71" spans="1:10" s="70" customFormat="1" ht="12.75" customHeight="1" x14ac:dyDescent="0.2">
      <c r="A71" s="89">
        <v>45173</v>
      </c>
      <c r="B71" s="128" t="s">
        <v>11</v>
      </c>
      <c r="C71" s="10" t="s">
        <v>1472</v>
      </c>
      <c r="D71" s="11" t="s">
        <v>29</v>
      </c>
      <c r="E71" s="86"/>
      <c r="F71" s="70">
        <v>64827</v>
      </c>
      <c r="G71" s="30"/>
      <c r="I71" s="69"/>
      <c r="J71" s="69"/>
    </row>
    <row r="72" spans="1:10" s="70" customFormat="1" ht="12.75" customHeight="1" x14ac:dyDescent="0.2">
      <c r="A72" s="89">
        <v>45173</v>
      </c>
      <c r="B72" s="128" t="s">
        <v>11</v>
      </c>
      <c r="C72" s="10" t="s">
        <v>406</v>
      </c>
      <c r="D72" s="11" t="s">
        <v>29</v>
      </c>
      <c r="E72" s="86"/>
      <c r="F72" s="70">
        <v>17699</v>
      </c>
      <c r="G72" s="30"/>
      <c r="I72" s="69"/>
      <c r="J72" s="69"/>
    </row>
    <row r="73" spans="1:10" s="70" customFormat="1" ht="12.75" customHeight="1" x14ac:dyDescent="0.2">
      <c r="A73" s="89">
        <v>45173</v>
      </c>
      <c r="B73" s="128" t="s">
        <v>11</v>
      </c>
      <c r="C73" s="10" t="s">
        <v>193</v>
      </c>
      <c r="D73" s="11" t="s">
        <v>29</v>
      </c>
      <c r="E73" s="86"/>
      <c r="F73" s="70">
        <v>361328</v>
      </c>
      <c r="G73" s="30"/>
      <c r="I73" s="69"/>
      <c r="J73" s="69"/>
    </row>
    <row r="74" spans="1:10" s="70" customFormat="1" ht="12.75" customHeight="1" x14ac:dyDescent="0.2">
      <c r="A74" s="89">
        <v>45173</v>
      </c>
      <c r="B74" s="128" t="s">
        <v>11</v>
      </c>
      <c r="C74" s="10" t="s">
        <v>849</v>
      </c>
      <c r="D74" s="11" t="s">
        <v>29</v>
      </c>
      <c r="E74" s="86"/>
      <c r="F74" s="70">
        <v>69317</v>
      </c>
      <c r="G74" s="30"/>
      <c r="I74" s="69"/>
      <c r="J74" s="69"/>
    </row>
    <row r="75" spans="1:10" s="70" customFormat="1" ht="12.75" customHeight="1" x14ac:dyDescent="0.2">
      <c r="A75" s="89">
        <v>45173</v>
      </c>
      <c r="B75" s="128" t="s">
        <v>11</v>
      </c>
      <c r="C75" s="10" t="s">
        <v>790</v>
      </c>
      <c r="D75" s="11" t="s">
        <v>29</v>
      </c>
      <c r="E75" s="86"/>
      <c r="F75" s="70">
        <v>392267</v>
      </c>
      <c r="G75" s="30"/>
      <c r="I75" s="69"/>
      <c r="J75" s="69"/>
    </row>
    <row r="76" spans="1:10" s="70" customFormat="1" ht="12.75" customHeight="1" x14ac:dyDescent="0.2">
      <c r="A76" s="89">
        <v>45173</v>
      </c>
      <c r="B76" s="128" t="s">
        <v>11</v>
      </c>
      <c r="C76" s="10" t="s">
        <v>300</v>
      </c>
      <c r="D76" s="11" t="s">
        <v>29</v>
      </c>
      <c r="E76" s="86"/>
      <c r="F76" s="70">
        <v>355566.5</v>
      </c>
      <c r="G76" s="30"/>
      <c r="I76" s="69"/>
      <c r="J76" s="69"/>
    </row>
    <row r="77" spans="1:10" s="70" customFormat="1" ht="12.75" customHeight="1" x14ac:dyDescent="0.2">
      <c r="A77" s="89">
        <v>45173</v>
      </c>
      <c r="B77" s="128" t="s">
        <v>11</v>
      </c>
      <c r="C77" s="10" t="s">
        <v>194</v>
      </c>
      <c r="D77" s="11" t="s">
        <v>29</v>
      </c>
      <c r="E77" s="86"/>
      <c r="F77" s="70">
        <v>955603</v>
      </c>
      <c r="G77" s="30"/>
      <c r="I77" s="69"/>
      <c r="J77" s="69"/>
    </row>
    <row r="78" spans="1:10" s="70" customFormat="1" ht="12.75" customHeight="1" x14ac:dyDescent="0.2">
      <c r="A78" s="89">
        <v>45173</v>
      </c>
      <c r="B78" s="128" t="s">
        <v>11</v>
      </c>
      <c r="C78" s="10" t="s">
        <v>745</v>
      </c>
      <c r="D78" s="11" t="s">
        <v>29</v>
      </c>
      <c r="E78" s="86"/>
      <c r="F78" s="70">
        <v>665573</v>
      </c>
      <c r="G78" s="30"/>
      <c r="I78" s="69"/>
      <c r="J78" s="69"/>
    </row>
    <row r="79" spans="1:10" s="70" customFormat="1" ht="12.75" customHeight="1" x14ac:dyDescent="0.2">
      <c r="A79" s="89">
        <v>45173</v>
      </c>
      <c r="B79" s="128" t="s">
        <v>11</v>
      </c>
      <c r="C79" s="10" t="s">
        <v>56</v>
      </c>
      <c r="D79" s="11" t="s">
        <v>29</v>
      </c>
      <c r="E79" s="86"/>
      <c r="F79" s="70">
        <v>906641.5</v>
      </c>
      <c r="G79" s="30"/>
      <c r="I79" s="69"/>
      <c r="J79" s="69"/>
    </row>
    <row r="80" spans="1:10" s="70" customFormat="1" ht="12.75" customHeight="1" x14ac:dyDescent="0.2">
      <c r="A80" s="89">
        <v>45173</v>
      </c>
      <c r="B80" s="128" t="s">
        <v>11</v>
      </c>
      <c r="C80" s="10" t="s">
        <v>15</v>
      </c>
      <c r="D80" s="11" t="s">
        <v>29</v>
      </c>
      <c r="E80" s="86"/>
      <c r="F80" s="70">
        <v>23576.720000000001</v>
      </c>
      <c r="G80" s="30"/>
      <c r="I80" s="69"/>
      <c r="J80" s="69"/>
    </row>
    <row r="81" spans="1:14" s="70" customFormat="1" ht="12.75" customHeight="1" x14ac:dyDescent="0.2">
      <c r="A81" s="89">
        <v>45173</v>
      </c>
      <c r="B81" s="128" t="s">
        <v>11</v>
      </c>
      <c r="C81" s="10" t="s">
        <v>513</v>
      </c>
      <c r="D81" s="11" t="s">
        <v>29</v>
      </c>
      <c r="E81" s="86"/>
      <c r="F81" s="70">
        <v>4430885</v>
      </c>
      <c r="G81" s="30"/>
      <c r="I81" s="69"/>
      <c r="J81" s="69"/>
    </row>
    <row r="82" spans="1:14" s="70" customFormat="1" ht="12.75" customHeight="1" x14ac:dyDescent="0.2">
      <c r="A82" s="89">
        <v>45173</v>
      </c>
      <c r="B82" s="128" t="s">
        <v>11</v>
      </c>
      <c r="C82" s="10" t="s">
        <v>64</v>
      </c>
      <c r="D82" s="11" t="s">
        <v>29</v>
      </c>
      <c r="E82" s="86"/>
      <c r="F82" s="70">
        <v>23189.55</v>
      </c>
      <c r="G82" s="30"/>
      <c r="I82" s="69"/>
      <c r="J82" s="69"/>
    </row>
    <row r="83" spans="1:14" s="2" customFormat="1" ht="12.75" customHeight="1" x14ac:dyDescent="0.2">
      <c r="A83" s="32"/>
      <c r="B83" s="33"/>
      <c r="C83" s="14"/>
      <c r="D83" s="34"/>
      <c r="E83" s="16">
        <f>SUM(E21:E82)</f>
        <v>16789817.660000004</v>
      </c>
      <c r="F83" s="16">
        <f>SUM(F21:F82)</f>
        <v>135211603.13000005</v>
      </c>
      <c r="G83" s="30"/>
      <c r="H83" s="1"/>
      <c r="I83" s="38">
        <v>118421785.47</v>
      </c>
      <c r="J83" s="2" t="s">
        <v>396</v>
      </c>
      <c r="K83" s="92">
        <f>E84-I83</f>
        <v>0</v>
      </c>
      <c r="L83" s="41"/>
      <c r="M83" s="42"/>
    </row>
    <row r="84" spans="1:14" s="2" customFormat="1" ht="12.75" customHeight="1" x14ac:dyDescent="0.2">
      <c r="A84" s="36"/>
      <c r="B84" s="28" t="s">
        <v>11</v>
      </c>
      <c r="C84" s="19" t="s">
        <v>65</v>
      </c>
      <c r="D84" s="37"/>
      <c r="E84" s="38">
        <f>F83-E83</f>
        <v>118421785.47000006</v>
      </c>
      <c r="F84" s="22"/>
      <c r="G84" s="1"/>
      <c r="H84" s="1"/>
      <c r="J84" s="1"/>
      <c r="K84" s="1"/>
      <c r="L84" s="1"/>
      <c r="M84" s="1"/>
    </row>
    <row r="85" spans="1:14" s="2" customFormat="1" ht="12.75" customHeight="1" x14ac:dyDescent="0.2">
      <c r="A85" s="36"/>
      <c r="B85" s="28" t="s">
        <v>66</v>
      </c>
      <c r="C85" s="43" t="s">
        <v>1457</v>
      </c>
      <c r="D85" s="43"/>
      <c r="E85" s="12">
        <v>350000000</v>
      </c>
      <c r="F85" s="22"/>
      <c r="G85" s="1"/>
      <c r="H85" s="40"/>
      <c r="I85" s="45">
        <v>279.08</v>
      </c>
      <c r="J85" s="46"/>
      <c r="K85" s="46"/>
      <c r="L85" s="13"/>
      <c r="M85" s="69" t="s">
        <v>396</v>
      </c>
    </row>
    <row r="86" spans="1:14" s="2" customFormat="1" ht="12.75" customHeight="1" x14ac:dyDescent="0.25">
      <c r="A86" s="36"/>
      <c r="B86" s="28"/>
      <c r="C86" s="44" t="s">
        <v>68</v>
      </c>
      <c r="D86" s="43"/>
      <c r="E86" s="7">
        <f>+E85+E84</f>
        <v>468421785.47000003</v>
      </c>
      <c r="F86" s="22"/>
      <c r="G86" s="1"/>
      <c r="H86" s="103" t="s">
        <v>69</v>
      </c>
      <c r="I86" s="45">
        <v>-8.4600000000000009</v>
      </c>
      <c r="J86" s="46"/>
      <c r="K86" s="46"/>
      <c r="N86" s="1"/>
    </row>
    <row r="87" spans="1:14" s="2" customFormat="1" x14ac:dyDescent="0.2">
      <c r="A87" s="24"/>
      <c r="B87" s="1"/>
      <c r="C87" s="14"/>
      <c r="D87" s="25"/>
      <c r="E87" s="1"/>
      <c r="H87" s="35" t="s">
        <v>70</v>
      </c>
      <c r="I87" s="45">
        <v>8.4600000000000009</v>
      </c>
      <c r="J87" s="46">
        <f>+I88-D90</f>
        <v>0</v>
      </c>
      <c r="M87" s="2" t="s">
        <v>396</v>
      </c>
      <c r="N87" s="1"/>
    </row>
    <row r="88" spans="1:14" x14ac:dyDescent="0.2">
      <c r="C88" s="56"/>
      <c r="D88" s="56"/>
      <c r="E88" s="104"/>
      <c r="I88" s="49">
        <f>SUM(I85:I87)</f>
        <v>279.08</v>
      </c>
      <c r="J88" s="46"/>
      <c r="K88" s="46"/>
      <c r="L88" s="2"/>
      <c r="M88" s="2"/>
      <c r="N88" s="2"/>
    </row>
    <row r="89" spans="1:14" x14ac:dyDescent="0.2">
      <c r="C89" s="78" t="s">
        <v>575</v>
      </c>
      <c r="D89" s="48" t="s">
        <v>576</v>
      </c>
      <c r="E89" s="104"/>
      <c r="I89" s="2"/>
      <c r="J89" s="2"/>
      <c r="K89" s="2"/>
      <c r="L89" s="2"/>
      <c r="M89" s="2"/>
      <c r="N89" s="2"/>
    </row>
    <row r="90" spans="1:14" s="2" customFormat="1" x14ac:dyDescent="0.2">
      <c r="A90" s="24"/>
      <c r="B90" s="1"/>
      <c r="C90" s="47" t="s">
        <v>570</v>
      </c>
      <c r="D90" s="111">
        <v>279.08</v>
      </c>
      <c r="E90" s="104"/>
      <c r="G90" s="1"/>
      <c r="H90" s="110" t="s">
        <v>581</v>
      </c>
      <c r="N90" s="2" t="s">
        <v>535</v>
      </c>
    </row>
    <row r="91" spans="1:14" s="2" customFormat="1" x14ac:dyDescent="0.2">
      <c r="A91" s="24"/>
      <c r="B91" s="1"/>
      <c r="C91" s="47" t="s">
        <v>931</v>
      </c>
      <c r="D91" s="111">
        <v>67.06</v>
      </c>
      <c r="E91" s="104"/>
      <c r="G91" s="1"/>
      <c r="H91" s="110" t="s">
        <v>580</v>
      </c>
    </row>
    <row r="92" spans="1:14" s="2" customFormat="1" x14ac:dyDescent="0.2">
      <c r="A92" s="24"/>
      <c r="B92" s="1"/>
      <c r="C92" s="47" t="s">
        <v>572</v>
      </c>
      <c r="D92" s="111">
        <f>+D110/100000</f>
        <v>38.963262100000001</v>
      </c>
      <c r="E92" s="104"/>
      <c r="G92" s="1"/>
      <c r="H92" s="90" t="s">
        <v>587</v>
      </c>
    </row>
    <row r="93" spans="1:14" s="2" customFormat="1" x14ac:dyDescent="0.2">
      <c r="A93" s="24"/>
      <c r="B93" s="1"/>
      <c r="C93" s="108" t="s">
        <v>578</v>
      </c>
      <c r="D93" s="48">
        <f>SUM(D90:D92)</f>
        <v>385.10326209999999</v>
      </c>
      <c r="E93" s="104"/>
      <c r="G93" s="1"/>
    </row>
    <row r="94" spans="1:14" s="2" customFormat="1" x14ac:dyDescent="0.2">
      <c r="A94" s="24"/>
      <c r="B94" s="1"/>
      <c r="C94" s="47"/>
      <c r="D94" s="107"/>
      <c r="E94" s="104"/>
      <c r="G94" s="1"/>
    </row>
    <row r="95" spans="1:14" s="2" customFormat="1" x14ac:dyDescent="0.2">
      <c r="A95" s="24"/>
      <c r="B95" s="1"/>
      <c r="C95" s="47" t="s">
        <v>932</v>
      </c>
      <c r="D95" s="111">
        <v>18.989999999999998</v>
      </c>
      <c r="E95" s="104"/>
      <c r="G95" s="1"/>
      <c r="H95" s="110" t="s">
        <v>581</v>
      </c>
    </row>
    <row r="96" spans="1:14" s="2" customFormat="1" x14ac:dyDescent="0.2">
      <c r="A96" s="24"/>
      <c r="B96" s="1"/>
      <c r="C96" s="136" t="s">
        <v>1142</v>
      </c>
      <c r="D96" s="111">
        <f>9.23-3.92</f>
        <v>5.3100000000000005</v>
      </c>
      <c r="E96" s="104"/>
      <c r="G96" s="1"/>
      <c r="H96" s="110" t="s">
        <v>581</v>
      </c>
      <c r="J96" s="114" t="s">
        <v>713</v>
      </c>
    </row>
    <row r="97" spans="1:13" s="2" customFormat="1" x14ac:dyDescent="0.2">
      <c r="A97" s="24"/>
      <c r="B97" s="1"/>
      <c r="C97" s="78" t="s">
        <v>579</v>
      </c>
      <c r="D97" s="109">
        <f>D95+D96</f>
        <v>24.299999999999997</v>
      </c>
      <c r="E97" s="104"/>
      <c r="G97" s="1"/>
      <c r="I97" s="113"/>
      <c r="J97" s="113" t="s">
        <v>709</v>
      </c>
      <c r="K97" s="113" t="s">
        <v>710</v>
      </c>
      <c r="L97" s="113" t="s">
        <v>711</v>
      </c>
      <c r="M97" s="113" t="s">
        <v>712</v>
      </c>
    </row>
    <row r="98" spans="1:13" s="2" customFormat="1" x14ac:dyDescent="0.2">
      <c r="A98" s="24"/>
      <c r="B98" s="1"/>
      <c r="C98" s="105"/>
      <c r="D98" s="106"/>
      <c r="E98" s="104"/>
      <c r="G98" s="1"/>
      <c r="I98" s="113" t="s">
        <v>706</v>
      </c>
      <c r="J98" s="115"/>
      <c r="K98" s="115">
        <v>968.99</v>
      </c>
      <c r="L98" s="115">
        <v>968.99</v>
      </c>
      <c r="M98" s="113">
        <f>+J98+L98-K98</f>
        <v>0</v>
      </c>
    </row>
    <row r="99" spans="1:13" s="2" customFormat="1" x14ac:dyDescent="0.2">
      <c r="A99" s="24"/>
      <c r="B99" s="1"/>
      <c r="C99" s="78" t="s">
        <v>577</v>
      </c>
      <c r="D99" s="109">
        <f>D90+D97</f>
        <v>303.38</v>
      </c>
      <c r="E99" s="104"/>
      <c r="G99" s="1"/>
      <c r="I99" s="113" t="s">
        <v>707</v>
      </c>
      <c r="J99" s="115">
        <v>183.1</v>
      </c>
      <c r="K99" s="115">
        <v>3360.28</v>
      </c>
      <c r="L99" s="115">
        <v>3706.94</v>
      </c>
      <c r="M99" s="113">
        <f>+J99+L99-K99</f>
        <v>529.75999999999976</v>
      </c>
    </row>
    <row r="100" spans="1:13" s="2" customFormat="1" x14ac:dyDescent="0.2">
      <c r="A100" s="24"/>
      <c r="B100" s="1"/>
      <c r="C100" s="56"/>
      <c r="D100" s="56"/>
      <c r="E100" s="104"/>
      <c r="G100" s="1"/>
      <c r="I100" s="113" t="s">
        <v>708</v>
      </c>
      <c r="J100" s="115">
        <v>1371.02</v>
      </c>
      <c r="K100" s="115">
        <v>13815.73</v>
      </c>
      <c r="L100" s="115">
        <v>13260.96</v>
      </c>
      <c r="M100" s="113">
        <f>+J100+L100-K100</f>
        <v>816.25</v>
      </c>
    </row>
    <row r="101" spans="1:13" s="2" customFormat="1" ht="38.25" x14ac:dyDescent="0.2">
      <c r="A101" s="24"/>
      <c r="B101" s="1"/>
      <c r="C101" s="79" t="str">
        <f>"Particulars ( 01-04-2021 to "&amp;TEXT(A5,"dd-mm-yyyy")&amp;" )"</f>
        <v>Particulars ( 01-04-2021 to 04-09-2023 )</v>
      </c>
      <c r="D101" s="80" t="s">
        <v>73</v>
      </c>
      <c r="E101" s="80" t="s">
        <v>74</v>
      </c>
      <c r="F101" s="81" t="s">
        <v>75</v>
      </c>
      <c r="G101" s="80" t="s">
        <v>76</v>
      </c>
      <c r="J101" s="118">
        <f>SUM(J98:J100)</f>
        <v>1554.12</v>
      </c>
      <c r="K101" s="118">
        <f>SUM(K98:K100)</f>
        <v>18145</v>
      </c>
      <c r="L101" s="118">
        <f>SUM(L98:L100)</f>
        <v>17936.89</v>
      </c>
      <c r="M101" s="118">
        <f>SUM(M98:M100)</f>
        <v>1346.0099999999998</v>
      </c>
    </row>
    <row r="102" spans="1:13" s="2" customFormat="1" x14ac:dyDescent="0.2">
      <c r="A102" s="24"/>
      <c r="B102" s="1"/>
      <c r="C102" s="50" t="s">
        <v>444</v>
      </c>
      <c r="D102" s="55">
        <f>+L98+L99+J99</f>
        <v>4859.0300000000007</v>
      </c>
      <c r="E102" s="55">
        <f>+K98+K99</f>
        <v>4329.2700000000004</v>
      </c>
      <c r="F102" s="55">
        <f>+D102-E102</f>
        <v>529.76000000000022</v>
      </c>
      <c r="G102" s="55">
        <f>1500-F102</f>
        <v>970.23999999999978</v>
      </c>
      <c r="H102" s="2" t="s">
        <v>396</v>
      </c>
    </row>
    <row r="103" spans="1:13" s="2" customFormat="1" x14ac:dyDescent="0.2">
      <c r="A103" s="24"/>
      <c r="B103" s="1"/>
      <c r="C103" s="50" t="s">
        <v>71</v>
      </c>
      <c r="D103" s="55">
        <f>+J100+L100</f>
        <v>14631.98</v>
      </c>
      <c r="E103" s="55">
        <f>+K100</f>
        <v>13815.73</v>
      </c>
      <c r="F103" s="55">
        <f>+D103-E103</f>
        <v>816.25</v>
      </c>
      <c r="G103" s="55">
        <f>1500+700-F103</f>
        <v>1383.75</v>
      </c>
      <c r="H103" s="2" t="s">
        <v>396</v>
      </c>
    </row>
    <row r="104" spans="1:13" s="2" customFormat="1" x14ac:dyDescent="0.2">
      <c r="A104" s="24"/>
      <c r="B104" s="1"/>
      <c r="C104" s="14"/>
      <c r="D104" s="56"/>
      <c r="E104" s="13"/>
      <c r="G104" s="1"/>
    </row>
    <row r="105" spans="1:13" s="2" customFormat="1" x14ac:dyDescent="0.2">
      <c r="A105" s="215" t="s">
        <v>80</v>
      </c>
      <c r="B105" s="216"/>
      <c r="C105" s="216"/>
      <c r="D105" s="217"/>
      <c r="E105" s="69"/>
      <c r="F105" s="70"/>
      <c r="G105" s="1"/>
      <c r="H105" s="53"/>
    </row>
    <row r="106" spans="1:13" s="2" customFormat="1" x14ac:dyDescent="0.2">
      <c r="A106" s="71" t="s">
        <v>81</v>
      </c>
      <c r="B106" s="71"/>
      <c r="C106" s="72" t="s">
        <v>82</v>
      </c>
      <c r="D106" s="73" t="s">
        <v>83</v>
      </c>
      <c r="E106" s="69"/>
      <c r="F106" s="70"/>
      <c r="H106" s="53"/>
    </row>
    <row r="107" spans="1:13" s="2" customFormat="1" x14ac:dyDescent="0.2">
      <c r="A107" s="87">
        <v>45170</v>
      </c>
      <c r="B107" s="120" t="s">
        <v>1052</v>
      </c>
      <c r="C107" s="75" t="s">
        <v>270</v>
      </c>
      <c r="D107" s="88">
        <v>117174</v>
      </c>
      <c r="G107" s="1"/>
      <c r="L107" s="1"/>
      <c r="M107" s="1"/>
    </row>
    <row r="108" spans="1:13" s="2" customFormat="1" x14ac:dyDescent="0.2">
      <c r="A108" s="87">
        <v>45171</v>
      </c>
      <c r="B108" s="120" t="s">
        <v>1052</v>
      </c>
      <c r="C108" s="75" t="s">
        <v>767</v>
      </c>
      <c r="D108" s="88">
        <v>278761</v>
      </c>
      <c r="G108" s="1"/>
      <c r="L108" s="1"/>
      <c r="M108" s="1"/>
    </row>
    <row r="109" spans="1:13" s="2" customFormat="1" x14ac:dyDescent="0.2">
      <c r="A109" s="87">
        <v>45171</v>
      </c>
      <c r="B109" s="120" t="s">
        <v>1052</v>
      </c>
      <c r="C109" s="75" t="s">
        <v>201</v>
      </c>
      <c r="D109" s="88">
        <v>3500391.21</v>
      </c>
      <c r="G109" s="1"/>
      <c r="L109" s="1"/>
      <c r="M109" s="1"/>
    </row>
    <row r="110" spans="1:13" s="2" customFormat="1" x14ac:dyDescent="0.2">
      <c r="A110" s="87"/>
      <c r="B110" s="74"/>
      <c r="C110" s="75"/>
      <c r="D110" s="51">
        <f>SUM(D107:D109)</f>
        <v>3896326.21</v>
      </c>
      <c r="F110" s="2" t="s">
        <v>396</v>
      </c>
      <c r="G110" s="1"/>
      <c r="L110" s="1"/>
      <c r="M110" s="1"/>
    </row>
    <row r="111" spans="1:13" s="2" customFormat="1" x14ac:dyDescent="0.2">
      <c r="A111" s="24"/>
      <c r="B111" s="1"/>
      <c r="C111" s="14"/>
      <c r="D111" s="56"/>
      <c r="E111" s="13"/>
      <c r="G111" s="1"/>
      <c r="L111" s="1"/>
      <c r="M111" s="1"/>
    </row>
    <row r="112" spans="1:13" s="2" customFormat="1" x14ac:dyDescent="0.2">
      <c r="A112" s="24"/>
      <c r="B112" s="1"/>
      <c r="C112" s="218" t="s">
        <v>77</v>
      </c>
      <c r="D112" s="219"/>
      <c r="E112" s="219"/>
      <c r="F112" s="220"/>
      <c r="G112" s="1"/>
      <c r="L112" s="1"/>
      <c r="M112" s="1"/>
    </row>
    <row r="113" spans="1:13" s="2" customFormat="1" x14ac:dyDescent="0.2">
      <c r="A113" s="24"/>
      <c r="B113" s="1"/>
      <c r="C113" s="50"/>
      <c r="D113" s="57" t="s">
        <v>78</v>
      </c>
      <c r="E113" s="58" t="s">
        <v>79</v>
      </c>
      <c r="F113" s="57" t="s">
        <v>72</v>
      </c>
      <c r="G113" s="1"/>
      <c r="I113" s="1"/>
      <c r="J113" s="1"/>
      <c r="K113" s="1"/>
      <c r="L113" s="1"/>
      <c r="M113" s="1"/>
    </row>
    <row r="114" spans="1:13" s="2" customFormat="1" x14ac:dyDescent="0.2">
      <c r="A114" s="24"/>
      <c r="B114" s="1"/>
      <c r="C114" s="59" t="str">
        <f>"01-09-2023 to "&amp;TEXT(A5-2,"dd-mm-yyyy")</f>
        <v>01-09-2023 to 02-09-2023</v>
      </c>
      <c r="D114" s="60">
        <v>309.14</v>
      </c>
      <c r="E114" s="60">
        <v>16</v>
      </c>
      <c r="F114" s="61">
        <f>SUM(D114:E114)</f>
        <v>325.14</v>
      </c>
      <c r="G114" s="1"/>
    </row>
    <row r="115" spans="1:13" s="2" customFormat="1" x14ac:dyDescent="0.2">
      <c r="A115" s="24"/>
      <c r="B115" s="1"/>
      <c r="C115" s="62" t="str">
        <f>TEXT(A5-1,"dd-mm-yyyy")</f>
        <v>03-09-2023</v>
      </c>
      <c r="D115" s="60">
        <v>0</v>
      </c>
      <c r="E115" s="60">
        <v>0</v>
      </c>
      <c r="F115" s="61">
        <f>SUM(D115:E115)</f>
        <v>0</v>
      </c>
      <c r="G115" s="54"/>
      <c r="I115" s="1"/>
      <c r="J115" s="1"/>
      <c r="K115" s="1"/>
      <c r="L115" s="1"/>
      <c r="M115" s="1"/>
    </row>
    <row r="116" spans="1:13" s="2" customFormat="1" ht="13.5" thickBot="1" x14ac:dyDescent="0.25">
      <c r="A116" s="24"/>
      <c r="B116" s="1"/>
      <c r="C116" s="63" t="str">
        <f>"01-09-2023 to "&amp;TEXT(A5-1,"dd-mm-yyyy")</f>
        <v>01-09-2023 to 03-09-2023</v>
      </c>
      <c r="D116" s="64">
        <f>SUM(D114:D115)</f>
        <v>309.14</v>
      </c>
      <c r="E116" s="64">
        <f>SUM(E114:E115)</f>
        <v>16</v>
      </c>
      <c r="F116" s="64">
        <f>SUM(F114:F115)</f>
        <v>325.14</v>
      </c>
      <c r="G116" s="54"/>
      <c r="I116" s="1"/>
      <c r="J116" s="1"/>
      <c r="K116" s="1"/>
      <c r="L116" s="1"/>
      <c r="M116" s="1"/>
    </row>
    <row r="117" spans="1:13" s="2" customFormat="1" ht="13.5" thickTop="1" x14ac:dyDescent="0.2">
      <c r="A117" s="24"/>
      <c r="B117" s="1"/>
      <c r="C117" s="62"/>
      <c r="D117" s="65"/>
      <c r="E117" s="66"/>
      <c r="F117" s="67"/>
      <c r="G117" s="54"/>
      <c r="I117" s="1"/>
      <c r="J117" s="1"/>
      <c r="K117" s="1"/>
      <c r="L117" s="1"/>
      <c r="M117" s="1"/>
    </row>
    <row r="118" spans="1:13" s="2" customFormat="1" x14ac:dyDescent="0.2">
      <c r="A118" s="24"/>
      <c r="B118" s="1"/>
      <c r="C118" s="62" t="str">
        <f>"01-04-2023 to " &amp;C115</f>
        <v>01-04-2023 to 03-09-2023</v>
      </c>
      <c r="D118" s="68">
        <f>+D116+24261.33</f>
        <v>24570.47</v>
      </c>
      <c r="E118" s="68">
        <f>+E116+1685.25</f>
        <v>1701.25</v>
      </c>
      <c r="F118" s="68">
        <f>+F116+25946.58</f>
        <v>26271.72</v>
      </c>
      <c r="G118" s="54"/>
      <c r="I118" s="1"/>
      <c r="J118" s="1"/>
      <c r="K118" s="1"/>
      <c r="L118" s="1"/>
      <c r="M118" s="1"/>
    </row>
    <row r="119" spans="1:13" x14ac:dyDescent="0.2">
      <c r="C119" s="52"/>
      <c r="D119" s="85"/>
      <c r="E119" s="53"/>
      <c r="F119" s="53"/>
      <c r="G119" s="54"/>
      <c r="H119" s="2" t="s">
        <v>396</v>
      </c>
    </row>
    <row r="120" spans="1:13" s="2" customFormat="1" x14ac:dyDescent="0.2">
      <c r="A120" s="24"/>
      <c r="B120" s="1"/>
      <c r="C120" s="52"/>
      <c r="D120" s="85"/>
      <c r="E120" s="53"/>
      <c r="F120" s="53"/>
      <c r="G120" s="54"/>
      <c r="H120" s="53"/>
    </row>
    <row r="121" spans="1:13" x14ac:dyDescent="0.2">
      <c r="C121" s="52"/>
      <c r="D121" s="85"/>
      <c r="E121" s="53"/>
      <c r="F121" s="53"/>
      <c r="G121" s="54"/>
      <c r="H121" s="53" t="s">
        <v>396</v>
      </c>
    </row>
    <row r="122" spans="1:13" x14ac:dyDescent="0.2">
      <c r="C122" s="52"/>
      <c r="D122" s="85"/>
      <c r="E122" s="53"/>
      <c r="F122" s="53"/>
      <c r="G122" s="54"/>
      <c r="H122" s="53" t="s">
        <v>396</v>
      </c>
      <c r="J122" s="42"/>
    </row>
    <row r="123" spans="1:13" x14ac:dyDescent="0.2">
      <c r="G123" s="54"/>
      <c r="H123" s="53"/>
      <c r="I123" s="101"/>
    </row>
    <row r="124" spans="1:13" x14ac:dyDescent="0.2">
      <c r="G124" s="54"/>
      <c r="H124" s="53"/>
    </row>
    <row r="125" spans="1:13" x14ac:dyDescent="0.2">
      <c r="G125" s="54"/>
      <c r="H125" s="53"/>
    </row>
    <row r="126" spans="1:13" x14ac:dyDescent="0.2">
      <c r="H126" s="53"/>
    </row>
  </sheetData>
  <mergeCells count="6">
    <mergeCell ref="C112:F112"/>
    <mergeCell ref="A1:G1"/>
    <mergeCell ref="A3:F3"/>
    <mergeCell ref="A10:F10"/>
    <mergeCell ref="A19:F19"/>
    <mergeCell ref="A105:D105"/>
  </mergeCells>
  <conditionalFormatting sqref="G102:G103">
    <cfRule type="cellIs" dxfId="331" priority="1" operator="lessThan">
      <formula>0</formula>
    </cfRule>
  </conditionalFormatting>
  <conditionalFormatting sqref="C21">
    <cfRule type="duplicateValues" dxfId="330" priority="2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D00-000000000000}">
  <sheetPr codeName="Sheet421">
    <pageSetUpPr fitToPage="1"/>
  </sheetPr>
  <dimension ref="A1:N131"/>
  <sheetViews>
    <sheetView topLeftCell="A55" zoomScaleNormal="100" workbookViewId="0">
      <selection activeCell="I85" sqref="I85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1473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45174</v>
      </c>
      <c r="B5" s="9" t="s">
        <v>6</v>
      </c>
      <c r="C5" s="10" t="s">
        <v>7</v>
      </c>
      <c r="D5" s="11"/>
      <c r="E5" s="12">
        <v>4160877.98</v>
      </c>
      <c r="F5" s="12"/>
      <c r="G5" s="1"/>
      <c r="H5" s="112"/>
      <c r="I5" s="112"/>
    </row>
    <row r="6" spans="1:10" s="2" customFormat="1" ht="14.25" customHeight="1" x14ac:dyDescent="0.4">
      <c r="A6" s="89">
        <v>45174</v>
      </c>
      <c r="B6" s="9" t="s">
        <v>6</v>
      </c>
      <c r="C6" s="10" t="s">
        <v>400</v>
      </c>
      <c r="D6" s="11" t="s">
        <v>13</v>
      </c>
      <c r="E6" s="12">
        <v>1000000</v>
      </c>
      <c r="F6" s="12"/>
      <c r="G6" s="1"/>
      <c r="H6" s="112"/>
      <c r="I6" s="112"/>
    </row>
    <row r="7" spans="1:10" s="2" customFormat="1" ht="12.75" customHeight="1" x14ac:dyDescent="0.4">
      <c r="D7" s="15" t="s">
        <v>8</v>
      </c>
      <c r="E7" s="16">
        <f>SUM(E5:E6)</f>
        <v>5160877.9800000004</v>
      </c>
      <c r="F7" s="16">
        <f>SUM(F5:F5)</f>
        <v>0</v>
      </c>
      <c r="G7" s="1"/>
      <c r="H7" s="112"/>
      <c r="I7" s="112"/>
    </row>
    <row r="8" spans="1:10" s="2" customFormat="1" ht="12.75" customHeight="1" x14ac:dyDescent="0.4">
      <c r="A8" s="17"/>
      <c r="B8" s="18"/>
      <c r="C8" s="19" t="s">
        <v>9</v>
      </c>
      <c r="D8" s="20"/>
      <c r="E8" s="21">
        <f>+E7-F7</f>
        <v>5160877.9800000004</v>
      </c>
      <c r="F8" s="22"/>
      <c r="G8" s="23"/>
      <c r="H8" s="112"/>
      <c r="I8" s="112"/>
      <c r="J8" s="13"/>
    </row>
    <row r="9" spans="1:10" ht="12.75" customHeight="1" x14ac:dyDescent="0.4">
      <c r="H9" s="112"/>
      <c r="I9" s="112"/>
    </row>
    <row r="10" spans="1:10" ht="18" customHeight="1" x14ac:dyDescent="0.4">
      <c r="A10" s="213" t="s">
        <v>1037</v>
      </c>
      <c r="B10" s="213"/>
      <c r="C10" s="213"/>
      <c r="D10" s="213"/>
      <c r="E10" s="213"/>
      <c r="F10" s="213"/>
      <c r="H10" s="112"/>
      <c r="I10" s="112"/>
    </row>
    <row r="11" spans="1:10" ht="12.75" customHeight="1" x14ac:dyDescent="0.4">
      <c r="A11" s="3" t="s">
        <v>1</v>
      </c>
      <c r="B11" s="4" t="s">
        <v>2</v>
      </c>
      <c r="C11" s="5"/>
      <c r="D11" s="6" t="s">
        <v>3</v>
      </c>
      <c r="E11" s="7" t="s">
        <v>4</v>
      </c>
      <c r="F11" s="7" t="s">
        <v>5</v>
      </c>
      <c r="H11" s="112"/>
      <c r="I11" s="112"/>
    </row>
    <row r="12" spans="1:10" s="2" customFormat="1" ht="14.25" customHeight="1" x14ac:dyDescent="0.2">
      <c r="A12" s="89">
        <v>45174</v>
      </c>
      <c r="B12" s="9" t="s">
        <v>6</v>
      </c>
      <c r="C12" s="10" t="s">
        <v>7</v>
      </c>
      <c r="D12" s="11"/>
      <c r="F12" s="12">
        <v>89152975.270000026</v>
      </c>
      <c r="G12" s="1"/>
      <c r="H12" s="130" t="s">
        <v>396</v>
      </c>
      <c r="I12" s="130"/>
    </row>
    <row r="13" spans="1:10" s="2" customFormat="1" ht="14.25" customHeight="1" x14ac:dyDescent="0.2">
      <c r="A13" s="89">
        <v>45174</v>
      </c>
      <c r="B13" s="9" t="s">
        <v>6</v>
      </c>
      <c r="C13" s="10" t="s">
        <v>1002</v>
      </c>
      <c r="D13" s="11" t="s">
        <v>13</v>
      </c>
      <c r="E13" s="2">
        <v>1526090.3599999999</v>
      </c>
      <c r="F13" s="12"/>
      <c r="G13" s="1"/>
      <c r="H13" s="130"/>
      <c r="I13" s="130"/>
    </row>
    <row r="14" spans="1:10" s="2" customFormat="1" ht="14.25" customHeight="1" x14ac:dyDescent="0.2">
      <c r="A14" s="89">
        <v>45174</v>
      </c>
      <c r="B14" s="9" t="s">
        <v>6</v>
      </c>
      <c r="C14" s="10" t="s">
        <v>21</v>
      </c>
      <c r="D14" s="11" t="s">
        <v>13</v>
      </c>
      <c r="E14" s="2">
        <v>300000</v>
      </c>
      <c r="F14" s="12"/>
      <c r="G14" s="1"/>
      <c r="H14" s="130"/>
      <c r="I14" s="130"/>
    </row>
    <row r="15" spans="1:10" s="2" customFormat="1" ht="14.25" customHeight="1" x14ac:dyDescent="0.2">
      <c r="A15" s="89">
        <v>45174</v>
      </c>
      <c r="B15" s="9" t="s">
        <v>11</v>
      </c>
      <c r="C15" s="10" t="s">
        <v>15</v>
      </c>
      <c r="D15" s="11" t="s">
        <v>29</v>
      </c>
      <c r="F15" s="12">
        <v>49285.869999999995</v>
      </c>
      <c r="G15" s="1"/>
      <c r="H15" s="130"/>
      <c r="I15" s="130"/>
    </row>
    <row r="16" spans="1:10" s="2" customFormat="1" ht="14.25" customHeight="1" x14ac:dyDescent="0.2">
      <c r="A16" s="89">
        <v>45174</v>
      </c>
      <c r="B16" s="9" t="s">
        <v>11</v>
      </c>
      <c r="C16" s="10" t="s">
        <v>906</v>
      </c>
      <c r="D16" s="11" t="s">
        <v>29</v>
      </c>
      <c r="F16" s="12">
        <v>7972</v>
      </c>
      <c r="G16" s="1"/>
      <c r="H16" s="130"/>
      <c r="I16" s="130"/>
    </row>
    <row r="17" spans="1:14" s="2" customFormat="1" ht="14.25" customHeight="1" x14ac:dyDescent="0.2">
      <c r="A17" s="89">
        <v>45174</v>
      </c>
      <c r="B17" s="9" t="s">
        <v>11</v>
      </c>
      <c r="C17" s="10" t="s">
        <v>718</v>
      </c>
      <c r="D17" s="11" t="s">
        <v>29</v>
      </c>
      <c r="F17" s="12">
        <v>19954</v>
      </c>
      <c r="G17" s="1"/>
      <c r="H17" s="130"/>
      <c r="I17" s="130"/>
    </row>
    <row r="18" spans="1:14" s="2" customFormat="1" ht="14.25" customHeight="1" x14ac:dyDescent="0.2">
      <c r="A18" s="89">
        <v>45174</v>
      </c>
      <c r="B18" s="9" t="s">
        <v>11</v>
      </c>
      <c r="C18" s="10" t="s">
        <v>196</v>
      </c>
      <c r="D18" s="11" t="s">
        <v>29</v>
      </c>
      <c r="F18" s="12">
        <v>57637</v>
      </c>
      <c r="G18" s="1"/>
      <c r="H18" s="130"/>
      <c r="I18" s="130"/>
    </row>
    <row r="19" spans="1:14" s="2" customFormat="1" ht="14.25" customHeight="1" x14ac:dyDescent="0.2">
      <c r="A19" s="89">
        <v>45174</v>
      </c>
      <c r="B19" s="9" t="s">
        <v>11</v>
      </c>
      <c r="C19" s="10" t="s">
        <v>221</v>
      </c>
      <c r="D19" s="11" t="s">
        <v>29</v>
      </c>
      <c r="F19" s="12">
        <v>1000</v>
      </c>
      <c r="G19" s="1"/>
      <c r="H19" s="130"/>
      <c r="I19" s="130"/>
    </row>
    <row r="20" spans="1:14" s="2" customFormat="1" ht="14.25" customHeight="1" x14ac:dyDescent="0.2">
      <c r="A20" s="89">
        <v>45174</v>
      </c>
      <c r="B20" s="9" t="s">
        <v>11</v>
      </c>
      <c r="C20" s="10" t="s">
        <v>222</v>
      </c>
      <c r="D20" s="11" t="s">
        <v>29</v>
      </c>
      <c r="F20" s="12">
        <v>2000</v>
      </c>
      <c r="G20" s="1"/>
      <c r="H20" s="130"/>
      <c r="I20" s="130"/>
    </row>
    <row r="21" spans="1:14" s="2" customFormat="1" ht="14.25" customHeight="1" x14ac:dyDescent="0.2">
      <c r="A21" s="89">
        <v>45174</v>
      </c>
      <c r="B21" s="9" t="s">
        <v>11</v>
      </c>
      <c r="C21" s="10" t="s">
        <v>592</v>
      </c>
      <c r="D21" s="11" t="s">
        <v>29</v>
      </c>
      <c r="F21" s="12">
        <v>620969</v>
      </c>
      <c r="G21" s="1"/>
      <c r="H21" s="130"/>
      <c r="I21" s="130"/>
    </row>
    <row r="22" spans="1:14" s="2" customFormat="1" ht="14.25" customHeight="1" x14ac:dyDescent="0.2">
      <c r="A22" s="89">
        <v>45174</v>
      </c>
      <c r="B22" s="9" t="s">
        <v>11</v>
      </c>
      <c r="C22" s="10" t="s">
        <v>1046</v>
      </c>
      <c r="D22" s="11" t="s">
        <v>29</v>
      </c>
      <c r="F22" s="12">
        <v>189669</v>
      </c>
      <c r="G22" s="1"/>
      <c r="H22" s="130"/>
      <c r="I22" s="130"/>
    </row>
    <row r="23" spans="1:14" s="2" customFormat="1" ht="14.25" customHeight="1" x14ac:dyDescent="0.2">
      <c r="A23" s="89">
        <v>45174</v>
      </c>
      <c r="B23" s="9" t="s">
        <v>11</v>
      </c>
      <c r="C23" s="10" t="s">
        <v>1047</v>
      </c>
      <c r="D23" s="11" t="s">
        <v>29</v>
      </c>
      <c r="F23" s="12">
        <v>188569</v>
      </c>
      <c r="G23" s="1"/>
      <c r="H23" s="130"/>
      <c r="I23" s="130"/>
    </row>
    <row r="24" spans="1:14" s="2" customFormat="1" ht="14.25" customHeight="1" x14ac:dyDescent="0.2">
      <c r="A24" s="89">
        <v>45174</v>
      </c>
      <c r="B24" s="9" t="s">
        <v>11</v>
      </c>
      <c r="C24" s="10" t="s">
        <v>1300</v>
      </c>
      <c r="D24" s="11" t="s">
        <v>29</v>
      </c>
      <c r="F24" s="12">
        <v>325569</v>
      </c>
      <c r="G24" s="1"/>
      <c r="H24" s="130"/>
      <c r="I24" s="130"/>
    </row>
    <row r="25" spans="1:14" s="2" customFormat="1" ht="12.75" customHeight="1" x14ac:dyDescent="0.4">
      <c r="D25" s="11" t="s">
        <v>8</v>
      </c>
      <c r="E25" s="16">
        <f>SUM(E12:E24)</f>
        <v>1826090.3599999999</v>
      </c>
      <c r="F25" s="16">
        <f>SUM(F12:F24)</f>
        <v>90615600.14000003</v>
      </c>
      <c r="G25" s="1"/>
      <c r="H25" s="112"/>
      <c r="I25" s="112"/>
    </row>
    <row r="26" spans="1:14" s="2" customFormat="1" ht="12.75" customHeight="1" x14ac:dyDescent="0.4">
      <c r="A26" s="17"/>
      <c r="B26" s="18"/>
      <c r="C26" s="96" t="s">
        <v>9</v>
      </c>
      <c r="D26" s="20"/>
      <c r="E26" s="21">
        <f>+F25-E25</f>
        <v>88789509.780000031</v>
      </c>
      <c r="G26" s="23"/>
      <c r="H26" s="112"/>
      <c r="I26" s="153" t="s">
        <v>779</v>
      </c>
      <c r="J26" s="13"/>
    </row>
    <row r="27" spans="1:14" s="2" customFormat="1" ht="12.75" customHeight="1" x14ac:dyDescent="0.2">
      <c r="A27" s="36"/>
      <c r="B27" s="28" t="s">
        <v>66</v>
      </c>
      <c r="C27" s="43" t="s">
        <v>1458</v>
      </c>
      <c r="D27" s="43"/>
      <c r="E27" s="12">
        <v>30000000</v>
      </c>
      <c r="F27" s="22"/>
      <c r="G27" s="1"/>
      <c r="H27" s="40">
        <v>88889509.780000001</v>
      </c>
      <c r="I27" s="154">
        <f>H27-E26</f>
        <v>99999.999999970198</v>
      </c>
      <c r="J27" s="146"/>
      <c r="K27" s="146"/>
      <c r="L27" s="13"/>
      <c r="M27" s="69" t="s">
        <v>396</v>
      </c>
    </row>
    <row r="28" spans="1:14" s="2" customFormat="1" ht="12.75" customHeight="1" x14ac:dyDescent="0.25">
      <c r="A28" s="36"/>
      <c r="B28" s="28"/>
      <c r="C28" s="44" t="s">
        <v>68</v>
      </c>
      <c r="D28" s="43"/>
      <c r="E28" s="7">
        <f>+E26+E27</f>
        <v>118789509.78000003</v>
      </c>
      <c r="F28" s="22"/>
      <c r="G28" s="1"/>
      <c r="H28" s="103"/>
      <c r="I28" s="155"/>
      <c r="J28" s="146"/>
      <c r="K28" s="146"/>
      <c r="N28" s="1"/>
    </row>
    <row r="29" spans="1:14" s="2" customFormat="1" ht="12.75" customHeight="1" x14ac:dyDescent="0.4">
      <c r="A29" s="24"/>
      <c r="B29" s="1"/>
      <c r="C29" s="14"/>
      <c r="D29" s="25"/>
      <c r="G29" s="23"/>
      <c r="H29" s="112"/>
      <c r="I29" s="112"/>
      <c r="J29" s="13"/>
    </row>
    <row r="30" spans="1:14" s="2" customFormat="1" ht="21.75" customHeight="1" x14ac:dyDescent="0.4">
      <c r="A30" s="214" t="s">
        <v>10</v>
      </c>
      <c r="B30" s="214"/>
      <c r="C30" s="214"/>
      <c r="D30" s="214"/>
      <c r="E30" s="214"/>
      <c r="F30" s="214"/>
      <c r="G30" s="13"/>
      <c r="H30" s="112"/>
      <c r="I30" s="112"/>
      <c r="J30" s="13"/>
    </row>
    <row r="31" spans="1:14" s="2" customFormat="1" ht="12.75" customHeight="1" x14ac:dyDescent="0.4">
      <c r="A31" s="26" t="s">
        <v>1</v>
      </c>
      <c r="B31" s="27" t="s">
        <v>2</v>
      </c>
      <c r="C31" s="5"/>
      <c r="D31" s="6" t="s">
        <v>3</v>
      </c>
      <c r="E31" s="7" t="s">
        <v>4</v>
      </c>
      <c r="F31" s="7" t="s">
        <v>5</v>
      </c>
      <c r="G31" s="23"/>
      <c r="H31" s="112"/>
      <c r="I31" s="112"/>
      <c r="J31" s="13"/>
    </row>
    <row r="32" spans="1:14" s="2" customFormat="1" ht="12.75" customHeight="1" x14ac:dyDescent="0.2">
      <c r="A32" s="89">
        <v>45174</v>
      </c>
      <c r="B32" s="128" t="s">
        <v>11</v>
      </c>
      <c r="C32" s="29" t="s">
        <v>7</v>
      </c>
      <c r="D32" s="25"/>
      <c r="E32" s="31"/>
      <c r="F32" s="2">
        <v>118421785.47000006</v>
      </c>
      <c r="G32" s="30"/>
      <c r="I32" s="13"/>
      <c r="J32" s="13"/>
    </row>
    <row r="33" spans="1:10" s="70" customFormat="1" ht="12.75" customHeight="1" x14ac:dyDescent="0.2">
      <c r="A33" s="89">
        <v>45174</v>
      </c>
      <c r="B33" s="128" t="s">
        <v>6</v>
      </c>
      <c r="C33" s="10" t="s">
        <v>1474</v>
      </c>
      <c r="D33" s="11" t="s">
        <v>13</v>
      </c>
      <c r="E33" s="86">
        <v>10000</v>
      </c>
      <c r="G33" s="30"/>
      <c r="I33" s="69"/>
      <c r="J33" s="69"/>
    </row>
    <row r="34" spans="1:10" s="70" customFormat="1" ht="12.75" customHeight="1" x14ac:dyDescent="0.2">
      <c r="A34" s="89">
        <v>45174</v>
      </c>
      <c r="B34" s="128" t="s">
        <v>6</v>
      </c>
      <c r="C34" s="10" t="s">
        <v>947</v>
      </c>
      <c r="D34" s="11" t="s">
        <v>13</v>
      </c>
      <c r="E34" s="86">
        <v>688739.74</v>
      </c>
      <c r="G34" s="30"/>
      <c r="I34" s="69"/>
      <c r="J34" s="69"/>
    </row>
    <row r="35" spans="1:10" s="70" customFormat="1" ht="12.75" customHeight="1" x14ac:dyDescent="0.2">
      <c r="A35" s="89">
        <v>45174</v>
      </c>
      <c r="B35" s="128" t="s">
        <v>6</v>
      </c>
      <c r="C35" s="10" t="s">
        <v>311</v>
      </c>
      <c r="D35" s="11" t="s">
        <v>13</v>
      </c>
      <c r="E35" s="86">
        <v>330934</v>
      </c>
      <c r="G35" s="30"/>
      <c r="I35" s="69"/>
      <c r="J35" s="69"/>
    </row>
    <row r="36" spans="1:10" s="70" customFormat="1" ht="12.75" customHeight="1" x14ac:dyDescent="0.2">
      <c r="A36" s="89">
        <v>45174</v>
      </c>
      <c r="B36" s="128" t="s">
        <v>6</v>
      </c>
      <c r="C36" s="10" t="s">
        <v>758</v>
      </c>
      <c r="D36" s="11" t="s">
        <v>13</v>
      </c>
      <c r="E36" s="86">
        <v>1085875.18</v>
      </c>
      <c r="G36" s="30"/>
      <c r="I36" s="69"/>
      <c r="J36" s="69"/>
    </row>
    <row r="37" spans="1:10" s="70" customFormat="1" ht="12.75" customHeight="1" x14ac:dyDescent="0.2">
      <c r="A37" s="89">
        <v>45174</v>
      </c>
      <c r="B37" s="128" t="s">
        <v>6</v>
      </c>
      <c r="C37" s="10" t="s">
        <v>748</v>
      </c>
      <c r="D37" s="11" t="s">
        <v>13</v>
      </c>
      <c r="E37" s="86">
        <v>675948.94</v>
      </c>
      <c r="G37" s="30"/>
      <c r="I37" s="69"/>
      <c r="J37" s="69"/>
    </row>
    <row r="38" spans="1:10" s="70" customFormat="1" ht="12.75" customHeight="1" x14ac:dyDescent="0.2">
      <c r="A38" s="89">
        <v>45174</v>
      </c>
      <c r="B38" s="128" t="s">
        <v>6</v>
      </c>
      <c r="C38" s="10" t="s">
        <v>759</v>
      </c>
      <c r="D38" s="11" t="s">
        <v>13</v>
      </c>
      <c r="E38" s="86">
        <v>904836.27</v>
      </c>
      <c r="G38" s="30"/>
      <c r="I38" s="69"/>
      <c r="J38" s="69"/>
    </row>
    <row r="39" spans="1:10" s="70" customFormat="1" ht="12.75" customHeight="1" x14ac:dyDescent="0.2">
      <c r="A39" s="89">
        <v>45174</v>
      </c>
      <c r="B39" s="128" t="s">
        <v>6</v>
      </c>
      <c r="C39" s="10" t="s">
        <v>283</v>
      </c>
      <c r="D39" s="11" t="s">
        <v>13</v>
      </c>
      <c r="E39" s="86">
        <v>4468893</v>
      </c>
      <c r="G39" s="30"/>
      <c r="I39" s="69"/>
      <c r="J39" s="69"/>
    </row>
    <row r="40" spans="1:10" s="70" customFormat="1" ht="12.75" customHeight="1" x14ac:dyDescent="0.2">
      <c r="A40" s="89">
        <v>45174</v>
      </c>
      <c r="B40" s="128" t="s">
        <v>6</v>
      </c>
      <c r="C40" s="10" t="s">
        <v>764</v>
      </c>
      <c r="D40" s="11" t="s">
        <v>13</v>
      </c>
      <c r="E40" s="86">
        <v>1608287.82</v>
      </c>
      <c r="G40" s="30"/>
      <c r="I40" s="69"/>
      <c r="J40" s="69"/>
    </row>
    <row r="41" spans="1:10" s="70" customFormat="1" ht="12.75" customHeight="1" x14ac:dyDescent="0.2">
      <c r="A41" s="89">
        <v>45174</v>
      </c>
      <c r="B41" s="128" t="s">
        <v>6</v>
      </c>
      <c r="C41" s="10" t="s">
        <v>749</v>
      </c>
      <c r="D41" s="11" t="s">
        <v>13</v>
      </c>
      <c r="E41" s="86">
        <v>4789778.95</v>
      </c>
      <c r="G41" s="30"/>
      <c r="I41" s="69"/>
      <c r="J41" s="69"/>
    </row>
    <row r="42" spans="1:10" s="70" customFormat="1" ht="12.75" customHeight="1" x14ac:dyDescent="0.2">
      <c r="A42" s="89">
        <v>45174</v>
      </c>
      <c r="B42" s="128" t="s">
        <v>6</v>
      </c>
      <c r="C42" s="10" t="s">
        <v>202</v>
      </c>
      <c r="D42" s="11" t="s">
        <v>13</v>
      </c>
      <c r="E42" s="86">
        <v>100000</v>
      </c>
      <c r="G42" s="30"/>
      <c r="I42" s="69"/>
      <c r="J42" s="69"/>
    </row>
    <row r="43" spans="1:10" s="70" customFormat="1" ht="12.75" customHeight="1" x14ac:dyDescent="0.2">
      <c r="A43" s="89">
        <v>45174</v>
      </c>
      <c r="B43" s="128" t="s">
        <v>6</v>
      </c>
      <c r="C43" s="10" t="s">
        <v>1484</v>
      </c>
      <c r="D43" s="11" t="s">
        <v>13</v>
      </c>
      <c r="E43" s="86">
        <v>52981.8</v>
      </c>
      <c r="G43" s="30"/>
      <c r="I43" s="69"/>
      <c r="J43" s="69"/>
    </row>
    <row r="44" spans="1:10" s="70" customFormat="1" ht="12.75" customHeight="1" x14ac:dyDescent="0.2">
      <c r="A44" s="89">
        <v>45174</v>
      </c>
      <c r="B44" s="128" t="s">
        <v>6</v>
      </c>
      <c r="C44" s="10" t="s">
        <v>543</v>
      </c>
      <c r="D44" s="11" t="s">
        <v>13</v>
      </c>
      <c r="E44" s="86">
        <v>250000</v>
      </c>
      <c r="G44" s="30"/>
      <c r="I44" s="69"/>
      <c r="J44" s="69"/>
    </row>
    <row r="45" spans="1:10" s="70" customFormat="1" ht="12.75" customHeight="1" x14ac:dyDescent="0.2">
      <c r="A45" s="89">
        <v>45174</v>
      </c>
      <c r="B45" s="128" t="s">
        <v>6</v>
      </c>
      <c r="C45" s="10" t="s">
        <v>234</v>
      </c>
      <c r="D45" s="11" t="s">
        <v>13</v>
      </c>
      <c r="E45" s="86">
        <v>13128</v>
      </c>
      <c r="G45" s="30"/>
      <c r="I45" s="69"/>
      <c r="J45" s="69"/>
    </row>
    <row r="46" spans="1:10" s="70" customFormat="1" ht="12.75" customHeight="1" x14ac:dyDescent="0.2">
      <c r="A46" s="89">
        <v>45174</v>
      </c>
      <c r="B46" s="128" t="s">
        <v>6</v>
      </c>
      <c r="C46" s="10" t="s">
        <v>144</v>
      </c>
      <c r="D46" s="11" t="s">
        <v>13</v>
      </c>
      <c r="E46" s="86">
        <v>1766842</v>
      </c>
      <c r="G46" s="30"/>
      <c r="I46" s="69"/>
      <c r="J46" s="69"/>
    </row>
    <row r="47" spans="1:10" s="70" customFormat="1" ht="12.75" customHeight="1" x14ac:dyDescent="0.2">
      <c r="A47" s="89">
        <v>45174</v>
      </c>
      <c r="B47" s="128" t="s">
        <v>6</v>
      </c>
      <c r="C47" s="10" t="s">
        <v>555</v>
      </c>
      <c r="D47" s="11" t="s">
        <v>13</v>
      </c>
      <c r="E47" s="86">
        <v>24615</v>
      </c>
      <c r="G47" s="30"/>
      <c r="I47" s="69"/>
      <c r="J47" s="69"/>
    </row>
    <row r="48" spans="1:10" s="70" customFormat="1" ht="12.75" customHeight="1" x14ac:dyDescent="0.2">
      <c r="A48" s="89">
        <v>45174</v>
      </c>
      <c r="B48" s="128" t="s">
        <v>6</v>
      </c>
      <c r="C48" s="10" t="s">
        <v>1163</v>
      </c>
      <c r="D48" s="11" t="s">
        <v>13</v>
      </c>
      <c r="E48" s="86">
        <v>957582</v>
      </c>
      <c r="G48" s="30"/>
      <c r="I48" s="69"/>
      <c r="J48" s="69"/>
    </row>
    <row r="49" spans="1:10" s="70" customFormat="1" ht="12.75" customHeight="1" x14ac:dyDescent="0.2">
      <c r="A49" s="89">
        <v>45174</v>
      </c>
      <c r="B49" s="128" t="s">
        <v>6</v>
      </c>
      <c r="C49" s="10" t="s">
        <v>1318</v>
      </c>
      <c r="D49" s="11" t="s">
        <v>13</v>
      </c>
      <c r="E49" s="86">
        <v>93876</v>
      </c>
      <c r="G49" s="30"/>
      <c r="I49" s="69"/>
      <c r="J49" s="69"/>
    </row>
    <row r="50" spans="1:10" s="70" customFormat="1" ht="12.75" customHeight="1" x14ac:dyDescent="0.2">
      <c r="A50" s="89">
        <v>45174</v>
      </c>
      <c r="B50" s="128" t="s">
        <v>6</v>
      </c>
      <c r="C50" s="10" t="s">
        <v>1229</v>
      </c>
      <c r="D50" s="11" t="s">
        <v>13</v>
      </c>
      <c r="E50" s="86">
        <v>5618881</v>
      </c>
      <c r="G50" s="30"/>
      <c r="I50" s="69"/>
      <c r="J50" s="69"/>
    </row>
    <row r="51" spans="1:10" s="70" customFormat="1" ht="12.75" customHeight="1" x14ac:dyDescent="0.2">
      <c r="A51" s="89">
        <v>45174</v>
      </c>
      <c r="B51" s="128" t="s">
        <v>6</v>
      </c>
      <c r="C51" s="10" t="s">
        <v>389</v>
      </c>
      <c r="D51" s="11" t="s">
        <v>13</v>
      </c>
      <c r="E51" s="86">
        <v>837581.03</v>
      </c>
      <c r="G51" s="30"/>
      <c r="I51" s="69"/>
      <c r="J51" s="69"/>
    </row>
    <row r="52" spans="1:10" s="70" customFormat="1" ht="12.75" customHeight="1" x14ac:dyDescent="0.2">
      <c r="A52" s="89">
        <v>45174</v>
      </c>
      <c r="B52" s="128" t="s">
        <v>6</v>
      </c>
      <c r="C52" s="10" t="s">
        <v>1475</v>
      </c>
      <c r="D52" s="11" t="s">
        <v>13</v>
      </c>
      <c r="E52" s="86">
        <v>34337.14</v>
      </c>
      <c r="G52" s="30"/>
      <c r="I52" s="69"/>
      <c r="J52" s="69"/>
    </row>
    <row r="53" spans="1:10" s="70" customFormat="1" ht="12.75" customHeight="1" x14ac:dyDescent="0.2">
      <c r="A53" s="89">
        <v>45174</v>
      </c>
      <c r="B53" s="128" t="s">
        <v>6</v>
      </c>
      <c r="C53" s="10" t="s">
        <v>316</v>
      </c>
      <c r="D53" s="11" t="s">
        <v>13</v>
      </c>
      <c r="E53" s="86">
        <v>6562653</v>
      </c>
      <c r="G53" s="30"/>
      <c r="I53" s="69"/>
      <c r="J53" s="69"/>
    </row>
    <row r="54" spans="1:10" s="70" customFormat="1" ht="12.75" customHeight="1" x14ac:dyDescent="0.2">
      <c r="A54" s="89">
        <v>45174</v>
      </c>
      <c r="B54" s="128" t="s">
        <v>6</v>
      </c>
      <c r="C54" s="10" t="s">
        <v>1476</v>
      </c>
      <c r="D54" s="11" t="s">
        <v>13</v>
      </c>
      <c r="E54" s="86">
        <v>23798</v>
      </c>
      <c r="G54" s="30"/>
      <c r="I54" s="69"/>
      <c r="J54" s="69"/>
    </row>
    <row r="55" spans="1:10" s="70" customFormat="1" ht="12.75" customHeight="1" x14ac:dyDescent="0.2">
      <c r="A55" s="89">
        <v>45174</v>
      </c>
      <c r="B55" s="128" t="s">
        <v>6</v>
      </c>
      <c r="C55" s="10" t="s">
        <v>560</v>
      </c>
      <c r="D55" s="11" t="s">
        <v>13</v>
      </c>
      <c r="E55" s="86">
        <v>32780.879999999997</v>
      </c>
      <c r="G55" s="30"/>
      <c r="I55" s="69"/>
      <c r="J55" s="69"/>
    </row>
    <row r="56" spans="1:10" s="70" customFormat="1" ht="12.75" customHeight="1" x14ac:dyDescent="0.2">
      <c r="A56" s="89">
        <v>45174</v>
      </c>
      <c r="B56" s="128" t="s">
        <v>6</v>
      </c>
      <c r="C56" s="10" t="s">
        <v>1477</v>
      </c>
      <c r="D56" s="11" t="s">
        <v>13</v>
      </c>
      <c r="E56" s="86">
        <v>3622596</v>
      </c>
      <c r="G56" s="30"/>
      <c r="I56" s="69"/>
      <c r="J56" s="69"/>
    </row>
    <row r="57" spans="1:10" s="70" customFormat="1" ht="12.75" customHeight="1" x14ac:dyDescent="0.2">
      <c r="A57" s="89">
        <v>45174</v>
      </c>
      <c r="B57" s="128" t="s">
        <v>6</v>
      </c>
      <c r="C57" s="10" t="s">
        <v>123</v>
      </c>
      <c r="D57" s="11" t="s">
        <v>13</v>
      </c>
      <c r="E57" s="86">
        <v>12902</v>
      </c>
      <c r="G57" s="30"/>
      <c r="I57" s="69"/>
      <c r="J57" s="69"/>
    </row>
    <row r="58" spans="1:10" s="70" customFormat="1" ht="12.75" customHeight="1" x14ac:dyDescent="0.2">
      <c r="A58" s="89">
        <v>45174</v>
      </c>
      <c r="B58" s="128" t="s">
        <v>6</v>
      </c>
      <c r="C58" s="10" t="s">
        <v>1479</v>
      </c>
      <c r="D58" s="11" t="s">
        <v>13</v>
      </c>
      <c r="E58" s="86">
        <v>3518</v>
      </c>
      <c r="G58" s="30"/>
      <c r="I58" s="69"/>
      <c r="J58" s="69"/>
    </row>
    <row r="59" spans="1:10" s="70" customFormat="1" ht="12.75" customHeight="1" x14ac:dyDescent="0.2">
      <c r="A59" s="89">
        <v>45174</v>
      </c>
      <c r="B59" s="128" t="s">
        <v>6</v>
      </c>
      <c r="C59" s="10" t="s">
        <v>1480</v>
      </c>
      <c r="D59" s="11" t="s">
        <v>13</v>
      </c>
      <c r="E59" s="86">
        <v>38877</v>
      </c>
      <c r="G59" s="30"/>
      <c r="I59" s="69"/>
      <c r="J59" s="69"/>
    </row>
    <row r="60" spans="1:10" s="70" customFormat="1" ht="12.75" customHeight="1" x14ac:dyDescent="0.2">
      <c r="A60" s="89">
        <v>45174</v>
      </c>
      <c r="B60" s="128" t="s">
        <v>6</v>
      </c>
      <c r="C60" s="10" t="s">
        <v>1481</v>
      </c>
      <c r="D60" s="11" t="s">
        <v>13</v>
      </c>
      <c r="E60" s="86">
        <v>4253</v>
      </c>
      <c r="G60" s="30"/>
      <c r="I60" s="69"/>
      <c r="J60" s="69"/>
    </row>
    <row r="61" spans="1:10" s="70" customFormat="1" ht="12.75" customHeight="1" x14ac:dyDescent="0.2">
      <c r="A61" s="89">
        <v>45174</v>
      </c>
      <c r="B61" s="128" t="s">
        <v>6</v>
      </c>
      <c r="C61" s="10" t="s">
        <v>421</v>
      </c>
      <c r="D61" s="11" t="s">
        <v>13</v>
      </c>
      <c r="E61" s="86">
        <v>650000</v>
      </c>
      <c r="G61" s="30"/>
      <c r="I61" s="69"/>
      <c r="J61" s="69"/>
    </row>
    <row r="62" spans="1:10" s="70" customFormat="1" ht="12.75" customHeight="1" x14ac:dyDescent="0.2">
      <c r="A62" s="89">
        <v>45174</v>
      </c>
      <c r="B62" s="128" t="s">
        <v>6</v>
      </c>
      <c r="C62" s="10" t="s">
        <v>311</v>
      </c>
      <c r="D62" s="11" t="s">
        <v>13</v>
      </c>
      <c r="E62" s="86">
        <v>607386</v>
      </c>
      <c r="G62" s="30"/>
      <c r="I62" s="69"/>
      <c r="J62" s="69"/>
    </row>
    <row r="63" spans="1:10" s="70" customFormat="1" ht="12.75" customHeight="1" x14ac:dyDescent="0.2">
      <c r="A63" s="89">
        <v>45174</v>
      </c>
      <c r="B63" s="128" t="s">
        <v>6</v>
      </c>
      <c r="C63" s="10" t="s">
        <v>1482</v>
      </c>
      <c r="D63" s="11" t="s">
        <v>13</v>
      </c>
      <c r="E63" s="86">
        <v>105179</v>
      </c>
      <c r="G63" s="30"/>
      <c r="I63" s="69"/>
      <c r="J63" s="69"/>
    </row>
    <row r="64" spans="1:10" s="70" customFormat="1" ht="12.75" customHeight="1" x14ac:dyDescent="0.2">
      <c r="A64" s="89">
        <v>45174</v>
      </c>
      <c r="B64" s="128" t="s">
        <v>11</v>
      </c>
      <c r="C64" s="10" t="s">
        <v>64</v>
      </c>
      <c r="D64" s="11" t="s">
        <v>29</v>
      </c>
      <c r="E64" s="86"/>
      <c r="F64" s="70">
        <f>17777.95+2377.18</f>
        <v>20155.13</v>
      </c>
      <c r="G64" s="30"/>
      <c r="I64" s="69"/>
      <c r="J64" s="69"/>
    </row>
    <row r="65" spans="1:10" s="70" customFormat="1" ht="12.75" customHeight="1" x14ac:dyDescent="0.2">
      <c r="A65" s="89">
        <v>45174</v>
      </c>
      <c r="B65" s="128" t="s">
        <v>11</v>
      </c>
      <c r="C65" s="10" t="s">
        <v>15</v>
      </c>
      <c r="D65" s="11" t="s">
        <v>29</v>
      </c>
      <c r="E65" s="86"/>
      <c r="F65" s="70">
        <v>65906.42</v>
      </c>
      <c r="G65" s="30"/>
      <c r="I65" s="69"/>
      <c r="J65" s="69"/>
    </row>
    <row r="66" spans="1:10" s="70" customFormat="1" ht="12.75" customHeight="1" x14ac:dyDescent="0.2">
      <c r="A66" s="89">
        <v>45174</v>
      </c>
      <c r="B66" s="128" t="s">
        <v>11</v>
      </c>
      <c r="C66" s="10" t="s">
        <v>183</v>
      </c>
      <c r="D66" s="11" t="s">
        <v>29</v>
      </c>
      <c r="E66" s="86"/>
      <c r="F66" s="70">
        <v>20623</v>
      </c>
      <c r="G66" s="30"/>
      <c r="I66" s="69"/>
      <c r="J66" s="69"/>
    </row>
    <row r="67" spans="1:10" s="70" customFormat="1" ht="12.75" customHeight="1" x14ac:dyDescent="0.2">
      <c r="A67" s="89">
        <v>45174</v>
      </c>
      <c r="B67" s="128" t="s">
        <v>11</v>
      </c>
      <c r="C67" s="10" t="s">
        <v>182</v>
      </c>
      <c r="D67" s="11" t="s">
        <v>29</v>
      </c>
      <c r="E67" s="86"/>
      <c r="F67" s="70">
        <v>164557</v>
      </c>
      <c r="G67" s="30"/>
      <c r="I67" s="69"/>
      <c r="J67" s="69"/>
    </row>
    <row r="68" spans="1:10" s="70" customFormat="1" ht="12.75" customHeight="1" x14ac:dyDescent="0.2">
      <c r="A68" s="89">
        <v>45174</v>
      </c>
      <c r="B68" s="128" t="s">
        <v>11</v>
      </c>
      <c r="C68" s="10" t="s">
        <v>284</v>
      </c>
      <c r="D68" s="11" t="s">
        <v>29</v>
      </c>
      <c r="E68" s="86"/>
      <c r="F68" s="70">
        <v>1843471</v>
      </c>
      <c r="G68" s="30"/>
      <c r="I68" s="69"/>
      <c r="J68" s="69"/>
    </row>
    <row r="69" spans="1:10" s="70" customFormat="1" ht="12.75" customHeight="1" x14ac:dyDescent="0.2">
      <c r="A69" s="89">
        <v>45174</v>
      </c>
      <c r="B69" s="128" t="s">
        <v>11</v>
      </c>
      <c r="C69" s="10" t="s">
        <v>123</v>
      </c>
      <c r="D69" s="11" t="s">
        <v>29</v>
      </c>
      <c r="E69" s="86"/>
      <c r="F69" s="70">
        <v>2979788</v>
      </c>
      <c r="G69" s="30"/>
      <c r="I69" s="69"/>
      <c r="J69" s="69"/>
    </row>
    <row r="70" spans="1:10" s="70" customFormat="1" ht="12.75" customHeight="1" x14ac:dyDescent="0.2">
      <c r="A70" s="89">
        <v>45174</v>
      </c>
      <c r="B70" s="128" t="s">
        <v>11</v>
      </c>
      <c r="C70" s="10" t="s">
        <v>223</v>
      </c>
      <c r="D70" s="11" t="s">
        <v>29</v>
      </c>
      <c r="E70" s="86"/>
      <c r="F70" s="70">
        <v>5124754</v>
      </c>
      <c r="G70" s="30"/>
      <c r="I70" s="69"/>
      <c r="J70" s="69"/>
    </row>
    <row r="71" spans="1:10" s="70" customFormat="1" ht="12.75" customHeight="1" x14ac:dyDescent="0.2">
      <c r="A71" s="89">
        <v>45174</v>
      </c>
      <c r="B71" s="128" t="s">
        <v>11</v>
      </c>
      <c r="C71" s="10" t="s">
        <v>302</v>
      </c>
      <c r="D71" s="11" t="s">
        <v>29</v>
      </c>
      <c r="E71" s="86"/>
      <c r="F71" s="70">
        <v>8777</v>
      </c>
      <c r="G71" s="30"/>
      <c r="I71" s="69"/>
      <c r="J71" s="69"/>
    </row>
    <row r="72" spans="1:10" s="70" customFormat="1" ht="12.75" customHeight="1" x14ac:dyDescent="0.2">
      <c r="A72" s="89">
        <v>45174</v>
      </c>
      <c r="B72" s="128" t="s">
        <v>11</v>
      </c>
      <c r="C72" s="10" t="s">
        <v>197</v>
      </c>
      <c r="D72" s="11" t="s">
        <v>29</v>
      </c>
      <c r="E72" s="86"/>
      <c r="F72" s="70">
        <v>29028</v>
      </c>
      <c r="G72" s="30"/>
      <c r="I72" s="69"/>
      <c r="J72" s="69"/>
    </row>
    <row r="73" spans="1:10" s="70" customFormat="1" ht="12.75" customHeight="1" x14ac:dyDescent="0.2">
      <c r="A73" s="89">
        <v>45174</v>
      </c>
      <c r="B73" s="128" t="s">
        <v>11</v>
      </c>
      <c r="C73" s="10" t="s">
        <v>189</v>
      </c>
      <c r="D73" s="11" t="s">
        <v>29</v>
      </c>
      <c r="E73" s="86"/>
      <c r="F73" s="70">
        <v>450821</v>
      </c>
      <c r="G73" s="30"/>
      <c r="I73" s="69"/>
      <c r="J73" s="69"/>
    </row>
    <row r="74" spans="1:10" s="70" customFormat="1" ht="12.75" customHeight="1" x14ac:dyDescent="0.2">
      <c r="A74" s="89">
        <v>45174</v>
      </c>
      <c r="B74" s="128" t="s">
        <v>11</v>
      </c>
      <c r="C74" s="10" t="s">
        <v>1303</v>
      </c>
      <c r="D74" s="11" t="s">
        <v>29</v>
      </c>
      <c r="E74" s="86"/>
      <c r="F74" s="70">
        <v>338169</v>
      </c>
      <c r="G74" s="30"/>
      <c r="I74" s="69"/>
      <c r="J74" s="69"/>
    </row>
    <row r="75" spans="1:10" s="70" customFormat="1" ht="12.75" customHeight="1" x14ac:dyDescent="0.2">
      <c r="A75" s="89">
        <v>45174</v>
      </c>
      <c r="B75" s="128" t="s">
        <v>11</v>
      </c>
      <c r="C75" s="10" t="s">
        <v>1304</v>
      </c>
      <c r="D75" s="11" t="s">
        <v>29</v>
      </c>
      <c r="E75" s="86"/>
      <c r="F75" s="70">
        <v>603669</v>
      </c>
      <c r="G75" s="30"/>
      <c r="I75" s="69"/>
      <c r="J75" s="69"/>
    </row>
    <row r="76" spans="1:10" s="70" customFormat="1" ht="12.75" customHeight="1" x14ac:dyDescent="0.2">
      <c r="A76" s="89">
        <v>45174</v>
      </c>
      <c r="B76" s="128" t="s">
        <v>11</v>
      </c>
      <c r="C76" s="10" t="s">
        <v>1305</v>
      </c>
      <c r="D76" s="11" t="s">
        <v>29</v>
      </c>
      <c r="E76" s="86"/>
      <c r="F76" s="70">
        <v>307239</v>
      </c>
      <c r="G76" s="30"/>
      <c r="I76" s="69"/>
      <c r="J76" s="69"/>
    </row>
    <row r="77" spans="1:10" s="70" customFormat="1" ht="12.75" customHeight="1" x14ac:dyDescent="0.2">
      <c r="A77" s="89">
        <v>45174</v>
      </c>
      <c r="B77" s="128" t="s">
        <v>11</v>
      </c>
      <c r="C77" s="10" t="s">
        <v>171</v>
      </c>
      <c r="D77" s="11" t="s">
        <v>29</v>
      </c>
      <c r="E77" s="86"/>
      <c r="F77" s="70">
        <v>6020</v>
      </c>
      <c r="G77" s="30"/>
      <c r="I77" s="69"/>
      <c r="J77" s="69"/>
    </row>
    <row r="78" spans="1:10" s="70" customFormat="1" ht="12.75" customHeight="1" x14ac:dyDescent="0.2">
      <c r="A78" s="89">
        <v>45174</v>
      </c>
      <c r="B78" s="128" t="s">
        <v>11</v>
      </c>
      <c r="C78" s="10" t="s">
        <v>138</v>
      </c>
      <c r="D78" s="11" t="s">
        <v>29</v>
      </c>
      <c r="E78" s="86"/>
      <c r="F78" s="70">
        <v>1429222</v>
      </c>
      <c r="G78" s="30"/>
      <c r="I78" s="69"/>
      <c r="J78" s="69"/>
    </row>
    <row r="79" spans="1:10" s="70" customFormat="1" ht="12.75" customHeight="1" x14ac:dyDescent="0.2">
      <c r="A79" s="89">
        <v>45174</v>
      </c>
      <c r="B79" s="128" t="s">
        <v>11</v>
      </c>
      <c r="C79" s="10" t="s">
        <v>837</v>
      </c>
      <c r="D79" s="11" t="s">
        <v>29</v>
      </c>
      <c r="E79" s="86"/>
      <c r="F79" s="70">
        <v>1300</v>
      </c>
      <c r="G79" s="30"/>
      <c r="I79" s="69"/>
      <c r="J79" s="69"/>
    </row>
    <row r="80" spans="1:10" s="70" customFormat="1" ht="12.75" customHeight="1" x14ac:dyDescent="0.2">
      <c r="A80" s="89">
        <v>45174</v>
      </c>
      <c r="B80" s="128" t="s">
        <v>11</v>
      </c>
      <c r="C80" s="10" t="s">
        <v>402</v>
      </c>
      <c r="D80" s="11" t="s">
        <v>29</v>
      </c>
      <c r="E80" s="86"/>
      <c r="F80" s="70">
        <v>1000000</v>
      </c>
      <c r="G80" s="30"/>
      <c r="I80" s="69"/>
      <c r="J80" s="69"/>
    </row>
    <row r="81" spans="1:14" s="70" customFormat="1" ht="12.75" customHeight="1" x14ac:dyDescent="0.2">
      <c r="A81" s="89">
        <v>45174</v>
      </c>
      <c r="B81" s="128" t="s">
        <v>11</v>
      </c>
      <c r="C81" s="10" t="s">
        <v>649</v>
      </c>
      <c r="D81" s="11" t="s">
        <v>29</v>
      </c>
      <c r="E81" s="86"/>
      <c r="F81" s="70">
        <v>1456885.01</v>
      </c>
      <c r="G81" s="30"/>
      <c r="I81" s="69"/>
      <c r="J81" s="69"/>
    </row>
    <row r="82" spans="1:14" s="70" customFormat="1" ht="12.75" customHeight="1" x14ac:dyDescent="0.2">
      <c r="A82" s="89">
        <v>45174</v>
      </c>
      <c r="B82" s="128" t="s">
        <v>11</v>
      </c>
      <c r="C82" s="10" t="s">
        <v>129</v>
      </c>
      <c r="D82" s="11" t="s">
        <v>29</v>
      </c>
      <c r="E82" s="86"/>
      <c r="F82" s="70">
        <v>64286.400000000001</v>
      </c>
      <c r="G82" s="30"/>
      <c r="I82" s="69"/>
      <c r="J82" s="69"/>
    </row>
    <row r="83" spans="1:14" s="70" customFormat="1" ht="12.75" customHeight="1" x14ac:dyDescent="0.2">
      <c r="A83" s="89">
        <v>45174</v>
      </c>
      <c r="B83" s="128" t="s">
        <v>11</v>
      </c>
      <c r="C83" s="10" t="s">
        <v>1483</v>
      </c>
      <c r="D83" s="11" t="s">
        <v>29</v>
      </c>
      <c r="E83" s="86"/>
      <c r="F83" s="70">
        <f>10815+4425</f>
        <v>15240</v>
      </c>
      <c r="G83" s="30"/>
      <c r="I83" s="69"/>
      <c r="J83" s="69"/>
    </row>
    <row r="84" spans="1:14" s="70" customFormat="1" ht="12.75" customHeight="1" x14ac:dyDescent="0.2">
      <c r="A84" s="89">
        <v>45174</v>
      </c>
      <c r="B84" s="128" t="s">
        <v>11</v>
      </c>
      <c r="C84" s="10" t="s">
        <v>34</v>
      </c>
      <c r="D84" s="11" t="s">
        <v>29</v>
      </c>
      <c r="E84" s="86"/>
      <c r="F84" s="70">
        <v>15000</v>
      </c>
      <c r="G84" s="30"/>
      <c r="I84" s="69"/>
      <c r="J84" s="69"/>
    </row>
    <row r="85" spans="1:14" s="2" customFormat="1" ht="12.75" customHeight="1" x14ac:dyDescent="0.2">
      <c r="A85" s="32"/>
      <c r="B85" s="33"/>
      <c r="C85" s="14"/>
      <c r="D85" s="34"/>
      <c r="E85" s="16">
        <f>SUM(E32:E84)</f>
        <v>35977060.75</v>
      </c>
      <c r="F85" s="16">
        <f>SUM(F32:F84)</f>
        <v>134366696.43000007</v>
      </c>
      <c r="G85" s="30"/>
      <c r="H85" s="1"/>
      <c r="I85" s="38">
        <v>98389635.680000007</v>
      </c>
      <c r="J85" s="2" t="s">
        <v>396</v>
      </c>
      <c r="K85" s="92">
        <f>E86-I85</f>
        <v>0</v>
      </c>
      <c r="L85" s="41"/>
      <c r="M85" s="42"/>
    </row>
    <row r="86" spans="1:14" s="2" customFormat="1" ht="12.75" customHeight="1" x14ac:dyDescent="0.2">
      <c r="A86" s="36"/>
      <c r="B86" s="28" t="s">
        <v>11</v>
      </c>
      <c r="C86" s="19" t="s">
        <v>65</v>
      </c>
      <c r="D86" s="37"/>
      <c r="E86" s="38">
        <f>F85-E85</f>
        <v>98389635.680000067</v>
      </c>
      <c r="F86" s="22"/>
      <c r="G86" s="1"/>
      <c r="H86" s="1"/>
      <c r="J86" s="1"/>
      <c r="K86" s="1"/>
      <c r="L86" s="1"/>
      <c r="M86" s="1"/>
    </row>
    <row r="87" spans="1:14" s="2" customFormat="1" ht="12.75" customHeight="1" x14ac:dyDescent="0.2">
      <c r="A87" s="36"/>
      <c r="B87" s="28" t="s">
        <v>66</v>
      </c>
      <c r="C87" s="43" t="s">
        <v>1457</v>
      </c>
      <c r="D87" s="43"/>
      <c r="E87" s="12">
        <v>350000000</v>
      </c>
      <c r="F87" s="22"/>
      <c r="G87" s="1"/>
      <c r="H87" s="40"/>
      <c r="I87" s="45">
        <v>455.97</v>
      </c>
      <c r="J87" s="46"/>
      <c r="K87" s="46"/>
      <c r="L87" s="13"/>
      <c r="M87" s="69" t="s">
        <v>396</v>
      </c>
    </row>
    <row r="88" spans="1:14" s="2" customFormat="1" ht="12.75" customHeight="1" x14ac:dyDescent="0.25">
      <c r="A88" s="36"/>
      <c r="B88" s="28"/>
      <c r="C88" s="44" t="s">
        <v>68</v>
      </c>
      <c r="D88" s="43"/>
      <c r="E88" s="7">
        <f>+E87+E86</f>
        <v>448389635.68000007</v>
      </c>
      <c r="F88" s="22"/>
      <c r="G88" s="1"/>
      <c r="H88" s="103" t="s">
        <v>69</v>
      </c>
      <c r="I88" s="45">
        <v>-8.4600000000000009</v>
      </c>
      <c r="J88" s="46"/>
      <c r="K88" s="46"/>
      <c r="N88" s="1"/>
    </row>
    <row r="89" spans="1:14" s="2" customFormat="1" x14ac:dyDescent="0.2">
      <c r="A89" s="24"/>
      <c r="B89" s="1"/>
      <c r="C89" s="14"/>
      <c r="D89" s="25"/>
      <c r="E89" s="1"/>
      <c r="H89" s="35" t="s">
        <v>70</v>
      </c>
      <c r="I89" s="45">
        <v>8.4600000000000009</v>
      </c>
      <c r="J89" s="46">
        <f>+I90-D92</f>
        <v>0</v>
      </c>
      <c r="M89" s="2" t="s">
        <v>396</v>
      </c>
      <c r="N89" s="1"/>
    </row>
    <row r="90" spans="1:14" x14ac:dyDescent="0.2">
      <c r="C90" s="56"/>
      <c r="D90" s="56"/>
      <c r="E90" s="104"/>
      <c r="I90" s="49">
        <f>SUM(I87:I89)</f>
        <v>455.97</v>
      </c>
      <c r="J90" s="46"/>
      <c r="K90" s="46"/>
      <c r="L90" s="2"/>
      <c r="M90" s="2"/>
      <c r="N90" s="2"/>
    </row>
    <row r="91" spans="1:14" x14ac:dyDescent="0.2">
      <c r="C91" s="78" t="s">
        <v>575</v>
      </c>
      <c r="D91" s="48" t="s">
        <v>576</v>
      </c>
      <c r="E91" s="104"/>
      <c r="I91" s="2"/>
      <c r="J91" s="2"/>
      <c r="K91" s="2"/>
      <c r="L91" s="2"/>
      <c r="M91" s="2"/>
      <c r="N91" s="2"/>
    </row>
    <row r="92" spans="1:14" s="2" customFormat="1" x14ac:dyDescent="0.2">
      <c r="A92" s="24"/>
      <c r="B92" s="1"/>
      <c r="C92" s="47" t="s">
        <v>570</v>
      </c>
      <c r="D92" s="111">
        <v>455.97</v>
      </c>
      <c r="E92" s="104"/>
      <c r="G92" s="1"/>
      <c r="H92" s="110" t="s">
        <v>581</v>
      </c>
      <c r="N92" s="2" t="s">
        <v>535</v>
      </c>
    </row>
    <row r="93" spans="1:14" s="2" customFormat="1" x14ac:dyDescent="0.2">
      <c r="A93" s="24"/>
      <c r="B93" s="1"/>
      <c r="C93" s="47" t="s">
        <v>931</v>
      </c>
      <c r="D93" s="111">
        <v>67.06</v>
      </c>
      <c r="E93" s="104"/>
      <c r="G93" s="1"/>
      <c r="H93" s="110" t="s">
        <v>580</v>
      </c>
    </row>
    <row r="94" spans="1:14" s="2" customFormat="1" x14ac:dyDescent="0.2">
      <c r="A94" s="24"/>
      <c r="B94" s="1"/>
      <c r="C94" s="47" t="s">
        <v>572</v>
      </c>
      <c r="D94" s="111">
        <f>+D115/100000</f>
        <v>70.348162099999996</v>
      </c>
      <c r="E94" s="104"/>
      <c r="G94" s="1"/>
      <c r="H94" s="90" t="s">
        <v>587</v>
      </c>
    </row>
    <row r="95" spans="1:14" s="2" customFormat="1" x14ac:dyDescent="0.2">
      <c r="A95" s="24"/>
      <c r="B95" s="1"/>
      <c r="C95" s="108" t="s">
        <v>578</v>
      </c>
      <c r="D95" s="48">
        <f>SUM(D92:D94)</f>
        <v>593.37816209999994</v>
      </c>
      <c r="E95" s="104"/>
      <c r="G95" s="1"/>
    </row>
    <row r="96" spans="1:14" s="2" customFormat="1" x14ac:dyDescent="0.2">
      <c r="A96" s="24"/>
      <c r="B96" s="1"/>
      <c r="C96" s="47"/>
      <c r="D96" s="107"/>
      <c r="E96" s="104"/>
      <c r="G96" s="1"/>
    </row>
    <row r="97" spans="1:13" s="2" customFormat="1" x14ac:dyDescent="0.2">
      <c r="A97" s="24"/>
      <c r="B97" s="1"/>
      <c r="C97" s="47" t="s">
        <v>932</v>
      </c>
      <c r="D97" s="111">
        <v>63.68</v>
      </c>
      <c r="E97" s="104"/>
      <c r="G97" s="1"/>
      <c r="H97" s="110" t="s">
        <v>581</v>
      </c>
    </row>
    <row r="98" spans="1:13" s="2" customFormat="1" x14ac:dyDescent="0.2">
      <c r="A98" s="24"/>
      <c r="B98" s="1"/>
      <c r="C98" s="136" t="s">
        <v>1142</v>
      </c>
      <c r="D98" s="111">
        <f>101.95-3.92</f>
        <v>98.03</v>
      </c>
      <c r="E98" s="104"/>
      <c r="G98" s="1"/>
      <c r="H98" s="110" t="s">
        <v>581</v>
      </c>
      <c r="J98" s="114" t="s">
        <v>713</v>
      </c>
    </row>
    <row r="99" spans="1:13" s="2" customFormat="1" x14ac:dyDescent="0.2">
      <c r="A99" s="24"/>
      <c r="B99" s="1"/>
      <c r="C99" s="78" t="s">
        <v>579</v>
      </c>
      <c r="D99" s="109">
        <f>D97+D98</f>
        <v>161.71</v>
      </c>
      <c r="E99" s="104"/>
      <c r="G99" s="1"/>
      <c r="I99" s="113"/>
      <c r="J99" s="113" t="s">
        <v>709</v>
      </c>
      <c r="K99" s="113" t="s">
        <v>710</v>
      </c>
      <c r="L99" s="113" t="s">
        <v>711</v>
      </c>
      <c r="M99" s="113" t="s">
        <v>712</v>
      </c>
    </row>
    <row r="100" spans="1:13" s="2" customFormat="1" x14ac:dyDescent="0.2">
      <c r="A100" s="24"/>
      <c r="B100" s="1"/>
      <c r="C100" s="105"/>
      <c r="D100" s="106"/>
      <c r="E100" s="104"/>
      <c r="G100" s="1"/>
      <c r="I100" s="113" t="s">
        <v>706</v>
      </c>
      <c r="J100" s="115"/>
      <c r="K100" s="115">
        <v>968.99</v>
      </c>
      <c r="L100" s="115">
        <v>968.99</v>
      </c>
      <c r="M100" s="113">
        <f>+J100+L100-K100</f>
        <v>0</v>
      </c>
    </row>
    <row r="101" spans="1:13" s="2" customFormat="1" x14ac:dyDescent="0.2">
      <c r="A101" s="24"/>
      <c r="B101" s="1"/>
      <c r="C101" s="78" t="s">
        <v>577</v>
      </c>
      <c r="D101" s="109">
        <f>D92+D99</f>
        <v>617.68000000000006</v>
      </c>
      <c r="E101" s="104"/>
      <c r="G101" s="1"/>
      <c r="I101" s="113" t="s">
        <v>707</v>
      </c>
      <c r="J101" s="115">
        <v>183.1</v>
      </c>
      <c r="K101" s="115">
        <v>3360.28</v>
      </c>
      <c r="L101" s="115">
        <v>3751.63</v>
      </c>
      <c r="M101" s="113">
        <f>+J101+L101-K101</f>
        <v>574.44999999999982</v>
      </c>
    </row>
    <row r="102" spans="1:13" s="2" customFormat="1" x14ac:dyDescent="0.2">
      <c r="A102" s="24"/>
      <c r="B102" s="1"/>
      <c r="C102" s="56"/>
      <c r="D102" s="56"/>
      <c r="E102" s="104"/>
      <c r="G102" s="1"/>
      <c r="I102" s="113" t="s">
        <v>708</v>
      </c>
      <c r="J102" s="115">
        <v>1371.02</v>
      </c>
      <c r="K102" s="115">
        <v>13847.22</v>
      </c>
      <c r="L102" s="115">
        <v>13353.69</v>
      </c>
      <c r="M102" s="113">
        <f>+J102+L102-K102</f>
        <v>877.4900000000016</v>
      </c>
    </row>
    <row r="103" spans="1:13" s="2" customFormat="1" ht="38.25" x14ac:dyDescent="0.2">
      <c r="A103" s="24"/>
      <c r="B103" s="1"/>
      <c r="C103" s="79" t="str">
        <f>"Particulars ( 01-04-2021 to "&amp;TEXT(A5,"dd-mm-yyyy")&amp;" )"</f>
        <v>Particulars ( 01-04-2021 to 05-09-2023 )</v>
      </c>
      <c r="D103" s="80" t="s">
        <v>73</v>
      </c>
      <c r="E103" s="80" t="s">
        <v>74</v>
      </c>
      <c r="F103" s="81" t="s">
        <v>75</v>
      </c>
      <c r="G103" s="80" t="s">
        <v>76</v>
      </c>
      <c r="J103" s="118">
        <f>SUM(J100:J102)</f>
        <v>1554.12</v>
      </c>
      <c r="K103" s="118">
        <f>SUM(K100:K102)</f>
        <v>18176.489999999998</v>
      </c>
      <c r="L103" s="118">
        <f>SUM(L100:L102)</f>
        <v>18074.310000000001</v>
      </c>
      <c r="M103" s="118">
        <f>SUM(M100:M102)</f>
        <v>1451.9400000000014</v>
      </c>
    </row>
    <row r="104" spans="1:13" s="2" customFormat="1" x14ac:dyDescent="0.2">
      <c r="A104" s="24"/>
      <c r="B104" s="1"/>
      <c r="C104" s="50" t="s">
        <v>444</v>
      </c>
      <c r="D104" s="55">
        <f>+L100+L101+J101</f>
        <v>4903.72</v>
      </c>
      <c r="E104" s="55">
        <f>+K100+K101</f>
        <v>4329.2700000000004</v>
      </c>
      <c r="F104" s="55">
        <f>+D104-E104</f>
        <v>574.44999999999982</v>
      </c>
      <c r="G104" s="55">
        <f>1500-F104</f>
        <v>925.55000000000018</v>
      </c>
      <c r="H104" s="2" t="s">
        <v>396</v>
      </c>
    </row>
    <row r="105" spans="1:13" s="2" customFormat="1" x14ac:dyDescent="0.2">
      <c r="A105" s="24"/>
      <c r="B105" s="1"/>
      <c r="C105" s="50" t="s">
        <v>71</v>
      </c>
      <c r="D105" s="55">
        <f>+J102+L102</f>
        <v>14724.710000000001</v>
      </c>
      <c r="E105" s="55">
        <f>+K102</f>
        <v>13847.22</v>
      </c>
      <c r="F105" s="55">
        <f>+D105-E105</f>
        <v>877.4900000000016</v>
      </c>
      <c r="G105" s="55">
        <f>1500+700-F105</f>
        <v>1322.5099999999984</v>
      </c>
      <c r="H105" s="2" t="s">
        <v>396</v>
      </c>
    </row>
    <row r="106" spans="1:13" s="2" customFormat="1" x14ac:dyDescent="0.2">
      <c r="A106" s="24"/>
      <c r="B106" s="1"/>
      <c r="C106" s="14"/>
      <c r="D106" s="56"/>
      <c r="E106" s="13"/>
      <c r="G106" s="1"/>
    </row>
    <row r="107" spans="1:13" s="2" customFormat="1" x14ac:dyDescent="0.2">
      <c r="A107" s="215" t="s">
        <v>80</v>
      </c>
      <c r="B107" s="216"/>
      <c r="C107" s="216"/>
      <c r="D107" s="217"/>
      <c r="E107" s="69"/>
      <c r="F107" s="70"/>
      <c r="G107" s="1"/>
      <c r="H107" s="53"/>
    </row>
    <row r="108" spans="1:13" s="2" customFormat="1" x14ac:dyDescent="0.2">
      <c r="A108" s="71" t="s">
        <v>81</v>
      </c>
      <c r="B108" s="71"/>
      <c r="C108" s="72" t="s">
        <v>82</v>
      </c>
      <c r="D108" s="73" t="s">
        <v>83</v>
      </c>
      <c r="E108" s="69"/>
      <c r="F108" s="70"/>
      <c r="H108" s="53"/>
    </row>
    <row r="109" spans="1:13" s="2" customFormat="1" x14ac:dyDescent="0.2">
      <c r="A109" s="87">
        <v>45170</v>
      </c>
      <c r="B109" s="120" t="s">
        <v>1052</v>
      </c>
      <c r="C109" s="75" t="s">
        <v>270</v>
      </c>
      <c r="D109" s="88">
        <v>117174</v>
      </c>
      <c r="G109" s="1"/>
      <c r="L109" s="1"/>
      <c r="M109" s="1"/>
    </row>
    <row r="110" spans="1:13" s="2" customFormat="1" x14ac:dyDescent="0.2">
      <c r="A110" s="87">
        <v>45171</v>
      </c>
      <c r="B110" s="120" t="s">
        <v>1052</v>
      </c>
      <c r="C110" s="75" t="s">
        <v>767</v>
      </c>
      <c r="D110" s="88">
        <v>278761</v>
      </c>
      <c r="G110" s="1"/>
      <c r="L110" s="1"/>
      <c r="M110" s="1"/>
    </row>
    <row r="111" spans="1:13" s="2" customFormat="1" x14ac:dyDescent="0.2">
      <c r="A111" s="87">
        <v>45171</v>
      </c>
      <c r="B111" s="120" t="s">
        <v>1052</v>
      </c>
      <c r="C111" s="75" t="s">
        <v>201</v>
      </c>
      <c r="D111" s="88">
        <v>3500391.21</v>
      </c>
      <c r="G111" s="1"/>
      <c r="L111" s="1"/>
      <c r="M111" s="1"/>
    </row>
    <row r="112" spans="1:13" s="2" customFormat="1" x14ac:dyDescent="0.2">
      <c r="A112" s="87">
        <v>45173</v>
      </c>
      <c r="B112" s="120" t="s">
        <v>1052</v>
      </c>
      <c r="C112" s="75" t="s">
        <v>1478</v>
      </c>
      <c r="D112" s="88">
        <v>22763</v>
      </c>
      <c r="G112" s="1"/>
      <c r="L112" s="1"/>
      <c r="M112" s="1"/>
    </row>
    <row r="113" spans="1:13" s="2" customFormat="1" x14ac:dyDescent="0.2">
      <c r="A113" s="87">
        <v>45173</v>
      </c>
      <c r="B113" s="120" t="s">
        <v>1052</v>
      </c>
      <c r="C113" s="75" t="s">
        <v>1478</v>
      </c>
      <c r="D113" s="88">
        <v>1786258</v>
      </c>
      <c r="G113" s="1"/>
      <c r="L113" s="1"/>
      <c r="M113" s="1"/>
    </row>
    <row r="114" spans="1:13" s="2" customFormat="1" x14ac:dyDescent="0.2">
      <c r="A114" s="87">
        <v>45173</v>
      </c>
      <c r="B114" s="120" t="s">
        <v>1052</v>
      </c>
      <c r="C114" s="75" t="s">
        <v>1478</v>
      </c>
      <c r="D114" s="88">
        <v>1329469</v>
      </c>
      <c r="G114" s="1"/>
      <c r="L114" s="1"/>
      <c r="M114" s="1"/>
    </row>
    <row r="115" spans="1:13" s="2" customFormat="1" x14ac:dyDescent="0.2">
      <c r="A115" s="87"/>
      <c r="B115" s="74"/>
      <c r="C115" s="75"/>
      <c r="D115" s="51">
        <f>SUM(D109:D114)</f>
        <v>7034816.21</v>
      </c>
      <c r="F115" s="2" t="s">
        <v>396</v>
      </c>
      <c r="G115" s="1"/>
      <c r="L115" s="1"/>
      <c r="M115" s="1"/>
    </row>
    <row r="116" spans="1:13" s="2" customFormat="1" x14ac:dyDescent="0.2">
      <c r="A116" s="24"/>
      <c r="B116" s="1"/>
      <c r="C116" s="14"/>
      <c r="D116" s="56"/>
      <c r="E116" s="13"/>
      <c r="G116" s="1"/>
      <c r="L116" s="1"/>
      <c r="M116" s="1"/>
    </row>
    <row r="117" spans="1:13" s="2" customFormat="1" x14ac:dyDescent="0.2">
      <c r="A117" s="24"/>
      <c r="B117" s="1"/>
      <c r="C117" s="218" t="s">
        <v>77</v>
      </c>
      <c r="D117" s="219"/>
      <c r="E117" s="219"/>
      <c r="F117" s="220"/>
      <c r="G117" s="1"/>
      <c r="L117" s="1"/>
      <c r="M117" s="1"/>
    </row>
    <row r="118" spans="1:13" s="2" customFormat="1" x14ac:dyDescent="0.2">
      <c r="A118" s="24"/>
      <c r="B118" s="1"/>
      <c r="C118" s="50"/>
      <c r="D118" s="57" t="s">
        <v>78</v>
      </c>
      <c r="E118" s="58" t="s">
        <v>79</v>
      </c>
      <c r="F118" s="57" t="s">
        <v>72</v>
      </c>
      <c r="G118" s="1"/>
      <c r="I118" s="1"/>
      <c r="J118" s="1"/>
      <c r="K118" s="1"/>
      <c r="L118" s="1"/>
      <c r="M118" s="1"/>
    </row>
    <row r="119" spans="1:13" s="2" customFormat="1" x14ac:dyDescent="0.2">
      <c r="A119" s="24"/>
      <c r="B119" s="1"/>
      <c r="C119" s="59" t="str">
        <f>"01-09-2023 to "&amp;TEXT(A5-2,"dd-mm-yyyy")</f>
        <v>01-09-2023 to 03-09-2023</v>
      </c>
      <c r="D119" s="60">
        <v>308.83999999999997</v>
      </c>
      <c r="E119" s="60">
        <v>16</v>
      </c>
      <c r="F119" s="61">
        <f>SUM(D119:E119)</f>
        <v>324.83999999999997</v>
      </c>
      <c r="G119" s="1"/>
    </row>
    <row r="120" spans="1:13" s="2" customFormat="1" x14ac:dyDescent="0.2">
      <c r="A120" s="24"/>
      <c r="B120" s="1"/>
      <c r="C120" s="62" t="str">
        <f>TEXT(A5-1,"dd-mm-yyyy")</f>
        <v>04-09-2023</v>
      </c>
      <c r="D120" s="60">
        <v>156.99</v>
      </c>
      <c r="E120" s="60">
        <v>12.49</v>
      </c>
      <c r="F120" s="61">
        <f>SUM(D120:E120)</f>
        <v>169.48000000000002</v>
      </c>
      <c r="G120" s="54"/>
      <c r="I120" s="1"/>
      <c r="J120" s="1"/>
      <c r="K120" s="1"/>
      <c r="L120" s="1"/>
      <c r="M120" s="1"/>
    </row>
    <row r="121" spans="1:13" s="2" customFormat="1" ht="13.5" thickBot="1" x14ac:dyDescent="0.25">
      <c r="A121" s="24"/>
      <c r="B121" s="1"/>
      <c r="C121" s="63" t="str">
        <f>"01-09-2023 to "&amp;TEXT(A5-1,"dd-mm-yyyy")</f>
        <v>01-09-2023 to 04-09-2023</v>
      </c>
      <c r="D121" s="64">
        <f>SUM(D119:D120)</f>
        <v>465.83</v>
      </c>
      <c r="E121" s="64">
        <f>SUM(E119:E120)</f>
        <v>28.490000000000002</v>
      </c>
      <c r="F121" s="64">
        <f>SUM(F119:F120)</f>
        <v>494.32</v>
      </c>
      <c r="G121" s="54"/>
      <c r="I121" s="1"/>
      <c r="J121" s="1"/>
      <c r="K121" s="1"/>
      <c r="L121" s="1"/>
      <c r="M121" s="1"/>
    </row>
    <row r="122" spans="1:13" s="2" customFormat="1" ht="13.5" thickTop="1" x14ac:dyDescent="0.2">
      <c r="A122" s="24"/>
      <c r="B122" s="1"/>
      <c r="C122" s="62"/>
      <c r="D122" s="65"/>
      <c r="E122" s="66"/>
      <c r="F122" s="67"/>
      <c r="G122" s="54"/>
      <c r="I122" s="1"/>
      <c r="J122" s="1"/>
      <c r="K122" s="1"/>
      <c r="L122" s="1"/>
      <c r="M122" s="1"/>
    </row>
    <row r="123" spans="1:13" s="2" customFormat="1" x14ac:dyDescent="0.2">
      <c r="A123" s="24"/>
      <c r="B123" s="1"/>
      <c r="C123" s="62" t="str">
        <f>"01-04-2023 to " &amp;C120</f>
        <v>01-04-2023 to 04-09-2023</v>
      </c>
      <c r="D123" s="68">
        <f>+D121+24261.33</f>
        <v>24727.160000000003</v>
      </c>
      <c r="E123" s="68">
        <f>+E121+1685.25</f>
        <v>1713.74</v>
      </c>
      <c r="F123" s="68">
        <f>+F121+25946.58</f>
        <v>26440.9</v>
      </c>
      <c r="G123" s="54"/>
      <c r="I123" s="1"/>
      <c r="J123" s="1"/>
      <c r="K123" s="1"/>
      <c r="L123" s="1"/>
      <c r="M123" s="1"/>
    </row>
    <row r="124" spans="1:13" x14ac:dyDescent="0.2">
      <c r="C124" s="52"/>
      <c r="D124" s="85"/>
      <c r="E124" s="53"/>
      <c r="F124" s="53"/>
      <c r="G124" s="54"/>
      <c r="H124" s="2" t="s">
        <v>396</v>
      </c>
    </row>
    <row r="125" spans="1:13" s="2" customFormat="1" x14ac:dyDescent="0.2">
      <c r="A125" s="24"/>
      <c r="B125" s="1"/>
      <c r="C125" s="52"/>
      <c r="D125" s="85"/>
      <c r="E125" s="53"/>
      <c r="F125" s="53"/>
      <c r="G125" s="54"/>
      <c r="H125" s="53"/>
    </row>
    <row r="126" spans="1:13" x14ac:dyDescent="0.2">
      <c r="C126" s="52"/>
      <c r="D126" s="85"/>
      <c r="E126" s="53"/>
      <c r="F126" s="53"/>
      <c r="G126" s="54"/>
      <c r="H126" s="53" t="s">
        <v>396</v>
      </c>
    </row>
    <row r="127" spans="1:13" x14ac:dyDescent="0.2">
      <c r="C127" s="52"/>
      <c r="D127" s="85"/>
      <c r="E127" s="53"/>
      <c r="F127" s="53"/>
      <c r="G127" s="54"/>
      <c r="H127" s="53" t="s">
        <v>396</v>
      </c>
      <c r="J127" s="42"/>
    </row>
    <row r="128" spans="1:13" x14ac:dyDescent="0.2">
      <c r="G128" s="54"/>
      <c r="H128" s="53"/>
      <c r="I128" s="101"/>
    </row>
    <row r="129" spans="7:8" x14ac:dyDescent="0.2">
      <c r="G129" s="54"/>
      <c r="H129" s="53"/>
    </row>
    <row r="130" spans="7:8" x14ac:dyDescent="0.2">
      <c r="G130" s="54"/>
      <c r="H130" s="53"/>
    </row>
    <row r="131" spans="7:8" x14ac:dyDescent="0.2">
      <c r="H131" s="53"/>
    </row>
  </sheetData>
  <mergeCells count="6">
    <mergeCell ref="C117:F117"/>
    <mergeCell ref="A1:G1"/>
    <mergeCell ref="A3:F3"/>
    <mergeCell ref="A10:F10"/>
    <mergeCell ref="A30:F30"/>
    <mergeCell ref="A107:D107"/>
  </mergeCells>
  <conditionalFormatting sqref="G104:G105">
    <cfRule type="cellIs" dxfId="329" priority="1" operator="lessThan">
      <formula>0</formula>
    </cfRule>
  </conditionalFormatting>
  <conditionalFormatting sqref="C32">
    <cfRule type="duplicateValues" dxfId="328" priority="2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E00-000000000000}">
  <sheetPr codeName="Sheet422">
    <pageSetUpPr fitToPage="1"/>
  </sheetPr>
  <dimension ref="A1:N99"/>
  <sheetViews>
    <sheetView topLeftCell="A22" zoomScaleNormal="100" workbookViewId="0">
      <selection activeCell="E33" sqref="E33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1485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45175</v>
      </c>
      <c r="B5" s="9" t="s">
        <v>6</v>
      </c>
      <c r="C5" s="10" t="s">
        <v>7</v>
      </c>
      <c r="D5" s="11"/>
      <c r="E5" s="12">
        <v>5160877.9800000004</v>
      </c>
      <c r="F5" s="12"/>
      <c r="G5" s="1"/>
      <c r="H5" s="112"/>
      <c r="I5" s="112"/>
    </row>
    <row r="6" spans="1:10" s="2" customFormat="1" ht="14.25" customHeight="1" x14ac:dyDescent="0.4">
      <c r="A6" s="89">
        <v>45175</v>
      </c>
      <c r="B6" s="9" t="s">
        <v>6</v>
      </c>
      <c r="C6" s="10" t="s">
        <v>400</v>
      </c>
      <c r="D6" s="11" t="s">
        <v>13</v>
      </c>
      <c r="E6" s="12">
        <v>1000000</v>
      </c>
      <c r="F6" s="12"/>
      <c r="G6" s="1"/>
      <c r="H6" s="112"/>
      <c r="I6" s="112"/>
    </row>
    <row r="7" spans="1:10" s="2" customFormat="1" ht="14.25" customHeight="1" x14ac:dyDescent="0.4">
      <c r="A7" s="89">
        <v>45175</v>
      </c>
      <c r="B7" s="9" t="s">
        <v>11</v>
      </c>
      <c r="C7" s="10" t="s">
        <v>380</v>
      </c>
      <c r="D7" s="11" t="s">
        <v>29</v>
      </c>
      <c r="E7" s="12"/>
      <c r="F7" s="12">
        <v>3055720</v>
      </c>
      <c r="G7" s="1"/>
      <c r="H7" s="112"/>
      <c r="I7" s="112"/>
    </row>
    <row r="8" spans="1:10" s="2" customFormat="1" ht="12.75" customHeight="1" x14ac:dyDescent="0.4">
      <c r="D8" s="15" t="s">
        <v>8</v>
      </c>
      <c r="E8" s="16">
        <f>SUM(E5:E6)</f>
        <v>6160877.9800000004</v>
      </c>
      <c r="F8" s="16">
        <f>SUM(F5:F7)</f>
        <v>3055720</v>
      </c>
      <c r="G8" s="1"/>
      <c r="H8" s="112"/>
      <c r="I8" s="112"/>
    </row>
    <row r="9" spans="1:10" s="2" customFormat="1" ht="12.75" customHeight="1" x14ac:dyDescent="0.4">
      <c r="A9" s="17"/>
      <c r="B9" s="18"/>
      <c r="C9" s="19" t="s">
        <v>9</v>
      </c>
      <c r="D9" s="20"/>
      <c r="E9" s="21">
        <f>+E8-F8</f>
        <v>3105157.9800000004</v>
      </c>
      <c r="F9" s="22"/>
      <c r="G9" s="23"/>
      <c r="H9" s="112"/>
      <c r="I9" s="112"/>
      <c r="J9" s="13"/>
    </row>
    <row r="10" spans="1:10" ht="12.75" customHeight="1" x14ac:dyDescent="0.4">
      <c r="H10" s="112"/>
      <c r="I10" s="112"/>
    </row>
    <row r="11" spans="1:10" ht="18" customHeight="1" x14ac:dyDescent="0.4">
      <c r="A11" s="213" t="s">
        <v>1037</v>
      </c>
      <c r="B11" s="213"/>
      <c r="C11" s="213"/>
      <c r="D11" s="213"/>
      <c r="E11" s="213"/>
      <c r="F11" s="213"/>
      <c r="H11" s="112"/>
      <c r="I11" s="112"/>
    </row>
    <row r="12" spans="1:10" ht="12.75" customHeight="1" x14ac:dyDescent="0.4">
      <c r="A12" s="3" t="s">
        <v>1</v>
      </c>
      <c r="B12" s="4" t="s">
        <v>2</v>
      </c>
      <c r="C12" s="5"/>
      <c r="D12" s="6" t="s">
        <v>3</v>
      </c>
      <c r="E12" s="7" t="s">
        <v>4</v>
      </c>
      <c r="F12" s="7" t="s">
        <v>5</v>
      </c>
      <c r="H12" s="112"/>
      <c r="I12" s="112"/>
    </row>
    <row r="13" spans="1:10" s="2" customFormat="1" ht="14.25" customHeight="1" x14ac:dyDescent="0.2">
      <c r="A13" s="89">
        <v>45175</v>
      </c>
      <c r="B13" s="9" t="s">
        <v>6</v>
      </c>
      <c r="C13" s="10" t="s">
        <v>7</v>
      </c>
      <c r="D13" s="11"/>
      <c r="F13" s="12">
        <v>88789509.780000031</v>
      </c>
      <c r="G13" s="1"/>
      <c r="H13" s="130" t="s">
        <v>396</v>
      </c>
      <c r="I13" s="130"/>
    </row>
    <row r="14" spans="1:10" s="2" customFormat="1" ht="14.25" customHeight="1" x14ac:dyDescent="0.2">
      <c r="A14" s="89">
        <v>45175</v>
      </c>
      <c r="B14" s="9" t="s">
        <v>11</v>
      </c>
      <c r="C14" s="76" t="s">
        <v>1091</v>
      </c>
      <c r="D14" s="11" t="s">
        <v>29</v>
      </c>
      <c r="F14" s="31">
        <v>1180</v>
      </c>
      <c r="G14" s="1"/>
      <c r="H14" s="130"/>
      <c r="I14" s="130"/>
    </row>
    <row r="15" spans="1:10" s="2" customFormat="1" ht="14.25" customHeight="1" x14ac:dyDescent="0.2">
      <c r="A15" s="89">
        <v>45175</v>
      </c>
      <c r="B15" s="9" t="s">
        <v>11</v>
      </c>
      <c r="C15" s="76" t="s">
        <v>1486</v>
      </c>
      <c r="D15" s="11" t="s">
        <v>29</v>
      </c>
      <c r="F15" s="31">
        <v>4147</v>
      </c>
      <c r="G15" s="1"/>
      <c r="H15" s="130"/>
      <c r="I15" s="130"/>
    </row>
    <row r="16" spans="1:10" s="2" customFormat="1" ht="14.25" customHeight="1" x14ac:dyDescent="0.2">
      <c r="A16" s="89">
        <v>45175</v>
      </c>
      <c r="B16" s="9" t="s">
        <v>11</v>
      </c>
      <c r="C16" s="76" t="s">
        <v>235</v>
      </c>
      <c r="D16" s="11" t="s">
        <v>29</v>
      </c>
      <c r="F16" s="31">
        <v>5718</v>
      </c>
      <c r="G16" s="1"/>
      <c r="H16" s="130"/>
      <c r="I16" s="130"/>
    </row>
    <row r="17" spans="1:14" s="2" customFormat="1" ht="14.25" customHeight="1" x14ac:dyDescent="0.2">
      <c r="A17" s="89">
        <v>45175</v>
      </c>
      <c r="B17" s="9" t="s">
        <v>11</v>
      </c>
      <c r="C17" s="76" t="s">
        <v>1418</v>
      </c>
      <c r="D17" s="11" t="s">
        <v>29</v>
      </c>
      <c r="F17" s="31">
        <v>16525</v>
      </c>
      <c r="G17" s="1"/>
      <c r="H17" s="130"/>
      <c r="I17" s="130"/>
    </row>
    <row r="18" spans="1:14" s="2" customFormat="1" ht="12.75" customHeight="1" x14ac:dyDescent="0.4">
      <c r="D18" s="11" t="s">
        <v>8</v>
      </c>
      <c r="E18" s="16">
        <f>SUM(E13:E17)</f>
        <v>0</v>
      </c>
      <c r="F18" s="16">
        <f>SUM(F13:F17)</f>
        <v>88817079.780000031</v>
      </c>
      <c r="G18" s="1"/>
      <c r="H18" s="112"/>
      <c r="I18" s="112"/>
    </row>
    <row r="19" spans="1:14" s="2" customFormat="1" ht="12.75" customHeight="1" x14ac:dyDescent="0.4">
      <c r="A19" s="17"/>
      <c r="B19" s="18"/>
      <c r="C19" s="96" t="s">
        <v>9</v>
      </c>
      <c r="D19" s="20"/>
      <c r="E19" s="21">
        <f>+F18-E18</f>
        <v>88817079.780000031</v>
      </c>
      <c r="G19" s="23"/>
      <c r="H19" s="112"/>
      <c r="I19" s="153" t="s">
        <v>779</v>
      </c>
      <c r="J19" s="13"/>
    </row>
    <row r="20" spans="1:14" s="2" customFormat="1" ht="12.75" customHeight="1" x14ac:dyDescent="0.2">
      <c r="A20" s="36"/>
      <c r="B20" s="28" t="s">
        <v>66</v>
      </c>
      <c r="C20" s="43" t="s">
        <v>1458</v>
      </c>
      <c r="D20" s="43"/>
      <c r="E20" s="12">
        <v>30000000</v>
      </c>
      <c r="F20" s="22"/>
      <c r="G20" s="1"/>
      <c r="H20" s="40">
        <v>88917079.780000001</v>
      </c>
      <c r="I20" s="154">
        <f>H20-E19</f>
        <v>99999.999999970198</v>
      </c>
      <c r="J20" s="146"/>
      <c r="K20" s="146"/>
      <c r="L20" s="13"/>
      <c r="M20" s="69" t="s">
        <v>396</v>
      </c>
    </row>
    <row r="21" spans="1:14" s="2" customFormat="1" ht="12.75" customHeight="1" x14ac:dyDescent="0.25">
      <c r="A21" s="36"/>
      <c r="B21" s="28"/>
      <c r="C21" s="44" t="s">
        <v>68</v>
      </c>
      <c r="D21" s="43"/>
      <c r="E21" s="7">
        <f>+E19+E20</f>
        <v>118817079.78000003</v>
      </c>
      <c r="F21" s="22"/>
      <c r="G21" s="1"/>
      <c r="H21" s="103"/>
      <c r="I21" s="155"/>
      <c r="J21" s="146"/>
      <c r="K21" s="146"/>
      <c r="N21" s="1"/>
    </row>
    <row r="22" spans="1:14" s="2" customFormat="1" ht="12.75" customHeight="1" x14ac:dyDescent="0.4">
      <c r="A22" s="24"/>
      <c r="B22" s="1"/>
      <c r="C22" s="14"/>
      <c r="D22" s="25"/>
      <c r="G22" s="23"/>
      <c r="H22" s="112"/>
      <c r="I22" s="112"/>
      <c r="J22" s="13"/>
    </row>
    <row r="23" spans="1:14" s="2" customFormat="1" ht="21.75" customHeight="1" x14ac:dyDescent="0.4">
      <c r="A23" s="214" t="s">
        <v>10</v>
      </c>
      <c r="B23" s="214"/>
      <c r="C23" s="214"/>
      <c r="D23" s="214"/>
      <c r="E23" s="214"/>
      <c r="F23" s="214"/>
      <c r="G23" s="13"/>
      <c r="H23" s="112"/>
      <c r="I23" s="112"/>
      <c r="J23" s="13"/>
    </row>
    <row r="24" spans="1:14" s="2" customFormat="1" ht="12.75" customHeight="1" x14ac:dyDescent="0.4">
      <c r="A24" s="26" t="s">
        <v>1</v>
      </c>
      <c r="B24" s="27" t="s">
        <v>2</v>
      </c>
      <c r="C24" s="5"/>
      <c r="D24" s="6" t="s">
        <v>3</v>
      </c>
      <c r="E24" s="7" t="s">
        <v>4</v>
      </c>
      <c r="F24" s="7" t="s">
        <v>5</v>
      </c>
      <c r="G24" s="23"/>
      <c r="H24" s="112"/>
      <c r="I24" s="112"/>
      <c r="J24" s="13"/>
    </row>
    <row r="25" spans="1:14" s="2" customFormat="1" ht="12.75" customHeight="1" x14ac:dyDescent="0.2">
      <c r="A25" s="89">
        <v>45175</v>
      </c>
      <c r="B25" s="128" t="s">
        <v>11</v>
      </c>
      <c r="C25" s="29" t="s">
        <v>7</v>
      </c>
      <c r="D25" s="25"/>
      <c r="E25" s="31"/>
      <c r="F25" s="2">
        <v>98389635.680000067</v>
      </c>
      <c r="G25" s="30"/>
      <c r="I25" s="13"/>
      <c r="J25" s="13"/>
    </row>
    <row r="26" spans="1:14" s="70" customFormat="1" ht="12.75" customHeight="1" x14ac:dyDescent="0.2">
      <c r="A26" s="89">
        <v>45175</v>
      </c>
      <c r="B26" s="128" t="s">
        <v>6</v>
      </c>
      <c r="C26" s="10" t="s">
        <v>316</v>
      </c>
      <c r="D26" s="11" t="s">
        <v>13</v>
      </c>
      <c r="E26" s="86">
        <v>1051252</v>
      </c>
      <c r="G26" s="30"/>
      <c r="I26" s="69"/>
      <c r="J26" s="69"/>
    </row>
    <row r="27" spans="1:14" s="70" customFormat="1" ht="12.75" customHeight="1" x14ac:dyDescent="0.2">
      <c r="A27" s="89">
        <v>45175</v>
      </c>
      <c r="B27" s="128" t="s">
        <v>6</v>
      </c>
      <c r="C27" s="10" t="s">
        <v>17</v>
      </c>
      <c r="D27" s="11" t="s">
        <v>13</v>
      </c>
      <c r="E27" s="86">
        <v>194995</v>
      </c>
      <c r="G27" s="30"/>
      <c r="I27" s="69"/>
      <c r="J27" s="69"/>
    </row>
    <row r="28" spans="1:14" s="70" customFormat="1" ht="12.75" customHeight="1" x14ac:dyDescent="0.2">
      <c r="A28" s="89">
        <v>45175</v>
      </c>
      <c r="B28" s="128" t="s">
        <v>6</v>
      </c>
      <c r="C28" s="10" t="s">
        <v>381</v>
      </c>
      <c r="D28" s="11" t="s">
        <v>13</v>
      </c>
      <c r="E28" s="86">
        <v>28823</v>
      </c>
      <c r="G28" s="30"/>
      <c r="I28" s="69"/>
      <c r="J28" s="69"/>
    </row>
    <row r="29" spans="1:14" s="70" customFormat="1" ht="12.75" customHeight="1" x14ac:dyDescent="0.2">
      <c r="A29" s="89">
        <v>45175</v>
      </c>
      <c r="B29" s="128" t="s">
        <v>6</v>
      </c>
      <c r="C29" s="10" t="s">
        <v>62</v>
      </c>
      <c r="D29" s="11" t="s">
        <v>13</v>
      </c>
      <c r="E29" s="86">
        <v>4000</v>
      </c>
      <c r="G29" s="30"/>
      <c r="I29" s="69"/>
      <c r="J29" s="69"/>
    </row>
    <row r="30" spans="1:14" s="70" customFormat="1" ht="12.75" customHeight="1" x14ac:dyDescent="0.2">
      <c r="A30" s="89">
        <v>45175</v>
      </c>
      <c r="B30" s="128" t="s">
        <v>6</v>
      </c>
      <c r="C30" s="10" t="s">
        <v>670</v>
      </c>
      <c r="D30" s="11" t="s">
        <v>13</v>
      </c>
      <c r="E30" s="86">
        <v>336772</v>
      </c>
      <c r="G30" s="30"/>
      <c r="I30" s="69"/>
      <c r="J30" s="69"/>
    </row>
    <row r="31" spans="1:14" s="70" customFormat="1" ht="12.75" customHeight="1" x14ac:dyDescent="0.2">
      <c r="A31" s="89">
        <v>45175</v>
      </c>
      <c r="B31" s="128" t="s">
        <v>6</v>
      </c>
      <c r="C31" s="10" t="s">
        <v>764</v>
      </c>
      <c r="D31" s="11" t="s">
        <v>13</v>
      </c>
      <c r="E31" s="86">
        <v>400638.3</v>
      </c>
      <c r="G31" s="30"/>
      <c r="I31" s="69"/>
      <c r="J31" s="69"/>
    </row>
    <row r="32" spans="1:14" s="70" customFormat="1" ht="12.75" customHeight="1" x14ac:dyDescent="0.2">
      <c r="A32" s="89">
        <v>45175</v>
      </c>
      <c r="B32" s="128" t="s">
        <v>6</v>
      </c>
      <c r="C32" s="10" t="s">
        <v>15</v>
      </c>
      <c r="D32" s="11" t="s">
        <v>13</v>
      </c>
      <c r="E32" s="86">
        <v>23659.9</v>
      </c>
      <c r="G32" s="30"/>
      <c r="I32" s="69"/>
      <c r="J32" s="69"/>
    </row>
    <row r="33" spans="1:10" s="70" customFormat="1" ht="12.75" customHeight="1" x14ac:dyDescent="0.2">
      <c r="A33" s="89">
        <v>45175</v>
      </c>
      <c r="B33" s="128" t="s">
        <v>6</v>
      </c>
      <c r="C33" s="10" t="s">
        <v>1487</v>
      </c>
      <c r="D33" s="11" t="s">
        <v>13</v>
      </c>
      <c r="E33" s="86">
        <v>5641</v>
      </c>
      <c r="G33" s="30"/>
      <c r="I33" s="69"/>
      <c r="J33" s="69"/>
    </row>
    <row r="34" spans="1:10" s="70" customFormat="1" ht="12.75" customHeight="1" x14ac:dyDescent="0.2">
      <c r="A34" s="89">
        <v>45175</v>
      </c>
      <c r="B34" s="128" t="s">
        <v>11</v>
      </c>
      <c r="C34" s="10" t="s">
        <v>64</v>
      </c>
      <c r="D34" s="11" t="s">
        <v>29</v>
      </c>
      <c r="E34" s="86"/>
      <c r="F34" s="70">
        <v>14.16</v>
      </c>
      <c r="G34" s="30"/>
      <c r="I34" s="69"/>
      <c r="J34" s="69"/>
    </row>
    <row r="35" spans="1:10" s="70" customFormat="1" ht="12.75" customHeight="1" x14ac:dyDescent="0.2">
      <c r="A35" s="89">
        <v>45175</v>
      </c>
      <c r="B35" s="128" t="s">
        <v>11</v>
      </c>
      <c r="C35" s="10" t="s">
        <v>127</v>
      </c>
      <c r="D35" s="11" t="s">
        <v>29</v>
      </c>
      <c r="E35" s="86"/>
      <c r="F35" s="70">
        <v>9214677</v>
      </c>
      <c r="G35" s="30"/>
      <c r="I35" s="69"/>
      <c r="J35" s="69"/>
    </row>
    <row r="36" spans="1:10" s="70" customFormat="1" ht="12.75" customHeight="1" x14ac:dyDescent="0.2">
      <c r="A36" s="89">
        <v>45175</v>
      </c>
      <c r="B36" s="128" t="s">
        <v>11</v>
      </c>
      <c r="C36" s="10" t="s">
        <v>284</v>
      </c>
      <c r="D36" s="11" t="s">
        <v>29</v>
      </c>
      <c r="E36" s="86"/>
      <c r="F36" s="70">
        <v>2453508</v>
      </c>
      <c r="G36" s="30"/>
      <c r="I36" s="69"/>
      <c r="J36" s="69"/>
    </row>
    <row r="37" spans="1:10" s="70" customFormat="1" ht="12.75" customHeight="1" x14ac:dyDescent="0.2">
      <c r="A37" s="89">
        <v>45175</v>
      </c>
      <c r="B37" s="128" t="s">
        <v>11</v>
      </c>
      <c r="C37" s="10" t="s">
        <v>199</v>
      </c>
      <c r="D37" s="11" t="s">
        <v>29</v>
      </c>
      <c r="E37" s="86"/>
      <c r="F37" s="70">
        <v>983957</v>
      </c>
      <c r="G37" s="30"/>
      <c r="I37" s="69"/>
      <c r="J37" s="69"/>
    </row>
    <row r="38" spans="1:10" s="70" customFormat="1" ht="12.75" customHeight="1" x14ac:dyDescent="0.2">
      <c r="A38" s="89">
        <v>45175</v>
      </c>
      <c r="B38" s="128" t="s">
        <v>11</v>
      </c>
      <c r="C38" s="10" t="s">
        <v>210</v>
      </c>
      <c r="D38" s="11" t="s">
        <v>29</v>
      </c>
      <c r="E38" s="86"/>
      <c r="F38" s="70">
        <v>162368</v>
      </c>
      <c r="G38" s="30"/>
      <c r="I38" s="69"/>
      <c r="J38" s="69"/>
    </row>
    <row r="39" spans="1:10" s="70" customFormat="1" ht="12.75" customHeight="1" x14ac:dyDescent="0.2">
      <c r="A39" s="89">
        <v>45175</v>
      </c>
      <c r="B39" s="128" t="s">
        <v>11</v>
      </c>
      <c r="C39" s="10" t="s">
        <v>561</v>
      </c>
      <c r="D39" s="11" t="s">
        <v>29</v>
      </c>
      <c r="E39" s="86"/>
      <c r="F39" s="70">
        <v>322596</v>
      </c>
      <c r="G39" s="30"/>
      <c r="I39" s="69"/>
      <c r="J39" s="69"/>
    </row>
    <row r="40" spans="1:10" s="70" customFormat="1" ht="12.75" customHeight="1" x14ac:dyDescent="0.2">
      <c r="A40" s="89">
        <v>45175</v>
      </c>
      <c r="B40" s="128" t="s">
        <v>11</v>
      </c>
      <c r="C40" s="10" t="s">
        <v>925</v>
      </c>
      <c r="D40" s="11" t="s">
        <v>29</v>
      </c>
      <c r="E40" s="86"/>
      <c r="F40" s="70">
        <v>282069.84999999998</v>
      </c>
      <c r="G40" s="30"/>
      <c r="I40" s="69"/>
      <c r="J40" s="69"/>
    </row>
    <row r="41" spans="1:10" s="70" customFormat="1" ht="12.75" customHeight="1" x14ac:dyDescent="0.2">
      <c r="A41" s="89">
        <v>45175</v>
      </c>
      <c r="B41" s="128" t="s">
        <v>11</v>
      </c>
      <c r="C41" s="10" t="s">
        <v>926</v>
      </c>
      <c r="D41" s="11" t="s">
        <v>29</v>
      </c>
      <c r="E41" s="86"/>
      <c r="F41" s="70">
        <v>535499</v>
      </c>
      <c r="G41" s="30"/>
      <c r="I41" s="69"/>
      <c r="J41" s="69"/>
    </row>
    <row r="42" spans="1:10" s="70" customFormat="1" ht="12.75" customHeight="1" x14ac:dyDescent="0.2">
      <c r="A42" s="89">
        <v>45175</v>
      </c>
      <c r="B42" s="128" t="s">
        <v>11</v>
      </c>
      <c r="C42" s="10" t="s">
        <v>223</v>
      </c>
      <c r="D42" s="11" t="s">
        <v>29</v>
      </c>
      <c r="E42" s="86"/>
      <c r="F42" s="70">
        <v>7284</v>
      </c>
      <c r="G42" s="30"/>
      <c r="I42" s="69"/>
      <c r="J42" s="69"/>
    </row>
    <row r="43" spans="1:10" s="70" customFormat="1" ht="12.75" customHeight="1" x14ac:dyDescent="0.2">
      <c r="A43" s="89">
        <v>45175</v>
      </c>
      <c r="B43" s="128" t="s">
        <v>11</v>
      </c>
      <c r="C43" s="10" t="s">
        <v>549</v>
      </c>
      <c r="D43" s="11" t="s">
        <v>29</v>
      </c>
      <c r="E43" s="86"/>
      <c r="F43" s="70">
        <v>661457</v>
      </c>
      <c r="G43" s="30"/>
      <c r="I43" s="69"/>
      <c r="J43" s="69"/>
    </row>
    <row r="44" spans="1:10" s="70" customFormat="1" ht="12.75" customHeight="1" x14ac:dyDescent="0.2">
      <c r="A44" s="89">
        <v>45175</v>
      </c>
      <c r="B44" s="128" t="s">
        <v>11</v>
      </c>
      <c r="C44" s="10" t="s">
        <v>382</v>
      </c>
      <c r="D44" s="11" t="s">
        <v>29</v>
      </c>
      <c r="E44" s="86"/>
      <c r="F44" s="70">
        <v>10287</v>
      </c>
      <c r="G44" s="30"/>
      <c r="I44" s="69"/>
      <c r="J44" s="69"/>
    </row>
    <row r="45" spans="1:10" s="70" customFormat="1" ht="12.75" customHeight="1" x14ac:dyDescent="0.2">
      <c r="A45" s="89">
        <v>45175</v>
      </c>
      <c r="B45" s="128" t="s">
        <v>11</v>
      </c>
      <c r="C45" s="10" t="s">
        <v>63</v>
      </c>
      <c r="D45" s="11" t="s">
        <v>29</v>
      </c>
      <c r="E45" s="86"/>
      <c r="F45" s="70">
        <v>7500000</v>
      </c>
      <c r="G45" s="30"/>
      <c r="I45" s="69"/>
      <c r="J45" s="69"/>
    </row>
    <row r="46" spans="1:10" s="70" customFormat="1" ht="12.75" customHeight="1" x14ac:dyDescent="0.2">
      <c r="A46" s="89">
        <v>45175</v>
      </c>
      <c r="B46" s="128" t="s">
        <v>11</v>
      </c>
      <c r="C46" s="10" t="s">
        <v>402</v>
      </c>
      <c r="D46" s="11" t="s">
        <v>29</v>
      </c>
      <c r="E46" s="86"/>
      <c r="F46" s="70">
        <v>1000000</v>
      </c>
      <c r="G46" s="30"/>
      <c r="I46" s="69"/>
      <c r="J46" s="69"/>
    </row>
    <row r="47" spans="1:10" s="70" customFormat="1" ht="12.75" customHeight="1" x14ac:dyDescent="0.2">
      <c r="A47" s="89">
        <v>45175</v>
      </c>
      <c r="B47" s="128" t="s">
        <v>11</v>
      </c>
      <c r="C47" s="10" t="s">
        <v>1324</v>
      </c>
      <c r="D47" s="11" t="s">
        <v>29</v>
      </c>
      <c r="E47" s="86"/>
      <c r="F47" s="70">
        <v>196358</v>
      </c>
      <c r="G47" s="30"/>
      <c r="I47" s="69"/>
      <c r="J47" s="69"/>
    </row>
    <row r="48" spans="1:10" s="70" customFormat="1" ht="12.75" customHeight="1" x14ac:dyDescent="0.2">
      <c r="A48" s="89">
        <v>45175</v>
      </c>
      <c r="B48" s="128" t="s">
        <v>11</v>
      </c>
      <c r="C48" s="10" t="s">
        <v>34</v>
      </c>
      <c r="D48" s="11" t="s">
        <v>29</v>
      </c>
      <c r="E48" s="86"/>
      <c r="F48" s="70">
        <v>35000</v>
      </c>
      <c r="G48" s="30"/>
      <c r="I48" s="69"/>
      <c r="J48" s="69"/>
    </row>
    <row r="49" spans="1:14" s="70" customFormat="1" ht="12.75" customHeight="1" x14ac:dyDescent="0.2">
      <c r="A49" s="89">
        <v>45175</v>
      </c>
      <c r="B49" s="128" t="s">
        <v>11</v>
      </c>
      <c r="C49" s="10" t="s">
        <v>1010</v>
      </c>
      <c r="D49" s="11" t="s">
        <v>29</v>
      </c>
      <c r="E49" s="86"/>
      <c r="F49" s="70">
        <v>15576</v>
      </c>
      <c r="G49" s="30"/>
      <c r="I49" s="69"/>
      <c r="J49" s="69"/>
    </row>
    <row r="50" spans="1:14" s="70" customFormat="1" ht="12.75" customHeight="1" x14ac:dyDescent="0.2">
      <c r="A50" s="89">
        <v>45175</v>
      </c>
      <c r="B50" s="128" t="s">
        <v>11</v>
      </c>
      <c r="C50" s="10" t="s">
        <v>422</v>
      </c>
      <c r="D50" s="11" t="s">
        <v>29</v>
      </c>
      <c r="E50" s="86"/>
      <c r="F50" s="70">
        <v>15930</v>
      </c>
      <c r="G50" s="30"/>
      <c r="I50" s="69"/>
      <c r="J50" s="69"/>
    </row>
    <row r="51" spans="1:14" s="2" customFormat="1" ht="12.75" customHeight="1" x14ac:dyDescent="0.2">
      <c r="A51" s="32"/>
      <c r="B51" s="33"/>
      <c r="C51" s="14"/>
      <c r="D51" s="34"/>
      <c r="E51" s="16">
        <f>SUM(E25:E50)</f>
        <v>2045781.2</v>
      </c>
      <c r="F51" s="16">
        <f>SUM(F25:F50)</f>
        <v>121786216.69000006</v>
      </c>
      <c r="G51" s="30"/>
      <c r="H51" s="1"/>
      <c r="I51" s="38">
        <v>119740435.48999999</v>
      </c>
      <c r="J51" s="2" t="s">
        <v>396</v>
      </c>
      <c r="K51" s="92">
        <f>E52-I51</f>
        <v>0</v>
      </c>
      <c r="L51" s="41"/>
      <c r="M51" s="42"/>
    </row>
    <row r="52" spans="1:14" s="2" customFormat="1" ht="12.75" customHeight="1" x14ac:dyDescent="0.2">
      <c r="A52" s="36"/>
      <c r="B52" s="28" t="s">
        <v>11</v>
      </c>
      <c r="C52" s="19" t="s">
        <v>65</v>
      </c>
      <c r="D52" s="37"/>
      <c r="E52" s="38">
        <f>F51-E51</f>
        <v>119740435.49000005</v>
      </c>
      <c r="F52" s="22"/>
      <c r="G52" s="1"/>
      <c r="H52" s="1"/>
      <c r="J52" s="1"/>
      <c r="K52" s="1"/>
      <c r="L52" s="1"/>
      <c r="M52" s="1"/>
    </row>
    <row r="53" spans="1:14" s="2" customFormat="1" ht="12.75" customHeight="1" x14ac:dyDescent="0.2">
      <c r="A53" s="36"/>
      <c r="B53" s="28" t="s">
        <v>66</v>
      </c>
      <c r="C53" s="43" t="s">
        <v>1457</v>
      </c>
      <c r="D53" s="43"/>
      <c r="E53" s="12">
        <v>350000000</v>
      </c>
      <c r="F53" s="22"/>
      <c r="G53" s="1"/>
      <c r="H53" s="40"/>
      <c r="I53" s="45">
        <v>461.41</v>
      </c>
      <c r="J53" s="46"/>
      <c r="K53" s="46"/>
      <c r="L53" s="13"/>
      <c r="M53" s="69" t="s">
        <v>396</v>
      </c>
    </row>
    <row r="54" spans="1:14" s="2" customFormat="1" ht="12.75" customHeight="1" x14ac:dyDescent="0.25">
      <c r="A54" s="36"/>
      <c r="B54" s="28"/>
      <c r="C54" s="44" t="s">
        <v>68</v>
      </c>
      <c r="D54" s="43"/>
      <c r="E54" s="7">
        <f>+E53+E52</f>
        <v>469740435.49000007</v>
      </c>
      <c r="F54" s="22"/>
      <c r="G54" s="1"/>
      <c r="H54" s="103" t="s">
        <v>69</v>
      </c>
      <c r="I54" s="45">
        <v>-8.4600000000000009</v>
      </c>
      <c r="J54" s="46"/>
      <c r="K54" s="46"/>
      <c r="N54" s="1"/>
    </row>
    <row r="55" spans="1:14" s="2" customFormat="1" x14ac:dyDescent="0.2">
      <c r="A55" s="24"/>
      <c r="B55" s="1"/>
      <c r="C55" s="14"/>
      <c r="D55" s="25"/>
      <c r="E55" s="1"/>
      <c r="H55" s="35" t="s">
        <v>70</v>
      </c>
      <c r="I55" s="45">
        <v>8.4600000000000009</v>
      </c>
      <c r="J55" s="46">
        <f>+I56-D58</f>
        <v>0</v>
      </c>
      <c r="M55" s="2" t="s">
        <v>396</v>
      </c>
      <c r="N55" s="1"/>
    </row>
    <row r="56" spans="1:14" x14ac:dyDescent="0.2">
      <c r="C56" s="56"/>
      <c r="D56" s="56"/>
      <c r="E56" s="104"/>
      <c r="I56" s="49">
        <f>SUM(I53:I55)</f>
        <v>461.41</v>
      </c>
      <c r="J56" s="46"/>
      <c r="K56" s="46"/>
      <c r="L56" s="2"/>
      <c r="M56" s="2"/>
      <c r="N56" s="2"/>
    </row>
    <row r="57" spans="1:14" x14ac:dyDescent="0.2">
      <c r="C57" s="78" t="s">
        <v>575</v>
      </c>
      <c r="D57" s="48" t="s">
        <v>576</v>
      </c>
      <c r="E57" s="104"/>
      <c r="I57" s="2"/>
      <c r="J57" s="2"/>
      <c r="K57" s="2"/>
      <c r="L57" s="2"/>
      <c r="M57" s="2"/>
      <c r="N57" s="2"/>
    </row>
    <row r="58" spans="1:14" s="2" customFormat="1" x14ac:dyDescent="0.2">
      <c r="A58" s="24"/>
      <c r="B58" s="1"/>
      <c r="C58" s="47" t="s">
        <v>570</v>
      </c>
      <c r="D58" s="111">
        <v>461.41</v>
      </c>
      <c r="E58" s="104"/>
      <c r="G58" s="1"/>
      <c r="H58" s="110" t="s">
        <v>581</v>
      </c>
      <c r="N58" s="2" t="s">
        <v>535</v>
      </c>
    </row>
    <row r="59" spans="1:14" s="2" customFormat="1" x14ac:dyDescent="0.2">
      <c r="A59" s="24"/>
      <c r="B59" s="1"/>
      <c r="C59" s="47" t="s">
        <v>931</v>
      </c>
      <c r="D59" s="111">
        <v>67.06</v>
      </c>
      <c r="E59" s="104"/>
      <c r="G59" s="1"/>
      <c r="H59" s="110" t="s">
        <v>580</v>
      </c>
    </row>
    <row r="60" spans="1:14" s="2" customFormat="1" x14ac:dyDescent="0.2">
      <c r="A60" s="24"/>
      <c r="B60" s="1"/>
      <c r="C60" s="47" t="s">
        <v>572</v>
      </c>
      <c r="D60" s="111">
        <f>+D83/100000</f>
        <v>84.087672100000006</v>
      </c>
      <c r="E60" s="104"/>
      <c r="G60" s="1"/>
      <c r="H60" s="90" t="s">
        <v>587</v>
      </c>
    </row>
    <row r="61" spans="1:14" s="2" customFormat="1" x14ac:dyDescent="0.2">
      <c r="A61" s="24"/>
      <c r="B61" s="1"/>
      <c r="C61" s="108" t="s">
        <v>578</v>
      </c>
      <c r="D61" s="48">
        <f>SUM(D58:D60)</f>
        <v>612.55767209999999</v>
      </c>
      <c r="E61" s="104"/>
      <c r="G61" s="1"/>
    </row>
    <row r="62" spans="1:14" s="2" customFormat="1" x14ac:dyDescent="0.2">
      <c r="A62" s="24"/>
      <c r="B62" s="1"/>
      <c r="C62" s="47"/>
      <c r="D62" s="107"/>
      <c r="E62" s="104"/>
      <c r="G62" s="1"/>
    </row>
    <row r="63" spans="1:14" s="2" customFormat="1" x14ac:dyDescent="0.2">
      <c r="A63" s="24"/>
      <c r="B63" s="1"/>
      <c r="C63" s="47" t="s">
        <v>932</v>
      </c>
      <c r="D63" s="111">
        <v>63.68</v>
      </c>
      <c r="E63" s="104"/>
      <c r="G63" s="1"/>
      <c r="H63" s="110" t="s">
        <v>581</v>
      </c>
    </row>
    <row r="64" spans="1:14" s="2" customFormat="1" x14ac:dyDescent="0.2">
      <c r="A64" s="24"/>
      <c r="B64" s="1"/>
      <c r="C64" s="136" t="s">
        <v>1142</v>
      </c>
      <c r="D64" s="111">
        <v>0</v>
      </c>
      <c r="E64" s="104"/>
      <c r="G64" s="1"/>
      <c r="H64" s="110" t="s">
        <v>581</v>
      </c>
      <c r="J64" s="114" t="s">
        <v>713</v>
      </c>
    </row>
    <row r="65" spans="1:13" s="2" customFormat="1" x14ac:dyDescent="0.2">
      <c r="A65" s="24"/>
      <c r="B65" s="1"/>
      <c r="C65" s="78" t="s">
        <v>579</v>
      </c>
      <c r="D65" s="109">
        <f>D63+D64</f>
        <v>63.68</v>
      </c>
      <c r="E65" s="104"/>
      <c r="G65" s="1"/>
      <c r="I65" s="113"/>
      <c r="J65" s="113" t="s">
        <v>709</v>
      </c>
      <c r="K65" s="113" t="s">
        <v>710</v>
      </c>
      <c r="L65" s="113" t="s">
        <v>711</v>
      </c>
      <c r="M65" s="113" t="s">
        <v>712</v>
      </c>
    </row>
    <row r="66" spans="1:13" s="2" customFormat="1" x14ac:dyDescent="0.2">
      <c r="A66" s="24"/>
      <c r="B66" s="1"/>
      <c r="C66" s="105"/>
      <c r="D66" s="106"/>
      <c r="E66" s="104"/>
      <c r="G66" s="1"/>
      <c r="I66" s="113" t="s">
        <v>706</v>
      </c>
      <c r="J66" s="115"/>
      <c r="K66" s="115">
        <v>968.99</v>
      </c>
      <c r="L66" s="115">
        <v>968.99</v>
      </c>
      <c r="M66" s="113">
        <f>+J66+L66-K66</f>
        <v>0</v>
      </c>
    </row>
    <row r="67" spans="1:13" s="2" customFormat="1" x14ac:dyDescent="0.2">
      <c r="A67" s="24"/>
      <c r="B67" s="1"/>
      <c r="C67" s="78" t="s">
        <v>577</v>
      </c>
      <c r="D67" s="109">
        <f>D58+D65</f>
        <v>525.09</v>
      </c>
      <c r="E67" s="104"/>
      <c r="G67" s="1"/>
      <c r="I67" s="113" t="s">
        <v>707</v>
      </c>
      <c r="J67" s="115">
        <v>183.1</v>
      </c>
      <c r="K67" s="115">
        <v>3360.28</v>
      </c>
      <c r="L67" s="115">
        <v>3751.63</v>
      </c>
      <c r="M67" s="113">
        <f>+J67+L67-K67</f>
        <v>574.44999999999982</v>
      </c>
    </row>
    <row r="68" spans="1:13" s="2" customFormat="1" x14ac:dyDescent="0.2">
      <c r="A68" s="24"/>
      <c r="B68" s="1"/>
      <c r="C68" s="56"/>
      <c r="D68" s="56"/>
      <c r="E68" s="104"/>
      <c r="G68" s="1"/>
      <c r="I68" s="113" t="s">
        <v>708</v>
      </c>
      <c r="J68" s="115">
        <v>1371.02</v>
      </c>
      <c r="K68" s="115">
        <v>14025.88</v>
      </c>
      <c r="L68" s="115">
        <v>13357.69</v>
      </c>
      <c r="M68" s="113">
        <f>+J68+L68-K68</f>
        <v>702.83000000000175</v>
      </c>
    </row>
    <row r="69" spans="1:13" s="2" customFormat="1" ht="38.25" x14ac:dyDescent="0.2">
      <c r="A69" s="24"/>
      <c r="B69" s="1"/>
      <c r="C69" s="79" t="str">
        <f>"Particulars ( 01-04-2021 to "&amp;TEXT(A5,"dd-mm-yyyy")&amp;" )"</f>
        <v>Particulars ( 01-04-2021 to 06-09-2023 )</v>
      </c>
      <c r="D69" s="80" t="s">
        <v>73</v>
      </c>
      <c r="E69" s="80" t="s">
        <v>74</v>
      </c>
      <c r="F69" s="81" t="s">
        <v>75</v>
      </c>
      <c r="G69" s="80" t="s">
        <v>76</v>
      </c>
      <c r="J69" s="118">
        <f>SUM(J66:J68)</f>
        <v>1554.12</v>
      </c>
      <c r="K69" s="118">
        <f>SUM(K66:K68)</f>
        <v>18355.150000000001</v>
      </c>
      <c r="L69" s="118">
        <f>SUM(L66:L68)</f>
        <v>18078.310000000001</v>
      </c>
      <c r="M69" s="118">
        <f>SUM(M66:M68)</f>
        <v>1277.2800000000016</v>
      </c>
    </row>
    <row r="70" spans="1:13" s="2" customFormat="1" x14ac:dyDescent="0.2">
      <c r="A70" s="24"/>
      <c r="B70" s="1"/>
      <c r="C70" s="50" t="s">
        <v>444</v>
      </c>
      <c r="D70" s="55">
        <f>+L66+L67+J67</f>
        <v>4903.72</v>
      </c>
      <c r="E70" s="55">
        <f>+K66+K67</f>
        <v>4329.2700000000004</v>
      </c>
      <c r="F70" s="55">
        <f>+D70-E70</f>
        <v>574.44999999999982</v>
      </c>
      <c r="G70" s="55">
        <f>1500-F70</f>
        <v>925.55000000000018</v>
      </c>
      <c r="H70" s="2" t="s">
        <v>396</v>
      </c>
    </row>
    <row r="71" spans="1:13" s="2" customFormat="1" x14ac:dyDescent="0.2">
      <c r="A71" s="24"/>
      <c r="B71" s="1"/>
      <c r="C71" s="50" t="s">
        <v>71</v>
      </c>
      <c r="D71" s="55">
        <f>+J68+L68</f>
        <v>14728.710000000001</v>
      </c>
      <c r="E71" s="55">
        <f>+K68</f>
        <v>14025.88</v>
      </c>
      <c r="F71" s="55">
        <f>+D71-E71</f>
        <v>702.83000000000175</v>
      </c>
      <c r="G71" s="55">
        <f>1500+700-F71</f>
        <v>1497.1699999999983</v>
      </c>
      <c r="H71" s="2" t="s">
        <v>396</v>
      </c>
    </row>
    <row r="72" spans="1:13" s="2" customFormat="1" x14ac:dyDescent="0.2">
      <c r="A72" s="24"/>
      <c r="B72" s="1"/>
      <c r="C72" s="14"/>
      <c r="D72" s="56"/>
      <c r="E72" s="13"/>
      <c r="G72" s="1"/>
    </row>
    <row r="73" spans="1:13" s="2" customFormat="1" x14ac:dyDescent="0.2">
      <c r="A73" s="215" t="s">
        <v>80</v>
      </c>
      <c r="B73" s="216"/>
      <c r="C73" s="216"/>
      <c r="D73" s="217"/>
      <c r="E73" s="69"/>
      <c r="F73" s="70"/>
      <c r="G73" s="1"/>
      <c r="H73" s="53"/>
    </row>
    <row r="74" spans="1:13" s="2" customFormat="1" x14ac:dyDescent="0.2">
      <c r="A74" s="71" t="s">
        <v>81</v>
      </c>
      <c r="B74" s="71"/>
      <c r="C74" s="72" t="s">
        <v>82</v>
      </c>
      <c r="D74" s="73" t="s">
        <v>83</v>
      </c>
      <c r="E74" s="69"/>
      <c r="F74" s="70"/>
      <c r="H74" s="53"/>
    </row>
    <row r="75" spans="1:13" s="2" customFormat="1" x14ac:dyDescent="0.2">
      <c r="A75" s="87">
        <v>45170</v>
      </c>
      <c r="B75" s="120" t="s">
        <v>1052</v>
      </c>
      <c r="C75" s="75" t="s">
        <v>270</v>
      </c>
      <c r="D75" s="88">
        <v>117174</v>
      </c>
      <c r="G75" s="1"/>
      <c r="L75" s="1"/>
      <c r="M75" s="1"/>
    </row>
    <row r="76" spans="1:13" s="2" customFormat="1" x14ac:dyDescent="0.2">
      <c r="A76" s="87">
        <v>45171</v>
      </c>
      <c r="B76" s="120" t="s">
        <v>1052</v>
      </c>
      <c r="C76" s="75" t="s">
        <v>767</v>
      </c>
      <c r="D76" s="88">
        <v>278761</v>
      </c>
      <c r="G76" s="1"/>
      <c r="L76" s="1"/>
      <c r="M76" s="1"/>
    </row>
    <row r="77" spans="1:13" s="2" customFormat="1" x14ac:dyDescent="0.2">
      <c r="A77" s="87">
        <v>45171</v>
      </c>
      <c r="B77" s="120" t="s">
        <v>1052</v>
      </c>
      <c r="C77" s="75" t="s">
        <v>201</v>
      </c>
      <c r="D77" s="88">
        <v>3500391.21</v>
      </c>
      <c r="G77" s="1"/>
      <c r="L77" s="1"/>
      <c r="M77" s="1"/>
    </row>
    <row r="78" spans="1:13" s="2" customFormat="1" x14ac:dyDescent="0.2">
      <c r="A78" s="87">
        <v>45173</v>
      </c>
      <c r="B78" s="120" t="s">
        <v>1052</v>
      </c>
      <c r="C78" s="75" t="s">
        <v>1478</v>
      </c>
      <c r="D78" s="88">
        <v>22763</v>
      </c>
      <c r="G78" s="1"/>
      <c r="L78" s="1"/>
      <c r="M78" s="1"/>
    </row>
    <row r="79" spans="1:13" s="2" customFormat="1" x14ac:dyDescent="0.2">
      <c r="A79" s="87">
        <v>45173</v>
      </c>
      <c r="B79" s="120" t="s">
        <v>1052</v>
      </c>
      <c r="C79" s="75" t="s">
        <v>1478</v>
      </c>
      <c r="D79" s="88">
        <v>1786258</v>
      </c>
      <c r="G79" s="1"/>
      <c r="L79" s="1"/>
      <c r="M79" s="1"/>
    </row>
    <row r="80" spans="1:13" s="2" customFormat="1" x14ac:dyDescent="0.2">
      <c r="A80" s="87">
        <v>45173</v>
      </c>
      <c r="B80" s="120" t="s">
        <v>1052</v>
      </c>
      <c r="C80" s="75" t="s">
        <v>1478</v>
      </c>
      <c r="D80" s="88">
        <v>1329469</v>
      </c>
      <c r="G80" s="1"/>
      <c r="L80" s="1"/>
      <c r="M80" s="1"/>
    </row>
    <row r="81" spans="1:13" s="2" customFormat="1" x14ac:dyDescent="0.2">
      <c r="A81" s="87">
        <v>45175</v>
      </c>
      <c r="B81" s="120" t="s">
        <v>1052</v>
      </c>
      <c r="C81" s="75" t="s">
        <v>784</v>
      </c>
      <c r="D81" s="88">
        <v>673560</v>
      </c>
      <c r="G81" s="1"/>
      <c r="L81" s="1"/>
      <c r="M81" s="1"/>
    </row>
    <row r="82" spans="1:13" s="2" customFormat="1" x14ac:dyDescent="0.2">
      <c r="A82" s="87">
        <v>45175</v>
      </c>
      <c r="B82" s="120" t="s">
        <v>1052</v>
      </c>
      <c r="C82" s="75" t="s">
        <v>784</v>
      </c>
      <c r="D82" s="88">
        <v>700391</v>
      </c>
      <c r="G82" s="1"/>
      <c r="L82" s="1"/>
      <c r="M82" s="1"/>
    </row>
    <row r="83" spans="1:13" s="2" customFormat="1" x14ac:dyDescent="0.2">
      <c r="A83" s="87"/>
      <c r="B83" s="74"/>
      <c r="C83" s="75"/>
      <c r="D83" s="51">
        <f>SUM(D75:D82)</f>
        <v>8408767.2100000009</v>
      </c>
      <c r="F83" s="2" t="s">
        <v>396</v>
      </c>
      <c r="G83" s="1"/>
      <c r="L83" s="1"/>
      <c r="M83" s="1"/>
    </row>
    <row r="84" spans="1:13" s="2" customFormat="1" x14ac:dyDescent="0.2">
      <c r="A84" s="24"/>
      <c r="B84" s="1"/>
      <c r="C84" s="14"/>
      <c r="D84" s="56"/>
      <c r="E84" s="13"/>
      <c r="G84" s="1"/>
      <c r="L84" s="1"/>
      <c r="M84" s="1"/>
    </row>
    <row r="85" spans="1:13" s="2" customFormat="1" x14ac:dyDescent="0.2">
      <c r="A85" s="24"/>
      <c r="B85" s="1"/>
      <c r="C85" s="218" t="s">
        <v>77</v>
      </c>
      <c r="D85" s="219"/>
      <c r="E85" s="219"/>
      <c r="F85" s="220"/>
      <c r="G85" s="1"/>
      <c r="L85" s="1"/>
      <c r="M85" s="1"/>
    </row>
    <row r="86" spans="1:13" s="2" customFormat="1" x14ac:dyDescent="0.2">
      <c r="A86" s="24"/>
      <c r="B86" s="1"/>
      <c r="C86" s="50"/>
      <c r="D86" s="57" t="s">
        <v>78</v>
      </c>
      <c r="E86" s="58" t="s">
        <v>79</v>
      </c>
      <c r="F86" s="57" t="s">
        <v>72</v>
      </c>
      <c r="G86" s="1"/>
      <c r="I86" s="1"/>
      <c r="J86" s="1"/>
      <c r="K86" s="1"/>
      <c r="L86" s="1"/>
      <c r="M86" s="1"/>
    </row>
    <row r="87" spans="1:13" s="2" customFormat="1" x14ac:dyDescent="0.2">
      <c r="A87" s="24"/>
      <c r="B87" s="1"/>
      <c r="C87" s="59" t="str">
        <f>"01-09-2023 to "&amp;TEXT(A5-2,"dd-mm-yyyy")</f>
        <v>01-09-2023 to 04-09-2023</v>
      </c>
      <c r="D87" s="60">
        <v>465.83</v>
      </c>
      <c r="E87" s="60">
        <v>28.5</v>
      </c>
      <c r="F87" s="61">
        <f>SUM(D87:E87)</f>
        <v>494.33</v>
      </c>
      <c r="G87" s="1"/>
    </row>
    <row r="88" spans="1:13" s="2" customFormat="1" x14ac:dyDescent="0.2">
      <c r="A88" s="24"/>
      <c r="B88" s="1"/>
      <c r="C88" s="62" t="str">
        <f>TEXT(A5-1,"dd-mm-yyyy")</f>
        <v>05-09-2023</v>
      </c>
      <c r="D88" s="60">
        <v>129.91999999999999</v>
      </c>
      <c r="E88" s="60">
        <v>14.8</v>
      </c>
      <c r="F88" s="61">
        <f>SUM(D88:E88)</f>
        <v>144.72</v>
      </c>
      <c r="G88" s="54"/>
      <c r="I88" s="1"/>
      <c r="J88" s="1"/>
      <c r="K88" s="1"/>
      <c r="L88" s="1"/>
      <c r="M88" s="1"/>
    </row>
    <row r="89" spans="1:13" s="2" customFormat="1" ht="13.5" thickBot="1" x14ac:dyDescent="0.25">
      <c r="A89" s="24"/>
      <c r="B89" s="1"/>
      <c r="C89" s="63" t="str">
        <f>"01-09-2023 to "&amp;TEXT(A5-1,"dd-mm-yyyy")</f>
        <v>01-09-2023 to 05-09-2023</v>
      </c>
      <c r="D89" s="64">
        <f>SUM(D87:D88)</f>
        <v>595.75</v>
      </c>
      <c r="E89" s="64">
        <f>SUM(E87:E88)</f>
        <v>43.3</v>
      </c>
      <c r="F89" s="64">
        <f>SUM(F87:F88)</f>
        <v>639.04999999999995</v>
      </c>
      <c r="G89" s="54"/>
      <c r="I89" s="1"/>
      <c r="J89" s="1"/>
      <c r="K89" s="1"/>
      <c r="L89" s="1"/>
      <c r="M89" s="1"/>
    </row>
    <row r="90" spans="1:13" s="2" customFormat="1" ht="13.5" thickTop="1" x14ac:dyDescent="0.2">
      <c r="A90" s="24"/>
      <c r="B90" s="1"/>
      <c r="C90" s="62"/>
      <c r="D90" s="65"/>
      <c r="E90" s="66"/>
      <c r="F90" s="67"/>
      <c r="G90" s="54"/>
      <c r="I90" s="1"/>
      <c r="J90" s="1"/>
      <c r="K90" s="1"/>
      <c r="L90" s="1"/>
      <c r="M90" s="1"/>
    </row>
    <row r="91" spans="1:13" s="2" customFormat="1" x14ac:dyDescent="0.2">
      <c r="A91" s="24"/>
      <c r="B91" s="1"/>
      <c r="C91" s="62" t="str">
        <f>"01-04-2023 to " &amp;C88</f>
        <v>01-04-2023 to 05-09-2023</v>
      </c>
      <c r="D91" s="68">
        <f>+D89+24261.33</f>
        <v>24857.08</v>
      </c>
      <c r="E91" s="68">
        <f>+E89+1685.25</f>
        <v>1728.55</v>
      </c>
      <c r="F91" s="68">
        <f>+F89+25946.58</f>
        <v>26585.63</v>
      </c>
      <c r="G91" s="54"/>
      <c r="I91" s="1"/>
      <c r="J91" s="1"/>
      <c r="K91" s="1"/>
      <c r="L91" s="1"/>
      <c r="M91" s="1"/>
    </row>
    <row r="92" spans="1:13" x14ac:dyDescent="0.2">
      <c r="C92" s="52"/>
      <c r="D92" s="85"/>
      <c r="E92" s="53"/>
      <c r="F92" s="53"/>
      <c r="G92" s="54"/>
      <c r="H92" s="2" t="s">
        <v>396</v>
      </c>
    </row>
    <row r="93" spans="1:13" s="2" customFormat="1" x14ac:dyDescent="0.2">
      <c r="A93" s="24"/>
      <c r="B93" s="1"/>
      <c r="C93" s="52"/>
      <c r="D93" s="85"/>
      <c r="E93" s="53"/>
      <c r="F93" s="53"/>
      <c r="G93" s="54"/>
      <c r="H93" s="53"/>
    </row>
    <row r="94" spans="1:13" x14ac:dyDescent="0.2">
      <c r="C94" s="52"/>
      <c r="D94" s="85"/>
      <c r="E94" s="53"/>
      <c r="F94" s="53"/>
      <c r="G94" s="54"/>
      <c r="H94" s="53" t="s">
        <v>396</v>
      </c>
    </row>
    <row r="95" spans="1:13" x14ac:dyDescent="0.2">
      <c r="C95" s="52"/>
      <c r="D95" s="85"/>
      <c r="E95" s="53"/>
      <c r="F95" s="53"/>
      <c r="G95" s="54"/>
      <c r="H95" s="53" t="s">
        <v>396</v>
      </c>
      <c r="J95" s="42"/>
    </row>
    <row r="96" spans="1:13" x14ac:dyDescent="0.2">
      <c r="G96" s="54"/>
      <c r="H96" s="53"/>
      <c r="I96" s="101"/>
    </row>
    <row r="97" spans="7:8" x14ac:dyDescent="0.2">
      <c r="G97" s="54"/>
      <c r="H97" s="53"/>
    </row>
    <row r="98" spans="7:8" x14ac:dyDescent="0.2">
      <c r="G98" s="54"/>
      <c r="H98" s="53"/>
    </row>
    <row r="99" spans="7:8" x14ac:dyDescent="0.2">
      <c r="H99" s="53"/>
    </row>
  </sheetData>
  <mergeCells count="6">
    <mergeCell ref="C85:F85"/>
    <mergeCell ref="A1:G1"/>
    <mergeCell ref="A3:F3"/>
    <mergeCell ref="A11:F11"/>
    <mergeCell ref="A23:F23"/>
    <mergeCell ref="A73:D73"/>
  </mergeCells>
  <conditionalFormatting sqref="G70:G71">
    <cfRule type="cellIs" dxfId="327" priority="1" operator="lessThan">
      <formula>0</formula>
    </cfRule>
  </conditionalFormatting>
  <conditionalFormatting sqref="C25">
    <cfRule type="duplicateValues" dxfId="326" priority="2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F00-000000000000}">
  <sheetPr codeName="Sheet423">
    <pageSetUpPr fitToPage="1"/>
  </sheetPr>
  <dimension ref="A1:N158"/>
  <sheetViews>
    <sheetView topLeftCell="A90" zoomScaleNormal="100" workbookViewId="0">
      <selection activeCell="I104" sqref="I104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3.8554687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0" ht="20.25" customHeight="1" x14ac:dyDescent="0.4">
      <c r="A1" s="212" t="s">
        <v>1488</v>
      </c>
      <c r="B1" s="212"/>
      <c r="C1" s="212"/>
      <c r="D1" s="212"/>
      <c r="E1" s="212"/>
      <c r="F1" s="212"/>
      <c r="G1" s="212"/>
      <c r="H1" s="112"/>
      <c r="I1" s="112"/>
    </row>
    <row r="2" spans="1:10" ht="12.75" customHeight="1" x14ac:dyDescent="0.4">
      <c r="H2" s="112"/>
      <c r="I2" s="112"/>
    </row>
    <row r="3" spans="1:10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0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0" s="2" customFormat="1" ht="14.25" customHeight="1" x14ac:dyDescent="0.4">
      <c r="A5" s="89">
        <v>45177</v>
      </c>
      <c r="B5" s="9" t="s">
        <v>6</v>
      </c>
      <c r="C5" s="10" t="s">
        <v>7</v>
      </c>
      <c r="D5" s="11"/>
      <c r="E5" s="12">
        <v>3105157.9800000004</v>
      </c>
      <c r="F5" s="12"/>
      <c r="G5" s="1"/>
      <c r="H5" s="112"/>
      <c r="I5" s="112"/>
    </row>
    <row r="6" spans="1:10" s="2" customFormat="1" ht="14.25" customHeight="1" x14ac:dyDescent="0.4">
      <c r="A6" s="89">
        <v>45177</v>
      </c>
      <c r="B6" s="9" t="s">
        <v>6</v>
      </c>
      <c r="C6" s="10" t="s">
        <v>683</v>
      </c>
      <c r="D6" s="11" t="s">
        <v>13</v>
      </c>
      <c r="E6" s="12">
        <v>3062026.81</v>
      </c>
      <c r="F6" s="12"/>
      <c r="G6" s="1"/>
      <c r="H6" s="112"/>
      <c r="I6" s="112"/>
    </row>
    <row r="7" spans="1:10" s="2" customFormat="1" ht="14.25" customHeight="1" x14ac:dyDescent="0.4">
      <c r="A7" s="89">
        <v>45177</v>
      </c>
      <c r="B7" s="9" t="s">
        <v>11</v>
      </c>
      <c r="C7" s="10" t="s">
        <v>380</v>
      </c>
      <c r="D7" s="11" t="s">
        <v>29</v>
      </c>
      <c r="E7" s="12"/>
      <c r="F7" s="12">
        <v>277615</v>
      </c>
      <c r="G7" s="1"/>
      <c r="H7" s="112"/>
      <c r="I7" s="112"/>
    </row>
    <row r="8" spans="1:10" s="2" customFormat="1" ht="14.25" customHeight="1" x14ac:dyDescent="0.4">
      <c r="A8" s="89">
        <v>45177</v>
      </c>
      <c r="B8" s="9" t="s">
        <v>11</v>
      </c>
      <c r="C8" s="10" t="s">
        <v>489</v>
      </c>
      <c r="D8" s="11" t="s">
        <v>29</v>
      </c>
      <c r="E8" s="12"/>
      <c r="F8" s="12">
        <v>1500000</v>
      </c>
      <c r="G8" s="1"/>
      <c r="H8" s="112"/>
      <c r="I8" s="112"/>
    </row>
    <row r="9" spans="1:10" s="2" customFormat="1" ht="12.75" customHeight="1" x14ac:dyDescent="0.4">
      <c r="D9" s="15" t="s">
        <v>8</v>
      </c>
      <c r="E9" s="16">
        <f>SUM(E5:E6)</f>
        <v>6167184.790000001</v>
      </c>
      <c r="F9" s="16">
        <f>SUM(F5:F8)</f>
        <v>1777615</v>
      </c>
      <c r="G9" s="1"/>
      <c r="H9" s="112"/>
      <c r="I9" s="112"/>
    </row>
    <row r="10" spans="1:10" s="2" customFormat="1" ht="12.75" customHeight="1" x14ac:dyDescent="0.4">
      <c r="A10" s="17"/>
      <c r="B10" s="18"/>
      <c r="C10" s="19" t="s">
        <v>9</v>
      </c>
      <c r="D10" s="20"/>
      <c r="E10" s="21">
        <f>+E9-F9</f>
        <v>4389569.790000001</v>
      </c>
      <c r="F10" s="22"/>
      <c r="G10" s="23"/>
      <c r="H10" s="112"/>
      <c r="I10" s="112"/>
      <c r="J10" s="13"/>
    </row>
    <row r="11" spans="1:10" ht="12.75" customHeight="1" x14ac:dyDescent="0.4">
      <c r="H11" s="112"/>
      <c r="I11" s="112"/>
    </row>
    <row r="12" spans="1:10" ht="18" customHeight="1" x14ac:dyDescent="0.4">
      <c r="A12" s="213" t="s">
        <v>1037</v>
      </c>
      <c r="B12" s="213"/>
      <c r="C12" s="213"/>
      <c r="D12" s="213"/>
      <c r="E12" s="213"/>
      <c r="F12" s="213"/>
      <c r="H12" s="112"/>
      <c r="I12" s="112"/>
    </row>
    <row r="13" spans="1:10" ht="12.75" customHeight="1" x14ac:dyDescent="0.4">
      <c r="A13" s="3" t="s">
        <v>1</v>
      </c>
      <c r="B13" s="4" t="s">
        <v>2</v>
      </c>
      <c r="C13" s="5"/>
      <c r="D13" s="6" t="s">
        <v>3</v>
      </c>
      <c r="E13" s="7" t="s">
        <v>4</v>
      </c>
      <c r="F13" s="7" t="s">
        <v>5</v>
      </c>
      <c r="H13" s="112"/>
      <c r="I13" s="112"/>
    </row>
    <row r="14" spans="1:10" s="2" customFormat="1" ht="14.25" customHeight="1" x14ac:dyDescent="0.2">
      <c r="A14" s="89">
        <v>45177</v>
      </c>
      <c r="B14" s="9" t="s">
        <v>6</v>
      </c>
      <c r="C14" s="10" t="s">
        <v>7</v>
      </c>
      <c r="D14" s="11"/>
      <c r="F14" s="12">
        <v>88817079.780000031</v>
      </c>
      <c r="G14" s="1"/>
      <c r="H14" s="130" t="s">
        <v>396</v>
      </c>
      <c r="I14" s="130"/>
    </row>
    <row r="15" spans="1:10" s="2" customFormat="1" ht="14.25" customHeight="1" x14ac:dyDescent="0.2">
      <c r="A15" s="89">
        <v>45177</v>
      </c>
      <c r="B15" s="9" t="s">
        <v>6</v>
      </c>
      <c r="C15" s="76" t="s">
        <v>1137</v>
      </c>
      <c r="D15" s="11" t="s">
        <v>13</v>
      </c>
      <c r="E15" s="2">
        <f>20474.38+10383.03</f>
        <v>30857.410000000003</v>
      </c>
      <c r="F15" s="31"/>
      <c r="G15" s="1"/>
      <c r="H15" s="130"/>
      <c r="I15" s="130"/>
    </row>
    <row r="16" spans="1:10" s="2" customFormat="1" ht="14.25" customHeight="1" x14ac:dyDescent="0.2">
      <c r="A16" s="89">
        <v>45177</v>
      </c>
      <c r="B16" s="9" t="s">
        <v>11</v>
      </c>
      <c r="C16" s="76" t="s">
        <v>375</v>
      </c>
      <c r="D16" s="11" t="s">
        <v>13</v>
      </c>
      <c r="E16" s="2">
        <v>5559</v>
      </c>
      <c r="F16" s="31"/>
      <c r="G16" s="1"/>
      <c r="H16" s="130"/>
      <c r="I16" s="130"/>
    </row>
    <row r="17" spans="1:13" s="2" customFormat="1" ht="14.25" customHeight="1" x14ac:dyDescent="0.2">
      <c r="A17" s="89">
        <v>45177</v>
      </c>
      <c r="B17" s="9" t="s">
        <v>11</v>
      </c>
      <c r="C17" s="76" t="s">
        <v>1137</v>
      </c>
      <c r="D17" s="11" t="s">
        <v>29</v>
      </c>
      <c r="F17" s="31">
        <v>15513.2</v>
      </c>
      <c r="G17" s="1"/>
      <c r="H17" s="130"/>
      <c r="I17" s="130"/>
    </row>
    <row r="18" spans="1:13" s="2" customFormat="1" ht="14.25" customHeight="1" x14ac:dyDescent="0.2">
      <c r="A18" s="89">
        <v>45177</v>
      </c>
      <c r="B18" s="9" t="s">
        <v>11</v>
      </c>
      <c r="C18" s="76" t="s">
        <v>1078</v>
      </c>
      <c r="D18" s="11" t="s">
        <v>29</v>
      </c>
      <c r="F18" s="31">
        <v>8260</v>
      </c>
      <c r="G18" s="1"/>
      <c r="H18" s="130"/>
      <c r="I18" s="130"/>
    </row>
    <row r="19" spans="1:13" s="2" customFormat="1" ht="14.25" customHeight="1" x14ac:dyDescent="0.2">
      <c r="A19" s="89">
        <v>45177</v>
      </c>
      <c r="B19" s="9" t="s">
        <v>11</v>
      </c>
      <c r="C19" s="76" t="s">
        <v>1489</v>
      </c>
      <c r="D19" s="11" t="s">
        <v>29</v>
      </c>
      <c r="F19" s="31">
        <v>22715</v>
      </c>
      <c r="G19" s="1"/>
      <c r="H19" s="130"/>
      <c r="I19" s="130"/>
    </row>
    <row r="20" spans="1:13" s="2" customFormat="1" ht="14.25" customHeight="1" x14ac:dyDescent="0.2">
      <c r="A20" s="89">
        <v>45177</v>
      </c>
      <c r="B20" s="9" t="s">
        <v>11</v>
      </c>
      <c r="C20" s="76" t="s">
        <v>1209</v>
      </c>
      <c r="D20" s="11" t="s">
        <v>29</v>
      </c>
      <c r="F20" s="31">
        <v>100800</v>
      </c>
      <c r="G20" s="1"/>
      <c r="H20" s="130"/>
      <c r="I20" s="130"/>
    </row>
    <row r="21" spans="1:13" s="2" customFormat="1" ht="14.25" customHeight="1" x14ac:dyDescent="0.2">
      <c r="A21" s="89">
        <v>45177</v>
      </c>
      <c r="B21" s="9" t="s">
        <v>11</v>
      </c>
      <c r="C21" s="76" t="s">
        <v>1490</v>
      </c>
      <c r="D21" s="11" t="s">
        <v>29</v>
      </c>
      <c r="F21" s="31">
        <v>5700</v>
      </c>
      <c r="G21" s="1"/>
      <c r="H21" s="130"/>
    </row>
    <row r="22" spans="1:13" s="2" customFormat="1" ht="14.25" customHeight="1" x14ac:dyDescent="0.2">
      <c r="A22" s="89">
        <v>45177</v>
      </c>
      <c r="B22" s="9" t="s">
        <v>11</v>
      </c>
      <c r="C22" s="76" t="s">
        <v>1491</v>
      </c>
      <c r="D22" s="11" t="s">
        <v>29</v>
      </c>
      <c r="F22" s="31">
        <v>32096</v>
      </c>
      <c r="G22" s="1"/>
      <c r="H22" s="130"/>
    </row>
    <row r="23" spans="1:13" s="2" customFormat="1" ht="14.25" customHeight="1" x14ac:dyDescent="0.2">
      <c r="A23" s="89">
        <v>45177</v>
      </c>
      <c r="B23" s="9" t="s">
        <v>11</v>
      </c>
      <c r="C23" s="76" t="s">
        <v>1495</v>
      </c>
      <c r="D23" s="11" t="s">
        <v>29</v>
      </c>
      <c r="F23" s="31">
        <v>13800</v>
      </c>
      <c r="G23" s="1"/>
      <c r="I23" s="130"/>
    </row>
    <row r="24" spans="1:13" s="2" customFormat="1" ht="14.25" customHeight="1" x14ac:dyDescent="0.2">
      <c r="A24" s="89">
        <v>45177</v>
      </c>
      <c r="B24" s="9" t="s">
        <v>11</v>
      </c>
      <c r="C24" s="76" t="s">
        <v>1492</v>
      </c>
      <c r="D24" s="11" t="s">
        <v>29</v>
      </c>
      <c r="F24" s="31">
        <v>71726</v>
      </c>
      <c r="G24" s="1"/>
      <c r="I24" s="157">
        <v>90000000</v>
      </c>
      <c r="J24" s="158" t="s">
        <v>1508</v>
      </c>
    </row>
    <row r="25" spans="1:13" s="2" customFormat="1" ht="14.25" customHeight="1" x14ac:dyDescent="0.2">
      <c r="A25" s="89">
        <v>45177</v>
      </c>
      <c r="B25" s="9" t="s">
        <v>11</v>
      </c>
      <c r="C25" s="76" t="s">
        <v>1418</v>
      </c>
      <c r="D25" s="11" t="s">
        <v>29</v>
      </c>
      <c r="F25" s="31">
        <v>17800</v>
      </c>
      <c r="G25" s="1"/>
      <c r="I25" s="157">
        <v>-89288531.569999993</v>
      </c>
      <c r="J25" s="157" t="s">
        <v>1509</v>
      </c>
      <c r="K25" s="70" t="s">
        <v>1512</v>
      </c>
    </row>
    <row r="26" spans="1:13" s="2" customFormat="1" ht="14.25" customHeight="1" x14ac:dyDescent="0.2">
      <c r="A26" s="89">
        <v>45177</v>
      </c>
      <c r="B26" s="9" t="s">
        <v>11</v>
      </c>
      <c r="C26" s="76" t="s">
        <v>1493</v>
      </c>
      <c r="D26" s="11" t="s">
        <v>29</v>
      </c>
      <c r="F26" s="31">
        <v>92800</v>
      </c>
      <c r="G26" s="1"/>
      <c r="I26" s="157"/>
      <c r="J26" s="157"/>
    </row>
    <row r="27" spans="1:13" s="2" customFormat="1" ht="14.25" customHeight="1" x14ac:dyDescent="0.2">
      <c r="A27" s="89">
        <v>45177</v>
      </c>
      <c r="B27" s="9" t="s">
        <v>11</v>
      </c>
      <c r="C27" s="76" t="s">
        <v>1068</v>
      </c>
      <c r="D27" s="11" t="s">
        <v>29</v>
      </c>
      <c r="F27" s="31">
        <v>15339</v>
      </c>
      <c r="G27" s="1"/>
      <c r="I27" s="157">
        <f>SUM(I24:I26)</f>
        <v>711468.43000000715</v>
      </c>
      <c r="J27" s="157" t="s">
        <v>712</v>
      </c>
    </row>
    <row r="28" spans="1:13" s="2" customFormat="1" ht="14.25" customHeight="1" x14ac:dyDescent="0.2">
      <c r="A28" s="89">
        <v>45177</v>
      </c>
      <c r="B28" s="9" t="s">
        <v>11</v>
      </c>
      <c r="C28" s="76" t="s">
        <v>124</v>
      </c>
      <c r="D28" s="11" t="s">
        <v>29</v>
      </c>
      <c r="F28" s="31">
        <v>2360</v>
      </c>
      <c r="G28" s="1"/>
      <c r="I28" s="130"/>
      <c r="J28" s="130"/>
    </row>
    <row r="29" spans="1:13" s="2" customFormat="1" ht="14.25" customHeight="1" x14ac:dyDescent="0.2">
      <c r="A29" s="89">
        <v>45177</v>
      </c>
      <c r="B29" s="9" t="s">
        <v>11</v>
      </c>
      <c r="C29" s="76" t="s">
        <v>1494</v>
      </c>
      <c r="D29" s="11" t="s">
        <v>29</v>
      </c>
      <c r="F29" s="31">
        <v>3400</v>
      </c>
      <c r="G29" s="1"/>
      <c r="H29" s="130"/>
      <c r="I29" s="130"/>
    </row>
    <row r="30" spans="1:13" s="2" customFormat="1" ht="12.75" customHeight="1" x14ac:dyDescent="0.4">
      <c r="D30" s="11" t="s">
        <v>8</v>
      </c>
      <c r="E30" s="16">
        <f>SUM(E14:E29)</f>
        <v>36416.410000000003</v>
      </c>
      <c r="F30" s="16">
        <f>SUM(F14:F29)</f>
        <v>89219388.980000034</v>
      </c>
      <c r="G30" s="1"/>
      <c r="H30" s="112"/>
      <c r="I30" s="112"/>
    </row>
    <row r="31" spans="1:13" s="2" customFormat="1" ht="12.75" customHeight="1" x14ac:dyDescent="0.4">
      <c r="A31" s="17"/>
      <c r="B31" s="18"/>
      <c r="C31" s="96" t="s">
        <v>9</v>
      </c>
      <c r="D31" s="20"/>
      <c r="E31" s="21">
        <f>+F30-E30</f>
        <v>89182972.570000038</v>
      </c>
      <c r="G31" s="23"/>
      <c r="H31" s="112"/>
      <c r="I31" s="153" t="s">
        <v>779</v>
      </c>
      <c r="J31" s="13"/>
    </row>
    <row r="32" spans="1:13" s="2" customFormat="1" ht="12.75" customHeight="1" x14ac:dyDescent="0.2">
      <c r="A32" s="36"/>
      <c r="B32" s="28" t="s">
        <v>66</v>
      </c>
      <c r="C32" s="43" t="s">
        <v>1458</v>
      </c>
      <c r="D32" s="43"/>
      <c r="E32" s="12">
        <v>30000000</v>
      </c>
      <c r="F32" s="22"/>
      <c r="G32" s="1"/>
      <c r="H32" s="40">
        <v>89282972.569999993</v>
      </c>
      <c r="I32" s="154">
        <f>H32-E31</f>
        <v>99999.999999955297</v>
      </c>
      <c r="J32" s="146"/>
      <c r="K32" s="146"/>
      <c r="L32" s="13"/>
      <c r="M32" s="69" t="s">
        <v>396</v>
      </c>
    </row>
    <row r="33" spans="1:14" s="2" customFormat="1" ht="12.75" customHeight="1" x14ac:dyDescent="0.25">
      <c r="A33" s="36"/>
      <c r="B33" s="28"/>
      <c r="C33" s="44" t="s">
        <v>68</v>
      </c>
      <c r="D33" s="43"/>
      <c r="E33" s="7">
        <f>+E31+E32</f>
        <v>119182972.57000004</v>
      </c>
      <c r="F33" s="22"/>
      <c r="G33" s="1"/>
      <c r="H33" s="103"/>
      <c r="I33" s="155"/>
      <c r="J33" s="146"/>
      <c r="K33" s="146"/>
      <c r="N33" s="1"/>
    </row>
    <row r="34" spans="1:14" s="2" customFormat="1" ht="12.75" customHeight="1" x14ac:dyDescent="0.25">
      <c r="A34" s="36"/>
      <c r="B34" s="28"/>
      <c r="C34" s="44" t="s">
        <v>1511</v>
      </c>
      <c r="D34" s="43"/>
      <c r="E34" s="38">
        <f>+I27</f>
        <v>711468.43000000715</v>
      </c>
      <c r="F34" s="22"/>
      <c r="G34" s="1"/>
      <c r="H34" s="103"/>
      <c r="I34" s="155"/>
      <c r="J34" s="146"/>
      <c r="K34" s="146"/>
      <c r="N34" s="1"/>
    </row>
    <row r="35" spans="1:14" s="2" customFormat="1" ht="12.75" customHeight="1" x14ac:dyDescent="0.4">
      <c r="A35" s="24"/>
      <c r="B35" s="1"/>
      <c r="C35" s="14"/>
      <c r="D35" s="25"/>
      <c r="G35" s="23"/>
      <c r="H35" s="112"/>
      <c r="I35" s="112"/>
      <c r="J35" s="13"/>
    </row>
    <row r="36" spans="1:14" s="2" customFormat="1" ht="21.75" customHeight="1" x14ac:dyDescent="0.4">
      <c r="A36" s="214" t="s">
        <v>10</v>
      </c>
      <c r="B36" s="214"/>
      <c r="C36" s="214"/>
      <c r="D36" s="214"/>
      <c r="E36" s="214"/>
      <c r="F36" s="214"/>
      <c r="G36" s="13"/>
      <c r="H36" s="112"/>
      <c r="I36" s="112"/>
      <c r="J36" s="13"/>
    </row>
    <row r="37" spans="1:14" s="2" customFormat="1" ht="12.75" customHeight="1" x14ac:dyDescent="0.4">
      <c r="A37" s="26" t="s">
        <v>1</v>
      </c>
      <c r="B37" s="27" t="s">
        <v>2</v>
      </c>
      <c r="C37" s="5"/>
      <c r="D37" s="6" t="s">
        <v>3</v>
      </c>
      <c r="E37" s="7" t="s">
        <v>4</v>
      </c>
      <c r="F37" s="7" t="s">
        <v>5</v>
      </c>
      <c r="G37" s="23"/>
      <c r="H37" s="112"/>
      <c r="I37" s="112"/>
      <c r="J37" s="13"/>
    </row>
    <row r="38" spans="1:14" s="2" customFormat="1" ht="12.75" customHeight="1" x14ac:dyDescent="0.2">
      <c r="A38" s="89">
        <v>45177</v>
      </c>
      <c r="B38" s="128" t="s">
        <v>11</v>
      </c>
      <c r="C38" s="29" t="s">
        <v>7</v>
      </c>
      <c r="D38" s="25"/>
      <c r="E38" s="31"/>
      <c r="F38" s="2">
        <v>119740435.49000005</v>
      </c>
      <c r="G38" s="30"/>
      <c r="I38" s="13"/>
      <c r="J38" s="13"/>
    </row>
    <row r="39" spans="1:14" s="70" customFormat="1" ht="12.75" customHeight="1" x14ac:dyDescent="0.2">
      <c r="A39" s="89">
        <v>45177</v>
      </c>
      <c r="B39" s="128" t="s">
        <v>6</v>
      </c>
      <c r="C39" s="10" t="s">
        <v>19</v>
      </c>
      <c r="D39" s="11" t="s">
        <v>13</v>
      </c>
      <c r="E39" s="86">
        <v>27107</v>
      </c>
      <c r="G39" s="30"/>
      <c r="I39" s="69"/>
      <c r="J39" s="69"/>
    </row>
    <row r="40" spans="1:14" s="70" customFormat="1" ht="12.75" customHeight="1" x14ac:dyDescent="0.2">
      <c r="A40" s="89">
        <v>45177</v>
      </c>
      <c r="B40" s="128" t="s">
        <v>6</v>
      </c>
      <c r="C40" s="10" t="s">
        <v>1496</v>
      </c>
      <c r="D40" s="11" t="s">
        <v>13</v>
      </c>
      <c r="E40" s="86">
        <v>1441600</v>
      </c>
      <c r="G40" s="30"/>
      <c r="I40" s="69"/>
      <c r="J40" s="69"/>
    </row>
    <row r="41" spans="1:14" s="70" customFormat="1" ht="12.75" customHeight="1" x14ac:dyDescent="0.2">
      <c r="A41" s="89">
        <v>45177</v>
      </c>
      <c r="B41" s="128" t="s">
        <v>6</v>
      </c>
      <c r="C41" s="10" t="s">
        <v>480</v>
      </c>
      <c r="D41" s="11" t="s">
        <v>13</v>
      </c>
      <c r="E41" s="86">
        <v>382410</v>
      </c>
      <c r="G41" s="30"/>
      <c r="I41" s="69"/>
      <c r="J41" s="69"/>
    </row>
    <row r="42" spans="1:14" s="70" customFormat="1" ht="12.75" customHeight="1" x14ac:dyDescent="0.2">
      <c r="A42" s="89">
        <v>45177</v>
      </c>
      <c r="B42" s="128" t="s">
        <v>6</v>
      </c>
      <c r="C42" s="10" t="s">
        <v>479</v>
      </c>
      <c r="D42" s="11" t="s">
        <v>13</v>
      </c>
      <c r="E42" s="86">
        <v>63946</v>
      </c>
      <c r="G42" s="30"/>
      <c r="I42" s="69"/>
      <c r="J42" s="69"/>
    </row>
    <row r="43" spans="1:14" s="70" customFormat="1" ht="12.75" customHeight="1" x14ac:dyDescent="0.2">
      <c r="A43" s="89">
        <v>45177</v>
      </c>
      <c r="B43" s="128" t="s">
        <v>6</v>
      </c>
      <c r="C43" s="10" t="s">
        <v>1375</v>
      </c>
      <c r="D43" s="11" t="s">
        <v>13</v>
      </c>
      <c r="E43" s="86">
        <v>2660396</v>
      </c>
      <c r="G43" s="30"/>
      <c r="I43" s="69"/>
      <c r="J43" s="69"/>
    </row>
    <row r="44" spans="1:14" s="70" customFormat="1" ht="12.75" customHeight="1" x14ac:dyDescent="0.2">
      <c r="A44" s="89">
        <v>45177</v>
      </c>
      <c r="B44" s="128" t="s">
        <v>6</v>
      </c>
      <c r="C44" s="10" t="s">
        <v>543</v>
      </c>
      <c r="D44" s="11" t="s">
        <v>13</v>
      </c>
      <c r="E44" s="86">
        <v>255890</v>
      </c>
      <c r="G44" s="30"/>
      <c r="I44" s="69"/>
      <c r="J44" s="69"/>
    </row>
    <row r="45" spans="1:14" s="70" customFormat="1" ht="12.75" customHeight="1" x14ac:dyDescent="0.2">
      <c r="A45" s="89">
        <v>45177</v>
      </c>
      <c r="B45" s="128" t="s">
        <v>6</v>
      </c>
      <c r="C45" s="10" t="s">
        <v>598</v>
      </c>
      <c r="D45" s="11" t="s">
        <v>13</v>
      </c>
      <c r="E45" s="86">
        <v>322455</v>
      </c>
      <c r="G45" s="30"/>
      <c r="I45" s="69"/>
      <c r="J45" s="69"/>
    </row>
    <row r="46" spans="1:14" s="70" customFormat="1" ht="12.75" customHeight="1" x14ac:dyDescent="0.2">
      <c r="A46" s="89">
        <v>45177</v>
      </c>
      <c r="B46" s="128" t="s">
        <v>6</v>
      </c>
      <c r="C46" s="10" t="s">
        <v>1471</v>
      </c>
      <c r="D46" s="11" t="s">
        <v>13</v>
      </c>
      <c r="E46" s="86">
        <v>842810</v>
      </c>
      <c r="G46" s="30"/>
      <c r="I46" s="69"/>
      <c r="J46" s="69"/>
    </row>
    <row r="47" spans="1:14" s="70" customFormat="1" ht="12.75" customHeight="1" x14ac:dyDescent="0.2">
      <c r="A47" s="89">
        <v>45177</v>
      </c>
      <c r="B47" s="128" t="s">
        <v>6</v>
      </c>
      <c r="C47" s="10" t="s">
        <v>320</v>
      </c>
      <c r="D47" s="11" t="s">
        <v>13</v>
      </c>
      <c r="E47" s="86">
        <v>441161</v>
      </c>
      <c r="G47" s="30"/>
      <c r="I47" s="69"/>
      <c r="J47" s="69"/>
    </row>
    <row r="48" spans="1:14" s="70" customFormat="1" ht="12.75" customHeight="1" x14ac:dyDescent="0.2">
      <c r="A48" s="89">
        <v>45177</v>
      </c>
      <c r="B48" s="128" t="s">
        <v>6</v>
      </c>
      <c r="C48" s="10" t="s">
        <v>514</v>
      </c>
      <c r="D48" s="11" t="s">
        <v>13</v>
      </c>
      <c r="E48" s="86">
        <v>5875</v>
      </c>
      <c r="G48" s="30"/>
      <c r="I48" s="69"/>
      <c r="J48" s="69"/>
    </row>
    <row r="49" spans="1:10" s="70" customFormat="1" ht="12.75" customHeight="1" x14ac:dyDescent="0.2">
      <c r="A49" s="89">
        <v>45177</v>
      </c>
      <c r="B49" s="128" t="s">
        <v>6</v>
      </c>
      <c r="C49" s="10" t="s">
        <v>1497</v>
      </c>
      <c r="D49" s="11" t="s">
        <v>13</v>
      </c>
      <c r="E49" s="86">
        <v>1084175</v>
      </c>
      <c r="G49" s="30"/>
      <c r="I49" s="69"/>
      <c r="J49" s="69"/>
    </row>
    <row r="50" spans="1:10" s="70" customFormat="1" ht="12.75" customHeight="1" x14ac:dyDescent="0.2">
      <c r="A50" s="89">
        <v>45177</v>
      </c>
      <c r="B50" s="128" t="s">
        <v>6</v>
      </c>
      <c r="C50" s="10" t="s">
        <v>1192</v>
      </c>
      <c r="D50" s="11" t="s">
        <v>13</v>
      </c>
      <c r="E50" s="86">
        <v>1366716</v>
      </c>
      <c r="G50" s="30"/>
      <c r="I50" s="69"/>
      <c r="J50" s="69"/>
    </row>
    <row r="51" spans="1:10" s="70" customFormat="1" ht="12.75" customHeight="1" x14ac:dyDescent="0.2">
      <c r="A51" s="89">
        <v>45177</v>
      </c>
      <c r="B51" s="128" t="s">
        <v>6</v>
      </c>
      <c r="C51" s="10" t="s">
        <v>1229</v>
      </c>
      <c r="D51" s="11" t="s">
        <v>13</v>
      </c>
      <c r="E51" s="86">
        <v>5020800</v>
      </c>
      <c r="G51" s="30"/>
      <c r="I51" s="69"/>
      <c r="J51" s="69"/>
    </row>
    <row r="52" spans="1:10" s="70" customFormat="1" ht="12.75" customHeight="1" x14ac:dyDescent="0.2">
      <c r="A52" s="89">
        <v>45177</v>
      </c>
      <c r="B52" s="128" t="s">
        <v>6</v>
      </c>
      <c r="C52" s="10" t="s">
        <v>560</v>
      </c>
      <c r="D52" s="11" t="s">
        <v>13</v>
      </c>
      <c r="E52" s="86">
        <v>246053.74</v>
      </c>
      <c r="G52" s="30"/>
      <c r="I52" s="69"/>
      <c r="J52" s="69"/>
    </row>
    <row r="53" spans="1:10" s="70" customFormat="1" ht="12.75" customHeight="1" x14ac:dyDescent="0.2">
      <c r="A53" s="89">
        <v>45177</v>
      </c>
      <c r="B53" s="128" t="s">
        <v>6</v>
      </c>
      <c r="C53" s="10" t="s">
        <v>149</v>
      </c>
      <c r="D53" s="11" t="s">
        <v>13</v>
      </c>
      <c r="E53" s="86">
        <v>2322</v>
      </c>
      <c r="G53" s="30"/>
      <c r="I53" s="69"/>
      <c r="J53" s="69"/>
    </row>
    <row r="54" spans="1:10" s="70" customFormat="1" ht="12.75" customHeight="1" x14ac:dyDescent="0.2">
      <c r="A54" s="89">
        <v>45177</v>
      </c>
      <c r="B54" s="128" t="s">
        <v>6</v>
      </c>
      <c r="C54" s="10" t="s">
        <v>62</v>
      </c>
      <c r="D54" s="11" t="s">
        <v>13</v>
      </c>
      <c r="E54" s="86">
        <v>14000</v>
      </c>
      <c r="G54" s="30"/>
      <c r="I54" s="69"/>
      <c r="J54" s="69"/>
    </row>
    <row r="55" spans="1:10" s="70" customFormat="1" ht="12.75" customHeight="1" x14ac:dyDescent="0.2">
      <c r="A55" s="89">
        <v>45177</v>
      </c>
      <c r="B55" s="128" t="s">
        <v>6</v>
      </c>
      <c r="C55" s="10" t="s">
        <v>379</v>
      </c>
      <c r="D55" s="11" t="s">
        <v>13</v>
      </c>
      <c r="E55" s="86">
        <v>2911685.57</v>
      </c>
      <c r="G55" s="30"/>
      <c r="I55" s="69"/>
      <c r="J55" s="69"/>
    </row>
    <row r="56" spans="1:10" s="70" customFormat="1" ht="12.75" customHeight="1" x14ac:dyDescent="0.2">
      <c r="A56" s="89">
        <v>45177</v>
      </c>
      <c r="B56" s="128" t="s">
        <v>6</v>
      </c>
      <c r="C56" s="10" t="s">
        <v>15</v>
      </c>
      <c r="D56" s="11" t="s">
        <v>13</v>
      </c>
      <c r="E56" s="86">
        <v>3429.53</v>
      </c>
      <c r="G56" s="30"/>
      <c r="I56" s="69"/>
      <c r="J56" s="69"/>
    </row>
    <row r="57" spans="1:10" s="70" customFormat="1" ht="12.75" customHeight="1" x14ac:dyDescent="0.2">
      <c r="A57" s="89">
        <v>45177</v>
      </c>
      <c r="B57" s="128" t="s">
        <v>6</v>
      </c>
      <c r="C57" s="10" t="s">
        <v>1350</v>
      </c>
      <c r="D57" s="11" t="s">
        <v>13</v>
      </c>
      <c r="E57" s="86">
        <v>2100</v>
      </c>
      <c r="G57" s="30"/>
      <c r="I57" s="69"/>
      <c r="J57" s="69"/>
    </row>
    <row r="58" spans="1:10" s="70" customFormat="1" ht="12.75" customHeight="1" x14ac:dyDescent="0.2">
      <c r="A58" s="89">
        <v>45177</v>
      </c>
      <c r="B58" s="128" t="s">
        <v>6</v>
      </c>
      <c r="C58" s="10" t="s">
        <v>213</v>
      </c>
      <c r="D58" s="11" t="s">
        <v>13</v>
      </c>
      <c r="E58" s="86">
        <v>34800</v>
      </c>
      <c r="G58" s="30"/>
      <c r="I58" s="69"/>
      <c r="J58" s="69"/>
    </row>
    <row r="59" spans="1:10" s="70" customFormat="1" ht="12.75" customHeight="1" x14ac:dyDescent="0.2">
      <c r="A59" s="89">
        <v>45177</v>
      </c>
      <c r="B59" s="128" t="s">
        <v>6</v>
      </c>
      <c r="C59" s="10" t="s">
        <v>556</v>
      </c>
      <c r="D59" s="11" t="s">
        <v>13</v>
      </c>
      <c r="E59" s="86">
        <v>64261</v>
      </c>
      <c r="G59" s="30"/>
      <c r="I59" s="69"/>
      <c r="J59" s="69"/>
    </row>
    <row r="60" spans="1:10" s="70" customFormat="1" ht="12.75" customHeight="1" x14ac:dyDescent="0.2">
      <c r="A60" s="89">
        <v>45177</v>
      </c>
      <c r="B60" s="128" t="s">
        <v>6</v>
      </c>
      <c r="C60" s="10" t="s">
        <v>403</v>
      </c>
      <c r="D60" s="11" t="s">
        <v>13</v>
      </c>
      <c r="E60" s="86">
        <v>417901</v>
      </c>
      <c r="G60" s="30"/>
      <c r="I60" s="69"/>
      <c r="J60" s="69"/>
    </row>
    <row r="61" spans="1:10" s="70" customFormat="1" ht="12.75" customHeight="1" x14ac:dyDescent="0.2">
      <c r="A61" s="89">
        <v>45177</v>
      </c>
      <c r="B61" s="128" t="s">
        <v>6</v>
      </c>
      <c r="C61" s="10" t="s">
        <v>474</v>
      </c>
      <c r="D61" s="11" t="s">
        <v>13</v>
      </c>
      <c r="E61" s="86">
        <v>366972</v>
      </c>
      <c r="G61" s="30"/>
      <c r="I61" s="69"/>
      <c r="J61" s="69"/>
    </row>
    <row r="62" spans="1:10" s="70" customFormat="1" ht="12.75" customHeight="1" x14ac:dyDescent="0.2">
      <c r="A62" s="89">
        <v>45177</v>
      </c>
      <c r="B62" s="128" t="s">
        <v>6</v>
      </c>
      <c r="C62" s="10" t="s">
        <v>257</v>
      </c>
      <c r="D62" s="11" t="s">
        <v>13</v>
      </c>
      <c r="E62" s="86">
        <v>7086890.5300000003</v>
      </c>
      <c r="G62" s="30"/>
      <c r="I62" s="69"/>
      <c r="J62" s="69"/>
    </row>
    <row r="63" spans="1:10" s="70" customFormat="1" ht="12.75" customHeight="1" x14ac:dyDescent="0.2">
      <c r="A63" s="89">
        <v>45177</v>
      </c>
      <c r="B63" s="128" t="s">
        <v>6</v>
      </c>
      <c r="C63" s="10" t="s">
        <v>316</v>
      </c>
      <c r="D63" s="11" t="s">
        <v>13</v>
      </c>
      <c r="E63" s="86">
        <v>204983</v>
      </c>
      <c r="G63" s="30"/>
      <c r="I63" s="69"/>
      <c r="J63" s="69"/>
    </row>
    <row r="64" spans="1:10" s="70" customFormat="1" ht="12.75" customHeight="1" x14ac:dyDescent="0.2">
      <c r="A64" s="89">
        <v>45177</v>
      </c>
      <c r="B64" s="128" t="s">
        <v>6</v>
      </c>
      <c r="C64" s="10" t="s">
        <v>93</v>
      </c>
      <c r="D64" s="11" t="s">
        <v>13</v>
      </c>
      <c r="E64" s="86">
        <v>3252779</v>
      </c>
      <c r="G64" s="30"/>
      <c r="I64" s="69"/>
      <c r="J64" s="69"/>
    </row>
    <row r="65" spans="1:10" s="70" customFormat="1" ht="12.75" customHeight="1" x14ac:dyDescent="0.2">
      <c r="A65" s="89">
        <v>45177</v>
      </c>
      <c r="B65" s="128" t="s">
        <v>6</v>
      </c>
      <c r="C65" s="10" t="s">
        <v>1430</v>
      </c>
      <c r="D65" s="11" t="s">
        <v>13</v>
      </c>
      <c r="E65" s="86">
        <v>7613</v>
      </c>
      <c r="G65" s="30"/>
      <c r="I65" s="69"/>
      <c r="J65" s="69"/>
    </row>
    <row r="66" spans="1:10" s="70" customFormat="1" ht="12.75" customHeight="1" x14ac:dyDescent="0.2">
      <c r="A66" s="89">
        <v>45177</v>
      </c>
      <c r="B66" s="128" t="s">
        <v>6</v>
      </c>
      <c r="C66" s="10" t="s">
        <v>1499</v>
      </c>
      <c r="D66" s="11" t="s">
        <v>13</v>
      </c>
      <c r="E66" s="86">
        <v>1785483</v>
      </c>
      <c r="G66" s="30"/>
      <c r="I66" s="69"/>
      <c r="J66" s="69"/>
    </row>
    <row r="67" spans="1:10" s="70" customFormat="1" ht="12.75" customHeight="1" x14ac:dyDescent="0.2">
      <c r="A67" s="89">
        <v>45177</v>
      </c>
      <c r="B67" s="128" t="s">
        <v>6</v>
      </c>
      <c r="C67" s="10" t="s">
        <v>633</v>
      </c>
      <c r="D67" s="11" t="s">
        <v>13</v>
      </c>
      <c r="E67" s="86">
        <v>492040</v>
      </c>
      <c r="G67" s="30"/>
      <c r="I67" s="69"/>
      <c r="J67" s="69"/>
    </row>
    <row r="68" spans="1:10" s="70" customFormat="1" ht="12.75" customHeight="1" x14ac:dyDescent="0.2">
      <c r="A68" s="89">
        <v>45177</v>
      </c>
      <c r="B68" s="128" t="s">
        <v>6</v>
      </c>
      <c r="C68" s="10" t="s">
        <v>1500</v>
      </c>
      <c r="D68" s="11" t="s">
        <v>13</v>
      </c>
      <c r="E68" s="86">
        <v>2585</v>
      </c>
      <c r="G68" s="30"/>
      <c r="I68" s="69"/>
      <c r="J68" s="69"/>
    </row>
    <row r="69" spans="1:10" s="70" customFormat="1" ht="12.75" customHeight="1" x14ac:dyDescent="0.2">
      <c r="A69" s="89">
        <v>45177</v>
      </c>
      <c r="B69" s="128" t="s">
        <v>6</v>
      </c>
      <c r="C69" s="10" t="s">
        <v>399</v>
      </c>
      <c r="D69" s="11" t="s">
        <v>13</v>
      </c>
      <c r="E69" s="86">
        <v>159882</v>
      </c>
      <c r="G69" s="30"/>
      <c r="I69" s="69"/>
      <c r="J69" s="69"/>
    </row>
    <row r="70" spans="1:10" s="70" customFormat="1" ht="12.75" customHeight="1" x14ac:dyDescent="0.2">
      <c r="A70" s="89">
        <v>45177</v>
      </c>
      <c r="B70" s="128" t="s">
        <v>6</v>
      </c>
      <c r="C70" s="10" t="s">
        <v>1501</v>
      </c>
      <c r="D70" s="11" t="s">
        <v>13</v>
      </c>
      <c r="E70" s="86">
        <v>3150</v>
      </c>
      <c r="G70" s="30"/>
      <c r="I70" s="69"/>
      <c r="J70" s="69"/>
    </row>
    <row r="71" spans="1:10" s="70" customFormat="1" ht="12.75" customHeight="1" x14ac:dyDescent="0.2">
      <c r="A71" s="89">
        <v>45177</v>
      </c>
      <c r="B71" s="128" t="s">
        <v>6</v>
      </c>
      <c r="C71" s="10" t="s">
        <v>1382</v>
      </c>
      <c r="D71" s="11" t="s">
        <v>13</v>
      </c>
      <c r="E71" s="86">
        <v>50000</v>
      </c>
      <c r="G71" s="30"/>
      <c r="I71" s="69"/>
      <c r="J71" s="69"/>
    </row>
    <row r="72" spans="1:10" s="70" customFormat="1" ht="12.75" customHeight="1" x14ac:dyDescent="0.2">
      <c r="A72" s="89">
        <v>45177</v>
      </c>
      <c r="B72" s="128" t="s">
        <v>6</v>
      </c>
      <c r="C72" s="10" t="s">
        <v>103</v>
      </c>
      <c r="D72" s="11" t="s">
        <v>13</v>
      </c>
      <c r="E72" s="86">
        <v>934650</v>
      </c>
      <c r="G72" s="30"/>
      <c r="I72" s="69"/>
      <c r="J72" s="69"/>
    </row>
    <row r="73" spans="1:10" s="70" customFormat="1" ht="12.75" customHeight="1" x14ac:dyDescent="0.2">
      <c r="A73" s="89">
        <v>45177</v>
      </c>
      <c r="B73" s="128" t="s">
        <v>6</v>
      </c>
      <c r="C73" s="10" t="s">
        <v>1477</v>
      </c>
      <c r="D73" s="11" t="s">
        <v>13</v>
      </c>
      <c r="E73" s="86">
        <v>5775</v>
      </c>
      <c r="G73" s="30"/>
      <c r="I73" s="69"/>
      <c r="J73" s="69"/>
    </row>
    <row r="74" spans="1:10" s="70" customFormat="1" ht="12.75" customHeight="1" x14ac:dyDescent="0.2">
      <c r="A74" s="89">
        <v>45177</v>
      </c>
      <c r="B74" s="128" t="s">
        <v>6</v>
      </c>
      <c r="C74" s="10" t="s">
        <v>1416</v>
      </c>
      <c r="D74" s="11" t="s">
        <v>13</v>
      </c>
      <c r="E74" s="86">
        <v>5163</v>
      </c>
      <c r="G74" s="30"/>
      <c r="I74" s="69"/>
      <c r="J74" s="69"/>
    </row>
    <row r="75" spans="1:10" s="70" customFormat="1" ht="12.75" customHeight="1" x14ac:dyDescent="0.2">
      <c r="A75" s="89">
        <v>45177</v>
      </c>
      <c r="B75" s="128" t="s">
        <v>6</v>
      </c>
      <c r="C75" s="10" t="s">
        <v>806</v>
      </c>
      <c r="D75" s="11" t="s">
        <v>13</v>
      </c>
      <c r="E75" s="86">
        <v>84561</v>
      </c>
      <c r="G75" s="30"/>
      <c r="I75" s="69"/>
      <c r="J75" s="69"/>
    </row>
    <row r="76" spans="1:10" s="70" customFormat="1" ht="12.75" customHeight="1" x14ac:dyDescent="0.2">
      <c r="A76" s="89">
        <v>45177</v>
      </c>
      <c r="B76" s="128" t="s">
        <v>6</v>
      </c>
      <c r="C76" s="10" t="s">
        <v>318</v>
      </c>
      <c r="D76" s="11" t="s">
        <v>13</v>
      </c>
      <c r="E76" s="86">
        <v>965148</v>
      </c>
      <c r="G76" s="30"/>
      <c r="I76" s="69"/>
      <c r="J76" s="69"/>
    </row>
    <row r="77" spans="1:10" s="70" customFormat="1" ht="12.75" customHeight="1" x14ac:dyDescent="0.2">
      <c r="A77" s="89">
        <v>45177</v>
      </c>
      <c r="B77" s="128" t="s">
        <v>6</v>
      </c>
      <c r="C77" s="10" t="s">
        <v>1504</v>
      </c>
      <c r="D77" s="11" t="s">
        <v>13</v>
      </c>
      <c r="E77" s="86">
        <v>774433.46</v>
      </c>
      <c r="G77" s="30"/>
      <c r="I77" s="69"/>
      <c r="J77" s="69"/>
    </row>
    <row r="78" spans="1:10" s="70" customFormat="1" ht="12.75" customHeight="1" x14ac:dyDescent="0.2">
      <c r="A78" s="89">
        <v>45177</v>
      </c>
      <c r="B78" s="128" t="s">
        <v>11</v>
      </c>
      <c r="C78" s="10" t="s">
        <v>16</v>
      </c>
      <c r="D78" s="11" t="s">
        <v>13</v>
      </c>
      <c r="E78" s="86">
        <v>33810</v>
      </c>
      <c r="G78" s="30"/>
      <c r="I78" s="69"/>
      <c r="J78" s="69"/>
    </row>
    <row r="79" spans="1:10" s="70" customFormat="1" ht="12.75" customHeight="1" x14ac:dyDescent="0.2">
      <c r="A79" s="89">
        <v>45177</v>
      </c>
      <c r="B79" s="128" t="s">
        <v>11</v>
      </c>
      <c r="C79" s="10" t="s">
        <v>64</v>
      </c>
      <c r="D79" s="11" t="s">
        <v>29</v>
      </c>
      <c r="E79" s="86"/>
      <c r="F79" s="70">
        <f>19468.1-382.98</f>
        <v>19085.12</v>
      </c>
      <c r="G79" s="30"/>
      <c r="I79" s="69"/>
      <c r="J79" s="69"/>
    </row>
    <row r="80" spans="1:10" s="70" customFormat="1" ht="12.75" customHeight="1" x14ac:dyDescent="0.2">
      <c r="A80" s="89">
        <v>45177</v>
      </c>
      <c r="B80" s="128" t="s">
        <v>11</v>
      </c>
      <c r="C80" s="10" t="s">
        <v>1403</v>
      </c>
      <c r="D80" s="11" t="s">
        <v>29</v>
      </c>
      <c r="E80" s="86"/>
      <c r="F80" s="70">
        <v>10097572</v>
      </c>
      <c r="G80" s="30"/>
      <c r="I80" s="69"/>
      <c r="J80" s="69"/>
    </row>
    <row r="81" spans="1:10" s="70" customFormat="1" ht="12.75" customHeight="1" x14ac:dyDescent="0.2">
      <c r="A81" s="89">
        <v>45177</v>
      </c>
      <c r="B81" s="128" t="s">
        <v>11</v>
      </c>
      <c r="C81" s="10" t="s">
        <v>284</v>
      </c>
      <c r="D81" s="11" t="s">
        <v>29</v>
      </c>
      <c r="E81" s="86"/>
      <c r="F81" s="70">
        <v>3006822</v>
      </c>
      <c r="G81" s="30"/>
      <c r="I81" s="69"/>
      <c r="J81" s="69"/>
    </row>
    <row r="82" spans="1:10" s="70" customFormat="1" ht="12.75" customHeight="1" x14ac:dyDescent="0.2">
      <c r="A82" s="89">
        <v>45177</v>
      </c>
      <c r="B82" s="128" t="s">
        <v>11</v>
      </c>
      <c r="C82" s="10" t="s">
        <v>250</v>
      </c>
      <c r="D82" s="11" t="s">
        <v>29</v>
      </c>
      <c r="E82" s="86"/>
      <c r="F82" s="70">
        <v>5384</v>
      </c>
      <c r="G82" s="30"/>
      <c r="I82" s="69"/>
      <c r="J82" s="69"/>
    </row>
    <row r="83" spans="1:10" s="70" customFormat="1" ht="12.75" customHeight="1" x14ac:dyDescent="0.2">
      <c r="A83" s="89">
        <v>45177</v>
      </c>
      <c r="B83" s="128" t="s">
        <v>11</v>
      </c>
      <c r="C83" s="10" t="s">
        <v>34</v>
      </c>
      <c r="D83" s="11" t="s">
        <v>29</v>
      </c>
      <c r="E83" s="86"/>
      <c r="F83" s="70">
        <v>36000</v>
      </c>
      <c r="G83" s="30"/>
      <c r="I83" s="69"/>
      <c r="J83" s="69"/>
    </row>
    <row r="84" spans="1:10" s="70" customFormat="1" ht="12.75" customHeight="1" x14ac:dyDescent="0.2">
      <c r="A84" s="89">
        <v>45177</v>
      </c>
      <c r="B84" s="128" t="s">
        <v>11</v>
      </c>
      <c r="C84" s="10" t="s">
        <v>642</v>
      </c>
      <c r="D84" s="11" t="s">
        <v>29</v>
      </c>
      <c r="E84" s="86"/>
      <c r="F84" s="70">
        <v>14930</v>
      </c>
      <c r="G84" s="30"/>
      <c r="I84" s="69"/>
      <c r="J84" s="69"/>
    </row>
    <row r="85" spans="1:10" s="70" customFormat="1" ht="12.75" customHeight="1" x14ac:dyDescent="0.2">
      <c r="A85" s="89">
        <v>45177</v>
      </c>
      <c r="B85" s="128" t="s">
        <v>11</v>
      </c>
      <c r="C85" s="10" t="s">
        <v>1326</v>
      </c>
      <c r="D85" s="11" t="s">
        <v>29</v>
      </c>
      <c r="E85" s="86"/>
      <c r="F85" s="70">
        <v>5000</v>
      </c>
      <c r="G85" s="30"/>
      <c r="I85" s="69"/>
      <c r="J85" s="69"/>
    </row>
    <row r="86" spans="1:10" s="70" customFormat="1" ht="12.75" customHeight="1" x14ac:dyDescent="0.2">
      <c r="A86" s="89">
        <v>45177</v>
      </c>
      <c r="B86" s="128" t="s">
        <v>11</v>
      </c>
      <c r="C86" s="10" t="s">
        <v>39</v>
      </c>
      <c r="D86" s="11" t="s">
        <v>29</v>
      </c>
      <c r="E86" s="86"/>
      <c r="F86" s="70">
        <v>73794</v>
      </c>
      <c r="G86" s="30"/>
      <c r="I86" s="69"/>
      <c r="J86" s="69"/>
    </row>
    <row r="87" spans="1:10" s="70" customFormat="1" ht="12.75" customHeight="1" x14ac:dyDescent="0.2">
      <c r="A87" s="89">
        <v>45177</v>
      </c>
      <c r="B87" s="128" t="s">
        <v>11</v>
      </c>
      <c r="C87" s="10" t="s">
        <v>1498</v>
      </c>
      <c r="D87" s="11" t="s">
        <v>29</v>
      </c>
      <c r="E87" s="86"/>
      <c r="F87" s="70">
        <v>6000</v>
      </c>
      <c r="G87" s="30"/>
      <c r="I87" s="69"/>
      <c r="J87" s="69"/>
    </row>
    <row r="88" spans="1:10" s="70" customFormat="1" ht="12.75" customHeight="1" x14ac:dyDescent="0.2">
      <c r="A88" s="89">
        <v>45177</v>
      </c>
      <c r="B88" s="128" t="s">
        <v>11</v>
      </c>
      <c r="C88" s="10" t="s">
        <v>954</v>
      </c>
      <c r="D88" s="11" t="s">
        <v>29</v>
      </c>
      <c r="E88" s="86"/>
      <c r="F88" s="70">
        <v>1011825</v>
      </c>
      <c r="G88" s="30"/>
      <c r="I88" s="69"/>
      <c r="J88" s="69"/>
    </row>
    <row r="89" spans="1:10" s="70" customFormat="1" ht="12.75" customHeight="1" x14ac:dyDescent="0.2">
      <c r="A89" s="89">
        <v>45177</v>
      </c>
      <c r="B89" s="128" t="s">
        <v>11</v>
      </c>
      <c r="C89" s="10" t="s">
        <v>696</v>
      </c>
      <c r="D89" s="11" t="s">
        <v>29</v>
      </c>
      <c r="E89" s="86"/>
      <c r="F89" s="70">
        <v>1204327</v>
      </c>
      <c r="G89" s="30"/>
      <c r="I89" s="69">
        <f>369-41</f>
        <v>328</v>
      </c>
      <c r="J89" s="69"/>
    </row>
    <row r="90" spans="1:10" s="70" customFormat="1" ht="12.75" customHeight="1" x14ac:dyDescent="0.2">
      <c r="A90" s="89">
        <v>45177</v>
      </c>
      <c r="B90" s="128" t="s">
        <v>11</v>
      </c>
      <c r="C90" s="10" t="s">
        <v>301</v>
      </c>
      <c r="D90" s="11" t="s">
        <v>29</v>
      </c>
      <c r="E90" s="86"/>
      <c r="F90" s="70">
        <v>1540797</v>
      </c>
      <c r="G90" s="30"/>
      <c r="I90" s="69"/>
      <c r="J90" s="69"/>
    </row>
    <row r="91" spans="1:10" s="70" customFormat="1" ht="12.75" customHeight="1" x14ac:dyDescent="0.2">
      <c r="A91" s="89">
        <v>45177</v>
      </c>
      <c r="B91" s="128" t="s">
        <v>11</v>
      </c>
      <c r="C91" s="10" t="s">
        <v>243</v>
      </c>
      <c r="D91" s="11" t="s">
        <v>29</v>
      </c>
      <c r="E91" s="86"/>
      <c r="F91" s="70">
        <v>3720.74</v>
      </c>
      <c r="G91" s="30"/>
      <c r="I91" s="69"/>
      <c r="J91" s="69"/>
    </row>
    <row r="92" spans="1:10" s="70" customFormat="1" ht="12.75" customHeight="1" x14ac:dyDescent="0.2">
      <c r="A92" s="89">
        <v>45177</v>
      </c>
      <c r="B92" s="128" t="s">
        <v>11</v>
      </c>
      <c r="C92" s="10" t="s">
        <v>16</v>
      </c>
      <c r="D92" s="11" t="s">
        <v>29</v>
      </c>
      <c r="E92" s="86"/>
      <c r="F92" s="70">
        <v>143094.19</v>
      </c>
      <c r="G92" s="30"/>
      <c r="I92" s="69"/>
      <c r="J92" s="69"/>
    </row>
    <row r="93" spans="1:10" s="70" customFormat="1" ht="12.75" customHeight="1" x14ac:dyDescent="0.2">
      <c r="A93" s="89">
        <v>45177</v>
      </c>
      <c r="B93" s="128" t="s">
        <v>11</v>
      </c>
      <c r="C93" s="10" t="s">
        <v>156</v>
      </c>
      <c r="D93" s="11" t="s">
        <v>29</v>
      </c>
      <c r="E93" s="86"/>
      <c r="F93" s="70">
        <v>685.43</v>
      </c>
      <c r="G93" s="30"/>
      <c r="I93" s="69"/>
      <c r="J93" s="69"/>
    </row>
    <row r="94" spans="1:10" s="70" customFormat="1" ht="12.75" customHeight="1" x14ac:dyDescent="0.2">
      <c r="A94" s="89">
        <v>45177</v>
      </c>
      <c r="B94" s="128" t="s">
        <v>11</v>
      </c>
      <c r="C94" s="10" t="s">
        <v>449</v>
      </c>
      <c r="D94" s="11" t="s">
        <v>29</v>
      </c>
      <c r="E94" s="86"/>
      <c r="F94" s="70">
        <v>661589.16</v>
      </c>
      <c r="G94" s="30"/>
      <c r="I94" s="69"/>
      <c r="J94" s="69"/>
    </row>
    <row r="95" spans="1:10" s="70" customFormat="1" ht="12.75" customHeight="1" x14ac:dyDescent="0.2">
      <c r="A95" s="89">
        <v>45177</v>
      </c>
      <c r="B95" s="128" t="s">
        <v>11</v>
      </c>
      <c r="C95" s="10" t="s">
        <v>417</v>
      </c>
      <c r="D95" s="11" t="s">
        <v>29</v>
      </c>
      <c r="E95" s="86"/>
      <c r="F95" s="70">
        <v>697803</v>
      </c>
      <c r="G95" s="30"/>
      <c r="I95" s="69"/>
      <c r="J95" s="69"/>
    </row>
    <row r="96" spans="1:10" s="70" customFormat="1" ht="12.75" customHeight="1" x14ac:dyDescent="0.2">
      <c r="A96" s="89">
        <v>45177</v>
      </c>
      <c r="B96" s="128" t="s">
        <v>11</v>
      </c>
      <c r="C96" s="10" t="s">
        <v>302</v>
      </c>
      <c r="D96" s="11" t="s">
        <v>29</v>
      </c>
      <c r="E96" s="86"/>
      <c r="F96" s="70">
        <v>9341</v>
      </c>
      <c r="G96" s="30"/>
      <c r="I96" s="69"/>
      <c r="J96" s="69"/>
    </row>
    <row r="97" spans="1:14" s="70" customFormat="1" ht="12.75" customHeight="1" x14ac:dyDescent="0.2">
      <c r="A97" s="89">
        <v>45177</v>
      </c>
      <c r="B97" s="128" t="s">
        <v>11</v>
      </c>
      <c r="C97" s="10" t="s">
        <v>1502</v>
      </c>
      <c r="D97" s="11" t="s">
        <v>29</v>
      </c>
      <c r="E97" s="86"/>
      <c r="F97" s="70">
        <v>1107131</v>
      </c>
      <c r="G97" s="30"/>
      <c r="I97" s="69"/>
      <c r="J97" s="69"/>
    </row>
    <row r="98" spans="1:14" s="70" customFormat="1" ht="12.75" customHeight="1" x14ac:dyDescent="0.2">
      <c r="A98" s="89">
        <v>45177</v>
      </c>
      <c r="B98" s="128" t="s">
        <v>11</v>
      </c>
      <c r="C98" s="10" t="s">
        <v>937</v>
      </c>
      <c r="D98" s="11" t="s">
        <v>29</v>
      </c>
      <c r="E98" s="86"/>
      <c r="F98" s="70">
        <v>4935</v>
      </c>
      <c r="G98" s="30"/>
      <c r="I98" s="69"/>
      <c r="J98" s="69"/>
    </row>
    <row r="99" spans="1:14" s="70" customFormat="1" ht="12.75" customHeight="1" x14ac:dyDescent="0.2">
      <c r="A99" s="89">
        <v>45177</v>
      </c>
      <c r="B99" s="128" t="s">
        <v>11</v>
      </c>
      <c r="C99" s="10" t="s">
        <v>1503</v>
      </c>
      <c r="D99" s="11" t="s">
        <v>29</v>
      </c>
      <c r="E99" s="86"/>
      <c r="F99" s="70">
        <v>846987</v>
      </c>
      <c r="G99" s="30"/>
      <c r="I99" s="69"/>
      <c r="J99" s="69"/>
    </row>
    <row r="100" spans="1:14" s="70" customFormat="1" ht="12.75" customHeight="1" x14ac:dyDescent="0.2">
      <c r="A100" s="89">
        <v>45177</v>
      </c>
      <c r="B100" s="128" t="s">
        <v>11</v>
      </c>
      <c r="C100" s="10" t="s">
        <v>330</v>
      </c>
      <c r="D100" s="11" t="s">
        <v>29</v>
      </c>
      <c r="E100" s="86"/>
      <c r="F100" s="70">
        <v>1000000</v>
      </c>
      <c r="G100" s="30"/>
      <c r="I100" s="69"/>
      <c r="J100" s="69"/>
    </row>
    <row r="101" spans="1:14" s="70" customFormat="1" ht="12.75" customHeight="1" x14ac:dyDescent="0.2">
      <c r="A101" s="89">
        <v>45177</v>
      </c>
      <c r="B101" s="128" t="s">
        <v>11</v>
      </c>
      <c r="C101" s="10" t="s">
        <v>923</v>
      </c>
      <c r="D101" s="11" t="s">
        <v>29</v>
      </c>
      <c r="E101" s="86"/>
      <c r="F101" s="70">
        <v>300000</v>
      </c>
      <c r="G101" s="30"/>
      <c r="I101" s="69"/>
      <c r="J101" s="69"/>
    </row>
    <row r="102" spans="1:14" s="70" customFormat="1" ht="12.75" customHeight="1" x14ac:dyDescent="0.2">
      <c r="A102" s="89">
        <v>45177</v>
      </c>
      <c r="B102" s="128" t="s">
        <v>11</v>
      </c>
      <c r="C102" s="10" t="s">
        <v>130</v>
      </c>
      <c r="D102" s="11" t="s">
        <v>29</v>
      </c>
      <c r="E102" s="86"/>
      <c r="F102" s="70">
        <v>70056</v>
      </c>
      <c r="G102" s="30"/>
      <c r="H102" s="159"/>
      <c r="I102" s="160">
        <v>150000000</v>
      </c>
      <c r="J102" s="160" t="s">
        <v>1506</v>
      </c>
    </row>
    <row r="103" spans="1:14" s="70" customFormat="1" ht="12.75" customHeight="1" x14ac:dyDescent="0.2">
      <c r="A103" s="89">
        <v>45177</v>
      </c>
      <c r="B103" s="128" t="s">
        <v>11</v>
      </c>
      <c r="C103" s="10" t="s">
        <v>603</v>
      </c>
      <c r="D103" s="11" t="s">
        <v>29</v>
      </c>
      <c r="E103" s="86"/>
      <c r="F103" s="70">
        <v>47778</v>
      </c>
      <c r="G103" s="30"/>
      <c r="H103" s="159"/>
      <c r="I103" s="160">
        <v>-117220654.01000001</v>
      </c>
      <c r="J103" s="160" t="s">
        <v>1507</v>
      </c>
      <c r="K103" s="70" t="s">
        <v>1512</v>
      </c>
    </row>
    <row r="104" spans="1:14" s="70" customFormat="1" ht="12.75" customHeight="1" x14ac:dyDescent="0.2">
      <c r="A104" s="89">
        <v>45177</v>
      </c>
      <c r="B104" s="128" t="s">
        <v>11</v>
      </c>
      <c r="C104" s="10" t="s">
        <v>870</v>
      </c>
      <c r="D104" s="11" t="s">
        <v>29</v>
      </c>
      <c r="E104" s="86"/>
      <c r="F104" s="70">
        <v>15820</v>
      </c>
      <c r="G104" s="30"/>
      <c r="H104" s="159" t="s">
        <v>1505</v>
      </c>
      <c r="I104" s="160">
        <f>SUM(I102:I103)</f>
        <v>32779345.989999995</v>
      </c>
      <c r="J104" s="160"/>
    </row>
    <row r="105" spans="1:14" s="70" customFormat="1" ht="12.75" customHeight="1" x14ac:dyDescent="0.2">
      <c r="A105" s="89">
        <v>45177</v>
      </c>
      <c r="B105" s="128" t="s">
        <v>11</v>
      </c>
      <c r="C105" s="10" t="s">
        <v>1362</v>
      </c>
      <c r="D105" s="11" t="s">
        <v>29</v>
      </c>
      <c r="E105" s="86"/>
      <c r="F105" s="70">
        <v>19008</v>
      </c>
      <c r="G105" s="30"/>
      <c r="I105" s="69"/>
      <c r="J105" s="69"/>
    </row>
    <row r="106" spans="1:14" s="2" customFormat="1" ht="12.75" customHeight="1" x14ac:dyDescent="0.2">
      <c r="A106" s="32"/>
      <c r="B106" s="33"/>
      <c r="C106" s="14"/>
      <c r="D106" s="34"/>
      <c r="E106" s="16">
        <f>SUM(E38:E105)</f>
        <v>33827811.829999998</v>
      </c>
      <c r="F106" s="16">
        <f>SUM(F38:F105)</f>
        <v>141689920.13000008</v>
      </c>
      <c r="G106" s="30"/>
      <c r="H106" s="1"/>
      <c r="I106" s="38">
        <v>107862108.3</v>
      </c>
      <c r="J106" s="2" t="s">
        <v>396</v>
      </c>
      <c r="K106" s="92">
        <f>E107-I106</f>
        <v>0</v>
      </c>
      <c r="L106" s="41"/>
      <c r="M106" s="42"/>
    </row>
    <row r="107" spans="1:14" s="2" customFormat="1" ht="12.75" customHeight="1" x14ac:dyDescent="0.2">
      <c r="A107" s="36"/>
      <c r="B107" s="28" t="s">
        <v>11</v>
      </c>
      <c r="C107" s="19" t="s">
        <v>65</v>
      </c>
      <c r="D107" s="37"/>
      <c r="E107" s="38">
        <f>F106-E106</f>
        <v>107862108.30000009</v>
      </c>
      <c r="F107" s="22"/>
      <c r="G107" s="1"/>
      <c r="H107" s="1"/>
      <c r="J107" s="1"/>
      <c r="K107" s="1"/>
      <c r="L107" s="1"/>
      <c r="M107" s="1"/>
    </row>
    <row r="108" spans="1:14" s="2" customFormat="1" ht="12.75" customHeight="1" x14ac:dyDescent="0.2">
      <c r="A108" s="36"/>
      <c r="B108" s="28" t="s">
        <v>66</v>
      </c>
      <c r="C108" s="43" t="s">
        <v>1457</v>
      </c>
      <c r="D108" s="43"/>
      <c r="E108" s="12">
        <v>350000000</v>
      </c>
      <c r="F108" s="22"/>
      <c r="G108" s="1"/>
      <c r="H108" s="40"/>
      <c r="I108" s="45">
        <v>827.99</v>
      </c>
      <c r="J108" s="46"/>
      <c r="K108" s="46"/>
      <c r="L108" s="13"/>
      <c r="M108" s="69" t="s">
        <v>396</v>
      </c>
    </row>
    <row r="109" spans="1:14" s="2" customFormat="1" ht="12.75" customHeight="1" x14ac:dyDescent="0.25">
      <c r="A109" s="36"/>
      <c r="B109" s="28"/>
      <c r="C109" s="44" t="s">
        <v>68</v>
      </c>
      <c r="D109" s="43"/>
      <c r="E109" s="7">
        <f>+E108+E107</f>
        <v>457862108.30000007</v>
      </c>
      <c r="F109" s="22"/>
      <c r="G109" s="1"/>
      <c r="H109" s="103" t="s">
        <v>69</v>
      </c>
      <c r="I109" s="45">
        <v>-0.39</v>
      </c>
      <c r="J109" s="46"/>
      <c r="K109" s="46"/>
      <c r="N109" s="1"/>
    </row>
    <row r="110" spans="1:14" s="2" customFormat="1" ht="15" x14ac:dyDescent="0.25">
      <c r="A110" s="24"/>
      <c r="B110" s="1"/>
      <c r="C110" s="44" t="s">
        <v>1510</v>
      </c>
      <c r="D110" s="25"/>
      <c r="E110" s="156">
        <f>+I104</f>
        <v>32779345.989999995</v>
      </c>
      <c r="H110" s="35" t="s">
        <v>70</v>
      </c>
      <c r="I110" s="45">
        <v>9.89</v>
      </c>
      <c r="J110" s="46">
        <f>+I111-D113</f>
        <v>0</v>
      </c>
      <c r="M110" s="2" t="s">
        <v>396</v>
      </c>
      <c r="N110" s="1"/>
    </row>
    <row r="111" spans="1:14" x14ac:dyDescent="0.2">
      <c r="C111" s="56"/>
      <c r="D111" s="56"/>
      <c r="E111" s="104"/>
      <c r="I111" s="49">
        <f>SUM(I108:I110)</f>
        <v>837.49</v>
      </c>
      <c r="J111" s="46"/>
      <c r="K111" s="46"/>
      <c r="L111" s="2"/>
      <c r="M111" s="2"/>
      <c r="N111" s="2"/>
    </row>
    <row r="112" spans="1:14" x14ac:dyDescent="0.2">
      <c r="C112" s="78" t="s">
        <v>575</v>
      </c>
      <c r="D112" s="48" t="s">
        <v>576</v>
      </c>
      <c r="E112" s="104"/>
      <c r="I112" s="2"/>
      <c r="J112" s="2"/>
      <c r="K112" s="2"/>
      <c r="L112" s="2"/>
      <c r="M112" s="2"/>
      <c r="N112" s="2"/>
    </row>
    <row r="113" spans="1:14" s="2" customFormat="1" x14ac:dyDescent="0.2">
      <c r="A113" s="24"/>
      <c r="B113" s="1"/>
      <c r="C113" s="47" t="s">
        <v>570</v>
      </c>
      <c r="D113" s="111">
        <v>837.49</v>
      </c>
      <c r="E113" s="104"/>
      <c r="G113" s="1"/>
      <c r="H113" s="110" t="s">
        <v>581</v>
      </c>
      <c r="N113" s="2" t="s">
        <v>535</v>
      </c>
    </row>
    <row r="114" spans="1:14" s="2" customFormat="1" x14ac:dyDescent="0.2">
      <c r="A114" s="24"/>
      <c r="B114" s="1"/>
      <c r="C114" s="47" t="s">
        <v>931</v>
      </c>
      <c r="D114" s="111">
        <v>118.57</v>
      </c>
      <c r="E114" s="104"/>
      <c r="G114" s="1"/>
      <c r="H114" s="110" t="s">
        <v>580</v>
      </c>
    </row>
    <row r="115" spans="1:14" s="2" customFormat="1" x14ac:dyDescent="0.2">
      <c r="A115" s="24"/>
      <c r="B115" s="1"/>
      <c r="C115" s="47" t="s">
        <v>572</v>
      </c>
      <c r="D115" s="111">
        <f>+D142/100000</f>
        <v>120.98583210000001</v>
      </c>
      <c r="E115" s="104"/>
      <c r="G115" s="1"/>
      <c r="H115" s="90" t="s">
        <v>587</v>
      </c>
    </row>
    <row r="116" spans="1:14" s="2" customFormat="1" x14ac:dyDescent="0.2">
      <c r="A116" s="24"/>
      <c r="B116" s="1"/>
      <c r="C116" s="108" t="s">
        <v>578</v>
      </c>
      <c r="D116" s="48">
        <f>SUM(D113:D115)</f>
        <v>1077.0458320999999</v>
      </c>
      <c r="E116" s="104"/>
      <c r="G116" s="1"/>
    </row>
    <row r="117" spans="1:14" s="2" customFormat="1" x14ac:dyDescent="0.2">
      <c r="A117" s="24"/>
      <c r="B117" s="1"/>
      <c r="C117" s="47"/>
      <c r="D117" s="107"/>
      <c r="E117" s="104"/>
      <c r="G117" s="1"/>
    </row>
    <row r="118" spans="1:14" s="2" customFormat="1" x14ac:dyDescent="0.2">
      <c r="A118" s="24"/>
      <c r="B118" s="1"/>
      <c r="C118" s="47" t="s">
        <v>932</v>
      </c>
      <c r="D118" s="111">
        <v>63.68</v>
      </c>
      <c r="E118" s="104"/>
      <c r="G118" s="1"/>
      <c r="H118" s="110" t="s">
        <v>581</v>
      </c>
    </row>
    <row r="119" spans="1:14" s="2" customFormat="1" x14ac:dyDescent="0.2">
      <c r="A119" s="24"/>
      <c r="B119" s="1"/>
      <c r="C119" s="136" t="s">
        <v>1142</v>
      </c>
      <c r="D119" s="111">
        <v>0</v>
      </c>
      <c r="E119" s="104"/>
      <c r="G119" s="1"/>
      <c r="H119" s="110" t="s">
        <v>581</v>
      </c>
      <c r="J119" s="114" t="s">
        <v>713</v>
      </c>
    </row>
    <row r="120" spans="1:14" s="2" customFormat="1" x14ac:dyDescent="0.2">
      <c r="A120" s="24"/>
      <c r="B120" s="1"/>
      <c r="C120" s="78" t="s">
        <v>579</v>
      </c>
      <c r="D120" s="109">
        <f>D118+D119</f>
        <v>63.68</v>
      </c>
      <c r="E120" s="104"/>
      <c r="G120" s="1"/>
      <c r="I120" s="113"/>
      <c r="J120" s="113" t="s">
        <v>709</v>
      </c>
      <c r="K120" s="113" t="s">
        <v>710</v>
      </c>
      <c r="L120" s="113" t="s">
        <v>711</v>
      </c>
      <c r="M120" s="113" t="s">
        <v>712</v>
      </c>
    </row>
    <row r="121" spans="1:14" s="2" customFormat="1" x14ac:dyDescent="0.2">
      <c r="A121" s="24"/>
      <c r="B121" s="1"/>
      <c r="C121" s="105"/>
      <c r="D121" s="106"/>
      <c r="E121" s="104"/>
      <c r="G121" s="1"/>
      <c r="I121" s="113" t="s">
        <v>706</v>
      </c>
      <c r="J121" s="115"/>
      <c r="K121" s="115">
        <v>968.99</v>
      </c>
      <c r="L121" s="115">
        <v>968.99</v>
      </c>
      <c r="M121" s="113">
        <f>+J121+L121-K121</f>
        <v>0</v>
      </c>
    </row>
    <row r="122" spans="1:14" s="2" customFormat="1" x14ac:dyDescent="0.2">
      <c r="A122" s="24"/>
      <c r="B122" s="1"/>
      <c r="C122" s="78" t="s">
        <v>577</v>
      </c>
      <c r="D122" s="109">
        <f>D113+D120</f>
        <v>901.17</v>
      </c>
      <c r="E122" s="104"/>
      <c r="G122" s="1"/>
      <c r="I122" s="113" t="s">
        <v>707</v>
      </c>
      <c r="J122" s="115">
        <v>183.1</v>
      </c>
      <c r="K122" s="115">
        <v>3411.79</v>
      </c>
      <c r="L122" s="115">
        <v>3751.63</v>
      </c>
      <c r="M122" s="113">
        <f>+J122+L122-K122</f>
        <v>522.94000000000005</v>
      </c>
    </row>
    <row r="123" spans="1:14" s="2" customFormat="1" x14ac:dyDescent="0.2">
      <c r="A123" s="24"/>
      <c r="B123" s="1"/>
      <c r="C123" s="56"/>
      <c r="D123" s="56"/>
      <c r="E123" s="104"/>
      <c r="G123" s="1"/>
      <c r="I123" s="113" t="s">
        <v>708</v>
      </c>
      <c r="J123" s="115">
        <v>1371.02</v>
      </c>
      <c r="K123" s="115">
        <v>14062.67</v>
      </c>
      <c r="L123" s="115">
        <v>13357.69</v>
      </c>
      <c r="M123" s="113">
        <f>+J123+L123-K123</f>
        <v>666.04000000000087</v>
      </c>
    </row>
    <row r="124" spans="1:14" s="2" customFormat="1" ht="38.25" x14ac:dyDescent="0.2">
      <c r="A124" s="24"/>
      <c r="B124" s="1"/>
      <c r="C124" s="79" t="str">
        <f>"Particulars ( 01-04-2021 to "&amp;TEXT(A5,"dd-mm-yyyy")&amp;" )"</f>
        <v>Particulars ( 01-04-2021 to 08-09-2023 )</v>
      </c>
      <c r="D124" s="80" t="s">
        <v>73</v>
      </c>
      <c r="E124" s="80" t="s">
        <v>74</v>
      </c>
      <c r="F124" s="81" t="s">
        <v>75</v>
      </c>
      <c r="G124" s="80" t="s">
        <v>76</v>
      </c>
      <c r="J124" s="118">
        <f>SUM(J121:J123)</f>
        <v>1554.12</v>
      </c>
      <c r="K124" s="118">
        <f>SUM(K121:K123)</f>
        <v>18443.45</v>
      </c>
      <c r="L124" s="118">
        <f>SUM(L121:L123)</f>
        <v>18078.310000000001</v>
      </c>
      <c r="M124" s="118">
        <f>SUM(M121:M123)</f>
        <v>1188.9800000000009</v>
      </c>
    </row>
    <row r="125" spans="1:14" s="2" customFormat="1" x14ac:dyDescent="0.2">
      <c r="A125" s="24"/>
      <c r="B125" s="1"/>
      <c r="C125" s="50" t="s">
        <v>444</v>
      </c>
      <c r="D125" s="55">
        <f>+L121+L122+J122</f>
        <v>4903.72</v>
      </c>
      <c r="E125" s="55">
        <f>+K121+K122</f>
        <v>4380.78</v>
      </c>
      <c r="F125" s="55">
        <f>+D125-E125</f>
        <v>522.94000000000051</v>
      </c>
      <c r="G125" s="55">
        <f>1500-F125</f>
        <v>977.05999999999949</v>
      </c>
      <c r="H125" s="2" t="s">
        <v>396</v>
      </c>
    </row>
    <row r="126" spans="1:14" s="2" customFormat="1" x14ac:dyDescent="0.2">
      <c r="A126" s="24"/>
      <c r="B126" s="1"/>
      <c r="C126" s="50" t="s">
        <v>71</v>
      </c>
      <c r="D126" s="55">
        <f>+J123+L123</f>
        <v>14728.710000000001</v>
      </c>
      <c r="E126" s="55">
        <f>+K123</f>
        <v>14062.67</v>
      </c>
      <c r="F126" s="55">
        <f>+D126-E126</f>
        <v>666.04000000000087</v>
      </c>
      <c r="G126" s="55">
        <f>1500+700-F126</f>
        <v>1533.9599999999991</v>
      </c>
      <c r="H126" s="2" t="s">
        <v>396</v>
      </c>
    </row>
    <row r="127" spans="1:14" s="2" customFormat="1" x14ac:dyDescent="0.2">
      <c r="A127" s="24"/>
      <c r="B127" s="1"/>
      <c r="C127" s="14"/>
      <c r="D127" s="56"/>
      <c r="E127" s="13"/>
      <c r="G127" s="1"/>
    </row>
    <row r="128" spans="1:14" s="2" customFormat="1" x14ac:dyDescent="0.2">
      <c r="A128" s="215" t="s">
        <v>80</v>
      </c>
      <c r="B128" s="216"/>
      <c r="C128" s="216"/>
      <c r="D128" s="217"/>
      <c r="E128" s="69"/>
      <c r="F128" s="70"/>
      <c r="G128" s="1"/>
      <c r="H128" s="53"/>
    </row>
    <row r="129" spans="1:13" s="2" customFormat="1" x14ac:dyDescent="0.2">
      <c r="A129" s="71" t="s">
        <v>81</v>
      </c>
      <c r="B129" s="71"/>
      <c r="C129" s="72" t="s">
        <v>82</v>
      </c>
      <c r="D129" s="73" t="s">
        <v>83</v>
      </c>
      <c r="E129" s="69"/>
      <c r="F129" s="70"/>
      <c r="H129" s="53"/>
    </row>
    <row r="130" spans="1:13" s="2" customFormat="1" x14ac:dyDescent="0.2">
      <c r="A130" s="87">
        <v>45170</v>
      </c>
      <c r="B130" s="120" t="s">
        <v>1052</v>
      </c>
      <c r="C130" s="75" t="s">
        <v>270</v>
      </c>
      <c r="D130" s="88">
        <v>117174</v>
      </c>
      <c r="G130" s="1"/>
      <c r="L130" s="1"/>
      <c r="M130" s="1"/>
    </row>
    <row r="131" spans="1:13" s="2" customFormat="1" x14ac:dyDescent="0.2">
      <c r="A131" s="87">
        <v>45171</v>
      </c>
      <c r="B131" s="120" t="s">
        <v>1052</v>
      </c>
      <c r="C131" s="75" t="s">
        <v>767</v>
      </c>
      <c r="D131" s="88">
        <v>278761</v>
      </c>
      <c r="G131" s="1"/>
      <c r="L131" s="1"/>
      <c r="M131" s="1"/>
    </row>
    <row r="132" spans="1:13" s="2" customFormat="1" x14ac:dyDescent="0.2">
      <c r="A132" s="87">
        <v>45171</v>
      </c>
      <c r="B132" s="120" t="s">
        <v>1052</v>
      </c>
      <c r="C132" s="75" t="s">
        <v>201</v>
      </c>
      <c r="D132" s="88">
        <v>3500391.21</v>
      </c>
      <c r="G132" s="1"/>
      <c r="L132" s="1"/>
      <c r="M132" s="1"/>
    </row>
    <row r="133" spans="1:13" s="2" customFormat="1" x14ac:dyDescent="0.2">
      <c r="A133" s="87">
        <v>45173</v>
      </c>
      <c r="B133" s="120" t="s">
        <v>1052</v>
      </c>
      <c r="C133" s="75" t="s">
        <v>1478</v>
      </c>
      <c r="D133" s="88">
        <v>22763</v>
      </c>
      <c r="G133" s="1"/>
      <c r="L133" s="1"/>
      <c r="M133" s="1"/>
    </row>
    <row r="134" spans="1:13" s="2" customFormat="1" x14ac:dyDescent="0.2">
      <c r="A134" s="87">
        <v>45173</v>
      </c>
      <c r="B134" s="120" t="s">
        <v>1052</v>
      </c>
      <c r="C134" s="75" t="s">
        <v>1478</v>
      </c>
      <c r="D134" s="88">
        <v>1786258</v>
      </c>
      <c r="G134" s="1"/>
      <c r="L134" s="1"/>
      <c r="M134" s="1"/>
    </row>
    <row r="135" spans="1:13" s="2" customFormat="1" x14ac:dyDescent="0.2">
      <c r="A135" s="87">
        <v>45173</v>
      </c>
      <c r="B135" s="120" t="s">
        <v>1052</v>
      </c>
      <c r="C135" s="75" t="s">
        <v>1478</v>
      </c>
      <c r="D135" s="88">
        <v>1329469</v>
      </c>
      <c r="G135" s="1"/>
      <c r="L135" s="1"/>
      <c r="M135" s="1"/>
    </row>
    <row r="136" spans="1:13" s="2" customFormat="1" x14ac:dyDescent="0.2">
      <c r="A136" s="87">
        <v>45175</v>
      </c>
      <c r="B136" s="120" t="s">
        <v>1052</v>
      </c>
      <c r="C136" s="75" t="s">
        <v>784</v>
      </c>
      <c r="D136" s="88">
        <v>673560</v>
      </c>
      <c r="G136" s="1"/>
      <c r="L136" s="1"/>
      <c r="M136" s="1"/>
    </row>
    <row r="137" spans="1:13" s="2" customFormat="1" x14ac:dyDescent="0.2">
      <c r="A137" s="87">
        <v>45175</v>
      </c>
      <c r="B137" s="120" t="s">
        <v>1052</v>
      </c>
      <c r="C137" s="75" t="s">
        <v>784</v>
      </c>
      <c r="D137" s="88">
        <v>700391</v>
      </c>
      <c r="G137" s="1"/>
      <c r="L137" s="1"/>
      <c r="M137" s="1"/>
    </row>
    <row r="138" spans="1:13" s="2" customFormat="1" x14ac:dyDescent="0.2">
      <c r="A138" s="87">
        <v>45175</v>
      </c>
      <c r="B138" s="120" t="s">
        <v>1052</v>
      </c>
      <c r="C138" s="75" t="s">
        <v>84</v>
      </c>
      <c r="D138" s="88">
        <v>1000000</v>
      </c>
      <c r="G138" s="1"/>
      <c r="L138" s="1"/>
      <c r="M138" s="1"/>
    </row>
    <row r="139" spans="1:13" s="2" customFormat="1" x14ac:dyDescent="0.2">
      <c r="A139" s="87">
        <v>45176</v>
      </c>
      <c r="B139" s="120" t="s">
        <v>1052</v>
      </c>
      <c r="C139" s="75" t="s">
        <v>85</v>
      </c>
      <c r="D139" s="88">
        <v>565814</v>
      </c>
      <c r="G139" s="1"/>
      <c r="L139" s="1"/>
      <c r="M139" s="1"/>
    </row>
    <row r="140" spans="1:13" s="2" customFormat="1" x14ac:dyDescent="0.2">
      <c r="A140" s="87">
        <v>45176</v>
      </c>
      <c r="B140" s="120" t="s">
        <v>1052</v>
      </c>
      <c r="C140" s="75" t="s">
        <v>271</v>
      </c>
      <c r="D140" s="88">
        <v>1691421</v>
      </c>
      <c r="G140" s="1"/>
      <c r="L140" s="1"/>
      <c r="M140" s="1"/>
    </row>
    <row r="141" spans="1:13" s="2" customFormat="1" x14ac:dyDescent="0.2">
      <c r="A141" s="87">
        <v>45177</v>
      </c>
      <c r="B141" s="120" t="s">
        <v>1052</v>
      </c>
      <c r="C141" s="75" t="s">
        <v>85</v>
      </c>
      <c r="D141" s="88">
        <v>432581</v>
      </c>
      <c r="G141" s="1"/>
      <c r="L141" s="1"/>
      <c r="M141" s="1"/>
    </row>
    <row r="142" spans="1:13" s="2" customFormat="1" x14ac:dyDescent="0.2">
      <c r="A142" s="87"/>
      <c r="B142" s="74"/>
      <c r="C142" s="75"/>
      <c r="D142" s="51">
        <f>SUM(D130:D141)</f>
        <v>12098583.210000001</v>
      </c>
      <c r="F142" s="2" t="s">
        <v>396</v>
      </c>
      <c r="G142" s="1"/>
      <c r="L142" s="1"/>
      <c r="M142" s="1"/>
    </row>
    <row r="143" spans="1:13" s="2" customFormat="1" x14ac:dyDescent="0.2">
      <c r="A143" s="24"/>
      <c r="B143" s="1"/>
      <c r="C143" s="14"/>
      <c r="D143" s="56"/>
      <c r="E143" s="13"/>
      <c r="G143" s="1"/>
      <c r="L143" s="1"/>
      <c r="M143" s="1"/>
    </row>
    <row r="144" spans="1:13" s="2" customFormat="1" x14ac:dyDescent="0.2">
      <c r="A144" s="24"/>
      <c r="B144" s="1"/>
      <c r="C144" s="218" t="s">
        <v>77</v>
      </c>
      <c r="D144" s="219"/>
      <c r="E144" s="219"/>
      <c r="F144" s="220"/>
      <c r="G144" s="1"/>
      <c r="L144" s="1"/>
      <c r="M144" s="1"/>
    </row>
    <row r="145" spans="1:13" s="2" customFormat="1" x14ac:dyDescent="0.2">
      <c r="A145" s="24"/>
      <c r="B145" s="1"/>
      <c r="C145" s="50"/>
      <c r="D145" s="57" t="s">
        <v>78</v>
      </c>
      <c r="E145" s="58" t="s">
        <v>79</v>
      </c>
      <c r="F145" s="57" t="s">
        <v>72</v>
      </c>
      <c r="G145" s="1"/>
      <c r="I145" s="1"/>
      <c r="J145" s="1"/>
      <c r="K145" s="1"/>
      <c r="L145" s="1"/>
      <c r="M145" s="1"/>
    </row>
    <row r="146" spans="1:13" s="2" customFormat="1" x14ac:dyDescent="0.2">
      <c r="A146" s="24"/>
      <c r="B146" s="1"/>
      <c r="C146" s="59" t="str">
        <f>"01-09-2023 to "&amp;TEXT(A5-2,"dd-mm-yyyy")</f>
        <v>01-09-2023 to 06-09-2023</v>
      </c>
      <c r="D146" s="60">
        <v>658.1</v>
      </c>
      <c r="E146" s="60">
        <v>63.08</v>
      </c>
      <c r="F146" s="61">
        <f>SUM(D146:E146)</f>
        <v>721.18000000000006</v>
      </c>
      <c r="G146" s="1"/>
    </row>
    <row r="147" spans="1:13" s="2" customFormat="1" x14ac:dyDescent="0.2">
      <c r="A147" s="24"/>
      <c r="B147" s="1"/>
      <c r="C147" s="62" t="str">
        <f>TEXT(A5-1,"dd-mm-yyyy")</f>
        <v>07-09-2023</v>
      </c>
      <c r="D147" s="60">
        <v>0.37</v>
      </c>
      <c r="E147" s="60">
        <v>0</v>
      </c>
      <c r="F147" s="61">
        <f>SUM(D147:E147)</f>
        <v>0.37</v>
      </c>
      <c r="G147" s="54"/>
      <c r="I147" s="1"/>
      <c r="J147" s="1"/>
      <c r="K147" s="1"/>
      <c r="L147" s="1"/>
      <c r="M147" s="1"/>
    </row>
    <row r="148" spans="1:13" s="2" customFormat="1" ht="13.5" thickBot="1" x14ac:dyDescent="0.25">
      <c r="A148" s="24"/>
      <c r="B148" s="1"/>
      <c r="C148" s="63" t="str">
        <f>"01-09-2023 to "&amp;TEXT(A5-1,"dd-mm-yyyy")</f>
        <v>01-09-2023 to 07-09-2023</v>
      </c>
      <c r="D148" s="64">
        <f>SUM(D146:D147)</f>
        <v>658.47</v>
      </c>
      <c r="E148" s="64">
        <f>SUM(E146:E147)</f>
        <v>63.08</v>
      </c>
      <c r="F148" s="64">
        <f>SUM(F146:F147)</f>
        <v>721.55000000000007</v>
      </c>
      <c r="G148" s="54"/>
      <c r="I148" s="1"/>
      <c r="J148" s="1"/>
      <c r="K148" s="1"/>
      <c r="L148" s="1"/>
      <c r="M148" s="1"/>
    </row>
    <row r="149" spans="1:13" s="2" customFormat="1" ht="13.5" thickTop="1" x14ac:dyDescent="0.2">
      <c r="A149" s="24"/>
      <c r="B149" s="1"/>
      <c r="C149" s="62"/>
      <c r="D149" s="65"/>
      <c r="E149" s="66"/>
      <c r="F149" s="67"/>
      <c r="G149" s="54"/>
      <c r="I149" s="1"/>
      <c r="J149" s="1"/>
      <c r="K149" s="1"/>
      <c r="L149" s="1"/>
      <c r="M149" s="1"/>
    </row>
    <row r="150" spans="1:13" s="2" customFormat="1" x14ac:dyDescent="0.2">
      <c r="A150" s="24"/>
      <c r="B150" s="1"/>
      <c r="C150" s="62" t="str">
        <f>"01-04-2023 to " &amp;C147</f>
        <v>01-04-2023 to 07-09-2023</v>
      </c>
      <c r="D150" s="68">
        <f>+D148+24261.33</f>
        <v>24919.800000000003</v>
      </c>
      <c r="E150" s="68">
        <f>+E148+1685.25</f>
        <v>1748.33</v>
      </c>
      <c r="F150" s="68">
        <f>+F148+25946.58</f>
        <v>26668.13</v>
      </c>
      <c r="G150" s="54"/>
      <c r="I150" s="1"/>
      <c r="J150" s="1"/>
      <c r="K150" s="1"/>
      <c r="L150" s="1"/>
      <c r="M150" s="1"/>
    </row>
    <row r="151" spans="1:13" x14ac:dyDescent="0.2">
      <c r="C151" s="52"/>
      <c r="D151" s="85"/>
      <c r="E151" s="53"/>
      <c r="F151" s="53"/>
      <c r="G151" s="54"/>
      <c r="H151" s="2" t="s">
        <v>396</v>
      </c>
    </row>
    <row r="152" spans="1:13" s="2" customFormat="1" x14ac:dyDescent="0.2">
      <c r="A152" s="24"/>
      <c r="B152" s="1"/>
      <c r="C152" s="52"/>
      <c r="D152" s="85"/>
      <c r="E152" s="53"/>
      <c r="F152" s="53"/>
      <c r="G152" s="54"/>
      <c r="H152" s="53"/>
    </row>
    <row r="153" spans="1:13" x14ac:dyDescent="0.2">
      <c r="C153" s="52"/>
      <c r="D153" s="85"/>
      <c r="E153" s="53"/>
      <c r="F153" s="53"/>
      <c r="G153" s="54"/>
      <c r="H153" s="53" t="s">
        <v>396</v>
      </c>
    </row>
    <row r="154" spans="1:13" x14ac:dyDescent="0.2">
      <c r="C154" s="52"/>
      <c r="D154" s="85"/>
      <c r="E154" s="53"/>
      <c r="F154" s="53"/>
      <c r="G154" s="54"/>
      <c r="H154" s="53" t="s">
        <v>396</v>
      </c>
      <c r="J154" s="42"/>
    </row>
    <row r="155" spans="1:13" x14ac:dyDescent="0.2">
      <c r="G155" s="54"/>
      <c r="H155" s="53"/>
      <c r="I155" s="101"/>
    </row>
    <row r="156" spans="1:13" x14ac:dyDescent="0.2">
      <c r="G156" s="54"/>
      <c r="H156" s="53"/>
    </row>
    <row r="157" spans="1:13" x14ac:dyDescent="0.2">
      <c r="G157" s="54"/>
      <c r="H157" s="53"/>
    </row>
    <row r="158" spans="1:13" x14ac:dyDescent="0.2">
      <c r="H158" s="53"/>
    </row>
  </sheetData>
  <mergeCells count="6">
    <mergeCell ref="C144:F144"/>
    <mergeCell ref="A1:G1"/>
    <mergeCell ref="A3:F3"/>
    <mergeCell ref="A12:F12"/>
    <mergeCell ref="A36:F36"/>
    <mergeCell ref="A128:D128"/>
  </mergeCells>
  <conditionalFormatting sqref="G125:G126">
    <cfRule type="cellIs" dxfId="325" priority="1" operator="lessThan">
      <formula>0</formula>
    </cfRule>
  </conditionalFormatting>
  <conditionalFormatting sqref="C38">
    <cfRule type="duplicateValues" dxfId="324" priority="2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000-000000000000}">
  <sheetPr codeName="Sheet424">
    <pageSetUpPr fitToPage="1"/>
  </sheetPr>
  <dimension ref="A1:N104"/>
  <sheetViews>
    <sheetView topLeftCell="A28" zoomScaleNormal="100" workbookViewId="0">
      <selection activeCell="E36" sqref="E36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3.8554687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1" ht="20.25" customHeight="1" x14ac:dyDescent="0.4">
      <c r="A1" s="212" t="s">
        <v>1513</v>
      </c>
      <c r="B1" s="212"/>
      <c r="C1" s="212"/>
      <c r="D1" s="212"/>
      <c r="E1" s="212"/>
      <c r="F1" s="212"/>
      <c r="G1" s="212"/>
      <c r="H1" s="112"/>
      <c r="I1" s="112"/>
    </row>
    <row r="2" spans="1:11" ht="12.75" customHeight="1" x14ac:dyDescent="0.4">
      <c r="H2" s="112"/>
      <c r="I2" s="112"/>
    </row>
    <row r="3" spans="1:11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1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1" s="2" customFormat="1" ht="14.25" customHeight="1" x14ac:dyDescent="0.4">
      <c r="A5" s="89">
        <v>45178</v>
      </c>
      <c r="B5" s="9" t="s">
        <v>6</v>
      </c>
      <c r="C5" s="10" t="s">
        <v>7</v>
      </c>
      <c r="D5" s="11"/>
      <c r="E5" s="12">
        <v>4389569.790000001</v>
      </c>
      <c r="F5" s="12"/>
      <c r="G5" s="1"/>
      <c r="H5" s="112"/>
      <c r="I5" s="112"/>
    </row>
    <row r="6" spans="1:11" s="2" customFormat="1" ht="12.75" customHeight="1" x14ac:dyDescent="0.4">
      <c r="D6" s="15" t="s">
        <v>8</v>
      </c>
      <c r="E6" s="16">
        <f>SUM(E5:E5)</f>
        <v>4389569.790000001</v>
      </c>
      <c r="F6" s="16">
        <f>SUM(F5:F5)</f>
        <v>0</v>
      </c>
      <c r="G6" s="1"/>
      <c r="H6" s="112"/>
      <c r="I6" s="112"/>
    </row>
    <row r="7" spans="1:11" s="2" customFormat="1" ht="12.75" customHeight="1" x14ac:dyDescent="0.4">
      <c r="A7" s="17"/>
      <c r="B7" s="18"/>
      <c r="C7" s="19" t="s">
        <v>9</v>
      </c>
      <c r="D7" s="20"/>
      <c r="E7" s="21">
        <f>+E6-F6</f>
        <v>4389569.790000001</v>
      </c>
      <c r="F7" s="22"/>
      <c r="G7" s="23"/>
      <c r="H7" s="112"/>
      <c r="I7" s="112"/>
      <c r="J7" s="13"/>
    </row>
    <row r="8" spans="1:11" ht="12.75" customHeight="1" x14ac:dyDescent="0.4">
      <c r="H8" s="112"/>
      <c r="I8" s="112"/>
    </row>
    <row r="9" spans="1:11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12"/>
    </row>
    <row r="10" spans="1:11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12"/>
    </row>
    <row r="11" spans="1:11" s="2" customFormat="1" ht="14.25" customHeight="1" x14ac:dyDescent="0.2">
      <c r="A11" s="89">
        <v>45178</v>
      </c>
      <c r="B11" s="9" t="s">
        <v>6</v>
      </c>
      <c r="C11" s="10" t="s">
        <v>7</v>
      </c>
      <c r="D11" s="11"/>
      <c r="F11" s="12">
        <v>89182972.570000038</v>
      </c>
      <c r="G11" s="1"/>
      <c r="H11" s="130" t="s">
        <v>396</v>
      </c>
      <c r="I11" s="130"/>
    </row>
    <row r="12" spans="1:11" s="2" customFormat="1" ht="14.25" customHeight="1" x14ac:dyDescent="0.2">
      <c r="A12" s="89">
        <v>45178</v>
      </c>
      <c r="B12" s="9" t="s">
        <v>6</v>
      </c>
      <c r="C12" s="76" t="s">
        <v>298</v>
      </c>
      <c r="D12" s="11" t="s">
        <v>13</v>
      </c>
      <c r="E12" s="2">
        <v>1115029.2</v>
      </c>
      <c r="F12" s="31"/>
      <c r="G12" s="1"/>
      <c r="H12" s="130"/>
      <c r="I12" s="130"/>
    </row>
    <row r="13" spans="1:11" s="2" customFormat="1" ht="14.25" customHeight="1" x14ac:dyDescent="0.2">
      <c r="A13" s="89">
        <v>45178</v>
      </c>
      <c r="B13" s="9" t="s">
        <v>11</v>
      </c>
      <c r="C13" s="76" t="s">
        <v>259</v>
      </c>
      <c r="D13" s="11" t="s">
        <v>29</v>
      </c>
      <c r="F13" s="31">
        <v>1162.06</v>
      </c>
      <c r="G13" s="1"/>
      <c r="H13" s="130"/>
      <c r="I13" s="130"/>
    </row>
    <row r="14" spans="1:11" s="2" customFormat="1" ht="14.25" customHeight="1" x14ac:dyDescent="0.2">
      <c r="A14" s="89">
        <v>45178</v>
      </c>
      <c r="B14" s="9" t="s">
        <v>11</v>
      </c>
      <c r="C14" s="76" t="s">
        <v>1329</v>
      </c>
      <c r="D14" s="11" t="s">
        <v>29</v>
      </c>
      <c r="F14" s="31">
        <v>15120</v>
      </c>
      <c r="G14" s="1"/>
      <c r="H14" s="130"/>
      <c r="I14" s="157">
        <v>90000000</v>
      </c>
      <c r="J14" s="158" t="s">
        <v>1508</v>
      </c>
    </row>
    <row r="15" spans="1:11" s="2" customFormat="1" ht="14.25" customHeight="1" x14ac:dyDescent="0.2">
      <c r="A15" s="89">
        <v>45178</v>
      </c>
      <c r="B15" s="9" t="s">
        <v>11</v>
      </c>
      <c r="C15" s="76" t="s">
        <v>1514</v>
      </c>
      <c r="D15" s="11" t="s">
        <v>29</v>
      </c>
      <c r="F15" s="31">
        <v>17700</v>
      </c>
      <c r="G15" s="1"/>
      <c r="H15" s="130"/>
      <c r="I15" s="157">
        <v>88495190.430000007</v>
      </c>
      <c r="J15" s="157" t="s">
        <v>1509</v>
      </c>
      <c r="K15" s="70" t="s">
        <v>1512</v>
      </c>
    </row>
    <row r="16" spans="1:11" s="2" customFormat="1" ht="14.25" customHeight="1" x14ac:dyDescent="0.2">
      <c r="A16" s="89">
        <v>45178</v>
      </c>
      <c r="B16" s="9" t="s">
        <v>11</v>
      </c>
      <c r="C16" s="76" t="s">
        <v>136</v>
      </c>
      <c r="D16" s="11" t="s">
        <v>29</v>
      </c>
      <c r="F16" s="31">
        <v>48172</v>
      </c>
      <c r="G16" s="1"/>
      <c r="H16" s="130"/>
      <c r="I16" s="157"/>
      <c r="J16" s="157"/>
    </row>
    <row r="17" spans="1:14" s="2" customFormat="1" ht="14.25" customHeight="1" x14ac:dyDescent="0.2">
      <c r="A17" s="89">
        <v>45178</v>
      </c>
      <c r="B17" s="9" t="s">
        <v>11</v>
      </c>
      <c r="C17" s="76" t="s">
        <v>231</v>
      </c>
      <c r="D17" s="11" t="s">
        <v>29</v>
      </c>
      <c r="F17" s="31">
        <v>38500</v>
      </c>
      <c r="G17" s="1"/>
      <c r="H17" s="130"/>
      <c r="I17" s="157">
        <f>+I14-I15</f>
        <v>1504809.5699999928</v>
      </c>
      <c r="J17" s="157" t="s">
        <v>712</v>
      </c>
    </row>
    <row r="18" spans="1:14" s="2" customFormat="1" ht="14.25" customHeight="1" x14ac:dyDescent="0.2">
      <c r="A18" s="89">
        <v>45178</v>
      </c>
      <c r="B18" s="9" t="s">
        <v>11</v>
      </c>
      <c r="C18" s="76" t="s">
        <v>1056</v>
      </c>
      <c r="D18" s="11" t="s">
        <v>29</v>
      </c>
      <c r="F18" s="31">
        <v>22200</v>
      </c>
      <c r="G18" s="1"/>
      <c r="H18" s="130"/>
    </row>
    <row r="19" spans="1:14" s="2" customFormat="1" ht="14.25" customHeight="1" x14ac:dyDescent="0.2">
      <c r="A19" s="89">
        <v>45178</v>
      </c>
      <c r="B19" s="9" t="s">
        <v>11</v>
      </c>
      <c r="C19" s="76" t="s">
        <v>397</v>
      </c>
      <c r="D19" s="11" t="s">
        <v>29</v>
      </c>
      <c r="F19" s="31">
        <v>178834</v>
      </c>
      <c r="G19" s="1"/>
      <c r="H19" s="130"/>
    </row>
    <row r="20" spans="1:14" s="2" customFormat="1" ht="14.25" customHeight="1" x14ac:dyDescent="0.2">
      <c r="D20" s="11" t="s">
        <v>8</v>
      </c>
      <c r="E20" s="16">
        <f>SUM(E11:E19)</f>
        <v>1115029.2</v>
      </c>
      <c r="F20" s="16">
        <f>SUM(F11:F19)</f>
        <v>89504660.63000004</v>
      </c>
      <c r="G20" s="1"/>
      <c r="I20" s="130"/>
    </row>
    <row r="21" spans="1:14" s="2" customFormat="1" ht="14.25" customHeight="1" x14ac:dyDescent="0.4">
      <c r="A21" s="17"/>
      <c r="B21" s="18"/>
      <c r="C21" s="96" t="s">
        <v>9</v>
      </c>
      <c r="D21" s="20"/>
      <c r="E21" s="21">
        <f>+F20-E20</f>
        <v>88389631.430000037</v>
      </c>
      <c r="G21" s="1"/>
      <c r="I21" s="112"/>
      <c r="J21" s="153" t="s">
        <v>779</v>
      </c>
    </row>
    <row r="22" spans="1:14" s="2" customFormat="1" ht="14.25" customHeight="1" x14ac:dyDescent="0.2">
      <c r="A22" s="36"/>
      <c r="B22" s="28" t="s">
        <v>66</v>
      </c>
      <c r="C22" s="43" t="s">
        <v>1458</v>
      </c>
      <c r="D22" s="43"/>
      <c r="E22" s="12">
        <v>30000000</v>
      </c>
      <c r="F22" s="22"/>
      <c r="G22" s="1"/>
      <c r="I22" s="40">
        <v>89282972.569999993</v>
      </c>
      <c r="J22" s="154">
        <f>I22-E21</f>
        <v>893341.13999995589</v>
      </c>
    </row>
    <row r="23" spans="1:14" s="2" customFormat="1" ht="14.25" customHeight="1" x14ac:dyDescent="0.25">
      <c r="A23" s="36"/>
      <c r="B23" s="28"/>
      <c r="C23" s="44" t="s">
        <v>68</v>
      </c>
      <c r="D23" s="43"/>
      <c r="E23" s="7">
        <f>+E21+E22</f>
        <v>118389631.43000004</v>
      </c>
      <c r="F23" s="22"/>
      <c r="G23" s="1"/>
    </row>
    <row r="24" spans="1:14" s="2" customFormat="1" ht="14.25" customHeight="1" x14ac:dyDescent="0.25">
      <c r="A24" s="36"/>
      <c r="B24" s="28"/>
      <c r="C24" s="44" t="s">
        <v>1511</v>
      </c>
      <c r="D24" s="43"/>
      <c r="E24" s="38">
        <f>+I17</f>
        <v>1504809.5699999928</v>
      </c>
      <c r="F24" s="22"/>
      <c r="G24" s="1"/>
    </row>
    <row r="25" spans="1:14" s="2" customFormat="1" ht="14.25" customHeight="1" x14ac:dyDescent="0.2">
      <c r="A25" s="24"/>
      <c r="B25" s="1"/>
      <c r="C25" s="14"/>
      <c r="D25" s="25"/>
      <c r="G25" s="1"/>
      <c r="I25" s="130"/>
      <c r="J25" s="130"/>
    </row>
    <row r="26" spans="1:14" s="2" customFormat="1" x14ac:dyDescent="0.2">
      <c r="A26" s="214" t="s">
        <v>10</v>
      </c>
      <c r="B26" s="214"/>
      <c r="C26" s="214"/>
      <c r="D26" s="214"/>
      <c r="E26" s="214"/>
      <c r="F26" s="214"/>
      <c r="G26" s="1"/>
      <c r="H26" s="130"/>
      <c r="I26" s="130"/>
    </row>
    <row r="27" spans="1:14" s="2" customFormat="1" ht="30" x14ac:dyDescent="0.4">
      <c r="A27" s="26" t="s">
        <v>1</v>
      </c>
      <c r="B27" s="27" t="s">
        <v>2</v>
      </c>
      <c r="C27" s="5"/>
      <c r="D27" s="6" t="s">
        <v>3</v>
      </c>
      <c r="E27" s="7" t="s">
        <v>4</v>
      </c>
      <c r="F27" s="7" t="s">
        <v>5</v>
      </c>
      <c r="G27" s="1"/>
      <c r="H27" s="112"/>
      <c r="I27" s="112"/>
    </row>
    <row r="28" spans="1:14" s="2" customFormat="1" x14ac:dyDescent="0.2">
      <c r="A28" s="89">
        <v>45178</v>
      </c>
      <c r="B28" s="128" t="s">
        <v>11</v>
      </c>
      <c r="C28" s="29" t="s">
        <v>7</v>
      </c>
      <c r="D28" s="25"/>
      <c r="E28" s="31"/>
      <c r="F28" s="2">
        <v>107862108.30000009</v>
      </c>
      <c r="G28" s="23"/>
      <c r="J28" s="13"/>
    </row>
    <row r="29" spans="1:14" s="2" customFormat="1" x14ac:dyDescent="0.2">
      <c r="A29" s="89">
        <v>45178</v>
      </c>
      <c r="B29" s="128" t="s">
        <v>6</v>
      </c>
      <c r="C29" s="10" t="s">
        <v>1515</v>
      </c>
      <c r="D29" s="11" t="s">
        <v>13</v>
      </c>
      <c r="E29" s="86">
        <v>1575</v>
      </c>
      <c r="F29" s="70"/>
      <c r="G29" s="1"/>
      <c r="J29" s="146"/>
      <c r="K29" s="146"/>
      <c r="L29" s="13"/>
      <c r="M29" s="69" t="s">
        <v>396</v>
      </c>
    </row>
    <row r="30" spans="1:14" s="2" customFormat="1" x14ac:dyDescent="0.2">
      <c r="A30" s="89">
        <v>45178</v>
      </c>
      <c r="B30" s="128" t="s">
        <v>6</v>
      </c>
      <c r="C30" s="10" t="s">
        <v>149</v>
      </c>
      <c r="D30" s="11" t="s">
        <v>13</v>
      </c>
      <c r="E30" s="86">
        <v>372147</v>
      </c>
      <c r="F30" s="70"/>
      <c r="G30" s="1"/>
      <c r="N30" s="1"/>
    </row>
    <row r="31" spans="1:14" s="2" customFormat="1" x14ac:dyDescent="0.2">
      <c r="A31" s="89">
        <v>45178</v>
      </c>
      <c r="B31" s="128" t="s">
        <v>6</v>
      </c>
      <c r="C31" s="10" t="s">
        <v>761</v>
      </c>
      <c r="D31" s="11" t="s">
        <v>13</v>
      </c>
      <c r="E31" s="86">
        <v>2041766</v>
      </c>
      <c r="F31" s="70"/>
      <c r="G31" s="1"/>
      <c r="N31" s="1"/>
    </row>
    <row r="32" spans="1:14" s="124" customFormat="1" ht="12.75" customHeight="1" x14ac:dyDescent="0.25">
      <c r="A32" s="161">
        <v>45178</v>
      </c>
      <c r="B32" s="162" t="s">
        <v>6</v>
      </c>
      <c r="C32" s="163" t="s">
        <v>257</v>
      </c>
      <c r="D32" s="11" t="s">
        <v>13</v>
      </c>
      <c r="E32" s="164">
        <v>35604.660000000003</v>
      </c>
      <c r="F32" s="165"/>
      <c r="G32" s="166"/>
    </row>
    <row r="33" spans="1:11" s="124" customFormat="1" ht="12.75" customHeight="1" x14ac:dyDescent="0.25">
      <c r="A33" s="161">
        <v>45178</v>
      </c>
      <c r="B33" s="162" t="s">
        <v>6</v>
      </c>
      <c r="C33" s="163" t="s">
        <v>503</v>
      </c>
      <c r="D33" s="11" t="s">
        <v>13</v>
      </c>
      <c r="E33" s="164">
        <v>870702.86</v>
      </c>
      <c r="F33" s="165"/>
      <c r="G33" s="168"/>
      <c r="H33" s="167"/>
      <c r="I33" s="167"/>
      <c r="J33" s="168"/>
    </row>
    <row r="34" spans="1:11" s="124" customFormat="1" ht="12.75" customHeight="1" x14ac:dyDescent="0.25">
      <c r="A34" s="161">
        <v>45178</v>
      </c>
      <c r="B34" s="162" t="s">
        <v>6</v>
      </c>
      <c r="C34" s="163" t="s">
        <v>607</v>
      </c>
      <c r="D34" s="11" t="s">
        <v>13</v>
      </c>
      <c r="E34" s="164">
        <v>59850</v>
      </c>
      <c r="F34" s="165"/>
      <c r="G34" s="166"/>
      <c r="H34" s="167"/>
      <c r="I34" s="167"/>
      <c r="J34" s="168"/>
    </row>
    <row r="35" spans="1:11" s="2" customFormat="1" x14ac:dyDescent="0.2">
      <c r="A35" s="89">
        <v>45178</v>
      </c>
      <c r="B35" s="128" t="s">
        <v>6</v>
      </c>
      <c r="C35" s="10" t="s">
        <v>848</v>
      </c>
      <c r="D35" s="11" t="s">
        <v>13</v>
      </c>
      <c r="E35" s="86">
        <v>454630</v>
      </c>
      <c r="F35" s="70"/>
      <c r="G35" s="30"/>
      <c r="I35" s="13"/>
      <c r="J35" s="13"/>
    </row>
    <row r="36" spans="1:11" s="70" customFormat="1" x14ac:dyDescent="0.2">
      <c r="A36" s="89">
        <v>45178</v>
      </c>
      <c r="B36" s="128" t="s">
        <v>6</v>
      </c>
      <c r="C36" s="10" t="s">
        <v>1516</v>
      </c>
      <c r="D36" s="11" t="s">
        <v>13</v>
      </c>
      <c r="E36" s="86">
        <v>4410</v>
      </c>
      <c r="G36" s="30"/>
      <c r="H36" s="159"/>
      <c r="I36" s="160">
        <v>150000000</v>
      </c>
      <c r="J36" s="160" t="s">
        <v>1506</v>
      </c>
    </row>
    <row r="37" spans="1:11" s="70" customFormat="1" x14ac:dyDescent="0.2">
      <c r="A37" s="89">
        <v>45178</v>
      </c>
      <c r="B37" s="128" t="s">
        <v>11</v>
      </c>
      <c r="C37" s="10" t="s">
        <v>64</v>
      </c>
      <c r="D37" s="11" t="s">
        <v>29</v>
      </c>
      <c r="E37" s="86"/>
      <c r="F37" s="70">
        <v>12.98</v>
      </c>
      <c r="G37" s="30"/>
      <c r="H37" s="159"/>
      <c r="I37" s="160">
        <v>113352577.47</v>
      </c>
      <c r="J37" s="160" t="s">
        <v>1507</v>
      </c>
      <c r="K37" s="70" t="s">
        <v>1512</v>
      </c>
    </row>
    <row r="38" spans="1:11" s="70" customFormat="1" x14ac:dyDescent="0.2">
      <c r="A38" s="89">
        <v>45178</v>
      </c>
      <c r="B38" s="128" t="s">
        <v>11</v>
      </c>
      <c r="C38" s="10" t="s">
        <v>284</v>
      </c>
      <c r="D38" s="11" t="s">
        <v>29</v>
      </c>
      <c r="E38" s="86"/>
      <c r="F38" s="70">
        <v>605761</v>
      </c>
      <c r="G38" s="30"/>
      <c r="H38" s="159" t="s">
        <v>1505</v>
      </c>
      <c r="I38" s="160">
        <f>+I36-I37</f>
        <v>36647422.530000001</v>
      </c>
      <c r="J38" s="160"/>
    </row>
    <row r="39" spans="1:11" s="70" customFormat="1" x14ac:dyDescent="0.2">
      <c r="A39" s="89">
        <v>45178</v>
      </c>
      <c r="B39" s="128" t="s">
        <v>11</v>
      </c>
      <c r="C39" s="10" t="s">
        <v>110</v>
      </c>
      <c r="D39" s="11" t="s">
        <v>29</v>
      </c>
      <c r="E39" s="86"/>
      <c r="F39" s="70">
        <v>14614.86</v>
      </c>
      <c r="G39" s="30"/>
      <c r="I39" s="69"/>
      <c r="J39" s="69"/>
    </row>
    <row r="40" spans="1:11" s="70" customFormat="1" x14ac:dyDescent="0.2">
      <c r="A40" s="89">
        <v>45178</v>
      </c>
      <c r="B40" s="128" t="s">
        <v>11</v>
      </c>
      <c r="C40" s="10" t="s">
        <v>62</v>
      </c>
      <c r="D40" s="11" t="s">
        <v>29</v>
      </c>
      <c r="E40" s="86"/>
      <c r="F40" s="70">
        <v>30000</v>
      </c>
      <c r="G40" s="30"/>
      <c r="H40" s="1"/>
      <c r="I40" s="38">
        <v>104822845.62</v>
      </c>
      <c r="J40" s="2" t="s">
        <v>396</v>
      </c>
      <c r="K40" s="92">
        <f>E46-I40</f>
        <v>0</v>
      </c>
    </row>
    <row r="41" spans="1:11" s="70" customFormat="1" x14ac:dyDescent="0.2">
      <c r="A41" s="89">
        <v>45178</v>
      </c>
      <c r="B41" s="128" t="s">
        <v>11</v>
      </c>
      <c r="C41" s="10" t="s">
        <v>616</v>
      </c>
      <c r="D41" s="11" t="s">
        <v>29</v>
      </c>
      <c r="E41" s="86"/>
      <c r="F41" s="70">
        <v>77265</v>
      </c>
      <c r="G41" s="30"/>
    </row>
    <row r="42" spans="1:11" s="70" customFormat="1" x14ac:dyDescent="0.2">
      <c r="A42" s="89">
        <v>45178</v>
      </c>
      <c r="B42" s="128" t="s">
        <v>11</v>
      </c>
      <c r="C42" s="10" t="s">
        <v>248</v>
      </c>
      <c r="D42" s="11" t="s">
        <v>29</v>
      </c>
      <c r="E42" s="86"/>
      <c r="F42" s="70">
        <v>61578</v>
      </c>
      <c r="G42" s="30"/>
      <c r="I42" s="45">
        <v>873.65</v>
      </c>
      <c r="J42" s="46"/>
      <c r="K42" s="46"/>
    </row>
    <row r="43" spans="1:11" s="70" customFormat="1" x14ac:dyDescent="0.2">
      <c r="A43" s="89">
        <v>45178</v>
      </c>
      <c r="B43" s="128" t="s">
        <v>11</v>
      </c>
      <c r="C43" s="10" t="s">
        <v>602</v>
      </c>
      <c r="D43" s="11" t="s">
        <v>29</v>
      </c>
      <c r="E43" s="86"/>
      <c r="F43" s="70">
        <v>6645</v>
      </c>
      <c r="G43" s="30"/>
      <c r="H43" s="103" t="s">
        <v>69</v>
      </c>
      <c r="I43" s="45">
        <v>-0.39</v>
      </c>
      <c r="J43" s="46"/>
      <c r="K43" s="46"/>
    </row>
    <row r="44" spans="1:11" s="70" customFormat="1" x14ac:dyDescent="0.2">
      <c r="A44" s="89">
        <v>45178</v>
      </c>
      <c r="B44" s="128" t="s">
        <v>11</v>
      </c>
      <c r="C44" s="10" t="s">
        <v>384</v>
      </c>
      <c r="D44" s="11" t="s">
        <v>29</v>
      </c>
      <c r="E44" s="86"/>
      <c r="F44" s="70">
        <v>5546</v>
      </c>
      <c r="G44" s="30"/>
      <c r="H44" s="35" t="s">
        <v>70</v>
      </c>
      <c r="I44" s="45">
        <v>9.89</v>
      </c>
      <c r="J44" s="46">
        <f>+I45-D52</f>
        <v>0</v>
      </c>
      <c r="K44" s="2"/>
    </row>
    <row r="45" spans="1:11" s="70" customFormat="1" ht="12.75" customHeight="1" x14ac:dyDescent="0.2">
      <c r="A45" s="32"/>
      <c r="B45" s="33"/>
      <c r="C45" s="14"/>
      <c r="D45" s="34"/>
      <c r="E45" s="16">
        <f>SUM(E28:E44)</f>
        <v>3840685.52</v>
      </c>
      <c r="F45" s="16">
        <f>SUM(F28:F44)</f>
        <v>108663531.14000009</v>
      </c>
      <c r="G45" s="30"/>
      <c r="I45" s="49">
        <f>SUM(I42:I44)</f>
        <v>883.15</v>
      </c>
      <c r="J45" s="46"/>
      <c r="K45" s="46"/>
    </row>
    <row r="46" spans="1:11" s="70" customFormat="1" ht="12.75" customHeight="1" x14ac:dyDescent="0.2">
      <c r="A46" s="36"/>
      <c r="B46" s="28" t="s">
        <v>11</v>
      </c>
      <c r="C46" s="19" t="s">
        <v>65</v>
      </c>
      <c r="D46" s="37"/>
      <c r="E46" s="38">
        <f>F45-E45</f>
        <v>104822845.62000009</v>
      </c>
      <c r="F46" s="22"/>
      <c r="G46" s="30"/>
    </row>
    <row r="47" spans="1:11" s="70" customFormat="1" ht="12.75" customHeight="1" x14ac:dyDescent="0.2">
      <c r="A47" s="36"/>
      <c r="B47" s="28" t="s">
        <v>66</v>
      </c>
      <c r="C47" s="43" t="s">
        <v>1457</v>
      </c>
      <c r="D47" s="43"/>
      <c r="E47" s="12">
        <v>350000000</v>
      </c>
      <c r="F47" s="22"/>
      <c r="G47" s="30"/>
    </row>
    <row r="48" spans="1:11" s="70" customFormat="1" ht="12.75" customHeight="1" x14ac:dyDescent="0.25">
      <c r="A48" s="36"/>
      <c r="B48" s="28"/>
      <c r="C48" s="44" t="s">
        <v>68</v>
      </c>
      <c r="D48" s="43"/>
      <c r="E48" s="7">
        <f>+E47+E46</f>
        <v>454822845.62000012</v>
      </c>
      <c r="F48" s="22"/>
      <c r="G48" s="30"/>
    </row>
    <row r="49" spans="1:14" s="70" customFormat="1" ht="12.75" customHeight="1" x14ac:dyDescent="0.25">
      <c r="A49" s="24"/>
      <c r="B49" s="1"/>
      <c r="C49" s="44" t="s">
        <v>1510</v>
      </c>
      <c r="D49" s="25"/>
      <c r="E49" s="156">
        <f>+I38</f>
        <v>36647422.530000001</v>
      </c>
      <c r="F49" s="2"/>
      <c r="G49" s="30"/>
    </row>
    <row r="50" spans="1:14" s="70" customFormat="1" ht="12.75" customHeight="1" x14ac:dyDescent="0.2">
      <c r="A50" s="24"/>
      <c r="B50" s="1"/>
      <c r="C50" s="56"/>
      <c r="D50" s="56"/>
      <c r="E50" s="104"/>
      <c r="F50" s="2"/>
      <c r="G50" s="30"/>
    </row>
    <row r="51" spans="1:14" s="70" customFormat="1" ht="12.75" customHeight="1" x14ac:dyDescent="0.2">
      <c r="A51" s="24"/>
      <c r="B51" s="1"/>
      <c r="C51" s="78" t="s">
        <v>575</v>
      </c>
      <c r="D51" s="48" t="s">
        <v>576</v>
      </c>
      <c r="E51" s="104"/>
      <c r="F51" s="2"/>
      <c r="G51" s="30"/>
    </row>
    <row r="52" spans="1:14" s="2" customFormat="1" ht="12.75" customHeight="1" x14ac:dyDescent="0.2">
      <c r="A52" s="24"/>
      <c r="B52" s="1"/>
      <c r="C52" s="47" t="s">
        <v>570</v>
      </c>
      <c r="D52" s="111">
        <v>883.15</v>
      </c>
      <c r="E52" s="104"/>
      <c r="G52" s="30"/>
      <c r="H52" s="110" t="s">
        <v>581</v>
      </c>
      <c r="L52" s="41"/>
      <c r="M52" s="42"/>
    </row>
    <row r="53" spans="1:14" s="2" customFormat="1" ht="12.75" customHeight="1" x14ac:dyDescent="0.2">
      <c r="A53" s="24"/>
      <c r="B53" s="1"/>
      <c r="C53" s="47" t="s">
        <v>931</v>
      </c>
      <c r="D53" s="111">
        <v>118.57</v>
      </c>
      <c r="E53" s="104"/>
      <c r="G53" s="1"/>
      <c r="H53" s="110" t="s">
        <v>580</v>
      </c>
      <c r="J53" s="1"/>
      <c r="K53" s="1"/>
      <c r="L53" s="1"/>
      <c r="M53" s="1"/>
    </row>
    <row r="54" spans="1:14" s="2" customFormat="1" ht="12.75" customHeight="1" x14ac:dyDescent="0.2">
      <c r="A54" s="24"/>
      <c r="B54" s="1"/>
      <c r="C54" s="47" t="s">
        <v>572</v>
      </c>
      <c r="D54" s="111">
        <f>+D81/100000</f>
        <v>120.98583210000001</v>
      </c>
      <c r="E54" s="104"/>
      <c r="G54" s="1"/>
      <c r="H54" s="90" t="s">
        <v>587</v>
      </c>
      <c r="L54" s="13"/>
      <c r="M54" s="69" t="s">
        <v>396</v>
      </c>
    </row>
    <row r="55" spans="1:14" s="2" customFormat="1" ht="12.75" customHeight="1" x14ac:dyDescent="0.2">
      <c r="A55" s="24"/>
      <c r="B55" s="1"/>
      <c r="C55" s="108" t="s">
        <v>578</v>
      </c>
      <c r="D55" s="48">
        <f>SUM(D52:D54)</f>
        <v>1122.7058321</v>
      </c>
      <c r="E55" s="104"/>
      <c r="G55" s="1"/>
      <c r="N55" s="1"/>
    </row>
    <row r="56" spans="1:14" s="2" customFormat="1" x14ac:dyDescent="0.2">
      <c r="A56" s="24"/>
      <c r="B56" s="1"/>
      <c r="C56" s="47"/>
      <c r="D56" s="107"/>
      <c r="E56" s="104"/>
      <c r="M56" s="2" t="s">
        <v>396</v>
      </c>
      <c r="N56" s="1"/>
    </row>
    <row r="57" spans="1:14" x14ac:dyDescent="0.2">
      <c r="C57" s="47" t="s">
        <v>932</v>
      </c>
      <c r="D57" s="111">
        <v>63.68</v>
      </c>
      <c r="E57" s="104"/>
      <c r="H57" s="110" t="s">
        <v>581</v>
      </c>
      <c r="L57" s="2"/>
      <c r="M57" s="2"/>
      <c r="N57" s="2"/>
    </row>
    <row r="58" spans="1:14" x14ac:dyDescent="0.2">
      <c r="C58" s="136" t="s">
        <v>1142</v>
      </c>
      <c r="D58" s="111">
        <v>0</v>
      </c>
      <c r="E58" s="104"/>
      <c r="H58" s="110" t="s">
        <v>581</v>
      </c>
      <c r="I58" s="2"/>
      <c r="J58" s="2"/>
      <c r="K58" s="2"/>
      <c r="L58" s="2"/>
      <c r="M58" s="2"/>
      <c r="N58" s="2"/>
    </row>
    <row r="59" spans="1:14" s="2" customFormat="1" x14ac:dyDescent="0.2">
      <c r="A59" s="24"/>
      <c r="B59" s="1"/>
      <c r="C59" s="78" t="s">
        <v>579</v>
      </c>
      <c r="D59" s="109">
        <f>D57+D58</f>
        <v>63.68</v>
      </c>
      <c r="E59" s="104"/>
      <c r="G59" s="1"/>
      <c r="N59" s="2" t="s">
        <v>535</v>
      </c>
    </row>
    <row r="60" spans="1:14" s="2" customFormat="1" x14ac:dyDescent="0.2">
      <c r="A60" s="24"/>
      <c r="B60" s="1"/>
      <c r="C60" s="105"/>
      <c r="D60" s="106"/>
      <c r="E60" s="104"/>
      <c r="G60" s="1"/>
    </row>
    <row r="61" spans="1:14" s="2" customFormat="1" x14ac:dyDescent="0.2">
      <c r="A61" s="24"/>
      <c r="B61" s="1"/>
      <c r="C61" s="78" t="s">
        <v>577</v>
      </c>
      <c r="D61" s="109">
        <f>D52+D59</f>
        <v>946.82999999999993</v>
      </c>
      <c r="E61" s="104"/>
      <c r="G61" s="1"/>
    </row>
    <row r="62" spans="1:14" s="2" customFormat="1" x14ac:dyDescent="0.2">
      <c r="A62" s="24"/>
      <c r="B62" s="1"/>
      <c r="C62" s="56"/>
      <c r="D62" s="56"/>
      <c r="E62" s="104"/>
      <c r="G62" s="1"/>
      <c r="J62" s="114" t="s">
        <v>713</v>
      </c>
    </row>
    <row r="63" spans="1:14" s="2" customFormat="1" ht="38.25" x14ac:dyDescent="0.2">
      <c r="A63" s="24"/>
      <c r="B63" s="1"/>
      <c r="C63" s="79" t="str">
        <f>"Particulars ( 01-04-2021 to "&amp;TEXT(A5,"dd-mm-yyyy")&amp;" )"</f>
        <v>Particulars ( 01-04-2021 to 09-09-2023 )</v>
      </c>
      <c r="D63" s="80" t="s">
        <v>73</v>
      </c>
      <c r="E63" s="80" t="s">
        <v>74</v>
      </c>
      <c r="F63" s="81" t="s">
        <v>75</v>
      </c>
      <c r="G63" s="80" t="s">
        <v>76</v>
      </c>
      <c r="I63" s="113"/>
      <c r="J63" s="113" t="s">
        <v>709</v>
      </c>
      <c r="K63" s="113" t="s">
        <v>710</v>
      </c>
      <c r="L63" s="113" t="s">
        <v>711</v>
      </c>
      <c r="M63" s="113" t="s">
        <v>712</v>
      </c>
    </row>
    <row r="64" spans="1:14" s="2" customFormat="1" x14ac:dyDescent="0.2">
      <c r="A64" s="24"/>
      <c r="B64" s="1"/>
      <c r="C64" s="50" t="s">
        <v>444</v>
      </c>
      <c r="D64" s="55">
        <f>+L64+L65+J65</f>
        <v>4903.72</v>
      </c>
      <c r="E64" s="55">
        <f>+K64+K65</f>
        <v>4380.78</v>
      </c>
      <c r="F64" s="55">
        <f>+D64-E64</f>
        <v>522.94000000000051</v>
      </c>
      <c r="G64" s="55">
        <f>1500-F64</f>
        <v>977.05999999999949</v>
      </c>
      <c r="I64" s="113" t="s">
        <v>706</v>
      </c>
      <c r="J64" s="115"/>
      <c r="K64" s="115">
        <v>968.99</v>
      </c>
      <c r="L64" s="115">
        <v>968.99</v>
      </c>
      <c r="M64" s="113">
        <f>+J64+L64-K64</f>
        <v>0</v>
      </c>
    </row>
    <row r="65" spans="1:13" s="2" customFormat="1" x14ac:dyDescent="0.2">
      <c r="A65" s="24"/>
      <c r="B65" s="1"/>
      <c r="C65" s="50" t="s">
        <v>71</v>
      </c>
      <c r="D65" s="55">
        <f>+J66+L66</f>
        <v>14728.710000000001</v>
      </c>
      <c r="E65" s="55">
        <f>+K66</f>
        <v>14062.67</v>
      </c>
      <c r="F65" s="55">
        <f>+D65-E65</f>
        <v>666.04000000000087</v>
      </c>
      <c r="G65" s="55">
        <f>1500+700-F65</f>
        <v>1533.9599999999991</v>
      </c>
      <c r="I65" s="113" t="s">
        <v>707</v>
      </c>
      <c r="J65" s="115">
        <v>183.1</v>
      </c>
      <c r="K65" s="115">
        <v>3411.79</v>
      </c>
      <c r="L65" s="115">
        <v>3751.63</v>
      </c>
      <c r="M65" s="113">
        <f>+J65+L65-K65</f>
        <v>522.94000000000005</v>
      </c>
    </row>
    <row r="66" spans="1:13" s="2" customFormat="1" x14ac:dyDescent="0.2">
      <c r="A66" s="24"/>
      <c r="B66" s="1"/>
      <c r="C66" s="14"/>
      <c r="D66" s="56"/>
      <c r="E66" s="13"/>
      <c r="G66" s="1"/>
      <c r="I66" s="113" t="s">
        <v>708</v>
      </c>
      <c r="J66" s="115">
        <v>1371.02</v>
      </c>
      <c r="K66" s="115">
        <v>14062.67</v>
      </c>
      <c r="L66" s="115">
        <v>13357.69</v>
      </c>
      <c r="M66" s="113">
        <f>+J66+L66-K66</f>
        <v>666.04000000000087</v>
      </c>
    </row>
    <row r="67" spans="1:13" s="2" customFormat="1" x14ac:dyDescent="0.2">
      <c r="A67" s="215" t="s">
        <v>80</v>
      </c>
      <c r="B67" s="216"/>
      <c r="C67" s="216"/>
      <c r="D67" s="217"/>
      <c r="E67" s="69"/>
      <c r="F67" s="70"/>
      <c r="G67" s="1"/>
      <c r="J67" s="118">
        <f>SUM(J64:J66)</f>
        <v>1554.12</v>
      </c>
      <c r="K67" s="118">
        <f>SUM(K64:K66)</f>
        <v>18443.45</v>
      </c>
      <c r="L67" s="118">
        <f>SUM(L64:L66)</f>
        <v>18078.310000000001</v>
      </c>
      <c r="M67" s="118">
        <f>SUM(M64:M66)</f>
        <v>1188.9800000000009</v>
      </c>
    </row>
    <row r="68" spans="1:13" s="2" customFormat="1" x14ac:dyDescent="0.2">
      <c r="A68" s="71" t="s">
        <v>81</v>
      </c>
      <c r="B68" s="71"/>
      <c r="C68" s="72" t="s">
        <v>82</v>
      </c>
      <c r="D68" s="73" t="s">
        <v>83</v>
      </c>
      <c r="E68" s="69"/>
      <c r="F68" s="70"/>
      <c r="G68" s="1"/>
    </row>
    <row r="69" spans="1:13" s="2" customFormat="1" x14ac:dyDescent="0.2">
      <c r="A69" s="87">
        <v>45170</v>
      </c>
      <c r="B69" s="120" t="s">
        <v>1052</v>
      </c>
      <c r="C69" s="75" t="s">
        <v>270</v>
      </c>
      <c r="D69" s="88">
        <v>117174</v>
      </c>
      <c r="G69" s="1"/>
    </row>
    <row r="70" spans="1:13" s="2" customFormat="1" x14ac:dyDescent="0.2">
      <c r="A70" s="87">
        <v>45171</v>
      </c>
      <c r="B70" s="120" t="s">
        <v>1052</v>
      </c>
      <c r="C70" s="75" t="s">
        <v>767</v>
      </c>
      <c r="D70" s="88">
        <v>278761</v>
      </c>
    </row>
    <row r="71" spans="1:13" s="2" customFormat="1" x14ac:dyDescent="0.2">
      <c r="A71" s="87">
        <v>45171</v>
      </c>
      <c r="B71" s="120" t="s">
        <v>1052</v>
      </c>
      <c r="C71" s="75" t="s">
        <v>201</v>
      </c>
      <c r="D71" s="88">
        <v>3500391.21</v>
      </c>
      <c r="H71" s="2" t="s">
        <v>396</v>
      </c>
    </row>
    <row r="72" spans="1:13" s="2" customFormat="1" x14ac:dyDescent="0.2">
      <c r="A72" s="87">
        <v>45173</v>
      </c>
      <c r="B72" s="120" t="s">
        <v>1052</v>
      </c>
      <c r="C72" s="75" t="s">
        <v>1478</v>
      </c>
      <c r="D72" s="88">
        <v>22763</v>
      </c>
      <c r="H72" s="2" t="s">
        <v>396</v>
      </c>
    </row>
    <row r="73" spans="1:13" s="2" customFormat="1" x14ac:dyDescent="0.2">
      <c r="A73" s="87">
        <v>45173</v>
      </c>
      <c r="B73" s="120" t="s">
        <v>1052</v>
      </c>
      <c r="C73" s="75" t="s">
        <v>1478</v>
      </c>
      <c r="D73" s="88">
        <v>1786258</v>
      </c>
      <c r="G73" s="1"/>
    </row>
    <row r="74" spans="1:13" s="2" customFormat="1" x14ac:dyDescent="0.2">
      <c r="A74" s="87">
        <v>45173</v>
      </c>
      <c r="B74" s="120" t="s">
        <v>1052</v>
      </c>
      <c r="C74" s="75" t="s">
        <v>1478</v>
      </c>
      <c r="D74" s="88">
        <v>1329469</v>
      </c>
      <c r="G74" s="1"/>
      <c r="H74" s="53"/>
    </row>
    <row r="75" spans="1:13" s="2" customFormat="1" x14ac:dyDescent="0.2">
      <c r="A75" s="87">
        <v>45175</v>
      </c>
      <c r="B75" s="120" t="s">
        <v>1052</v>
      </c>
      <c r="C75" s="75" t="s">
        <v>784</v>
      </c>
      <c r="D75" s="88">
        <v>673560</v>
      </c>
      <c r="H75" s="53"/>
    </row>
    <row r="76" spans="1:13" s="2" customFormat="1" x14ac:dyDescent="0.2">
      <c r="A76" s="87">
        <v>45175</v>
      </c>
      <c r="B76" s="120" t="s">
        <v>1052</v>
      </c>
      <c r="C76" s="75" t="s">
        <v>784</v>
      </c>
      <c r="D76" s="88">
        <v>700391</v>
      </c>
      <c r="G76" s="1"/>
      <c r="L76" s="1"/>
      <c r="M76" s="1"/>
    </row>
    <row r="77" spans="1:13" s="2" customFormat="1" x14ac:dyDescent="0.2">
      <c r="A77" s="87">
        <v>45175</v>
      </c>
      <c r="B77" s="120" t="s">
        <v>1052</v>
      </c>
      <c r="C77" s="75" t="s">
        <v>84</v>
      </c>
      <c r="D77" s="88">
        <v>1000000</v>
      </c>
      <c r="G77" s="1"/>
      <c r="L77" s="1"/>
      <c r="M77" s="1"/>
    </row>
    <row r="78" spans="1:13" s="2" customFormat="1" x14ac:dyDescent="0.2">
      <c r="A78" s="87">
        <v>45176</v>
      </c>
      <c r="B78" s="120" t="s">
        <v>1052</v>
      </c>
      <c r="C78" s="75" t="s">
        <v>85</v>
      </c>
      <c r="D78" s="88">
        <v>565814</v>
      </c>
      <c r="G78" s="1"/>
      <c r="L78" s="1"/>
      <c r="M78" s="1"/>
    </row>
    <row r="79" spans="1:13" s="2" customFormat="1" x14ac:dyDescent="0.2">
      <c r="A79" s="87">
        <v>45176</v>
      </c>
      <c r="B79" s="120" t="s">
        <v>1052</v>
      </c>
      <c r="C79" s="75" t="s">
        <v>271</v>
      </c>
      <c r="D79" s="88">
        <v>1691421</v>
      </c>
      <c r="G79" s="1"/>
      <c r="L79" s="1"/>
      <c r="M79" s="1"/>
    </row>
    <row r="80" spans="1:13" s="2" customFormat="1" x14ac:dyDescent="0.2">
      <c r="A80" s="87">
        <v>45177</v>
      </c>
      <c r="B80" s="120" t="s">
        <v>1052</v>
      </c>
      <c r="C80" s="75" t="s">
        <v>85</v>
      </c>
      <c r="D80" s="88">
        <v>432581</v>
      </c>
      <c r="G80" s="1"/>
      <c r="L80" s="1"/>
      <c r="M80" s="1"/>
    </row>
    <row r="81" spans="1:13" s="2" customFormat="1" x14ac:dyDescent="0.2">
      <c r="A81" s="87"/>
      <c r="B81" s="74"/>
      <c r="C81" s="75"/>
      <c r="D81" s="51">
        <f>SUM(D69:D80)</f>
        <v>12098583.210000001</v>
      </c>
      <c r="F81" s="2" t="s">
        <v>396</v>
      </c>
      <c r="G81" s="1"/>
      <c r="L81" s="1"/>
      <c r="M81" s="1"/>
    </row>
    <row r="82" spans="1:13" s="2" customFormat="1" x14ac:dyDescent="0.2">
      <c r="A82" s="24"/>
      <c r="B82" s="1"/>
      <c r="C82" s="14"/>
      <c r="D82" s="56"/>
      <c r="E82" s="13"/>
      <c r="G82" s="1"/>
      <c r="L82" s="1"/>
      <c r="M82" s="1"/>
    </row>
    <row r="83" spans="1:13" s="2" customFormat="1" x14ac:dyDescent="0.2">
      <c r="A83" s="24"/>
      <c r="B83" s="1"/>
      <c r="C83" s="218" t="s">
        <v>77</v>
      </c>
      <c r="D83" s="219"/>
      <c r="E83" s="219"/>
      <c r="F83" s="220"/>
      <c r="G83" s="1"/>
      <c r="L83" s="1"/>
      <c r="M83" s="1"/>
    </row>
    <row r="84" spans="1:13" s="2" customFormat="1" x14ac:dyDescent="0.2">
      <c r="A84" s="24"/>
      <c r="B84" s="1"/>
      <c r="C84" s="50"/>
      <c r="D84" s="57" t="s">
        <v>78</v>
      </c>
      <c r="E84" s="58" t="s">
        <v>79</v>
      </c>
      <c r="F84" s="57" t="s">
        <v>72</v>
      </c>
      <c r="G84" s="1"/>
      <c r="L84" s="1"/>
      <c r="M84" s="1"/>
    </row>
    <row r="85" spans="1:13" s="2" customFormat="1" x14ac:dyDescent="0.2">
      <c r="A85" s="24"/>
      <c r="B85" s="1"/>
      <c r="C85" s="59" t="str">
        <f>"01-09-2023 to "&amp;TEXT(A5-2,"dd-mm-yyyy")</f>
        <v>01-09-2023 to 07-09-2023</v>
      </c>
      <c r="D85" s="60">
        <v>658.47</v>
      </c>
      <c r="E85" s="60">
        <v>63.08</v>
      </c>
      <c r="F85" s="61">
        <f>SUM(D85:E85)</f>
        <v>721.55000000000007</v>
      </c>
      <c r="G85" s="1"/>
      <c r="L85" s="1"/>
      <c r="M85" s="1"/>
    </row>
    <row r="86" spans="1:13" s="2" customFormat="1" x14ac:dyDescent="0.2">
      <c r="A86" s="24"/>
      <c r="B86" s="1"/>
      <c r="C86" s="62" t="str">
        <f>TEXT(A5-1,"dd-mm-yyyy")</f>
        <v>08-09-2023</v>
      </c>
      <c r="D86" s="60">
        <v>44.49</v>
      </c>
      <c r="E86" s="60">
        <v>8.74</v>
      </c>
      <c r="F86" s="61">
        <f>SUM(D86:E86)</f>
        <v>53.230000000000004</v>
      </c>
      <c r="G86" s="1"/>
      <c r="L86" s="1"/>
      <c r="M86" s="1"/>
    </row>
    <row r="87" spans="1:13" s="2" customFormat="1" ht="13.5" thickBot="1" x14ac:dyDescent="0.25">
      <c r="A87" s="24"/>
      <c r="B87" s="1"/>
      <c r="C87" s="63" t="str">
        <f>"01-09-2023 to "&amp;TEXT(A5-1,"dd-mm-yyyy")</f>
        <v>01-09-2023 to 08-09-2023</v>
      </c>
      <c r="D87" s="64">
        <f>SUM(D85:D86)</f>
        <v>702.96</v>
      </c>
      <c r="E87" s="64">
        <f>SUM(E85:E86)</f>
        <v>71.819999999999993</v>
      </c>
      <c r="F87" s="64">
        <f>SUM(F85:F86)</f>
        <v>774.78000000000009</v>
      </c>
      <c r="G87" s="1"/>
      <c r="L87" s="1"/>
      <c r="M87" s="1"/>
    </row>
    <row r="88" spans="1:13" s="2" customFormat="1" ht="13.5" thickTop="1" x14ac:dyDescent="0.2">
      <c r="A88" s="24"/>
      <c r="B88" s="1"/>
      <c r="C88" s="62"/>
      <c r="D88" s="65"/>
      <c r="E88" s="66"/>
      <c r="F88" s="67"/>
      <c r="G88" s="1"/>
      <c r="L88" s="1"/>
      <c r="M88" s="1"/>
    </row>
    <row r="89" spans="1:13" s="2" customFormat="1" x14ac:dyDescent="0.2">
      <c r="A89" s="24"/>
      <c r="B89" s="1"/>
      <c r="C89" s="62" t="str">
        <f>"01-04-2023 to " &amp;C86</f>
        <v>01-04-2023 to 08-09-2023</v>
      </c>
      <c r="D89" s="68">
        <f>+D87+24261.33</f>
        <v>24964.29</v>
      </c>
      <c r="E89" s="68">
        <f>+E87+1685.25</f>
        <v>1757.07</v>
      </c>
      <c r="F89" s="68">
        <f>+F87+25946.58</f>
        <v>26721.360000000001</v>
      </c>
      <c r="G89" s="1"/>
      <c r="L89" s="1"/>
      <c r="M89" s="1"/>
    </row>
    <row r="90" spans="1:13" s="2" customFormat="1" x14ac:dyDescent="0.2">
      <c r="A90" s="24"/>
      <c r="B90" s="1"/>
      <c r="C90" s="52"/>
      <c r="D90" s="85"/>
      <c r="E90" s="53"/>
      <c r="F90" s="53"/>
      <c r="G90" s="1"/>
      <c r="L90" s="1"/>
      <c r="M90" s="1"/>
    </row>
    <row r="91" spans="1:13" s="2" customFormat="1" x14ac:dyDescent="0.2">
      <c r="A91" s="24"/>
      <c r="B91" s="1"/>
      <c r="C91" s="52"/>
      <c r="D91" s="85"/>
      <c r="E91" s="53"/>
      <c r="F91" s="53"/>
      <c r="G91" s="1"/>
      <c r="I91" s="1"/>
      <c r="J91" s="1"/>
      <c r="K91" s="1"/>
      <c r="L91" s="1"/>
      <c r="M91" s="1"/>
    </row>
    <row r="92" spans="1:13" s="2" customFormat="1" x14ac:dyDescent="0.2">
      <c r="A92" s="24"/>
      <c r="B92" s="1"/>
      <c r="C92" s="52"/>
      <c r="D92" s="85"/>
      <c r="E92" s="53"/>
      <c r="F92" s="53"/>
      <c r="G92" s="1"/>
    </row>
    <row r="93" spans="1:13" s="2" customFormat="1" x14ac:dyDescent="0.2">
      <c r="A93" s="24"/>
      <c r="B93" s="1"/>
      <c r="C93" s="52"/>
      <c r="D93" s="85"/>
      <c r="E93" s="53"/>
      <c r="F93" s="53"/>
      <c r="G93" s="54"/>
      <c r="I93" s="1"/>
      <c r="J93" s="1"/>
      <c r="K93" s="1"/>
      <c r="L93" s="1"/>
      <c r="M93" s="1"/>
    </row>
    <row r="94" spans="1:13" s="2" customFormat="1" x14ac:dyDescent="0.2">
      <c r="A94" s="24"/>
      <c r="B94" s="1"/>
      <c r="C94" s="14"/>
      <c r="D94" s="25"/>
      <c r="G94" s="54"/>
      <c r="I94" s="1"/>
      <c r="J94" s="1"/>
      <c r="K94" s="1"/>
      <c r="L94" s="1"/>
      <c r="M94" s="1"/>
    </row>
    <row r="95" spans="1:13" s="2" customFormat="1" x14ac:dyDescent="0.2">
      <c r="A95" s="24"/>
      <c r="B95" s="1"/>
      <c r="C95" s="14"/>
      <c r="D95" s="25"/>
      <c r="G95" s="54"/>
      <c r="I95" s="1"/>
      <c r="J95" s="1"/>
      <c r="K95" s="1"/>
      <c r="L95" s="1"/>
      <c r="M95" s="1"/>
    </row>
    <row r="96" spans="1:13" s="2" customFormat="1" x14ac:dyDescent="0.2">
      <c r="A96" s="24"/>
      <c r="B96" s="1"/>
      <c r="C96" s="14"/>
      <c r="D96" s="25"/>
      <c r="G96" s="54"/>
      <c r="I96" s="1"/>
      <c r="J96" s="1"/>
      <c r="K96" s="1"/>
      <c r="L96" s="1"/>
      <c r="M96" s="1"/>
    </row>
    <row r="97" spans="1:10" x14ac:dyDescent="0.2">
      <c r="G97" s="54"/>
      <c r="H97" s="2" t="s">
        <v>396</v>
      </c>
    </row>
    <row r="98" spans="1:10" s="2" customFormat="1" x14ac:dyDescent="0.2">
      <c r="A98" s="24"/>
      <c r="B98" s="1"/>
      <c r="C98" s="14"/>
      <c r="D98" s="25"/>
      <c r="G98" s="54"/>
      <c r="H98" s="53"/>
    </row>
    <row r="99" spans="1:10" x14ac:dyDescent="0.2">
      <c r="G99" s="54"/>
      <c r="H99" s="53" t="s">
        <v>396</v>
      </c>
    </row>
    <row r="100" spans="1:10" x14ac:dyDescent="0.2">
      <c r="G100" s="54"/>
      <c r="H100" s="53" t="s">
        <v>396</v>
      </c>
      <c r="J100" s="42"/>
    </row>
    <row r="101" spans="1:10" x14ac:dyDescent="0.2">
      <c r="G101" s="54"/>
      <c r="H101" s="53"/>
      <c r="I101" s="101"/>
    </row>
    <row r="102" spans="1:10" x14ac:dyDescent="0.2">
      <c r="G102" s="54"/>
      <c r="H102" s="53"/>
    </row>
    <row r="103" spans="1:10" x14ac:dyDescent="0.2">
      <c r="G103" s="54"/>
      <c r="H103" s="53"/>
    </row>
    <row r="104" spans="1:10" x14ac:dyDescent="0.2">
      <c r="H104" s="53"/>
    </row>
  </sheetData>
  <mergeCells count="6">
    <mergeCell ref="C83:F83"/>
    <mergeCell ref="A1:G1"/>
    <mergeCell ref="A3:F3"/>
    <mergeCell ref="A9:F9"/>
    <mergeCell ref="A26:F26"/>
    <mergeCell ref="A67:D67"/>
  </mergeCells>
  <conditionalFormatting sqref="G64:G65">
    <cfRule type="cellIs" dxfId="323" priority="1" operator="lessThan">
      <formula>0</formula>
    </cfRule>
  </conditionalFormatting>
  <conditionalFormatting sqref="C28">
    <cfRule type="duplicateValues" dxfId="322" priority="2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100-000000000000}">
  <sheetPr codeName="Sheet425">
    <pageSetUpPr fitToPage="1"/>
  </sheetPr>
  <dimension ref="A1:N125"/>
  <sheetViews>
    <sheetView topLeftCell="A28" zoomScaleNormal="100" workbookViewId="0">
      <selection activeCell="E43" sqref="E43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1" ht="20.25" customHeight="1" x14ac:dyDescent="0.4">
      <c r="A1" s="212" t="s">
        <v>1522</v>
      </c>
      <c r="B1" s="212"/>
      <c r="C1" s="212"/>
      <c r="D1" s="212"/>
      <c r="E1" s="212"/>
      <c r="F1" s="212"/>
      <c r="G1" s="212"/>
      <c r="H1" s="112"/>
      <c r="I1" s="112"/>
    </row>
    <row r="2" spans="1:11" ht="12.75" customHeight="1" x14ac:dyDescent="0.4">
      <c r="H2" s="112"/>
      <c r="I2" s="112"/>
    </row>
    <row r="3" spans="1:11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1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1" s="2" customFormat="1" ht="14.25" customHeight="1" x14ac:dyDescent="0.4">
      <c r="A5" s="89">
        <v>45180</v>
      </c>
      <c r="B5" s="9" t="s">
        <v>6</v>
      </c>
      <c r="C5" s="10" t="s">
        <v>7</v>
      </c>
      <c r="D5" s="11"/>
      <c r="E5" s="12">
        <v>4389569.790000001</v>
      </c>
      <c r="F5" s="12"/>
      <c r="G5" s="1"/>
      <c r="H5" s="112"/>
      <c r="I5" s="112"/>
    </row>
    <row r="6" spans="1:11" s="2" customFormat="1" ht="14.25" customHeight="1" x14ac:dyDescent="0.4">
      <c r="A6" s="89">
        <v>45180</v>
      </c>
      <c r="B6" s="9" t="s">
        <v>11</v>
      </c>
      <c r="C6" s="10" t="s">
        <v>489</v>
      </c>
      <c r="D6" s="11" t="s">
        <v>29</v>
      </c>
      <c r="E6" s="12"/>
      <c r="F6" s="12">
        <v>1500000</v>
      </c>
      <c r="G6" s="1"/>
      <c r="H6" s="112"/>
      <c r="I6" s="112"/>
    </row>
    <row r="7" spans="1:11" s="2" customFormat="1" ht="12.75" customHeight="1" x14ac:dyDescent="0.4">
      <c r="D7" s="15" t="s">
        <v>8</v>
      </c>
      <c r="E7" s="16">
        <f>SUM(E5:E5)</f>
        <v>4389569.790000001</v>
      </c>
      <c r="F7" s="16">
        <f>SUM(F5:F6)</f>
        <v>1500000</v>
      </c>
      <c r="G7" s="1"/>
      <c r="H7" s="112"/>
      <c r="I7" s="112"/>
    </row>
    <row r="8" spans="1:11" s="2" customFormat="1" ht="12.75" customHeight="1" x14ac:dyDescent="0.4">
      <c r="A8" s="17"/>
      <c r="B8" s="18"/>
      <c r="C8" s="19" t="s">
        <v>9</v>
      </c>
      <c r="D8" s="20"/>
      <c r="E8" s="21">
        <f>+E7-F7</f>
        <v>2889569.790000001</v>
      </c>
      <c r="F8" s="22"/>
      <c r="G8" s="23"/>
      <c r="H8" s="112"/>
      <c r="I8" s="112"/>
      <c r="J8" s="13"/>
    </row>
    <row r="9" spans="1:11" ht="12.75" customHeight="1" x14ac:dyDescent="0.4">
      <c r="H9" s="112"/>
      <c r="I9" s="112"/>
    </row>
    <row r="10" spans="1:11" ht="18" customHeight="1" x14ac:dyDescent="0.4">
      <c r="A10" s="213" t="s">
        <v>1037</v>
      </c>
      <c r="B10" s="213"/>
      <c r="C10" s="213"/>
      <c r="D10" s="213"/>
      <c r="E10" s="213"/>
      <c r="F10" s="213"/>
      <c r="H10" s="112"/>
      <c r="I10" s="112"/>
    </row>
    <row r="11" spans="1:11" ht="12.75" customHeight="1" x14ac:dyDescent="0.4">
      <c r="A11" s="3" t="s">
        <v>1</v>
      </c>
      <c r="B11" s="4" t="s">
        <v>2</v>
      </c>
      <c r="C11" s="5"/>
      <c r="D11" s="6" t="s">
        <v>3</v>
      </c>
      <c r="E11" s="7" t="s">
        <v>4</v>
      </c>
      <c r="F11" s="7" t="s">
        <v>5</v>
      </c>
      <c r="H11" s="112"/>
      <c r="I11" s="169">
        <v>90000000</v>
      </c>
      <c r="J11" s="169" t="s">
        <v>1508</v>
      </c>
      <c r="K11" s="124"/>
    </row>
    <row r="12" spans="1:11" s="2" customFormat="1" ht="14.25" customHeight="1" x14ac:dyDescent="0.2">
      <c r="A12" s="89">
        <v>45180</v>
      </c>
      <c r="B12" s="9" t="s">
        <v>6</v>
      </c>
      <c r="C12" s="10" t="s">
        <v>7</v>
      </c>
      <c r="D12" s="11"/>
      <c r="F12" s="12">
        <v>88389631.430000037</v>
      </c>
      <c r="G12" s="1"/>
      <c r="H12" s="130" t="s">
        <v>396</v>
      </c>
      <c r="I12" s="169">
        <v>84854094.920000002</v>
      </c>
      <c r="J12" s="169" t="s">
        <v>1509</v>
      </c>
      <c r="K12" s="165" t="s">
        <v>1512</v>
      </c>
    </row>
    <row r="13" spans="1:11" s="2" customFormat="1" ht="14.25" customHeight="1" x14ac:dyDescent="0.2">
      <c r="A13" s="89">
        <v>45180</v>
      </c>
      <c r="B13" s="9" t="s">
        <v>6</v>
      </c>
      <c r="C13" s="76" t="s">
        <v>173</v>
      </c>
      <c r="D13" s="11" t="s">
        <v>13</v>
      </c>
      <c r="E13" s="2">
        <v>2100</v>
      </c>
      <c r="F13" s="31"/>
      <c r="G13" s="1"/>
      <c r="H13" s="130"/>
      <c r="I13" s="169"/>
      <c r="J13" s="169"/>
      <c r="K13" s="124"/>
    </row>
    <row r="14" spans="1:11" s="2" customFormat="1" ht="14.25" customHeight="1" x14ac:dyDescent="0.2">
      <c r="A14" s="89">
        <v>45180</v>
      </c>
      <c r="B14" s="9" t="s">
        <v>6</v>
      </c>
      <c r="C14" s="76" t="s">
        <v>1002</v>
      </c>
      <c r="D14" s="11" t="s">
        <v>13</v>
      </c>
      <c r="E14" s="2">
        <v>3638677.47</v>
      </c>
      <c r="F14" s="31"/>
      <c r="G14" s="1"/>
      <c r="H14" s="130"/>
      <c r="I14" s="169">
        <f>+I11-I12</f>
        <v>5145905.0799999982</v>
      </c>
      <c r="J14" s="169" t="s">
        <v>712</v>
      </c>
      <c r="K14" s="124"/>
    </row>
    <row r="15" spans="1:11" s="2" customFormat="1" ht="14.25" customHeight="1" x14ac:dyDescent="0.2">
      <c r="A15" s="89">
        <v>45180</v>
      </c>
      <c r="B15" s="9" t="s">
        <v>11</v>
      </c>
      <c r="C15" s="76" t="s">
        <v>1137</v>
      </c>
      <c r="D15" s="11" t="s">
        <v>29</v>
      </c>
      <c r="F15" s="31">
        <v>5240.96</v>
      </c>
      <c r="G15" s="1"/>
      <c r="H15" s="130"/>
    </row>
    <row r="16" spans="1:11" s="2" customFormat="1" ht="14.25" customHeight="1" x14ac:dyDescent="0.2">
      <c r="D16" s="11" t="s">
        <v>8</v>
      </c>
      <c r="E16" s="16">
        <f>SUM(E12:E15)</f>
        <v>3640777.47</v>
      </c>
      <c r="F16" s="16">
        <f>SUM(F12:F15)</f>
        <v>88394872.39000003</v>
      </c>
      <c r="G16" s="1"/>
      <c r="I16" s="130"/>
    </row>
    <row r="17" spans="1:14" s="2" customFormat="1" ht="14.25" customHeight="1" x14ac:dyDescent="0.4">
      <c r="A17" s="17"/>
      <c r="B17" s="18"/>
      <c r="C17" s="96" t="s">
        <v>9</v>
      </c>
      <c r="D17" s="20"/>
      <c r="E17" s="21">
        <f>+F16-E16</f>
        <v>84754094.920000032</v>
      </c>
      <c r="G17" s="1"/>
      <c r="I17" s="112"/>
      <c r="J17" s="153" t="s">
        <v>779</v>
      </c>
    </row>
    <row r="18" spans="1:14" s="2" customFormat="1" ht="14.25" customHeight="1" x14ac:dyDescent="0.2">
      <c r="A18" s="36"/>
      <c r="B18" s="28" t="s">
        <v>66</v>
      </c>
      <c r="C18" s="43" t="s">
        <v>1458</v>
      </c>
      <c r="D18" s="43"/>
      <c r="E18" s="12">
        <v>30000000</v>
      </c>
      <c r="F18" s="22"/>
      <c r="G18" s="1"/>
      <c r="I18" s="40">
        <v>84854094.920000002</v>
      </c>
      <c r="J18" s="154">
        <f>I18-E17</f>
        <v>99999.999999970198</v>
      </c>
    </row>
    <row r="19" spans="1:14" s="2" customFormat="1" ht="14.25" customHeight="1" x14ac:dyDescent="0.25">
      <c r="A19" s="36"/>
      <c r="B19" s="28"/>
      <c r="C19" s="44" t="s">
        <v>68</v>
      </c>
      <c r="D19" s="43"/>
      <c r="E19" s="7">
        <f>+E17+E18</f>
        <v>114754094.92000003</v>
      </c>
      <c r="F19" s="22"/>
      <c r="G19" s="1"/>
    </row>
    <row r="20" spans="1:14" s="2" customFormat="1" ht="14.25" customHeight="1" x14ac:dyDescent="0.25">
      <c r="A20" s="36"/>
      <c r="B20" s="28"/>
      <c r="C20" s="44" t="s">
        <v>1511</v>
      </c>
      <c r="D20" s="43"/>
      <c r="E20" s="38">
        <f>+I14</f>
        <v>5145905.0799999982</v>
      </c>
      <c r="F20" s="22"/>
      <c r="G20" s="1"/>
    </row>
    <row r="21" spans="1:14" s="2" customFormat="1" ht="14.25" customHeight="1" x14ac:dyDescent="0.2">
      <c r="A21" s="24"/>
      <c r="B21" s="1"/>
      <c r="C21" s="14"/>
      <c r="D21" s="25"/>
      <c r="G21" s="1"/>
      <c r="I21" s="130"/>
      <c r="J21" s="130"/>
    </row>
    <row r="22" spans="1:14" s="2" customFormat="1" x14ac:dyDescent="0.2">
      <c r="A22" s="214" t="s">
        <v>10</v>
      </c>
      <c r="B22" s="214"/>
      <c r="C22" s="214"/>
      <c r="D22" s="214"/>
      <c r="E22" s="214"/>
      <c r="F22" s="214"/>
      <c r="G22" s="1"/>
      <c r="H22" s="130"/>
      <c r="I22" s="130"/>
    </row>
    <row r="23" spans="1:14" s="2" customFormat="1" ht="30" x14ac:dyDescent="0.4">
      <c r="A23" s="26" t="s">
        <v>1</v>
      </c>
      <c r="B23" s="27" t="s">
        <v>2</v>
      </c>
      <c r="C23" s="5"/>
      <c r="D23" s="6" t="s">
        <v>3</v>
      </c>
      <c r="E23" s="7" t="s">
        <v>4</v>
      </c>
      <c r="F23" s="7" t="s">
        <v>5</v>
      </c>
      <c r="G23" s="1"/>
      <c r="H23" s="112"/>
      <c r="I23" s="112"/>
    </row>
    <row r="24" spans="1:14" s="2" customFormat="1" x14ac:dyDescent="0.2">
      <c r="A24" s="89">
        <v>45180</v>
      </c>
      <c r="B24" s="128" t="s">
        <v>11</v>
      </c>
      <c r="C24" s="29" t="s">
        <v>7</v>
      </c>
      <c r="D24" s="25"/>
      <c r="E24" s="31"/>
      <c r="F24" s="2">
        <v>104822845.62000009</v>
      </c>
      <c r="G24" s="23"/>
      <c r="J24" s="13"/>
    </row>
    <row r="25" spans="1:14" s="2" customFormat="1" x14ac:dyDescent="0.2">
      <c r="A25" s="89">
        <v>45180</v>
      </c>
      <c r="B25" s="128" t="s">
        <v>6</v>
      </c>
      <c r="C25" s="10" t="s">
        <v>1517</v>
      </c>
      <c r="D25" s="11" t="s">
        <v>13</v>
      </c>
      <c r="E25" s="86">
        <v>1500000</v>
      </c>
      <c r="F25" s="70"/>
      <c r="G25" s="1"/>
      <c r="J25" s="146"/>
      <c r="K25" s="146"/>
      <c r="L25" s="13"/>
      <c r="M25" s="69" t="s">
        <v>396</v>
      </c>
    </row>
    <row r="26" spans="1:14" s="2" customFormat="1" x14ac:dyDescent="0.2">
      <c r="A26" s="89">
        <v>45180</v>
      </c>
      <c r="B26" s="128" t="s">
        <v>6</v>
      </c>
      <c r="C26" s="10" t="s">
        <v>146</v>
      </c>
      <c r="D26" s="11" t="s">
        <v>13</v>
      </c>
      <c r="E26" s="86">
        <v>65941</v>
      </c>
      <c r="F26" s="70"/>
      <c r="G26" s="1"/>
      <c r="N26" s="1"/>
    </row>
    <row r="27" spans="1:14" s="2" customFormat="1" x14ac:dyDescent="0.2">
      <c r="A27" s="89">
        <v>45180</v>
      </c>
      <c r="B27" s="128" t="s">
        <v>6</v>
      </c>
      <c r="C27" s="10" t="s">
        <v>164</v>
      </c>
      <c r="D27" s="11" t="s">
        <v>13</v>
      </c>
      <c r="E27" s="86">
        <v>500000</v>
      </c>
      <c r="F27" s="70"/>
      <c r="G27" s="1"/>
      <c r="N27" s="1"/>
    </row>
    <row r="28" spans="1:14" s="2" customFormat="1" x14ac:dyDescent="0.2">
      <c r="A28" s="89">
        <v>45180</v>
      </c>
      <c r="B28" s="128" t="s">
        <v>6</v>
      </c>
      <c r="C28" s="10" t="s">
        <v>332</v>
      </c>
      <c r="D28" s="11" t="s">
        <v>13</v>
      </c>
      <c r="E28" s="86">
        <v>73954</v>
      </c>
      <c r="F28" s="70"/>
      <c r="G28" s="1"/>
      <c r="N28" s="1"/>
    </row>
    <row r="29" spans="1:14" s="2" customFormat="1" x14ac:dyDescent="0.2">
      <c r="A29" s="89">
        <v>45180</v>
      </c>
      <c r="B29" s="128" t="s">
        <v>6</v>
      </c>
      <c r="C29" s="10" t="s">
        <v>510</v>
      </c>
      <c r="D29" s="11" t="s">
        <v>13</v>
      </c>
      <c r="E29" s="86">
        <v>170868</v>
      </c>
      <c r="F29" s="70"/>
      <c r="G29" s="1"/>
      <c r="N29" s="1"/>
    </row>
    <row r="30" spans="1:14" s="2" customFormat="1" x14ac:dyDescent="0.2">
      <c r="A30" s="89">
        <v>45180</v>
      </c>
      <c r="B30" s="128" t="s">
        <v>6</v>
      </c>
      <c r="C30" s="10" t="s">
        <v>1471</v>
      </c>
      <c r="D30" s="11" t="s">
        <v>13</v>
      </c>
      <c r="E30" s="86">
        <v>1971410</v>
      </c>
      <c r="F30" s="70"/>
      <c r="G30" s="1"/>
      <c r="N30" s="1"/>
    </row>
    <row r="31" spans="1:14" s="2" customFormat="1" x14ac:dyDescent="0.2">
      <c r="A31" s="89">
        <v>45180</v>
      </c>
      <c r="B31" s="128" t="s">
        <v>6</v>
      </c>
      <c r="C31" s="10" t="s">
        <v>161</v>
      </c>
      <c r="D31" s="11" t="s">
        <v>13</v>
      </c>
      <c r="E31" s="86">
        <v>1308026</v>
      </c>
      <c r="F31" s="70"/>
      <c r="G31" s="1"/>
      <c r="N31" s="1"/>
    </row>
    <row r="32" spans="1:14" s="2" customFormat="1" x14ac:dyDescent="0.2">
      <c r="A32" s="89">
        <v>45180</v>
      </c>
      <c r="B32" s="128" t="s">
        <v>6</v>
      </c>
      <c r="C32" s="10" t="s">
        <v>326</v>
      </c>
      <c r="D32" s="11" t="s">
        <v>13</v>
      </c>
      <c r="E32" s="86">
        <v>189000</v>
      </c>
      <c r="F32" s="70"/>
      <c r="G32" s="1"/>
      <c r="N32" s="1"/>
    </row>
    <row r="33" spans="1:14" s="2" customFormat="1" x14ac:dyDescent="0.2">
      <c r="A33" s="89">
        <v>45180</v>
      </c>
      <c r="B33" s="128" t="s">
        <v>6</v>
      </c>
      <c r="C33" s="10" t="s">
        <v>234</v>
      </c>
      <c r="D33" s="11" t="s">
        <v>13</v>
      </c>
      <c r="E33" s="86">
        <v>550457</v>
      </c>
      <c r="F33" s="70"/>
      <c r="G33" s="1"/>
      <c r="N33" s="1"/>
    </row>
    <row r="34" spans="1:14" s="2" customFormat="1" x14ac:dyDescent="0.2">
      <c r="A34" s="89">
        <v>45180</v>
      </c>
      <c r="B34" s="128" t="s">
        <v>6</v>
      </c>
      <c r="C34" s="10" t="s">
        <v>1431</v>
      </c>
      <c r="D34" s="11" t="s">
        <v>13</v>
      </c>
      <c r="E34" s="86">
        <v>1649067</v>
      </c>
      <c r="F34" s="70"/>
      <c r="G34" s="1"/>
      <c r="N34" s="1"/>
    </row>
    <row r="35" spans="1:14" s="2" customFormat="1" x14ac:dyDescent="0.2">
      <c r="A35" s="89">
        <v>45180</v>
      </c>
      <c r="B35" s="128" t="s">
        <v>6</v>
      </c>
      <c r="C35" s="10" t="s">
        <v>153</v>
      </c>
      <c r="D35" s="11" t="s">
        <v>13</v>
      </c>
      <c r="E35" s="86">
        <v>2439249</v>
      </c>
      <c r="F35" s="70"/>
      <c r="G35" s="1"/>
      <c r="N35" s="1"/>
    </row>
    <row r="36" spans="1:14" s="2" customFormat="1" x14ac:dyDescent="0.2">
      <c r="A36" s="89">
        <v>45180</v>
      </c>
      <c r="B36" s="128" t="s">
        <v>6</v>
      </c>
      <c r="C36" s="10" t="s">
        <v>1518</v>
      </c>
      <c r="D36" s="11" t="s">
        <v>13</v>
      </c>
      <c r="E36" s="86">
        <v>586331</v>
      </c>
      <c r="F36" s="70"/>
      <c r="G36" s="1"/>
      <c r="N36" s="1"/>
    </row>
    <row r="37" spans="1:14" s="2" customFormat="1" x14ac:dyDescent="0.2">
      <c r="A37" s="89">
        <v>45180</v>
      </c>
      <c r="B37" s="128" t="s">
        <v>6</v>
      </c>
      <c r="C37" s="10" t="s">
        <v>376</v>
      </c>
      <c r="D37" s="11" t="s">
        <v>13</v>
      </c>
      <c r="E37" s="86">
        <v>76073</v>
      </c>
      <c r="F37" s="70"/>
      <c r="G37" s="1"/>
      <c r="N37" s="1"/>
    </row>
    <row r="38" spans="1:14" s="2" customFormat="1" x14ac:dyDescent="0.2">
      <c r="A38" s="89">
        <v>45180</v>
      </c>
      <c r="B38" s="128" t="s">
        <v>6</v>
      </c>
      <c r="C38" s="10" t="s">
        <v>1520</v>
      </c>
      <c r="D38" s="11" t="s">
        <v>13</v>
      </c>
      <c r="E38" s="86">
        <v>260920.61</v>
      </c>
      <c r="F38" s="70"/>
      <c r="G38" s="1"/>
      <c r="N38" s="1"/>
    </row>
    <row r="39" spans="1:14" s="2" customFormat="1" x14ac:dyDescent="0.2">
      <c r="A39" s="89">
        <v>45180</v>
      </c>
      <c r="B39" s="128" t="s">
        <v>6</v>
      </c>
      <c r="C39" s="10" t="s">
        <v>177</v>
      </c>
      <c r="D39" s="11" t="s">
        <v>13</v>
      </c>
      <c r="E39" s="86">
        <v>528891</v>
      </c>
      <c r="F39" s="70"/>
      <c r="G39" s="1"/>
      <c r="N39" s="1"/>
    </row>
    <row r="40" spans="1:14" s="2" customFormat="1" x14ac:dyDescent="0.2">
      <c r="A40" s="89">
        <v>45180</v>
      </c>
      <c r="B40" s="128" t="s">
        <v>6</v>
      </c>
      <c r="C40" s="10" t="s">
        <v>15</v>
      </c>
      <c r="D40" s="11" t="s">
        <v>13</v>
      </c>
      <c r="E40" s="86">
        <v>1455.32</v>
      </c>
      <c r="F40" s="70"/>
      <c r="G40" s="1"/>
      <c r="N40" s="1"/>
    </row>
    <row r="41" spans="1:14" s="2" customFormat="1" x14ac:dyDescent="0.2">
      <c r="A41" s="89">
        <v>45180</v>
      </c>
      <c r="B41" s="128" t="s">
        <v>6</v>
      </c>
      <c r="C41" s="10" t="s">
        <v>688</v>
      </c>
      <c r="D41" s="11" t="s">
        <v>13</v>
      </c>
      <c r="E41" s="86">
        <v>312522</v>
      </c>
      <c r="F41" s="70"/>
      <c r="G41" s="1"/>
      <c r="N41" s="1"/>
    </row>
    <row r="42" spans="1:14" s="2" customFormat="1" x14ac:dyDescent="0.2">
      <c r="A42" s="89">
        <v>45180</v>
      </c>
      <c r="B42" s="128" t="s">
        <v>6</v>
      </c>
      <c r="C42" s="10" t="s">
        <v>667</v>
      </c>
      <c r="D42" s="11" t="s">
        <v>13</v>
      </c>
      <c r="E42" s="86">
        <v>12128</v>
      </c>
      <c r="F42" s="70"/>
      <c r="G42" s="1"/>
      <c r="N42" s="1"/>
    </row>
    <row r="43" spans="1:14" s="2" customFormat="1" x14ac:dyDescent="0.2">
      <c r="A43" s="89">
        <v>45180</v>
      </c>
      <c r="B43" s="128" t="s">
        <v>6</v>
      </c>
      <c r="C43" s="10" t="s">
        <v>964</v>
      </c>
      <c r="D43" s="11" t="s">
        <v>13</v>
      </c>
      <c r="E43" s="86">
        <v>579086</v>
      </c>
      <c r="F43" s="70"/>
      <c r="G43" s="1"/>
      <c r="N43" s="1"/>
    </row>
    <row r="44" spans="1:14" s="2" customFormat="1" x14ac:dyDescent="0.2">
      <c r="A44" s="89">
        <v>45180</v>
      </c>
      <c r="B44" s="128" t="s">
        <v>11</v>
      </c>
      <c r="C44" s="10" t="s">
        <v>64</v>
      </c>
      <c r="D44" s="11" t="s">
        <v>29</v>
      </c>
      <c r="E44" s="86"/>
      <c r="F44" s="70">
        <v>2124.7200000000003</v>
      </c>
      <c r="G44" s="1"/>
      <c r="N44" s="1"/>
    </row>
    <row r="45" spans="1:14" s="2" customFormat="1" x14ac:dyDescent="0.2">
      <c r="A45" s="89">
        <v>45180</v>
      </c>
      <c r="B45" s="128" t="s">
        <v>11</v>
      </c>
      <c r="C45" s="10" t="s">
        <v>216</v>
      </c>
      <c r="D45" s="11" t="s">
        <v>29</v>
      </c>
      <c r="E45" s="86"/>
      <c r="F45" s="70">
        <v>201889</v>
      </c>
      <c r="G45" s="1"/>
      <c r="N45" s="1"/>
    </row>
    <row r="46" spans="1:14" s="2" customFormat="1" x14ac:dyDescent="0.2">
      <c r="A46" s="89">
        <v>45180</v>
      </c>
      <c r="B46" s="128" t="s">
        <v>11</v>
      </c>
      <c r="C46" s="10" t="s">
        <v>218</v>
      </c>
      <c r="D46" s="11" t="s">
        <v>29</v>
      </c>
      <c r="E46" s="86"/>
      <c r="F46" s="70">
        <v>53355</v>
      </c>
      <c r="G46" s="1"/>
      <c r="N46" s="1"/>
    </row>
    <row r="47" spans="1:14" s="2" customFormat="1" x14ac:dyDescent="0.2">
      <c r="A47" s="89">
        <v>45180</v>
      </c>
      <c r="B47" s="128" t="s">
        <v>11</v>
      </c>
      <c r="C47" s="10" t="s">
        <v>217</v>
      </c>
      <c r="D47" s="11" t="s">
        <v>29</v>
      </c>
      <c r="E47" s="86"/>
      <c r="F47" s="70">
        <v>51995</v>
      </c>
      <c r="G47" s="1"/>
      <c r="N47" s="1"/>
    </row>
    <row r="48" spans="1:14" s="2" customFormat="1" x14ac:dyDescent="0.2">
      <c r="A48" s="89">
        <v>45180</v>
      </c>
      <c r="B48" s="128" t="s">
        <v>11</v>
      </c>
      <c r="C48" s="10" t="s">
        <v>1181</v>
      </c>
      <c r="D48" s="11" t="s">
        <v>29</v>
      </c>
      <c r="E48" s="86"/>
      <c r="F48" s="70">
        <v>55480</v>
      </c>
      <c r="G48" s="1"/>
      <c r="N48" s="1"/>
    </row>
    <row r="49" spans="1:11" s="124" customFormat="1" ht="12.75" customHeight="1" x14ac:dyDescent="0.25">
      <c r="A49" s="89">
        <v>45180</v>
      </c>
      <c r="B49" s="128" t="s">
        <v>11</v>
      </c>
      <c r="C49" s="163" t="s">
        <v>723</v>
      </c>
      <c r="D49" s="11" t="s">
        <v>29</v>
      </c>
      <c r="E49" s="164"/>
      <c r="F49" s="165">
        <v>2970303.37</v>
      </c>
      <c r="G49" s="166"/>
    </row>
    <row r="50" spans="1:11" s="124" customFormat="1" ht="12.75" customHeight="1" x14ac:dyDescent="0.25">
      <c r="A50" s="89">
        <v>45180</v>
      </c>
      <c r="B50" s="128" t="s">
        <v>11</v>
      </c>
      <c r="C50" s="163" t="s">
        <v>107</v>
      </c>
      <c r="D50" s="11" t="s">
        <v>29</v>
      </c>
      <c r="E50" s="164"/>
      <c r="F50" s="165">
        <v>308194.34000000003</v>
      </c>
      <c r="G50" s="168"/>
      <c r="H50" s="167"/>
      <c r="I50" s="167"/>
      <c r="J50" s="168"/>
    </row>
    <row r="51" spans="1:11" s="124" customFormat="1" ht="12.75" customHeight="1" x14ac:dyDescent="0.25">
      <c r="A51" s="89">
        <v>45180</v>
      </c>
      <c r="B51" s="128" t="s">
        <v>11</v>
      </c>
      <c r="C51" s="163" t="s">
        <v>1403</v>
      </c>
      <c r="D51" s="11" t="s">
        <v>29</v>
      </c>
      <c r="E51" s="164"/>
      <c r="F51" s="165">
        <v>1344125</v>
      </c>
      <c r="G51" s="166"/>
      <c r="H51" s="167"/>
      <c r="I51" s="167"/>
      <c r="J51" s="168"/>
    </row>
    <row r="52" spans="1:11" s="2" customFormat="1" x14ac:dyDescent="0.2">
      <c r="A52" s="89">
        <v>45180</v>
      </c>
      <c r="B52" s="128" t="s">
        <v>11</v>
      </c>
      <c r="C52" s="10" t="s">
        <v>134</v>
      </c>
      <c r="D52" s="11" t="s">
        <v>29</v>
      </c>
      <c r="E52" s="86"/>
      <c r="F52" s="70">
        <v>2200000</v>
      </c>
      <c r="G52" s="30"/>
      <c r="I52" s="13"/>
      <c r="J52" s="13"/>
    </row>
    <row r="53" spans="1:11" s="70" customFormat="1" x14ac:dyDescent="0.2">
      <c r="A53" s="89">
        <v>45180</v>
      </c>
      <c r="B53" s="128" t="s">
        <v>11</v>
      </c>
      <c r="C53" s="10" t="s">
        <v>25</v>
      </c>
      <c r="D53" s="11" t="s">
        <v>29</v>
      </c>
      <c r="E53" s="86"/>
      <c r="F53" s="70">
        <v>1200000</v>
      </c>
      <c r="G53" s="30"/>
      <c r="H53" s="159"/>
      <c r="I53" s="160">
        <v>150000000</v>
      </c>
      <c r="J53" s="160" t="s">
        <v>1506</v>
      </c>
    </row>
    <row r="54" spans="1:11" s="70" customFormat="1" x14ac:dyDescent="0.2">
      <c r="A54" s="89">
        <v>45180</v>
      </c>
      <c r="B54" s="128" t="s">
        <v>11</v>
      </c>
      <c r="C54" s="10" t="s">
        <v>443</v>
      </c>
      <c r="D54" s="11" t="s">
        <v>29</v>
      </c>
      <c r="E54" s="86"/>
      <c r="F54" s="70">
        <v>1000000</v>
      </c>
      <c r="G54" s="30"/>
      <c r="H54" s="159"/>
      <c r="I54" s="160">
        <v>116067139.83</v>
      </c>
      <c r="J54" s="160" t="s">
        <v>1507</v>
      </c>
      <c r="K54" s="70" t="s">
        <v>1512</v>
      </c>
    </row>
    <row r="55" spans="1:11" s="70" customFormat="1" x14ac:dyDescent="0.2">
      <c r="A55" s="89">
        <v>45180</v>
      </c>
      <c r="B55" s="128" t="s">
        <v>11</v>
      </c>
      <c r="C55" s="10" t="s">
        <v>236</v>
      </c>
      <c r="D55" s="11" t="s">
        <v>29</v>
      </c>
      <c r="E55" s="86"/>
      <c r="F55" s="70">
        <v>1200000</v>
      </c>
      <c r="G55" s="30"/>
      <c r="H55" s="159" t="s">
        <v>1505</v>
      </c>
      <c r="I55" s="160">
        <f>+I53-I54</f>
        <v>33932860.170000002</v>
      </c>
      <c r="J55" s="160"/>
    </row>
    <row r="56" spans="1:11" s="70" customFormat="1" x14ac:dyDescent="0.2">
      <c r="A56" s="89">
        <v>45180</v>
      </c>
      <c r="B56" s="128" t="s">
        <v>11</v>
      </c>
      <c r="C56" s="10" t="s">
        <v>486</v>
      </c>
      <c r="D56" s="11" t="s">
        <v>29</v>
      </c>
      <c r="E56" s="86"/>
      <c r="F56" s="70">
        <v>1200000</v>
      </c>
      <c r="G56" s="30"/>
      <c r="I56" s="69"/>
      <c r="J56" s="69"/>
    </row>
    <row r="57" spans="1:11" s="70" customFormat="1" x14ac:dyDescent="0.2">
      <c r="A57" s="89">
        <v>45180</v>
      </c>
      <c r="B57" s="128" t="s">
        <v>11</v>
      </c>
      <c r="C57" s="10" t="s">
        <v>395</v>
      </c>
      <c r="D57" s="11" t="s">
        <v>29</v>
      </c>
      <c r="E57" s="86"/>
      <c r="F57" s="70">
        <v>200000</v>
      </c>
      <c r="G57" s="30"/>
      <c r="H57" s="1"/>
      <c r="I57" s="38">
        <v>114234933.12</v>
      </c>
      <c r="J57" s="2" t="s">
        <v>396</v>
      </c>
      <c r="K57" s="92">
        <f>E63-I57</f>
        <v>0</v>
      </c>
    </row>
    <row r="58" spans="1:11" s="70" customFormat="1" x14ac:dyDescent="0.2">
      <c r="A58" s="89">
        <v>45180</v>
      </c>
      <c r="B58" s="128" t="s">
        <v>11</v>
      </c>
      <c r="C58" s="10" t="s">
        <v>661</v>
      </c>
      <c r="D58" s="11" t="s">
        <v>29</v>
      </c>
      <c r="E58" s="86"/>
      <c r="F58" s="70">
        <v>150000</v>
      </c>
      <c r="G58" s="30"/>
    </row>
    <row r="59" spans="1:11" s="70" customFormat="1" x14ac:dyDescent="0.2">
      <c r="A59" s="89">
        <v>45180</v>
      </c>
      <c r="B59" s="128" t="s">
        <v>11</v>
      </c>
      <c r="C59" s="10" t="s">
        <v>62</v>
      </c>
      <c r="D59" s="11" t="s">
        <v>29</v>
      </c>
      <c r="E59" s="86"/>
      <c r="F59" s="70">
        <v>50000</v>
      </c>
      <c r="G59" s="30"/>
      <c r="I59" s="45">
        <v>1037.76</v>
      </c>
      <c r="J59" s="46"/>
      <c r="K59" s="46"/>
    </row>
    <row r="60" spans="1:11" s="70" customFormat="1" x14ac:dyDescent="0.2">
      <c r="A60" s="89">
        <v>45180</v>
      </c>
      <c r="B60" s="128" t="s">
        <v>11</v>
      </c>
      <c r="C60" s="10" t="s">
        <v>1519</v>
      </c>
      <c r="D60" s="11" t="s">
        <v>29</v>
      </c>
      <c r="E60" s="86"/>
      <c r="F60" s="70">
        <v>4000000</v>
      </c>
      <c r="G60" s="30"/>
      <c r="H60" s="103" t="s">
        <v>69</v>
      </c>
      <c r="I60" s="45">
        <v>-0.39</v>
      </c>
      <c r="J60" s="46"/>
      <c r="K60" s="46"/>
    </row>
    <row r="61" spans="1:11" s="70" customFormat="1" x14ac:dyDescent="0.2">
      <c r="A61" s="89">
        <v>45180</v>
      </c>
      <c r="B61" s="128" t="s">
        <v>11</v>
      </c>
      <c r="C61" s="10" t="s">
        <v>57</v>
      </c>
      <c r="D61" s="11" t="s">
        <v>29</v>
      </c>
      <c r="E61" s="86"/>
      <c r="F61" s="70">
        <v>6000000</v>
      </c>
      <c r="G61" s="30"/>
      <c r="H61" s="35" t="s">
        <v>70</v>
      </c>
      <c r="I61" s="45">
        <v>9.89</v>
      </c>
      <c r="J61" s="46">
        <f>+I62-D69</f>
        <v>2.9999999999972715E-2</v>
      </c>
      <c r="K61" s="2"/>
    </row>
    <row r="62" spans="1:11" s="70" customFormat="1" ht="12.75" customHeight="1" x14ac:dyDescent="0.2">
      <c r="A62" s="32"/>
      <c r="B62" s="33"/>
      <c r="C62" s="14"/>
      <c r="D62" s="34"/>
      <c r="E62" s="16">
        <f>SUM(E24:E61)</f>
        <v>12775378.93</v>
      </c>
      <c r="F62" s="16">
        <f>SUM(F24:F61)</f>
        <v>127010312.0500001</v>
      </c>
      <c r="G62" s="30"/>
      <c r="I62" s="49">
        <f>SUM(I59:I61)</f>
        <v>1047.26</v>
      </c>
      <c r="J62" s="46"/>
      <c r="K62" s="46"/>
    </row>
    <row r="63" spans="1:11" s="70" customFormat="1" ht="12.75" customHeight="1" x14ac:dyDescent="0.2">
      <c r="A63" s="36"/>
      <c r="B63" s="28" t="s">
        <v>11</v>
      </c>
      <c r="C63" s="19" t="s">
        <v>65</v>
      </c>
      <c r="D63" s="37"/>
      <c r="E63" s="38">
        <f>F62-E62</f>
        <v>114234933.12000009</v>
      </c>
      <c r="F63" s="22"/>
      <c r="G63" s="30"/>
    </row>
    <row r="64" spans="1:11" s="70" customFormat="1" ht="12.75" customHeight="1" x14ac:dyDescent="0.2">
      <c r="A64" s="36"/>
      <c r="B64" s="28" t="s">
        <v>66</v>
      </c>
      <c r="C64" s="43" t="s">
        <v>1457</v>
      </c>
      <c r="D64" s="43"/>
      <c r="E64" s="12">
        <v>350000000</v>
      </c>
      <c r="F64" s="22"/>
      <c r="G64" s="30"/>
    </row>
    <row r="65" spans="1:14" s="70" customFormat="1" ht="12.75" customHeight="1" x14ac:dyDescent="0.25">
      <c r="A65" s="36"/>
      <c r="B65" s="28"/>
      <c r="C65" s="44" t="s">
        <v>68</v>
      </c>
      <c r="D65" s="43"/>
      <c r="E65" s="7">
        <f>+E64+E63</f>
        <v>464234933.12000012</v>
      </c>
      <c r="F65" s="22"/>
      <c r="G65" s="30"/>
    </row>
    <row r="66" spans="1:14" s="70" customFormat="1" ht="12.75" customHeight="1" x14ac:dyDescent="0.25">
      <c r="A66" s="24"/>
      <c r="B66" s="1"/>
      <c r="C66" s="44" t="s">
        <v>1510</v>
      </c>
      <c r="D66" s="25"/>
      <c r="E66" s="156">
        <f>+I55</f>
        <v>33932860.170000002</v>
      </c>
      <c r="F66" s="2"/>
      <c r="G66" s="30"/>
    </row>
    <row r="67" spans="1:14" s="70" customFormat="1" ht="12.75" customHeight="1" x14ac:dyDescent="0.2">
      <c r="A67" s="24"/>
      <c r="B67" s="1"/>
      <c r="C67" s="56"/>
      <c r="D67" s="56"/>
      <c r="E67" s="104"/>
      <c r="F67" s="2"/>
      <c r="G67" s="30"/>
    </row>
    <row r="68" spans="1:14" s="70" customFormat="1" ht="12.75" customHeight="1" x14ac:dyDescent="0.2">
      <c r="A68" s="24"/>
      <c r="B68" s="1"/>
      <c r="C68" s="78" t="s">
        <v>575</v>
      </c>
      <c r="D68" s="48" t="s">
        <v>576</v>
      </c>
      <c r="E68" s="104"/>
      <c r="F68" s="2"/>
      <c r="G68" s="30"/>
    </row>
    <row r="69" spans="1:14" s="2" customFormat="1" ht="12.75" customHeight="1" x14ac:dyDescent="0.2">
      <c r="A69" s="24"/>
      <c r="B69" s="1"/>
      <c r="C69" s="47" t="s">
        <v>570</v>
      </c>
      <c r="D69" s="111">
        <v>1047.23</v>
      </c>
      <c r="E69" s="104"/>
      <c r="G69" s="30"/>
      <c r="H69" s="110" t="s">
        <v>581</v>
      </c>
      <c r="L69" s="41"/>
      <c r="M69" s="42"/>
    </row>
    <row r="70" spans="1:14" s="2" customFormat="1" ht="12.75" customHeight="1" x14ac:dyDescent="0.2">
      <c r="A70" s="24"/>
      <c r="B70" s="1"/>
      <c r="C70" s="47" t="s">
        <v>931</v>
      </c>
      <c r="D70" s="111">
        <v>149.04</v>
      </c>
      <c r="E70" s="104"/>
      <c r="G70" s="1"/>
      <c r="H70" s="110" t="s">
        <v>580</v>
      </c>
      <c r="J70" s="1"/>
      <c r="K70" s="1"/>
      <c r="L70" s="1"/>
      <c r="M70" s="1"/>
    </row>
    <row r="71" spans="1:14" s="2" customFormat="1" ht="12.75" customHeight="1" x14ac:dyDescent="0.2">
      <c r="A71" s="24"/>
      <c r="B71" s="1"/>
      <c r="C71" s="47" t="s">
        <v>572</v>
      </c>
      <c r="D71" s="111">
        <f>+D102/100000</f>
        <v>143.0852021</v>
      </c>
      <c r="E71" s="104"/>
      <c r="G71" s="1"/>
      <c r="H71" s="90" t="s">
        <v>587</v>
      </c>
      <c r="L71" s="13"/>
      <c r="M71" s="69" t="s">
        <v>396</v>
      </c>
    </row>
    <row r="72" spans="1:14" s="2" customFormat="1" ht="12.75" customHeight="1" x14ac:dyDescent="0.2">
      <c r="A72" s="24"/>
      <c r="B72" s="1"/>
      <c r="C72" s="108" t="s">
        <v>578</v>
      </c>
      <c r="D72" s="48">
        <f>SUM(D69:D71)</f>
        <v>1339.3552021</v>
      </c>
      <c r="E72" s="104"/>
      <c r="G72" s="1"/>
      <c r="N72" s="1"/>
    </row>
    <row r="73" spans="1:14" s="2" customFormat="1" x14ac:dyDescent="0.2">
      <c r="A73" s="24"/>
      <c r="B73" s="1"/>
      <c r="C73" s="47"/>
      <c r="D73" s="107"/>
      <c r="E73" s="104"/>
      <c r="M73" s="2" t="s">
        <v>396</v>
      </c>
      <c r="N73" s="1"/>
    </row>
    <row r="74" spans="1:14" x14ac:dyDescent="0.2">
      <c r="C74" s="47" t="s">
        <v>932</v>
      </c>
      <c r="D74" s="111">
        <v>63.68</v>
      </c>
      <c r="E74" s="104"/>
      <c r="H74" s="110" t="s">
        <v>581</v>
      </c>
      <c r="L74" s="2"/>
      <c r="M74" s="2"/>
      <c r="N74" s="2"/>
    </row>
    <row r="75" spans="1:14" x14ac:dyDescent="0.2">
      <c r="C75" s="136" t="s">
        <v>1142</v>
      </c>
      <c r="D75" s="111">
        <v>0</v>
      </c>
      <c r="E75" s="104"/>
      <c r="H75" s="110" t="s">
        <v>581</v>
      </c>
      <c r="I75" s="2"/>
      <c r="J75" s="2"/>
      <c r="K75" s="2"/>
      <c r="L75" s="2"/>
      <c r="M75" s="2"/>
      <c r="N75" s="2"/>
    </row>
    <row r="76" spans="1:14" s="2" customFormat="1" x14ac:dyDescent="0.2">
      <c r="A76" s="24"/>
      <c r="B76" s="1"/>
      <c r="C76" s="78" t="s">
        <v>579</v>
      </c>
      <c r="D76" s="109">
        <f>D74+D75</f>
        <v>63.68</v>
      </c>
      <c r="E76" s="104"/>
      <c r="G76" s="1"/>
      <c r="N76" s="2" t="s">
        <v>535</v>
      </c>
    </row>
    <row r="77" spans="1:14" s="2" customFormat="1" x14ac:dyDescent="0.2">
      <c r="A77" s="24"/>
      <c r="B77" s="1"/>
      <c r="C77" s="105"/>
      <c r="D77" s="106"/>
      <c r="E77" s="104"/>
      <c r="G77" s="1"/>
    </row>
    <row r="78" spans="1:14" s="2" customFormat="1" x14ac:dyDescent="0.2">
      <c r="A78" s="24"/>
      <c r="B78" s="1"/>
      <c r="C78" s="78" t="s">
        <v>577</v>
      </c>
      <c r="D78" s="109">
        <f>D69+D76</f>
        <v>1110.9100000000001</v>
      </c>
      <c r="E78" s="104"/>
      <c r="G78" s="1"/>
    </row>
    <row r="79" spans="1:14" s="2" customFormat="1" x14ac:dyDescent="0.2">
      <c r="A79" s="24"/>
      <c r="B79" s="1"/>
      <c r="C79" s="56"/>
      <c r="D79" s="56"/>
      <c r="E79" s="104"/>
      <c r="G79" s="1"/>
      <c r="J79" s="114" t="s">
        <v>713</v>
      </c>
    </row>
    <row r="80" spans="1:14" s="2" customFormat="1" ht="38.25" x14ac:dyDescent="0.2">
      <c r="A80" s="24"/>
      <c r="B80" s="1"/>
      <c r="C80" s="79" t="str">
        <f>"Particulars ( 01-04-2021 to "&amp;TEXT(A5,"dd-mm-yyyy")&amp;" )"</f>
        <v>Particulars ( 01-04-2021 to 11-09-2023 )</v>
      </c>
      <c r="D80" s="80" t="s">
        <v>73</v>
      </c>
      <c r="E80" s="80" t="s">
        <v>74</v>
      </c>
      <c r="F80" s="81" t="s">
        <v>75</v>
      </c>
      <c r="G80" s="80" t="s">
        <v>76</v>
      </c>
      <c r="I80" s="113"/>
      <c r="J80" s="113" t="s">
        <v>709</v>
      </c>
      <c r="K80" s="113" t="s">
        <v>710</v>
      </c>
      <c r="L80" s="113" t="s">
        <v>711</v>
      </c>
      <c r="M80" s="113" t="s">
        <v>712</v>
      </c>
    </row>
    <row r="81" spans="1:13" s="2" customFormat="1" x14ac:dyDescent="0.2">
      <c r="A81" s="24"/>
      <c r="B81" s="1"/>
      <c r="C81" s="50" t="s">
        <v>444</v>
      </c>
      <c r="D81" s="55">
        <f>+L81+L82+J82</f>
        <v>4903.72</v>
      </c>
      <c r="E81" s="55">
        <f>+K81+K82</f>
        <v>4411.26</v>
      </c>
      <c r="F81" s="55">
        <f>+D81-E81</f>
        <v>492.46000000000004</v>
      </c>
      <c r="G81" s="55">
        <f>1500-F81</f>
        <v>1007.54</v>
      </c>
      <c r="I81" s="113" t="s">
        <v>706</v>
      </c>
      <c r="J81" s="115"/>
      <c r="K81" s="115">
        <v>968.99</v>
      </c>
      <c r="L81" s="115">
        <v>968.99</v>
      </c>
      <c r="M81" s="113">
        <f>+J81+L81-K81</f>
        <v>0</v>
      </c>
    </row>
    <row r="82" spans="1:13" s="2" customFormat="1" x14ac:dyDescent="0.2">
      <c r="A82" s="24"/>
      <c r="B82" s="1"/>
      <c r="C82" s="50" t="s">
        <v>71</v>
      </c>
      <c r="D82" s="55">
        <f>+J83+L83</f>
        <v>14728.710000000001</v>
      </c>
      <c r="E82" s="55">
        <f>+K83</f>
        <v>14084.87</v>
      </c>
      <c r="F82" s="55">
        <f>+D82-E82</f>
        <v>643.84000000000015</v>
      </c>
      <c r="G82" s="55">
        <f>1500+700-F82</f>
        <v>1556.1599999999999</v>
      </c>
      <c r="I82" s="113" t="s">
        <v>707</v>
      </c>
      <c r="J82" s="115">
        <v>183.1</v>
      </c>
      <c r="K82" s="115">
        <v>3442.27</v>
      </c>
      <c r="L82" s="115">
        <v>3751.63</v>
      </c>
      <c r="M82" s="113">
        <f>+J82+L82-K82</f>
        <v>492.46000000000004</v>
      </c>
    </row>
    <row r="83" spans="1:13" s="2" customFormat="1" x14ac:dyDescent="0.2">
      <c r="A83" s="24"/>
      <c r="B83" s="1"/>
      <c r="C83" s="14"/>
      <c r="D83" s="56"/>
      <c r="E83" s="13"/>
      <c r="G83" s="1"/>
      <c r="I83" s="113" t="s">
        <v>708</v>
      </c>
      <c r="J83" s="115">
        <v>1371.02</v>
      </c>
      <c r="K83" s="115">
        <v>14084.87</v>
      </c>
      <c r="L83" s="115">
        <v>13357.69</v>
      </c>
      <c r="M83" s="113">
        <f>+J83+L83-K83</f>
        <v>643.84000000000015</v>
      </c>
    </row>
    <row r="84" spans="1:13" s="2" customFormat="1" x14ac:dyDescent="0.2">
      <c r="A84" s="215" t="s">
        <v>80</v>
      </c>
      <c r="B84" s="216"/>
      <c r="C84" s="216"/>
      <c r="D84" s="217"/>
      <c r="E84" s="69"/>
      <c r="F84" s="70"/>
      <c r="G84" s="1"/>
      <c r="J84" s="118">
        <f>SUM(J81:J83)</f>
        <v>1554.12</v>
      </c>
      <c r="K84" s="118">
        <f>SUM(K81:K83)</f>
        <v>18496.13</v>
      </c>
      <c r="L84" s="118">
        <f>SUM(L81:L83)</f>
        <v>18078.310000000001</v>
      </c>
      <c r="M84" s="118">
        <f>SUM(M81:M83)</f>
        <v>1136.3000000000002</v>
      </c>
    </row>
    <row r="85" spans="1:13" s="2" customFormat="1" x14ac:dyDescent="0.2">
      <c r="A85" s="71" t="s">
        <v>81</v>
      </c>
      <c r="B85" s="71"/>
      <c r="C85" s="72" t="s">
        <v>82</v>
      </c>
      <c r="D85" s="73" t="s">
        <v>83</v>
      </c>
      <c r="E85" s="69"/>
      <c r="F85" s="70"/>
      <c r="G85" s="1"/>
    </row>
    <row r="86" spans="1:13" s="2" customFormat="1" x14ac:dyDescent="0.2">
      <c r="A86" s="87">
        <v>45170</v>
      </c>
      <c r="B86" s="120" t="s">
        <v>1052</v>
      </c>
      <c r="C86" s="75" t="s">
        <v>270</v>
      </c>
      <c r="D86" s="88">
        <v>117174</v>
      </c>
      <c r="G86" s="1"/>
    </row>
    <row r="87" spans="1:13" s="2" customFormat="1" x14ac:dyDescent="0.2">
      <c r="A87" s="87">
        <v>45171</v>
      </c>
      <c r="B87" s="120" t="s">
        <v>1052</v>
      </c>
      <c r="C87" s="75" t="s">
        <v>767</v>
      </c>
      <c r="D87" s="88">
        <v>278761</v>
      </c>
    </row>
    <row r="88" spans="1:13" s="2" customFormat="1" x14ac:dyDescent="0.2">
      <c r="A88" s="87">
        <v>45171</v>
      </c>
      <c r="B88" s="120" t="s">
        <v>1052</v>
      </c>
      <c r="C88" s="75" t="s">
        <v>201</v>
      </c>
      <c r="D88" s="88">
        <v>3500391.21</v>
      </c>
      <c r="H88" s="2" t="s">
        <v>396</v>
      </c>
    </row>
    <row r="89" spans="1:13" s="2" customFormat="1" x14ac:dyDescent="0.2">
      <c r="A89" s="87">
        <v>45173</v>
      </c>
      <c r="B89" s="120" t="s">
        <v>1052</v>
      </c>
      <c r="C89" s="75" t="s">
        <v>1478</v>
      </c>
      <c r="D89" s="88">
        <v>22763</v>
      </c>
      <c r="H89" s="2" t="s">
        <v>396</v>
      </c>
    </row>
    <row r="90" spans="1:13" s="2" customFormat="1" x14ac:dyDescent="0.2">
      <c r="A90" s="87">
        <v>45173</v>
      </c>
      <c r="B90" s="120" t="s">
        <v>1052</v>
      </c>
      <c r="C90" s="75" t="s">
        <v>1478</v>
      </c>
      <c r="D90" s="88">
        <v>1786258</v>
      </c>
      <c r="G90" s="1"/>
    </row>
    <row r="91" spans="1:13" s="2" customFormat="1" x14ac:dyDescent="0.2">
      <c r="A91" s="87">
        <v>45173</v>
      </c>
      <c r="B91" s="120" t="s">
        <v>1052</v>
      </c>
      <c r="C91" s="75" t="s">
        <v>1478</v>
      </c>
      <c r="D91" s="88">
        <v>1329469</v>
      </c>
      <c r="G91" s="1"/>
      <c r="H91" s="53"/>
    </row>
    <row r="92" spans="1:13" s="2" customFormat="1" x14ac:dyDescent="0.2">
      <c r="A92" s="87">
        <v>45175</v>
      </c>
      <c r="B92" s="120" t="s">
        <v>1052</v>
      </c>
      <c r="C92" s="75" t="s">
        <v>784</v>
      </c>
      <c r="D92" s="88">
        <v>673560</v>
      </c>
      <c r="H92" s="53"/>
    </row>
    <row r="93" spans="1:13" s="2" customFormat="1" x14ac:dyDescent="0.2">
      <c r="A93" s="87">
        <v>45175</v>
      </c>
      <c r="B93" s="120" t="s">
        <v>1052</v>
      </c>
      <c r="C93" s="75" t="s">
        <v>784</v>
      </c>
      <c r="D93" s="88">
        <v>700391</v>
      </c>
      <c r="G93" s="1"/>
      <c r="L93" s="1"/>
      <c r="M93" s="1"/>
    </row>
    <row r="94" spans="1:13" s="2" customFormat="1" x14ac:dyDescent="0.2">
      <c r="A94" s="87">
        <v>45175</v>
      </c>
      <c r="B94" s="120" t="s">
        <v>1052</v>
      </c>
      <c r="C94" s="75" t="s">
        <v>84</v>
      </c>
      <c r="D94" s="88">
        <v>1000000</v>
      </c>
      <c r="G94" s="1"/>
      <c r="L94" s="1"/>
      <c r="M94" s="1"/>
    </row>
    <row r="95" spans="1:13" s="2" customFormat="1" x14ac:dyDescent="0.2">
      <c r="A95" s="87">
        <v>45176</v>
      </c>
      <c r="B95" s="120" t="s">
        <v>1052</v>
      </c>
      <c r="C95" s="75" t="s">
        <v>85</v>
      </c>
      <c r="D95" s="88">
        <v>565814</v>
      </c>
      <c r="G95" s="1"/>
      <c r="L95" s="1"/>
      <c r="M95" s="1"/>
    </row>
    <row r="96" spans="1:13" s="2" customFormat="1" x14ac:dyDescent="0.2">
      <c r="A96" s="87">
        <v>45176</v>
      </c>
      <c r="B96" s="120" t="s">
        <v>1052</v>
      </c>
      <c r="C96" s="75" t="s">
        <v>271</v>
      </c>
      <c r="D96" s="88">
        <v>1691421</v>
      </c>
      <c r="G96" s="1"/>
      <c r="L96" s="1"/>
      <c r="M96" s="1"/>
    </row>
    <row r="97" spans="1:13" s="2" customFormat="1" x14ac:dyDescent="0.2">
      <c r="A97" s="87">
        <v>45177</v>
      </c>
      <c r="B97" s="120" t="s">
        <v>1052</v>
      </c>
      <c r="C97" s="75" t="s">
        <v>85</v>
      </c>
      <c r="D97" s="88">
        <v>432581</v>
      </c>
      <c r="G97" s="1"/>
      <c r="L97" s="1"/>
      <c r="M97" s="1"/>
    </row>
    <row r="98" spans="1:13" s="2" customFormat="1" x14ac:dyDescent="0.2">
      <c r="A98" s="87">
        <v>45177</v>
      </c>
      <c r="B98" s="120" t="s">
        <v>1052</v>
      </c>
      <c r="C98" s="75" t="s">
        <v>1521</v>
      </c>
      <c r="D98" s="88">
        <v>1198155</v>
      </c>
      <c r="G98" s="1"/>
      <c r="L98" s="1"/>
      <c r="M98" s="1"/>
    </row>
    <row r="99" spans="1:13" s="2" customFormat="1" x14ac:dyDescent="0.2">
      <c r="A99" s="87">
        <v>45180</v>
      </c>
      <c r="B99" s="120" t="s">
        <v>1052</v>
      </c>
      <c r="C99" s="75" t="s">
        <v>784</v>
      </c>
      <c r="D99" s="88">
        <v>279127</v>
      </c>
      <c r="G99" s="1"/>
      <c r="L99" s="1"/>
      <c r="M99" s="1"/>
    </row>
    <row r="100" spans="1:13" s="2" customFormat="1" x14ac:dyDescent="0.2">
      <c r="A100" s="87">
        <v>45180</v>
      </c>
      <c r="B100" s="120" t="s">
        <v>1052</v>
      </c>
      <c r="C100" s="75" t="s">
        <v>270</v>
      </c>
      <c r="D100" s="88">
        <v>30842</v>
      </c>
      <c r="G100" s="1"/>
      <c r="L100" s="1"/>
      <c r="M100" s="1"/>
    </row>
    <row r="101" spans="1:13" s="2" customFormat="1" x14ac:dyDescent="0.2">
      <c r="A101" s="87">
        <v>45180</v>
      </c>
      <c r="B101" s="120" t="s">
        <v>1052</v>
      </c>
      <c r="C101" s="75" t="s">
        <v>271</v>
      </c>
      <c r="D101" s="88">
        <v>701813</v>
      </c>
      <c r="G101" s="1"/>
      <c r="L101" s="1"/>
      <c r="M101" s="1"/>
    </row>
    <row r="102" spans="1:13" s="2" customFormat="1" x14ac:dyDescent="0.2">
      <c r="A102" s="87"/>
      <c r="B102" s="74"/>
      <c r="C102" s="75"/>
      <c r="D102" s="51">
        <f>SUM(D86:D101)</f>
        <v>14308520.210000001</v>
      </c>
      <c r="F102" s="2" t="s">
        <v>396</v>
      </c>
      <c r="G102" s="1"/>
      <c r="L102" s="1"/>
      <c r="M102" s="1"/>
    </row>
    <row r="103" spans="1:13" s="2" customFormat="1" x14ac:dyDescent="0.2">
      <c r="A103" s="24"/>
      <c r="B103" s="1"/>
      <c r="C103" s="14"/>
      <c r="D103" s="56"/>
      <c r="E103" s="13"/>
      <c r="G103" s="1"/>
      <c r="L103" s="1"/>
      <c r="M103" s="1"/>
    </row>
    <row r="104" spans="1:13" s="2" customFormat="1" x14ac:dyDescent="0.2">
      <c r="A104" s="24"/>
      <c r="B104" s="1"/>
      <c r="C104" s="218" t="s">
        <v>77</v>
      </c>
      <c r="D104" s="219"/>
      <c r="E104" s="219"/>
      <c r="F104" s="220"/>
      <c r="G104" s="1"/>
      <c r="L104" s="1"/>
      <c r="M104" s="1"/>
    </row>
    <row r="105" spans="1:13" s="2" customFormat="1" x14ac:dyDescent="0.2">
      <c r="A105" s="24"/>
      <c r="B105" s="1"/>
      <c r="C105" s="50"/>
      <c r="D105" s="57" t="s">
        <v>78</v>
      </c>
      <c r="E105" s="58" t="s">
        <v>79</v>
      </c>
      <c r="F105" s="57" t="s">
        <v>72</v>
      </c>
      <c r="G105" s="1"/>
      <c r="L105" s="1"/>
      <c r="M105" s="1"/>
    </row>
    <row r="106" spans="1:13" s="2" customFormat="1" x14ac:dyDescent="0.2">
      <c r="A106" s="24"/>
      <c r="B106" s="1"/>
      <c r="C106" s="59" t="str">
        <f>"01-09-2023 to "&amp;TEXT(A5-2,"dd-mm-yyyy")</f>
        <v>01-09-2023 to 09-09-2023</v>
      </c>
      <c r="D106" s="60">
        <v>824.62</v>
      </c>
      <c r="E106" s="60">
        <v>81.94</v>
      </c>
      <c r="F106" s="61">
        <f>SUM(D106:E106)</f>
        <v>906.56</v>
      </c>
      <c r="G106" s="1"/>
      <c r="L106" s="1"/>
      <c r="M106" s="1"/>
    </row>
    <row r="107" spans="1:13" s="2" customFormat="1" x14ac:dyDescent="0.2">
      <c r="A107" s="24"/>
      <c r="B107" s="1"/>
      <c r="C107" s="62" t="str">
        <f>TEXT(A5-1,"dd-mm-yyyy")</f>
        <v>10-09-2023</v>
      </c>
      <c r="D107" s="60">
        <v>0</v>
      </c>
      <c r="E107" s="60">
        <v>0</v>
      </c>
      <c r="F107" s="61">
        <f>SUM(D107:E107)</f>
        <v>0</v>
      </c>
      <c r="G107" s="1"/>
      <c r="L107" s="1"/>
      <c r="M107" s="1"/>
    </row>
    <row r="108" spans="1:13" s="2" customFormat="1" ht="13.5" thickBot="1" x14ac:dyDescent="0.25">
      <c r="A108" s="24"/>
      <c r="B108" s="1"/>
      <c r="C108" s="63" t="str">
        <f>"01-09-2023 to "&amp;TEXT(A5-1,"dd-mm-yyyy")</f>
        <v>01-09-2023 to 10-09-2023</v>
      </c>
      <c r="D108" s="64">
        <f>SUM(D106:D107)</f>
        <v>824.62</v>
      </c>
      <c r="E108" s="64">
        <f>SUM(E106:E107)</f>
        <v>81.94</v>
      </c>
      <c r="F108" s="64">
        <f>SUM(F106:F107)</f>
        <v>906.56</v>
      </c>
      <c r="G108" s="1"/>
      <c r="L108" s="1"/>
      <c r="M108" s="1"/>
    </row>
    <row r="109" spans="1:13" s="2" customFormat="1" ht="13.5" thickTop="1" x14ac:dyDescent="0.2">
      <c r="A109" s="24"/>
      <c r="B109" s="1"/>
      <c r="C109" s="62"/>
      <c r="D109" s="65"/>
      <c r="E109" s="66"/>
      <c r="F109" s="67"/>
      <c r="G109" s="1"/>
      <c r="L109" s="1"/>
      <c r="M109" s="1"/>
    </row>
    <row r="110" spans="1:13" s="2" customFormat="1" x14ac:dyDescent="0.2">
      <c r="A110" s="24"/>
      <c r="B110" s="1"/>
      <c r="C110" s="62" t="str">
        <f>"01-04-2023 to " &amp;C107</f>
        <v>01-04-2023 to 10-09-2023</v>
      </c>
      <c r="D110" s="68">
        <f>+D108+24261.33</f>
        <v>25085.95</v>
      </c>
      <c r="E110" s="68">
        <f>+E108+1685.25</f>
        <v>1767.19</v>
      </c>
      <c r="F110" s="68">
        <f>+F108+25946.58</f>
        <v>26853.140000000003</v>
      </c>
      <c r="G110" s="1"/>
      <c r="L110" s="1"/>
      <c r="M110" s="1"/>
    </row>
    <row r="111" spans="1:13" s="2" customFormat="1" x14ac:dyDescent="0.2">
      <c r="A111" s="24"/>
      <c r="B111" s="1"/>
      <c r="C111" s="52"/>
      <c r="D111" s="85"/>
      <c r="E111" s="53"/>
      <c r="F111" s="53"/>
      <c r="G111" s="1"/>
      <c r="L111" s="1"/>
      <c r="M111" s="1"/>
    </row>
    <row r="112" spans="1:13" s="2" customFormat="1" x14ac:dyDescent="0.2">
      <c r="A112" s="24"/>
      <c r="B112" s="1"/>
      <c r="C112" s="52"/>
      <c r="D112" s="85"/>
      <c r="E112" s="53"/>
      <c r="F112" s="53"/>
      <c r="G112" s="1"/>
      <c r="I112" s="1"/>
      <c r="J112" s="1"/>
      <c r="K112" s="1"/>
      <c r="L112" s="1"/>
      <c r="M112" s="1"/>
    </row>
    <row r="113" spans="1:13" s="2" customFormat="1" x14ac:dyDescent="0.2">
      <c r="A113" s="24"/>
      <c r="B113" s="1"/>
      <c r="C113" s="52"/>
      <c r="D113" s="85"/>
      <c r="E113" s="53"/>
      <c r="F113" s="53"/>
      <c r="G113" s="1"/>
    </row>
    <row r="114" spans="1:13" s="2" customFormat="1" x14ac:dyDescent="0.2">
      <c r="A114" s="24"/>
      <c r="B114" s="1"/>
      <c r="C114" s="52"/>
      <c r="D114" s="85"/>
      <c r="E114" s="53"/>
      <c r="F114" s="53"/>
      <c r="G114" s="54"/>
      <c r="I114" s="1"/>
      <c r="J114" s="1"/>
      <c r="K114" s="1"/>
      <c r="L114" s="1"/>
      <c r="M114" s="1"/>
    </row>
    <row r="115" spans="1:13" s="2" customFormat="1" x14ac:dyDescent="0.2">
      <c r="A115" s="24"/>
      <c r="B115" s="1"/>
      <c r="C115" s="14"/>
      <c r="D115" s="25"/>
      <c r="G115" s="54"/>
      <c r="I115" s="1"/>
      <c r="J115" s="1"/>
      <c r="K115" s="1"/>
      <c r="L115" s="1"/>
      <c r="M115" s="1"/>
    </row>
    <row r="116" spans="1:13" s="2" customFormat="1" x14ac:dyDescent="0.2">
      <c r="A116" s="24"/>
      <c r="B116" s="1"/>
      <c r="C116" s="14"/>
      <c r="D116" s="25"/>
      <c r="G116" s="54"/>
      <c r="I116" s="1"/>
      <c r="J116" s="1"/>
      <c r="K116" s="1"/>
      <c r="L116" s="1"/>
      <c r="M116" s="1"/>
    </row>
    <row r="117" spans="1:13" s="2" customFormat="1" x14ac:dyDescent="0.2">
      <c r="A117" s="24"/>
      <c r="B117" s="1"/>
      <c r="C117" s="14"/>
      <c r="D117" s="25"/>
      <c r="G117" s="54"/>
      <c r="I117" s="1"/>
      <c r="J117" s="1"/>
      <c r="K117" s="1"/>
      <c r="L117" s="1"/>
      <c r="M117" s="1"/>
    </row>
    <row r="118" spans="1:13" x14ac:dyDescent="0.2">
      <c r="G118" s="54"/>
      <c r="H118" s="2" t="s">
        <v>396</v>
      </c>
    </row>
    <row r="119" spans="1:13" s="2" customFormat="1" x14ac:dyDescent="0.2">
      <c r="A119" s="24"/>
      <c r="B119" s="1"/>
      <c r="C119" s="14"/>
      <c r="D119" s="25"/>
      <c r="G119" s="54"/>
      <c r="H119" s="53"/>
    </row>
    <row r="120" spans="1:13" x14ac:dyDescent="0.2">
      <c r="G120" s="54"/>
      <c r="H120" s="53" t="s">
        <v>396</v>
      </c>
    </row>
    <row r="121" spans="1:13" x14ac:dyDescent="0.2">
      <c r="G121" s="54"/>
      <c r="H121" s="53" t="s">
        <v>396</v>
      </c>
      <c r="J121" s="42"/>
    </row>
    <row r="122" spans="1:13" x14ac:dyDescent="0.2">
      <c r="G122" s="54"/>
      <c r="H122" s="53"/>
      <c r="I122" s="101"/>
    </row>
    <row r="123" spans="1:13" x14ac:dyDescent="0.2">
      <c r="G123" s="54"/>
      <c r="H123" s="53"/>
    </row>
    <row r="124" spans="1:13" x14ac:dyDescent="0.2">
      <c r="G124" s="54"/>
      <c r="H124" s="53"/>
    </row>
    <row r="125" spans="1:13" x14ac:dyDescent="0.2">
      <c r="H125" s="53"/>
    </row>
  </sheetData>
  <mergeCells count="6">
    <mergeCell ref="C104:F104"/>
    <mergeCell ref="A1:G1"/>
    <mergeCell ref="A3:F3"/>
    <mergeCell ref="A10:F10"/>
    <mergeCell ref="A22:F22"/>
    <mergeCell ref="A84:D84"/>
  </mergeCells>
  <conditionalFormatting sqref="G81:G82">
    <cfRule type="cellIs" dxfId="321" priority="1" operator="lessThan">
      <formula>0</formula>
    </cfRule>
  </conditionalFormatting>
  <conditionalFormatting sqref="C24">
    <cfRule type="duplicateValues" dxfId="320" priority="2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200-000000000000}">
  <sheetPr codeName="Sheet426">
    <pageSetUpPr fitToPage="1"/>
  </sheetPr>
  <dimension ref="A1:N129"/>
  <sheetViews>
    <sheetView topLeftCell="A77" zoomScaleNormal="100" workbookViewId="0">
      <selection activeCell="A102" sqref="A102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1" ht="20.25" customHeight="1" x14ac:dyDescent="0.4">
      <c r="A1" s="212" t="s">
        <v>1523</v>
      </c>
      <c r="B1" s="212"/>
      <c r="C1" s="212"/>
      <c r="D1" s="212"/>
      <c r="E1" s="212"/>
      <c r="F1" s="212"/>
      <c r="G1" s="212"/>
      <c r="H1" s="112"/>
      <c r="I1" s="112"/>
    </row>
    <row r="2" spans="1:11" ht="12.75" customHeight="1" x14ac:dyDescent="0.4">
      <c r="H2" s="112"/>
      <c r="I2" s="112"/>
    </row>
    <row r="3" spans="1:11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1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1" s="2" customFormat="1" ht="14.25" customHeight="1" x14ac:dyDescent="0.4">
      <c r="A5" s="89">
        <v>45181</v>
      </c>
      <c r="B5" s="9" t="s">
        <v>6</v>
      </c>
      <c r="C5" s="10" t="s">
        <v>7</v>
      </c>
      <c r="D5" s="11"/>
      <c r="E5" s="12">
        <v>2889569.790000001</v>
      </c>
      <c r="F5" s="12"/>
      <c r="G5" s="1"/>
      <c r="H5" s="112"/>
      <c r="I5" s="112"/>
    </row>
    <row r="6" spans="1:11" s="2" customFormat="1" ht="14.25" customHeight="1" x14ac:dyDescent="0.4">
      <c r="A6" s="89">
        <v>45181</v>
      </c>
      <c r="B6" s="9" t="s">
        <v>6</v>
      </c>
      <c r="C6" s="10" t="s">
        <v>1524</v>
      </c>
      <c r="D6" s="11" t="s">
        <v>13</v>
      </c>
      <c r="E6" s="12">
        <v>10000000</v>
      </c>
      <c r="F6" s="12"/>
      <c r="G6" s="1"/>
      <c r="H6" s="112"/>
      <c r="I6" s="112"/>
    </row>
    <row r="7" spans="1:11" s="2" customFormat="1" ht="14.25" customHeight="1" x14ac:dyDescent="0.4">
      <c r="A7" s="89">
        <v>45181</v>
      </c>
      <c r="B7" s="9" t="s">
        <v>11</v>
      </c>
      <c r="C7" s="10" t="s">
        <v>489</v>
      </c>
      <c r="D7" s="11" t="s">
        <v>29</v>
      </c>
      <c r="E7" s="12"/>
      <c r="F7" s="12">
        <v>500000</v>
      </c>
      <c r="G7" s="1"/>
      <c r="H7" s="112"/>
      <c r="I7" s="112"/>
    </row>
    <row r="8" spans="1:11" s="2" customFormat="1" ht="12.75" customHeight="1" x14ac:dyDescent="0.4">
      <c r="D8" s="15" t="s">
        <v>8</v>
      </c>
      <c r="E8" s="16">
        <f>SUM(E5:E7)</f>
        <v>12889569.790000001</v>
      </c>
      <c r="F8" s="16">
        <f>SUM(F5:F7)</f>
        <v>500000</v>
      </c>
      <c r="G8" s="1"/>
      <c r="H8" s="112"/>
      <c r="I8" s="112"/>
    </row>
    <row r="9" spans="1:11" s="2" customFormat="1" ht="12.75" customHeight="1" x14ac:dyDescent="0.4">
      <c r="A9" s="17"/>
      <c r="B9" s="18"/>
      <c r="C9" s="19" t="s">
        <v>9</v>
      </c>
      <c r="D9" s="20"/>
      <c r="E9" s="21">
        <f>+E8-F8</f>
        <v>12389569.790000001</v>
      </c>
      <c r="F9" s="22"/>
      <c r="G9" s="23"/>
      <c r="H9" s="112"/>
      <c r="I9" s="112"/>
      <c r="J9" s="13"/>
    </row>
    <row r="10" spans="1:11" ht="12.75" customHeight="1" x14ac:dyDescent="0.4">
      <c r="H10" s="112"/>
      <c r="I10" s="112"/>
    </row>
    <row r="11" spans="1:11" ht="18" customHeight="1" x14ac:dyDescent="0.4">
      <c r="A11" s="213" t="s">
        <v>1037</v>
      </c>
      <c r="B11" s="213"/>
      <c r="C11" s="213"/>
      <c r="D11" s="213"/>
      <c r="E11" s="213"/>
      <c r="F11" s="213"/>
      <c r="H11" s="112"/>
      <c r="I11" s="112"/>
    </row>
    <row r="12" spans="1:11" ht="12.75" customHeight="1" x14ac:dyDescent="0.4">
      <c r="A12" s="3" t="s">
        <v>1</v>
      </c>
      <c r="B12" s="4" t="s">
        <v>2</v>
      </c>
      <c r="C12" s="5"/>
      <c r="D12" s="6" t="s">
        <v>3</v>
      </c>
      <c r="E12" s="7" t="s">
        <v>4</v>
      </c>
      <c r="F12" s="7" t="s">
        <v>5</v>
      </c>
      <c r="H12" s="112"/>
      <c r="I12" s="169">
        <v>90000000</v>
      </c>
      <c r="J12" s="169" t="s">
        <v>1508</v>
      </c>
      <c r="K12" s="124"/>
    </row>
    <row r="13" spans="1:11" s="2" customFormat="1" ht="14.25" customHeight="1" x14ac:dyDescent="0.2">
      <c r="A13" s="89">
        <v>45181</v>
      </c>
      <c r="B13" s="9" t="s">
        <v>6</v>
      </c>
      <c r="C13" s="10" t="s">
        <v>7</v>
      </c>
      <c r="D13" s="11"/>
      <c r="F13" s="12">
        <v>84754094.920000032</v>
      </c>
      <c r="G13" s="1"/>
      <c r="H13" s="130" t="s">
        <v>396</v>
      </c>
      <c r="I13" s="169">
        <v>87972147.480000004</v>
      </c>
      <c r="J13" s="169" t="s">
        <v>1509</v>
      </c>
      <c r="K13" s="165" t="s">
        <v>1512</v>
      </c>
    </row>
    <row r="14" spans="1:11" s="2" customFormat="1" ht="14.25" customHeight="1" x14ac:dyDescent="0.2">
      <c r="A14" s="89">
        <v>45181</v>
      </c>
      <c r="B14" s="9" t="s">
        <v>6</v>
      </c>
      <c r="C14" s="76" t="s">
        <v>1137</v>
      </c>
      <c r="D14" s="11" t="s">
        <v>13</v>
      </c>
      <c r="E14" s="2">
        <v>46617.440000000002</v>
      </c>
      <c r="F14" s="31"/>
      <c r="G14" s="1"/>
      <c r="H14" s="130"/>
      <c r="I14" s="169"/>
      <c r="J14" s="169"/>
      <c r="K14" s="124"/>
    </row>
    <row r="15" spans="1:11" s="2" customFormat="1" ht="14.25" customHeight="1" x14ac:dyDescent="0.2">
      <c r="A15" s="89">
        <v>45181</v>
      </c>
      <c r="B15" s="9" t="s">
        <v>6</v>
      </c>
      <c r="C15" s="76" t="s">
        <v>147</v>
      </c>
      <c r="D15" s="11" t="s">
        <v>29</v>
      </c>
      <c r="F15" s="31">
        <v>3164625</v>
      </c>
      <c r="G15" s="1"/>
      <c r="H15" s="130"/>
      <c r="I15" s="169">
        <f>+I12-I13</f>
        <v>2027852.5199999958</v>
      </c>
      <c r="J15" s="169" t="s">
        <v>712</v>
      </c>
      <c r="K15" s="124"/>
    </row>
    <row r="16" spans="1:11" s="2" customFormat="1" ht="14.25" customHeight="1" x14ac:dyDescent="0.2">
      <c r="A16" s="89">
        <v>45181</v>
      </c>
      <c r="B16" s="9" t="s">
        <v>11</v>
      </c>
      <c r="C16" s="76" t="s">
        <v>1137</v>
      </c>
      <c r="D16" s="11" t="s">
        <v>29</v>
      </c>
      <c r="F16" s="31">
        <v>45</v>
      </c>
      <c r="G16" s="1"/>
      <c r="H16" s="130"/>
    </row>
    <row r="17" spans="1:14" s="2" customFormat="1" ht="14.25" customHeight="1" x14ac:dyDescent="0.2">
      <c r="D17" s="11" t="s">
        <v>8</v>
      </c>
      <c r="E17" s="16">
        <f>SUM(E13:E16)</f>
        <v>46617.440000000002</v>
      </c>
      <c r="F17" s="16">
        <f>SUM(F13:F16)</f>
        <v>87918764.920000032</v>
      </c>
      <c r="G17" s="1"/>
      <c r="I17" s="130"/>
    </row>
    <row r="18" spans="1:14" s="2" customFormat="1" ht="14.25" customHeight="1" x14ac:dyDescent="0.4">
      <c r="A18" s="17"/>
      <c r="B18" s="18"/>
      <c r="C18" s="96" t="s">
        <v>9</v>
      </c>
      <c r="D18" s="20"/>
      <c r="E18" s="21">
        <f>+F17-E17</f>
        <v>87872147.480000034</v>
      </c>
      <c r="G18" s="1"/>
      <c r="I18" s="112"/>
      <c r="J18" s="153" t="s">
        <v>779</v>
      </c>
    </row>
    <row r="19" spans="1:14" s="2" customFormat="1" ht="14.25" customHeight="1" x14ac:dyDescent="0.2">
      <c r="A19" s="36"/>
      <c r="B19" s="28" t="s">
        <v>66</v>
      </c>
      <c r="C19" s="43" t="s">
        <v>1458</v>
      </c>
      <c r="D19" s="43"/>
      <c r="E19" s="12">
        <v>30000000</v>
      </c>
      <c r="F19" s="22"/>
      <c r="G19" s="1"/>
      <c r="I19" s="40">
        <v>84854094.920000002</v>
      </c>
      <c r="J19" s="154">
        <f>I19-E18</f>
        <v>-3018052.5600000322</v>
      </c>
    </row>
    <row r="20" spans="1:14" s="2" customFormat="1" ht="14.25" customHeight="1" x14ac:dyDescent="0.25">
      <c r="A20" s="36"/>
      <c r="B20" s="28"/>
      <c r="C20" s="44" t="s">
        <v>68</v>
      </c>
      <c r="D20" s="43"/>
      <c r="E20" s="7">
        <f>+E18+E19</f>
        <v>117872147.48000003</v>
      </c>
      <c r="F20" s="22"/>
      <c r="G20" s="1"/>
    </row>
    <row r="21" spans="1:14" s="2" customFormat="1" ht="14.25" customHeight="1" x14ac:dyDescent="0.25">
      <c r="A21" s="36"/>
      <c r="B21" s="28"/>
      <c r="C21" s="44" t="s">
        <v>1511</v>
      </c>
      <c r="D21" s="43"/>
      <c r="E21" s="38">
        <f>+I15</f>
        <v>2027852.5199999958</v>
      </c>
      <c r="F21" s="22"/>
      <c r="G21" s="1"/>
    </row>
    <row r="22" spans="1:14" s="2" customFormat="1" ht="14.25" customHeight="1" x14ac:dyDescent="0.2">
      <c r="A22" s="24"/>
      <c r="B22" s="1"/>
      <c r="C22" s="14"/>
      <c r="D22" s="25"/>
      <c r="G22" s="1"/>
      <c r="I22" s="130"/>
      <c r="J22" s="130"/>
    </row>
    <row r="23" spans="1:14" s="2" customFormat="1" x14ac:dyDescent="0.2">
      <c r="A23" s="214" t="s">
        <v>10</v>
      </c>
      <c r="B23" s="214"/>
      <c r="C23" s="214"/>
      <c r="D23" s="214"/>
      <c r="E23" s="214"/>
      <c r="F23" s="214"/>
      <c r="G23" s="1"/>
      <c r="H23" s="130"/>
      <c r="I23" s="130"/>
    </row>
    <row r="24" spans="1:14" s="2" customFormat="1" ht="30" x14ac:dyDescent="0.4">
      <c r="A24" s="26" t="s">
        <v>1</v>
      </c>
      <c r="B24" s="27" t="s">
        <v>2</v>
      </c>
      <c r="C24" s="5"/>
      <c r="D24" s="6" t="s">
        <v>3</v>
      </c>
      <c r="E24" s="7" t="s">
        <v>4</v>
      </c>
      <c r="F24" s="7" t="s">
        <v>5</v>
      </c>
      <c r="G24" s="1"/>
      <c r="H24" s="112"/>
      <c r="I24" s="112"/>
    </row>
    <row r="25" spans="1:14" s="2" customFormat="1" x14ac:dyDescent="0.2">
      <c r="A25" s="89">
        <v>45181</v>
      </c>
      <c r="B25" s="128" t="s">
        <v>11</v>
      </c>
      <c r="C25" s="29" t="s">
        <v>7</v>
      </c>
      <c r="D25" s="25"/>
      <c r="E25" s="31"/>
      <c r="F25" s="2">
        <v>114234933.12000009</v>
      </c>
      <c r="G25" s="23"/>
      <c r="J25" s="13"/>
    </row>
    <row r="26" spans="1:14" s="2" customFormat="1" x14ac:dyDescent="0.2">
      <c r="A26" s="89">
        <v>45181</v>
      </c>
      <c r="B26" s="128" t="s">
        <v>6</v>
      </c>
      <c r="C26" s="10" t="s">
        <v>14</v>
      </c>
      <c r="D26" s="11" t="s">
        <v>13</v>
      </c>
      <c r="E26" s="86">
        <v>14319</v>
      </c>
      <c r="F26" s="70"/>
      <c r="G26" s="1"/>
      <c r="J26" s="146"/>
      <c r="K26" s="146"/>
      <c r="L26" s="13"/>
      <c r="M26" s="69" t="s">
        <v>396</v>
      </c>
    </row>
    <row r="27" spans="1:14" s="2" customFormat="1" x14ac:dyDescent="0.2">
      <c r="A27" s="89">
        <v>45181</v>
      </c>
      <c r="B27" s="128" t="s">
        <v>6</v>
      </c>
      <c r="C27" s="10" t="s">
        <v>947</v>
      </c>
      <c r="D27" s="11" t="s">
        <v>13</v>
      </c>
      <c r="E27" s="86">
        <v>1435731</v>
      </c>
      <c r="F27" s="70"/>
      <c r="G27" s="1"/>
      <c r="N27" s="1"/>
    </row>
    <row r="28" spans="1:14" s="2" customFormat="1" x14ac:dyDescent="0.2">
      <c r="A28" s="89">
        <v>45181</v>
      </c>
      <c r="B28" s="128" t="s">
        <v>6</v>
      </c>
      <c r="C28" s="10" t="s">
        <v>765</v>
      </c>
      <c r="D28" s="11" t="s">
        <v>13</v>
      </c>
      <c r="E28" s="86">
        <v>1115760.81</v>
      </c>
      <c r="F28" s="70"/>
      <c r="G28" s="1"/>
      <c r="N28" s="1"/>
    </row>
    <row r="29" spans="1:14" s="2" customFormat="1" x14ac:dyDescent="0.2">
      <c r="A29" s="89">
        <v>45181</v>
      </c>
      <c r="B29" s="128" t="s">
        <v>6</v>
      </c>
      <c r="C29" s="10" t="s">
        <v>773</v>
      </c>
      <c r="D29" s="11" t="s">
        <v>13</v>
      </c>
      <c r="E29" s="86">
        <v>2593578.84</v>
      </c>
      <c r="F29" s="70"/>
      <c r="G29" s="1"/>
      <c r="N29" s="1"/>
    </row>
    <row r="30" spans="1:14" s="2" customFormat="1" x14ac:dyDescent="0.2">
      <c r="A30" s="89">
        <v>45181</v>
      </c>
      <c r="B30" s="128" t="s">
        <v>6</v>
      </c>
      <c r="C30" s="10" t="s">
        <v>749</v>
      </c>
      <c r="D30" s="11" t="s">
        <v>13</v>
      </c>
      <c r="E30" s="86">
        <v>5860150.2000000002</v>
      </c>
      <c r="F30" s="70"/>
      <c r="G30" s="1"/>
      <c r="N30" s="1"/>
    </row>
    <row r="31" spans="1:14" s="2" customFormat="1" x14ac:dyDescent="0.2">
      <c r="A31" s="89">
        <v>45181</v>
      </c>
      <c r="B31" s="128" t="s">
        <v>6</v>
      </c>
      <c r="C31" s="10" t="s">
        <v>750</v>
      </c>
      <c r="D31" s="11" t="s">
        <v>13</v>
      </c>
      <c r="E31" s="86">
        <v>701246.5</v>
      </c>
      <c r="F31" s="70"/>
      <c r="G31" s="1"/>
      <c r="N31" s="1"/>
    </row>
    <row r="32" spans="1:14" s="2" customFormat="1" x14ac:dyDescent="0.2">
      <c r="A32" s="89">
        <v>45181</v>
      </c>
      <c r="B32" s="128" t="s">
        <v>6</v>
      </c>
      <c r="C32" s="10" t="s">
        <v>15</v>
      </c>
      <c r="D32" s="11" t="s">
        <v>13</v>
      </c>
      <c r="E32" s="86">
        <v>2007.56</v>
      </c>
      <c r="F32" s="70"/>
      <c r="G32" s="1"/>
      <c r="N32" s="1"/>
    </row>
    <row r="33" spans="1:14" s="2" customFormat="1" x14ac:dyDescent="0.2">
      <c r="A33" s="89">
        <v>45181</v>
      </c>
      <c r="B33" s="128" t="s">
        <v>6</v>
      </c>
      <c r="C33" s="10" t="s">
        <v>24</v>
      </c>
      <c r="D33" s="11" t="s">
        <v>13</v>
      </c>
      <c r="E33" s="86">
        <v>204410</v>
      </c>
      <c r="F33" s="70"/>
      <c r="G33" s="1"/>
      <c r="N33" s="1"/>
    </row>
    <row r="34" spans="1:14" s="2" customFormat="1" x14ac:dyDescent="0.2">
      <c r="A34" s="89">
        <v>45181</v>
      </c>
      <c r="B34" s="128" t="s">
        <v>6</v>
      </c>
      <c r="C34" s="10" t="s">
        <v>19</v>
      </c>
      <c r="D34" s="11" t="s">
        <v>13</v>
      </c>
      <c r="E34" s="86">
        <v>24547</v>
      </c>
      <c r="F34" s="70"/>
      <c r="G34" s="1"/>
      <c r="N34" s="1"/>
    </row>
    <row r="35" spans="1:14" s="2" customFormat="1" x14ac:dyDescent="0.2">
      <c r="A35" s="89">
        <v>45181</v>
      </c>
      <c r="B35" s="128" t="s">
        <v>6</v>
      </c>
      <c r="C35" s="10" t="s">
        <v>666</v>
      </c>
      <c r="D35" s="11" t="s">
        <v>13</v>
      </c>
      <c r="E35" s="86">
        <v>25134</v>
      </c>
      <c r="F35" s="70"/>
      <c r="G35" s="1"/>
      <c r="N35" s="1"/>
    </row>
    <row r="36" spans="1:14" s="2" customFormat="1" x14ac:dyDescent="0.2">
      <c r="A36" s="89">
        <v>45181</v>
      </c>
      <c r="B36" s="128" t="s">
        <v>6</v>
      </c>
      <c r="C36" s="10" t="s">
        <v>1382</v>
      </c>
      <c r="D36" s="11" t="s">
        <v>13</v>
      </c>
      <c r="E36" s="86">
        <v>65000</v>
      </c>
      <c r="F36" s="70"/>
      <c r="G36" s="1"/>
      <c r="N36" s="1"/>
    </row>
    <row r="37" spans="1:14" s="2" customFormat="1" x14ac:dyDescent="0.2">
      <c r="A37" s="89">
        <v>45181</v>
      </c>
      <c r="B37" s="128" t="s">
        <v>6</v>
      </c>
      <c r="C37" s="10" t="s">
        <v>296</v>
      </c>
      <c r="D37" s="11" t="s">
        <v>13</v>
      </c>
      <c r="E37" s="86">
        <v>80436</v>
      </c>
      <c r="F37" s="70"/>
      <c r="G37" s="1"/>
      <c r="N37" s="1"/>
    </row>
    <row r="38" spans="1:14" s="2" customFormat="1" x14ac:dyDescent="0.2">
      <c r="A38" s="89">
        <v>45181</v>
      </c>
      <c r="B38" s="128" t="s">
        <v>6</v>
      </c>
      <c r="C38" s="10" t="s">
        <v>105</v>
      </c>
      <c r="D38" s="11" t="s">
        <v>13</v>
      </c>
      <c r="E38" s="86">
        <v>29030</v>
      </c>
      <c r="F38" s="70"/>
      <c r="G38" s="1"/>
      <c r="N38" s="1"/>
    </row>
    <row r="39" spans="1:14" s="2" customFormat="1" x14ac:dyDescent="0.2">
      <c r="A39" s="89">
        <v>45181</v>
      </c>
      <c r="B39" s="128" t="s">
        <v>6</v>
      </c>
      <c r="C39" s="10" t="s">
        <v>1033</v>
      </c>
      <c r="D39" s="11" t="s">
        <v>13</v>
      </c>
      <c r="E39" s="86">
        <v>3124423</v>
      </c>
      <c r="F39" s="70"/>
      <c r="G39" s="1"/>
      <c r="N39" s="1"/>
    </row>
    <row r="40" spans="1:14" s="2" customFormat="1" x14ac:dyDescent="0.2">
      <c r="A40" s="89">
        <v>45181</v>
      </c>
      <c r="B40" s="128" t="s">
        <v>6</v>
      </c>
      <c r="C40" s="10" t="s">
        <v>425</v>
      </c>
      <c r="D40" s="11" t="s">
        <v>13</v>
      </c>
      <c r="E40" s="86">
        <v>17439</v>
      </c>
      <c r="F40" s="70"/>
      <c r="G40" s="1"/>
      <c r="N40" s="1"/>
    </row>
    <row r="41" spans="1:14" s="2" customFormat="1" x14ac:dyDescent="0.2">
      <c r="A41" s="89">
        <v>45181</v>
      </c>
      <c r="B41" s="128" t="s">
        <v>6</v>
      </c>
      <c r="C41" s="10" t="s">
        <v>1365</v>
      </c>
      <c r="D41" s="11" t="s">
        <v>13</v>
      </c>
      <c r="E41" s="86">
        <v>500000</v>
      </c>
      <c r="F41" s="70"/>
      <c r="G41" s="1"/>
      <c r="N41" s="1"/>
    </row>
    <row r="42" spans="1:14" s="2" customFormat="1" x14ac:dyDescent="0.2">
      <c r="A42" s="89">
        <v>45181</v>
      </c>
      <c r="B42" s="128" t="s">
        <v>6</v>
      </c>
      <c r="C42" s="10" t="s">
        <v>1232</v>
      </c>
      <c r="D42" s="11" t="s">
        <v>13</v>
      </c>
      <c r="E42" s="86">
        <v>147118</v>
      </c>
      <c r="F42" s="70"/>
      <c r="G42" s="1"/>
      <c r="N42" s="1"/>
    </row>
    <row r="43" spans="1:14" s="2" customFormat="1" x14ac:dyDescent="0.2">
      <c r="A43" s="89">
        <v>45181</v>
      </c>
      <c r="B43" s="128" t="s">
        <v>6</v>
      </c>
      <c r="C43" s="10" t="s">
        <v>163</v>
      </c>
      <c r="D43" s="11" t="s">
        <v>13</v>
      </c>
      <c r="E43" s="86">
        <v>36971</v>
      </c>
      <c r="F43" s="70"/>
      <c r="G43" s="1"/>
      <c r="N43" s="1"/>
    </row>
    <row r="44" spans="1:14" s="2" customFormat="1" x14ac:dyDescent="0.2">
      <c r="A44" s="89">
        <v>45181</v>
      </c>
      <c r="B44" s="128" t="s">
        <v>11</v>
      </c>
      <c r="C44" s="10" t="s">
        <v>64</v>
      </c>
      <c r="D44" s="11" t="s">
        <v>29</v>
      </c>
      <c r="E44" s="86"/>
      <c r="F44" s="70">
        <v>5908.2599999999993</v>
      </c>
      <c r="G44" s="1"/>
      <c r="N44" s="1"/>
    </row>
    <row r="45" spans="1:14" s="2" customFormat="1" x14ac:dyDescent="0.2">
      <c r="A45" s="89">
        <v>45181</v>
      </c>
      <c r="B45" s="128" t="s">
        <v>11</v>
      </c>
      <c r="C45" s="10" t="s">
        <v>626</v>
      </c>
      <c r="D45" s="11" t="s">
        <v>29</v>
      </c>
      <c r="E45" s="86"/>
      <c r="F45" s="70">
        <v>1463</v>
      </c>
      <c r="G45" s="1"/>
      <c r="N45" s="1"/>
    </row>
    <row r="46" spans="1:14" s="2" customFormat="1" x14ac:dyDescent="0.2">
      <c r="A46" s="89">
        <v>45181</v>
      </c>
      <c r="B46" s="128" t="s">
        <v>11</v>
      </c>
      <c r="C46" s="10" t="s">
        <v>349</v>
      </c>
      <c r="D46" s="11" t="s">
        <v>29</v>
      </c>
      <c r="E46" s="86"/>
      <c r="F46" s="70">
        <v>6944</v>
      </c>
      <c r="G46" s="1"/>
      <c r="N46" s="1"/>
    </row>
    <row r="47" spans="1:14" s="2" customFormat="1" x14ac:dyDescent="0.2">
      <c r="A47" s="89">
        <v>45181</v>
      </c>
      <c r="B47" s="128" t="s">
        <v>11</v>
      </c>
      <c r="C47" s="10" t="s">
        <v>1403</v>
      </c>
      <c r="D47" s="11" t="s">
        <v>29</v>
      </c>
      <c r="E47" s="86"/>
      <c r="F47" s="70">
        <v>1086093</v>
      </c>
      <c r="G47" s="1"/>
      <c r="N47" s="1"/>
    </row>
    <row r="48" spans="1:14" s="2" customFormat="1" x14ac:dyDescent="0.2">
      <c r="A48" s="89">
        <v>45181</v>
      </c>
      <c r="B48" s="128" t="s">
        <v>11</v>
      </c>
      <c r="C48" s="10" t="s">
        <v>254</v>
      </c>
      <c r="D48" s="11" t="s">
        <v>29</v>
      </c>
      <c r="E48" s="86"/>
      <c r="F48" s="70">
        <v>156983</v>
      </c>
      <c r="G48" s="1"/>
      <c r="N48" s="1"/>
    </row>
    <row r="49" spans="1:14" s="2" customFormat="1" x14ac:dyDescent="0.2">
      <c r="A49" s="89">
        <v>45181</v>
      </c>
      <c r="B49" s="128" t="s">
        <v>11</v>
      </c>
      <c r="C49" s="10" t="s">
        <v>340</v>
      </c>
      <c r="D49" s="11" t="s">
        <v>29</v>
      </c>
      <c r="E49" s="86"/>
      <c r="F49" s="70">
        <v>359595</v>
      </c>
      <c r="G49" s="1"/>
      <c r="N49" s="1"/>
    </row>
    <row r="50" spans="1:14" s="2" customFormat="1" x14ac:dyDescent="0.2">
      <c r="A50" s="89">
        <v>45181</v>
      </c>
      <c r="B50" s="128" t="s">
        <v>11</v>
      </c>
      <c r="C50" s="10" t="s">
        <v>253</v>
      </c>
      <c r="D50" s="11" t="s">
        <v>29</v>
      </c>
      <c r="E50" s="86"/>
      <c r="F50" s="70">
        <v>226560</v>
      </c>
      <c r="G50" s="1"/>
      <c r="N50" s="1"/>
    </row>
    <row r="51" spans="1:14" s="2" customFormat="1" x14ac:dyDescent="0.2">
      <c r="A51" s="89">
        <v>45181</v>
      </c>
      <c r="B51" s="128" t="s">
        <v>11</v>
      </c>
      <c r="C51" s="10" t="s">
        <v>1141</v>
      </c>
      <c r="D51" s="11" t="s">
        <v>29</v>
      </c>
      <c r="E51" s="86"/>
      <c r="F51" s="70">
        <v>120714</v>
      </c>
      <c r="G51" s="1"/>
      <c r="N51" s="1"/>
    </row>
    <row r="52" spans="1:14" s="124" customFormat="1" ht="12.75" customHeight="1" x14ac:dyDescent="0.25">
      <c r="A52" s="89">
        <v>45181</v>
      </c>
      <c r="B52" s="128" t="s">
        <v>11</v>
      </c>
      <c r="C52" s="163" t="s">
        <v>411</v>
      </c>
      <c r="D52" s="11" t="s">
        <v>29</v>
      </c>
      <c r="E52" s="164"/>
      <c r="F52" s="165">
        <v>10620</v>
      </c>
      <c r="G52" s="166"/>
    </row>
    <row r="53" spans="1:14" s="124" customFormat="1" ht="12.75" customHeight="1" x14ac:dyDescent="0.25">
      <c r="A53" s="89">
        <v>45181</v>
      </c>
      <c r="B53" s="128" t="s">
        <v>11</v>
      </c>
      <c r="C53" s="163" t="s">
        <v>45</v>
      </c>
      <c r="D53" s="11" t="s">
        <v>29</v>
      </c>
      <c r="E53" s="164"/>
      <c r="F53" s="165">
        <v>1632600</v>
      </c>
      <c r="G53" s="168"/>
      <c r="H53" s="167"/>
      <c r="I53" s="167"/>
      <c r="J53" s="168"/>
    </row>
    <row r="54" spans="1:14" s="124" customFormat="1" ht="12.75" customHeight="1" x14ac:dyDescent="0.25">
      <c r="A54" s="89">
        <v>45181</v>
      </c>
      <c r="B54" s="128" t="s">
        <v>11</v>
      </c>
      <c r="C54" s="163" t="s">
        <v>416</v>
      </c>
      <c r="D54" s="11" t="s">
        <v>29</v>
      </c>
      <c r="E54" s="164"/>
      <c r="F54" s="165">
        <v>566400</v>
      </c>
      <c r="G54" s="166"/>
      <c r="H54" s="167"/>
      <c r="I54" s="167"/>
      <c r="J54" s="168"/>
    </row>
    <row r="55" spans="1:14" s="2" customFormat="1" x14ac:dyDescent="0.2">
      <c r="A55" s="89">
        <v>45181</v>
      </c>
      <c r="B55" s="128" t="s">
        <v>11</v>
      </c>
      <c r="C55" s="10" t="s">
        <v>1269</v>
      </c>
      <c r="D55" s="11" t="s">
        <v>29</v>
      </c>
      <c r="E55" s="86"/>
      <c r="F55" s="70">
        <v>384766</v>
      </c>
      <c r="G55" s="30"/>
      <c r="I55" s="13"/>
      <c r="J55" s="13"/>
    </row>
    <row r="56" spans="1:14" s="70" customFormat="1" x14ac:dyDescent="0.2">
      <c r="A56" s="89">
        <v>45181</v>
      </c>
      <c r="B56" s="128" t="s">
        <v>11</v>
      </c>
      <c r="C56" s="10" t="s">
        <v>1519</v>
      </c>
      <c r="D56" s="11" t="s">
        <v>29</v>
      </c>
      <c r="E56" s="86"/>
      <c r="F56" s="70">
        <v>3500000</v>
      </c>
      <c r="G56" s="30"/>
      <c r="H56" s="159"/>
      <c r="I56" s="160">
        <v>150000000</v>
      </c>
      <c r="J56" s="160" t="s">
        <v>1506</v>
      </c>
    </row>
    <row r="57" spans="1:14" s="70" customFormat="1" x14ac:dyDescent="0.2">
      <c r="A57" s="89">
        <v>45181</v>
      </c>
      <c r="B57" s="128" t="s">
        <v>11</v>
      </c>
      <c r="C57" s="10" t="s">
        <v>57</v>
      </c>
      <c r="D57" s="11" t="s">
        <v>29</v>
      </c>
      <c r="E57" s="86"/>
      <c r="F57" s="70">
        <v>4000000</v>
      </c>
      <c r="G57" s="30"/>
      <c r="H57" s="159"/>
      <c r="I57" s="160">
        <v>118718627.18000001</v>
      </c>
      <c r="J57" s="160" t="s">
        <v>1507</v>
      </c>
      <c r="K57" s="70" t="s">
        <v>1512</v>
      </c>
    </row>
    <row r="58" spans="1:14" s="70" customFormat="1" x14ac:dyDescent="0.2">
      <c r="A58" s="89">
        <v>45181</v>
      </c>
      <c r="B58" s="128" t="s">
        <v>11</v>
      </c>
      <c r="C58" s="10" t="s">
        <v>792</v>
      </c>
      <c r="D58" s="11" t="s">
        <v>29</v>
      </c>
      <c r="E58" s="86"/>
      <c r="F58" s="70">
        <v>222212</v>
      </c>
      <c r="G58" s="30"/>
      <c r="H58" s="159" t="s">
        <v>1505</v>
      </c>
      <c r="I58" s="160">
        <f>+I56-I57</f>
        <v>31281372.819999993</v>
      </c>
      <c r="J58" s="160"/>
    </row>
    <row r="59" spans="1:14" s="70" customFormat="1" x14ac:dyDescent="0.2">
      <c r="A59" s="89">
        <v>45181</v>
      </c>
      <c r="B59" s="128" t="s">
        <v>11</v>
      </c>
      <c r="C59" s="10" t="s">
        <v>823</v>
      </c>
      <c r="D59" s="11" t="s">
        <v>29</v>
      </c>
      <c r="E59" s="86"/>
      <c r="F59" s="70">
        <v>15440</v>
      </c>
      <c r="G59" s="30"/>
      <c r="I59" s="69"/>
      <c r="J59" s="69"/>
    </row>
    <row r="60" spans="1:14" s="70" customFormat="1" x14ac:dyDescent="0.2">
      <c r="A60" s="89">
        <v>45181</v>
      </c>
      <c r="B60" s="128" t="s">
        <v>11</v>
      </c>
      <c r="C60" s="10" t="s">
        <v>1472</v>
      </c>
      <c r="D60" s="11" t="s">
        <v>29</v>
      </c>
      <c r="E60" s="86"/>
      <c r="F60" s="70">
        <v>296785</v>
      </c>
      <c r="G60" s="30"/>
      <c r="H60" s="1"/>
      <c r="I60" s="38">
        <v>120872714.47</v>
      </c>
      <c r="J60" s="2" t="s">
        <v>396</v>
      </c>
      <c r="K60" s="92">
        <f>E65-I60</f>
        <v>1.1920928955078125E-7</v>
      </c>
    </row>
    <row r="61" spans="1:14" s="70" customFormat="1" x14ac:dyDescent="0.2">
      <c r="A61" s="89">
        <v>45181</v>
      </c>
      <c r="B61" s="128" t="s">
        <v>11</v>
      </c>
      <c r="C61" s="10" t="s">
        <v>62</v>
      </c>
      <c r="D61" s="11" t="s">
        <v>29</v>
      </c>
      <c r="E61" s="86"/>
      <c r="F61" s="70">
        <v>20000</v>
      </c>
      <c r="G61" s="30"/>
    </row>
    <row r="62" spans="1:14" s="70" customFormat="1" x14ac:dyDescent="0.2">
      <c r="A62" s="89">
        <v>45181</v>
      </c>
      <c r="B62" s="128" t="s">
        <v>11</v>
      </c>
      <c r="C62" s="10" t="s">
        <v>402</v>
      </c>
      <c r="D62" s="11" t="s">
        <v>29</v>
      </c>
      <c r="E62" s="86"/>
      <c r="F62" s="70">
        <v>10000000</v>
      </c>
      <c r="G62" s="30"/>
      <c r="I62" s="45">
        <v>1098.8</v>
      </c>
      <c r="J62" s="46"/>
      <c r="K62" s="46"/>
    </row>
    <row r="63" spans="1:14" s="70" customFormat="1" x14ac:dyDescent="0.2">
      <c r="A63" s="89">
        <v>45181</v>
      </c>
      <c r="B63" s="128" t="s">
        <v>11</v>
      </c>
      <c r="C63" s="10" t="s">
        <v>490</v>
      </c>
      <c r="D63" s="11" t="s">
        <v>29</v>
      </c>
      <c r="E63" s="86"/>
      <c r="F63" s="70">
        <v>2000</v>
      </c>
      <c r="G63" s="30"/>
      <c r="H63" s="103" t="s">
        <v>69</v>
      </c>
      <c r="I63" s="45">
        <v>-45.15</v>
      </c>
      <c r="J63" s="46"/>
      <c r="K63" s="46"/>
    </row>
    <row r="64" spans="1:14" s="70" customFormat="1" x14ac:dyDescent="0.2">
      <c r="A64" s="32"/>
      <c r="B64" s="33"/>
      <c r="C64" s="14"/>
      <c r="D64" s="34"/>
      <c r="E64" s="16">
        <f>SUM(E25:E63)</f>
        <v>15977301.910000002</v>
      </c>
      <c r="F64" s="16">
        <f>SUM(F25:F63)</f>
        <v>136850016.38000011</v>
      </c>
      <c r="G64" s="30"/>
      <c r="H64" s="35" t="s">
        <v>70</v>
      </c>
      <c r="I64" s="45">
        <f>9.89+31.65</f>
        <v>41.54</v>
      </c>
      <c r="J64" s="46">
        <f>+I65-D71</f>
        <v>0</v>
      </c>
      <c r="K64" s="2"/>
    </row>
    <row r="65" spans="1:14" s="70" customFormat="1" ht="12.75" customHeight="1" x14ac:dyDescent="0.2">
      <c r="A65" s="36"/>
      <c r="B65" s="28" t="s">
        <v>11</v>
      </c>
      <c r="C65" s="19" t="s">
        <v>65</v>
      </c>
      <c r="D65" s="37"/>
      <c r="E65" s="38">
        <f>F64-E64</f>
        <v>120872714.47000012</v>
      </c>
      <c r="F65" s="22"/>
      <c r="G65" s="30"/>
      <c r="I65" s="49">
        <f>SUM(I62:I64)</f>
        <v>1095.1899999999998</v>
      </c>
      <c r="J65" s="46"/>
      <c r="K65" s="46"/>
    </row>
    <row r="66" spans="1:14" s="70" customFormat="1" ht="12.75" customHeight="1" x14ac:dyDescent="0.2">
      <c r="A66" s="36"/>
      <c r="B66" s="28" t="s">
        <v>66</v>
      </c>
      <c r="C66" s="43" t="s">
        <v>1457</v>
      </c>
      <c r="D66" s="43"/>
      <c r="E66" s="12">
        <v>350000000</v>
      </c>
      <c r="F66" s="22"/>
      <c r="G66" s="30"/>
    </row>
    <row r="67" spans="1:14" s="70" customFormat="1" ht="12.75" customHeight="1" x14ac:dyDescent="0.25">
      <c r="A67" s="36"/>
      <c r="B67" s="28"/>
      <c r="C67" s="44" t="s">
        <v>68</v>
      </c>
      <c r="D67" s="43"/>
      <c r="E67" s="7">
        <f>+E66+E65</f>
        <v>470872714.47000015</v>
      </c>
      <c r="F67" s="22"/>
      <c r="G67" s="30"/>
    </row>
    <row r="68" spans="1:14" s="70" customFormat="1" ht="12.75" customHeight="1" x14ac:dyDescent="0.25">
      <c r="A68" s="24"/>
      <c r="B68" s="1"/>
      <c r="C68" s="44" t="s">
        <v>1510</v>
      </c>
      <c r="D68" s="25"/>
      <c r="E68" s="156">
        <f>+I58</f>
        <v>31281372.819999993</v>
      </c>
      <c r="F68" s="2"/>
      <c r="G68" s="30"/>
    </row>
    <row r="69" spans="1:14" s="70" customFormat="1" ht="12.75" customHeight="1" x14ac:dyDescent="0.2">
      <c r="A69" s="24"/>
      <c r="B69" s="1"/>
      <c r="C69" s="56"/>
      <c r="D69" s="56"/>
      <c r="E69" s="104"/>
      <c r="F69" s="2"/>
      <c r="G69" s="30"/>
    </row>
    <row r="70" spans="1:14" s="70" customFormat="1" ht="12.75" customHeight="1" x14ac:dyDescent="0.2">
      <c r="A70" s="24"/>
      <c r="B70" s="1"/>
      <c r="C70" s="78" t="s">
        <v>575</v>
      </c>
      <c r="D70" s="48" t="s">
        <v>576</v>
      </c>
      <c r="E70" s="104"/>
      <c r="F70" s="2"/>
      <c r="G70" s="30"/>
    </row>
    <row r="71" spans="1:14" s="70" customFormat="1" ht="12.75" customHeight="1" x14ac:dyDescent="0.2">
      <c r="A71" s="24"/>
      <c r="B71" s="1"/>
      <c r="C71" s="47" t="s">
        <v>570</v>
      </c>
      <c r="D71" s="111">
        <v>1095.19</v>
      </c>
      <c r="E71" s="104"/>
      <c r="F71" s="2"/>
      <c r="G71" s="30"/>
      <c r="H71" s="110" t="s">
        <v>581</v>
      </c>
    </row>
    <row r="72" spans="1:14" s="2" customFormat="1" ht="12.75" customHeight="1" x14ac:dyDescent="0.2">
      <c r="A72" s="24"/>
      <c r="B72" s="1"/>
      <c r="C72" s="47" t="s">
        <v>931</v>
      </c>
      <c r="D72" s="111">
        <v>179.58</v>
      </c>
      <c r="E72" s="104"/>
      <c r="G72" s="30"/>
      <c r="H72" s="110" t="s">
        <v>580</v>
      </c>
      <c r="L72" s="41"/>
      <c r="M72" s="42"/>
    </row>
    <row r="73" spans="1:14" s="2" customFormat="1" ht="12.75" customHeight="1" x14ac:dyDescent="0.2">
      <c r="A73" s="24"/>
      <c r="B73" s="1"/>
      <c r="C73" s="47" t="s">
        <v>572</v>
      </c>
      <c r="D73" s="111">
        <f>+D105/100000</f>
        <v>144.9760321</v>
      </c>
      <c r="E73" s="104"/>
      <c r="G73" s="1"/>
      <c r="H73" s="90" t="s">
        <v>587</v>
      </c>
      <c r="J73" s="1"/>
      <c r="K73" s="1"/>
      <c r="L73" s="1"/>
      <c r="M73" s="1"/>
    </row>
    <row r="74" spans="1:14" s="2" customFormat="1" ht="12.75" customHeight="1" x14ac:dyDescent="0.2">
      <c r="A74" s="24"/>
      <c r="B74" s="1"/>
      <c r="C74" s="108" t="s">
        <v>578</v>
      </c>
      <c r="D74" s="48">
        <f>SUM(D71:D73)</f>
        <v>1419.7460320999999</v>
      </c>
      <c r="E74" s="104"/>
      <c r="G74" s="1"/>
      <c r="L74" s="13"/>
      <c r="M74" s="69" t="s">
        <v>396</v>
      </c>
    </row>
    <row r="75" spans="1:14" s="2" customFormat="1" ht="12.75" customHeight="1" x14ac:dyDescent="0.2">
      <c r="A75" s="24"/>
      <c r="B75" s="1"/>
      <c r="C75" s="47"/>
      <c r="D75" s="107"/>
      <c r="E75" s="104"/>
      <c r="G75" s="1"/>
      <c r="N75" s="1"/>
    </row>
    <row r="76" spans="1:14" s="2" customFormat="1" x14ac:dyDescent="0.2">
      <c r="A76" s="24"/>
      <c r="B76" s="1"/>
      <c r="C76" s="47" t="s">
        <v>932</v>
      </c>
      <c r="D76" s="111">
        <v>63.68</v>
      </c>
      <c r="E76" s="104"/>
      <c r="H76" s="110" t="s">
        <v>581</v>
      </c>
      <c r="M76" s="2" t="s">
        <v>396</v>
      </c>
      <c r="N76" s="1"/>
    </row>
    <row r="77" spans="1:14" x14ac:dyDescent="0.2">
      <c r="C77" s="136" t="s">
        <v>1142</v>
      </c>
      <c r="D77" s="111">
        <v>135.81</v>
      </c>
      <c r="E77" s="104"/>
      <c r="H77" s="110" t="s">
        <v>581</v>
      </c>
      <c r="L77" s="2"/>
      <c r="M77" s="2"/>
      <c r="N77" s="2"/>
    </row>
    <row r="78" spans="1:14" x14ac:dyDescent="0.2">
      <c r="C78" s="78" t="s">
        <v>579</v>
      </c>
      <c r="D78" s="109">
        <f>D76+D77</f>
        <v>199.49</v>
      </c>
      <c r="E78" s="104"/>
      <c r="I78" s="2"/>
      <c r="J78" s="2"/>
      <c r="K78" s="2"/>
      <c r="L78" s="2"/>
      <c r="M78" s="2"/>
      <c r="N78" s="2"/>
    </row>
    <row r="79" spans="1:14" s="2" customFormat="1" x14ac:dyDescent="0.2">
      <c r="A79" s="24"/>
      <c r="B79" s="1"/>
      <c r="C79" s="105"/>
      <c r="D79" s="106"/>
      <c r="E79" s="104"/>
      <c r="G79" s="1"/>
      <c r="N79" s="2" t="s">
        <v>535</v>
      </c>
    </row>
    <row r="80" spans="1:14" s="2" customFormat="1" x14ac:dyDescent="0.2">
      <c r="A80" s="24"/>
      <c r="B80" s="1"/>
      <c r="C80" s="78" t="s">
        <v>577</v>
      </c>
      <c r="D80" s="109">
        <f>D71+D78</f>
        <v>1294.68</v>
      </c>
      <c r="E80" s="104"/>
      <c r="G80" s="1"/>
    </row>
    <row r="81" spans="1:13" s="2" customFormat="1" x14ac:dyDescent="0.2">
      <c r="A81" s="24"/>
      <c r="B81" s="1"/>
      <c r="C81" s="56"/>
      <c r="D81" s="56"/>
      <c r="E81" s="104"/>
      <c r="G81" s="1"/>
    </row>
    <row r="82" spans="1:13" s="2" customFormat="1" ht="38.25" x14ac:dyDescent="0.2">
      <c r="A82" s="24"/>
      <c r="B82" s="1"/>
      <c r="C82" s="79" t="str">
        <f>"Particulars ( 01-04-2021 to "&amp;TEXT(A5,"dd-mm-yyyy")&amp;" )"</f>
        <v>Particulars ( 01-04-2021 to 12-09-2023 )</v>
      </c>
      <c r="D82" s="80" t="s">
        <v>73</v>
      </c>
      <c r="E82" s="80" t="s">
        <v>74</v>
      </c>
      <c r="F82" s="81" t="s">
        <v>75</v>
      </c>
      <c r="G82" s="80" t="s">
        <v>76</v>
      </c>
      <c r="J82" s="114" t="s">
        <v>713</v>
      </c>
    </row>
    <row r="83" spans="1:13" s="2" customFormat="1" x14ac:dyDescent="0.2">
      <c r="A83" s="24"/>
      <c r="B83" s="1"/>
      <c r="C83" s="50" t="s">
        <v>444</v>
      </c>
      <c r="D83" s="55">
        <f>+L84+L85+J85</f>
        <v>4903.72</v>
      </c>
      <c r="E83" s="55">
        <f>+K84+K85</f>
        <v>4441.79</v>
      </c>
      <c r="F83" s="55">
        <f>+D83-E83</f>
        <v>461.93000000000029</v>
      </c>
      <c r="G83" s="55">
        <f>1500-F83</f>
        <v>1038.0699999999997</v>
      </c>
      <c r="I83" s="113"/>
      <c r="J83" s="113" t="s">
        <v>709</v>
      </c>
      <c r="K83" s="113" t="s">
        <v>710</v>
      </c>
      <c r="L83" s="113" t="s">
        <v>711</v>
      </c>
      <c r="M83" s="113" t="s">
        <v>712</v>
      </c>
    </row>
    <row r="84" spans="1:13" s="2" customFormat="1" x14ac:dyDescent="0.2">
      <c r="A84" s="24"/>
      <c r="B84" s="1"/>
      <c r="C84" s="50" t="s">
        <v>71</v>
      </c>
      <c r="D84" s="55">
        <f>+J86+L86</f>
        <v>14927.4</v>
      </c>
      <c r="E84" s="55">
        <f>+K86</f>
        <v>14086.77</v>
      </c>
      <c r="F84" s="55">
        <f>+D84-E84</f>
        <v>840.6299999999992</v>
      </c>
      <c r="G84" s="55">
        <f>1500+700-F84</f>
        <v>1359.3700000000008</v>
      </c>
      <c r="I84" s="113" t="s">
        <v>706</v>
      </c>
      <c r="J84" s="115"/>
      <c r="K84" s="115">
        <v>968.99</v>
      </c>
      <c r="L84" s="115">
        <v>968.99</v>
      </c>
      <c r="M84" s="113">
        <f>+J84+L84-K84</f>
        <v>0</v>
      </c>
    </row>
    <row r="85" spans="1:13" s="2" customFormat="1" x14ac:dyDescent="0.2">
      <c r="A85" s="24"/>
      <c r="B85" s="1"/>
      <c r="C85" s="14"/>
      <c r="D85" s="56"/>
      <c r="E85" s="13"/>
      <c r="I85" s="113" t="s">
        <v>707</v>
      </c>
      <c r="J85" s="115">
        <v>183.1</v>
      </c>
      <c r="K85" s="115">
        <v>3472.8</v>
      </c>
      <c r="L85" s="115">
        <v>3751.63</v>
      </c>
      <c r="M85" s="113">
        <f>+J85+L85-K85</f>
        <v>461.92999999999984</v>
      </c>
    </row>
    <row r="86" spans="1:13" s="2" customFormat="1" x14ac:dyDescent="0.2">
      <c r="A86" s="215" t="s">
        <v>80</v>
      </c>
      <c r="B86" s="216"/>
      <c r="C86" s="216"/>
      <c r="D86" s="217"/>
      <c r="E86" s="69"/>
      <c r="F86" s="70"/>
      <c r="G86" s="1"/>
      <c r="I86" s="113" t="s">
        <v>708</v>
      </c>
      <c r="J86" s="115">
        <v>1371.02</v>
      </c>
      <c r="K86" s="115">
        <v>14086.77</v>
      </c>
      <c r="L86" s="115">
        <v>13556.38</v>
      </c>
      <c r="M86" s="113">
        <f>+J86+L86-K86</f>
        <v>840.6299999999992</v>
      </c>
    </row>
    <row r="87" spans="1:13" s="2" customFormat="1" x14ac:dyDescent="0.2">
      <c r="A87" s="71" t="s">
        <v>81</v>
      </c>
      <c r="B87" s="71"/>
      <c r="C87" s="72" t="s">
        <v>82</v>
      </c>
      <c r="D87" s="73" t="s">
        <v>83</v>
      </c>
      <c r="E87" s="69"/>
      <c r="F87" s="70"/>
      <c r="G87" s="1"/>
      <c r="J87" s="118">
        <f>SUM(J84:J86)</f>
        <v>1554.12</v>
      </c>
      <c r="K87" s="118">
        <f>SUM(K84:K86)</f>
        <v>18528.560000000001</v>
      </c>
      <c r="L87" s="118">
        <f>SUM(L84:L86)</f>
        <v>18277</v>
      </c>
      <c r="M87" s="118">
        <f>SUM(M84:M86)</f>
        <v>1302.559999999999</v>
      </c>
    </row>
    <row r="88" spans="1:13" s="2" customFormat="1" x14ac:dyDescent="0.2">
      <c r="A88" s="87">
        <v>45170</v>
      </c>
      <c r="B88" s="120" t="s">
        <v>1052</v>
      </c>
      <c r="C88" s="75" t="s">
        <v>270</v>
      </c>
      <c r="D88" s="88">
        <v>117174</v>
      </c>
      <c r="G88" s="1"/>
    </row>
    <row r="89" spans="1:13" s="2" customFormat="1" x14ac:dyDescent="0.2">
      <c r="A89" s="87">
        <v>45171</v>
      </c>
      <c r="B89" s="120" t="s">
        <v>1052</v>
      </c>
      <c r="C89" s="75" t="s">
        <v>767</v>
      </c>
      <c r="D89" s="88">
        <v>278761</v>
      </c>
      <c r="G89" s="1"/>
    </row>
    <row r="90" spans="1:13" s="2" customFormat="1" x14ac:dyDescent="0.2">
      <c r="A90" s="87">
        <v>45171</v>
      </c>
      <c r="B90" s="120" t="s">
        <v>1052</v>
      </c>
      <c r="C90" s="75" t="s">
        <v>201</v>
      </c>
      <c r="D90" s="88">
        <v>3500391.21</v>
      </c>
    </row>
    <row r="91" spans="1:13" s="2" customFormat="1" x14ac:dyDescent="0.2">
      <c r="A91" s="87">
        <v>45173</v>
      </c>
      <c r="B91" s="120" t="s">
        <v>1052</v>
      </c>
      <c r="C91" s="75" t="s">
        <v>1478</v>
      </c>
      <c r="D91" s="88">
        <v>22763</v>
      </c>
      <c r="H91" s="2" t="s">
        <v>396</v>
      </c>
    </row>
    <row r="92" spans="1:13" s="2" customFormat="1" x14ac:dyDescent="0.2">
      <c r="A92" s="87">
        <v>45173</v>
      </c>
      <c r="B92" s="120" t="s">
        <v>1052</v>
      </c>
      <c r="C92" s="75" t="s">
        <v>1478</v>
      </c>
      <c r="D92" s="88">
        <v>1786258</v>
      </c>
      <c r="H92" s="2" t="s">
        <v>396</v>
      </c>
    </row>
    <row r="93" spans="1:13" s="2" customFormat="1" x14ac:dyDescent="0.2">
      <c r="A93" s="87">
        <v>45173</v>
      </c>
      <c r="B93" s="120" t="s">
        <v>1052</v>
      </c>
      <c r="C93" s="75" t="s">
        <v>1478</v>
      </c>
      <c r="D93" s="88">
        <v>1329469</v>
      </c>
      <c r="G93" s="1"/>
    </row>
    <row r="94" spans="1:13" s="2" customFormat="1" x14ac:dyDescent="0.2">
      <c r="A94" s="87">
        <v>45175</v>
      </c>
      <c r="B94" s="120" t="s">
        <v>1052</v>
      </c>
      <c r="C94" s="75" t="s">
        <v>784</v>
      </c>
      <c r="D94" s="88">
        <v>673560</v>
      </c>
      <c r="G94" s="1"/>
      <c r="H94" s="53"/>
    </row>
    <row r="95" spans="1:13" s="2" customFormat="1" x14ac:dyDescent="0.2">
      <c r="A95" s="87">
        <v>45175</v>
      </c>
      <c r="B95" s="120" t="s">
        <v>1052</v>
      </c>
      <c r="C95" s="75" t="s">
        <v>784</v>
      </c>
      <c r="D95" s="88">
        <v>700391</v>
      </c>
      <c r="H95" s="53"/>
    </row>
    <row r="96" spans="1:13" s="2" customFormat="1" x14ac:dyDescent="0.2">
      <c r="A96" s="87">
        <v>45175</v>
      </c>
      <c r="B96" s="120" t="s">
        <v>1052</v>
      </c>
      <c r="C96" s="75" t="s">
        <v>84</v>
      </c>
      <c r="D96" s="88">
        <v>1000000</v>
      </c>
      <c r="G96" s="1"/>
      <c r="L96" s="1"/>
      <c r="M96" s="1"/>
    </row>
    <row r="97" spans="1:13" s="2" customFormat="1" x14ac:dyDescent="0.2">
      <c r="A97" s="87">
        <v>45176</v>
      </c>
      <c r="B97" s="120" t="s">
        <v>1052</v>
      </c>
      <c r="C97" s="75" t="s">
        <v>85</v>
      </c>
      <c r="D97" s="88">
        <v>565814</v>
      </c>
      <c r="G97" s="1"/>
      <c r="L97" s="1"/>
      <c r="M97" s="1"/>
    </row>
    <row r="98" spans="1:13" s="2" customFormat="1" x14ac:dyDescent="0.2">
      <c r="A98" s="87">
        <v>45176</v>
      </c>
      <c r="B98" s="120" t="s">
        <v>1052</v>
      </c>
      <c r="C98" s="75" t="s">
        <v>271</v>
      </c>
      <c r="D98" s="88">
        <v>1691421</v>
      </c>
      <c r="G98" s="1"/>
      <c r="L98" s="1"/>
      <c r="M98" s="1"/>
    </row>
    <row r="99" spans="1:13" s="2" customFormat="1" x14ac:dyDescent="0.2">
      <c r="A99" s="87">
        <v>45177</v>
      </c>
      <c r="B99" s="120" t="s">
        <v>1052</v>
      </c>
      <c r="C99" s="75" t="s">
        <v>85</v>
      </c>
      <c r="D99" s="88">
        <v>432581</v>
      </c>
      <c r="G99" s="1"/>
      <c r="L99" s="1"/>
      <c r="M99" s="1"/>
    </row>
    <row r="100" spans="1:13" s="2" customFormat="1" x14ac:dyDescent="0.2">
      <c r="A100" s="87">
        <v>45177</v>
      </c>
      <c r="B100" s="120" t="s">
        <v>1052</v>
      </c>
      <c r="C100" s="75" t="s">
        <v>1521</v>
      </c>
      <c r="D100" s="88">
        <v>1198155</v>
      </c>
      <c r="G100" s="1"/>
      <c r="L100" s="1"/>
      <c r="M100" s="1"/>
    </row>
    <row r="101" spans="1:13" s="2" customFormat="1" x14ac:dyDescent="0.2">
      <c r="A101" s="87">
        <v>45180</v>
      </c>
      <c r="B101" s="120" t="s">
        <v>1052</v>
      </c>
      <c r="C101" s="75" t="s">
        <v>784</v>
      </c>
      <c r="D101" s="88">
        <v>279127</v>
      </c>
      <c r="G101" s="1"/>
      <c r="L101" s="1"/>
      <c r="M101" s="1"/>
    </row>
    <row r="102" spans="1:13" s="2" customFormat="1" x14ac:dyDescent="0.2">
      <c r="A102" s="87">
        <v>45180</v>
      </c>
      <c r="B102" s="120" t="s">
        <v>1052</v>
      </c>
      <c r="C102" s="75" t="s">
        <v>270</v>
      </c>
      <c r="D102" s="88">
        <v>30842</v>
      </c>
      <c r="G102" s="1"/>
      <c r="L102" s="1"/>
      <c r="M102" s="1"/>
    </row>
    <row r="103" spans="1:13" s="2" customFormat="1" x14ac:dyDescent="0.2">
      <c r="A103" s="87">
        <v>45180</v>
      </c>
      <c r="B103" s="120" t="s">
        <v>1052</v>
      </c>
      <c r="C103" s="75" t="s">
        <v>271</v>
      </c>
      <c r="D103" s="88">
        <v>701813</v>
      </c>
      <c r="G103" s="1"/>
      <c r="L103" s="1"/>
      <c r="M103" s="1"/>
    </row>
    <row r="104" spans="1:13" s="2" customFormat="1" x14ac:dyDescent="0.2">
      <c r="A104" s="87">
        <v>45180</v>
      </c>
      <c r="B104" s="120" t="s">
        <v>1052</v>
      </c>
      <c r="C104" s="75" t="s">
        <v>271</v>
      </c>
      <c r="D104" s="88">
        <v>189083</v>
      </c>
      <c r="G104" s="1"/>
      <c r="L104" s="1"/>
      <c r="M104" s="1"/>
    </row>
    <row r="105" spans="1:13" s="2" customFormat="1" x14ac:dyDescent="0.2">
      <c r="A105" s="87"/>
      <c r="B105" s="74"/>
      <c r="C105" s="75"/>
      <c r="D105" s="51">
        <f>SUM(D88:D104)</f>
        <v>14497603.210000001</v>
      </c>
      <c r="F105" s="2" t="s">
        <v>396</v>
      </c>
      <c r="G105" s="1"/>
      <c r="L105" s="1"/>
      <c r="M105" s="1"/>
    </row>
    <row r="106" spans="1:13" s="2" customFormat="1" x14ac:dyDescent="0.2">
      <c r="A106" s="24"/>
      <c r="B106" s="1"/>
      <c r="C106" s="14"/>
      <c r="D106" s="56"/>
      <c r="E106" s="13"/>
      <c r="G106" s="1"/>
      <c r="L106" s="1"/>
      <c r="M106" s="1"/>
    </row>
    <row r="107" spans="1:13" s="2" customFormat="1" x14ac:dyDescent="0.2">
      <c r="A107" s="24"/>
      <c r="B107" s="1"/>
      <c r="C107" s="218" t="s">
        <v>77</v>
      </c>
      <c r="D107" s="219"/>
      <c r="E107" s="219"/>
      <c r="F107" s="220"/>
      <c r="G107" s="1"/>
      <c r="L107" s="1"/>
      <c r="M107" s="1"/>
    </row>
    <row r="108" spans="1:13" s="2" customFormat="1" x14ac:dyDescent="0.2">
      <c r="A108" s="24"/>
      <c r="B108" s="1"/>
      <c r="C108" s="50"/>
      <c r="D108" s="57" t="s">
        <v>78</v>
      </c>
      <c r="E108" s="58" t="s">
        <v>79</v>
      </c>
      <c r="F108" s="57" t="s">
        <v>72</v>
      </c>
      <c r="G108" s="1"/>
      <c r="L108" s="1"/>
      <c r="M108" s="1"/>
    </row>
    <row r="109" spans="1:13" s="2" customFormat="1" x14ac:dyDescent="0.2">
      <c r="A109" s="24"/>
      <c r="B109" s="1"/>
      <c r="C109" s="59" t="str">
        <f>"01-09-2023 to "&amp;TEXT(A5-2,"dd-mm-yyyy")</f>
        <v>01-09-2023 to 10-09-2023</v>
      </c>
      <c r="D109" s="60">
        <v>824.62</v>
      </c>
      <c r="E109" s="60">
        <v>81.94</v>
      </c>
      <c r="F109" s="61">
        <f>SUM(D109:E109)</f>
        <v>906.56</v>
      </c>
      <c r="G109" s="1"/>
      <c r="L109" s="1"/>
      <c r="M109" s="1"/>
    </row>
    <row r="110" spans="1:13" s="2" customFormat="1" x14ac:dyDescent="0.2">
      <c r="A110" s="24"/>
      <c r="B110" s="1"/>
      <c r="C110" s="62" t="str">
        <f>TEXT(A5-1,"dd-mm-yyyy")</f>
        <v>11-09-2023</v>
      </c>
      <c r="D110" s="60">
        <v>76.78</v>
      </c>
      <c r="E110" s="60">
        <v>6.38</v>
      </c>
      <c r="F110" s="61">
        <f>SUM(D110:E110)</f>
        <v>83.16</v>
      </c>
      <c r="G110" s="1"/>
      <c r="L110" s="1"/>
      <c r="M110" s="1"/>
    </row>
    <row r="111" spans="1:13" s="2" customFormat="1" ht="13.5" thickBot="1" x14ac:dyDescent="0.25">
      <c r="A111" s="24"/>
      <c r="B111" s="1"/>
      <c r="C111" s="63" t="str">
        <f>"01-09-2023 to "&amp;TEXT(A5-1,"dd-mm-yyyy")</f>
        <v>01-09-2023 to 11-09-2023</v>
      </c>
      <c r="D111" s="64">
        <f>SUM(D109:D110)</f>
        <v>901.4</v>
      </c>
      <c r="E111" s="64">
        <f>SUM(E109:E110)</f>
        <v>88.32</v>
      </c>
      <c r="F111" s="64">
        <f>SUM(F109:F110)</f>
        <v>989.71999999999991</v>
      </c>
      <c r="G111" s="1"/>
      <c r="L111" s="1"/>
      <c r="M111" s="1"/>
    </row>
    <row r="112" spans="1:13" s="2" customFormat="1" ht="13.5" thickTop="1" x14ac:dyDescent="0.2">
      <c r="A112" s="24"/>
      <c r="B112" s="1"/>
      <c r="C112" s="62"/>
      <c r="D112" s="65"/>
      <c r="E112" s="66"/>
      <c r="F112" s="67"/>
      <c r="G112" s="1"/>
      <c r="L112" s="1"/>
      <c r="M112" s="1"/>
    </row>
    <row r="113" spans="1:13" s="2" customFormat="1" x14ac:dyDescent="0.2">
      <c r="A113" s="24"/>
      <c r="B113" s="1"/>
      <c r="C113" s="62" t="str">
        <f>"01-04-2023 to " &amp;C110</f>
        <v>01-04-2023 to 11-09-2023</v>
      </c>
      <c r="D113" s="68">
        <f>+D111+24261.33</f>
        <v>25162.730000000003</v>
      </c>
      <c r="E113" s="68">
        <f>+E111+1685.25</f>
        <v>1773.57</v>
      </c>
      <c r="F113" s="68">
        <f>+F111+25946.58</f>
        <v>26936.300000000003</v>
      </c>
      <c r="G113" s="1"/>
      <c r="L113" s="1"/>
      <c r="M113" s="1"/>
    </row>
    <row r="114" spans="1:13" s="2" customFormat="1" x14ac:dyDescent="0.2">
      <c r="A114" s="24"/>
      <c r="B114" s="1"/>
      <c r="C114" s="52"/>
      <c r="D114" s="85"/>
      <c r="E114" s="53"/>
      <c r="F114" s="53"/>
      <c r="G114" s="1"/>
      <c r="L114" s="1"/>
      <c r="M114" s="1"/>
    </row>
    <row r="115" spans="1:13" s="2" customFormat="1" x14ac:dyDescent="0.2">
      <c r="A115" s="24"/>
      <c r="B115" s="1"/>
      <c r="C115" s="52"/>
      <c r="D115" s="85"/>
      <c r="E115" s="53"/>
      <c r="F115" s="53"/>
      <c r="G115" s="1"/>
      <c r="L115" s="1"/>
      <c r="M115" s="1"/>
    </row>
    <row r="116" spans="1:13" s="2" customFormat="1" x14ac:dyDescent="0.2">
      <c r="A116" s="24"/>
      <c r="B116" s="1"/>
      <c r="C116" s="52"/>
      <c r="D116" s="85"/>
      <c r="E116" s="53"/>
      <c r="F116" s="53"/>
      <c r="G116" s="1"/>
      <c r="I116" s="1"/>
      <c r="J116" s="1"/>
      <c r="K116" s="1"/>
      <c r="L116" s="1"/>
      <c r="M116" s="1"/>
    </row>
    <row r="117" spans="1:13" s="2" customFormat="1" x14ac:dyDescent="0.2">
      <c r="A117" s="24"/>
      <c r="B117" s="1"/>
      <c r="C117" s="52"/>
      <c r="D117" s="85"/>
      <c r="E117" s="53"/>
      <c r="F117" s="53"/>
      <c r="G117" s="1"/>
    </row>
    <row r="118" spans="1:13" s="2" customFormat="1" x14ac:dyDescent="0.2">
      <c r="A118" s="24"/>
      <c r="B118" s="1"/>
      <c r="C118" s="14"/>
      <c r="D118" s="25"/>
      <c r="G118" s="54"/>
      <c r="I118" s="1"/>
      <c r="J118" s="1"/>
      <c r="K118" s="1"/>
      <c r="L118" s="1"/>
      <c r="M118" s="1"/>
    </row>
    <row r="119" spans="1:13" s="2" customFormat="1" x14ac:dyDescent="0.2">
      <c r="A119" s="24"/>
      <c r="B119" s="1"/>
      <c r="C119" s="14"/>
      <c r="D119" s="25"/>
      <c r="G119" s="54"/>
      <c r="I119" s="1"/>
      <c r="J119" s="1"/>
      <c r="K119" s="1"/>
      <c r="L119" s="1"/>
      <c r="M119" s="1"/>
    </row>
    <row r="120" spans="1:13" s="2" customFormat="1" x14ac:dyDescent="0.2">
      <c r="A120" s="24"/>
      <c r="B120" s="1"/>
      <c r="C120" s="14"/>
      <c r="D120" s="25"/>
      <c r="G120" s="54"/>
      <c r="I120" s="1"/>
      <c r="J120" s="1"/>
      <c r="K120" s="1"/>
      <c r="L120" s="1"/>
      <c r="M120" s="1"/>
    </row>
    <row r="121" spans="1:13" s="2" customFormat="1" x14ac:dyDescent="0.2">
      <c r="A121" s="24"/>
      <c r="B121" s="1"/>
      <c r="C121" s="14"/>
      <c r="D121" s="25"/>
      <c r="G121" s="54"/>
      <c r="I121" s="1"/>
      <c r="J121" s="1"/>
      <c r="K121" s="1"/>
      <c r="L121" s="1"/>
      <c r="M121" s="1"/>
    </row>
    <row r="122" spans="1:13" x14ac:dyDescent="0.2">
      <c r="G122" s="54"/>
      <c r="H122" s="2" t="s">
        <v>396</v>
      </c>
    </row>
    <row r="123" spans="1:13" s="2" customFormat="1" x14ac:dyDescent="0.2">
      <c r="A123" s="24"/>
      <c r="B123" s="1"/>
      <c r="C123" s="14"/>
      <c r="D123" s="25"/>
      <c r="G123" s="54"/>
      <c r="H123" s="53"/>
    </row>
    <row r="124" spans="1:13" x14ac:dyDescent="0.2">
      <c r="G124" s="54"/>
      <c r="H124" s="53" t="s">
        <v>396</v>
      </c>
    </row>
    <row r="125" spans="1:13" x14ac:dyDescent="0.2">
      <c r="G125" s="54"/>
      <c r="H125" s="53" t="s">
        <v>396</v>
      </c>
      <c r="J125" s="42"/>
    </row>
    <row r="126" spans="1:13" x14ac:dyDescent="0.2">
      <c r="G126" s="54"/>
      <c r="H126" s="53"/>
      <c r="I126" s="101"/>
    </row>
    <row r="127" spans="1:13" x14ac:dyDescent="0.2">
      <c r="G127" s="54"/>
      <c r="H127" s="53"/>
    </row>
    <row r="128" spans="1:13" x14ac:dyDescent="0.2">
      <c r="G128" s="54"/>
      <c r="H128" s="53"/>
    </row>
    <row r="129" spans="8:8" x14ac:dyDescent="0.2">
      <c r="H129" s="53"/>
    </row>
  </sheetData>
  <mergeCells count="6">
    <mergeCell ref="C107:F107"/>
    <mergeCell ref="A1:G1"/>
    <mergeCell ref="A3:F3"/>
    <mergeCell ref="A11:F11"/>
    <mergeCell ref="A23:F23"/>
    <mergeCell ref="A86:D86"/>
  </mergeCells>
  <conditionalFormatting sqref="G83:G84">
    <cfRule type="cellIs" dxfId="319" priority="1" operator="lessThan">
      <formula>0</formula>
    </cfRule>
  </conditionalFormatting>
  <conditionalFormatting sqref="C25">
    <cfRule type="duplicateValues" dxfId="318" priority="2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300-000000000000}">
  <sheetPr codeName="Sheet427">
    <pageSetUpPr fitToPage="1"/>
  </sheetPr>
  <dimension ref="A1:N111"/>
  <sheetViews>
    <sheetView topLeftCell="A53" zoomScaleNormal="100" workbookViewId="0">
      <selection activeCell="E53" sqref="E53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1" ht="20.25" customHeight="1" x14ac:dyDescent="0.4">
      <c r="A1" s="212" t="s">
        <v>1525</v>
      </c>
      <c r="B1" s="212"/>
      <c r="C1" s="212"/>
      <c r="D1" s="212"/>
      <c r="E1" s="212"/>
      <c r="F1" s="212"/>
      <c r="G1" s="212"/>
      <c r="H1" s="112"/>
      <c r="I1" s="112"/>
    </row>
    <row r="2" spans="1:11" ht="12.75" customHeight="1" x14ac:dyDescent="0.4">
      <c r="H2" s="112"/>
      <c r="I2" s="112"/>
    </row>
    <row r="3" spans="1:11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1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1" s="2" customFormat="1" ht="14.25" customHeight="1" x14ac:dyDescent="0.4">
      <c r="A5" s="89">
        <v>45182</v>
      </c>
      <c r="B5" s="9" t="s">
        <v>6</v>
      </c>
      <c r="C5" s="10" t="s">
        <v>7</v>
      </c>
      <c r="D5" s="11"/>
      <c r="E5" s="12">
        <v>12389569.790000001</v>
      </c>
      <c r="F5" s="12"/>
      <c r="G5" s="1"/>
      <c r="H5" s="112"/>
      <c r="I5" s="112"/>
    </row>
    <row r="6" spans="1:11" s="2" customFormat="1" ht="14.25" customHeight="1" x14ac:dyDescent="0.4">
      <c r="A6" s="89">
        <v>45182</v>
      </c>
      <c r="B6" s="9" t="s">
        <v>11</v>
      </c>
      <c r="C6" s="10" t="s">
        <v>495</v>
      </c>
      <c r="D6" s="11" t="s">
        <v>29</v>
      </c>
      <c r="E6" s="12"/>
      <c r="F6" s="12">
        <v>10000000</v>
      </c>
      <c r="G6" s="1"/>
      <c r="H6" s="112"/>
      <c r="I6" s="112"/>
    </row>
    <row r="7" spans="1:11" s="2" customFormat="1" ht="12.75" customHeight="1" x14ac:dyDescent="0.4">
      <c r="D7" s="15" t="s">
        <v>8</v>
      </c>
      <c r="E7" s="16">
        <f>SUM(E5:E6)</f>
        <v>12389569.790000001</v>
      </c>
      <c r="F7" s="16">
        <f>SUM(F5:F6)</f>
        <v>10000000</v>
      </c>
      <c r="G7" s="1"/>
      <c r="H7" s="112"/>
      <c r="I7" s="112"/>
    </row>
    <row r="8" spans="1:11" s="2" customFormat="1" ht="12.75" customHeight="1" x14ac:dyDescent="0.4">
      <c r="A8" s="17"/>
      <c r="B8" s="18"/>
      <c r="C8" s="19" t="s">
        <v>9</v>
      </c>
      <c r="D8" s="20"/>
      <c r="E8" s="21">
        <f>+E7-F7</f>
        <v>2389569.790000001</v>
      </c>
      <c r="F8" s="22"/>
      <c r="G8" s="23"/>
      <c r="H8" s="112"/>
      <c r="I8" s="112"/>
      <c r="J8" s="13"/>
    </row>
    <row r="9" spans="1:11" ht="12.75" customHeight="1" x14ac:dyDescent="0.4">
      <c r="H9" s="112"/>
      <c r="I9" s="112"/>
    </row>
    <row r="10" spans="1:11" ht="18" customHeight="1" x14ac:dyDescent="0.4">
      <c r="A10" s="213" t="s">
        <v>1037</v>
      </c>
      <c r="B10" s="213"/>
      <c r="C10" s="213"/>
      <c r="D10" s="213"/>
      <c r="E10" s="213"/>
      <c r="F10" s="213"/>
      <c r="H10" s="112"/>
      <c r="I10" s="112"/>
    </row>
    <row r="11" spans="1:11" ht="12.75" customHeight="1" x14ac:dyDescent="0.4">
      <c r="A11" s="3" t="s">
        <v>1</v>
      </c>
      <c r="B11" s="4" t="s">
        <v>2</v>
      </c>
      <c r="C11" s="5"/>
      <c r="D11" s="6" t="s">
        <v>3</v>
      </c>
      <c r="E11" s="7" t="s">
        <v>4</v>
      </c>
      <c r="F11" s="7" t="s">
        <v>5</v>
      </c>
      <c r="H11" s="112"/>
      <c r="I11" s="169">
        <v>90000000</v>
      </c>
      <c r="J11" s="169" t="s">
        <v>1508</v>
      </c>
      <c r="K11" s="124"/>
    </row>
    <row r="12" spans="1:11" s="2" customFormat="1" ht="14.25" customHeight="1" x14ac:dyDescent="0.2">
      <c r="A12" s="89">
        <v>45182</v>
      </c>
      <c r="B12" s="9" t="s">
        <v>6</v>
      </c>
      <c r="C12" s="10" t="s">
        <v>7</v>
      </c>
      <c r="D12" s="11"/>
      <c r="F12" s="12">
        <v>87872147.480000034</v>
      </c>
      <c r="G12" s="1"/>
      <c r="H12" s="130" t="s">
        <v>396</v>
      </c>
      <c r="I12" s="169">
        <v>87968193.849999994</v>
      </c>
      <c r="J12" s="169" t="s">
        <v>1509</v>
      </c>
      <c r="K12" s="165" t="s">
        <v>1512</v>
      </c>
    </row>
    <row r="13" spans="1:11" s="2" customFormat="1" ht="14.25" customHeight="1" x14ac:dyDescent="0.2">
      <c r="A13" s="89">
        <v>45182</v>
      </c>
      <c r="B13" s="9" t="s">
        <v>6</v>
      </c>
      <c r="C13" s="76" t="s">
        <v>220</v>
      </c>
      <c r="D13" s="11" t="s">
        <v>13</v>
      </c>
      <c r="E13" s="2">
        <v>508790</v>
      </c>
      <c r="F13" s="31"/>
      <c r="G13" s="1"/>
      <c r="H13" s="130"/>
      <c r="I13" s="169"/>
      <c r="J13" s="169"/>
      <c r="K13" s="124"/>
    </row>
    <row r="14" spans="1:11" s="2" customFormat="1" ht="14.25" customHeight="1" x14ac:dyDescent="0.2">
      <c r="A14" s="89">
        <v>45182</v>
      </c>
      <c r="B14" s="9" t="s">
        <v>6</v>
      </c>
      <c r="C14" s="76" t="s">
        <v>1137</v>
      </c>
      <c r="D14" s="11" t="s">
        <v>29</v>
      </c>
      <c r="E14" s="2">
        <v>3953.63</v>
      </c>
      <c r="F14" s="31"/>
      <c r="G14" s="1"/>
      <c r="H14" s="130"/>
      <c r="I14" s="169">
        <f>+I11-I12</f>
        <v>2031806.150000006</v>
      </c>
      <c r="J14" s="169" t="s">
        <v>712</v>
      </c>
      <c r="K14" s="124"/>
    </row>
    <row r="15" spans="1:11" s="2" customFormat="1" ht="14.25" customHeight="1" x14ac:dyDescent="0.2">
      <c r="D15" s="11" t="s">
        <v>8</v>
      </c>
      <c r="E15" s="16">
        <f>SUM(E12:E14)</f>
        <v>512743.63</v>
      </c>
      <c r="F15" s="16">
        <f>SUM(F12:F14)</f>
        <v>87872147.480000034</v>
      </c>
      <c r="G15" s="1"/>
      <c r="I15" s="130"/>
    </row>
    <row r="16" spans="1:11" s="2" customFormat="1" ht="14.25" customHeight="1" x14ac:dyDescent="0.4">
      <c r="A16" s="17"/>
      <c r="B16" s="18"/>
      <c r="C16" s="96" t="s">
        <v>9</v>
      </c>
      <c r="D16" s="20"/>
      <c r="E16" s="21">
        <f>+F15-E15</f>
        <v>87359403.850000039</v>
      </c>
      <c r="G16" s="1"/>
      <c r="I16" s="112"/>
      <c r="J16" s="153" t="s">
        <v>779</v>
      </c>
    </row>
    <row r="17" spans="1:14" s="2" customFormat="1" ht="14.25" customHeight="1" x14ac:dyDescent="0.2">
      <c r="A17" s="36"/>
      <c r="B17" s="28" t="s">
        <v>66</v>
      </c>
      <c r="C17" s="43" t="s">
        <v>1458</v>
      </c>
      <c r="D17" s="43"/>
      <c r="E17" s="12">
        <v>30000000</v>
      </c>
      <c r="F17" s="22"/>
      <c r="G17" s="1"/>
      <c r="I17" s="40">
        <v>87459403.849999994</v>
      </c>
      <c r="J17" s="154">
        <f>I17-E16</f>
        <v>99999.999999955297</v>
      </c>
    </row>
    <row r="18" spans="1:14" s="2" customFormat="1" ht="14.25" customHeight="1" x14ac:dyDescent="0.25">
      <c r="A18" s="36"/>
      <c r="B18" s="28"/>
      <c r="C18" s="44" t="s">
        <v>68</v>
      </c>
      <c r="D18" s="43"/>
      <c r="E18" s="7">
        <f>+E16+E17</f>
        <v>117359403.85000004</v>
      </c>
      <c r="F18" s="22"/>
      <c r="G18" s="1"/>
    </row>
    <row r="19" spans="1:14" s="2" customFormat="1" ht="14.25" customHeight="1" x14ac:dyDescent="0.25">
      <c r="A19" s="36"/>
      <c r="B19" s="28"/>
      <c r="C19" s="44" t="s">
        <v>1511</v>
      </c>
      <c r="D19" s="43"/>
      <c r="E19" s="38">
        <f>+I14</f>
        <v>2031806.150000006</v>
      </c>
      <c r="F19" s="22"/>
      <c r="G19" s="1"/>
    </row>
    <row r="20" spans="1:14" s="2" customFormat="1" ht="14.25" customHeight="1" x14ac:dyDescent="0.2">
      <c r="A20" s="24"/>
      <c r="B20" s="1"/>
      <c r="C20" s="14"/>
      <c r="D20" s="25"/>
      <c r="G20" s="1"/>
      <c r="I20" s="130"/>
      <c r="J20" s="130"/>
    </row>
    <row r="21" spans="1:14" s="2" customFormat="1" x14ac:dyDescent="0.2">
      <c r="A21" s="214" t="s">
        <v>10</v>
      </c>
      <c r="B21" s="214"/>
      <c r="C21" s="214"/>
      <c r="D21" s="214"/>
      <c r="E21" s="214"/>
      <c r="F21" s="214"/>
      <c r="G21" s="1"/>
      <c r="H21" s="130"/>
      <c r="I21" s="130"/>
    </row>
    <row r="22" spans="1:14" s="2" customFormat="1" ht="30" x14ac:dyDescent="0.4">
      <c r="A22" s="26" t="s">
        <v>1</v>
      </c>
      <c r="B22" s="27" t="s">
        <v>2</v>
      </c>
      <c r="C22" s="5"/>
      <c r="D22" s="6" t="s">
        <v>3</v>
      </c>
      <c r="E22" s="7" t="s">
        <v>4</v>
      </c>
      <c r="F22" s="7" t="s">
        <v>5</v>
      </c>
      <c r="G22" s="1"/>
      <c r="H22" s="112"/>
      <c r="I22" s="112"/>
    </row>
    <row r="23" spans="1:14" s="2" customFormat="1" x14ac:dyDescent="0.2">
      <c r="A23" s="89">
        <v>45182</v>
      </c>
      <c r="B23" s="128" t="s">
        <v>11</v>
      </c>
      <c r="C23" s="29" t="s">
        <v>7</v>
      </c>
      <c r="D23" s="25"/>
      <c r="E23" s="31"/>
      <c r="F23" s="2">
        <v>120872714.47000012</v>
      </c>
      <c r="G23" s="23"/>
      <c r="J23" s="13"/>
    </row>
    <row r="24" spans="1:14" s="2" customFormat="1" x14ac:dyDescent="0.2">
      <c r="A24" s="89">
        <v>45182</v>
      </c>
      <c r="B24" s="128" t="s">
        <v>6</v>
      </c>
      <c r="C24" s="10" t="s">
        <v>17</v>
      </c>
      <c r="D24" s="11" t="s">
        <v>13</v>
      </c>
      <c r="E24" s="86">
        <v>60748</v>
      </c>
      <c r="F24" s="70"/>
      <c r="G24" s="1"/>
      <c r="N24" s="1"/>
    </row>
    <row r="25" spans="1:14" s="2" customFormat="1" x14ac:dyDescent="0.2">
      <c r="A25" s="89">
        <v>45182</v>
      </c>
      <c r="B25" s="128" t="s">
        <v>6</v>
      </c>
      <c r="C25" s="10" t="s">
        <v>785</v>
      </c>
      <c r="D25" s="11" t="s">
        <v>13</v>
      </c>
      <c r="E25" s="86">
        <v>4456359</v>
      </c>
      <c r="F25" s="70"/>
      <c r="G25" s="1"/>
      <c r="N25" s="1"/>
    </row>
    <row r="26" spans="1:14" s="2" customFormat="1" x14ac:dyDescent="0.2">
      <c r="A26" s="89">
        <v>45182</v>
      </c>
      <c r="B26" s="128" t="s">
        <v>6</v>
      </c>
      <c r="C26" s="10" t="s">
        <v>1527</v>
      </c>
      <c r="D26" s="11" t="s">
        <v>13</v>
      </c>
      <c r="E26" s="86">
        <v>4029000</v>
      </c>
      <c r="F26" s="70"/>
      <c r="G26" s="1"/>
      <c r="N26" s="1"/>
    </row>
    <row r="27" spans="1:14" s="2" customFormat="1" x14ac:dyDescent="0.2">
      <c r="A27" s="89">
        <v>45182</v>
      </c>
      <c r="B27" s="128" t="s">
        <v>6</v>
      </c>
      <c r="C27" s="10" t="s">
        <v>381</v>
      </c>
      <c r="D27" s="11" t="s">
        <v>13</v>
      </c>
      <c r="E27" s="86">
        <v>184302</v>
      </c>
      <c r="F27" s="70"/>
      <c r="G27" s="1"/>
      <c r="N27" s="1"/>
    </row>
    <row r="28" spans="1:14" s="2" customFormat="1" x14ac:dyDescent="0.2">
      <c r="A28" s="89">
        <v>45182</v>
      </c>
      <c r="B28" s="128" t="s">
        <v>6</v>
      </c>
      <c r="C28" s="10" t="s">
        <v>14</v>
      </c>
      <c r="D28" s="11" t="s">
        <v>13</v>
      </c>
      <c r="E28" s="86">
        <v>1294344</v>
      </c>
      <c r="F28" s="70"/>
      <c r="G28" s="1"/>
      <c r="N28" s="1"/>
    </row>
    <row r="29" spans="1:14" s="2" customFormat="1" x14ac:dyDescent="0.2">
      <c r="A29" s="89">
        <v>45182</v>
      </c>
      <c r="B29" s="128" t="s">
        <v>6</v>
      </c>
      <c r="C29" s="10" t="s">
        <v>1260</v>
      </c>
      <c r="D29" s="11" t="s">
        <v>13</v>
      </c>
      <c r="E29" s="86">
        <v>182822</v>
      </c>
      <c r="F29" s="70"/>
      <c r="G29" s="1"/>
      <c r="N29" s="1"/>
    </row>
    <row r="30" spans="1:14" s="2" customFormat="1" x14ac:dyDescent="0.2">
      <c r="A30" s="89">
        <v>45182</v>
      </c>
      <c r="B30" s="128" t="s">
        <v>6</v>
      </c>
      <c r="C30" s="10" t="s">
        <v>332</v>
      </c>
      <c r="D30" s="11" t="s">
        <v>13</v>
      </c>
      <c r="E30" s="86">
        <v>39337</v>
      </c>
      <c r="F30" s="70"/>
      <c r="G30" s="1"/>
      <c r="N30" s="1"/>
    </row>
    <row r="31" spans="1:14" s="2" customFormat="1" x14ac:dyDescent="0.2">
      <c r="A31" s="89">
        <v>45182</v>
      </c>
      <c r="B31" s="128" t="s">
        <v>6</v>
      </c>
      <c r="C31" s="10" t="s">
        <v>851</v>
      </c>
      <c r="D31" s="11" t="s">
        <v>13</v>
      </c>
      <c r="E31" s="86">
        <v>351405</v>
      </c>
      <c r="F31" s="70"/>
      <c r="G31" s="1"/>
      <c r="N31" s="1"/>
    </row>
    <row r="32" spans="1:14" s="124" customFormat="1" ht="12.75" customHeight="1" x14ac:dyDescent="0.25">
      <c r="A32" s="89">
        <v>45182</v>
      </c>
      <c r="B32" s="128" t="s">
        <v>6</v>
      </c>
      <c r="C32" s="163" t="s">
        <v>149</v>
      </c>
      <c r="D32" s="11" t="s">
        <v>13</v>
      </c>
      <c r="E32" s="164">
        <v>69907</v>
      </c>
      <c r="F32" s="165"/>
      <c r="G32" s="166"/>
    </row>
    <row r="33" spans="1:11" s="124" customFormat="1" ht="12.75" customHeight="1" x14ac:dyDescent="0.25">
      <c r="A33" s="89">
        <v>45182</v>
      </c>
      <c r="B33" s="128" t="s">
        <v>6</v>
      </c>
      <c r="C33" s="163" t="s">
        <v>27</v>
      </c>
      <c r="D33" s="11" t="s">
        <v>13</v>
      </c>
      <c r="E33" s="164">
        <v>180825.60000000001</v>
      </c>
      <c r="F33" s="165"/>
      <c r="G33" s="168"/>
      <c r="H33" s="167"/>
      <c r="I33" s="167"/>
      <c r="J33" s="168"/>
    </row>
    <row r="34" spans="1:11" s="124" customFormat="1" ht="12.75" customHeight="1" x14ac:dyDescent="0.2">
      <c r="A34" s="89">
        <v>45182</v>
      </c>
      <c r="B34" s="128" t="s">
        <v>6</v>
      </c>
      <c r="C34" s="10" t="s">
        <v>15</v>
      </c>
      <c r="D34" s="11" t="s">
        <v>13</v>
      </c>
      <c r="E34" s="86">
        <v>16456.84</v>
      </c>
      <c r="F34" s="165"/>
      <c r="G34" s="168"/>
      <c r="H34" s="167"/>
      <c r="I34" s="167"/>
      <c r="J34" s="168"/>
    </row>
    <row r="35" spans="1:11" s="124" customFormat="1" ht="12.75" customHeight="1" x14ac:dyDescent="0.2">
      <c r="A35" s="89">
        <v>45182</v>
      </c>
      <c r="B35" s="128" t="s">
        <v>6</v>
      </c>
      <c r="C35" s="10" t="s">
        <v>1529</v>
      </c>
      <c r="D35" s="11" t="s">
        <v>13</v>
      </c>
      <c r="E35" s="86">
        <v>99959</v>
      </c>
      <c r="F35" s="165"/>
      <c r="G35" s="168"/>
      <c r="H35" s="167"/>
      <c r="I35" s="167"/>
      <c r="J35" s="168"/>
    </row>
    <row r="36" spans="1:11" s="124" customFormat="1" ht="12.75" customHeight="1" x14ac:dyDescent="0.25">
      <c r="A36" s="89">
        <v>45182</v>
      </c>
      <c r="B36" s="128" t="s">
        <v>11</v>
      </c>
      <c r="C36" s="163" t="s">
        <v>1526</v>
      </c>
      <c r="D36" s="11" t="s">
        <v>29</v>
      </c>
      <c r="E36" s="164"/>
      <c r="F36" s="165">
        <v>718350</v>
      </c>
      <c r="G36" s="166"/>
      <c r="H36" s="167"/>
      <c r="I36" s="167"/>
      <c r="J36" s="168"/>
    </row>
    <row r="37" spans="1:11" s="2" customFormat="1" x14ac:dyDescent="0.2">
      <c r="A37" s="89">
        <v>45182</v>
      </c>
      <c r="B37" s="128" t="s">
        <v>11</v>
      </c>
      <c r="C37" s="10" t="s">
        <v>64</v>
      </c>
      <c r="D37" s="11" t="s">
        <v>29</v>
      </c>
      <c r="E37" s="86"/>
      <c r="F37" s="70">
        <v>5326.5199999999995</v>
      </c>
      <c r="G37" s="30"/>
      <c r="I37" s="13"/>
      <c r="J37" s="13"/>
    </row>
    <row r="38" spans="1:11" s="70" customFormat="1" x14ac:dyDescent="0.2">
      <c r="A38" s="89">
        <v>45182</v>
      </c>
      <c r="B38" s="128" t="s">
        <v>11</v>
      </c>
      <c r="C38" s="10" t="s">
        <v>748</v>
      </c>
      <c r="D38" s="11" t="s">
        <v>29</v>
      </c>
      <c r="E38" s="86"/>
      <c r="F38" s="70">
        <v>166281.9</v>
      </c>
      <c r="G38" s="30"/>
      <c r="H38" s="159"/>
      <c r="I38" s="160">
        <v>150000000</v>
      </c>
      <c r="J38" s="160" t="s">
        <v>1506</v>
      </c>
    </row>
    <row r="39" spans="1:11" s="70" customFormat="1" x14ac:dyDescent="0.2">
      <c r="A39" s="89">
        <v>45182</v>
      </c>
      <c r="B39" s="128" t="s">
        <v>11</v>
      </c>
      <c r="C39" s="10" t="s">
        <v>15</v>
      </c>
      <c r="D39" s="11" t="s">
        <v>29</v>
      </c>
      <c r="E39" s="86"/>
      <c r="F39" s="70">
        <v>126117.05</v>
      </c>
      <c r="G39" s="30"/>
      <c r="H39" s="159"/>
      <c r="I39" s="160">
        <v>110792173.63</v>
      </c>
      <c r="J39" s="160" t="s">
        <v>1507</v>
      </c>
      <c r="K39" s="70" t="s">
        <v>1512</v>
      </c>
    </row>
    <row r="40" spans="1:11" s="70" customFormat="1" x14ac:dyDescent="0.2">
      <c r="A40" s="89">
        <v>45182</v>
      </c>
      <c r="B40" s="128" t="s">
        <v>11</v>
      </c>
      <c r="C40" s="10" t="s">
        <v>1528</v>
      </c>
      <c r="D40" s="11" t="s">
        <v>29</v>
      </c>
      <c r="E40" s="86"/>
      <c r="F40" s="70">
        <v>12479967</v>
      </c>
      <c r="G40" s="30"/>
      <c r="H40" s="159" t="s">
        <v>1505</v>
      </c>
      <c r="I40" s="160">
        <f>+I38-I39</f>
        <v>39207826.370000005</v>
      </c>
      <c r="J40" s="160"/>
    </row>
    <row r="41" spans="1:11" s="70" customFormat="1" x14ac:dyDescent="0.2">
      <c r="A41" s="89">
        <v>45182</v>
      </c>
      <c r="B41" s="128" t="s">
        <v>11</v>
      </c>
      <c r="C41" s="10" t="s">
        <v>109</v>
      </c>
      <c r="D41" s="11" t="s">
        <v>29</v>
      </c>
      <c r="E41" s="86"/>
      <c r="F41" s="70">
        <v>1145684</v>
      </c>
      <c r="G41" s="30"/>
      <c r="I41" s="69"/>
      <c r="J41" s="69"/>
    </row>
    <row r="42" spans="1:11" s="70" customFormat="1" x14ac:dyDescent="0.2">
      <c r="A42" s="89">
        <v>45182</v>
      </c>
      <c r="B42" s="128" t="s">
        <v>11</v>
      </c>
      <c r="C42" s="10" t="s">
        <v>284</v>
      </c>
      <c r="D42" s="11" t="s">
        <v>29</v>
      </c>
      <c r="E42" s="86"/>
      <c r="F42" s="70">
        <v>599449</v>
      </c>
      <c r="G42" s="30"/>
      <c r="H42" s="1"/>
      <c r="I42" s="38">
        <v>125225755.92</v>
      </c>
      <c r="J42" s="2" t="s">
        <v>396</v>
      </c>
      <c r="K42" s="92">
        <f>E45-I42</f>
        <v>0</v>
      </c>
    </row>
    <row r="43" spans="1:11" s="70" customFormat="1" x14ac:dyDescent="0.2">
      <c r="A43" s="89">
        <v>45182</v>
      </c>
      <c r="B43" s="128" t="s">
        <v>11</v>
      </c>
      <c r="C43" s="10" t="s">
        <v>16</v>
      </c>
      <c r="D43" s="11" t="s">
        <v>29</v>
      </c>
      <c r="E43" s="86"/>
      <c r="F43" s="70">
        <v>77331.42</v>
      </c>
      <c r="G43" s="30"/>
    </row>
    <row r="44" spans="1:11" s="70" customFormat="1" x14ac:dyDescent="0.2">
      <c r="A44" s="32"/>
      <c r="B44" s="33"/>
      <c r="C44" s="14"/>
      <c r="D44" s="34"/>
      <c r="E44" s="16">
        <f>SUM(E23:E43)</f>
        <v>10965465.439999999</v>
      </c>
      <c r="F44" s="16">
        <f>SUM(F23:F43)</f>
        <v>136191221.3600001</v>
      </c>
      <c r="G44" s="30"/>
      <c r="I44" s="45">
        <v>1125.01</v>
      </c>
      <c r="J44" s="46"/>
      <c r="K44" s="46"/>
    </row>
    <row r="45" spans="1:11" s="70" customFormat="1" x14ac:dyDescent="0.2">
      <c r="A45" s="36"/>
      <c r="B45" s="28" t="s">
        <v>11</v>
      </c>
      <c r="C45" s="19" t="s">
        <v>65</v>
      </c>
      <c r="D45" s="37"/>
      <c r="E45" s="38">
        <f>F44-E44</f>
        <v>125225755.92000011</v>
      </c>
      <c r="F45" s="22"/>
      <c r="G45" s="30"/>
      <c r="H45" s="103" t="s">
        <v>69</v>
      </c>
      <c r="I45" s="45">
        <v>-45.93</v>
      </c>
      <c r="J45" s="46"/>
      <c r="K45" s="46"/>
    </row>
    <row r="46" spans="1:11" s="70" customFormat="1" x14ac:dyDescent="0.2">
      <c r="A46" s="36"/>
      <c r="B46" s="28" t="s">
        <v>66</v>
      </c>
      <c r="C46" s="43" t="s">
        <v>1457</v>
      </c>
      <c r="D46" s="43"/>
      <c r="E46" s="12">
        <v>350000000</v>
      </c>
      <c r="F46" s="22"/>
      <c r="G46" s="30"/>
      <c r="H46" s="35" t="s">
        <v>70</v>
      </c>
      <c r="I46" s="45">
        <f>9.89+31.65</f>
        <v>41.54</v>
      </c>
      <c r="J46" s="46">
        <f>+I47-D51</f>
        <v>0</v>
      </c>
      <c r="K46" s="2"/>
    </row>
    <row r="47" spans="1:11" s="70" customFormat="1" ht="12.75" customHeight="1" x14ac:dyDescent="0.25">
      <c r="A47" s="36"/>
      <c r="B47" s="28"/>
      <c r="C47" s="44" t="s">
        <v>68</v>
      </c>
      <c r="D47" s="43"/>
      <c r="E47" s="7">
        <f>+E46+E45</f>
        <v>475225755.92000008</v>
      </c>
      <c r="F47" s="22"/>
      <c r="G47" s="30"/>
      <c r="I47" s="49">
        <f>SUM(I44:I46)</f>
        <v>1120.6199999999999</v>
      </c>
      <c r="J47" s="46"/>
      <c r="K47" s="46"/>
    </row>
    <row r="48" spans="1:11" s="70" customFormat="1" ht="12.75" customHeight="1" x14ac:dyDescent="0.25">
      <c r="A48" s="24"/>
      <c r="B48" s="1"/>
      <c r="C48" s="44" t="s">
        <v>1510</v>
      </c>
      <c r="D48" s="25"/>
      <c r="E48" s="156">
        <f>+I40</f>
        <v>39207826.370000005</v>
      </c>
      <c r="F48" s="2"/>
      <c r="G48" s="30"/>
    </row>
    <row r="49" spans="1:14" s="70" customFormat="1" ht="12.75" customHeight="1" x14ac:dyDescent="0.2">
      <c r="A49" s="24"/>
      <c r="B49" s="1"/>
      <c r="C49" s="56"/>
      <c r="D49" s="56"/>
      <c r="E49" s="104"/>
      <c r="F49" s="2"/>
      <c r="G49" s="30"/>
    </row>
    <row r="50" spans="1:14" s="70" customFormat="1" ht="12.75" customHeight="1" x14ac:dyDescent="0.2">
      <c r="A50" s="24"/>
      <c r="B50" s="1"/>
      <c r="C50" s="78" t="s">
        <v>575</v>
      </c>
      <c r="D50" s="48" t="s">
        <v>576</v>
      </c>
      <c r="E50" s="104"/>
      <c r="F50" s="2"/>
      <c r="G50" s="30"/>
    </row>
    <row r="51" spans="1:14" s="70" customFormat="1" ht="12.75" customHeight="1" x14ac:dyDescent="0.2">
      <c r="A51" s="24"/>
      <c r="B51" s="1"/>
      <c r="C51" s="47" t="s">
        <v>570</v>
      </c>
      <c r="D51" s="111">
        <v>1120.6199999999999</v>
      </c>
      <c r="E51" s="104"/>
      <c r="F51" s="2"/>
      <c r="G51" s="30"/>
      <c r="H51" s="110" t="s">
        <v>581</v>
      </c>
    </row>
    <row r="52" spans="1:14" s="70" customFormat="1" ht="12.75" customHeight="1" x14ac:dyDescent="0.2">
      <c r="A52" s="24"/>
      <c r="B52" s="1"/>
      <c r="C52" s="47" t="s">
        <v>931</v>
      </c>
      <c r="D52" s="111">
        <v>179.58</v>
      </c>
      <c r="E52" s="104"/>
      <c r="F52" s="2"/>
      <c r="G52" s="30"/>
      <c r="H52" s="110" t="s">
        <v>580</v>
      </c>
    </row>
    <row r="53" spans="1:14" s="70" customFormat="1" ht="12.75" customHeight="1" x14ac:dyDescent="0.2">
      <c r="A53" s="24"/>
      <c r="B53" s="1"/>
      <c r="C53" s="47" t="s">
        <v>572</v>
      </c>
      <c r="D53" s="111">
        <f>+D85/100000</f>
        <v>144.9760321</v>
      </c>
      <c r="E53" s="104"/>
      <c r="F53" s="2"/>
      <c r="G53" s="30"/>
      <c r="H53" s="90" t="s">
        <v>587</v>
      </c>
    </row>
    <row r="54" spans="1:14" s="2" customFormat="1" ht="12.75" customHeight="1" x14ac:dyDescent="0.2">
      <c r="A54" s="24"/>
      <c r="B54" s="1"/>
      <c r="C54" s="108" t="s">
        <v>578</v>
      </c>
      <c r="D54" s="48">
        <f>SUM(D51:D53)</f>
        <v>1445.1760320999997</v>
      </c>
      <c r="E54" s="104"/>
      <c r="G54" s="30"/>
      <c r="L54" s="41"/>
      <c r="M54" s="42"/>
    </row>
    <row r="55" spans="1:14" s="2" customFormat="1" ht="12.75" customHeight="1" x14ac:dyDescent="0.2">
      <c r="A55" s="24"/>
      <c r="B55" s="1"/>
      <c r="C55" s="47"/>
      <c r="D55" s="107"/>
      <c r="E55" s="104"/>
      <c r="G55" s="1"/>
      <c r="J55" s="1"/>
      <c r="K55" s="1"/>
      <c r="L55" s="1"/>
      <c r="M55" s="1"/>
    </row>
    <row r="56" spans="1:14" s="2" customFormat="1" ht="12.75" customHeight="1" x14ac:dyDescent="0.2">
      <c r="A56" s="24"/>
      <c r="B56" s="1"/>
      <c r="C56" s="47" t="s">
        <v>932</v>
      </c>
      <c r="D56" s="111">
        <v>148.54</v>
      </c>
      <c r="E56" s="104"/>
      <c r="H56" s="110" t="s">
        <v>581</v>
      </c>
      <c r="L56" s="13"/>
      <c r="M56" s="69" t="s">
        <v>396</v>
      </c>
    </row>
    <row r="57" spans="1:14" s="2" customFormat="1" ht="12.75" customHeight="1" x14ac:dyDescent="0.2">
      <c r="A57" s="24"/>
      <c r="B57" s="1"/>
      <c r="C57" s="136" t="s">
        <v>1142</v>
      </c>
      <c r="D57" s="111">
        <v>135.94999999999999</v>
      </c>
      <c r="E57" s="104"/>
      <c r="G57" s="1"/>
      <c r="H57" s="110" t="s">
        <v>581</v>
      </c>
      <c r="N57" s="1"/>
    </row>
    <row r="58" spans="1:14" s="2" customFormat="1" x14ac:dyDescent="0.2">
      <c r="A58" s="24"/>
      <c r="B58" s="1"/>
      <c r="C58" s="78" t="s">
        <v>579</v>
      </c>
      <c r="D58" s="109">
        <f>D56+D57</f>
        <v>284.49</v>
      </c>
      <c r="E58" s="104"/>
      <c r="G58" s="1"/>
      <c r="M58" s="2" t="s">
        <v>396</v>
      </c>
      <c r="N58" s="1"/>
    </row>
    <row r="59" spans="1:14" x14ac:dyDescent="0.2">
      <c r="C59" s="105"/>
      <c r="D59" s="106"/>
      <c r="E59" s="104"/>
      <c r="L59" s="2"/>
      <c r="M59" s="2"/>
      <c r="N59" s="2"/>
    </row>
    <row r="60" spans="1:14" x14ac:dyDescent="0.2">
      <c r="C60" s="78" t="s">
        <v>577</v>
      </c>
      <c r="D60" s="109">
        <f>D51+D58</f>
        <v>1405.11</v>
      </c>
      <c r="E60" s="104"/>
      <c r="I60" s="2"/>
      <c r="J60" s="2"/>
      <c r="K60" s="2"/>
      <c r="L60" s="2"/>
      <c r="M60" s="2"/>
      <c r="N60" s="2"/>
    </row>
    <row r="61" spans="1:14" s="2" customFormat="1" x14ac:dyDescent="0.2">
      <c r="A61" s="24"/>
      <c r="B61" s="1"/>
      <c r="C61" s="56"/>
      <c r="D61" s="56"/>
      <c r="E61" s="104"/>
      <c r="G61" s="1"/>
      <c r="N61" s="2" t="s">
        <v>535</v>
      </c>
    </row>
    <row r="62" spans="1:14" s="2" customFormat="1" ht="38.25" x14ac:dyDescent="0.2">
      <c r="A62" s="24"/>
      <c r="B62" s="1"/>
      <c r="C62" s="79" t="str">
        <f>"Particulars ( 01-04-2021 to "&amp;TEXT(A5,"dd-mm-yyyy")&amp;" )"</f>
        <v>Particulars ( 01-04-2021 to 13-09-2023 )</v>
      </c>
      <c r="D62" s="80" t="s">
        <v>73</v>
      </c>
      <c r="E62" s="80" t="s">
        <v>74</v>
      </c>
      <c r="F62" s="81" t="s">
        <v>75</v>
      </c>
      <c r="G62" s="80" t="s">
        <v>76</v>
      </c>
    </row>
    <row r="63" spans="1:14" s="2" customFormat="1" x14ac:dyDescent="0.2">
      <c r="A63" s="24"/>
      <c r="B63" s="1"/>
      <c r="C63" s="50" t="s">
        <v>444</v>
      </c>
      <c r="D63" s="55">
        <f>+L66+L67+J67</f>
        <v>4988.58</v>
      </c>
      <c r="E63" s="55">
        <f>+K66+K67</f>
        <v>4441.79</v>
      </c>
      <c r="F63" s="55">
        <f>+D63-E63</f>
        <v>546.79</v>
      </c>
      <c r="G63" s="55">
        <f>1500-F63</f>
        <v>953.21</v>
      </c>
    </row>
    <row r="64" spans="1:14" s="2" customFormat="1" x14ac:dyDescent="0.2">
      <c r="A64" s="24"/>
      <c r="B64" s="1"/>
      <c r="C64" s="50" t="s">
        <v>71</v>
      </c>
      <c r="D64" s="55">
        <f>+J68+L68</f>
        <v>14929.210000000001</v>
      </c>
      <c r="E64" s="55">
        <f>+K68</f>
        <v>14088.45</v>
      </c>
      <c r="F64" s="55">
        <f>+D64-E64</f>
        <v>840.76000000000022</v>
      </c>
      <c r="G64" s="55">
        <f>1500+700-F64</f>
        <v>1359.2399999999998</v>
      </c>
      <c r="J64" s="114" t="s">
        <v>713</v>
      </c>
    </row>
    <row r="65" spans="1:13" s="2" customFormat="1" x14ac:dyDescent="0.2">
      <c r="A65" s="24"/>
      <c r="B65" s="1"/>
      <c r="C65" s="14"/>
      <c r="D65" s="56"/>
      <c r="E65" s="13"/>
      <c r="I65" s="113"/>
      <c r="J65" s="113" t="s">
        <v>709</v>
      </c>
      <c r="K65" s="113" t="s">
        <v>710</v>
      </c>
      <c r="L65" s="113" t="s">
        <v>711</v>
      </c>
      <c r="M65" s="113" t="s">
        <v>712</v>
      </c>
    </row>
    <row r="66" spans="1:13" s="2" customFormat="1" x14ac:dyDescent="0.2">
      <c r="A66" s="215" t="s">
        <v>80</v>
      </c>
      <c r="B66" s="216"/>
      <c r="C66" s="216"/>
      <c r="D66" s="217"/>
      <c r="E66" s="69"/>
      <c r="F66" s="70"/>
      <c r="G66" s="1"/>
      <c r="I66" s="113" t="s">
        <v>706</v>
      </c>
      <c r="J66" s="115"/>
      <c r="K66" s="115">
        <v>968.99</v>
      </c>
      <c r="L66" s="115">
        <v>968.99</v>
      </c>
      <c r="M66" s="113">
        <f>+J66+L66-K66</f>
        <v>0</v>
      </c>
    </row>
    <row r="67" spans="1:13" s="2" customFormat="1" x14ac:dyDescent="0.2">
      <c r="A67" s="71" t="s">
        <v>81</v>
      </c>
      <c r="B67" s="71"/>
      <c r="C67" s="72" t="s">
        <v>82</v>
      </c>
      <c r="D67" s="73" t="s">
        <v>83</v>
      </c>
      <c r="E67" s="69"/>
      <c r="F67" s="70"/>
      <c r="G67" s="1"/>
      <c r="I67" s="113" t="s">
        <v>707</v>
      </c>
      <c r="J67" s="115">
        <v>183.1</v>
      </c>
      <c r="K67" s="115">
        <v>3472.8</v>
      </c>
      <c r="L67" s="115">
        <v>3836.49</v>
      </c>
      <c r="M67" s="113">
        <f>+J67+L67-K67</f>
        <v>546.78999999999951</v>
      </c>
    </row>
    <row r="68" spans="1:13" s="2" customFormat="1" x14ac:dyDescent="0.2">
      <c r="A68" s="87">
        <v>45170</v>
      </c>
      <c r="B68" s="120" t="s">
        <v>1052</v>
      </c>
      <c r="C68" s="75" t="s">
        <v>270</v>
      </c>
      <c r="D68" s="88">
        <v>117174</v>
      </c>
      <c r="G68" s="1"/>
      <c r="I68" s="113" t="s">
        <v>708</v>
      </c>
      <c r="J68" s="115">
        <v>1371.02</v>
      </c>
      <c r="K68" s="115">
        <v>14088.45</v>
      </c>
      <c r="L68" s="115">
        <v>13558.19</v>
      </c>
      <c r="M68" s="113">
        <f>+J68+L68-K68</f>
        <v>840.76000000000022</v>
      </c>
    </row>
    <row r="69" spans="1:13" s="2" customFormat="1" x14ac:dyDescent="0.2">
      <c r="A69" s="87">
        <v>45171</v>
      </c>
      <c r="B69" s="120" t="s">
        <v>1052</v>
      </c>
      <c r="C69" s="75" t="s">
        <v>767</v>
      </c>
      <c r="D69" s="88">
        <v>278761</v>
      </c>
      <c r="G69" s="1"/>
      <c r="J69" s="118">
        <f>SUM(J66:J68)</f>
        <v>1554.12</v>
      </c>
      <c r="K69" s="118">
        <f>SUM(K66:K68)</f>
        <v>18530.240000000002</v>
      </c>
      <c r="L69" s="118">
        <f>SUM(L66:L68)</f>
        <v>18363.669999999998</v>
      </c>
      <c r="M69" s="118">
        <f>SUM(M66:M68)</f>
        <v>1387.5499999999997</v>
      </c>
    </row>
    <row r="70" spans="1:13" s="2" customFormat="1" x14ac:dyDescent="0.2">
      <c r="A70" s="87">
        <v>45171</v>
      </c>
      <c r="B70" s="120" t="s">
        <v>1052</v>
      </c>
      <c r="C70" s="75" t="s">
        <v>201</v>
      </c>
      <c r="D70" s="88">
        <v>3500391.21</v>
      </c>
    </row>
    <row r="71" spans="1:13" s="2" customFormat="1" x14ac:dyDescent="0.2">
      <c r="A71" s="87">
        <v>45173</v>
      </c>
      <c r="B71" s="120" t="s">
        <v>1052</v>
      </c>
      <c r="C71" s="75" t="s">
        <v>1478</v>
      </c>
      <c r="D71" s="88">
        <v>22763</v>
      </c>
    </row>
    <row r="72" spans="1:13" s="2" customFormat="1" x14ac:dyDescent="0.2">
      <c r="A72" s="87">
        <v>45173</v>
      </c>
      <c r="B72" s="120" t="s">
        <v>1052</v>
      </c>
      <c r="C72" s="75" t="s">
        <v>1478</v>
      </c>
      <c r="D72" s="88">
        <v>1786258</v>
      </c>
    </row>
    <row r="73" spans="1:13" s="2" customFormat="1" x14ac:dyDescent="0.2">
      <c r="A73" s="87">
        <v>45173</v>
      </c>
      <c r="B73" s="120" t="s">
        <v>1052</v>
      </c>
      <c r="C73" s="75" t="s">
        <v>1478</v>
      </c>
      <c r="D73" s="88">
        <v>1329469</v>
      </c>
      <c r="G73" s="1"/>
      <c r="H73" s="2" t="s">
        <v>396</v>
      </c>
    </row>
    <row r="74" spans="1:13" s="2" customFormat="1" x14ac:dyDescent="0.2">
      <c r="A74" s="87">
        <v>45175</v>
      </c>
      <c r="B74" s="120" t="s">
        <v>1052</v>
      </c>
      <c r="C74" s="75" t="s">
        <v>784</v>
      </c>
      <c r="D74" s="88">
        <v>673560</v>
      </c>
      <c r="G74" s="1"/>
      <c r="H74" s="2" t="s">
        <v>396</v>
      </c>
    </row>
    <row r="75" spans="1:13" s="2" customFormat="1" x14ac:dyDescent="0.2">
      <c r="A75" s="87">
        <v>45175</v>
      </c>
      <c r="B75" s="120" t="s">
        <v>1052</v>
      </c>
      <c r="C75" s="75" t="s">
        <v>784</v>
      </c>
      <c r="D75" s="88">
        <v>700391</v>
      </c>
    </row>
    <row r="76" spans="1:13" s="2" customFormat="1" x14ac:dyDescent="0.2">
      <c r="A76" s="87">
        <v>45175</v>
      </c>
      <c r="B76" s="120" t="s">
        <v>1052</v>
      </c>
      <c r="C76" s="75" t="s">
        <v>84</v>
      </c>
      <c r="D76" s="88">
        <v>1000000</v>
      </c>
      <c r="G76" s="1"/>
      <c r="H76" s="53"/>
    </row>
    <row r="77" spans="1:13" s="2" customFormat="1" x14ac:dyDescent="0.2">
      <c r="A77" s="87">
        <v>45176</v>
      </c>
      <c r="B77" s="120" t="s">
        <v>1052</v>
      </c>
      <c r="C77" s="75" t="s">
        <v>85</v>
      </c>
      <c r="D77" s="88">
        <v>565814</v>
      </c>
      <c r="G77" s="1"/>
      <c r="H77" s="53"/>
    </row>
    <row r="78" spans="1:13" s="2" customFormat="1" x14ac:dyDescent="0.2">
      <c r="A78" s="87">
        <v>45176</v>
      </c>
      <c r="B78" s="120" t="s">
        <v>1052</v>
      </c>
      <c r="C78" s="75" t="s">
        <v>271</v>
      </c>
      <c r="D78" s="88">
        <v>1691421</v>
      </c>
      <c r="G78" s="1"/>
      <c r="L78" s="1"/>
      <c r="M78" s="1"/>
    </row>
    <row r="79" spans="1:13" s="2" customFormat="1" x14ac:dyDescent="0.2">
      <c r="A79" s="87">
        <v>45177</v>
      </c>
      <c r="B79" s="120" t="s">
        <v>1052</v>
      </c>
      <c r="C79" s="75" t="s">
        <v>85</v>
      </c>
      <c r="D79" s="88">
        <v>432581</v>
      </c>
      <c r="G79" s="1"/>
      <c r="L79" s="1"/>
      <c r="M79" s="1"/>
    </row>
    <row r="80" spans="1:13" s="2" customFormat="1" x14ac:dyDescent="0.2">
      <c r="A80" s="87">
        <v>45177</v>
      </c>
      <c r="B80" s="120" t="s">
        <v>1052</v>
      </c>
      <c r="C80" s="75" t="s">
        <v>1521</v>
      </c>
      <c r="D80" s="88">
        <v>1198155</v>
      </c>
      <c r="G80" s="1"/>
      <c r="L80" s="1"/>
      <c r="M80" s="1"/>
    </row>
    <row r="81" spans="1:13" s="2" customFormat="1" x14ac:dyDescent="0.2">
      <c r="A81" s="87">
        <v>45180</v>
      </c>
      <c r="B81" s="120" t="s">
        <v>1052</v>
      </c>
      <c r="C81" s="75" t="s">
        <v>784</v>
      </c>
      <c r="D81" s="88">
        <v>279127</v>
      </c>
      <c r="G81" s="1"/>
      <c r="L81" s="1"/>
      <c r="M81" s="1"/>
    </row>
    <row r="82" spans="1:13" s="2" customFormat="1" x14ac:dyDescent="0.2">
      <c r="A82" s="87">
        <v>45180</v>
      </c>
      <c r="B82" s="120" t="s">
        <v>1052</v>
      </c>
      <c r="C82" s="75" t="s">
        <v>270</v>
      </c>
      <c r="D82" s="88">
        <v>30842</v>
      </c>
      <c r="G82" s="1"/>
      <c r="L82" s="1"/>
      <c r="M82" s="1"/>
    </row>
    <row r="83" spans="1:13" s="2" customFormat="1" x14ac:dyDescent="0.2">
      <c r="A83" s="87">
        <v>45180</v>
      </c>
      <c r="B83" s="120" t="s">
        <v>1052</v>
      </c>
      <c r="C83" s="75" t="s">
        <v>271</v>
      </c>
      <c r="D83" s="88">
        <v>701813</v>
      </c>
      <c r="G83" s="1"/>
      <c r="L83" s="1"/>
      <c r="M83" s="1"/>
    </row>
    <row r="84" spans="1:13" s="2" customFormat="1" x14ac:dyDescent="0.2">
      <c r="A84" s="87">
        <v>45180</v>
      </c>
      <c r="B84" s="120" t="s">
        <v>1052</v>
      </c>
      <c r="C84" s="75" t="s">
        <v>271</v>
      </c>
      <c r="D84" s="88">
        <v>189083</v>
      </c>
      <c r="G84" s="1"/>
      <c r="L84" s="1"/>
      <c r="M84" s="1"/>
    </row>
    <row r="85" spans="1:13" s="2" customFormat="1" x14ac:dyDescent="0.2">
      <c r="A85" s="87"/>
      <c r="B85" s="74"/>
      <c r="C85" s="75"/>
      <c r="D85" s="51">
        <f>SUM(D68:D84)</f>
        <v>14497603.210000001</v>
      </c>
      <c r="F85" s="2" t="s">
        <v>396</v>
      </c>
      <c r="G85" s="1"/>
      <c r="L85" s="1"/>
      <c r="M85" s="1"/>
    </row>
    <row r="86" spans="1:13" s="2" customFormat="1" x14ac:dyDescent="0.2">
      <c r="A86" s="24"/>
      <c r="B86" s="1"/>
      <c r="C86" s="14"/>
      <c r="D86" s="56"/>
      <c r="E86" s="13"/>
      <c r="G86" s="1"/>
      <c r="L86" s="1"/>
      <c r="M86" s="1"/>
    </row>
    <row r="87" spans="1:13" s="2" customFormat="1" x14ac:dyDescent="0.2">
      <c r="A87" s="24"/>
      <c r="B87" s="1"/>
      <c r="C87" s="218" t="s">
        <v>77</v>
      </c>
      <c r="D87" s="219"/>
      <c r="E87" s="219"/>
      <c r="F87" s="220"/>
      <c r="G87" s="1"/>
      <c r="L87" s="1"/>
      <c r="M87" s="1"/>
    </row>
    <row r="88" spans="1:13" s="2" customFormat="1" x14ac:dyDescent="0.2">
      <c r="A88" s="24"/>
      <c r="B88" s="1"/>
      <c r="C88" s="50"/>
      <c r="D88" s="57" t="s">
        <v>78</v>
      </c>
      <c r="E88" s="58" t="s">
        <v>79</v>
      </c>
      <c r="F88" s="57" t="s">
        <v>72</v>
      </c>
      <c r="G88" s="1"/>
      <c r="L88" s="1"/>
      <c r="M88" s="1"/>
    </row>
    <row r="89" spans="1:13" s="2" customFormat="1" x14ac:dyDescent="0.2">
      <c r="A89" s="24"/>
      <c r="B89" s="1"/>
      <c r="C89" s="59" t="str">
        <f>"01-09-2023 to "&amp;TEXT(A5-2,"dd-mm-yyyy")</f>
        <v>01-09-2023 to 11-09-2023</v>
      </c>
      <c r="D89" s="60">
        <v>901.4</v>
      </c>
      <c r="E89" s="60">
        <v>88.32</v>
      </c>
      <c r="F89" s="61">
        <f>SUM(D89:E89)</f>
        <v>989.72</v>
      </c>
      <c r="G89" s="1"/>
      <c r="L89" s="1"/>
      <c r="M89" s="1"/>
    </row>
    <row r="90" spans="1:13" s="2" customFormat="1" x14ac:dyDescent="0.2">
      <c r="A90" s="24"/>
      <c r="B90" s="1"/>
      <c r="C90" s="62" t="str">
        <f>TEXT(A5-1,"dd-mm-yyyy")</f>
        <v>12-09-2023</v>
      </c>
      <c r="D90" s="60">
        <v>158.49</v>
      </c>
      <c r="E90" s="60">
        <v>5.18</v>
      </c>
      <c r="F90" s="61">
        <f>SUM(D90:E90)</f>
        <v>163.67000000000002</v>
      </c>
      <c r="G90" s="1"/>
      <c r="L90" s="1"/>
      <c r="M90" s="1"/>
    </row>
    <row r="91" spans="1:13" s="2" customFormat="1" ht="13.5" thickBot="1" x14ac:dyDescent="0.25">
      <c r="A91" s="24"/>
      <c r="B91" s="1"/>
      <c r="C91" s="63" t="str">
        <f>"01-09-2023 to "&amp;TEXT(A5-1,"dd-mm-yyyy")</f>
        <v>01-09-2023 to 12-09-2023</v>
      </c>
      <c r="D91" s="64">
        <f>SUM(D89:D90)</f>
        <v>1059.8899999999999</v>
      </c>
      <c r="E91" s="64">
        <f>SUM(E89:E90)</f>
        <v>93.5</v>
      </c>
      <c r="F91" s="64">
        <f>SUM(F89:F90)</f>
        <v>1153.3900000000001</v>
      </c>
      <c r="G91" s="1"/>
      <c r="L91" s="1"/>
      <c r="M91" s="1"/>
    </row>
    <row r="92" spans="1:13" s="2" customFormat="1" ht="13.5" thickTop="1" x14ac:dyDescent="0.2">
      <c r="A92" s="24"/>
      <c r="B92" s="1"/>
      <c r="C92" s="62"/>
      <c r="D92" s="65"/>
      <c r="E92" s="66"/>
      <c r="F92" s="67"/>
      <c r="G92" s="1"/>
      <c r="L92" s="1"/>
      <c r="M92" s="1"/>
    </row>
    <row r="93" spans="1:13" s="2" customFormat="1" x14ac:dyDescent="0.2">
      <c r="A93" s="24"/>
      <c r="B93" s="1"/>
      <c r="C93" s="62" t="str">
        <f>"01-04-2023 to " &amp;C90</f>
        <v>01-04-2023 to 12-09-2023</v>
      </c>
      <c r="D93" s="68">
        <f>+D91+24261.33</f>
        <v>25321.22</v>
      </c>
      <c r="E93" s="68">
        <f>+E91+1685.25</f>
        <v>1778.75</v>
      </c>
      <c r="F93" s="68">
        <f>+F91+25946.58</f>
        <v>27099.97</v>
      </c>
      <c r="G93" s="1"/>
      <c r="L93" s="1"/>
      <c r="M93" s="1"/>
    </row>
    <row r="94" spans="1:13" s="2" customFormat="1" x14ac:dyDescent="0.2">
      <c r="A94" s="24"/>
      <c r="B94" s="1"/>
      <c r="C94" s="52"/>
      <c r="D94" s="85"/>
      <c r="E94" s="53"/>
      <c r="F94" s="53"/>
      <c r="G94" s="1"/>
      <c r="L94" s="1"/>
      <c r="M94" s="1"/>
    </row>
    <row r="95" spans="1:13" s="2" customFormat="1" x14ac:dyDescent="0.2">
      <c r="A95" s="24"/>
      <c r="B95" s="1"/>
      <c r="C95" s="52"/>
      <c r="D95" s="85"/>
      <c r="E95" s="53"/>
      <c r="F95" s="53"/>
      <c r="G95" s="1"/>
      <c r="L95" s="1"/>
      <c r="M95" s="1"/>
    </row>
    <row r="96" spans="1:13" s="2" customFormat="1" x14ac:dyDescent="0.2">
      <c r="A96" s="24"/>
      <c r="B96" s="1"/>
      <c r="C96" s="52"/>
      <c r="D96" s="85"/>
      <c r="E96" s="53"/>
      <c r="F96" s="53"/>
      <c r="G96" s="1"/>
      <c r="L96" s="1"/>
      <c r="M96" s="1"/>
    </row>
    <row r="97" spans="1:13" s="2" customFormat="1" x14ac:dyDescent="0.2">
      <c r="A97" s="24"/>
      <c r="B97" s="1"/>
      <c r="C97" s="52"/>
      <c r="D97" s="85"/>
      <c r="E97" s="53"/>
      <c r="F97" s="53"/>
      <c r="G97" s="1"/>
      <c r="L97" s="1"/>
      <c r="M97" s="1"/>
    </row>
    <row r="98" spans="1:13" s="2" customFormat="1" x14ac:dyDescent="0.2">
      <c r="A98" s="24"/>
      <c r="B98" s="1"/>
      <c r="C98" s="14"/>
      <c r="D98" s="25"/>
      <c r="G98" s="54"/>
      <c r="I98" s="1"/>
      <c r="J98" s="1"/>
      <c r="K98" s="1"/>
      <c r="L98" s="1"/>
      <c r="M98" s="1"/>
    </row>
    <row r="99" spans="1:13" s="2" customFormat="1" x14ac:dyDescent="0.2">
      <c r="A99" s="24"/>
      <c r="B99" s="1"/>
      <c r="C99" s="14"/>
      <c r="D99" s="25"/>
      <c r="G99" s="54"/>
    </row>
    <row r="100" spans="1:13" s="2" customFormat="1" x14ac:dyDescent="0.2">
      <c r="A100" s="24"/>
      <c r="B100" s="1"/>
      <c r="C100" s="14"/>
      <c r="D100" s="25"/>
      <c r="G100" s="54"/>
      <c r="I100" s="1"/>
      <c r="J100" s="1"/>
      <c r="K100" s="1"/>
      <c r="L100" s="1"/>
      <c r="M100" s="1"/>
    </row>
    <row r="101" spans="1:13" s="2" customFormat="1" x14ac:dyDescent="0.2">
      <c r="A101" s="24"/>
      <c r="B101" s="1"/>
      <c r="C101" s="14"/>
      <c r="D101" s="25"/>
      <c r="G101" s="54"/>
      <c r="I101" s="1"/>
      <c r="J101" s="1"/>
      <c r="K101" s="1"/>
      <c r="L101" s="1"/>
      <c r="M101" s="1"/>
    </row>
    <row r="102" spans="1:13" s="2" customFormat="1" x14ac:dyDescent="0.2">
      <c r="A102" s="24"/>
      <c r="B102" s="1"/>
      <c r="C102" s="14"/>
      <c r="D102" s="25"/>
      <c r="G102" s="54"/>
      <c r="I102" s="1"/>
      <c r="J102" s="1"/>
      <c r="K102" s="1"/>
      <c r="L102" s="1"/>
      <c r="M102" s="1"/>
    </row>
    <row r="103" spans="1:13" s="2" customFormat="1" x14ac:dyDescent="0.2">
      <c r="A103" s="24"/>
      <c r="B103" s="1"/>
      <c r="C103" s="14"/>
      <c r="D103" s="25"/>
      <c r="G103" s="54"/>
      <c r="I103" s="1"/>
      <c r="J103" s="1"/>
      <c r="K103" s="1"/>
      <c r="L103" s="1"/>
      <c r="M103" s="1"/>
    </row>
    <row r="104" spans="1:13" x14ac:dyDescent="0.2">
      <c r="G104" s="54"/>
      <c r="H104" s="2" t="s">
        <v>396</v>
      </c>
    </row>
    <row r="105" spans="1:13" s="2" customFormat="1" x14ac:dyDescent="0.2">
      <c r="A105" s="24"/>
      <c r="B105" s="1"/>
      <c r="C105" s="14"/>
      <c r="D105" s="25"/>
      <c r="G105" s="54"/>
      <c r="H105" s="53"/>
    </row>
    <row r="106" spans="1:13" x14ac:dyDescent="0.2">
      <c r="G106" s="54"/>
      <c r="H106" s="53" t="s">
        <v>396</v>
      </c>
    </row>
    <row r="107" spans="1:13" x14ac:dyDescent="0.2">
      <c r="G107" s="54"/>
      <c r="H107" s="53" t="s">
        <v>396</v>
      </c>
      <c r="J107" s="42"/>
    </row>
    <row r="108" spans="1:13" x14ac:dyDescent="0.2">
      <c r="G108" s="54"/>
      <c r="H108" s="53"/>
      <c r="I108" s="101"/>
    </row>
    <row r="109" spans="1:13" x14ac:dyDescent="0.2">
      <c r="H109" s="53"/>
    </row>
    <row r="110" spans="1:13" x14ac:dyDescent="0.2">
      <c r="H110" s="53"/>
    </row>
    <row r="111" spans="1:13" x14ac:dyDescent="0.2">
      <c r="H111" s="53"/>
    </row>
  </sheetData>
  <mergeCells count="6">
    <mergeCell ref="C87:F87"/>
    <mergeCell ref="A1:G1"/>
    <mergeCell ref="A3:F3"/>
    <mergeCell ref="A10:F10"/>
    <mergeCell ref="A21:F21"/>
    <mergeCell ref="A66:D66"/>
  </mergeCells>
  <conditionalFormatting sqref="G63:G64">
    <cfRule type="cellIs" dxfId="317" priority="1" operator="lessThan">
      <formula>0</formula>
    </cfRule>
  </conditionalFormatting>
  <conditionalFormatting sqref="C23">
    <cfRule type="duplicateValues" dxfId="316" priority="2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400-000000000000}">
  <sheetPr codeName="Sheet428">
    <pageSetUpPr fitToPage="1"/>
  </sheetPr>
  <dimension ref="A1:N152"/>
  <sheetViews>
    <sheetView topLeftCell="A58" zoomScaleNormal="100" workbookViewId="0">
      <selection activeCell="E71" sqref="E71:E72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3" ht="20.25" customHeight="1" x14ac:dyDescent="0.4">
      <c r="A1" s="212" t="s">
        <v>1530</v>
      </c>
      <c r="B1" s="212"/>
      <c r="C1" s="212"/>
      <c r="D1" s="212"/>
      <c r="E1" s="212"/>
      <c r="F1" s="212"/>
      <c r="G1" s="212"/>
      <c r="H1" s="112"/>
      <c r="I1" s="112"/>
    </row>
    <row r="2" spans="1:13" ht="12.75" customHeight="1" x14ac:dyDescent="0.4">
      <c r="H2" s="112"/>
      <c r="I2" s="112"/>
    </row>
    <row r="3" spans="1:13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3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3" s="2" customFormat="1" ht="14.25" customHeight="1" x14ac:dyDescent="0.4">
      <c r="A5" s="89">
        <v>45183</v>
      </c>
      <c r="B5" s="9" t="s">
        <v>6</v>
      </c>
      <c r="C5" s="10" t="s">
        <v>7</v>
      </c>
      <c r="D5" s="11"/>
      <c r="E5" s="12">
        <v>2389569.790000001</v>
      </c>
      <c r="F5" s="12"/>
      <c r="G5" s="1"/>
      <c r="H5" s="112"/>
      <c r="I5" s="112"/>
    </row>
    <row r="6" spans="1:13" s="2" customFormat="1" ht="14.25" customHeight="1" x14ac:dyDescent="0.4">
      <c r="A6" s="89">
        <v>45183</v>
      </c>
      <c r="B6" s="9" t="s">
        <v>11</v>
      </c>
      <c r="C6" s="10" t="s">
        <v>1531</v>
      </c>
      <c r="D6" s="11" t="s">
        <v>29</v>
      </c>
      <c r="E6" s="12"/>
      <c r="F6" s="12">
        <v>324417</v>
      </c>
      <c r="G6" s="1"/>
      <c r="H6" s="112"/>
      <c r="I6" s="112"/>
    </row>
    <row r="7" spans="1:13" s="2" customFormat="1" ht="12.75" customHeight="1" x14ac:dyDescent="0.4">
      <c r="D7" s="15" t="s">
        <v>8</v>
      </c>
      <c r="E7" s="16">
        <f>SUM(E5:E6)</f>
        <v>2389569.790000001</v>
      </c>
      <c r="F7" s="16">
        <f>SUM(F5:F6)</f>
        <v>324417</v>
      </c>
      <c r="G7" s="1"/>
      <c r="H7" s="112"/>
      <c r="I7" s="112"/>
    </row>
    <row r="8" spans="1:13" s="2" customFormat="1" ht="12.75" customHeight="1" x14ac:dyDescent="0.4">
      <c r="A8" s="17"/>
      <c r="B8" s="18"/>
      <c r="C8" s="19" t="s">
        <v>9</v>
      </c>
      <c r="D8" s="20"/>
      <c r="E8" s="21">
        <f>+E7-F7</f>
        <v>2065152.790000001</v>
      </c>
      <c r="F8" s="22"/>
      <c r="G8" s="23"/>
      <c r="H8" s="112"/>
      <c r="I8" s="112"/>
      <c r="J8" s="13"/>
    </row>
    <row r="9" spans="1:13" ht="12.75" customHeight="1" x14ac:dyDescent="0.4">
      <c r="H9" s="112"/>
      <c r="I9" s="112"/>
    </row>
    <row r="10" spans="1:13" ht="18" customHeight="1" x14ac:dyDescent="0.4">
      <c r="A10" s="213" t="s">
        <v>1037</v>
      </c>
      <c r="B10" s="213"/>
      <c r="C10" s="213"/>
      <c r="D10" s="213"/>
      <c r="E10" s="213"/>
      <c r="F10" s="213"/>
      <c r="H10" s="112"/>
      <c r="I10" s="169">
        <v>90000000</v>
      </c>
      <c r="J10" s="169" t="s">
        <v>1508</v>
      </c>
    </row>
    <row r="11" spans="1:13" ht="12.75" customHeight="1" x14ac:dyDescent="0.4">
      <c r="A11" s="3" t="s">
        <v>1</v>
      </c>
      <c r="B11" s="4" t="s">
        <v>2</v>
      </c>
      <c r="C11" s="5"/>
      <c r="D11" s="6" t="s">
        <v>3</v>
      </c>
      <c r="E11" s="7" t="s">
        <v>4</v>
      </c>
      <c r="F11" s="7" t="s">
        <v>5</v>
      </c>
      <c r="H11" s="112"/>
      <c r="I11" s="169">
        <v>88820299.909999996</v>
      </c>
      <c r="J11" s="169" t="s">
        <v>1509</v>
      </c>
      <c r="K11" s="124"/>
    </row>
    <row r="12" spans="1:13" s="2" customFormat="1" ht="14.25" customHeight="1" x14ac:dyDescent="0.2">
      <c r="A12" s="89">
        <v>45183</v>
      </c>
      <c r="B12" s="9" t="s">
        <v>6</v>
      </c>
      <c r="C12" s="10" t="s">
        <v>7</v>
      </c>
      <c r="D12" s="11"/>
      <c r="F12" s="12">
        <v>87359403.850000039</v>
      </c>
      <c r="G12" s="1"/>
      <c r="H12" s="130" t="s">
        <v>396</v>
      </c>
      <c r="I12" s="169">
        <f>+I10-I11</f>
        <v>1179700.0900000036</v>
      </c>
      <c r="J12" s="169" t="s">
        <v>712</v>
      </c>
      <c r="K12" s="165" t="s">
        <v>1512</v>
      </c>
    </row>
    <row r="13" spans="1:13" s="2" customFormat="1" ht="14.25" customHeight="1" x14ac:dyDescent="0.2">
      <c r="A13" s="89">
        <v>45183</v>
      </c>
      <c r="B13" s="9" t="s">
        <v>6</v>
      </c>
      <c r="C13" s="76" t="s">
        <v>1383</v>
      </c>
      <c r="D13" s="11" t="s">
        <v>13</v>
      </c>
      <c r="E13" s="2">
        <v>20000000</v>
      </c>
      <c r="F13" s="31"/>
      <c r="G13" s="1"/>
      <c r="H13" s="130"/>
      <c r="K13" s="124"/>
    </row>
    <row r="14" spans="1:13" s="2" customFormat="1" ht="14.25" customHeight="1" x14ac:dyDescent="0.2">
      <c r="A14" s="89">
        <v>45183</v>
      </c>
      <c r="B14" s="9" t="s">
        <v>6</v>
      </c>
      <c r="C14" s="76" t="s">
        <v>1137</v>
      </c>
      <c r="D14" s="11" t="s">
        <v>13</v>
      </c>
      <c r="E14" s="2">
        <f>36565.37+36546.57</f>
        <v>73111.94</v>
      </c>
      <c r="F14" s="31"/>
      <c r="G14" s="1"/>
      <c r="H14" s="130"/>
      <c r="I14" s="143"/>
      <c r="J14" s="143"/>
      <c r="K14" s="170"/>
      <c r="L14" s="143"/>
      <c r="M14" s="143"/>
    </row>
    <row r="15" spans="1:13" s="2" customFormat="1" ht="14.25" customHeight="1" x14ac:dyDescent="0.2">
      <c r="A15" s="89">
        <v>45183</v>
      </c>
      <c r="B15" s="9" t="s">
        <v>6</v>
      </c>
      <c r="C15" s="76" t="s">
        <v>158</v>
      </c>
      <c r="D15" s="11" t="s">
        <v>13</v>
      </c>
      <c r="E15" s="2">
        <v>74827</v>
      </c>
      <c r="F15" s="31"/>
      <c r="G15" s="1"/>
      <c r="H15" s="130"/>
      <c r="I15" s="171"/>
      <c r="J15" s="171"/>
      <c r="K15" s="170"/>
      <c r="L15" s="143"/>
      <c r="M15" s="143"/>
    </row>
    <row r="16" spans="1:13" s="2" customFormat="1" ht="14.25" customHeight="1" x14ac:dyDescent="0.2">
      <c r="A16" s="89">
        <v>45183</v>
      </c>
      <c r="B16" s="9" t="s">
        <v>11</v>
      </c>
      <c r="C16" s="76" t="s">
        <v>1137</v>
      </c>
      <c r="D16" s="11" t="s">
        <v>29</v>
      </c>
      <c r="F16" s="31">
        <v>45</v>
      </c>
      <c r="G16" s="1"/>
      <c r="H16" s="130"/>
      <c r="I16" s="171"/>
      <c r="J16" s="171"/>
      <c r="K16" s="170"/>
      <c r="L16" s="143"/>
      <c r="M16" s="143"/>
    </row>
    <row r="17" spans="1:14" s="2" customFormat="1" ht="14.25" customHeight="1" x14ac:dyDescent="0.2">
      <c r="A17" s="89">
        <v>45183</v>
      </c>
      <c r="B17" s="9" t="s">
        <v>11</v>
      </c>
      <c r="C17" s="76" t="s">
        <v>57</v>
      </c>
      <c r="D17" s="11" t="s">
        <v>29</v>
      </c>
      <c r="F17" s="31">
        <v>20000000</v>
      </c>
      <c r="G17" s="1"/>
      <c r="H17" s="130"/>
      <c r="I17" s="171"/>
      <c r="J17" s="171"/>
      <c r="K17" s="170"/>
      <c r="L17" s="143"/>
      <c r="M17" s="143"/>
    </row>
    <row r="18" spans="1:14" s="2" customFormat="1" ht="14.25" customHeight="1" x14ac:dyDescent="0.2">
      <c r="A18" s="89">
        <v>45183</v>
      </c>
      <c r="B18" s="9" t="s">
        <v>11</v>
      </c>
      <c r="C18" s="76" t="s">
        <v>1532</v>
      </c>
      <c r="D18" s="11" t="s">
        <v>29</v>
      </c>
      <c r="F18" s="31">
        <v>250000</v>
      </c>
      <c r="G18" s="1"/>
      <c r="H18" s="130"/>
      <c r="I18" s="171"/>
      <c r="J18" s="171"/>
      <c r="K18" s="170"/>
      <c r="L18" s="143"/>
      <c r="M18" s="143"/>
    </row>
    <row r="19" spans="1:14" s="2" customFormat="1" ht="14.25" customHeight="1" x14ac:dyDescent="0.2">
      <c r="A19" s="89">
        <v>45183</v>
      </c>
      <c r="B19" s="9" t="s">
        <v>11</v>
      </c>
      <c r="C19" s="76" t="s">
        <v>198</v>
      </c>
      <c r="D19" s="11" t="s">
        <v>29</v>
      </c>
      <c r="F19" s="31">
        <v>500000</v>
      </c>
      <c r="G19" s="1"/>
      <c r="H19" s="130"/>
      <c r="I19" s="171"/>
      <c r="J19" s="171"/>
      <c r="K19" s="170"/>
      <c r="L19" s="143"/>
      <c r="M19" s="143"/>
    </row>
    <row r="20" spans="1:14" s="2" customFormat="1" ht="14.25" customHeight="1" x14ac:dyDescent="0.2">
      <c r="A20" s="89">
        <v>45183</v>
      </c>
      <c r="B20" s="9" t="s">
        <v>11</v>
      </c>
      <c r="C20" s="76" t="s">
        <v>1227</v>
      </c>
      <c r="D20" s="11" t="s">
        <v>29</v>
      </c>
      <c r="F20" s="31">
        <v>250000</v>
      </c>
      <c r="G20" s="1"/>
      <c r="H20" s="130"/>
      <c r="I20" s="171"/>
      <c r="J20" s="171"/>
      <c r="K20" s="170"/>
      <c r="L20" s="143"/>
      <c r="M20" s="143"/>
    </row>
    <row r="21" spans="1:14" s="2" customFormat="1" ht="14.25" customHeight="1" x14ac:dyDescent="0.2">
      <c r="D21" s="11" t="s">
        <v>8</v>
      </c>
      <c r="E21" s="16">
        <f>SUM(E12:E20)</f>
        <v>20147938.940000001</v>
      </c>
      <c r="F21" s="16">
        <f>SUM(F12:F20)</f>
        <v>108359448.85000004</v>
      </c>
      <c r="G21" s="1"/>
      <c r="H21" s="143"/>
      <c r="I21" s="130"/>
      <c r="J21" s="143"/>
      <c r="K21" s="143"/>
      <c r="L21" s="143"/>
      <c r="M21" s="143"/>
    </row>
    <row r="22" spans="1:14" s="2" customFormat="1" ht="14.25" customHeight="1" x14ac:dyDescent="0.4">
      <c r="A22" s="17"/>
      <c r="B22" s="18"/>
      <c r="C22" s="96" t="s">
        <v>9</v>
      </c>
      <c r="D22" s="20"/>
      <c r="E22" s="21">
        <f>+F21-E21</f>
        <v>88211509.910000041</v>
      </c>
      <c r="G22" s="1"/>
      <c r="I22" s="112"/>
      <c r="J22" s="153" t="s">
        <v>779</v>
      </c>
    </row>
    <row r="23" spans="1:14" s="2" customFormat="1" ht="14.25" customHeight="1" x14ac:dyDescent="0.2">
      <c r="A23" s="36"/>
      <c r="B23" s="28" t="s">
        <v>66</v>
      </c>
      <c r="C23" s="43" t="s">
        <v>1458</v>
      </c>
      <c r="D23" s="43"/>
      <c r="E23" s="12">
        <v>30000000</v>
      </c>
      <c r="F23" s="22"/>
      <c r="G23" s="1"/>
      <c r="I23" s="40">
        <v>88311509.909999996</v>
      </c>
      <c r="J23" s="154">
        <f>I23-E22</f>
        <v>99999.999999955297</v>
      </c>
    </row>
    <row r="24" spans="1:14" s="2" customFormat="1" ht="14.25" customHeight="1" x14ac:dyDescent="0.25">
      <c r="A24" s="36"/>
      <c r="B24" s="28"/>
      <c r="C24" s="44" t="s">
        <v>68</v>
      </c>
      <c r="D24" s="43"/>
      <c r="E24" s="7">
        <f>+E22+E23</f>
        <v>118211509.91000004</v>
      </c>
      <c r="F24" s="22"/>
      <c r="G24" s="1"/>
    </row>
    <row r="25" spans="1:14" s="2" customFormat="1" ht="14.25" customHeight="1" x14ac:dyDescent="0.25">
      <c r="A25" s="36"/>
      <c r="B25" s="28"/>
      <c r="C25" s="44" t="s">
        <v>1511</v>
      </c>
      <c r="D25" s="43"/>
      <c r="E25" s="38">
        <f>+I12</f>
        <v>1179700.0900000036</v>
      </c>
      <c r="F25" s="22"/>
      <c r="G25" s="1"/>
    </row>
    <row r="26" spans="1:14" s="2" customFormat="1" ht="14.25" customHeight="1" x14ac:dyDescent="0.2">
      <c r="A26" s="24"/>
      <c r="B26" s="1"/>
      <c r="C26" s="14"/>
      <c r="D26" s="25"/>
      <c r="G26" s="1"/>
      <c r="I26" s="130"/>
      <c r="J26" s="130"/>
    </row>
    <row r="27" spans="1:14" s="2" customFormat="1" x14ac:dyDescent="0.2">
      <c r="A27" s="214" t="s">
        <v>10</v>
      </c>
      <c r="B27" s="214"/>
      <c r="C27" s="214"/>
      <c r="D27" s="214"/>
      <c r="E27" s="214"/>
      <c r="F27" s="214"/>
      <c r="G27" s="1"/>
      <c r="H27" s="159"/>
      <c r="I27" s="160">
        <v>150000000</v>
      </c>
      <c r="J27" s="160" t="s">
        <v>1506</v>
      </c>
      <c r="K27" s="70"/>
    </row>
    <row r="28" spans="1:14" s="2" customFormat="1" x14ac:dyDescent="0.2">
      <c r="A28" s="26" t="s">
        <v>1</v>
      </c>
      <c r="B28" s="27" t="s">
        <v>2</v>
      </c>
      <c r="C28" s="5"/>
      <c r="D28" s="6" t="s">
        <v>3</v>
      </c>
      <c r="E28" s="7" t="s">
        <v>4</v>
      </c>
      <c r="F28" s="7" t="s">
        <v>5</v>
      </c>
      <c r="G28" s="1"/>
      <c r="H28" s="159"/>
      <c r="I28" s="160">
        <v>116923344.69</v>
      </c>
      <c r="J28" s="160" t="s">
        <v>1507</v>
      </c>
      <c r="K28" s="70" t="s">
        <v>1512</v>
      </c>
    </row>
    <row r="29" spans="1:14" s="2" customFormat="1" x14ac:dyDescent="0.2">
      <c r="A29" s="89">
        <v>45183</v>
      </c>
      <c r="B29" s="128" t="s">
        <v>11</v>
      </c>
      <c r="C29" s="29" t="s">
        <v>7</v>
      </c>
      <c r="D29" s="25"/>
      <c r="E29" s="31"/>
      <c r="F29" s="2">
        <v>125225755.92000011</v>
      </c>
      <c r="G29" s="23"/>
      <c r="H29" s="159" t="s">
        <v>1505</v>
      </c>
      <c r="I29" s="160">
        <f>+I27-I28</f>
        <v>33076655.310000002</v>
      </c>
      <c r="J29" s="160"/>
      <c r="K29" s="70"/>
    </row>
    <row r="30" spans="1:14" s="2" customFormat="1" x14ac:dyDescent="0.2">
      <c r="A30" s="89">
        <v>45183</v>
      </c>
      <c r="B30" s="128" t="s">
        <v>6</v>
      </c>
      <c r="C30" s="10" t="s">
        <v>178</v>
      </c>
      <c r="D30" s="11" t="s">
        <v>13</v>
      </c>
      <c r="E30" s="86">
        <v>418293</v>
      </c>
      <c r="F30" s="70"/>
      <c r="G30" s="1"/>
      <c r="N30" s="1"/>
    </row>
    <row r="31" spans="1:14" s="2" customFormat="1" x14ac:dyDescent="0.2">
      <c r="A31" s="89">
        <v>45183</v>
      </c>
      <c r="B31" s="128" t="s">
        <v>6</v>
      </c>
      <c r="C31" s="10" t="s">
        <v>24</v>
      </c>
      <c r="D31" s="11" t="s">
        <v>13</v>
      </c>
      <c r="E31" s="86">
        <v>762770</v>
      </c>
      <c r="F31" s="70"/>
      <c r="G31" s="1"/>
      <c r="N31" s="1"/>
    </row>
    <row r="32" spans="1:14" s="2" customFormat="1" x14ac:dyDescent="0.2">
      <c r="A32" s="89">
        <v>45183</v>
      </c>
      <c r="B32" s="128" t="s">
        <v>6</v>
      </c>
      <c r="C32" s="10" t="s">
        <v>421</v>
      </c>
      <c r="D32" s="11" t="s">
        <v>13</v>
      </c>
      <c r="E32" s="86">
        <v>300000</v>
      </c>
      <c r="F32" s="70"/>
      <c r="G32" s="1"/>
      <c r="N32" s="1"/>
    </row>
    <row r="33" spans="1:14" s="2" customFormat="1" x14ac:dyDescent="0.2">
      <c r="A33" s="89">
        <v>45183</v>
      </c>
      <c r="B33" s="128" t="s">
        <v>6</v>
      </c>
      <c r="C33" s="10" t="s">
        <v>19</v>
      </c>
      <c r="D33" s="11" t="s">
        <v>13</v>
      </c>
      <c r="E33" s="86">
        <v>87914</v>
      </c>
      <c r="F33" s="70"/>
      <c r="G33" s="1"/>
      <c r="N33" s="1"/>
    </row>
    <row r="34" spans="1:14" s="2" customFormat="1" x14ac:dyDescent="0.2">
      <c r="A34" s="89">
        <v>45183</v>
      </c>
      <c r="B34" s="128" t="s">
        <v>6</v>
      </c>
      <c r="C34" s="10" t="s">
        <v>1533</v>
      </c>
      <c r="D34" s="11" t="s">
        <v>13</v>
      </c>
      <c r="E34" s="86">
        <v>24936</v>
      </c>
      <c r="F34" s="70"/>
      <c r="G34" s="1"/>
      <c r="N34" s="1"/>
    </row>
    <row r="35" spans="1:14" s="2" customFormat="1" x14ac:dyDescent="0.2">
      <c r="A35" s="89">
        <v>45183</v>
      </c>
      <c r="B35" s="128" t="s">
        <v>6</v>
      </c>
      <c r="C35" s="10" t="s">
        <v>1534</v>
      </c>
      <c r="D35" s="11" t="s">
        <v>13</v>
      </c>
      <c r="E35" s="86">
        <v>1470</v>
      </c>
      <c r="F35" s="70"/>
      <c r="G35" s="1"/>
      <c r="N35" s="1"/>
    </row>
    <row r="36" spans="1:14" s="2" customFormat="1" x14ac:dyDescent="0.2">
      <c r="A36" s="89">
        <v>45183</v>
      </c>
      <c r="B36" s="128" t="s">
        <v>6</v>
      </c>
      <c r="C36" s="10" t="s">
        <v>425</v>
      </c>
      <c r="D36" s="11" t="s">
        <v>13</v>
      </c>
      <c r="E36" s="86">
        <v>22050</v>
      </c>
      <c r="F36" s="70"/>
      <c r="G36" s="1"/>
      <c r="N36" s="1"/>
    </row>
    <row r="37" spans="1:14" s="2" customFormat="1" x14ac:dyDescent="0.2">
      <c r="A37" s="89">
        <v>45183</v>
      </c>
      <c r="B37" s="128" t="s">
        <v>6</v>
      </c>
      <c r="C37" s="10" t="s">
        <v>298</v>
      </c>
      <c r="D37" s="11" t="s">
        <v>13</v>
      </c>
      <c r="E37" s="86">
        <v>695905</v>
      </c>
      <c r="F37" s="70"/>
      <c r="G37" s="1"/>
      <c r="N37" s="1"/>
    </row>
    <row r="38" spans="1:14" s="2" customFormat="1" x14ac:dyDescent="0.2">
      <c r="A38" s="89">
        <v>45183</v>
      </c>
      <c r="B38" s="128" t="s">
        <v>6</v>
      </c>
      <c r="C38" s="10" t="s">
        <v>632</v>
      </c>
      <c r="D38" s="11" t="s">
        <v>13</v>
      </c>
      <c r="E38" s="86">
        <v>7988</v>
      </c>
      <c r="F38" s="70"/>
      <c r="G38" s="1"/>
      <c r="N38" s="1"/>
    </row>
    <row r="39" spans="1:14" s="2" customFormat="1" x14ac:dyDescent="0.2">
      <c r="A39" s="89">
        <v>45183</v>
      </c>
      <c r="B39" s="128" t="s">
        <v>6</v>
      </c>
      <c r="C39" s="10" t="s">
        <v>688</v>
      </c>
      <c r="D39" s="11" t="s">
        <v>13</v>
      </c>
      <c r="E39" s="86">
        <v>200000</v>
      </c>
      <c r="F39" s="70"/>
      <c r="G39" s="1"/>
      <c r="N39" s="1"/>
    </row>
    <row r="40" spans="1:14" s="2" customFormat="1" x14ac:dyDescent="0.2">
      <c r="A40" s="89">
        <v>45183</v>
      </c>
      <c r="B40" s="128" t="s">
        <v>6</v>
      </c>
      <c r="C40" s="10" t="s">
        <v>843</v>
      </c>
      <c r="D40" s="11" t="s">
        <v>13</v>
      </c>
      <c r="E40" s="86">
        <v>1586687</v>
      </c>
      <c r="F40" s="70"/>
      <c r="G40" s="1"/>
      <c r="N40" s="1"/>
    </row>
    <row r="41" spans="1:14" s="2" customFormat="1" x14ac:dyDescent="0.2">
      <c r="A41" s="89">
        <v>45183</v>
      </c>
      <c r="B41" s="128" t="s">
        <v>6</v>
      </c>
      <c r="C41" s="10" t="s">
        <v>1536</v>
      </c>
      <c r="D41" s="11" t="s">
        <v>13</v>
      </c>
      <c r="E41" s="86">
        <v>3833</v>
      </c>
      <c r="F41" s="70"/>
      <c r="G41" s="1"/>
      <c r="N41" s="1"/>
    </row>
    <row r="42" spans="1:14" s="2" customFormat="1" x14ac:dyDescent="0.2">
      <c r="A42" s="89">
        <v>45183</v>
      </c>
      <c r="B42" s="128" t="s">
        <v>6</v>
      </c>
      <c r="C42" s="10" t="s">
        <v>91</v>
      </c>
      <c r="D42" s="11" t="s">
        <v>13</v>
      </c>
      <c r="E42" s="86">
        <v>3337760</v>
      </c>
      <c r="F42" s="70"/>
      <c r="G42" s="1"/>
      <c r="N42" s="1"/>
    </row>
    <row r="43" spans="1:14" s="2" customFormat="1" x14ac:dyDescent="0.2">
      <c r="A43" s="89">
        <v>45183</v>
      </c>
      <c r="B43" s="128" t="s">
        <v>6</v>
      </c>
      <c r="C43" s="10" t="s">
        <v>403</v>
      </c>
      <c r="D43" s="11" t="s">
        <v>13</v>
      </c>
      <c r="E43" s="86">
        <v>418534</v>
      </c>
      <c r="F43" s="70"/>
      <c r="G43" s="1"/>
      <c r="N43" s="1"/>
    </row>
    <row r="44" spans="1:14" s="2" customFormat="1" x14ac:dyDescent="0.2">
      <c r="A44" s="89">
        <v>45183</v>
      </c>
      <c r="B44" s="128" t="s">
        <v>6</v>
      </c>
      <c r="C44" s="10" t="s">
        <v>15</v>
      </c>
      <c r="D44" s="11" t="s">
        <v>13</v>
      </c>
      <c r="E44" s="86">
        <v>439.26</v>
      </c>
      <c r="F44" s="70"/>
      <c r="G44" s="1"/>
      <c r="N44" s="1"/>
    </row>
    <row r="45" spans="1:14" s="2" customFormat="1" x14ac:dyDescent="0.2">
      <c r="A45" s="89">
        <v>45183</v>
      </c>
      <c r="B45" s="128" t="s">
        <v>11</v>
      </c>
      <c r="C45" s="10" t="s">
        <v>15</v>
      </c>
      <c r="D45" s="11" t="s">
        <v>29</v>
      </c>
      <c r="E45" s="86"/>
      <c r="F45" s="70">
        <v>1593</v>
      </c>
      <c r="G45" s="1"/>
      <c r="N45" s="1"/>
    </row>
    <row r="46" spans="1:14" s="2" customFormat="1" x14ac:dyDescent="0.2">
      <c r="A46" s="89">
        <v>45183</v>
      </c>
      <c r="B46" s="128" t="s">
        <v>11</v>
      </c>
      <c r="C46" s="10" t="s">
        <v>1403</v>
      </c>
      <c r="D46" s="11" t="s">
        <v>29</v>
      </c>
      <c r="E46" s="86"/>
      <c r="F46" s="70">
        <v>1187992</v>
      </c>
      <c r="G46" s="1"/>
      <c r="N46" s="1"/>
    </row>
    <row r="47" spans="1:14" s="2" customFormat="1" x14ac:dyDescent="0.2">
      <c r="A47" s="89">
        <v>45183</v>
      </c>
      <c r="B47" s="128" t="s">
        <v>11</v>
      </c>
      <c r="C47" s="10" t="s">
        <v>561</v>
      </c>
      <c r="D47" s="11" t="s">
        <v>29</v>
      </c>
      <c r="E47" s="86"/>
      <c r="F47" s="70">
        <v>447058</v>
      </c>
      <c r="G47" s="1"/>
      <c r="N47" s="1"/>
    </row>
    <row r="48" spans="1:14" s="2" customFormat="1" x14ac:dyDescent="0.2">
      <c r="A48" s="89">
        <v>45183</v>
      </c>
      <c r="B48" s="128" t="s">
        <v>11</v>
      </c>
      <c r="C48" s="10" t="s">
        <v>628</v>
      </c>
      <c r="D48" s="11" t="s">
        <v>29</v>
      </c>
      <c r="E48" s="86"/>
      <c r="F48" s="70">
        <v>37472</v>
      </c>
      <c r="G48" s="1"/>
      <c r="N48" s="1"/>
    </row>
    <row r="49" spans="1:14" s="2" customFormat="1" x14ac:dyDescent="0.2">
      <c r="A49" s="89">
        <v>45183</v>
      </c>
      <c r="B49" s="128" t="s">
        <v>11</v>
      </c>
      <c r="C49" s="10" t="s">
        <v>113</v>
      </c>
      <c r="D49" s="11" t="s">
        <v>29</v>
      </c>
      <c r="E49" s="86"/>
      <c r="F49" s="70">
        <v>758088</v>
      </c>
      <c r="G49" s="1"/>
      <c r="N49" s="1"/>
    </row>
    <row r="50" spans="1:14" s="2" customFormat="1" x14ac:dyDescent="0.2">
      <c r="A50" s="89">
        <v>45183</v>
      </c>
      <c r="B50" s="128" t="s">
        <v>11</v>
      </c>
      <c r="C50" s="10" t="s">
        <v>34</v>
      </c>
      <c r="D50" s="11" t="s">
        <v>29</v>
      </c>
      <c r="E50" s="86"/>
      <c r="F50" s="70">
        <v>120000</v>
      </c>
      <c r="G50" s="1"/>
      <c r="N50" s="1"/>
    </row>
    <row r="51" spans="1:14" s="2" customFormat="1" x14ac:dyDescent="0.2">
      <c r="A51" s="89">
        <v>45183</v>
      </c>
      <c r="B51" s="128" t="s">
        <v>11</v>
      </c>
      <c r="C51" s="10" t="s">
        <v>61</v>
      </c>
      <c r="D51" s="11" t="s">
        <v>29</v>
      </c>
      <c r="E51" s="86"/>
      <c r="F51" s="70">
        <v>38574.199999999997</v>
      </c>
      <c r="G51" s="1"/>
      <c r="N51" s="1"/>
    </row>
    <row r="52" spans="1:14" s="2" customFormat="1" x14ac:dyDescent="0.2">
      <c r="A52" s="89">
        <v>45183</v>
      </c>
      <c r="B52" s="128" t="s">
        <v>11</v>
      </c>
      <c r="C52" s="10" t="s">
        <v>36</v>
      </c>
      <c r="D52" s="11" t="s">
        <v>29</v>
      </c>
      <c r="E52" s="86"/>
      <c r="F52" s="70">
        <v>6230</v>
      </c>
      <c r="G52" s="1"/>
      <c r="N52" s="1"/>
    </row>
    <row r="53" spans="1:14" s="2" customFormat="1" x14ac:dyDescent="0.2">
      <c r="A53" s="89">
        <v>45183</v>
      </c>
      <c r="B53" s="128" t="s">
        <v>11</v>
      </c>
      <c r="C53" s="10" t="s">
        <v>392</v>
      </c>
      <c r="D53" s="11" t="s">
        <v>29</v>
      </c>
      <c r="E53" s="86"/>
      <c r="F53" s="70">
        <v>59533</v>
      </c>
      <c r="G53" s="1"/>
      <c r="N53" s="1"/>
    </row>
    <row r="54" spans="1:14" s="2" customFormat="1" x14ac:dyDescent="0.2">
      <c r="A54" s="89">
        <v>45183</v>
      </c>
      <c r="B54" s="128" t="s">
        <v>11</v>
      </c>
      <c r="C54" s="10" t="s">
        <v>1535</v>
      </c>
      <c r="D54" s="11" t="s">
        <v>29</v>
      </c>
      <c r="E54" s="86"/>
      <c r="F54" s="70">
        <v>47161</v>
      </c>
      <c r="G54" s="1"/>
      <c r="N54" s="1"/>
    </row>
    <row r="55" spans="1:14" s="2" customFormat="1" x14ac:dyDescent="0.2">
      <c r="A55" s="89">
        <v>45183</v>
      </c>
      <c r="B55" s="128" t="s">
        <v>11</v>
      </c>
      <c r="C55" s="10" t="s">
        <v>1041</v>
      </c>
      <c r="D55" s="11" t="s">
        <v>29</v>
      </c>
      <c r="E55" s="86"/>
      <c r="F55" s="70">
        <v>67622.44</v>
      </c>
      <c r="G55" s="1"/>
      <c r="H55" s="70"/>
      <c r="I55" s="69"/>
      <c r="J55" s="69"/>
      <c r="K55" s="70"/>
      <c r="N55" s="1"/>
    </row>
    <row r="56" spans="1:14" s="2" customFormat="1" x14ac:dyDescent="0.2">
      <c r="A56" s="89">
        <v>45183</v>
      </c>
      <c r="B56" s="128" t="s">
        <v>11</v>
      </c>
      <c r="C56" s="10" t="s">
        <v>315</v>
      </c>
      <c r="D56" s="11" t="s">
        <v>29</v>
      </c>
      <c r="E56" s="86"/>
      <c r="F56" s="70">
        <v>15611</v>
      </c>
      <c r="G56" s="1"/>
      <c r="N56" s="1"/>
    </row>
    <row r="57" spans="1:14" s="2" customFormat="1" x14ac:dyDescent="0.2">
      <c r="A57" s="89">
        <v>45183</v>
      </c>
      <c r="B57" s="128" t="s">
        <v>11</v>
      </c>
      <c r="C57" s="10" t="s">
        <v>1341</v>
      </c>
      <c r="D57" s="11" t="s">
        <v>29</v>
      </c>
      <c r="E57" s="86"/>
      <c r="F57" s="70">
        <v>2124</v>
      </c>
      <c r="G57" s="1"/>
      <c r="N57" s="1"/>
    </row>
    <row r="58" spans="1:14" s="2" customFormat="1" x14ac:dyDescent="0.2">
      <c r="A58" s="89">
        <v>45183</v>
      </c>
      <c r="B58" s="128" t="s">
        <v>11</v>
      </c>
      <c r="C58" s="10" t="s">
        <v>40</v>
      </c>
      <c r="D58" s="11" t="s">
        <v>29</v>
      </c>
      <c r="E58" s="86"/>
      <c r="F58" s="70">
        <v>11912</v>
      </c>
      <c r="G58" s="1"/>
      <c r="N58" s="1"/>
    </row>
    <row r="59" spans="1:14" s="2" customFormat="1" x14ac:dyDescent="0.2">
      <c r="A59" s="89">
        <v>45183</v>
      </c>
      <c r="B59" s="128" t="s">
        <v>11</v>
      </c>
      <c r="C59" s="10" t="s">
        <v>204</v>
      </c>
      <c r="D59" s="11" t="s">
        <v>29</v>
      </c>
      <c r="E59" s="86"/>
      <c r="F59" s="70">
        <v>1174838</v>
      </c>
      <c r="G59" s="1"/>
      <c r="N59" s="1"/>
    </row>
    <row r="60" spans="1:14" s="2" customFormat="1" x14ac:dyDescent="0.2">
      <c r="A60" s="89">
        <v>45183</v>
      </c>
      <c r="B60" s="128" t="s">
        <v>11</v>
      </c>
      <c r="C60" s="10" t="s">
        <v>59</v>
      </c>
      <c r="D60" s="11" t="s">
        <v>29</v>
      </c>
      <c r="E60" s="86"/>
      <c r="F60" s="70">
        <v>4720</v>
      </c>
      <c r="G60" s="1"/>
      <c r="N60" s="1"/>
    </row>
    <row r="61" spans="1:14" s="2" customFormat="1" x14ac:dyDescent="0.2">
      <c r="A61" s="89">
        <v>45183</v>
      </c>
      <c r="B61" s="128" t="s">
        <v>11</v>
      </c>
      <c r="C61" s="10" t="s">
        <v>303</v>
      </c>
      <c r="D61" s="11" t="s">
        <v>29</v>
      </c>
      <c r="E61" s="86"/>
      <c r="F61" s="70">
        <v>45606</v>
      </c>
      <c r="G61" s="1"/>
      <c r="N61" s="1"/>
    </row>
    <row r="62" spans="1:14" s="2" customFormat="1" x14ac:dyDescent="0.2">
      <c r="A62" s="89">
        <v>45183</v>
      </c>
      <c r="B62" s="128" t="s">
        <v>11</v>
      </c>
      <c r="C62" s="10" t="s">
        <v>528</v>
      </c>
      <c r="D62" s="11" t="s">
        <v>29</v>
      </c>
      <c r="E62" s="86"/>
      <c r="F62" s="70">
        <v>51084.08</v>
      </c>
      <c r="G62" s="1"/>
      <c r="N62" s="1"/>
    </row>
    <row r="63" spans="1:14" s="2" customFormat="1" x14ac:dyDescent="0.2">
      <c r="A63" s="89">
        <v>45183</v>
      </c>
      <c r="B63" s="128" t="s">
        <v>11</v>
      </c>
      <c r="C63" s="10" t="s">
        <v>441</v>
      </c>
      <c r="D63" s="11" t="s">
        <v>29</v>
      </c>
      <c r="E63" s="86"/>
      <c r="F63" s="70">
        <v>415.6</v>
      </c>
      <c r="G63" s="1"/>
      <c r="N63" s="1"/>
    </row>
    <row r="64" spans="1:14" s="2" customFormat="1" x14ac:dyDescent="0.2">
      <c r="A64" s="89">
        <v>45183</v>
      </c>
      <c r="B64" s="128" t="s">
        <v>11</v>
      </c>
      <c r="C64" s="10" t="s">
        <v>685</v>
      </c>
      <c r="D64" s="11" t="s">
        <v>29</v>
      </c>
      <c r="E64" s="86"/>
      <c r="F64" s="70">
        <v>7035</v>
      </c>
      <c r="G64" s="1"/>
      <c r="N64" s="1"/>
    </row>
    <row r="65" spans="1:14" s="2" customFormat="1" x14ac:dyDescent="0.2">
      <c r="A65" s="89">
        <v>45183</v>
      </c>
      <c r="B65" s="128" t="s">
        <v>11</v>
      </c>
      <c r="C65" s="10" t="s">
        <v>970</v>
      </c>
      <c r="D65" s="11" t="s">
        <v>29</v>
      </c>
      <c r="E65" s="86"/>
      <c r="F65" s="70">
        <v>30846</v>
      </c>
      <c r="G65" s="1"/>
      <c r="N65" s="1"/>
    </row>
    <row r="66" spans="1:14" s="2" customFormat="1" x14ac:dyDescent="0.2">
      <c r="A66" s="89">
        <v>45183</v>
      </c>
      <c r="B66" s="128" t="s">
        <v>11</v>
      </c>
      <c r="C66" s="10" t="s">
        <v>805</v>
      </c>
      <c r="D66" s="11" t="s">
        <v>29</v>
      </c>
      <c r="E66" s="86"/>
      <c r="F66" s="70">
        <v>18319</v>
      </c>
      <c r="G66" s="1"/>
      <c r="N66" s="1"/>
    </row>
    <row r="67" spans="1:14" s="2" customFormat="1" x14ac:dyDescent="0.2">
      <c r="A67" s="89">
        <v>45183</v>
      </c>
      <c r="B67" s="128" t="s">
        <v>11</v>
      </c>
      <c r="C67" s="10" t="s">
        <v>926</v>
      </c>
      <c r="D67" s="11" t="s">
        <v>29</v>
      </c>
      <c r="E67" s="86"/>
      <c r="F67" s="70">
        <v>4734</v>
      </c>
      <c r="G67" s="1"/>
      <c r="N67" s="1"/>
    </row>
    <row r="68" spans="1:14" s="2" customFormat="1" x14ac:dyDescent="0.2">
      <c r="A68" s="32"/>
      <c r="B68" s="33"/>
      <c r="C68" s="14"/>
      <c r="D68" s="34"/>
      <c r="E68" s="16">
        <f>SUM(E29:E67)</f>
        <v>7868579.2599999998</v>
      </c>
      <c r="F68" s="16">
        <f>SUM(F29:F67)</f>
        <v>129364324.2400001</v>
      </c>
      <c r="G68" s="1"/>
      <c r="H68" s="1"/>
      <c r="I68" s="38">
        <v>121495744.98</v>
      </c>
      <c r="J68" s="2" t="s">
        <v>396</v>
      </c>
      <c r="K68" s="92">
        <f>E69-I68</f>
        <v>0</v>
      </c>
      <c r="N68" s="1"/>
    </row>
    <row r="69" spans="1:14" s="2" customFormat="1" x14ac:dyDescent="0.2">
      <c r="A69" s="36"/>
      <c r="B69" s="28" t="s">
        <v>11</v>
      </c>
      <c r="C69" s="19" t="s">
        <v>65</v>
      </c>
      <c r="D69" s="37"/>
      <c r="E69" s="38">
        <f>F68-E68</f>
        <v>121495744.98000009</v>
      </c>
      <c r="F69" s="22"/>
      <c r="G69" s="1"/>
      <c r="H69" s="70"/>
      <c r="I69" s="70"/>
      <c r="J69" s="70"/>
      <c r="K69" s="70"/>
      <c r="N69" s="1"/>
    </row>
    <row r="70" spans="1:14" s="2" customFormat="1" x14ac:dyDescent="0.2">
      <c r="A70" s="36"/>
      <c r="B70" s="28" t="s">
        <v>66</v>
      </c>
      <c r="C70" s="43" t="s">
        <v>1457</v>
      </c>
      <c r="D70" s="43"/>
      <c r="E70" s="12">
        <v>350000000</v>
      </c>
      <c r="F70" s="22"/>
      <c r="G70" s="1"/>
      <c r="H70" s="70"/>
      <c r="I70" s="45">
        <v>1372.07</v>
      </c>
      <c r="J70" s="46"/>
      <c r="K70" s="46"/>
      <c r="N70" s="1"/>
    </row>
    <row r="71" spans="1:14" s="2" customFormat="1" ht="15" x14ac:dyDescent="0.25">
      <c r="A71" s="36"/>
      <c r="B71" s="28"/>
      <c r="C71" s="44" t="s">
        <v>68</v>
      </c>
      <c r="D71" s="43"/>
      <c r="E71" s="7">
        <f>+E70+E69</f>
        <v>471495744.98000008</v>
      </c>
      <c r="F71" s="22"/>
      <c r="G71" s="1"/>
      <c r="H71" s="103" t="s">
        <v>69</v>
      </c>
      <c r="I71" s="45">
        <v>-49.1</v>
      </c>
      <c r="J71" s="46"/>
      <c r="K71" s="46"/>
      <c r="N71" s="1"/>
    </row>
    <row r="72" spans="1:14" s="2" customFormat="1" ht="15" x14ac:dyDescent="0.25">
      <c r="A72" s="24"/>
      <c r="B72" s="1"/>
      <c r="C72" s="44" t="s">
        <v>1510</v>
      </c>
      <c r="D72" s="25"/>
      <c r="E72" s="156">
        <f>+I29</f>
        <v>33076655.310000002</v>
      </c>
      <c r="G72" s="1"/>
      <c r="H72" s="35" t="s">
        <v>70</v>
      </c>
      <c r="I72" s="45">
        <v>45.49</v>
      </c>
      <c r="J72" s="46">
        <f>+I73-D75</f>
        <v>0</v>
      </c>
      <c r="N72" s="1"/>
    </row>
    <row r="73" spans="1:14" s="124" customFormat="1" ht="12.75" customHeight="1" x14ac:dyDescent="0.2">
      <c r="A73" s="24"/>
      <c r="B73" s="1"/>
      <c r="C73" s="56"/>
      <c r="D73" s="56"/>
      <c r="E73" s="104"/>
      <c r="F73" s="2"/>
      <c r="G73" s="166"/>
      <c r="H73" s="70"/>
      <c r="I73" s="49">
        <f>SUM(I70:I72)</f>
        <v>1368.46</v>
      </c>
      <c r="J73" s="46"/>
      <c r="K73" s="46"/>
    </row>
    <row r="74" spans="1:14" s="124" customFormat="1" ht="12.75" customHeight="1" x14ac:dyDescent="0.2">
      <c r="A74" s="24"/>
      <c r="B74" s="1"/>
      <c r="C74" s="78" t="s">
        <v>575</v>
      </c>
      <c r="D74" s="48" t="s">
        <v>576</v>
      </c>
      <c r="E74" s="104"/>
      <c r="F74" s="2"/>
      <c r="G74" s="168"/>
      <c r="H74" s="167"/>
      <c r="I74" s="167"/>
      <c r="J74" s="168"/>
    </row>
    <row r="75" spans="1:14" s="124" customFormat="1" ht="12.75" customHeight="1" x14ac:dyDescent="0.2">
      <c r="A75" s="24"/>
      <c r="B75" s="1"/>
      <c r="C75" s="47" t="s">
        <v>570</v>
      </c>
      <c r="D75" s="111">
        <v>1368.46</v>
      </c>
      <c r="E75" s="104"/>
      <c r="F75" s="2"/>
      <c r="G75" s="168"/>
      <c r="H75" s="110" t="s">
        <v>581</v>
      </c>
      <c r="I75" s="167"/>
      <c r="J75" s="168"/>
    </row>
    <row r="76" spans="1:14" s="124" customFormat="1" ht="12.75" customHeight="1" x14ac:dyDescent="0.2">
      <c r="A76" s="24"/>
      <c r="B76" s="1"/>
      <c r="C76" s="47" t="s">
        <v>931</v>
      </c>
      <c r="D76" s="111">
        <v>179.58</v>
      </c>
      <c r="E76" s="104"/>
      <c r="F76" s="2"/>
      <c r="G76" s="168"/>
      <c r="H76" s="110" t="s">
        <v>580</v>
      </c>
      <c r="I76" s="167"/>
      <c r="J76" s="168"/>
    </row>
    <row r="77" spans="1:14" s="124" customFormat="1" ht="12.75" customHeight="1" x14ac:dyDescent="0.2">
      <c r="A77" s="24"/>
      <c r="B77" s="1"/>
      <c r="C77" s="47" t="s">
        <v>572</v>
      </c>
      <c r="D77" s="111">
        <f>+D112/100000</f>
        <v>184.7965921</v>
      </c>
      <c r="E77" s="104"/>
      <c r="F77" s="2"/>
      <c r="G77" s="166"/>
      <c r="H77" s="90" t="s">
        <v>587</v>
      </c>
      <c r="I77" s="167"/>
      <c r="J77" s="168"/>
    </row>
    <row r="78" spans="1:14" s="2" customFormat="1" x14ac:dyDescent="0.2">
      <c r="A78" s="24"/>
      <c r="B78" s="1"/>
      <c r="C78" s="108" t="s">
        <v>578</v>
      </c>
      <c r="D78" s="48">
        <f>SUM(D75:D77)</f>
        <v>1732.8365921</v>
      </c>
      <c r="E78" s="104"/>
      <c r="G78" s="30"/>
      <c r="I78" s="13"/>
      <c r="J78" s="13"/>
    </row>
    <row r="79" spans="1:14" s="70" customFormat="1" x14ac:dyDescent="0.2">
      <c r="A79" s="24"/>
      <c r="B79" s="1"/>
      <c r="C79" s="47"/>
      <c r="D79" s="107"/>
      <c r="E79" s="104"/>
      <c r="F79" s="2"/>
      <c r="G79" s="30"/>
      <c r="H79" s="2"/>
    </row>
    <row r="80" spans="1:14" s="70" customFormat="1" x14ac:dyDescent="0.2">
      <c r="A80" s="24"/>
      <c r="B80" s="1"/>
      <c r="C80" s="47" t="s">
        <v>932</v>
      </c>
      <c r="D80" s="111">
        <v>148.54</v>
      </c>
      <c r="E80" s="104"/>
      <c r="F80" s="2"/>
      <c r="G80" s="30"/>
      <c r="H80" s="110" t="s">
        <v>581</v>
      </c>
    </row>
    <row r="81" spans="1:14" s="70" customFormat="1" x14ac:dyDescent="0.2">
      <c r="A81" s="24"/>
      <c r="B81" s="1"/>
      <c r="C81" s="136" t="s">
        <v>1142</v>
      </c>
      <c r="D81" s="111">
        <v>135.94999999999999</v>
      </c>
      <c r="E81" s="104"/>
      <c r="F81" s="2"/>
      <c r="G81" s="30"/>
      <c r="H81" s="110" t="s">
        <v>581</v>
      </c>
    </row>
    <row r="82" spans="1:14" s="70" customFormat="1" x14ac:dyDescent="0.2">
      <c r="A82" s="24"/>
      <c r="B82" s="1"/>
      <c r="C82" s="78" t="s">
        <v>579</v>
      </c>
      <c r="D82" s="109">
        <f>D80+D81</f>
        <v>284.49</v>
      </c>
      <c r="E82" s="104"/>
      <c r="F82" s="2"/>
      <c r="G82" s="30"/>
    </row>
    <row r="83" spans="1:14" s="70" customFormat="1" x14ac:dyDescent="0.2">
      <c r="A83" s="24"/>
      <c r="B83" s="1"/>
      <c r="C83" s="105"/>
      <c r="D83" s="106"/>
      <c r="E83" s="104"/>
      <c r="F83" s="2"/>
      <c r="G83" s="30"/>
      <c r="I83" s="2"/>
      <c r="J83" s="114" t="s">
        <v>713</v>
      </c>
      <c r="K83" s="2"/>
      <c r="L83" s="2"/>
      <c r="M83" s="2"/>
    </row>
    <row r="84" spans="1:14" s="70" customFormat="1" x14ac:dyDescent="0.2">
      <c r="A84" s="24"/>
      <c r="B84" s="1"/>
      <c r="C84" s="78" t="s">
        <v>577</v>
      </c>
      <c r="D84" s="109">
        <f>D75+D82</f>
        <v>1652.95</v>
      </c>
      <c r="E84" s="104"/>
      <c r="F84" s="2"/>
      <c r="G84" s="30"/>
      <c r="I84" s="113"/>
      <c r="J84" s="113" t="s">
        <v>709</v>
      </c>
      <c r="K84" s="113" t="s">
        <v>710</v>
      </c>
      <c r="L84" s="113" t="s">
        <v>711</v>
      </c>
      <c r="M84" s="113" t="s">
        <v>712</v>
      </c>
    </row>
    <row r="85" spans="1:14" s="70" customFormat="1" x14ac:dyDescent="0.2">
      <c r="A85" s="24"/>
      <c r="B85" s="1"/>
      <c r="C85" s="56"/>
      <c r="D85" s="56"/>
      <c r="E85" s="104"/>
      <c r="F85" s="2"/>
      <c r="G85" s="30"/>
      <c r="I85" s="113" t="s">
        <v>706</v>
      </c>
      <c r="J85" s="115"/>
      <c r="K85" s="115">
        <v>968.99</v>
      </c>
      <c r="L85" s="115">
        <v>968.99</v>
      </c>
      <c r="M85" s="113">
        <f>+J85+L85-K85</f>
        <v>0</v>
      </c>
    </row>
    <row r="86" spans="1:14" s="70" customFormat="1" ht="38.25" x14ac:dyDescent="0.2">
      <c r="A86" s="24"/>
      <c r="B86" s="1"/>
      <c r="C86" s="79" t="str">
        <f>"Particulars ( 01-04-2021 to "&amp;TEXT(A5,"dd-mm-yyyy")&amp;" )"</f>
        <v>Particulars ( 01-04-2021 to 14-09-2023 )</v>
      </c>
      <c r="D86" s="80" t="s">
        <v>73</v>
      </c>
      <c r="E86" s="80" t="s">
        <v>74</v>
      </c>
      <c r="F86" s="81" t="s">
        <v>75</v>
      </c>
      <c r="G86" s="80" t="s">
        <v>76</v>
      </c>
      <c r="I86" s="113" t="s">
        <v>707</v>
      </c>
      <c r="J86" s="115">
        <v>183.1</v>
      </c>
      <c r="K86" s="115">
        <v>3472.8</v>
      </c>
      <c r="L86" s="115">
        <v>3836.49</v>
      </c>
      <c r="M86" s="113">
        <f>+J86+L86-K86</f>
        <v>546.78999999999951</v>
      </c>
    </row>
    <row r="87" spans="1:14" s="70" customFormat="1" x14ac:dyDescent="0.2">
      <c r="A87" s="24"/>
      <c r="B87" s="1"/>
      <c r="C87" s="50" t="s">
        <v>444</v>
      </c>
      <c r="D87" s="55">
        <f>+L85+L86+J86</f>
        <v>4988.58</v>
      </c>
      <c r="E87" s="55">
        <f>+K85+K86</f>
        <v>4441.79</v>
      </c>
      <c r="F87" s="55">
        <f>+D87-E87</f>
        <v>546.79</v>
      </c>
      <c r="G87" s="55">
        <f>1500-F87</f>
        <v>953.21</v>
      </c>
      <c r="I87" s="113" t="s">
        <v>708</v>
      </c>
      <c r="J87" s="115">
        <v>1371.02</v>
      </c>
      <c r="K87" s="115">
        <v>14128.41</v>
      </c>
      <c r="L87" s="115">
        <v>13558.19</v>
      </c>
      <c r="M87" s="113">
        <f>+J87+L87-K87</f>
        <v>800.80000000000109</v>
      </c>
    </row>
    <row r="88" spans="1:14" s="70" customFormat="1" ht="12.75" customHeight="1" x14ac:dyDescent="0.2">
      <c r="A88" s="24"/>
      <c r="B88" s="1"/>
      <c r="C88" s="50" t="s">
        <v>71</v>
      </c>
      <c r="D88" s="55">
        <f>+J87+L87</f>
        <v>14929.210000000001</v>
      </c>
      <c r="E88" s="55">
        <f>+K87</f>
        <v>14128.41</v>
      </c>
      <c r="F88" s="55">
        <f>+D88-E88</f>
        <v>800.80000000000109</v>
      </c>
      <c r="G88" s="55">
        <f>1500+700-F88</f>
        <v>1399.1999999999989</v>
      </c>
      <c r="I88" s="2"/>
      <c r="J88" s="118">
        <f>SUM(J85:J87)</f>
        <v>1554.12</v>
      </c>
      <c r="K88" s="118">
        <f>SUM(K85:K87)</f>
        <v>18570.2</v>
      </c>
      <c r="L88" s="118">
        <f>SUM(L85:L87)</f>
        <v>18363.669999999998</v>
      </c>
      <c r="M88" s="118">
        <f>SUM(M85:M87)</f>
        <v>1347.5900000000006</v>
      </c>
    </row>
    <row r="89" spans="1:14" s="70" customFormat="1" ht="12.75" customHeight="1" x14ac:dyDescent="0.2">
      <c r="A89" s="24"/>
      <c r="B89" s="1"/>
      <c r="C89" s="14"/>
      <c r="D89" s="56"/>
      <c r="E89" s="13"/>
      <c r="F89" s="2"/>
      <c r="G89" s="30"/>
    </row>
    <row r="90" spans="1:14" s="70" customFormat="1" ht="12.75" customHeight="1" x14ac:dyDescent="0.2">
      <c r="A90" s="215" t="s">
        <v>80</v>
      </c>
      <c r="B90" s="216"/>
      <c r="C90" s="216"/>
      <c r="D90" s="217"/>
      <c r="E90" s="69"/>
      <c r="G90" s="30"/>
    </row>
    <row r="91" spans="1:14" s="70" customFormat="1" ht="12.75" customHeight="1" x14ac:dyDescent="0.2">
      <c r="A91" s="71" t="s">
        <v>81</v>
      </c>
      <c r="B91" s="71"/>
      <c r="C91" s="72" t="s">
        <v>82</v>
      </c>
      <c r="D91" s="73" t="s">
        <v>83</v>
      </c>
      <c r="E91" s="69"/>
      <c r="G91" s="30"/>
    </row>
    <row r="92" spans="1:14" s="70" customFormat="1" ht="12.75" customHeight="1" x14ac:dyDescent="0.2">
      <c r="A92" s="87">
        <v>45170</v>
      </c>
      <c r="B92" s="120" t="s">
        <v>1052</v>
      </c>
      <c r="C92" s="75" t="s">
        <v>270</v>
      </c>
      <c r="D92" s="88">
        <v>117174</v>
      </c>
      <c r="E92" s="2"/>
      <c r="F92" s="2"/>
      <c r="G92" s="30"/>
      <c r="H92" s="2"/>
      <c r="I92" s="2"/>
      <c r="J92" s="2"/>
      <c r="K92" s="2"/>
      <c r="L92" s="41"/>
      <c r="M92" s="42"/>
      <c r="N92" s="2"/>
    </row>
    <row r="93" spans="1:14" s="70" customFormat="1" ht="12.75" customHeight="1" x14ac:dyDescent="0.2">
      <c r="A93" s="87">
        <v>45171</v>
      </c>
      <c r="B93" s="120" t="s">
        <v>1052</v>
      </c>
      <c r="C93" s="75" t="s">
        <v>767</v>
      </c>
      <c r="D93" s="88">
        <v>278761</v>
      </c>
      <c r="E93" s="2"/>
      <c r="F93" s="2"/>
      <c r="G93" s="30"/>
      <c r="H93" s="2"/>
      <c r="I93" s="2"/>
      <c r="J93" s="1"/>
      <c r="K93" s="1"/>
      <c r="L93" s="1"/>
      <c r="M93" s="1"/>
      <c r="N93" s="2"/>
    </row>
    <row r="94" spans="1:14" s="70" customFormat="1" ht="12.75" customHeight="1" x14ac:dyDescent="0.2">
      <c r="A94" s="87">
        <v>45171</v>
      </c>
      <c r="B94" s="120" t="s">
        <v>1052</v>
      </c>
      <c r="C94" s="75" t="s">
        <v>201</v>
      </c>
      <c r="D94" s="88">
        <v>3500391.21</v>
      </c>
      <c r="E94" s="2"/>
      <c r="F94" s="2"/>
      <c r="G94" s="30"/>
      <c r="H94" s="2"/>
      <c r="I94" s="2"/>
      <c r="J94" s="2"/>
      <c r="K94" s="2"/>
      <c r="L94" s="13"/>
      <c r="M94" s="69" t="s">
        <v>396</v>
      </c>
      <c r="N94" s="2"/>
    </row>
    <row r="95" spans="1:14" s="2" customFormat="1" ht="12.75" customHeight="1" x14ac:dyDescent="0.2">
      <c r="A95" s="87">
        <v>45173</v>
      </c>
      <c r="B95" s="120" t="s">
        <v>1052</v>
      </c>
      <c r="C95" s="75" t="s">
        <v>1478</v>
      </c>
      <c r="D95" s="88">
        <v>22763</v>
      </c>
      <c r="G95" s="30"/>
      <c r="N95" s="1"/>
    </row>
    <row r="96" spans="1:14" s="2" customFormat="1" ht="12.75" customHeight="1" x14ac:dyDescent="0.2">
      <c r="A96" s="87">
        <v>45173</v>
      </c>
      <c r="B96" s="120" t="s">
        <v>1052</v>
      </c>
      <c r="C96" s="75" t="s">
        <v>1478</v>
      </c>
      <c r="D96" s="88">
        <v>1786258</v>
      </c>
      <c r="G96" s="1"/>
      <c r="M96" s="2" t="s">
        <v>396</v>
      </c>
      <c r="N96" s="1"/>
    </row>
    <row r="97" spans="1:14" s="2" customFormat="1" ht="12.75" customHeight="1" x14ac:dyDescent="0.2">
      <c r="A97" s="87">
        <v>45173</v>
      </c>
      <c r="B97" s="120" t="s">
        <v>1052</v>
      </c>
      <c r="C97" s="75" t="s">
        <v>1478</v>
      </c>
      <c r="D97" s="88">
        <v>1329469</v>
      </c>
      <c r="I97" s="1"/>
      <c r="J97" s="1"/>
      <c r="K97" s="1"/>
    </row>
    <row r="98" spans="1:14" s="2" customFormat="1" ht="12.75" customHeight="1" x14ac:dyDescent="0.2">
      <c r="A98" s="87">
        <v>45175</v>
      </c>
      <c r="B98" s="120" t="s">
        <v>1052</v>
      </c>
      <c r="C98" s="75" t="s">
        <v>784</v>
      </c>
      <c r="D98" s="88">
        <v>673560</v>
      </c>
      <c r="G98" s="1"/>
    </row>
    <row r="99" spans="1:14" s="2" customFormat="1" x14ac:dyDescent="0.2">
      <c r="A99" s="87">
        <v>45175</v>
      </c>
      <c r="B99" s="120" t="s">
        <v>1052</v>
      </c>
      <c r="C99" s="75" t="s">
        <v>784</v>
      </c>
      <c r="D99" s="88">
        <v>700391</v>
      </c>
      <c r="G99" s="1"/>
      <c r="N99" s="2" t="s">
        <v>535</v>
      </c>
    </row>
    <row r="100" spans="1:14" x14ac:dyDescent="0.2">
      <c r="A100" s="87">
        <v>45175</v>
      </c>
      <c r="B100" s="120" t="s">
        <v>1052</v>
      </c>
      <c r="C100" s="75" t="s">
        <v>84</v>
      </c>
      <c r="D100" s="88">
        <v>1000000</v>
      </c>
      <c r="I100" s="2"/>
      <c r="J100" s="2"/>
      <c r="K100" s="2"/>
      <c r="L100" s="2"/>
      <c r="M100" s="2"/>
      <c r="N100" s="2"/>
    </row>
    <row r="101" spans="1:14" x14ac:dyDescent="0.2">
      <c r="A101" s="87">
        <v>45176</v>
      </c>
      <c r="B101" s="120" t="s">
        <v>1052</v>
      </c>
      <c r="C101" s="75" t="s">
        <v>85</v>
      </c>
      <c r="D101" s="88">
        <v>565814</v>
      </c>
      <c r="I101" s="2"/>
      <c r="J101" s="2"/>
      <c r="K101" s="2"/>
      <c r="L101" s="2"/>
      <c r="M101" s="2"/>
      <c r="N101" s="2"/>
    </row>
    <row r="102" spans="1:14" s="2" customFormat="1" x14ac:dyDescent="0.2">
      <c r="A102" s="87">
        <v>45176</v>
      </c>
      <c r="B102" s="120" t="s">
        <v>1052</v>
      </c>
      <c r="C102" s="75" t="s">
        <v>271</v>
      </c>
      <c r="D102" s="88">
        <v>1691421</v>
      </c>
      <c r="G102" s="1"/>
    </row>
    <row r="103" spans="1:14" s="2" customFormat="1" x14ac:dyDescent="0.2">
      <c r="A103" s="87">
        <v>45177</v>
      </c>
      <c r="B103" s="120" t="s">
        <v>1052</v>
      </c>
      <c r="C103" s="75" t="s">
        <v>85</v>
      </c>
      <c r="D103" s="88">
        <v>432581</v>
      </c>
    </row>
    <row r="104" spans="1:14" s="2" customFormat="1" x14ac:dyDescent="0.2">
      <c r="A104" s="87">
        <v>45177</v>
      </c>
      <c r="B104" s="120" t="s">
        <v>1052</v>
      </c>
      <c r="C104" s="75" t="s">
        <v>1521</v>
      </c>
      <c r="D104" s="88">
        <v>1198155</v>
      </c>
    </row>
    <row r="105" spans="1:14" s="2" customFormat="1" x14ac:dyDescent="0.2">
      <c r="A105" s="87">
        <v>45180</v>
      </c>
      <c r="B105" s="120" t="s">
        <v>1052</v>
      </c>
      <c r="C105" s="75" t="s">
        <v>784</v>
      </c>
      <c r="D105" s="88">
        <v>279127</v>
      </c>
    </row>
    <row r="106" spans="1:14" s="2" customFormat="1" x14ac:dyDescent="0.2">
      <c r="A106" s="87">
        <v>45180</v>
      </c>
      <c r="B106" s="120" t="s">
        <v>1052</v>
      </c>
      <c r="C106" s="75" t="s">
        <v>270</v>
      </c>
      <c r="D106" s="88">
        <v>30842</v>
      </c>
    </row>
    <row r="107" spans="1:14" s="2" customFormat="1" x14ac:dyDescent="0.2">
      <c r="A107" s="87">
        <v>45180</v>
      </c>
      <c r="B107" s="120" t="s">
        <v>1052</v>
      </c>
      <c r="C107" s="75" t="s">
        <v>271</v>
      </c>
      <c r="D107" s="88">
        <v>701813</v>
      </c>
      <c r="G107" s="1"/>
    </row>
    <row r="108" spans="1:14" s="2" customFormat="1" x14ac:dyDescent="0.2">
      <c r="A108" s="87">
        <v>45180</v>
      </c>
      <c r="B108" s="120" t="s">
        <v>1052</v>
      </c>
      <c r="C108" s="75" t="s">
        <v>271</v>
      </c>
      <c r="D108" s="88">
        <v>189083</v>
      </c>
      <c r="G108" s="1"/>
    </row>
    <row r="109" spans="1:14" s="2" customFormat="1" x14ac:dyDescent="0.2">
      <c r="A109" s="87">
        <v>45180</v>
      </c>
      <c r="B109" s="120" t="s">
        <v>1052</v>
      </c>
      <c r="C109" s="75" t="s">
        <v>271</v>
      </c>
      <c r="D109" s="88">
        <v>2019</v>
      </c>
      <c r="G109" s="1"/>
    </row>
    <row r="110" spans="1:14" s="2" customFormat="1" x14ac:dyDescent="0.2">
      <c r="A110" s="87">
        <v>45182</v>
      </c>
      <c r="B110" s="120" t="s">
        <v>1052</v>
      </c>
      <c r="C110" s="75" t="s">
        <v>467</v>
      </c>
      <c r="D110" s="88">
        <v>3314639</v>
      </c>
      <c r="G110" s="1"/>
    </row>
    <row r="111" spans="1:14" s="2" customFormat="1" x14ac:dyDescent="0.2">
      <c r="A111" s="87">
        <v>45183</v>
      </c>
      <c r="B111" s="120" t="s">
        <v>1052</v>
      </c>
      <c r="C111" s="75" t="s">
        <v>784</v>
      </c>
      <c r="D111" s="88">
        <v>665398</v>
      </c>
      <c r="G111" s="1"/>
    </row>
    <row r="112" spans="1:14" s="2" customFormat="1" x14ac:dyDescent="0.2">
      <c r="A112" s="87"/>
      <c r="B112" s="74"/>
      <c r="C112" s="75"/>
      <c r="D112" s="51">
        <f>SUM(D92:D111)</f>
        <v>18479659.210000001</v>
      </c>
      <c r="F112" s="2" t="s">
        <v>396</v>
      </c>
      <c r="G112" s="1"/>
    </row>
    <row r="113" spans="1:13" s="2" customFormat="1" x14ac:dyDescent="0.2">
      <c r="A113" s="24"/>
      <c r="B113" s="1"/>
      <c r="C113" s="14"/>
      <c r="D113" s="56"/>
      <c r="E113" s="13"/>
      <c r="G113" s="1"/>
    </row>
    <row r="114" spans="1:13" s="2" customFormat="1" x14ac:dyDescent="0.2">
      <c r="A114" s="24"/>
      <c r="B114" s="1"/>
      <c r="C114" s="218" t="s">
        <v>77</v>
      </c>
      <c r="D114" s="219"/>
      <c r="E114" s="219"/>
      <c r="F114" s="220"/>
      <c r="H114" s="2" t="s">
        <v>396</v>
      </c>
    </row>
    <row r="115" spans="1:13" s="2" customFormat="1" x14ac:dyDescent="0.2">
      <c r="A115" s="24"/>
      <c r="B115" s="1"/>
      <c r="C115" s="50"/>
      <c r="D115" s="57" t="s">
        <v>78</v>
      </c>
      <c r="E115" s="58" t="s">
        <v>79</v>
      </c>
      <c r="F115" s="57" t="s">
        <v>72</v>
      </c>
      <c r="H115" s="2" t="s">
        <v>396</v>
      </c>
    </row>
    <row r="116" spans="1:13" s="2" customFormat="1" x14ac:dyDescent="0.2">
      <c r="A116" s="24"/>
      <c r="B116" s="1"/>
      <c r="C116" s="59" t="str">
        <f>"01-09-2023 to "&amp;TEXT(A5-2,"dd-mm-yyyy")</f>
        <v>01-09-2023 to 12-09-2023</v>
      </c>
      <c r="D116" s="60">
        <v>1059.9000000000001</v>
      </c>
      <c r="E116" s="60">
        <v>93.5</v>
      </c>
      <c r="F116" s="61">
        <f>SUM(D116:E116)</f>
        <v>1153.4000000000001</v>
      </c>
    </row>
    <row r="117" spans="1:13" s="2" customFormat="1" x14ac:dyDescent="0.2">
      <c r="A117" s="24"/>
      <c r="B117" s="1"/>
      <c r="C117" s="62" t="str">
        <f>TEXT(A5-1,"dd-mm-yyyy")</f>
        <v>13-09-2023</v>
      </c>
      <c r="D117" s="60">
        <v>70.91</v>
      </c>
      <c r="E117" s="60">
        <v>14.8</v>
      </c>
      <c r="F117" s="61">
        <f>SUM(D117:E117)</f>
        <v>85.71</v>
      </c>
      <c r="G117" s="1"/>
      <c r="H117" s="53"/>
    </row>
    <row r="118" spans="1:13" s="2" customFormat="1" ht="13.5" thickBot="1" x14ac:dyDescent="0.25">
      <c r="A118" s="24"/>
      <c r="B118" s="1"/>
      <c r="C118" s="63" t="str">
        <f>"01-09-2023 to "&amp;TEXT(A5-1,"dd-mm-yyyy")</f>
        <v>01-09-2023 to 13-09-2023</v>
      </c>
      <c r="D118" s="64">
        <f>SUM(D116:D117)</f>
        <v>1130.8100000000002</v>
      </c>
      <c r="E118" s="64">
        <f>SUM(E116:E117)</f>
        <v>108.3</v>
      </c>
      <c r="F118" s="64">
        <f>SUM(F116:F117)</f>
        <v>1239.1100000000001</v>
      </c>
      <c r="G118" s="1"/>
      <c r="H118" s="53"/>
    </row>
    <row r="119" spans="1:13" s="2" customFormat="1" ht="13.5" thickTop="1" x14ac:dyDescent="0.2">
      <c r="A119" s="24"/>
      <c r="B119" s="1"/>
      <c r="C119" s="62"/>
      <c r="D119" s="65"/>
      <c r="E119" s="66"/>
      <c r="F119" s="67"/>
      <c r="L119" s="1"/>
      <c r="M119" s="1"/>
    </row>
    <row r="120" spans="1:13" s="2" customFormat="1" x14ac:dyDescent="0.2">
      <c r="A120" s="24"/>
      <c r="B120" s="1"/>
      <c r="C120" s="62" t="str">
        <f>"01-04-2023 to " &amp;C117</f>
        <v>01-04-2023 to 13-09-2023</v>
      </c>
      <c r="D120" s="68">
        <f>+D118+24261.33</f>
        <v>25392.140000000003</v>
      </c>
      <c r="E120" s="68">
        <f>+E118+1685.25</f>
        <v>1793.55</v>
      </c>
      <c r="F120" s="68">
        <f>+F118+25946.58</f>
        <v>27185.690000000002</v>
      </c>
      <c r="G120" s="1"/>
      <c r="L120" s="1"/>
      <c r="M120" s="1"/>
    </row>
    <row r="121" spans="1:13" s="2" customFormat="1" x14ac:dyDescent="0.2">
      <c r="A121" s="24"/>
      <c r="B121" s="1"/>
      <c r="C121" s="52"/>
      <c r="D121" s="85"/>
      <c r="E121" s="53"/>
      <c r="F121" s="53"/>
      <c r="G121" s="1"/>
      <c r="L121" s="1"/>
      <c r="M121" s="1"/>
    </row>
    <row r="122" spans="1:13" s="2" customFormat="1" x14ac:dyDescent="0.2">
      <c r="A122" s="24"/>
      <c r="B122" s="1"/>
      <c r="C122" s="52"/>
      <c r="D122" s="85"/>
      <c r="E122" s="53"/>
      <c r="F122" s="53"/>
      <c r="G122" s="1"/>
      <c r="L122" s="1"/>
      <c r="M122" s="1"/>
    </row>
    <row r="123" spans="1:13" s="2" customFormat="1" x14ac:dyDescent="0.2">
      <c r="A123" s="24"/>
      <c r="B123" s="1"/>
      <c r="C123" s="52"/>
      <c r="D123" s="85"/>
      <c r="E123" s="53"/>
      <c r="F123" s="53"/>
      <c r="G123" s="1"/>
      <c r="L123" s="1"/>
      <c r="M123" s="1"/>
    </row>
    <row r="124" spans="1:13" s="2" customFormat="1" x14ac:dyDescent="0.2">
      <c r="A124" s="24"/>
      <c r="B124" s="1"/>
      <c r="C124" s="52"/>
      <c r="D124" s="85"/>
      <c r="E124" s="53"/>
      <c r="F124" s="53"/>
      <c r="G124" s="1"/>
      <c r="L124" s="1"/>
      <c r="M124" s="1"/>
    </row>
    <row r="125" spans="1:13" s="2" customFormat="1" x14ac:dyDescent="0.2">
      <c r="A125" s="24"/>
      <c r="B125" s="1"/>
      <c r="C125" s="14"/>
      <c r="D125" s="25"/>
      <c r="G125" s="1"/>
      <c r="L125" s="1"/>
      <c r="M125" s="1"/>
    </row>
    <row r="126" spans="1:13" s="2" customFormat="1" x14ac:dyDescent="0.2">
      <c r="A126" s="24"/>
      <c r="B126" s="1"/>
      <c r="C126" s="14"/>
      <c r="D126" s="25"/>
      <c r="G126" s="1"/>
      <c r="L126" s="1"/>
      <c r="M126" s="1"/>
    </row>
    <row r="127" spans="1:13" s="2" customFormat="1" x14ac:dyDescent="0.2">
      <c r="A127" s="24"/>
      <c r="B127" s="1"/>
      <c r="C127" s="14"/>
      <c r="D127" s="25"/>
      <c r="G127" s="1"/>
      <c r="L127" s="1"/>
      <c r="M127" s="1"/>
    </row>
    <row r="128" spans="1:13" s="2" customFormat="1" x14ac:dyDescent="0.2">
      <c r="A128" s="24"/>
      <c r="B128" s="1"/>
      <c r="C128" s="14"/>
      <c r="D128" s="25"/>
      <c r="G128" s="1"/>
      <c r="L128" s="1"/>
      <c r="M128" s="1"/>
    </row>
    <row r="129" spans="1:13" s="2" customFormat="1" x14ac:dyDescent="0.2">
      <c r="A129" s="24"/>
      <c r="B129" s="1"/>
      <c r="C129" s="14"/>
      <c r="D129" s="25"/>
      <c r="G129" s="1"/>
      <c r="L129" s="1"/>
      <c r="M129" s="1"/>
    </row>
    <row r="130" spans="1:13" s="2" customFormat="1" x14ac:dyDescent="0.2">
      <c r="A130" s="24"/>
      <c r="B130" s="1"/>
      <c r="C130" s="14"/>
      <c r="D130" s="25"/>
      <c r="G130" s="1"/>
      <c r="L130" s="1"/>
      <c r="M130" s="1"/>
    </row>
    <row r="131" spans="1:13" s="2" customFormat="1" x14ac:dyDescent="0.2">
      <c r="A131" s="24"/>
      <c r="B131" s="1"/>
      <c r="C131" s="14"/>
      <c r="D131" s="25"/>
      <c r="G131" s="1"/>
      <c r="L131" s="1"/>
      <c r="M131" s="1"/>
    </row>
    <row r="132" spans="1:13" s="2" customFormat="1" x14ac:dyDescent="0.2">
      <c r="A132" s="24"/>
      <c r="B132" s="1"/>
      <c r="C132" s="14"/>
      <c r="D132" s="25"/>
      <c r="G132" s="1"/>
      <c r="L132" s="1"/>
      <c r="M132" s="1"/>
    </row>
    <row r="133" spans="1:13" s="2" customFormat="1" x14ac:dyDescent="0.2">
      <c r="A133" s="24"/>
      <c r="B133" s="1"/>
      <c r="C133" s="14"/>
      <c r="D133" s="25"/>
      <c r="G133" s="1"/>
      <c r="L133" s="1"/>
      <c r="M133" s="1"/>
    </row>
    <row r="134" spans="1:13" s="2" customFormat="1" x14ac:dyDescent="0.2">
      <c r="A134" s="24"/>
      <c r="B134" s="1"/>
      <c r="C134" s="14"/>
      <c r="D134" s="25"/>
      <c r="G134" s="1"/>
      <c r="L134" s="1"/>
      <c r="M134" s="1"/>
    </row>
    <row r="135" spans="1:13" s="2" customFormat="1" x14ac:dyDescent="0.2">
      <c r="A135" s="24"/>
      <c r="B135" s="1"/>
      <c r="C135" s="14"/>
      <c r="D135" s="25"/>
      <c r="G135" s="1"/>
      <c r="L135" s="1"/>
      <c r="M135" s="1"/>
    </row>
    <row r="136" spans="1:13" s="2" customFormat="1" x14ac:dyDescent="0.2">
      <c r="A136" s="24"/>
      <c r="B136" s="1"/>
      <c r="C136" s="14"/>
      <c r="D136" s="25"/>
      <c r="G136" s="1"/>
      <c r="L136" s="1"/>
      <c r="M136" s="1"/>
    </row>
    <row r="137" spans="1:13" s="2" customFormat="1" x14ac:dyDescent="0.2">
      <c r="A137" s="24"/>
      <c r="B137" s="1"/>
      <c r="C137" s="14"/>
      <c r="D137" s="25"/>
      <c r="G137" s="1"/>
      <c r="L137" s="1"/>
      <c r="M137" s="1"/>
    </row>
    <row r="138" spans="1:13" s="2" customFormat="1" x14ac:dyDescent="0.2">
      <c r="A138" s="24"/>
      <c r="B138" s="1"/>
      <c r="C138" s="14"/>
      <c r="D138" s="25"/>
      <c r="G138" s="1"/>
      <c r="L138" s="1"/>
      <c r="M138" s="1"/>
    </row>
    <row r="139" spans="1:13" s="2" customFormat="1" x14ac:dyDescent="0.2">
      <c r="A139" s="24"/>
      <c r="B139" s="1"/>
      <c r="C139" s="14"/>
      <c r="D139" s="25"/>
      <c r="G139" s="1"/>
      <c r="I139" s="1"/>
      <c r="J139" s="1"/>
      <c r="K139" s="1"/>
      <c r="L139" s="1"/>
      <c r="M139" s="1"/>
    </row>
    <row r="140" spans="1:13" s="2" customFormat="1" x14ac:dyDescent="0.2">
      <c r="A140" s="24"/>
      <c r="B140" s="1"/>
      <c r="C140" s="14"/>
      <c r="D140" s="25"/>
      <c r="G140" s="1"/>
    </row>
    <row r="141" spans="1:13" s="2" customFormat="1" x14ac:dyDescent="0.2">
      <c r="A141" s="24"/>
      <c r="B141" s="1"/>
      <c r="C141" s="14"/>
      <c r="D141" s="25"/>
      <c r="G141" s="1"/>
      <c r="I141" s="1"/>
      <c r="J141" s="1"/>
      <c r="K141" s="1"/>
      <c r="L141" s="1"/>
      <c r="M141" s="1"/>
    </row>
    <row r="142" spans="1:13" s="2" customFormat="1" x14ac:dyDescent="0.2">
      <c r="A142" s="24"/>
      <c r="B142" s="1"/>
      <c r="C142" s="14"/>
      <c r="D142" s="25"/>
      <c r="G142" s="54"/>
      <c r="I142" s="1"/>
      <c r="J142" s="1"/>
      <c r="K142" s="1"/>
      <c r="L142" s="1"/>
      <c r="M142" s="1"/>
    </row>
    <row r="143" spans="1:13" s="2" customFormat="1" x14ac:dyDescent="0.2">
      <c r="A143" s="24"/>
      <c r="B143" s="1"/>
      <c r="C143" s="14"/>
      <c r="D143" s="25"/>
      <c r="G143" s="54"/>
      <c r="I143" s="1"/>
      <c r="J143" s="1"/>
      <c r="K143" s="1"/>
      <c r="L143" s="1"/>
      <c r="M143" s="1"/>
    </row>
    <row r="144" spans="1:13" s="2" customFormat="1" x14ac:dyDescent="0.2">
      <c r="A144" s="24"/>
      <c r="B144" s="1"/>
      <c r="C144" s="14"/>
      <c r="D144" s="25"/>
      <c r="G144" s="54"/>
      <c r="I144" s="1"/>
      <c r="J144" s="1"/>
      <c r="K144" s="1"/>
      <c r="L144" s="1"/>
      <c r="M144" s="1"/>
    </row>
    <row r="145" spans="1:14" s="2" customFormat="1" x14ac:dyDescent="0.2">
      <c r="A145" s="24"/>
      <c r="B145" s="1"/>
      <c r="C145" s="14"/>
      <c r="D145" s="25"/>
      <c r="G145" s="54"/>
      <c r="H145" s="2" t="s">
        <v>396</v>
      </c>
      <c r="I145" s="1"/>
      <c r="J145" s="1"/>
      <c r="K145" s="1"/>
      <c r="L145" s="1"/>
      <c r="M145" s="1"/>
      <c r="N145" s="1"/>
    </row>
    <row r="146" spans="1:14" s="2" customFormat="1" x14ac:dyDescent="0.2">
      <c r="A146" s="24"/>
      <c r="B146" s="1"/>
      <c r="C146" s="14"/>
      <c r="D146" s="25"/>
      <c r="G146" s="54"/>
      <c r="H146" s="53"/>
    </row>
    <row r="147" spans="1:14" s="2" customFormat="1" x14ac:dyDescent="0.2">
      <c r="A147" s="24"/>
      <c r="B147" s="1"/>
      <c r="C147" s="14"/>
      <c r="D147" s="25"/>
      <c r="G147" s="54"/>
      <c r="H147" s="53" t="s">
        <v>396</v>
      </c>
      <c r="I147" s="1"/>
      <c r="J147" s="1"/>
      <c r="K147" s="1"/>
      <c r="L147" s="1"/>
      <c r="M147" s="1"/>
      <c r="N147" s="1"/>
    </row>
    <row r="148" spans="1:14" x14ac:dyDescent="0.2">
      <c r="G148" s="54"/>
      <c r="H148" s="53" t="s">
        <v>396</v>
      </c>
      <c r="J148" s="42"/>
    </row>
    <row r="149" spans="1:14" s="2" customFormat="1" x14ac:dyDescent="0.2">
      <c r="A149" s="24"/>
      <c r="B149" s="1"/>
      <c r="C149" s="14"/>
      <c r="D149" s="25"/>
      <c r="G149" s="54"/>
      <c r="H149" s="53"/>
      <c r="I149" s="101"/>
      <c r="J149" s="1"/>
      <c r="K149" s="1"/>
      <c r="L149" s="1"/>
      <c r="M149" s="1"/>
      <c r="N149" s="1"/>
    </row>
    <row r="150" spans="1:14" x14ac:dyDescent="0.2">
      <c r="G150" s="54"/>
      <c r="H150" s="53"/>
    </row>
    <row r="151" spans="1:14" x14ac:dyDescent="0.2">
      <c r="G151" s="54"/>
      <c r="H151" s="53"/>
    </row>
    <row r="152" spans="1:14" x14ac:dyDescent="0.2">
      <c r="G152" s="54"/>
      <c r="H152" s="53"/>
    </row>
  </sheetData>
  <mergeCells count="6">
    <mergeCell ref="C114:F114"/>
    <mergeCell ref="A1:G1"/>
    <mergeCell ref="A3:F3"/>
    <mergeCell ref="A10:F10"/>
    <mergeCell ref="A27:F27"/>
    <mergeCell ref="A90:D90"/>
  </mergeCells>
  <conditionalFormatting sqref="G87:G88">
    <cfRule type="cellIs" dxfId="315" priority="1" operator="lessThan">
      <formula>0</formula>
    </cfRule>
  </conditionalFormatting>
  <conditionalFormatting sqref="C29">
    <cfRule type="duplicateValues" dxfId="314" priority="2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500-000000000000}">
  <sheetPr codeName="Sheet429">
    <pageSetUpPr fitToPage="1"/>
  </sheetPr>
  <dimension ref="A1:N139"/>
  <sheetViews>
    <sheetView topLeftCell="A25" zoomScaleNormal="100" workbookViewId="0">
      <selection activeCell="E32" sqref="E32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3" ht="20.25" customHeight="1" x14ac:dyDescent="0.4">
      <c r="A1" s="212" t="s">
        <v>1537</v>
      </c>
      <c r="B1" s="212"/>
      <c r="C1" s="212"/>
      <c r="D1" s="212"/>
      <c r="E1" s="212"/>
      <c r="F1" s="212"/>
      <c r="G1" s="212"/>
      <c r="H1" s="112"/>
      <c r="I1" s="112"/>
    </row>
    <row r="2" spans="1:13" ht="12.75" customHeight="1" x14ac:dyDescent="0.4">
      <c r="H2" s="112"/>
      <c r="I2" s="112"/>
    </row>
    <row r="3" spans="1:13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3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3" s="2" customFormat="1" ht="14.25" customHeight="1" x14ac:dyDescent="0.4">
      <c r="A5" s="89">
        <v>45184</v>
      </c>
      <c r="B5" s="9" t="s">
        <v>6</v>
      </c>
      <c r="C5" s="10" t="s">
        <v>7</v>
      </c>
      <c r="D5" s="11"/>
      <c r="E5" s="12">
        <v>2065152.790000001</v>
      </c>
      <c r="F5" s="12"/>
      <c r="G5" s="1"/>
      <c r="H5" s="112"/>
      <c r="I5" s="112"/>
    </row>
    <row r="6" spans="1:13" s="2" customFormat="1" ht="14.25" customHeight="1" x14ac:dyDescent="0.4">
      <c r="A6" s="89">
        <v>45184</v>
      </c>
      <c r="B6" s="9" t="s">
        <v>11</v>
      </c>
      <c r="C6" s="10" t="s">
        <v>489</v>
      </c>
      <c r="D6" s="11" t="s">
        <v>29</v>
      </c>
      <c r="E6" s="12"/>
      <c r="F6" s="12">
        <v>350000</v>
      </c>
      <c r="G6" s="1"/>
      <c r="H6" s="112"/>
      <c r="I6" s="112"/>
    </row>
    <row r="7" spans="1:13" s="2" customFormat="1" ht="12.75" customHeight="1" x14ac:dyDescent="0.4">
      <c r="D7" s="15" t="s">
        <v>8</v>
      </c>
      <c r="E7" s="16">
        <f>SUM(E5:E6)</f>
        <v>2065152.790000001</v>
      </c>
      <c r="F7" s="16">
        <f>SUM(F5:F6)</f>
        <v>350000</v>
      </c>
      <c r="G7" s="1"/>
      <c r="H7" s="112"/>
      <c r="I7" s="112"/>
    </row>
    <row r="8" spans="1:13" s="2" customFormat="1" ht="12.75" customHeight="1" x14ac:dyDescent="0.4">
      <c r="A8" s="17"/>
      <c r="B8" s="18"/>
      <c r="C8" s="19" t="s">
        <v>9</v>
      </c>
      <c r="D8" s="20"/>
      <c r="E8" s="21">
        <f>+E7-F7</f>
        <v>1715152.790000001</v>
      </c>
      <c r="F8" s="22"/>
      <c r="G8" s="23"/>
      <c r="H8" s="112"/>
      <c r="I8" s="112"/>
      <c r="J8" s="13"/>
    </row>
    <row r="9" spans="1:13" ht="12.75" customHeight="1" x14ac:dyDescent="0.4">
      <c r="H9" s="112"/>
      <c r="I9" s="112"/>
    </row>
    <row r="10" spans="1:13" ht="18" customHeight="1" x14ac:dyDescent="0.4">
      <c r="A10" s="213" t="s">
        <v>1037</v>
      </c>
      <c r="B10" s="213"/>
      <c r="C10" s="213"/>
      <c r="D10" s="213"/>
      <c r="E10" s="213"/>
      <c r="F10" s="213"/>
      <c r="H10" s="112"/>
      <c r="I10" s="169">
        <v>90000000</v>
      </c>
      <c r="J10" s="169" t="s">
        <v>1508</v>
      </c>
    </row>
    <row r="11" spans="1:13" ht="12.75" customHeight="1" x14ac:dyDescent="0.4">
      <c r="A11" s="3" t="s">
        <v>1</v>
      </c>
      <c r="B11" s="4" t="s">
        <v>2</v>
      </c>
      <c r="C11" s="5"/>
      <c r="D11" s="6" t="s">
        <v>3</v>
      </c>
      <c r="E11" s="7" t="s">
        <v>4</v>
      </c>
      <c r="F11" s="7" t="s">
        <v>5</v>
      </c>
      <c r="H11" s="112"/>
      <c r="I11" s="169">
        <v>87741993.519999996</v>
      </c>
      <c r="J11" s="169" t="s">
        <v>1509</v>
      </c>
      <c r="K11" s="124"/>
    </row>
    <row r="12" spans="1:13" s="2" customFormat="1" ht="14.25" customHeight="1" x14ac:dyDescent="0.2">
      <c r="A12" s="89">
        <v>45184</v>
      </c>
      <c r="B12" s="9" t="s">
        <v>6</v>
      </c>
      <c r="C12" s="10" t="s">
        <v>7</v>
      </c>
      <c r="D12" s="11"/>
      <c r="F12" s="12">
        <v>88211509.910000041</v>
      </c>
      <c r="G12" s="1"/>
      <c r="H12" s="130" t="s">
        <v>396</v>
      </c>
      <c r="I12" s="169">
        <f>+I10-I11</f>
        <v>2258006.4800000042</v>
      </c>
      <c r="J12" s="169" t="s">
        <v>712</v>
      </c>
      <c r="K12" s="165" t="s">
        <v>1512</v>
      </c>
    </row>
    <row r="13" spans="1:13" s="2" customFormat="1" ht="14.25" customHeight="1" x14ac:dyDescent="0.2">
      <c r="A13" s="89">
        <v>45184</v>
      </c>
      <c r="B13" s="9" t="s">
        <v>6</v>
      </c>
      <c r="C13" s="76" t="s">
        <v>1255</v>
      </c>
      <c r="D13" s="11" t="s">
        <v>13</v>
      </c>
      <c r="E13" s="2">
        <v>1624686</v>
      </c>
      <c r="F13" s="31"/>
      <c r="G13" s="1"/>
      <c r="H13" s="130"/>
      <c r="K13" s="124"/>
    </row>
    <row r="14" spans="1:13" s="2" customFormat="1" ht="14.25" customHeight="1" x14ac:dyDescent="0.2">
      <c r="A14" s="89">
        <v>45184</v>
      </c>
      <c r="B14" s="9" t="s">
        <v>6</v>
      </c>
      <c r="C14" s="76" t="s">
        <v>1002</v>
      </c>
      <c r="D14" s="11" t="s">
        <v>13</v>
      </c>
      <c r="E14" s="2">
        <v>900606.53</v>
      </c>
      <c r="F14" s="31"/>
      <c r="G14" s="1"/>
      <c r="H14" s="130"/>
      <c r="I14" s="143"/>
      <c r="J14" s="143"/>
      <c r="K14" s="170"/>
      <c r="L14" s="143"/>
      <c r="M14" s="143"/>
    </row>
    <row r="15" spans="1:13" s="2" customFormat="1" ht="14.25" customHeight="1" x14ac:dyDescent="0.2">
      <c r="A15" s="89">
        <v>45184</v>
      </c>
      <c r="B15" s="9" t="s">
        <v>11</v>
      </c>
      <c r="C15" s="76" t="s">
        <v>171</v>
      </c>
      <c r="D15" s="11" t="s">
        <v>29</v>
      </c>
      <c r="F15" s="31">
        <v>5740</v>
      </c>
      <c r="G15" s="1"/>
      <c r="H15" s="130"/>
      <c r="I15" s="171"/>
      <c r="J15" s="171"/>
      <c r="K15" s="170"/>
      <c r="L15" s="143"/>
      <c r="M15" s="143"/>
    </row>
    <row r="16" spans="1:13" s="2" customFormat="1" ht="14.25" customHeight="1" x14ac:dyDescent="0.2">
      <c r="A16" s="89">
        <v>45184</v>
      </c>
      <c r="B16" s="9" t="s">
        <v>11</v>
      </c>
      <c r="C16" s="76" t="s">
        <v>1538</v>
      </c>
      <c r="D16" s="11" t="s">
        <v>29</v>
      </c>
      <c r="F16" s="31">
        <v>23895</v>
      </c>
      <c r="G16" s="1"/>
      <c r="H16" s="130"/>
      <c r="I16" s="171"/>
      <c r="J16" s="171"/>
      <c r="K16" s="170"/>
      <c r="L16" s="143"/>
      <c r="M16" s="143"/>
    </row>
    <row r="17" spans="1:14" s="2" customFormat="1" ht="14.25" customHeight="1" x14ac:dyDescent="0.2">
      <c r="A17" s="89">
        <v>45184</v>
      </c>
      <c r="B17" s="9" t="s">
        <v>11</v>
      </c>
      <c r="C17" s="76" t="s">
        <v>1539</v>
      </c>
      <c r="D17" s="11" t="s">
        <v>29</v>
      </c>
      <c r="F17" s="31">
        <v>35301.599999999999</v>
      </c>
      <c r="G17" s="1"/>
      <c r="H17" s="130"/>
      <c r="I17" s="171"/>
      <c r="J17" s="171"/>
      <c r="K17" s="170"/>
      <c r="L17" s="143"/>
      <c r="M17" s="143"/>
    </row>
    <row r="18" spans="1:14" s="2" customFormat="1" ht="14.25" customHeight="1" x14ac:dyDescent="0.2">
      <c r="A18" s="89">
        <v>45184</v>
      </c>
      <c r="B18" s="9" t="s">
        <v>11</v>
      </c>
      <c r="C18" s="76" t="s">
        <v>1403</v>
      </c>
      <c r="D18" s="11" t="s">
        <v>29</v>
      </c>
      <c r="F18" s="31">
        <v>1882297</v>
      </c>
      <c r="G18" s="1"/>
      <c r="H18" s="130"/>
      <c r="I18" s="171"/>
      <c r="J18" s="171"/>
      <c r="K18" s="170"/>
      <c r="L18" s="143"/>
      <c r="M18" s="143"/>
    </row>
    <row r="19" spans="1:14" s="2" customFormat="1" ht="14.25" customHeight="1" x14ac:dyDescent="0.2">
      <c r="A19" s="89">
        <v>45184</v>
      </c>
      <c r="B19" s="9" t="s">
        <v>11</v>
      </c>
      <c r="C19" s="76" t="s">
        <v>1137</v>
      </c>
      <c r="D19" s="11" t="s">
        <v>29</v>
      </c>
      <c r="F19" s="31">
        <v>8542.5400000000009</v>
      </c>
      <c r="G19" s="1"/>
      <c r="H19" s="130"/>
      <c r="I19" s="171"/>
      <c r="J19" s="171"/>
      <c r="K19" s="170"/>
      <c r="L19" s="143"/>
      <c r="M19" s="143"/>
    </row>
    <row r="20" spans="1:14" s="2" customFormat="1" ht="14.25" customHeight="1" x14ac:dyDescent="0.2">
      <c r="D20" s="11" t="s">
        <v>8</v>
      </c>
      <c r="E20" s="16">
        <f>SUM(E12:E19)</f>
        <v>2525292.5300000003</v>
      </c>
      <c r="F20" s="16">
        <f>SUM(F12:F19)</f>
        <v>90167286.050000042</v>
      </c>
      <c r="G20" s="1"/>
      <c r="H20" s="143"/>
      <c r="I20" s="130"/>
      <c r="J20" s="143"/>
      <c r="K20" s="143"/>
      <c r="L20" s="143"/>
      <c r="M20" s="143"/>
    </row>
    <row r="21" spans="1:14" s="2" customFormat="1" ht="14.25" customHeight="1" x14ac:dyDescent="0.4">
      <c r="A21" s="17"/>
      <c r="B21" s="18"/>
      <c r="C21" s="96" t="s">
        <v>9</v>
      </c>
      <c r="D21" s="20"/>
      <c r="E21" s="21">
        <f>+F20-E20</f>
        <v>87641993.520000041</v>
      </c>
      <c r="G21" s="1"/>
      <c r="I21" s="112"/>
      <c r="J21" s="153" t="s">
        <v>779</v>
      </c>
    </row>
    <row r="22" spans="1:14" s="2" customFormat="1" ht="14.25" customHeight="1" x14ac:dyDescent="0.2">
      <c r="A22" s="36"/>
      <c r="B22" s="28" t="s">
        <v>66</v>
      </c>
      <c r="C22" s="43" t="s">
        <v>1458</v>
      </c>
      <c r="D22" s="43"/>
      <c r="E22" s="12">
        <v>30000000</v>
      </c>
      <c r="F22" s="22"/>
      <c r="G22" s="1"/>
      <c r="I22" s="40">
        <v>87741993.519999996</v>
      </c>
      <c r="J22" s="154">
        <f>I22-E21</f>
        <v>99999.999999955297</v>
      </c>
    </row>
    <row r="23" spans="1:14" s="2" customFormat="1" ht="14.25" customHeight="1" x14ac:dyDescent="0.25">
      <c r="A23" s="36"/>
      <c r="B23" s="28"/>
      <c r="C23" s="44" t="s">
        <v>1541</v>
      </c>
      <c r="D23" s="43"/>
      <c r="E23" s="7">
        <f>+E21+E22</f>
        <v>117641993.52000004</v>
      </c>
      <c r="F23" s="22"/>
      <c r="G23" s="1"/>
    </row>
    <row r="24" spans="1:14" s="2" customFormat="1" ht="14.25" customHeight="1" x14ac:dyDescent="0.25">
      <c r="A24" s="36"/>
      <c r="B24" s="28"/>
      <c r="C24" s="44" t="s">
        <v>1511</v>
      </c>
      <c r="D24" s="43"/>
      <c r="E24" s="38">
        <f>+I12</f>
        <v>2258006.4800000042</v>
      </c>
      <c r="F24" s="22"/>
      <c r="G24" s="1"/>
    </row>
    <row r="25" spans="1:14" s="2" customFormat="1" ht="14.25" customHeight="1" x14ac:dyDescent="0.2">
      <c r="A25" s="24"/>
      <c r="B25" s="1"/>
      <c r="C25" s="14"/>
      <c r="D25" s="25"/>
      <c r="G25" s="1"/>
      <c r="I25" s="130"/>
      <c r="J25" s="130"/>
    </row>
    <row r="26" spans="1:14" s="2" customFormat="1" x14ac:dyDescent="0.2">
      <c r="A26" s="214" t="s">
        <v>10</v>
      </c>
      <c r="B26" s="214"/>
      <c r="C26" s="214"/>
      <c r="D26" s="214"/>
      <c r="E26" s="214"/>
      <c r="F26" s="214"/>
      <c r="G26" s="1"/>
      <c r="H26" s="159"/>
      <c r="I26" s="160">
        <v>150000000</v>
      </c>
      <c r="J26" s="160" t="s">
        <v>1506</v>
      </c>
      <c r="K26" s="70"/>
    </row>
    <row r="27" spans="1:14" s="2" customFormat="1" x14ac:dyDescent="0.2">
      <c r="A27" s="26" t="s">
        <v>1</v>
      </c>
      <c r="B27" s="27" t="s">
        <v>2</v>
      </c>
      <c r="C27" s="5"/>
      <c r="D27" s="6" t="s">
        <v>3</v>
      </c>
      <c r="E27" s="7" t="s">
        <v>4</v>
      </c>
      <c r="F27" s="7" t="s">
        <v>5</v>
      </c>
      <c r="G27" s="1"/>
      <c r="H27" s="159"/>
      <c r="I27" s="160">
        <v>129978813.14</v>
      </c>
      <c r="J27" s="160" t="s">
        <v>1507</v>
      </c>
      <c r="K27" s="70" t="s">
        <v>1512</v>
      </c>
    </row>
    <row r="28" spans="1:14" s="2" customFormat="1" x14ac:dyDescent="0.2">
      <c r="A28" s="89">
        <v>45184</v>
      </c>
      <c r="B28" s="128" t="s">
        <v>11</v>
      </c>
      <c r="C28" s="29" t="s">
        <v>7</v>
      </c>
      <c r="D28" s="25"/>
      <c r="E28" s="31"/>
      <c r="F28" s="2">
        <v>121495744.98000009</v>
      </c>
      <c r="G28" s="23"/>
      <c r="H28" s="159" t="s">
        <v>1505</v>
      </c>
      <c r="I28" s="160">
        <f>+I26-I27</f>
        <v>20021186.859999999</v>
      </c>
      <c r="J28" s="160"/>
      <c r="K28" s="70"/>
    </row>
    <row r="29" spans="1:14" s="2" customFormat="1" x14ac:dyDescent="0.2">
      <c r="A29" s="89">
        <v>45184</v>
      </c>
      <c r="B29" s="128" t="s">
        <v>6</v>
      </c>
      <c r="C29" s="10" t="s">
        <v>332</v>
      </c>
      <c r="D29" s="11" t="s">
        <v>13</v>
      </c>
      <c r="E29" s="86">
        <v>2370</v>
      </c>
      <c r="F29" s="70"/>
      <c r="G29" s="1"/>
      <c r="N29" s="1"/>
    </row>
    <row r="30" spans="1:14" s="2" customFormat="1" x14ac:dyDescent="0.2">
      <c r="A30" s="89">
        <v>45184</v>
      </c>
      <c r="B30" s="128" t="s">
        <v>6</v>
      </c>
      <c r="C30" s="10" t="s">
        <v>993</v>
      </c>
      <c r="D30" s="11" t="s">
        <v>13</v>
      </c>
      <c r="E30" s="86">
        <v>4425</v>
      </c>
      <c r="F30" s="70"/>
      <c r="G30" s="1"/>
      <c r="N30" s="1"/>
    </row>
    <row r="31" spans="1:14" s="2" customFormat="1" x14ac:dyDescent="0.2">
      <c r="A31" s="89">
        <v>45184</v>
      </c>
      <c r="B31" s="128" t="s">
        <v>6</v>
      </c>
      <c r="C31" s="10" t="s">
        <v>519</v>
      </c>
      <c r="D31" s="11" t="s">
        <v>13</v>
      </c>
      <c r="E31" s="86">
        <v>1552532</v>
      </c>
      <c r="F31" s="70"/>
      <c r="G31" s="1"/>
      <c r="N31" s="1"/>
    </row>
    <row r="32" spans="1:14" s="2" customFormat="1" x14ac:dyDescent="0.2">
      <c r="A32" s="89">
        <v>45184</v>
      </c>
      <c r="B32" s="128" t="s">
        <v>6</v>
      </c>
      <c r="C32" s="10" t="s">
        <v>1540</v>
      </c>
      <c r="D32" s="11" t="s">
        <v>13</v>
      </c>
      <c r="E32" s="86">
        <v>1946009</v>
      </c>
      <c r="F32" s="70"/>
      <c r="G32" s="1"/>
      <c r="N32" s="1"/>
    </row>
    <row r="33" spans="1:14" s="2" customFormat="1" x14ac:dyDescent="0.2">
      <c r="A33" s="89">
        <v>45184</v>
      </c>
      <c r="B33" s="128" t="s">
        <v>6</v>
      </c>
      <c r="C33" s="10" t="s">
        <v>265</v>
      </c>
      <c r="D33" s="11" t="s">
        <v>13</v>
      </c>
      <c r="E33" s="86">
        <v>18900</v>
      </c>
      <c r="F33" s="70"/>
      <c r="G33" s="1"/>
      <c r="N33" s="1"/>
    </row>
    <row r="34" spans="1:14" s="2" customFormat="1" x14ac:dyDescent="0.2">
      <c r="A34" s="89">
        <v>45184</v>
      </c>
      <c r="B34" s="128" t="s">
        <v>6</v>
      </c>
      <c r="C34" s="10" t="s">
        <v>969</v>
      </c>
      <c r="D34" s="11" t="s">
        <v>13</v>
      </c>
      <c r="E34" s="86">
        <v>3675</v>
      </c>
      <c r="F34" s="70"/>
      <c r="G34" s="1"/>
      <c r="N34" s="1"/>
    </row>
    <row r="35" spans="1:14" s="2" customFormat="1" x14ac:dyDescent="0.2">
      <c r="A35" s="89">
        <v>45184</v>
      </c>
      <c r="B35" s="128" t="s">
        <v>6</v>
      </c>
      <c r="C35" s="10" t="s">
        <v>336</v>
      </c>
      <c r="D35" s="11" t="s">
        <v>13</v>
      </c>
      <c r="E35" s="86">
        <v>9450</v>
      </c>
      <c r="F35" s="70"/>
      <c r="G35" s="1"/>
      <c r="N35" s="1"/>
    </row>
    <row r="36" spans="1:14" s="2" customFormat="1" x14ac:dyDescent="0.2">
      <c r="A36" s="89">
        <v>45184</v>
      </c>
      <c r="B36" s="128" t="s">
        <v>6</v>
      </c>
      <c r="C36" s="10" t="s">
        <v>376</v>
      </c>
      <c r="D36" s="11" t="s">
        <v>13</v>
      </c>
      <c r="E36" s="86">
        <v>80798</v>
      </c>
      <c r="F36" s="70"/>
      <c r="G36" s="1"/>
      <c r="N36" s="1"/>
    </row>
    <row r="37" spans="1:14" s="2" customFormat="1" x14ac:dyDescent="0.2">
      <c r="A37" s="89">
        <v>45184</v>
      </c>
      <c r="B37" s="128" t="s">
        <v>6</v>
      </c>
      <c r="C37" s="10" t="s">
        <v>381</v>
      </c>
      <c r="D37" s="11" t="s">
        <v>13</v>
      </c>
      <c r="E37" s="86">
        <v>185431</v>
      </c>
      <c r="F37" s="70"/>
      <c r="G37" s="1"/>
      <c r="N37" s="1"/>
    </row>
    <row r="38" spans="1:14" s="2" customFormat="1" x14ac:dyDescent="0.2">
      <c r="A38" s="89">
        <v>45184</v>
      </c>
      <c r="B38" s="128" t="s">
        <v>6</v>
      </c>
      <c r="C38" s="10" t="s">
        <v>358</v>
      </c>
      <c r="D38" s="11" t="s">
        <v>13</v>
      </c>
      <c r="E38" s="86">
        <v>122222</v>
      </c>
      <c r="F38" s="70"/>
      <c r="G38" s="1"/>
      <c r="N38" s="1"/>
    </row>
    <row r="39" spans="1:14" s="2" customFormat="1" x14ac:dyDescent="0.2">
      <c r="A39" s="89">
        <v>45184</v>
      </c>
      <c r="B39" s="128" t="s">
        <v>6</v>
      </c>
      <c r="C39" s="10" t="s">
        <v>146</v>
      </c>
      <c r="D39" s="11" t="s">
        <v>13</v>
      </c>
      <c r="E39" s="86">
        <v>640411.36</v>
      </c>
      <c r="F39" s="70"/>
      <c r="G39" s="1"/>
      <c r="N39" s="1"/>
    </row>
    <row r="40" spans="1:14" s="2" customFormat="1" x14ac:dyDescent="0.2">
      <c r="A40" s="89">
        <v>45184</v>
      </c>
      <c r="B40" s="128" t="s">
        <v>6</v>
      </c>
      <c r="C40" s="10" t="s">
        <v>15</v>
      </c>
      <c r="D40" s="11" t="s">
        <v>13</v>
      </c>
      <c r="E40" s="86">
        <v>1247.6199999999999</v>
      </c>
      <c r="F40" s="70"/>
      <c r="G40" s="1"/>
      <c r="N40" s="1"/>
    </row>
    <row r="41" spans="1:14" s="2" customFormat="1" x14ac:dyDescent="0.2">
      <c r="A41" s="89">
        <v>45184</v>
      </c>
      <c r="B41" s="128" t="s">
        <v>6</v>
      </c>
      <c r="C41" s="10" t="s">
        <v>556</v>
      </c>
      <c r="D41" s="11" t="s">
        <v>13</v>
      </c>
      <c r="E41" s="86">
        <v>31815</v>
      </c>
      <c r="F41" s="70"/>
      <c r="G41" s="1"/>
      <c r="N41" s="1"/>
    </row>
    <row r="42" spans="1:14" s="2" customFormat="1" x14ac:dyDescent="0.2">
      <c r="A42" s="89">
        <v>45184</v>
      </c>
      <c r="B42" s="128" t="s">
        <v>6</v>
      </c>
      <c r="C42" s="10" t="s">
        <v>237</v>
      </c>
      <c r="D42" s="11" t="s">
        <v>13</v>
      </c>
      <c r="E42" s="86">
        <v>816850</v>
      </c>
      <c r="F42" s="70"/>
      <c r="G42" s="1"/>
      <c r="N42" s="1"/>
    </row>
    <row r="43" spans="1:14" s="2" customFormat="1" x14ac:dyDescent="0.2">
      <c r="A43" s="89">
        <v>45184</v>
      </c>
      <c r="B43" s="128" t="s">
        <v>6</v>
      </c>
      <c r="C43" s="10" t="s">
        <v>403</v>
      </c>
      <c r="D43" s="11" t="s">
        <v>13</v>
      </c>
      <c r="E43" s="86">
        <v>10740</v>
      </c>
      <c r="F43" s="70"/>
      <c r="G43" s="1"/>
      <c r="N43" s="1"/>
    </row>
    <row r="44" spans="1:14" s="2" customFormat="1" x14ac:dyDescent="0.2">
      <c r="A44" s="89">
        <v>45184</v>
      </c>
      <c r="B44" s="128" t="s">
        <v>6</v>
      </c>
      <c r="C44" s="10" t="s">
        <v>1241</v>
      </c>
      <c r="D44" s="11" t="s">
        <v>13</v>
      </c>
      <c r="E44" s="86">
        <v>877534</v>
      </c>
      <c r="F44" s="70"/>
      <c r="G44" s="1"/>
      <c r="N44" s="1"/>
    </row>
    <row r="45" spans="1:14" s="2" customFormat="1" x14ac:dyDescent="0.2">
      <c r="A45" s="89">
        <v>45184</v>
      </c>
      <c r="B45" s="128" t="s">
        <v>11</v>
      </c>
      <c r="C45" s="10" t="s">
        <v>64</v>
      </c>
      <c r="D45" s="11" t="s">
        <v>29</v>
      </c>
      <c r="E45" s="86"/>
      <c r="F45" s="70">
        <v>24.779999999999998</v>
      </c>
      <c r="G45" s="1"/>
      <c r="N45" s="1"/>
    </row>
    <row r="46" spans="1:14" s="2" customFormat="1" x14ac:dyDescent="0.2">
      <c r="A46" s="89">
        <v>45184</v>
      </c>
      <c r="B46" s="128" t="s">
        <v>11</v>
      </c>
      <c r="C46" s="10" t="s">
        <v>107</v>
      </c>
      <c r="D46" s="11" t="s">
        <v>29</v>
      </c>
      <c r="E46" s="86"/>
      <c r="F46" s="70">
        <v>1154307.97</v>
      </c>
      <c r="G46" s="1"/>
      <c r="N46" s="1"/>
    </row>
    <row r="47" spans="1:14" s="2" customFormat="1" x14ac:dyDescent="0.2">
      <c r="A47" s="89">
        <v>45184</v>
      </c>
      <c r="B47" s="128" t="s">
        <v>11</v>
      </c>
      <c r="C47" s="10" t="s">
        <v>260</v>
      </c>
      <c r="D47" s="11" t="s">
        <v>29</v>
      </c>
      <c r="E47" s="86"/>
      <c r="F47" s="70">
        <v>4196802.42</v>
      </c>
      <c r="G47" s="1"/>
      <c r="N47" s="1"/>
    </row>
    <row r="48" spans="1:14" s="2" customFormat="1" x14ac:dyDescent="0.2">
      <c r="A48" s="89">
        <v>45184</v>
      </c>
      <c r="B48" s="128" t="s">
        <v>11</v>
      </c>
      <c r="C48" s="10" t="s">
        <v>754</v>
      </c>
      <c r="D48" s="11" t="s">
        <v>29</v>
      </c>
      <c r="E48" s="86"/>
      <c r="F48" s="70">
        <v>1601596</v>
      </c>
      <c r="G48" s="1"/>
      <c r="N48" s="1"/>
    </row>
    <row r="49" spans="1:14" s="2" customFormat="1" x14ac:dyDescent="0.2">
      <c r="A49" s="89">
        <v>45184</v>
      </c>
      <c r="B49" s="128" t="s">
        <v>11</v>
      </c>
      <c r="C49" s="10" t="s">
        <v>123</v>
      </c>
      <c r="D49" s="11" t="s">
        <v>29</v>
      </c>
      <c r="E49" s="86"/>
      <c r="F49" s="70">
        <v>12902</v>
      </c>
      <c r="G49" s="1"/>
      <c r="N49" s="1"/>
    </row>
    <row r="50" spans="1:14" s="2" customFormat="1" x14ac:dyDescent="0.2">
      <c r="A50" s="89">
        <v>45184</v>
      </c>
      <c r="B50" s="128" t="s">
        <v>11</v>
      </c>
      <c r="C50" s="10" t="s">
        <v>269</v>
      </c>
      <c r="D50" s="11" t="s">
        <v>29</v>
      </c>
      <c r="E50" s="86"/>
      <c r="F50" s="70">
        <v>797677</v>
      </c>
      <c r="G50" s="1"/>
      <c r="N50" s="1"/>
    </row>
    <row r="51" spans="1:14" s="2" customFormat="1" x14ac:dyDescent="0.2">
      <c r="A51" s="89">
        <v>45184</v>
      </c>
      <c r="B51" s="128" t="s">
        <v>11</v>
      </c>
      <c r="C51" s="10" t="s">
        <v>57</v>
      </c>
      <c r="D51" s="11" t="s">
        <v>29</v>
      </c>
      <c r="E51" s="86"/>
      <c r="F51" s="70">
        <v>7000000</v>
      </c>
      <c r="G51" s="1"/>
      <c r="N51" s="1"/>
    </row>
    <row r="52" spans="1:14" s="2" customFormat="1" x14ac:dyDescent="0.2">
      <c r="A52" s="89">
        <v>45184</v>
      </c>
      <c r="B52" s="128" t="s">
        <v>11</v>
      </c>
      <c r="C52" s="10" t="s">
        <v>15</v>
      </c>
      <c r="D52" s="11" t="s">
        <v>29</v>
      </c>
      <c r="E52" s="86"/>
      <c r="F52" s="70">
        <v>78271.259999999995</v>
      </c>
      <c r="G52" s="1"/>
      <c r="N52" s="1"/>
    </row>
    <row r="53" spans="1:14" s="2" customFormat="1" x14ac:dyDescent="0.2">
      <c r="A53" s="32"/>
      <c r="B53" s="33"/>
      <c r="C53" s="14"/>
      <c r="D53" s="34"/>
      <c r="E53" s="16">
        <f>SUM(E28:E52)</f>
        <v>6304409.9800000004</v>
      </c>
      <c r="F53" s="16">
        <f>SUM(F28:F52)</f>
        <v>136337326.41000009</v>
      </c>
      <c r="G53" s="1"/>
      <c r="H53" s="1"/>
      <c r="I53" s="38">
        <v>130032916.43000001</v>
      </c>
      <c r="J53" s="2" t="s">
        <v>396</v>
      </c>
      <c r="K53" s="92">
        <f>E54-I53</f>
        <v>0</v>
      </c>
      <c r="N53" s="1"/>
    </row>
    <row r="54" spans="1:14" s="2" customFormat="1" x14ac:dyDescent="0.2">
      <c r="A54" s="36"/>
      <c r="B54" s="28" t="s">
        <v>11</v>
      </c>
      <c r="C54" s="19" t="s">
        <v>65</v>
      </c>
      <c r="D54" s="37"/>
      <c r="E54" s="38">
        <f>F53-E53</f>
        <v>130032916.43000008</v>
      </c>
      <c r="F54" s="22"/>
      <c r="G54" s="1"/>
      <c r="H54" s="70"/>
      <c r="I54" s="70"/>
      <c r="J54" s="70"/>
      <c r="K54" s="70"/>
      <c r="N54" s="1"/>
    </row>
    <row r="55" spans="1:14" s="2" customFormat="1" x14ac:dyDescent="0.2">
      <c r="A55" s="36"/>
      <c r="B55" s="28" t="s">
        <v>66</v>
      </c>
      <c r="C55" s="43" t="s">
        <v>1457</v>
      </c>
      <c r="D55" s="43"/>
      <c r="E55" s="12">
        <v>350000000</v>
      </c>
      <c r="F55" s="22"/>
      <c r="G55" s="1"/>
      <c r="H55" s="70"/>
      <c r="I55" s="45">
        <v>1460.59</v>
      </c>
      <c r="J55" s="46"/>
      <c r="K55" s="46"/>
      <c r="N55" s="1"/>
    </row>
    <row r="56" spans="1:14" s="2" customFormat="1" ht="15" x14ac:dyDescent="0.25">
      <c r="A56" s="36"/>
      <c r="B56" s="28"/>
      <c r="C56" s="44" t="s">
        <v>1541</v>
      </c>
      <c r="D56" s="43"/>
      <c r="E56" s="7">
        <f>+E55+E54</f>
        <v>480032916.43000007</v>
      </c>
      <c r="F56" s="22"/>
      <c r="G56" s="1"/>
      <c r="H56" s="103" t="s">
        <v>69</v>
      </c>
      <c r="I56" s="45">
        <v>-49.89</v>
      </c>
      <c r="J56" s="46"/>
      <c r="K56" s="46"/>
      <c r="N56" s="1"/>
    </row>
    <row r="57" spans="1:14" s="2" customFormat="1" ht="15" x14ac:dyDescent="0.25">
      <c r="A57" s="24"/>
      <c r="B57" s="1"/>
      <c r="C57" s="44" t="s">
        <v>1510</v>
      </c>
      <c r="D57" s="25"/>
      <c r="E57" s="156">
        <f>+I28</f>
        <v>20021186.859999999</v>
      </c>
      <c r="G57" s="1"/>
      <c r="H57" s="35" t="s">
        <v>70</v>
      </c>
      <c r="I57" s="45">
        <v>45.49</v>
      </c>
      <c r="J57" s="46">
        <f>+I58-D60</f>
        <v>0</v>
      </c>
      <c r="N57" s="1"/>
    </row>
    <row r="58" spans="1:14" s="124" customFormat="1" ht="12.75" customHeight="1" x14ac:dyDescent="0.2">
      <c r="A58" s="24"/>
      <c r="B58" s="1"/>
      <c r="C58" s="56"/>
      <c r="D58" s="56"/>
      <c r="E58" s="104"/>
      <c r="F58" s="2"/>
      <c r="G58" s="166"/>
      <c r="H58" s="70"/>
      <c r="I58" s="49">
        <f>SUM(I55:I57)</f>
        <v>1456.1899999999998</v>
      </c>
      <c r="J58" s="46"/>
      <c r="K58" s="46"/>
    </row>
    <row r="59" spans="1:14" s="124" customFormat="1" ht="12.75" customHeight="1" x14ac:dyDescent="0.2">
      <c r="A59" s="24"/>
      <c r="B59" s="1"/>
      <c r="C59" s="78" t="s">
        <v>575</v>
      </c>
      <c r="D59" s="48" t="s">
        <v>576</v>
      </c>
      <c r="E59" s="104"/>
      <c r="F59" s="2"/>
      <c r="G59" s="168"/>
      <c r="H59" s="167"/>
      <c r="I59" s="167"/>
      <c r="J59" s="168"/>
    </row>
    <row r="60" spans="1:14" s="124" customFormat="1" ht="12.75" customHeight="1" x14ac:dyDescent="0.2">
      <c r="A60" s="24"/>
      <c r="B60" s="1"/>
      <c r="C60" s="47" t="s">
        <v>570</v>
      </c>
      <c r="D60" s="111">
        <v>1456.19</v>
      </c>
      <c r="E60" s="104"/>
      <c r="F60" s="2"/>
      <c r="G60" s="168"/>
      <c r="H60" s="110" t="s">
        <v>581</v>
      </c>
      <c r="I60" s="167"/>
      <c r="J60" s="168"/>
    </row>
    <row r="61" spans="1:14" s="124" customFormat="1" ht="12.75" customHeight="1" x14ac:dyDescent="0.2">
      <c r="A61" s="24"/>
      <c r="B61" s="1"/>
      <c r="C61" s="47" t="s">
        <v>931</v>
      </c>
      <c r="D61" s="111">
        <v>179.57</v>
      </c>
      <c r="E61" s="104"/>
      <c r="F61" s="2"/>
      <c r="G61" s="168"/>
      <c r="H61" s="110" t="s">
        <v>580</v>
      </c>
      <c r="I61" s="167"/>
      <c r="J61" s="168"/>
    </row>
    <row r="62" spans="1:14" s="124" customFormat="1" ht="12.75" customHeight="1" x14ac:dyDescent="0.2">
      <c r="A62" s="24"/>
      <c r="B62" s="1"/>
      <c r="C62" s="47" t="s">
        <v>572</v>
      </c>
      <c r="D62" s="111">
        <f>+D99/100000</f>
        <v>194.29737210000002</v>
      </c>
      <c r="E62" s="104"/>
      <c r="F62" s="2"/>
      <c r="G62" s="166"/>
      <c r="H62" s="90" t="s">
        <v>587</v>
      </c>
      <c r="I62" s="167"/>
      <c r="J62" s="168"/>
    </row>
    <row r="63" spans="1:14" s="2" customFormat="1" x14ac:dyDescent="0.2">
      <c r="A63" s="24"/>
      <c r="B63" s="1"/>
      <c r="C63" s="108" t="s">
        <v>578</v>
      </c>
      <c r="D63" s="48">
        <f>SUM(D60:D62)</f>
        <v>1830.0573721000001</v>
      </c>
      <c r="E63" s="104"/>
      <c r="G63" s="30"/>
      <c r="I63" s="13"/>
      <c r="J63" s="13"/>
    </row>
    <row r="64" spans="1:14" s="70" customFormat="1" x14ac:dyDescent="0.2">
      <c r="A64" s="24"/>
      <c r="B64" s="1"/>
      <c r="C64" s="47"/>
      <c r="D64" s="107"/>
      <c r="E64" s="104"/>
      <c r="F64" s="2"/>
      <c r="G64" s="30"/>
      <c r="H64" s="2"/>
    </row>
    <row r="65" spans="1:14" s="70" customFormat="1" x14ac:dyDescent="0.2">
      <c r="A65" s="24"/>
      <c r="B65" s="1"/>
      <c r="C65" s="47" t="s">
        <v>932</v>
      </c>
      <c r="D65" s="111">
        <v>148.54</v>
      </c>
      <c r="E65" s="104"/>
      <c r="F65" s="2"/>
      <c r="G65" s="30"/>
      <c r="H65" s="110" t="s">
        <v>581</v>
      </c>
    </row>
    <row r="66" spans="1:14" s="70" customFormat="1" x14ac:dyDescent="0.2">
      <c r="A66" s="24"/>
      <c r="B66" s="1"/>
      <c r="C66" s="136" t="s">
        <v>1142</v>
      </c>
      <c r="D66" s="111">
        <v>135.94999999999999</v>
      </c>
      <c r="E66" s="104"/>
      <c r="F66" s="2"/>
      <c r="G66" s="30"/>
      <c r="H66" s="110" t="s">
        <v>581</v>
      </c>
    </row>
    <row r="67" spans="1:14" s="70" customFormat="1" x14ac:dyDescent="0.2">
      <c r="A67" s="24"/>
      <c r="B67" s="1"/>
      <c r="C67" s="78" t="s">
        <v>579</v>
      </c>
      <c r="D67" s="109">
        <f>D65+D66</f>
        <v>284.49</v>
      </c>
      <c r="E67" s="104"/>
      <c r="F67" s="2"/>
      <c r="G67" s="30"/>
    </row>
    <row r="68" spans="1:14" s="70" customFormat="1" x14ac:dyDescent="0.2">
      <c r="A68" s="24"/>
      <c r="B68" s="1"/>
      <c r="C68" s="105"/>
      <c r="D68" s="106"/>
      <c r="E68" s="104"/>
      <c r="F68" s="2"/>
      <c r="G68" s="30"/>
      <c r="I68" s="2"/>
      <c r="J68" s="114" t="s">
        <v>713</v>
      </c>
      <c r="K68" s="2"/>
      <c r="L68" s="2"/>
      <c r="M68" s="2"/>
    </row>
    <row r="69" spans="1:14" s="70" customFormat="1" x14ac:dyDescent="0.2">
      <c r="A69" s="24"/>
      <c r="B69" s="1"/>
      <c r="C69" s="78" t="s">
        <v>577</v>
      </c>
      <c r="D69" s="109">
        <f>D60+D67</f>
        <v>1740.68</v>
      </c>
      <c r="E69" s="104"/>
      <c r="F69" s="2"/>
      <c r="G69" s="30"/>
      <c r="I69" s="113"/>
      <c r="J69" s="113" t="s">
        <v>709</v>
      </c>
      <c r="K69" s="113" t="s">
        <v>710</v>
      </c>
      <c r="L69" s="113" t="s">
        <v>711</v>
      </c>
      <c r="M69" s="113" t="s">
        <v>712</v>
      </c>
    </row>
    <row r="70" spans="1:14" s="70" customFormat="1" x14ac:dyDescent="0.2">
      <c r="A70" s="24"/>
      <c r="B70" s="1"/>
      <c r="C70" s="56"/>
      <c r="D70" s="56"/>
      <c r="E70" s="104"/>
      <c r="F70" s="2"/>
      <c r="G70" s="30"/>
      <c r="I70" s="113" t="s">
        <v>706</v>
      </c>
      <c r="J70" s="115"/>
      <c r="K70" s="115">
        <v>968.99</v>
      </c>
      <c r="L70" s="115">
        <v>968.99</v>
      </c>
      <c r="M70" s="113">
        <f>+J70+L70-K70</f>
        <v>0</v>
      </c>
    </row>
    <row r="71" spans="1:14" s="70" customFormat="1" ht="38.25" x14ac:dyDescent="0.2">
      <c r="A71" s="24"/>
      <c r="B71" s="1"/>
      <c r="C71" s="79" t="str">
        <f>"Particulars ( 01-04-2021 to "&amp;TEXT(A5,"dd-mm-yyyy")&amp;" )"</f>
        <v>Particulars ( 01-04-2021 to 15-09-2023 )</v>
      </c>
      <c r="D71" s="80" t="s">
        <v>73</v>
      </c>
      <c r="E71" s="80" t="s">
        <v>74</v>
      </c>
      <c r="F71" s="81" t="s">
        <v>75</v>
      </c>
      <c r="G71" s="80" t="s">
        <v>76</v>
      </c>
      <c r="I71" s="113" t="s">
        <v>707</v>
      </c>
      <c r="J71" s="115">
        <v>183.1</v>
      </c>
      <c r="K71" s="115">
        <v>3472.8</v>
      </c>
      <c r="L71" s="115">
        <v>3836.49</v>
      </c>
      <c r="M71" s="113">
        <f>+J71+L71-K71</f>
        <v>546.78999999999951</v>
      </c>
    </row>
    <row r="72" spans="1:14" s="70" customFormat="1" x14ac:dyDescent="0.2">
      <c r="A72" s="24"/>
      <c r="B72" s="1"/>
      <c r="C72" s="50" t="s">
        <v>444</v>
      </c>
      <c r="D72" s="55">
        <f>+L70+L71+J71</f>
        <v>4988.58</v>
      </c>
      <c r="E72" s="55">
        <f>+K70+K71</f>
        <v>4441.79</v>
      </c>
      <c r="F72" s="55">
        <f>+D72-E72</f>
        <v>546.79</v>
      </c>
      <c r="G72" s="55">
        <f>1500-F72</f>
        <v>953.21</v>
      </c>
      <c r="I72" s="113" t="s">
        <v>708</v>
      </c>
      <c r="J72" s="115">
        <v>1371.02</v>
      </c>
      <c r="K72" s="115">
        <v>14137.91</v>
      </c>
      <c r="L72" s="115">
        <v>13558.19</v>
      </c>
      <c r="M72" s="113">
        <f>+J72+L72-K72</f>
        <v>791.30000000000109</v>
      </c>
    </row>
    <row r="73" spans="1:14" s="70" customFormat="1" ht="12.75" customHeight="1" x14ac:dyDescent="0.2">
      <c r="A73" s="24"/>
      <c r="B73" s="1"/>
      <c r="C73" s="50" t="s">
        <v>71</v>
      </c>
      <c r="D73" s="55">
        <f>+J72+L72</f>
        <v>14929.210000000001</v>
      </c>
      <c r="E73" s="55">
        <f>+K72</f>
        <v>14137.91</v>
      </c>
      <c r="F73" s="55">
        <f>+D73-E73</f>
        <v>791.30000000000109</v>
      </c>
      <c r="G73" s="55">
        <f>1500+700-F73</f>
        <v>1408.6999999999989</v>
      </c>
      <c r="I73" s="2"/>
      <c r="J73" s="118">
        <f>SUM(J70:J72)</f>
        <v>1554.12</v>
      </c>
      <c r="K73" s="118">
        <f>SUM(K70:K72)</f>
        <v>18579.7</v>
      </c>
      <c r="L73" s="118">
        <f>SUM(L70:L72)</f>
        <v>18363.669999999998</v>
      </c>
      <c r="M73" s="118">
        <f>SUM(M70:M72)</f>
        <v>1338.0900000000006</v>
      </c>
    </row>
    <row r="74" spans="1:14" s="70" customFormat="1" ht="12.75" customHeight="1" x14ac:dyDescent="0.2">
      <c r="A74" s="24"/>
      <c r="B74" s="1"/>
      <c r="C74" s="14"/>
      <c r="D74" s="56"/>
      <c r="E74" s="13"/>
      <c r="F74" s="2"/>
      <c r="G74" s="30"/>
    </row>
    <row r="75" spans="1:14" s="70" customFormat="1" ht="12.75" customHeight="1" x14ac:dyDescent="0.2">
      <c r="A75" s="215" t="s">
        <v>80</v>
      </c>
      <c r="B75" s="216"/>
      <c r="C75" s="216"/>
      <c r="D75" s="217"/>
      <c r="E75" s="69"/>
      <c r="G75" s="30"/>
    </row>
    <row r="76" spans="1:14" s="70" customFormat="1" ht="12.75" customHeight="1" x14ac:dyDescent="0.2">
      <c r="A76" s="71" t="s">
        <v>81</v>
      </c>
      <c r="B76" s="71"/>
      <c r="C76" s="72" t="s">
        <v>82</v>
      </c>
      <c r="D76" s="73" t="s">
        <v>83</v>
      </c>
      <c r="E76" s="69"/>
      <c r="G76" s="30"/>
    </row>
    <row r="77" spans="1:14" s="70" customFormat="1" ht="12.75" customHeight="1" x14ac:dyDescent="0.2">
      <c r="A77" s="87">
        <v>45170</v>
      </c>
      <c r="B77" s="120" t="s">
        <v>1052</v>
      </c>
      <c r="C77" s="75" t="s">
        <v>270</v>
      </c>
      <c r="D77" s="88">
        <v>117174</v>
      </c>
      <c r="E77" s="2"/>
      <c r="F77" s="2"/>
      <c r="G77" s="30"/>
      <c r="H77" s="2"/>
      <c r="I77" s="2"/>
      <c r="J77" s="2"/>
      <c r="K77" s="2"/>
      <c r="L77" s="41"/>
      <c r="M77" s="42"/>
      <c r="N77" s="2"/>
    </row>
    <row r="78" spans="1:14" s="70" customFormat="1" ht="12.75" customHeight="1" x14ac:dyDescent="0.2">
      <c r="A78" s="87">
        <v>45171</v>
      </c>
      <c r="B78" s="120" t="s">
        <v>1052</v>
      </c>
      <c r="C78" s="75" t="s">
        <v>767</v>
      </c>
      <c r="D78" s="88">
        <v>278761</v>
      </c>
      <c r="E78" s="2"/>
      <c r="F78" s="2"/>
      <c r="G78" s="30"/>
      <c r="H78" s="2"/>
      <c r="I78" s="2"/>
      <c r="J78" s="1"/>
      <c r="K78" s="1"/>
      <c r="L78" s="1"/>
      <c r="M78" s="1"/>
      <c r="N78" s="2"/>
    </row>
    <row r="79" spans="1:14" s="70" customFormat="1" ht="12.75" customHeight="1" x14ac:dyDescent="0.2">
      <c r="A79" s="87">
        <v>45171</v>
      </c>
      <c r="B79" s="120" t="s">
        <v>1052</v>
      </c>
      <c r="C79" s="75" t="s">
        <v>201</v>
      </c>
      <c r="D79" s="88">
        <v>3500391.21</v>
      </c>
      <c r="E79" s="2"/>
      <c r="F79" s="2"/>
      <c r="G79" s="30"/>
      <c r="H79" s="2"/>
      <c r="I79" s="2"/>
      <c r="J79" s="2"/>
      <c r="K79" s="2"/>
      <c r="L79" s="13"/>
      <c r="M79" s="69" t="s">
        <v>396</v>
      </c>
      <c r="N79" s="2"/>
    </row>
    <row r="80" spans="1:14" s="2" customFormat="1" ht="12.75" customHeight="1" x14ac:dyDescent="0.2">
      <c r="A80" s="87">
        <v>45173</v>
      </c>
      <c r="B80" s="120" t="s">
        <v>1052</v>
      </c>
      <c r="C80" s="75" t="s">
        <v>1478</v>
      </c>
      <c r="D80" s="88">
        <v>22763</v>
      </c>
      <c r="G80" s="30"/>
      <c r="N80" s="1"/>
    </row>
    <row r="81" spans="1:14" s="2" customFormat="1" ht="12.75" customHeight="1" x14ac:dyDescent="0.2">
      <c r="A81" s="87">
        <v>45173</v>
      </c>
      <c r="B81" s="120" t="s">
        <v>1052</v>
      </c>
      <c r="C81" s="75" t="s">
        <v>1478</v>
      </c>
      <c r="D81" s="88">
        <v>1786258</v>
      </c>
      <c r="G81" s="1"/>
      <c r="M81" s="2" t="s">
        <v>396</v>
      </c>
      <c r="N81" s="1"/>
    </row>
    <row r="82" spans="1:14" s="2" customFormat="1" ht="12.75" customHeight="1" x14ac:dyDescent="0.2">
      <c r="A82" s="87">
        <v>45173</v>
      </c>
      <c r="B82" s="120" t="s">
        <v>1052</v>
      </c>
      <c r="C82" s="75" t="s">
        <v>1478</v>
      </c>
      <c r="D82" s="88">
        <v>1329469</v>
      </c>
      <c r="I82" s="1"/>
      <c r="J82" s="1"/>
      <c r="K82" s="1"/>
    </row>
    <row r="83" spans="1:14" s="2" customFormat="1" ht="12.75" customHeight="1" x14ac:dyDescent="0.2">
      <c r="A83" s="87">
        <v>45175</v>
      </c>
      <c r="B83" s="120" t="s">
        <v>1052</v>
      </c>
      <c r="C83" s="75" t="s">
        <v>784</v>
      </c>
      <c r="D83" s="88">
        <v>673560</v>
      </c>
      <c r="G83" s="1"/>
    </row>
    <row r="84" spans="1:14" s="2" customFormat="1" x14ac:dyDescent="0.2">
      <c r="A84" s="87">
        <v>45175</v>
      </c>
      <c r="B84" s="120" t="s">
        <v>1052</v>
      </c>
      <c r="C84" s="75" t="s">
        <v>784</v>
      </c>
      <c r="D84" s="88">
        <v>700391</v>
      </c>
      <c r="G84" s="1"/>
      <c r="N84" s="2" t="s">
        <v>535</v>
      </c>
    </row>
    <row r="85" spans="1:14" x14ac:dyDescent="0.2">
      <c r="A85" s="87">
        <v>45175</v>
      </c>
      <c r="B85" s="120" t="s">
        <v>1052</v>
      </c>
      <c r="C85" s="75" t="s">
        <v>84</v>
      </c>
      <c r="D85" s="88">
        <v>1000000</v>
      </c>
      <c r="I85" s="2"/>
      <c r="J85" s="2"/>
      <c r="K85" s="2"/>
      <c r="L85" s="2"/>
      <c r="M85" s="2"/>
      <c r="N85" s="2"/>
    </row>
    <row r="86" spans="1:14" x14ac:dyDescent="0.2">
      <c r="A86" s="87">
        <v>45176</v>
      </c>
      <c r="B86" s="120" t="s">
        <v>1052</v>
      </c>
      <c r="C86" s="75" t="s">
        <v>85</v>
      </c>
      <c r="D86" s="88">
        <v>565814</v>
      </c>
      <c r="I86" s="2"/>
      <c r="J86" s="2"/>
      <c r="K86" s="2"/>
      <c r="L86" s="2"/>
      <c r="M86" s="2"/>
      <c r="N86" s="2"/>
    </row>
    <row r="87" spans="1:14" s="2" customFormat="1" x14ac:dyDescent="0.2">
      <c r="A87" s="87">
        <v>45176</v>
      </c>
      <c r="B87" s="120" t="s">
        <v>1052</v>
      </c>
      <c r="C87" s="75" t="s">
        <v>271</v>
      </c>
      <c r="D87" s="88">
        <v>1691421</v>
      </c>
      <c r="G87" s="1"/>
    </row>
    <row r="88" spans="1:14" s="2" customFormat="1" x14ac:dyDescent="0.2">
      <c r="A88" s="87">
        <v>45177</v>
      </c>
      <c r="B88" s="120" t="s">
        <v>1052</v>
      </c>
      <c r="C88" s="75" t="s">
        <v>85</v>
      </c>
      <c r="D88" s="88">
        <v>432581</v>
      </c>
    </row>
    <row r="89" spans="1:14" s="2" customFormat="1" x14ac:dyDescent="0.2">
      <c r="A89" s="87">
        <v>45177</v>
      </c>
      <c r="B89" s="120" t="s">
        <v>1052</v>
      </c>
      <c r="C89" s="75" t="s">
        <v>1521</v>
      </c>
      <c r="D89" s="88">
        <v>1198155</v>
      </c>
    </row>
    <row r="90" spans="1:14" s="2" customFormat="1" x14ac:dyDescent="0.2">
      <c r="A90" s="87">
        <v>45180</v>
      </c>
      <c r="B90" s="120" t="s">
        <v>1052</v>
      </c>
      <c r="C90" s="75" t="s">
        <v>784</v>
      </c>
      <c r="D90" s="88">
        <v>279127</v>
      </c>
    </row>
    <row r="91" spans="1:14" s="2" customFormat="1" x14ac:dyDescent="0.2">
      <c r="A91" s="87">
        <v>45180</v>
      </c>
      <c r="B91" s="120" t="s">
        <v>1052</v>
      </c>
      <c r="C91" s="75" t="s">
        <v>270</v>
      </c>
      <c r="D91" s="88">
        <v>30842</v>
      </c>
    </row>
    <row r="92" spans="1:14" s="2" customFormat="1" x14ac:dyDescent="0.2">
      <c r="A92" s="87">
        <v>45180</v>
      </c>
      <c r="B92" s="120" t="s">
        <v>1052</v>
      </c>
      <c r="C92" s="75" t="s">
        <v>271</v>
      </c>
      <c r="D92" s="88">
        <v>701813</v>
      </c>
      <c r="G92" s="1"/>
    </row>
    <row r="93" spans="1:14" s="2" customFormat="1" x14ac:dyDescent="0.2">
      <c r="A93" s="87">
        <v>45180</v>
      </c>
      <c r="B93" s="120" t="s">
        <v>1052</v>
      </c>
      <c r="C93" s="75" t="s">
        <v>271</v>
      </c>
      <c r="D93" s="88">
        <v>189083</v>
      </c>
      <c r="G93" s="1"/>
    </row>
    <row r="94" spans="1:14" s="2" customFormat="1" x14ac:dyDescent="0.2">
      <c r="A94" s="87">
        <v>45180</v>
      </c>
      <c r="B94" s="120" t="s">
        <v>1052</v>
      </c>
      <c r="C94" s="75" t="s">
        <v>271</v>
      </c>
      <c r="D94" s="88">
        <v>2019</v>
      </c>
      <c r="G94" s="1"/>
    </row>
    <row r="95" spans="1:14" s="2" customFormat="1" x14ac:dyDescent="0.2">
      <c r="A95" s="87">
        <v>45182</v>
      </c>
      <c r="B95" s="120" t="s">
        <v>1052</v>
      </c>
      <c r="C95" s="75" t="s">
        <v>467</v>
      </c>
      <c r="D95" s="88">
        <v>3314639</v>
      </c>
      <c r="G95" s="1"/>
    </row>
    <row r="96" spans="1:14" s="2" customFormat="1" x14ac:dyDescent="0.2">
      <c r="A96" s="87">
        <v>45183</v>
      </c>
      <c r="B96" s="120" t="s">
        <v>1052</v>
      </c>
      <c r="C96" s="75" t="s">
        <v>784</v>
      </c>
      <c r="D96" s="88">
        <v>665398</v>
      </c>
      <c r="G96" s="1"/>
    </row>
    <row r="97" spans="1:13" s="2" customFormat="1" x14ac:dyDescent="0.2">
      <c r="A97" s="87">
        <v>45184</v>
      </c>
      <c r="B97" s="120" t="s">
        <v>1052</v>
      </c>
      <c r="C97" s="75" t="s">
        <v>784</v>
      </c>
      <c r="D97" s="88">
        <v>669733</v>
      </c>
      <c r="G97" s="1"/>
    </row>
    <row r="98" spans="1:13" s="2" customFormat="1" x14ac:dyDescent="0.2">
      <c r="A98" s="87">
        <v>45184</v>
      </c>
      <c r="B98" s="120" t="s">
        <v>1052</v>
      </c>
      <c r="C98" s="75" t="s">
        <v>270</v>
      </c>
      <c r="D98" s="88">
        <v>280345</v>
      </c>
      <c r="G98" s="1"/>
    </row>
    <row r="99" spans="1:13" s="2" customFormat="1" x14ac:dyDescent="0.2">
      <c r="A99" s="87"/>
      <c r="B99" s="74"/>
      <c r="C99" s="75"/>
      <c r="D99" s="51">
        <f>SUM(D77:D98)</f>
        <v>19429737.210000001</v>
      </c>
      <c r="F99" s="2" t="s">
        <v>396</v>
      </c>
      <c r="G99" s="1"/>
    </row>
    <row r="100" spans="1:13" s="2" customFormat="1" x14ac:dyDescent="0.2">
      <c r="A100" s="24"/>
      <c r="B100" s="1"/>
      <c r="C100" s="14"/>
      <c r="D100" s="56"/>
      <c r="E100" s="13"/>
      <c r="G100" s="1"/>
    </row>
    <row r="101" spans="1:13" s="2" customFormat="1" x14ac:dyDescent="0.2">
      <c r="A101" s="24"/>
      <c r="B101" s="1"/>
      <c r="C101" s="218" t="s">
        <v>77</v>
      </c>
      <c r="D101" s="219"/>
      <c r="E101" s="219"/>
      <c r="F101" s="220"/>
      <c r="H101" s="2" t="s">
        <v>396</v>
      </c>
    </row>
    <row r="102" spans="1:13" s="2" customFormat="1" x14ac:dyDescent="0.2">
      <c r="A102" s="24"/>
      <c r="B102" s="1"/>
      <c r="C102" s="50"/>
      <c r="D102" s="57" t="s">
        <v>78</v>
      </c>
      <c r="E102" s="58" t="s">
        <v>79</v>
      </c>
      <c r="F102" s="57" t="s">
        <v>72</v>
      </c>
      <c r="H102" s="2" t="s">
        <v>396</v>
      </c>
    </row>
    <row r="103" spans="1:13" s="2" customFormat="1" x14ac:dyDescent="0.2">
      <c r="A103" s="24"/>
      <c r="B103" s="1"/>
      <c r="C103" s="59" t="str">
        <f>"01-09-2023 to "&amp;TEXT(A5-2,"dd-mm-yyyy")</f>
        <v>01-09-2023 to 13-09-2023</v>
      </c>
      <c r="D103" s="60">
        <v>1130.81</v>
      </c>
      <c r="E103" s="60">
        <v>108.3</v>
      </c>
      <c r="F103" s="61">
        <f>SUM(D103:E103)</f>
        <v>1239.1099999999999</v>
      </c>
    </row>
    <row r="104" spans="1:13" s="2" customFormat="1" x14ac:dyDescent="0.2">
      <c r="A104" s="24"/>
      <c r="B104" s="1"/>
      <c r="C104" s="62" t="str">
        <f>TEXT(A5-1,"dd-mm-yyyy")</f>
        <v>14-09-2023</v>
      </c>
      <c r="D104" s="60">
        <v>113.45</v>
      </c>
      <c r="E104" s="60">
        <v>8.7100000000000009</v>
      </c>
      <c r="F104" s="61">
        <f>SUM(D104:E104)</f>
        <v>122.16</v>
      </c>
      <c r="G104" s="1"/>
      <c r="H104" s="53"/>
    </row>
    <row r="105" spans="1:13" s="2" customFormat="1" ht="13.5" thickBot="1" x14ac:dyDescent="0.25">
      <c r="A105" s="24"/>
      <c r="B105" s="1"/>
      <c r="C105" s="63" t="str">
        <f>"01-09-2023 to "&amp;TEXT(A5-1,"dd-mm-yyyy")</f>
        <v>01-09-2023 to 14-09-2023</v>
      </c>
      <c r="D105" s="64">
        <f>SUM(D103:D104)</f>
        <v>1244.26</v>
      </c>
      <c r="E105" s="64">
        <f>SUM(E103:E104)</f>
        <v>117.00999999999999</v>
      </c>
      <c r="F105" s="64">
        <f>SUM(F103:F104)</f>
        <v>1361.27</v>
      </c>
      <c r="G105" s="1"/>
      <c r="H105" s="53"/>
    </row>
    <row r="106" spans="1:13" s="2" customFormat="1" ht="13.5" thickTop="1" x14ac:dyDescent="0.2">
      <c r="A106" s="24"/>
      <c r="B106" s="1"/>
      <c r="C106" s="62"/>
      <c r="D106" s="65"/>
      <c r="E106" s="66"/>
      <c r="F106" s="67"/>
      <c r="L106" s="1"/>
      <c r="M106" s="1"/>
    </row>
    <row r="107" spans="1:13" s="2" customFormat="1" x14ac:dyDescent="0.2">
      <c r="A107" s="24"/>
      <c r="B107" s="1"/>
      <c r="C107" s="62" t="str">
        <f>"01-04-2023 to " &amp;C104</f>
        <v>01-04-2023 to 14-09-2023</v>
      </c>
      <c r="D107" s="68">
        <f>+D105+24261.33</f>
        <v>25505.59</v>
      </c>
      <c r="E107" s="68">
        <f>+E105+1685.25</f>
        <v>1802.26</v>
      </c>
      <c r="F107" s="68">
        <f>+F105+25946.58</f>
        <v>27307.850000000002</v>
      </c>
      <c r="G107" s="1"/>
      <c r="L107" s="1"/>
      <c r="M107" s="1"/>
    </row>
    <row r="108" spans="1:13" s="2" customFormat="1" x14ac:dyDescent="0.2">
      <c r="A108" s="24"/>
      <c r="B108" s="1"/>
      <c r="C108" s="52"/>
      <c r="D108" s="85"/>
      <c r="E108" s="53"/>
      <c r="F108" s="53"/>
      <c r="G108" s="1"/>
      <c r="L108" s="1"/>
      <c r="M108" s="1"/>
    </row>
    <row r="109" spans="1:13" s="2" customFormat="1" x14ac:dyDescent="0.2">
      <c r="A109" s="24"/>
      <c r="B109" s="1"/>
      <c r="C109" s="52"/>
      <c r="D109" s="85"/>
      <c r="E109" s="53"/>
      <c r="F109" s="53"/>
      <c r="G109" s="1"/>
      <c r="L109" s="1"/>
      <c r="M109" s="1"/>
    </row>
    <row r="110" spans="1:13" s="2" customFormat="1" x14ac:dyDescent="0.2">
      <c r="A110" s="24"/>
      <c r="B110" s="1"/>
      <c r="C110" s="52"/>
      <c r="D110" s="85"/>
      <c r="E110" s="53"/>
      <c r="F110" s="53"/>
      <c r="G110" s="1"/>
      <c r="L110" s="1"/>
      <c r="M110" s="1"/>
    </row>
    <row r="111" spans="1:13" s="2" customFormat="1" x14ac:dyDescent="0.2">
      <c r="A111" s="24"/>
      <c r="B111" s="1"/>
      <c r="C111" s="52"/>
      <c r="D111" s="85"/>
      <c r="E111" s="53"/>
      <c r="F111" s="53"/>
      <c r="G111" s="1"/>
      <c r="L111" s="1"/>
      <c r="M111" s="1"/>
    </row>
    <row r="112" spans="1:13" s="2" customFormat="1" x14ac:dyDescent="0.2">
      <c r="A112" s="24"/>
      <c r="B112" s="1"/>
      <c r="C112" s="14"/>
      <c r="D112" s="25"/>
      <c r="G112" s="1"/>
      <c r="L112" s="1"/>
      <c r="M112" s="1"/>
    </row>
    <row r="113" spans="1:13" s="2" customFormat="1" x14ac:dyDescent="0.2">
      <c r="A113" s="24"/>
      <c r="B113" s="1"/>
      <c r="C113" s="14"/>
      <c r="D113" s="25"/>
      <c r="G113" s="1"/>
      <c r="L113" s="1"/>
      <c r="M113" s="1"/>
    </row>
    <row r="114" spans="1:13" s="2" customFormat="1" x14ac:dyDescent="0.2">
      <c r="A114" s="24"/>
      <c r="B114" s="1"/>
      <c r="C114" s="14"/>
      <c r="D114" s="25"/>
      <c r="G114" s="1"/>
      <c r="L114" s="1"/>
      <c r="M114" s="1"/>
    </row>
    <row r="115" spans="1:13" s="2" customFormat="1" x14ac:dyDescent="0.2">
      <c r="A115" s="24"/>
      <c r="B115" s="1"/>
      <c r="C115" s="14"/>
      <c r="D115" s="25"/>
      <c r="G115" s="1"/>
      <c r="L115" s="1"/>
      <c r="M115" s="1"/>
    </row>
    <row r="116" spans="1:13" s="2" customFormat="1" x14ac:dyDescent="0.2">
      <c r="A116" s="24"/>
      <c r="B116" s="1"/>
      <c r="C116" s="14"/>
      <c r="D116" s="25"/>
      <c r="G116" s="1"/>
      <c r="L116" s="1"/>
      <c r="M116" s="1"/>
    </row>
    <row r="117" spans="1:13" s="2" customFormat="1" x14ac:dyDescent="0.2">
      <c r="A117" s="24"/>
      <c r="B117" s="1"/>
      <c r="C117" s="14"/>
      <c r="D117" s="25"/>
      <c r="G117" s="1"/>
      <c r="L117" s="1"/>
      <c r="M117" s="1"/>
    </row>
    <row r="118" spans="1:13" s="2" customFormat="1" x14ac:dyDescent="0.2">
      <c r="A118" s="24"/>
      <c r="B118" s="1"/>
      <c r="C118" s="14"/>
      <c r="D118" s="25"/>
      <c r="G118" s="1"/>
      <c r="L118" s="1"/>
      <c r="M118" s="1"/>
    </row>
    <row r="119" spans="1:13" s="2" customFormat="1" x14ac:dyDescent="0.2">
      <c r="A119" s="24"/>
      <c r="B119" s="1"/>
      <c r="C119" s="14"/>
      <c r="D119" s="25"/>
      <c r="G119" s="1"/>
      <c r="L119" s="1"/>
      <c r="M119" s="1"/>
    </row>
    <row r="120" spans="1:13" s="2" customFormat="1" x14ac:dyDescent="0.2">
      <c r="A120" s="24"/>
      <c r="B120" s="1"/>
      <c r="C120" s="14"/>
      <c r="D120" s="25"/>
      <c r="G120" s="1"/>
      <c r="L120" s="1"/>
      <c r="M120" s="1"/>
    </row>
    <row r="121" spans="1:13" s="2" customFormat="1" x14ac:dyDescent="0.2">
      <c r="A121" s="24"/>
      <c r="B121" s="1"/>
      <c r="C121" s="14"/>
      <c r="D121" s="25"/>
      <c r="G121" s="1"/>
      <c r="L121" s="1"/>
      <c r="M121" s="1"/>
    </row>
    <row r="122" spans="1:13" s="2" customFormat="1" x14ac:dyDescent="0.2">
      <c r="A122" s="24"/>
      <c r="B122" s="1"/>
      <c r="C122" s="14"/>
      <c r="D122" s="25"/>
      <c r="G122" s="1"/>
      <c r="L122" s="1"/>
      <c r="M122" s="1"/>
    </row>
    <row r="123" spans="1:13" s="2" customFormat="1" x14ac:dyDescent="0.2">
      <c r="A123" s="24"/>
      <c r="B123" s="1"/>
      <c r="C123" s="14"/>
      <c r="D123" s="25"/>
      <c r="G123" s="1"/>
      <c r="L123" s="1"/>
      <c r="M123" s="1"/>
    </row>
    <row r="124" spans="1:13" s="2" customFormat="1" x14ac:dyDescent="0.2">
      <c r="A124" s="24"/>
      <c r="B124" s="1"/>
      <c r="C124" s="14"/>
      <c r="D124" s="25"/>
      <c r="G124" s="1"/>
      <c r="L124" s="1"/>
      <c r="M124" s="1"/>
    </row>
    <row r="125" spans="1:13" s="2" customFormat="1" x14ac:dyDescent="0.2">
      <c r="A125" s="24"/>
      <c r="B125" s="1"/>
      <c r="C125" s="14"/>
      <c r="D125" s="25"/>
      <c r="G125" s="1"/>
      <c r="L125" s="1"/>
      <c r="M125" s="1"/>
    </row>
    <row r="126" spans="1:13" s="2" customFormat="1" x14ac:dyDescent="0.2">
      <c r="A126" s="24"/>
      <c r="B126" s="1"/>
      <c r="C126" s="14"/>
      <c r="D126" s="25"/>
      <c r="G126" s="1"/>
      <c r="I126" s="1"/>
      <c r="J126" s="1"/>
      <c r="K126" s="1"/>
      <c r="L126" s="1"/>
      <c r="M126" s="1"/>
    </row>
    <row r="127" spans="1:13" s="2" customFormat="1" x14ac:dyDescent="0.2">
      <c r="A127" s="24"/>
      <c r="B127" s="1"/>
      <c r="C127" s="14"/>
      <c r="D127" s="25"/>
      <c r="G127" s="1"/>
    </row>
    <row r="128" spans="1:13" s="2" customFormat="1" x14ac:dyDescent="0.2">
      <c r="A128" s="24"/>
      <c r="B128" s="1"/>
      <c r="C128" s="14"/>
      <c r="D128" s="25"/>
      <c r="G128" s="1"/>
      <c r="I128" s="1"/>
      <c r="J128" s="1"/>
      <c r="K128" s="1"/>
      <c r="L128" s="1"/>
      <c r="M128" s="1"/>
    </row>
    <row r="129" spans="1:14" s="2" customFormat="1" x14ac:dyDescent="0.2">
      <c r="A129" s="24"/>
      <c r="B129" s="1"/>
      <c r="C129" s="14"/>
      <c r="D129" s="25"/>
      <c r="G129" s="54"/>
      <c r="I129" s="1"/>
      <c r="J129" s="1"/>
      <c r="K129" s="1"/>
      <c r="L129" s="1"/>
      <c r="M129" s="1"/>
    </row>
    <row r="130" spans="1:14" s="2" customFormat="1" x14ac:dyDescent="0.2">
      <c r="A130" s="24"/>
      <c r="B130" s="1"/>
      <c r="C130" s="14"/>
      <c r="D130" s="25"/>
      <c r="G130" s="54"/>
      <c r="I130" s="1"/>
      <c r="J130" s="1"/>
      <c r="K130" s="1"/>
      <c r="L130" s="1"/>
      <c r="M130" s="1"/>
    </row>
    <row r="131" spans="1:14" s="2" customFormat="1" x14ac:dyDescent="0.2">
      <c r="A131" s="24"/>
      <c r="B131" s="1"/>
      <c r="C131" s="14"/>
      <c r="D131" s="25"/>
      <c r="G131" s="54"/>
      <c r="I131" s="1"/>
      <c r="J131" s="1"/>
      <c r="K131" s="1"/>
      <c r="L131" s="1"/>
      <c r="M131" s="1"/>
    </row>
    <row r="132" spans="1:14" s="2" customFormat="1" x14ac:dyDescent="0.2">
      <c r="A132" s="24"/>
      <c r="B132" s="1"/>
      <c r="C132" s="14"/>
      <c r="D132" s="25"/>
      <c r="G132" s="54"/>
      <c r="H132" s="2" t="s">
        <v>396</v>
      </c>
      <c r="I132" s="1"/>
      <c r="J132" s="1"/>
      <c r="K132" s="1"/>
      <c r="L132" s="1"/>
      <c r="M132" s="1"/>
      <c r="N132" s="1"/>
    </row>
    <row r="133" spans="1:14" s="2" customFormat="1" x14ac:dyDescent="0.2">
      <c r="A133" s="24"/>
      <c r="B133" s="1"/>
      <c r="C133" s="14"/>
      <c r="D133" s="25"/>
      <c r="G133" s="54"/>
      <c r="H133" s="53"/>
    </row>
    <row r="134" spans="1:14" s="2" customFormat="1" x14ac:dyDescent="0.2">
      <c r="A134" s="24"/>
      <c r="B134" s="1"/>
      <c r="C134" s="14"/>
      <c r="D134" s="25"/>
      <c r="G134" s="54"/>
      <c r="H134" s="53" t="s">
        <v>396</v>
      </c>
      <c r="I134" s="1"/>
      <c r="J134" s="1"/>
      <c r="K134" s="1"/>
      <c r="L134" s="1"/>
      <c r="M134" s="1"/>
      <c r="N134" s="1"/>
    </row>
    <row r="135" spans="1:14" x14ac:dyDescent="0.2">
      <c r="G135" s="54"/>
      <c r="H135" s="53" t="s">
        <v>396</v>
      </c>
      <c r="J135" s="42"/>
    </row>
    <row r="136" spans="1:14" s="2" customFormat="1" x14ac:dyDescent="0.2">
      <c r="A136" s="24"/>
      <c r="B136" s="1"/>
      <c r="C136" s="14"/>
      <c r="D136" s="25"/>
      <c r="G136" s="54"/>
      <c r="H136" s="53"/>
      <c r="I136" s="101"/>
      <c r="J136" s="1"/>
      <c r="K136" s="1"/>
      <c r="L136" s="1"/>
      <c r="M136" s="1"/>
      <c r="N136" s="1"/>
    </row>
    <row r="137" spans="1:14" x14ac:dyDescent="0.2">
      <c r="G137" s="54"/>
      <c r="H137" s="53"/>
    </row>
    <row r="138" spans="1:14" x14ac:dyDescent="0.2">
      <c r="G138" s="54"/>
      <c r="H138" s="53"/>
    </row>
    <row r="139" spans="1:14" x14ac:dyDescent="0.2">
      <c r="G139" s="54"/>
      <c r="H139" s="53"/>
    </row>
  </sheetData>
  <sheetProtection insertRows="0"/>
  <mergeCells count="6">
    <mergeCell ref="C101:F101"/>
    <mergeCell ref="A1:G1"/>
    <mergeCell ref="A3:F3"/>
    <mergeCell ref="A10:F10"/>
    <mergeCell ref="A26:F26"/>
    <mergeCell ref="A75:D75"/>
  </mergeCells>
  <conditionalFormatting sqref="G72:G73">
    <cfRule type="cellIs" dxfId="313" priority="1" operator="lessThan">
      <formula>0</formula>
    </cfRule>
  </conditionalFormatting>
  <conditionalFormatting sqref="C28">
    <cfRule type="duplicateValues" dxfId="312" priority="2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600-000000000000}">
  <sheetPr codeName="Sheet430">
    <pageSetUpPr fitToPage="1"/>
  </sheetPr>
  <dimension ref="A1:N142"/>
  <sheetViews>
    <sheetView topLeftCell="B28" zoomScaleNormal="100" workbookViewId="0">
      <selection activeCell="E37" sqref="E37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3" ht="20.25" customHeight="1" x14ac:dyDescent="0.4">
      <c r="A1" s="212" t="s">
        <v>1542</v>
      </c>
      <c r="B1" s="212"/>
      <c r="C1" s="212"/>
      <c r="D1" s="212"/>
      <c r="E1" s="212"/>
      <c r="F1" s="212"/>
      <c r="G1" s="212"/>
      <c r="H1" s="112"/>
      <c r="I1" s="112"/>
    </row>
    <row r="2" spans="1:13" ht="12.75" customHeight="1" x14ac:dyDescent="0.4">
      <c r="H2" s="112"/>
      <c r="I2" s="112"/>
    </row>
    <row r="3" spans="1:13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3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3" s="2" customFormat="1" ht="14.25" customHeight="1" x14ac:dyDescent="0.4">
      <c r="A5" s="89">
        <v>45185</v>
      </c>
      <c r="B5" s="9" t="s">
        <v>6</v>
      </c>
      <c r="C5" s="10" t="s">
        <v>7</v>
      </c>
      <c r="D5" s="11"/>
      <c r="E5" s="12">
        <v>1715152.790000001</v>
      </c>
      <c r="F5" s="12"/>
      <c r="G5" s="1"/>
      <c r="H5" s="112"/>
      <c r="I5" s="112"/>
    </row>
    <row r="6" spans="1:13" s="2" customFormat="1" ht="12.75" customHeight="1" x14ac:dyDescent="0.4">
      <c r="D6" s="15" t="s">
        <v>8</v>
      </c>
      <c r="E6" s="16">
        <f>SUM(E5:E5)</f>
        <v>1715152.790000001</v>
      </c>
      <c r="F6" s="16">
        <f>SUM(F5:F5)</f>
        <v>0</v>
      </c>
      <c r="G6" s="1"/>
      <c r="H6" s="112"/>
      <c r="I6" s="112"/>
    </row>
    <row r="7" spans="1:13" s="2" customFormat="1" ht="12.75" customHeight="1" x14ac:dyDescent="0.4">
      <c r="A7" s="17"/>
      <c r="B7" s="18"/>
      <c r="C7" s="19" t="s">
        <v>9</v>
      </c>
      <c r="D7" s="20"/>
      <c r="E7" s="21">
        <f>+E6-F6</f>
        <v>1715152.790000001</v>
      </c>
      <c r="F7" s="22"/>
      <c r="G7" s="23"/>
      <c r="H7" s="112"/>
      <c r="I7" s="112"/>
      <c r="J7" s="13"/>
    </row>
    <row r="8" spans="1:13" ht="12.75" customHeight="1" x14ac:dyDescent="0.4">
      <c r="H8" s="112"/>
      <c r="I8" s="112"/>
    </row>
    <row r="9" spans="1:13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69">
        <v>90000000</v>
      </c>
      <c r="J9" s="169" t="s">
        <v>1508</v>
      </c>
    </row>
    <row r="10" spans="1:13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69">
        <v>88041993.519999996</v>
      </c>
      <c r="J10" s="169" t="s">
        <v>1509</v>
      </c>
      <c r="K10" s="124"/>
    </row>
    <row r="11" spans="1:13" s="2" customFormat="1" ht="14.25" customHeight="1" x14ac:dyDescent="0.2">
      <c r="A11" s="89">
        <v>45185</v>
      </c>
      <c r="B11" s="9" t="s">
        <v>6</v>
      </c>
      <c r="C11" s="10" t="s">
        <v>7</v>
      </c>
      <c r="D11" s="11"/>
      <c r="F11" s="12">
        <v>87641993.520000041</v>
      </c>
      <c r="G11" s="1"/>
      <c r="H11" s="130" t="s">
        <v>396</v>
      </c>
      <c r="I11" s="169">
        <f>+I9-I10</f>
        <v>1958006.4800000042</v>
      </c>
      <c r="J11" s="169" t="s">
        <v>712</v>
      </c>
      <c r="K11" s="165" t="s">
        <v>1512</v>
      </c>
    </row>
    <row r="12" spans="1:13" s="2" customFormat="1" ht="14.25" customHeight="1" x14ac:dyDescent="0.2">
      <c r="A12" s="89">
        <v>45185</v>
      </c>
      <c r="B12" s="9" t="s">
        <v>6</v>
      </c>
      <c r="C12" s="76" t="s">
        <v>486</v>
      </c>
      <c r="D12" s="11" t="s">
        <v>29</v>
      </c>
      <c r="F12" s="31">
        <v>300000</v>
      </c>
      <c r="G12" s="1"/>
      <c r="H12" s="130"/>
      <c r="K12" s="124"/>
    </row>
    <row r="13" spans="1:13" s="2" customFormat="1" ht="14.25" customHeight="1" x14ac:dyDescent="0.2">
      <c r="D13" s="11" t="s">
        <v>8</v>
      </c>
      <c r="E13" s="16">
        <f>SUM(E11:E12)</f>
        <v>0</v>
      </c>
      <c r="F13" s="16">
        <f>SUM(F11:F12)</f>
        <v>87941993.520000041</v>
      </c>
      <c r="G13" s="1"/>
      <c r="H13" s="143"/>
      <c r="I13" s="130"/>
      <c r="J13" s="143"/>
      <c r="K13" s="143"/>
      <c r="L13" s="143"/>
      <c r="M13" s="143"/>
    </row>
    <row r="14" spans="1:13" s="2" customFormat="1" ht="14.25" customHeight="1" x14ac:dyDescent="0.4">
      <c r="A14" s="17"/>
      <c r="B14" s="18"/>
      <c r="C14" s="96" t="s">
        <v>9</v>
      </c>
      <c r="D14" s="20"/>
      <c r="E14" s="21">
        <f>+F13-E13</f>
        <v>87941993.520000041</v>
      </c>
      <c r="G14" s="1"/>
      <c r="I14" s="112"/>
      <c r="J14" s="153" t="s">
        <v>779</v>
      </c>
    </row>
    <row r="15" spans="1:13" s="2" customFormat="1" ht="14.25" customHeight="1" x14ac:dyDescent="0.2">
      <c r="A15" s="36"/>
      <c r="B15" s="28" t="s">
        <v>66</v>
      </c>
      <c r="C15" s="43" t="s">
        <v>1458</v>
      </c>
      <c r="D15" s="43"/>
      <c r="E15" s="12">
        <v>30000000</v>
      </c>
      <c r="F15" s="22"/>
      <c r="G15" s="1"/>
      <c r="I15" s="40">
        <v>88041993.519999996</v>
      </c>
      <c r="J15" s="154">
        <f>I15-E14</f>
        <v>99999.999999955297</v>
      </c>
    </row>
    <row r="16" spans="1:13" s="2" customFormat="1" ht="14.25" customHeight="1" x14ac:dyDescent="0.25">
      <c r="A16" s="36"/>
      <c r="B16" s="28"/>
      <c r="C16" s="44" t="s">
        <v>1541</v>
      </c>
      <c r="D16" s="43"/>
      <c r="E16" s="7">
        <f>+E14+E15</f>
        <v>117941993.52000004</v>
      </c>
      <c r="F16" s="22"/>
      <c r="G16" s="1"/>
    </row>
    <row r="17" spans="1:14" s="2" customFormat="1" ht="14.25" customHeight="1" x14ac:dyDescent="0.25">
      <c r="A17" s="36"/>
      <c r="B17" s="28"/>
      <c r="C17" s="44" t="s">
        <v>1511</v>
      </c>
      <c r="D17" s="43"/>
      <c r="E17" s="38">
        <f>+I11</f>
        <v>1958006.4800000042</v>
      </c>
      <c r="F17" s="22"/>
      <c r="G17" s="1"/>
    </row>
    <row r="18" spans="1:14" s="2" customFormat="1" ht="14.25" customHeight="1" x14ac:dyDescent="0.2">
      <c r="A18" s="24"/>
      <c r="B18" s="1"/>
      <c r="C18" s="14"/>
      <c r="D18" s="25"/>
      <c r="G18" s="1"/>
      <c r="I18" s="130"/>
      <c r="J18" s="130"/>
    </row>
    <row r="19" spans="1:14" s="2" customFormat="1" x14ac:dyDescent="0.2">
      <c r="A19" s="214" t="s">
        <v>10</v>
      </c>
      <c r="B19" s="214"/>
      <c r="C19" s="214"/>
      <c r="D19" s="214"/>
      <c r="E19" s="214"/>
      <c r="F19" s="214"/>
      <c r="G19" s="1"/>
      <c r="H19" s="159"/>
      <c r="I19" s="160">
        <v>150000000</v>
      </c>
      <c r="J19" s="160" t="s">
        <v>1506</v>
      </c>
      <c r="K19" s="70"/>
    </row>
    <row r="20" spans="1:14" s="2" customFormat="1" x14ac:dyDescent="0.2">
      <c r="A20" s="26" t="s">
        <v>1</v>
      </c>
      <c r="B20" s="27" t="s">
        <v>2</v>
      </c>
      <c r="C20" s="5"/>
      <c r="D20" s="6" t="s">
        <v>3</v>
      </c>
      <c r="E20" s="7" t="s">
        <v>4</v>
      </c>
      <c r="F20" s="7" t="s">
        <v>5</v>
      </c>
      <c r="G20" s="1"/>
      <c r="H20" s="159"/>
      <c r="I20" s="160">
        <v>117558780.43000001</v>
      </c>
      <c r="J20" s="160" t="s">
        <v>1507</v>
      </c>
      <c r="K20" s="70" t="s">
        <v>1512</v>
      </c>
    </row>
    <row r="21" spans="1:14" s="2" customFormat="1" x14ac:dyDescent="0.2">
      <c r="A21" s="89">
        <v>45185</v>
      </c>
      <c r="B21" s="128" t="s">
        <v>11</v>
      </c>
      <c r="C21" s="29" t="s">
        <v>7</v>
      </c>
      <c r="D21" s="25"/>
      <c r="E21" s="31"/>
      <c r="F21" s="2">
        <v>130032916.43000008</v>
      </c>
      <c r="G21" s="23"/>
      <c r="H21" s="159" t="s">
        <v>1505</v>
      </c>
      <c r="I21" s="160">
        <f>+I19-I20</f>
        <v>32441219.569999993</v>
      </c>
      <c r="J21" s="160"/>
      <c r="K21" s="70"/>
    </row>
    <row r="22" spans="1:14" s="2" customFormat="1" x14ac:dyDescent="0.2">
      <c r="A22" s="89">
        <v>45185</v>
      </c>
      <c r="B22" s="128" t="s">
        <v>6</v>
      </c>
      <c r="C22" s="10" t="s">
        <v>122</v>
      </c>
      <c r="D22" s="11" t="s">
        <v>13</v>
      </c>
      <c r="E22" s="86">
        <v>6241</v>
      </c>
      <c r="F22" s="70"/>
      <c r="G22" s="1"/>
      <c r="N22" s="1"/>
    </row>
    <row r="23" spans="1:14" s="2" customFormat="1" x14ac:dyDescent="0.2">
      <c r="A23" s="89">
        <v>45185</v>
      </c>
      <c r="B23" s="128" t="s">
        <v>6</v>
      </c>
      <c r="C23" s="10" t="s">
        <v>1378</v>
      </c>
      <c r="D23" s="11" t="s">
        <v>13</v>
      </c>
      <c r="E23" s="86">
        <v>69930</v>
      </c>
      <c r="F23" s="70"/>
      <c r="G23" s="1"/>
      <c r="N23" s="1"/>
    </row>
    <row r="24" spans="1:14" s="2" customFormat="1" x14ac:dyDescent="0.2">
      <c r="A24" s="89">
        <v>45185</v>
      </c>
      <c r="B24" s="128" t="s">
        <v>6</v>
      </c>
      <c r="C24" s="10" t="s">
        <v>101</v>
      </c>
      <c r="D24" s="11" t="s">
        <v>13</v>
      </c>
      <c r="E24" s="86">
        <v>1223584</v>
      </c>
      <c r="F24" s="70"/>
      <c r="G24" s="1"/>
      <c r="N24" s="1"/>
    </row>
    <row r="25" spans="1:14" s="2" customFormat="1" x14ac:dyDescent="0.2">
      <c r="A25" s="89">
        <v>45185</v>
      </c>
      <c r="B25" s="128" t="s">
        <v>6</v>
      </c>
      <c r="C25" s="10" t="s">
        <v>351</v>
      </c>
      <c r="D25" s="11" t="s">
        <v>13</v>
      </c>
      <c r="E25" s="86">
        <v>119962</v>
      </c>
      <c r="F25" s="70"/>
      <c r="G25" s="1"/>
      <c r="N25" s="1"/>
    </row>
    <row r="26" spans="1:14" s="2" customFormat="1" x14ac:dyDescent="0.2">
      <c r="A26" s="89">
        <v>45185</v>
      </c>
      <c r="B26" s="128" t="s">
        <v>6</v>
      </c>
      <c r="C26" s="10" t="s">
        <v>15</v>
      </c>
      <c r="D26" s="11" t="s">
        <v>13</v>
      </c>
      <c r="E26" s="86">
        <v>31068.28</v>
      </c>
      <c r="F26" s="70"/>
      <c r="G26" s="1"/>
      <c r="N26" s="1"/>
    </row>
    <row r="27" spans="1:14" s="2" customFormat="1" x14ac:dyDescent="0.2">
      <c r="A27" s="89">
        <v>45185</v>
      </c>
      <c r="B27" s="128" t="s">
        <v>6</v>
      </c>
      <c r="C27" s="10" t="s">
        <v>220</v>
      </c>
      <c r="D27" s="11" t="s">
        <v>13</v>
      </c>
      <c r="E27" s="86">
        <v>1308110</v>
      </c>
      <c r="F27" s="70"/>
      <c r="G27" s="1"/>
      <c r="N27" s="1"/>
    </row>
    <row r="28" spans="1:14" s="2" customFormat="1" x14ac:dyDescent="0.2">
      <c r="A28" s="89">
        <v>45185</v>
      </c>
      <c r="B28" s="128" t="s">
        <v>6</v>
      </c>
      <c r="C28" s="10" t="s">
        <v>773</v>
      </c>
      <c r="D28" s="11" t="s">
        <v>13</v>
      </c>
      <c r="E28" s="86">
        <v>391286.9</v>
      </c>
      <c r="F28" s="70"/>
      <c r="G28" s="1"/>
      <c r="N28" s="1"/>
    </row>
    <row r="29" spans="1:14" s="2" customFormat="1" x14ac:dyDescent="0.2">
      <c r="A29" s="89">
        <v>45185</v>
      </c>
      <c r="B29" s="128" t="s">
        <v>6</v>
      </c>
      <c r="C29" s="10" t="s">
        <v>1543</v>
      </c>
      <c r="D29" s="11" t="s">
        <v>13</v>
      </c>
      <c r="E29" s="86">
        <v>1228</v>
      </c>
      <c r="F29" s="70"/>
      <c r="G29" s="1"/>
      <c r="N29" s="1"/>
    </row>
    <row r="30" spans="1:14" s="2" customFormat="1" x14ac:dyDescent="0.2">
      <c r="A30" s="89">
        <v>45185</v>
      </c>
      <c r="B30" s="128" t="s">
        <v>6</v>
      </c>
      <c r="C30" s="10" t="s">
        <v>19</v>
      </c>
      <c r="D30" s="11" t="s">
        <v>13</v>
      </c>
      <c r="E30" s="86">
        <v>8079</v>
      </c>
      <c r="F30" s="70"/>
      <c r="G30" s="1"/>
      <c r="N30" s="1"/>
    </row>
    <row r="31" spans="1:14" s="2" customFormat="1" x14ac:dyDescent="0.2">
      <c r="A31" s="89">
        <v>45185</v>
      </c>
      <c r="B31" s="128" t="s">
        <v>6</v>
      </c>
      <c r="C31" s="10" t="s">
        <v>180</v>
      </c>
      <c r="D31" s="11" t="s">
        <v>13</v>
      </c>
      <c r="E31" s="86">
        <v>28350</v>
      </c>
      <c r="F31" s="70"/>
      <c r="G31" s="1"/>
      <c r="N31" s="1"/>
    </row>
    <row r="32" spans="1:14" s="2" customFormat="1" x14ac:dyDescent="0.2">
      <c r="A32" s="89">
        <v>45185</v>
      </c>
      <c r="B32" s="128" t="s">
        <v>6</v>
      </c>
      <c r="C32" s="10" t="s">
        <v>760</v>
      </c>
      <c r="D32" s="11" t="s">
        <v>13</v>
      </c>
      <c r="E32" s="86">
        <v>218465</v>
      </c>
      <c r="F32" s="70"/>
      <c r="G32" s="1"/>
      <c r="N32" s="1"/>
    </row>
    <row r="33" spans="1:14" s="2" customFormat="1" x14ac:dyDescent="0.2">
      <c r="A33" s="89">
        <v>45185</v>
      </c>
      <c r="B33" s="128" t="s">
        <v>6</v>
      </c>
      <c r="C33" s="10" t="s">
        <v>105</v>
      </c>
      <c r="D33" s="11" t="s">
        <v>13</v>
      </c>
      <c r="E33" s="86">
        <v>151438</v>
      </c>
      <c r="F33" s="70"/>
      <c r="G33" s="1"/>
      <c r="N33" s="1"/>
    </row>
    <row r="34" spans="1:14" s="2" customFormat="1" x14ac:dyDescent="0.2">
      <c r="A34" s="89">
        <v>45185</v>
      </c>
      <c r="B34" s="128" t="s">
        <v>6</v>
      </c>
      <c r="C34" s="10" t="s">
        <v>488</v>
      </c>
      <c r="D34" s="11" t="s">
        <v>13</v>
      </c>
      <c r="E34" s="86">
        <v>43313</v>
      </c>
      <c r="F34" s="70"/>
      <c r="G34" s="1"/>
      <c r="N34" s="1"/>
    </row>
    <row r="35" spans="1:14" s="2" customFormat="1" x14ac:dyDescent="0.2">
      <c r="A35" s="89">
        <v>45185</v>
      </c>
      <c r="B35" s="128" t="s">
        <v>6</v>
      </c>
      <c r="C35" s="10" t="s">
        <v>1544</v>
      </c>
      <c r="D35" s="11" t="s">
        <v>13</v>
      </c>
      <c r="E35" s="86">
        <v>23625</v>
      </c>
      <c r="F35" s="70"/>
      <c r="G35" s="1"/>
      <c r="N35" s="1"/>
    </row>
    <row r="36" spans="1:14" s="2" customFormat="1" x14ac:dyDescent="0.2">
      <c r="A36" s="89">
        <v>45185</v>
      </c>
      <c r="B36" s="128" t="s">
        <v>6</v>
      </c>
      <c r="C36" s="10" t="s">
        <v>16</v>
      </c>
      <c r="D36" s="11" t="s">
        <v>13</v>
      </c>
      <c r="E36" s="86">
        <v>311187</v>
      </c>
      <c r="F36" s="70"/>
      <c r="G36" s="1"/>
      <c r="N36" s="1"/>
    </row>
    <row r="37" spans="1:14" s="2" customFormat="1" x14ac:dyDescent="0.2">
      <c r="A37" s="89">
        <v>45185</v>
      </c>
      <c r="B37" s="128" t="s">
        <v>6</v>
      </c>
      <c r="C37" s="10" t="s">
        <v>611</v>
      </c>
      <c r="D37" s="11" t="s">
        <v>13</v>
      </c>
      <c r="E37" s="86">
        <v>1170613</v>
      </c>
      <c r="F37" s="70"/>
      <c r="G37" s="1"/>
      <c r="N37" s="1"/>
    </row>
    <row r="38" spans="1:14" s="2" customFormat="1" x14ac:dyDescent="0.2">
      <c r="A38" s="89">
        <v>45185</v>
      </c>
      <c r="B38" s="128" t="s">
        <v>6</v>
      </c>
      <c r="C38" s="10" t="s">
        <v>1545</v>
      </c>
      <c r="D38" s="11" t="s">
        <v>13</v>
      </c>
      <c r="E38" s="86">
        <v>18375</v>
      </c>
      <c r="F38" s="70"/>
      <c r="G38" s="1"/>
      <c r="I38" s="2" t="s">
        <v>396</v>
      </c>
      <c r="J38" s="2" t="s">
        <v>396</v>
      </c>
      <c r="K38" s="2" t="s">
        <v>396</v>
      </c>
      <c r="L38" s="2" t="s">
        <v>396</v>
      </c>
      <c r="N38" s="1"/>
    </row>
    <row r="39" spans="1:14" s="2" customFormat="1" x14ac:dyDescent="0.2">
      <c r="A39" s="89">
        <v>45185</v>
      </c>
      <c r="B39" s="128" t="s">
        <v>6</v>
      </c>
      <c r="C39" s="10" t="s">
        <v>788</v>
      </c>
      <c r="D39" s="11" t="s">
        <v>13</v>
      </c>
      <c r="E39" s="86">
        <v>460000</v>
      </c>
      <c r="F39" s="70"/>
      <c r="G39" s="1"/>
      <c r="I39" s="2" t="s">
        <v>396</v>
      </c>
      <c r="N39" s="1"/>
    </row>
    <row r="40" spans="1:14" s="2" customFormat="1" x14ac:dyDescent="0.2">
      <c r="A40" s="89">
        <v>45185</v>
      </c>
      <c r="B40" s="128" t="s">
        <v>6</v>
      </c>
      <c r="C40" s="10" t="s">
        <v>806</v>
      </c>
      <c r="D40" s="11" t="s">
        <v>13</v>
      </c>
      <c r="E40" s="86">
        <v>300000</v>
      </c>
      <c r="F40" s="70"/>
      <c r="G40" s="1"/>
      <c r="N40" s="1"/>
    </row>
    <row r="41" spans="1:14" s="172" customFormat="1" x14ac:dyDescent="0.2">
      <c r="A41" s="89">
        <v>45185</v>
      </c>
      <c r="B41" s="128" t="s">
        <v>6</v>
      </c>
      <c r="C41" s="145" t="s">
        <v>960</v>
      </c>
      <c r="D41" s="142" t="s">
        <v>13</v>
      </c>
      <c r="E41" s="146">
        <v>6500000</v>
      </c>
      <c r="F41" s="144"/>
      <c r="G41" s="23"/>
      <c r="N41" s="23"/>
    </row>
    <row r="42" spans="1:14" s="2" customFormat="1" x14ac:dyDescent="0.2">
      <c r="A42" s="89">
        <v>45185</v>
      </c>
      <c r="B42" s="128" t="s">
        <v>11</v>
      </c>
      <c r="C42" s="10" t="s">
        <v>64</v>
      </c>
      <c r="D42" s="11" t="s">
        <v>29</v>
      </c>
      <c r="E42" s="86"/>
      <c r="F42" s="70">
        <v>6168.07</v>
      </c>
      <c r="G42" s="1"/>
      <c r="N42" s="1"/>
    </row>
    <row r="43" spans="1:14" s="2" customFormat="1" x14ac:dyDescent="0.2">
      <c r="A43" s="89">
        <v>45185</v>
      </c>
      <c r="B43" s="128" t="s">
        <v>11</v>
      </c>
      <c r="C43" s="10" t="s">
        <v>429</v>
      </c>
      <c r="D43" s="11" t="s">
        <v>29</v>
      </c>
      <c r="E43" s="86"/>
      <c r="F43" s="70">
        <v>76264.800000000003</v>
      </c>
      <c r="G43" s="1"/>
      <c r="N43" s="1"/>
    </row>
    <row r="44" spans="1:14" s="2" customFormat="1" x14ac:dyDescent="0.2">
      <c r="A44" s="89">
        <v>45185</v>
      </c>
      <c r="B44" s="128" t="s">
        <v>11</v>
      </c>
      <c r="C44" s="10" t="s">
        <v>156</v>
      </c>
      <c r="D44" s="11" t="s">
        <v>29</v>
      </c>
      <c r="E44" s="86"/>
      <c r="F44" s="70">
        <v>364.55</v>
      </c>
      <c r="G44" s="1"/>
      <c r="N44" s="1"/>
    </row>
    <row r="45" spans="1:14" s="2" customFormat="1" x14ac:dyDescent="0.2">
      <c r="A45" s="89">
        <v>45185</v>
      </c>
      <c r="B45" s="128" t="s">
        <v>11</v>
      </c>
      <c r="C45" s="10" t="s">
        <v>1403</v>
      </c>
      <c r="D45" s="11" t="s">
        <v>29</v>
      </c>
      <c r="E45" s="86"/>
      <c r="F45" s="70">
        <v>1097260</v>
      </c>
      <c r="G45" s="1"/>
      <c r="N45" s="1"/>
    </row>
    <row r="46" spans="1:14" s="2" customFormat="1" x14ac:dyDescent="0.2">
      <c r="A46" s="89">
        <v>45185</v>
      </c>
      <c r="B46" s="128" t="s">
        <v>11</v>
      </c>
      <c r="C46" s="10" t="s">
        <v>109</v>
      </c>
      <c r="D46" s="11" t="s">
        <v>29</v>
      </c>
      <c r="E46" s="86"/>
      <c r="F46" s="70">
        <v>650523</v>
      </c>
      <c r="G46" s="1"/>
      <c r="N46" s="1"/>
    </row>
    <row r="47" spans="1:14" s="2" customFormat="1" x14ac:dyDescent="0.2">
      <c r="A47" s="89">
        <v>45185</v>
      </c>
      <c r="B47" s="128" t="s">
        <v>11</v>
      </c>
      <c r="C47" s="10" t="s">
        <v>127</v>
      </c>
      <c r="D47" s="11" t="s">
        <v>29</v>
      </c>
      <c r="E47" s="86"/>
      <c r="F47" s="70">
        <v>520664</v>
      </c>
      <c r="G47" s="1"/>
      <c r="N47" s="1"/>
    </row>
    <row r="48" spans="1:14" s="2" customFormat="1" x14ac:dyDescent="0.2">
      <c r="A48" s="89">
        <v>45185</v>
      </c>
      <c r="B48" s="128" t="s">
        <v>11</v>
      </c>
      <c r="C48" s="10" t="s">
        <v>123</v>
      </c>
      <c r="D48" s="11" t="s">
        <v>29</v>
      </c>
      <c r="E48" s="86"/>
      <c r="F48" s="70">
        <v>157673</v>
      </c>
      <c r="G48" s="1"/>
      <c r="N48" s="1"/>
    </row>
    <row r="49" spans="1:14" s="2" customFormat="1" x14ac:dyDescent="0.2">
      <c r="A49" s="89">
        <v>45185</v>
      </c>
      <c r="B49" s="128" t="s">
        <v>11</v>
      </c>
      <c r="C49" s="10" t="s">
        <v>34</v>
      </c>
      <c r="D49" s="11" t="s">
        <v>29</v>
      </c>
      <c r="E49" s="86"/>
      <c r="F49" s="70">
        <v>90000</v>
      </c>
      <c r="G49" s="1"/>
      <c r="N49" s="1"/>
    </row>
    <row r="50" spans="1:14" s="2" customFormat="1" x14ac:dyDescent="0.2">
      <c r="A50" s="89">
        <v>45185</v>
      </c>
      <c r="B50" s="128" t="s">
        <v>11</v>
      </c>
      <c r="C50" s="10" t="s">
        <v>748</v>
      </c>
      <c r="D50" s="11" t="s">
        <v>29</v>
      </c>
      <c r="E50" s="86"/>
      <c r="F50" s="70">
        <v>746773.2</v>
      </c>
      <c r="G50" s="1"/>
      <c r="K50" s="99"/>
      <c r="N50" s="1"/>
    </row>
    <row r="51" spans="1:14" s="2" customFormat="1" x14ac:dyDescent="0.2">
      <c r="A51" s="32"/>
      <c r="B51" s="33"/>
      <c r="C51" s="14"/>
      <c r="D51" s="34"/>
      <c r="E51" s="16">
        <f>SUM(E21:E50)</f>
        <v>12384855.18</v>
      </c>
      <c r="F51" s="16">
        <f>SUM(F21:F50)</f>
        <v>133378607.05000007</v>
      </c>
      <c r="G51" s="1"/>
      <c r="H51" s="1"/>
      <c r="I51" s="38">
        <v>120993751.87</v>
      </c>
      <c r="J51" s="2" t="s">
        <v>396</v>
      </c>
      <c r="K51" s="92">
        <f>E52-I51</f>
        <v>0</v>
      </c>
      <c r="N51" s="1"/>
    </row>
    <row r="52" spans="1:14" s="2" customFormat="1" x14ac:dyDescent="0.2">
      <c r="A52" s="36"/>
      <c r="B52" s="28" t="s">
        <v>11</v>
      </c>
      <c r="C52" s="19" t="s">
        <v>65</v>
      </c>
      <c r="D52" s="37"/>
      <c r="E52" s="38">
        <f>F51-E51</f>
        <v>120993751.87000006</v>
      </c>
      <c r="F52" s="22"/>
      <c r="G52" s="1"/>
      <c r="H52" s="70"/>
      <c r="I52" s="70"/>
      <c r="J52" s="70"/>
      <c r="K52" s="70"/>
      <c r="N52" s="1"/>
    </row>
    <row r="53" spans="1:14" s="2" customFormat="1" x14ac:dyDescent="0.2">
      <c r="A53" s="36"/>
      <c r="B53" s="28" t="s">
        <v>66</v>
      </c>
      <c r="C53" s="19" t="s">
        <v>67</v>
      </c>
      <c r="D53" s="37"/>
      <c r="E53" s="38">
        <v>6500000</v>
      </c>
      <c r="F53" s="22"/>
      <c r="G53" s="1"/>
      <c r="H53" s="70"/>
      <c r="I53" s="70"/>
      <c r="J53" s="70"/>
      <c r="K53" s="70"/>
      <c r="N53" s="1"/>
    </row>
    <row r="54" spans="1:14" s="2" customFormat="1" x14ac:dyDescent="0.2">
      <c r="A54" s="36"/>
      <c r="B54" s="28" t="s">
        <v>66</v>
      </c>
      <c r="C54" s="43" t="s">
        <v>1457</v>
      </c>
      <c r="D54" s="43"/>
      <c r="E54" s="12">
        <v>350000000</v>
      </c>
      <c r="F54" s="22"/>
      <c r="G54" s="1"/>
      <c r="H54" s="70"/>
      <c r="I54" s="45">
        <v>1513.43</v>
      </c>
      <c r="J54" s="46"/>
      <c r="K54" s="46"/>
      <c r="N54" s="1"/>
    </row>
    <row r="55" spans="1:14" s="2" customFormat="1" ht="15" x14ac:dyDescent="0.25">
      <c r="A55" s="36"/>
      <c r="B55" s="28"/>
      <c r="C55" s="44" t="s">
        <v>1541</v>
      </c>
      <c r="D55" s="43"/>
      <c r="E55" s="7">
        <f>+E54+E52+E53</f>
        <v>477493751.87000006</v>
      </c>
      <c r="F55" s="22"/>
      <c r="G55" s="1"/>
      <c r="H55" s="103" t="s">
        <v>69</v>
      </c>
      <c r="I55" s="45">
        <v>-43.74</v>
      </c>
      <c r="J55" s="46"/>
      <c r="K55" s="46"/>
      <c r="N55" s="1"/>
    </row>
    <row r="56" spans="1:14" s="2" customFormat="1" ht="15" x14ac:dyDescent="0.25">
      <c r="A56" s="24"/>
      <c r="B56" s="1"/>
      <c r="C56" s="44" t="s">
        <v>1510</v>
      </c>
      <c r="D56" s="25"/>
      <c r="E56" s="156">
        <v>22506248.129999936</v>
      </c>
      <c r="G56" s="1"/>
      <c r="H56" s="35" t="s">
        <v>70</v>
      </c>
      <c r="I56" s="45">
        <f>34.15+5.97</f>
        <v>40.119999999999997</v>
      </c>
      <c r="J56" s="46">
        <f>+I57-D59</f>
        <v>0</v>
      </c>
      <c r="N56" s="1"/>
    </row>
    <row r="57" spans="1:14" s="124" customFormat="1" ht="12.75" customHeight="1" x14ac:dyDescent="0.2">
      <c r="A57" s="24"/>
      <c r="B57" s="1"/>
      <c r="C57" s="56"/>
      <c r="D57" s="56"/>
      <c r="E57" s="104"/>
      <c r="F57" s="2"/>
      <c r="G57" s="166"/>
      <c r="H57" s="70"/>
      <c r="I57" s="49">
        <f>SUM(I54:I56)</f>
        <v>1509.81</v>
      </c>
      <c r="J57" s="46"/>
      <c r="K57" s="46"/>
    </row>
    <row r="58" spans="1:14" s="124" customFormat="1" ht="12.75" customHeight="1" x14ac:dyDescent="0.2">
      <c r="A58" s="24"/>
      <c r="B58" s="1"/>
      <c r="C58" s="78" t="s">
        <v>575</v>
      </c>
      <c r="D58" s="48" t="s">
        <v>576</v>
      </c>
      <c r="E58" s="104"/>
      <c r="F58" s="2"/>
      <c r="G58" s="168"/>
      <c r="H58" s="167"/>
      <c r="I58" s="167"/>
      <c r="J58" s="168"/>
    </row>
    <row r="59" spans="1:14" s="124" customFormat="1" ht="12.75" customHeight="1" x14ac:dyDescent="0.2">
      <c r="A59" s="24"/>
      <c r="B59" s="1"/>
      <c r="C59" s="47" t="s">
        <v>570</v>
      </c>
      <c r="D59" s="111">
        <v>1509.81</v>
      </c>
      <c r="E59" s="104"/>
      <c r="F59" s="2"/>
      <c r="G59" s="168"/>
      <c r="H59" s="110" t="s">
        <v>581</v>
      </c>
      <c r="I59" s="167"/>
      <c r="J59" s="168"/>
    </row>
    <row r="60" spans="1:14" s="124" customFormat="1" ht="12.75" customHeight="1" x14ac:dyDescent="0.2">
      <c r="A60" s="24"/>
      <c r="B60" s="1"/>
      <c r="C60" s="47" t="s">
        <v>931</v>
      </c>
      <c r="D60" s="111">
        <v>214.71</v>
      </c>
      <c r="E60" s="104"/>
      <c r="F60" s="2"/>
      <c r="G60" s="168"/>
      <c r="H60" s="110" t="s">
        <v>580</v>
      </c>
      <c r="I60" s="167"/>
      <c r="J60" s="168"/>
    </row>
    <row r="61" spans="1:14" s="124" customFormat="1" ht="12.75" customHeight="1" x14ac:dyDescent="0.2">
      <c r="A61" s="24"/>
      <c r="B61" s="1"/>
      <c r="C61" s="47" t="s">
        <v>572</v>
      </c>
      <c r="D61" s="111">
        <f>+D102/100000</f>
        <v>217.99783210000001</v>
      </c>
      <c r="E61" s="104"/>
      <c r="F61" s="2"/>
      <c r="G61" s="166"/>
      <c r="H61" s="90" t="s">
        <v>587</v>
      </c>
      <c r="I61" s="167"/>
      <c r="J61" s="168"/>
    </row>
    <row r="62" spans="1:14" s="2" customFormat="1" x14ac:dyDescent="0.2">
      <c r="A62" s="24"/>
      <c r="B62" s="1"/>
      <c r="C62" s="108" t="s">
        <v>578</v>
      </c>
      <c r="D62" s="48">
        <f>SUM(D59:D61)</f>
        <v>1942.5178321000001</v>
      </c>
      <c r="E62" s="104"/>
      <c r="G62" s="30"/>
      <c r="I62" s="13"/>
      <c r="J62" s="13"/>
    </row>
    <row r="63" spans="1:14" s="70" customFormat="1" x14ac:dyDescent="0.2">
      <c r="A63" s="24"/>
      <c r="B63" s="1"/>
      <c r="C63" s="47"/>
      <c r="D63" s="107"/>
      <c r="E63" s="104"/>
      <c r="F63" s="2"/>
      <c r="G63" s="30"/>
      <c r="H63" s="2"/>
    </row>
    <row r="64" spans="1:14" s="70" customFormat="1" x14ac:dyDescent="0.2">
      <c r="A64" s="24"/>
      <c r="B64" s="1"/>
      <c r="C64" s="47" t="s">
        <v>932</v>
      </c>
      <c r="D64" s="111">
        <v>148.54</v>
      </c>
      <c r="E64" s="104"/>
      <c r="F64" s="2"/>
      <c r="G64" s="30"/>
      <c r="H64" s="110" t="s">
        <v>581</v>
      </c>
    </row>
    <row r="65" spans="1:14" s="70" customFormat="1" x14ac:dyDescent="0.2">
      <c r="A65" s="24"/>
      <c r="B65" s="1"/>
      <c r="C65" s="136" t="s">
        <v>1142</v>
      </c>
      <c r="D65" s="111">
        <v>134.59</v>
      </c>
      <c r="E65" s="104"/>
      <c r="F65" s="2"/>
      <c r="G65" s="30"/>
      <c r="H65" s="110" t="s">
        <v>581</v>
      </c>
    </row>
    <row r="66" spans="1:14" s="70" customFormat="1" x14ac:dyDescent="0.2">
      <c r="A66" s="24"/>
      <c r="B66" s="1"/>
      <c r="C66" s="78" t="s">
        <v>579</v>
      </c>
      <c r="D66" s="109">
        <f>D64+D65</f>
        <v>283.13</v>
      </c>
      <c r="E66" s="104"/>
      <c r="F66" s="2"/>
      <c r="G66" s="30"/>
    </row>
    <row r="67" spans="1:14" s="70" customFormat="1" x14ac:dyDescent="0.2">
      <c r="A67" s="24"/>
      <c r="B67" s="1"/>
      <c r="C67" s="105"/>
      <c r="D67" s="106"/>
      <c r="E67" s="104"/>
      <c r="F67" s="2"/>
      <c r="G67" s="30"/>
      <c r="I67" s="2"/>
      <c r="J67" s="114" t="s">
        <v>713</v>
      </c>
      <c r="K67" s="2"/>
      <c r="L67" s="2"/>
      <c r="M67" s="2"/>
    </row>
    <row r="68" spans="1:14" s="70" customFormat="1" x14ac:dyDescent="0.2">
      <c r="A68" s="24"/>
      <c r="B68" s="1"/>
      <c r="C68" s="78" t="s">
        <v>577</v>
      </c>
      <c r="D68" s="109">
        <f>D59+D66</f>
        <v>1792.94</v>
      </c>
      <c r="E68" s="104"/>
      <c r="F68" s="2"/>
      <c r="G68" s="30"/>
      <c r="I68" s="113"/>
      <c r="J68" s="113" t="s">
        <v>709</v>
      </c>
      <c r="K68" s="113" t="s">
        <v>710</v>
      </c>
      <c r="L68" s="113" t="s">
        <v>711</v>
      </c>
      <c r="M68" s="113" t="s">
        <v>712</v>
      </c>
    </row>
    <row r="69" spans="1:14" s="70" customFormat="1" x14ac:dyDescent="0.2">
      <c r="A69" s="24"/>
      <c r="B69" s="1"/>
      <c r="C69" s="56"/>
      <c r="D69" s="56"/>
      <c r="E69" s="104"/>
      <c r="F69" s="2"/>
      <c r="G69" s="30"/>
      <c r="I69" s="113" t="s">
        <v>706</v>
      </c>
      <c r="J69" s="115"/>
      <c r="K69" s="115">
        <v>968.99</v>
      </c>
      <c r="L69" s="115">
        <v>968.99</v>
      </c>
      <c r="M69" s="113">
        <f>+J69+L69-K69</f>
        <v>0</v>
      </c>
    </row>
    <row r="70" spans="1:14" s="70" customFormat="1" ht="38.25" x14ac:dyDescent="0.2">
      <c r="A70" s="24"/>
      <c r="B70" s="1"/>
      <c r="C70" s="79" t="str">
        <f>"Particulars ( 01-04-2021 to "&amp;TEXT(A5,"dd-mm-yyyy")&amp;" )"</f>
        <v>Particulars ( 01-04-2021 to 16-09-2023 )</v>
      </c>
      <c r="D70" s="80" t="s">
        <v>73</v>
      </c>
      <c r="E70" s="80" t="s">
        <v>74</v>
      </c>
      <c r="F70" s="81" t="s">
        <v>75</v>
      </c>
      <c r="G70" s="80" t="s">
        <v>76</v>
      </c>
      <c r="I70" s="113" t="s">
        <v>707</v>
      </c>
      <c r="J70" s="115">
        <v>183.1</v>
      </c>
      <c r="K70" s="115">
        <v>3507.93</v>
      </c>
      <c r="L70" s="115">
        <v>3836.49</v>
      </c>
      <c r="M70" s="113">
        <f>+J70+L70-K70</f>
        <v>511.65999999999985</v>
      </c>
    </row>
    <row r="71" spans="1:14" s="70" customFormat="1" x14ac:dyDescent="0.2">
      <c r="A71" s="24"/>
      <c r="B71" s="1"/>
      <c r="C71" s="50" t="s">
        <v>444</v>
      </c>
      <c r="D71" s="55">
        <f>+L69+L70+J70</f>
        <v>4988.58</v>
      </c>
      <c r="E71" s="55">
        <f>+K69+K70</f>
        <v>4476.92</v>
      </c>
      <c r="F71" s="55">
        <f>+D71-E71</f>
        <v>511.65999999999985</v>
      </c>
      <c r="G71" s="55">
        <f>1500-F71</f>
        <v>988.34000000000015</v>
      </c>
      <c r="I71" s="113" t="s">
        <v>708</v>
      </c>
      <c r="J71" s="115">
        <v>1371.02</v>
      </c>
      <c r="K71" s="115">
        <v>14169.08</v>
      </c>
      <c r="L71" s="115">
        <v>13564.29</v>
      </c>
      <c r="M71" s="113">
        <f>+J71+L71-K71</f>
        <v>766.23000000000138</v>
      </c>
    </row>
    <row r="72" spans="1:14" s="70" customFormat="1" ht="12.75" customHeight="1" x14ac:dyDescent="0.2">
      <c r="A72" s="24"/>
      <c r="B72" s="1"/>
      <c r="C72" s="50" t="s">
        <v>71</v>
      </c>
      <c r="D72" s="55">
        <f>+J71+L71</f>
        <v>14935.310000000001</v>
      </c>
      <c r="E72" s="55">
        <f>+K71</f>
        <v>14169.08</v>
      </c>
      <c r="F72" s="55">
        <f>+D72-E72</f>
        <v>766.23000000000138</v>
      </c>
      <c r="G72" s="55">
        <f>1500+700-F72</f>
        <v>1433.7699999999986</v>
      </c>
      <c r="I72" s="2"/>
      <c r="J72" s="118">
        <f>SUM(J69:J71)</f>
        <v>1554.12</v>
      </c>
      <c r="K72" s="118">
        <f>SUM(K69:K71)</f>
        <v>18646</v>
      </c>
      <c r="L72" s="118">
        <f>SUM(L69:L71)</f>
        <v>18369.77</v>
      </c>
      <c r="M72" s="118">
        <f>SUM(M69:M71)</f>
        <v>1277.8900000000012</v>
      </c>
    </row>
    <row r="73" spans="1:14" s="70" customFormat="1" ht="12.75" customHeight="1" x14ac:dyDescent="0.2">
      <c r="A73" s="24"/>
      <c r="B73" s="1"/>
      <c r="C73" s="14"/>
      <c r="D73" s="56"/>
      <c r="E73" s="13"/>
      <c r="F73" s="2"/>
      <c r="G73" s="30"/>
    </row>
    <row r="74" spans="1:14" s="70" customFormat="1" ht="12.75" customHeight="1" x14ac:dyDescent="0.2">
      <c r="A74" s="215" t="s">
        <v>80</v>
      </c>
      <c r="B74" s="216"/>
      <c r="C74" s="216"/>
      <c r="D74" s="217"/>
      <c r="E74" s="69"/>
      <c r="G74" s="30"/>
    </row>
    <row r="75" spans="1:14" s="70" customFormat="1" ht="12.75" customHeight="1" x14ac:dyDescent="0.2">
      <c r="A75" s="71" t="s">
        <v>81</v>
      </c>
      <c r="B75" s="71"/>
      <c r="C75" s="72" t="s">
        <v>82</v>
      </c>
      <c r="D75" s="73" t="s">
        <v>83</v>
      </c>
      <c r="E75" s="69"/>
      <c r="G75" s="30"/>
    </row>
    <row r="76" spans="1:14" s="70" customFormat="1" ht="12.75" customHeight="1" x14ac:dyDescent="0.2">
      <c r="A76" s="87">
        <v>45170</v>
      </c>
      <c r="B76" s="120" t="s">
        <v>1052</v>
      </c>
      <c r="C76" s="75" t="s">
        <v>270</v>
      </c>
      <c r="D76" s="88">
        <v>117174</v>
      </c>
      <c r="E76" s="2"/>
      <c r="F76" s="2"/>
      <c r="G76" s="30"/>
      <c r="H76" s="2"/>
      <c r="I76" s="2"/>
      <c r="J76" s="2"/>
      <c r="K76" s="2"/>
      <c r="L76" s="41"/>
      <c r="M76" s="42"/>
      <c r="N76" s="2"/>
    </row>
    <row r="77" spans="1:14" s="70" customFormat="1" ht="12.75" customHeight="1" x14ac:dyDescent="0.2">
      <c r="A77" s="87">
        <v>45171</v>
      </c>
      <c r="B77" s="120" t="s">
        <v>1052</v>
      </c>
      <c r="C77" s="75" t="s">
        <v>767</v>
      </c>
      <c r="D77" s="88">
        <v>278761</v>
      </c>
      <c r="E77" s="2"/>
      <c r="F77" s="2"/>
      <c r="G77" s="30"/>
      <c r="H77" s="2"/>
      <c r="I77" s="2"/>
      <c r="J77" s="1"/>
      <c r="K77" s="1"/>
      <c r="L77" s="1"/>
      <c r="M77" s="1"/>
      <c r="N77" s="2"/>
    </row>
    <row r="78" spans="1:14" s="70" customFormat="1" ht="12.75" customHeight="1" x14ac:dyDescent="0.2">
      <c r="A78" s="87">
        <v>45171</v>
      </c>
      <c r="B78" s="120" t="s">
        <v>1052</v>
      </c>
      <c r="C78" s="75" t="s">
        <v>201</v>
      </c>
      <c r="D78" s="88">
        <v>3500391.21</v>
      </c>
      <c r="E78" s="2"/>
      <c r="F78" s="2"/>
      <c r="G78" s="30"/>
      <c r="H78" s="2"/>
      <c r="I78" s="2"/>
      <c r="J78" s="2"/>
      <c r="K78" s="2"/>
      <c r="L78" s="13"/>
      <c r="M78" s="69" t="s">
        <v>396</v>
      </c>
      <c r="N78" s="2"/>
    </row>
    <row r="79" spans="1:14" s="2" customFormat="1" ht="12.75" customHeight="1" x14ac:dyDescent="0.2">
      <c r="A79" s="87">
        <v>45173</v>
      </c>
      <c r="B79" s="120" t="s">
        <v>1052</v>
      </c>
      <c r="C79" s="75" t="s">
        <v>1478</v>
      </c>
      <c r="D79" s="88">
        <v>22763</v>
      </c>
      <c r="G79" s="30"/>
      <c r="N79" s="1"/>
    </row>
    <row r="80" spans="1:14" s="2" customFormat="1" ht="12.75" customHeight="1" x14ac:dyDescent="0.2">
      <c r="A80" s="87">
        <v>45173</v>
      </c>
      <c r="B80" s="120" t="s">
        <v>1052</v>
      </c>
      <c r="C80" s="75" t="s">
        <v>1478</v>
      </c>
      <c r="D80" s="88">
        <v>1786258</v>
      </c>
      <c r="G80" s="1"/>
      <c r="M80" s="2" t="s">
        <v>396</v>
      </c>
      <c r="N80" s="1"/>
    </row>
    <row r="81" spans="1:14" s="2" customFormat="1" ht="12.75" customHeight="1" x14ac:dyDescent="0.2">
      <c r="A81" s="87">
        <v>45173</v>
      </c>
      <c r="B81" s="120" t="s">
        <v>1052</v>
      </c>
      <c r="C81" s="75" t="s">
        <v>1478</v>
      </c>
      <c r="D81" s="88">
        <v>1329469</v>
      </c>
      <c r="I81" s="1"/>
      <c r="J81" s="1"/>
      <c r="K81" s="1"/>
    </row>
    <row r="82" spans="1:14" s="2" customFormat="1" ht="12.75" customHeight="1" x14ac:dyDescent="0.2">
      <c r="A82" s="87">
        <v>45175</v>
      </c>
      <c r="B82" s="120" t="s">
        <v>1052</v>
      </c>
      <c r="C82" s="75" t="s">
        <v>784</v>
      </c>
      <c r="D82" s="88">
        <v>673560</v>
      </c>
      <c r="G82" s="1"/>
    </row>
    <row r="83" spans="1:14" s="2" customFormat="1" x14ac:dyDescent="0.2">
      <c r="A83" s="87">
        <v>45175</v>
      </c>
      <c r="B83" s="120" t="s">
        <v>1052</v>
      </c>
      <c r="C83" s="75" t="s">
        <v>784</v>
      </c>
      <c r="D83" s="88">
        <v>700391</v>
      </c>
      <c r="G83" s="1"/>
      <c r="N83" s="2" t="s">
        <v>535</v>
      </c>
    </row>
    <row r="84" spans="1:14" x14ac:dyDescent="0.2">
      <c r="A84" s="87">
        <v>45175</v>
      </c>
      <c r="B84" s="120" t="s">
        <v>1052</v>
      </c>
      <c r="C84" s="75" t="s">
        <v>84</v>
      </c>
      <c r="D84" s="88">
        <v>1000000</v>
      </c>
      <c r="I84" s="2"/>
      <c r="J84" s="2"/>
      <c r="K84" s="2"/>
      <c r="L84" s="2"/>
      <c r="M84" s="2"/>
      <c r="N84" s="2"/>
    </row>
    <row r="85" spans="1:14" x14ac:dyDescent="0.2">
      <c r="A85" s="87">
        <v>45176</v>
      </c>
      <c r="B85" s="120" t="s">
        <v>1052</v>
      </c>
      <c r="C85" s="75" t="s">
        <v>85</v>
      </c>
      <c r="D85" s="88">
        <v>565814</v>
      </c>
      <c r="I85" s="2"/>
      <c r="J85" s="2"/>
      <c r="K85" s="2"/>
      <c r="L85" s="2"/>
      <c r="M85" s="2"/>
      <c r="N85" s="2"/>
    </row>
    <row r="86" spans="1:14" s="2" customFormat="1" x14ac:dyDescent="0.2">
      <c r="A86" s="87">
        <v>45176</v>
      </c>
      <c r="B86" s="120" t="s">
        <v>1052</v>
      </c>
      <c r="C86" s="75" t="s">
        <v>271</v>
      </c>
      <c r="D86" s="88">
        <v>1691421</v>
      </c>
      <c r="G86" s="1"/>
    </row>
    <row r="87" spans="1:14" s="2" customFormat="1" x14ac:dyDescent="0.2">
      <c r="A87" s="87">
        <v>45177</v>
      </c>
      <c r="B87" s="120" t="s">
        <v>1052</v>
      </c>
      <c r="C87" s="75" t="s">
        <v>85</v>
      </c>
      <c r="D87" s="88">
        <v>432581</v>
      </c>
    </row>
    <row r="88" spans="1:14" s="2" customFormat="1" x14ac:dyDescent="0.2">
      <c r="A88" s="87">
        <v>45177</v>
      </c>
      <c r="B88" s="120" t="s">
        <v>1052</v>
      </c>
      <c r="C88" s="75" t="s">
        <v>1521</v>
      </c>
      <c r="D88" s="88">
        <v>1198155</v>
      </c>
    </row>
    <row r="89" spans="1:14" s="2" customFormat="1" x14ac:dyDescent="0.2">
      <c r="A89" s="87">
        <v>45180</v>
      </c>
      <c r="B89" s="120" t="s">
        <v>1052</v>
      </c>
      <c r="C89" s="75" t="s">
        <v>784</v>
      </c>
      <c r="D89" s="88">
        <v>279127</v>
      </c>
    </row>
    <row r="90" spans="1:14" s="2" customFormat="1" x14ac:dyDescent="0.2">
      <c r="A90" s="87">
        <v>45180</v>
      </c>
      <c r="B90" s="120" t="s">
        <v>1052</v>
      </c>
      <c r="C90" s="75" t="s">
        <v>270</v>
      </c>
      <c r="D90" s="88">
        <v>30842</v>
      </c>
    </row>
    <row r="91" spans="1:14" s="2" customFormat="1" x14ac:dyDescent="0.2">
      <c r="A91" s="87">
        <v>45180</v>
      </c>
      <c r="B91" s="120" t="s">
        <v>1052</v>
      </c>
      <c r="C91" s="75" t="s">
        <v>271</v>
      </c>
      <c r="D91" s="88">
        <v>701813</v>
      </c>
      <c r="G91" s="1"/>
    </row>
    <row r="92" spans="1:14" s="2" customFormat="1" x14ac:dyDescent="0.2">
      <c r="A92" s="87">
        <v>45180</v>
      </c>
      <c r="B92" s="120" t="s">
        <v>1052</v>
      </c>
      <c r="C92" s="75" t="s">
        <v>271</v>
      </c>
      <c r="D92" s="88">
        <v>189083</v>
      </c>
      <c r="G92" s="1"/>
    </row>
    <row r="93" spans="1:14" s="2" customFormat="1" x14ac:dyDescent="0.2">
      <c r="A93" s="87">
        <v>45180</v>
      </c>
      <c r="B93" s="120" t="s">
        <v>1052</v>
      </c>
      <c r="C93" s="75" t="s">
        <v>271</v>
      </c>
      <c r="D93" s="88">
        <v>2019</v>
      </c>
      <c r="G93" s="1"/>
    </row>
    <row r="94" spans="1:14" s="2" customFormat="1" x14ac:dyDescent="0.2">
      <c r="A94" s="87">
        <v>45182</v>
      </c>
      <c r="B94" s="120" t="s">
        <v>1052</v>
      </c>
      <c r="C94" s="75" t="s">
        <v>467</v>
      </c>
      <c r="D94" s="88">
        <v>3314639</v>
      </c>
      <c r="G94" s="1"/>
    </row>
    <row r="95" spans="1:14" s="2" customFormat="1" x14ac:dyDescent="0.2">
      <c r="A95" s="87">
        <v>45183</v>
      </c>
      <c r="B95" s="120" t="s">
        <v>1052</v>
      </c>
      <c r="C95" s="75" t="s">
        <v>784</v>
      </c>
      <c r="D95" s="88">
        <v>665398</v>
      </c>
      <c r="G95" s="1"/>
    </row>
    <row r="96" spans="1:14" s="2" customFormat="1" x14ac:dyDescent="0.2">
      <c r="A96" s="87">
        <v>45184</v>
      </c>
      <c r="B96" s="120" t="s">
        <v>1052</v>
      </c>
      <c r="C96" s="75" t="s">
        <v>784</v>
      </c>
      <c r="D96" s="88">
        <v>669733</v>
      </c>
      <c r="G96" s="1"/>
    </row>
    <row r="97" spans="1:13" s="2" customFormat="1" x14ac:dyDescent="0.2">
      <c r="A97" s="87">
        <v>45184</v>
      </c>
      <c r="B97" s="120" t="s">
        <v>1052</v>
      </c>
      <c r="C97" s="75" t="s">
        <v>270</v>
      </c>
      <c r="D97" s="88">
        <v>6923</v>
      </c>
      <c r="G97" s="1"/>
    </row>
    <row r="98" spans="1:13" s="2" customFormat="1" x14ac:dyDescent="0.2">
      <c r="A98" s="87">
        <v>45184</v>
      </c>
      <c r="B98" s="120" t="s">
        <v>1052</v>
      </c>
      <c r="C98" s="75" t="s">
        <v>84</v>
      </c>
      <c r="D98" s="88">
        <v>1092413</v>
      </c>
      <c r="G98" s="1"/>
    </row>
    <row r="99" spans="1:13" s="2" customFormat="1" x14ac:dyDescent="0.2">
      <c r="A99" s="87">
        <v>45184</v>
      </c>
      <c r="B99" s="120" t="s">
        <v>1052</v>
      </c>
      <c r="C99" s="75" t="s">
        <v>270</v>
      </c>
      <c r="D99" s="88">
        <v>273422</v>
      </c>
      <c r="G99" s="1"/>
    </row>
    <row r="100" spans="1:13" s="2" customFormat="1" x14ac:dyDescent="0.2">
      <c r="A100" s="87">
        <v>45185</v>
      </c>
      <c r="B100" s="120" t="s">
        <v>1052</v>
      </c>
      <c r="C100" s="75" t="s">
        <v>85</v>
      </c>
      <c r="D100" s="88">
        <v>389967</v>
      </c>
      <c r="G100" s="1"/>
    </row>
    <row r="101" spans="1:13" s="2" customFormat="1" x14ac:dyDescent="0.2">
      <c r="A101" s="87">
        <v>45185</v>
      </c>
      <c r="B101" s="120" t="s">
        <v>1052</v>
      </c>
      <c r="C101" s="75" t="s">
        <v>87</v>
      </c>
      <c r="D101" s="88">
        <v>887666</v>
      </c>
      <c r="G101" s="1"/>
    </row>
    <row r="102" spans="1:13" s="2" customFormat="1" x14ac:dyDescent="0.2">
      <c r="A102" s="87"/>
      <c r="B102" s="74"/>
      <c r="C102" s="75"/>
      <c r="D102" s="51">
        <f>SUM(D76:D101)</f>
        <v>21799783.210000001</v>
      </c>
      <c r="F102" s="2" t="s">
        <v>396</v>
      </c>
      <c r="G102" s="1"/>
    </row>
    <row r="103" spans="1:13" s="2" customFormat="1" x14ac:dyDescent="0.2">
      <c r="A103" s="24"/>
      <c r="B103" s="1"/>
      <c r="C103" s="14"/>
      <c r="D103" s="56"/>
      <c r="E103" s="13"/>
      <c r="G103" s="1"/>
    </row>
    <row r="104" spans="1:13" s="2" customFormat="1" x14ac:dyDescent="0.2">
      <c r="A104" s="24"/>
      <c r="B104" s="1"/>
      <c r="C104" s="218" t="s">
        <v>77</v>
      </c>
      <c r="D104" s="219"/>
      <c r="E104" s="219"/>
      <c r="F104" s="220"/>
      <c r="H104" s="2" t="s">
        <v>396</v>
      </c>
    </row>
    <row r="105" spans="1:13" s="2" customFormat="1" x14ac:dyDescent="0.2">
      <c r="A105" s="24"/>
      <c r="B105" s="1"/>
      <c r="C105" s="50"/>
      <c r="D105" s="57" t="s">
        <v>78</v>
      </c>
      <c r="E105" s="58" t="s">
        <v>79</v>
      </c>
      <c r="F105" s="57" t="s">
        <v>72</v>
      </c>
      <c r="H105" s="2" t="s">
        <v>396</v>
      </c>
    </row>
    <row r="106" spans="1:13" s="2" customFormat="1" x14ac:dyDescent="0.2">
      <c r="A106" s="24"/>
      <c r="B106" s="1"/>
      <c r="C106" s="59" t="str">
        <f>"01-09-2023 to "&amp;TEXT(A5-2,"dd-mm-yyyy")</f>
        <v>01-09-2023 to 14-09-2023</v>
      </c>
      <c r="D106" s="60">
        <v>1244.4000000000001</v>
      </c>
      <c r="E106" s="60">
        <v>116.87</v>
      </c>
      <c r="F106" s="61">
        <f>SUM(D106:E106)</f>
        <v>1361.27</v>
      </c>
    </row>
    <row r="107" spans="1:13" s="2" customFormat="1" x14ac:dyDescent="0.2">
      <c r="A107" s="24"/>
      <c r="B107" s="1"/>
      <c r="C107" s="62" t="str">
        <f>TEXT(A5-1,"dd-mm-yyyy")</f>
        <v>15-09-2023</v>
      </c>
      <c r="D107" s="60">
        <v>80.23</v>
      </c>
      <c r="E107" s="60">
        <v>13.36</v>
      </c>
      <c r="F107" s="61">
        <f>SUM(D107:E107)</f>
        <v>93.59</v>
      </c>
      <c r="G107" s="1"/>
      <c r="H107" s="53"/>
    </row>
    <row r="108" spans="1:13" s="2" customFormat="1" ht="13.5" thickBot="1" x14ac:dyDescent="0.25">
      <c r="A108" s="24"/>
      <c r="B108" s="1"/>
      <c r="C108" s="63" t="str">
        <f>"01-09-2023 to "&amp;TEXT(A5-1,"dd-mm-yyyy")</f>
        <v>01-09-2023 to 15-09-2023</v>
      </c>
      <c r="D108" s="64">
        <f>SUM(D106:D107)</f>
        <v>1324.63</v>
      </c>
      <c r="E108" s="64">
        <f>SUM(E106:E107)</f>
        <v>130.23000000000002</v>
      </c>
      <c r="F108" s="64">
        <f>SUM(F106:F107)</f>
        <v>1454.86</v>
      </c>
      <c r="G108" s="1"/>
      <c r="H108" s="53"/>
    </row>
    <row r="109" spans="1:13" s="2" customFormat="1" ht="13.5" thickTop="1" x14ac:dyDescent="0.2">
      <c r="A109" s="24"/>
      <c r="B109" s="1"/>
      <c r="C109" s="62"/>
      <c r="D109" s="65"/>
      <c r="E109" s="66"/>
      <c r="F109" s="67"/>
      <c r="L109" s="1"/>
      <c r="M109" s="1"/>
    </row>
    <row r="110" spans="1:13" s="2" customFormat="1" x14ac:dyDescent="0.2">
      <c r="A110" s="24"/>
      <c r="B110" s="1"/>
      <c r="C110" s="62" t="str">
        <f>"01-04-2023 to " &amp;C107</f>
        <v>01-04-2023 to 15-09-2023</v>
      </c>
      <c r="D110" s="68">
        <f>+D108+24261.33</f>
        <v>25585.960000000003</v>
      </c>
      <c r="E110" s="68">
        <f>+E108+1685.25</f>
        <v>1815.48</v>
      </c>
      <c r="F110" s="68">
        <f>+F108+25946.58</f>
        <v>27401.440000000002</v>
      </c>
      <c r="G110" s="1"/>
      <c r="L110" s="1"/>
      <c r="M110" s="1"/>
    </row>
    <row r="111" spans="1:13" s="2" customFormat="1" x14ac:dyDescent="0.2">
      <c r="A111" s="24"/>
      <c r="B111" s="1"/>
      <c r="C111" s="52"/>
      <c r="D111" s="85"/>
      <c r="E111" s="53"/>
      <c r="F111" s="53"/>
      <c r="G111" s="1"/>
      <c r="L111" s="1"/>
      <c r="M111" s="1"/>
    </row>
    <row r="112" spans="1:13" s="2" customFormat="1" x14ac:dyDescent="0.2">
      <c r="A112" s="24"/>
      <c r="B112" s="1"/>
      <c r="C112" s="52"/>
      <c r="D112" s="85"/>
      <c r="E112" s="53"/>
      <c r="F112" s="53"/>
      <c r="G112" s="1"/>
      <c r="L112" s="1"/>
      <c r="M112" s="1"/>
    </row>
    <row r="113" spans="1:13" s="2" customFormat="1" x14ac:dyDescent="0.2">
      <c r="A113" s="24"/>
      <c r="B113" s="1"/>
      <c r="C113" s="52"/>
      <c r="D113" s="85"/>
      <c r="E113" s="53"/>
      <c r="F113" s="53"/>
      <c r="G113" s="1"/>
      <c r="L113" s="1"/>
      <c r="M113" s="1"/>
    </row>
    <row r="114" spans="1:13" s="2" customFormat="1" x14ac:dyDescent="0.2">
      <c r="A114" s="24"/>
      <c r="B114" s="1"/>
      <c r="C114" s="52"/>
      <c r="D114" s="85"/>
      <c r="E114" s="53"/>
      <c r="F114" s="53"/>
      <c r="G114" s="1"/>
      <c r="L114" s="1"/>
      <c r="M114" s="1"/>
    </row>
    <row r="115" spans="1:13" s="2" customFormat="1" x14ac:dyDescent="0.2">
      <c r="A115" s="24"/>
      <c r="B115" s="1"/>
      <c r="C115" s="14"/>
      <c r="D115" s="25"/>
      <c r="G115" s="1"/>
      <c r="L115" s="1"/>
      <c r="M115" s="1"/>
    </row>
    <row r="116" spans="1:13" s="2" customFormat="1" x14ac:dyDescent="0.2">
      <c r="A116" s="24"/>
      <c r="B116" s="1"/>
      <c r="C116" s="14"/>
      <c r="D116" s="25"/>
      <c r="G116" s="1"/>
      <c r="L116" s="1"/>
      <c r="M116" s="1"/>
    </row>
    <row r="117" spans="1:13" s="2" customFormat="1" x14ac:dyDescent="0.2">
      <c r="A117" s="24"/>
      <c r="B117" s="1"/>
      <c r="C117" s="14"/>
      <c r="D117" s="25"/>
      <c r="G117" s="1"/>
      <c r="L117" s="1"/>
      <c r="M117" s="1"/>
    </row>
    <row r="118" spans="1:13" s="2" customFormat="1" x14ac:dyDescent="0.2">
      <c r="A118" s="24"/>
      <c r="B118" s="1"/>
      <c r="C118" s="14"/>
      <c r="D118" s="25"/>
      <c r="G118" s="1"/>
      <c r="L118" s="1"/>
      <c r="M118" s="1"/>
    </row>
    <row r="119" spans="1:13" s="2" customFormat="1" x14ac:dyDescent="0.2">
      <c r="A119" s="24"/>
      <c r="B119" s="1"/>
      <c r="C119" s="14"/>
      <c r="D119" s="25"/>
      <c r="G119" s="1"/>
      <c r="L119" s="1"/>
      <c r="M119" s="1"/>
    </row>
    <row r="120" spans="1:13" s="2" customFormat="1" x14ac:dyDescent="0.2">
      <c r="A120" s="24"/>
      <c r="B120" s="1"/>
      <c r="C120" s="14"/>
      <c r="D120" s="25"/>
      <c r="G120" s="1"/>
      <c r="L120" s="1"/>
      <c r="M120" s="1"/>
    </row>
    <row r="121" spans="1:13" s="2" customFormat="1" x14ac:dyDescent="0.2">
      <c r="A121" s="24"/>
      <c r="B121" s="1"/>
      <c r="C121" s="14"/>
      <c r="D121" s="25"/>
      <c r="G121" s="1"/>
      <c r="L121" s="1"/>
      <c r="M121" s="1"/>
    </row>
    <row r="122" spans="1:13" s="2" customFormat="1" x14ac:dyDescent="0.2">
      <c r="A122" s="24"/>
      <c r="B122" s="1"/>
      <c r="C122" s="14"/>
      <c r="D122" s="25"/>
      <c r="G122" s="1"/>
      <c r="L122" s="1"/>
      <c r="M122" s="1"/>
    </row>
    <row r="123" spans="1:13" s="2" customFormat="1" x14ac:dyDescent="0.2">
      <c r="A123" s="24"/>
      <c r="B123" s="1"/>
      <c r="C123" s="14"/>
      <c r="D123" s="25"/>
      <c r="G123" s="1"/>
      <c r="L123" s="1"/>
      <c r="M123" s="1"/>
    </row>
    <row r="124" spans="1:13" s="2" customFormat="1" x14ac:dyDescent="0.2">
      <c r="A124" s="24"/>
      <c r="B124" s="1"/>
      <c r="C124" s="14"/>
      <c r="D124" s="25"/>
      <c r="G124" s="1"/>
      <c r="L124" s="1"/>
      <c r="M124" s="1"/>
    </row>
    <row r="125" spans="1:13" s="2" customFormat="1" x14ac:dyDescent="0.2">
      <c r="A125" s="24"/>
      <c r="B125" s="1"/>
      <c r="C125" s="14"/>
      <c r="D125" s="25"/>
      <c r="G125" s="1"/>
      <c r="L125" s="1"/>
      <c r="M125" s="1"/>
    </row>
    <row r="126" spans="1:13" s="2" customFormat="1" x14ac:dyDescent="0.2">
      <c r="A126" s="24"/>
      <c r="B126" s="1"/>
      <c r="C126" s="14"/>
      <c r="D126" s="25"/>
      <c r="G126" s="1"/>
      <c r="L126" s="1"/>
      <c r="M126" s="1"/>
    </row>
    <row r="127" spans="1:13" s="2" customFormat="1" x14ac:dyDescent="0.2">
      <c r="A127" s="24"/>
      <c r="B127" s="1"/>
      <c r="C127" s="14"/>
      <c r="D127" s="25"/>
      <c r="G127" s="1"/>
      <c r="L127" s="1"/>
      <c r="M127" s="1"/>
    </row>
    <row r="128" spans="1:13" s="2" customFormat="1" x14ac:dyDescent="0.2">
      <c r="A128" s="24"/>
      <c r="B128" s="1"/>
      <c r="C128" s="14"/>
      <c r="D128" s="25"/>
      <c r="G128" s="1"/>
      <c r="L128" s="1"/>
      <c r="M128" s="1"/>
    </row>
    <row r="129" spans="1:14" s="2" customFormat="1" x14ac:dyDescent="0.2">
      <c r="A129" s="24"/>
      <c r="B129" s="1"/>
      <c r="C129" s="14"/>
      <c r="D129" s="25"/>
      <c r="G129" s="1"/>
      <c r="I129" s="1"/>
      <c r="J129" s="1"/>
      <c r="K129" s="1"/>
      <c r="L129" s="1"/>
      <c r="M129" s="1"/>
    </row>
    <row r="130" spans="1:14" s="2" customFormat="1" x14ac:dyDescent="0.2">
      <c r="A130" s="24"/>
      <c r="B130" s="1"/>
      <c r="C130" s="14"/>
      <c r="D130" s="25"/>
      <c r="G130" s="1"/>
    </row>
    <row r="131" spans="1:14" s="2" customFormat="1" x14ac:dyDescent="0.2">
      <c r="A131" s="24"/>
      <c r="B131" s="1"/>
      <c r="C131" s="14"/>
      <c r="D131" s="25"/>
      <c r="G131" s="1"/>
      <c r="I131" s="1"/>
      <c r="J131" s="1"/>
      <c r="K131" s="1"/>
      <c r="L131" s="1"/>
      <c r="M131" s="1"/>
    </row>
    <row r="132" spans="1:14" s="2" customFormat="1" x14ac:dyDescent="0.2">
      <c r="A132" s="24"/>
      <c r="B132" s="1"/>
      <c r="C132" s="14"/>
      <c r="D132" s="25"/>
      <c r="G132" s="54"/>
      <c r="I132" s="1"/>
      <c r="J132" s="1"/>
      <c r="K132" s="1"/>
      <c r="L132" s="1"/>
      <c r="M132" s="1"/>
    </row>
    <row r="133" spans="1:14" s="2" customFormat="1" x14ac:dyDescent="0.2">
      <c r="A133" s="24"/>
      <c r="B133" s="1"/>
      <c r="C133" s="14"/>
      <c r="D133" s="25"/>
      <c r="G133" s="54"/>
      <c r="I133" s="1"/>
      <c r="J133" s="1"/>
      <c r="K133" s="1"/>
      <c r="L133" s="1"/>
      <c r="M133" s="1"/>
    </row>
    <row r="134" spans="1:14" s="2" customFormat="1" x14ac:dyDescent="0.2">
      <c r="A134" s="24"/>
      <c r="B134" s="1"/>
      <c r="C134" s="14"/>
      <c r="D134" s="25"/>
      <c r="G134" s="54"/>
      <c r="I134" s="1"/>
      <c r="J134" s="1"/>
      <c r="K134" s="1"/>
      <c r="L134" s="1"/>
      <c r="M134" s="1"/>
    </row>
    <row r="135" spans="1:14" s="2" customFormat="1" x14ac:dyDescent="0.2">
      <c r="A135" s="24"/>
      <c r="B135" s="1"/>
      <c r="C135" s="14"/>
      <c r="D135" s="25"/>
      <c r="G135" s="54"/>
      <c r="H135" s="2" t="s">
        <v>396</v>
      </c>
      <c r="I135" s="1"/>
      <c r="J135" s="1"/>
      <c r="K135" s="1"/>
      <c r="L135" s="1"/>
      <c r="M135" s="1"/>
      <c r="N135" s="1"/>
    </row>
    <row r="136" spans="1:14" s="2" customFormat="1" x14ac:dyDescent="0.2">
      <c r="A136" s="24"/>
      <c r="B136" s="1"/>
      <c r="C136" s="14"/>
      <c r="D136" s="25"/>
      <c r="G136" s="54"/>
      <c r="H136" s="53"/>
    </row>
    <row r="137" spans="1:14" s="2" customFormat="1" x14ac:dyDescent="0.2">
      <c r="A137" s="24"/>
      <c r="B137" s="1"/>
      <c r="C137" s="14"/>
      <c r="D137" s="25"/>
      <c r="G137" s="54"/>
      <c r="H137" s="53" t="s">
        <v>396</v>
      </c>
      <c r="I137" s="1"/>
      <c r="J137" s="1"/>
      <c r="K137" s="1"/>
      <c r="L137" s="1"/>
      <c r="M137" s="1"/>
      <c r="N137" s="1"/>
    </row>
    <row r="138" spans="1:14" x14ac:dyDescent="0.2">
      <c r="G138" s="54"/>
      <c r="H138" s="53" t="s">
        <v>396</v>
      </c>
      <c r="J138" s="42"/>
    </row>
    <row r="139" spans="1:14" s="2" customFormat="1" x14ac:dyDescent="0.2">
      <c r="A139" s="24"/>
      <c r="B139" s="1"/>
      <c r="C139" s="14"/>
      <c r="D139" s="25"/>
      <c r="G139" s="54"/>
      <c r="H139" s="53"/>
      <c r="I139" s="101"/>
      <c r="J139" s="1"/>
      <c r="K139" s="1"/>
      <c r="L139" s="1"/>
      <c r="M139" s="1"/>
      <c r="N139" s="1"/>
    </row>
    <row r="140" spans="1:14" x14ac:dyDescent="0.2">
      <c r="G140" s="54"/>
      <c r="H140" s="53"/>
    </row>
    <row r="141" spans="1:14" x14ac:dyDescent="0.2">
      <c r="G141" s="54"/>
      <c r="H141" s="53"/>
    </row>
    <row r="142" spans="1:14" x14ac:dyDescent="0.2">
      <c r="G142" s="54"/>
      <c r="H142" s="53"/>
    </row>
  </sheetData>
  <sheetProtection insertRows="0"/>
  <mergeCells count="6">
    <mergeCell ref="C104:F104"/>
    <mergeCell ref="A1:G1"/>
    <mergeCell ref="A3:F3"/>
    <mergeCell ref="A9:F9"/>
    <mergeCell ref="A19:F19"/>
    <mergeCell ref="A74:D74"/>
  </mergeCells>
  <conditionalFormatting sqref="G71:G72">
    <cfRule type="cellIs" dxfId="311" priority="1" operator="lessThan">
      <formula>0</formula>
    </cfRule>
  </conditionalFormatting>
  <conditionalFormatting sqref="C21">
    <cfRule type="duplicateValues" dxfId="310" priority="2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700-000000000000}">
  <sheetPr codeName="Sheet431">
    <pageSetUpPr fitToPage="1"/>
  </sheetPr>
  <dimension ref="A1:N188"/>
  <sheetViews>
    <sheetView topLeftCell="A46" zoomScaleNormal="100" workbookViewId="0">
      <selection activeCell="D70" sqref="D70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1" ht="20.25" customHeight="1" x14ac:dyDescent="0.4">
      <c r="A1" s="212" t="s">
        <v>1546</v>
      </c>
      <c r="B1" s="212"/>
      <c r="C1" s="212"/>
      <c r="D1" s="212"/>
      <c r="E1" s="212"/>
      <c r="F1" s="212"/>
      <c r="G1" s="212"/>
      <c r="H1" s="112"/>
      <c r="I1" s="112"/>
    </row>
    <row r="2" spans="1:11" ht="12.75" customHeight="1" x14ac:dyDescent="0.4">
      <c r="H2" s="112"/>
      <c r="I2" s="112"/>
    </row>
    <row r="3" spans="1:11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1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1" s="2" customFormat="1" ht="14.25" customHeight="1" x14ac:dyDescent="0.4">
      <c r="A5" s="89">
        <v>45187</v>
      </c>
      <c r="B5" s="9" t="s">
        <v>6</v>
      </c>
      <c r="C5" s="10" t="s">
        <v>7</v>
      </c>
      <c r="D5" s="11"/>
      <c r="E5" s="12">
        <v>1715152.790000001</v>
      </c>
      <c r="F5" s="12"/>
      <c r="G5" s="1"/>
      <c r="H5" s="112"/>
      <c r="I5" s="112"/>
    </row>
    <row r="6" spans="1:11" s="2" customFormat="1" ht="12.75" customHeight="1" x14ac:dyDescent="0.4">
      <c r="D6" s="15" t="s">
        <v>8</v>
      </c>
      <c r="E6" s="16">
        <f>SUM(E5:E5)</f>
        <v>1715152.790000001</v>
      </c>
      <c r="F6" s="16">
        <f>SUM(F5:F5)</f>
        <v>0</v>
      </c>
      <c r="G6" s="1"/>
      <c r="H6" s="112"/>
      <c r="I6" s="112"/>
    </row>
    <row r="7" spans="1:11" s="2" customFormat="1" ht="12.75" customHeight="1" x14ac:dyDescent="0.4">
      <c r="A7" s="17"/>
      <c r="B7" s="18"/>
      <c r="C7" s="19" t="s">
        <v>9</v>
      </c>
      <c r="D7" s="20"/>
      <c r="E7" s="21">
        <f>+E6-F6</f>
        <v>1715152.790000001</v>
      </c>
      <c r="F7" s="22"/>
      <c r="G7" s="23"/>
      <c r="H7" s="112"/>
      <c r="I7" s="112"/>
      <c r="J7" s="13"/>
    </row>
    <row r="8" spans="1:11" ht="12.75" customHeight="1" x14ac:dyDescent="0.4">
      <c r="H8" s="112"/>
      <c r="I8" s="112"/>
    </row>
    <row r="9" spans="1:11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69">
        <v>90000000</v>
      </c>
      <c r="J9" s="169" t="s">
        <v>1508</v>
      </c>
    </row>
    <row r="10" spans="1:11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69">
        <v>88482240.760000005</v>
      </c>
      <c r="J10" s="169" t="s">
        <v>1509</v>
      </c>
      <c r="K10" s="124"/>
    </row>
    <row r="11" spans="1:11" s="2" customFormat="1" ht="14.25" customHeight="1" x14ac:dyDescent="0.2">
      <c r="A11" s="89">
        <v>45187</v>
      </c>
      <c r="B11" s="9" t="s">
        <v>6</v>
      </c>
      <c r="C11" s="10" t="s">
        <v>7</v>
      </c>
      <c r="D11" s="11"/>
      <c r="F11" s="12">
        <v>87941993.520000041</v>
      </c>
      <c r="G11" s="1"/>
      <c r="H11" s="130" t="s">
        <v>396</v>
      </c>
      <c r="I11" s="169">
        <f>+I9-I10</f>
        <v>1517759.2399999946</v>
      </c>
      <c r="J11" s="169" t="s">
        <v>712</v>
      </c>
      <c r="K11" s="165" t="s">
        <v>1512</v>
      </c>
    </row>
    <row r="12" spans="1:11" s="2" customFormat="1" ht="14.25" customHeight="1" x14ac:dyDescent="0.2">
      <c r="A12" s="89">
        <v>45187</v>
      </c>
      <c r="B12" s="9" t="s">
        <v>6</v>
      </c>
      <c r="C12" s="10" t="s">
        <v>1242</v>
      </c>
      <c r="D12" s="11" t="s">
        <v>13</v>
      </c>
      <c r="E12" s="2">
        <v>15850233.789999999</v>
      </c>
      <c r="F12" s="12"/>
      <c r="G12" s="1"/>
      <c r="H12" s="130"/>
      <c r="I12" s="171"/>
      <c r="J12" s="171"/>
      <c r="K12" s="165"/>
    </row>
    <row r="13" spans="1:11" s="2" customFormat="1" ht="14.25" customHeight="1" x14ac:dyDescent="0.2">
      <c r="A13" s="89">
        <v>45187</v>
      </c>
      <c r="B13" s="9" t="s">
        <v>6</v>
      </c>
      <c r="C13" s="10" t="s">
        <v>201</v>
      </c>
      <c r="D13" s="11" t="s">
        <v>13</v>
      </c>
      <c r="E13" s="2">
        <v>384851</v>
      </c>
      <c r="F13" s="12"/>
      <c r="G13" s="1"/>
      <c r="H13" s="130"/>
      <c r="I13" s="171"/>
      <c r="J13" s="171"/>
      <c r="K13" s="165"/>
    </row>
    <row r="14" spans="1:11" s="2" customFormat="1" ht="14.25" customHeight="1" x14ac:dyDescent="0.2">
      <c r="A14" s="89">
        <v>45187</v>
      </c>
      <c r="B14" s="9" t="s">
        <v>6</v>
      </c>
      <c r="C14" s="10" t="s">
        <v>331</v>
      </c>
      <c r="D14" s="11" t="s">
        <v>13</v>
      </c>
      <c r="E14" s="2">
        <v>1200000</v>
      </c>
      <c r="F14" s="12"/>
      <c r="G14" s="1"/>
      <c r="H14" s="130"/>
      <c r="I14" s="171"/>
      <c r="J14" s="171"/>
      <c r="K14" s="165"/>
    </row>
    <row r="15" spans="1:11" s="2" customFormat="1" ht="14.25" customHeight="1" x14ac:dyDescent="0.2">
      <c r="A15" s="89">
        <v>45187</v>
      </c>
      <c r="B15" s="9" t="s">
        <v>6</v>
      </c>
      <c r="C15" s="10" t="s">
        <v>468</v>
      </c>
      <c r="D15" s="11" t="s">
        <v>13</v>
      </c>
      <c r="E15" s="2">
        <v>9179</v>
      </c>
      <c r="F15" s="12"/>
      <c r="G15" s="1"/>
      <c r="H15" s="130"/>
      <c r="I15" s="171"/>
      <c r="J15" s="171"/>
      <c r="K15" s="165"/>
    </row>
    <row r="16" spans="1:11" s="2" customFormat="1" ht="14.25" customHeight="1" x14ac:dyDescent="0.2">
      <c r="A16" s="89">
        <v>45187</v>
      </c>
      <c r="B16" s="9" t="s">
        <v>6</v>
      </c>
      <c r="C16" s="10" t="s">
        <v>375</v>
      </c>
      <c r="D16" s="11" t="s">
        <v>13</v>
      </c>
      <c r="E16" s="2">
        <v>5664</v>
      </c>
      <c r="F16" s="12"/>
      <c r="G16" s="1"/>
      <c r="H16" s="130"/>
      <c r="I16" s="171"/>
      <c r="J16" s="171"/>
      <c r="K16" s="165"/>
    </row>
    <row r="17" spans="1:11" s="2" customFormat="1" ht="14.25" customHeight="1" x14ac:dyDescent="0.2">
      <c r="A17" s="89">
        <v>45187</v>
      </c>
      <c r="B17" s="9" t="s">
        <v>6</v>
      </c>
      <c r="C17" s="10" t="s">
        <v>1333</v>
      </c>
      <c r="D17" s="11" t="s">
        <v>13</v>
      </c>
      <c r="E17" s="2">
        <v>255910</v>
      </c>
      <c r="F17" s="12"/>
      <c r="G17" s="1"/>
      <c r="H17" s="130"/>
      <c r="I17" s="171"/>
      <c r="J17" s="171"/>
      <c r="K17" s="165"/>
    </row>
    <row r="18" spans="1:11" s="2" customFormat="1" ht="14.25" customHeight="1" x14ac:dyDescent="0.2">
      <c r="A18" s="89">
        <v>45187</v>
      </c>
      <c r="B18" s="9" t="s">
        <v>11</v>
      </c>
      <c r="C18" s="10" t="s">
        <v>1137</v>
      </c>
      <c r="D18" s="11" t="s">
        <v>29</v>
      </c>
      <c r="F18" s="12">
        <v>263143.03000000003</v>
      </c>
      <c r="G18" s="1"/>
      <c r="H18" s="130"/>
      <c r="I18" s="171"/>
      <c r="J18" s="171"/>
      <c r="K18" s="165"/>
    </row>
    <row r="19" spans="1:11" s="2" customFormat="1" ht="14.25" customHeight="1" x14ac:dyDescent="0.2">
      <c r="A19" s="89">
        <v>45187</v>
      </c>
      <c r="B19" s="9" t="s">
        <v>11</v>
      </c>
      <c r="C19" s="10" t="s">
        <v>195</v>
      </c>
      <c r="D19" s="11" t="s">
        <v>29</v>
      </c>
      <c r="F19" s="12">
        <v>4700</v>
      </c>
      <c r="G19" s="1"/>
      <c r="H19" s="130"/>
      <c r="I19" s="171"/>
      <c r="J19" s="171"/>
      <c r="K19" s="165"/>
    </row>
    <row r="20" spans="1:11" s="2" customFormat="1" ht="14.25" customHeight="1" x14ac:dyDescent="0.2">
      <c r="A20" s="89">
        <v>45187</v>
      </c>
      <c r="B20" s="9" t="s">
        <v>11</v>
      </c>
      <c r="C20" s="10" t="s">
        <v>235</v>
      </c>
      <c r="D20" s="11" t="s">
        <v>29</v>
      </c>
      <c r="F20" s="12">
        <v>6012</v>
      </c>
      <c r="G20" s="1"/>
      <c r="H20" s="130"/>
      <c r="I20" s="171"/>
      <c r="J20" s="171"/>
      <c r="K20" s="165"/>
    </row>
    <row r="21" spans="1:11" s="2" customFormat="1" ht="14.25" customHeight="1" x14ac:dyDescent="0.2">
      <c r="A21" s="89">
        <v>45187</v>
      </c>
      <c r="B21" s="9" t="s">
        <v>11</v>
      </c>
      <c r="C21" s="10" t="s">
        <v>745</v>
      </c>
      <c r="D21" s="11" t="s">
        <v>29</v>
      </c>
      <c r="F21" s="12">
        <v>1322300</v>
      </c>
      <c r="G21" s="1"/>
      <c r="H21" s="130"/>
      <c r="I21" s="171"/>
      <c r="J21" s="171"/>
      <c r="K21" s="165"/>
    </row>
    <row r="22" spans="1:11" s="2" customFormat="1" ht="14.25" customHeight="1" x14ac:dyDescent="0.2">
      <c r="A22" s="89">
        <v>45187</v>
      </c>
      <c r="B22" s="9" t="s">
        <v>11</v>
      </c>
      <c r="C22" s="10" t="s">
        <v>193</v>
      </c>
      <c r="D22" s="11" t="s">
        <v>29</v>
      </c>
      <c r="F22" s="12">
        <v>775036</v>
      </c>
      <c r="G22" s="1"/>
      <c r="H22" s="130"/>
      <c r="I22" s="171"/>
      <c r="J22" s="171"/>
      <c r="K22" s="165"/>
    </row>
    <row r="23" spans="1:11" s="2" customFormat="1" ht="14.25" customHeight="1" x14ac:dyDescent="0.2">
      <c r="A23" s="89">
        <v>45187</v>
      </c>
      <c r="B23" s="9" t="s">
        <v>11</v>
      </c>
      <c r="C23" s="10" t="s">
        <v>56</v>
      </c>
      <c r="D23" s="11" t="s">
        <v>29</v>
      </c>
      <c r="F23" s="12">
        <v>642544</v>
      </c>
      <c r="G23" s="1"/>
      <c r="H23" s="130"/>
      <c r="I23" s="171"/>
      <c r="J23" s="171"/>
      <c r="K23" s="165"/>
    </row>
    <row r="24" spans="1:11" s="2" customFormat="1" ht="14.25" customHeight="1" x14ac:dyDescent="0.2">
      <c r="A24" s="89">
        <v>45187</v>
      </c>
      <c r="B24" s="9" t="s">
        <v>11</v>
      </c>
      <c r="C24" s="10" t="s">
        <v>849</v>
      </c>
      <c r="D24" s="11" t="s">
        <v>29</v>
      </c>
      <c r="F24" s="12">
        <v>346591</v>
      </c>
      <c r="G24" s="1"/>
      <c r="H24" s="130"/>
      <c r="I24" s="171"/>
      <c r="J24" s="171"/>
      <c r="K24" s="165"/>
    </row>
    <row r="25" spans="1:11" s="2" customFormat="1" ht="14.25" customHeight="1" x14ac:dyDescent="0.2">
      <c r="A25" s="89">
        <v>45187</v>
      </c>
      <c r="B25" s="9" t="s">
        <v>11</v>
      </c>
      <c r="C25" s="10" t="s">
        <v>1140</v>
      </c>
      <c r="D25" s="11" t="s">
        <v>29</v>
      </c>
      <c r="F25" s="12">
        <v>457392</v>
      </c>
      <c r="G25" s="1"/>
      <c r="H25" s="130"/>
      <c r="I25" s="171"/>
      <c r="J25" s="171"/>
      <c r="K25" s="165"/>
    </row>
    <row r="26" spans="1:11" s="2" customFormat="1" ht="14.25" customHeight="1" x14ac:dyDescent="0.2">
      <c r="A26" s="89">
        <v>45187</v>
      </c>
      <c r="B26" s="9" t="s">
        <v>11</v>
      </c>
      <c r="C26" s="10" t="s">
        <v>790</v>
      </c>
      <c r="D26" s="11" t="s">
        <v>29</v>
      </c>
      <c r="F26" s="12">
        <v>783856</v>
      </c>
      <c r="G26" s="1"/>
      <c r="H26" s="130"/>
      <c r="I26" s="171"/>
      <c r="J26" s="171"/>
      <c r="K26" s="165"/>
    </row>
    <row r="27" spans="1:11" s="2" customFormat="1" ht="14.25" customHeight="1" x14ac:dyDescent="0.2">
      <c r="A27" s="89">
        <v>45187</v>
      </c>
      <c r="B27" s="9" t="s">
        <v>11</v>
      </c>
      <c r="C27" s="10" t="s">
        <v>139</v>
      </c>
      <c r="D27" s="11" t="s">
        <v>29</v>
      </c>
      <c r="F27" s="12">
        <v>619592</v>
      </c>
      <c r="G27" s="1"/>
      <c r="H27" s="130"/>
      <c r="I27" s="171"/>
      <c r="J27" s="171"/>
      <c r="K27" s="165"/>
    </row>
    <row r="28" spans="1:11" s="2" customFormat="1" ht="14.25" customHeight="1" x14ac:dyDescent="0.2">
      <c r="A28" s="89">
        <v>45187</v>
      </c>
      <c r="B28" s="9" t="s">
        <v>11</v>
      </c>
      <c r="C28" s="10" t="s">
        <v>300</v>
      </c>
      <c r="D28" s="11" t="s">
        <v>29</v>
      </c>
      <c r="F28" s="12">
        <v>186485</v>
      </c>
      <c r="G28" s="1"/>
      <c r="H28" s="130"/>
      <c r="I28" s="171"/>
      <c r="J28" s="171"/>
      <c r="K28" s="165"/>
    </row>
    <row r="29" spans="1:11" s="2" customFormat="1" ht="14.25" customHeight="1" x14ac:dyDescent="0.2">
      <c r="A29" s="89">
        <v>45187</v>
      </c>
      <c r="B29" s="9" t="s">
        <v>11</v>
      </c>
      <c r="C29" s="10" t="s">
        <v>194</v>
      </c>
      <c r="D29" s="11" t="s">
        <v>29</v>
      </c>
      <c r="F29" s="12">
        <v>1330985</v>
      </c>
      <c r="G29" s="1"/>
      <c r="H29" s="130"/>
      <c r="I29" s="171"/>
      <c r="J29" s="171"/>
      <c r="K29" s="165"/>
    </row>
    <row r="30" spans="1:11" s="2" customFormat="1" ht="14.25" customHeight="1" x14ac:dyDescent="0.2">
      <c r="A30" s="89">
        <v>45187</v>
      </c>
      <c r="B30" s="9" t="s">
        <v>11</v>
      </c>
      <c r="C30" s="10" t="s">
        <v>647</v>
      </c>
      <c r="D30" s="11" t="s">
        <v>29</v>
      </c>
      <c r="F30" s="12">
        <v>1484322</v>
      </c>
      <c r="G30" s="1"/>
      <c r="H30" s="130"/>
      <c r="I30" s="171"/>
      <c r="J30" s="171"/>
      <c r="K30" s="165"/>
    </row>
    <row r="31" spans="1:11" s="2" customFormat="1" ht="14.25" customHeight="1" x14ac:dyDescent="0.2">
      <c r="A31" s="89">
        <v>45187</v>
      </c>
      <c r="B31" s="9" t="s">
        <v>11</v>
      </c>
      <c r="C31" s="10" t="s">
        <v>1299</v>
      </c>
      <c r="D31" s="11" t="s">
        <v>29</v>
      </c>
      <c r="F31" s="12">
        <v>224798</v>
      </c>
      <c r="G31" s="1"/>
      <c r="H31" s="130"/>
      <c r="I31" s="171"/>
      <c r="J31" s="171"/>
      <c r="K31" s="165"/>
    </row>
    <row r="32" spans="1:11" s="2" customFormat="1" ht="14.25" customHeight="1" x14ac:dyDescent="0.2">
      <c r="A32" s="89">
        <v>45187</v>
      </c>
      <c r="B32" s="9" t="s">
        <v>11</v>
      </c>
      <c r="C32" s="10" t="s">
        <v>1547</v>
      </c>
      <c r="D32" s="11" t="s">
        <v>29</v>
      </c>
      <c r="F32" s="12">
        <v>35708</v>
      </c>
      <c r="G32" s="1"/>
      <c r="H32" s="130"/>
      <c r="I32" s="171"/>
      <c r="J32" s="171"/>
      <c r="K32" s="165"/>
    </row>
    <row r="33" spans="1:14" s="2" customFormat="1" ht="14.25" customHeight="1" x14ac:dyDescent="0.2">
      <c r="A33" s="89">
        <v>45187</v>
      </c>
      <c r="B33" s="9" t="s">
        <v>11</v>
      </c>
      <c r="C33" s="10" t="s">
        <v>1548</v>
      </c>
      <c r="D33" s="11" t="s">
        <v>29</v>
      </c>
      <c r="F33" s="12">
        <v>100000</v>
      </c>
      <c r="G33" s="1"/>
      <c r="H33" s="130"/>
      <c r="I33" s="171"/>
      <c r="J33" s="171"/>
      <c r="K33" s="165"/>
    </row>
    <row r="34" spans="1:14" s="2" customFormat="1" ht="14.25" customHeight="1" x14ac:dyDescent="0.2">
      <c r="A34" s="89">
        <v>45187</v>
      </c>
      <c r="B34" s="9" t="s">
        <v>11</v>
      </c>
      <c r="C34" s="10" t="s">
        <v>1363</v>
      </c>
      <c r="D34" s="11" t="s">
        <v>29</v>
      </c>
      <c r="F34" s="12">
        <v>2957042</v>
      </c>
      <c r="G34" s="1"/>
      <c r="H34" s="130"/>
      <c r="I34" s="171"/>
      <c r="J34" s="171"/>
      <c r="K34" s="165"/>
    </row>
    <row r="35" spans="1:14" s="2" customFormat="1" ht="14.25" customHeight="1" x14ac:dyDescent="0.2">
      <c r="A35" s="89">
        <v>45187</v>
      </c>
      <c r="B35" s="9" t="s">
        <v>11</v>
      </c>
      <c r="C35" s="10" t="s">
        <v>279</v>
      </c>
      <c r="D35" s="11" t="s">
        <v>29</v>
      </c>
      <c r="F35" s="12">
        <v>2225924</v>
      </c>
      <c r="G35" s="1"/>
      <c r="H35" s="130"/>
      <c r="I35" s="171"/>
      <c r="J35" s="171"/>
      <c r="K35" s="165"/>
    </row>
    <row r="36" spans="1:14" s="2" customFormat="1" ht="14.25" customHeight="1" x14ac:dyDescent="0.2">
      <c r="A36" s="89">
        <v>45187</v>
      </c>
      <c r="B36" s="9" t="s">
        <v>11</v>
      </c>
      <c r="C36" s="10" t="s">
        <v>33</v>
      </c>
      <c r="D36" s="11" t="s">
        <v>29</v>
      </c>
      <c r="F36" s="12">
        <v>2524051</v>
      </c>
      <c r="G36" s="1"/>
      <c r="H36" s="130"/>
      <c r="I36" s="171"/>
      <c r="J36" s="171"/>
      <c r="K36" s="165"/>
    </row>
    <row r="37" spans="1:14" s="2" customFormat="1" ht="14.25" customHeight="1" x14ac:dyDescent="0.2">
      <c r="A37" s="89">
        <v>45187</v>
      </c>
      <c r="B37" s="9" t="s">
        <v>11</v>
      </c>
      <c r="C37" s="10" t="s">
        <v>140</v>
      </c>
      <c r="D37" s="11" t="s">
        <v>29</v>
      </c>
      <c r="F37" s="12">
        <v>119530</v>
      </c>
      <c r="G37" s="1"/>
      <c r="H37" s="130"/>
      <c r="I37" s="171"/>
      <c r="J37" s="171"/>
      <c r="K37" s="165"/>
    </row>
    <row r="38" spans="1:14" s="2" customFormat="1" ht="14.25" customHeight="1" x14ac:dyDescent="0.2">
      <c r="D38" s="11" t="s">
        <v>8</v>
      </c>
      <c r="E38" s="16">
        <f>SUM(E11:E37)</f>
        <v>17705837.789999999</v>
      </c>
      <c r="F38" s="16">
        <f>SUM(F11:F37)</f>
        <v>104352004.55000004</v>
      </c>
      <c r="G38" s="1"/>
      <c r="H38" s="143"/>
      <c r="I38" s="130"/>
      <c r="J38" s="143"/>
      <c r="K38" s="143"/>
      <c r="L38" s="143"/>
      <c r="M38" s="143"/>
    </row>
    <row r="39" spans="1:14" s="2" customFormat="1" ht="14.25" customHeight="1" x14ac:dyDescent="0.4">
      <c r="A39" s="17"/>
      <c r="B39" s="18"/>
      <c r="C39" s="96" t="s">
        <v>9</v>
      </c>
      <c r="D39" s="20"/>
      <c r="E39" s="21">
        <f>+F38-E38</f>
        <v>86646166.76000005</v>
      </c>
      <c r="G39" s="1"/>
      <c r="I39" s="112"/>
      <c r="J39" s="153" t="s">
        <v>779</v>
      </c>
    </row>
    <row r="40" spans="1:14" s="2" customFormat="1" ht="14.25" customHeight="1" x14ac:dyDescent="0.2">
      <c r="A40" s="36"/>
      <c r="B40" s="28" t="s">
        <v>66</v>
      </c>
      <c r="C40" s="43" t="s">
        <v>1458</v>
      </c>
      <c r="D40" s="43"/>
      <c r="E40" s="12">
        <v>30000000</v>
      </c>
      <c r="F40" s="22"/>
      <c r="G40" s="1"/>
      <c r="I40" s="40">
        <v>86746166.760000005</v>
      </c>
      <c r="J40" s="154">
        <f>I40-E39</f>
        <v>99999.999999955297</v>
      </c>
    </row>
    <row r="41" spans="1:14" s="2" customFormat="1" ht="14.25" customHeight="1" x14ac:dyDescent="0.25">
      <c r="A41" s="36"/>
      <c r="B41" s="28"/>
      <c r="C41" s="44" t="s">
        <v>1541</v>
      </c>
      <c r="D41" s="43"/>
      <c r="E41" s="7">
        <f>+E39+E40</f>
        <v>116646166.76000005</v>
      </c>
      <c r="F41" s="22"/>
      <c r="G41" s="1"/>
    </row>
    <row r="42" spans="1:14" s="2" customFormat="1" ht="14.25" customHeight="1" x14ac:dyDescent="0.25">
      <c r="A42" s="36"/>
      <c r="B42" s="28"/>
      <c r="C42" s="44" t="s">
        <v>1511</v>
      </c>
      <c r="D42" s="43"/>
      <c r="E42" s="38">
        <f>+I11</f>
        <v>1517759.2399999946</v>
      </c>
      <c r="F42" s="22"/>
      <c r="G42" s="1"/>
    </row>
    <row r="43" spans="1:14" s="2" customFormat="1" ht="14.25" customHeight="1" x14ac:dyDescent="0.2">
      <c r="A43" s="24"/>
      <c r="B43" s="1"/>
      <c r="C43" s="14"/>
      <c r="D43" s="25"/>
      <c r="G43" s="1"/>
      <c r="I43" s="130"/>
      <c r="J43" s="130"/>
    </row>
    <row r="44" spans="1:14" s="2" customFormat="1" x14ac:dyDescent="0.2">
      <c r="A44" s="214" t="s">
        <v>10</v>
      </c>
      <c r="B44" s="214"/>
      <c r="C44" s="214"/>
      <c r="D44" s="214"/>
      <c r="E44" s="214"/>
      <c r="F44" s="214"/>
      <c r="G44" s="1"/>
      <c r="H44" s="159"/>
      <c r="I44" s="160">
        <v>150000000</v>
      </c>
      <c r="J44" s="160" t="s">
        <v>1506</v>
      </c>
      <c r="K44" s="70"/>
    </row>
    <row r="45" spans="1:14" s="2" customFormat="1" x14ac:dyDescent="0.2">
      <c r="A45" s="26" t="s">
        <v>1</v>
      </c>
      <c r="B45" s="27" t="s">
        <v>2</v>
      </c>
      <c r="C45" s="5"/>
      <c r="D45" s="6" t="s">
        <v>3</v>
      </c>
      <c r="E45" s="7" t="s">
        <v>4</v>
      </c>
      <c r="F45" s="7" t="s">
        <v>5</v>
      </c>
      <c r="G45" s="1"/>
      <c r="H45" s="159"/>
      <c r="I45" s="160">
        <v>117370704.87</v>
      </c>
      <c r="J45" s="160" t="s">
        <v>1507</v>
      </c>
      <c r="K45" s="70" t="s">
        <v>1512</v>
      </c>
    </row>
    <row r="46" spans="1:14" s="2" customFormat="1" x14ac:dyDescent="0.2">
      <c r="A46" s="89">
        <v>45187</v>
      </c>
      <c r="B46" s="128" t="s">
        <v>11</v>
      </c>
      <c r="C46" s="29" t="s">
        <v>7</v>
      </c>
      <c r="D46" s="25"/>
      <c r="E46" s="31"/>
      <c r="F46" s="2">
        <v>120993751.87000006</v>
      </c>
      <c r="G46" s="23"/>
      <c r="H46" s="159" t="s">
        <v>1505</v>
      </c>
      <c r="I46" s="160">
        <f>+I44-I45</f>
        <v>32629295.129999995</v>
      </c>
      <c r="J46" s="160"/>
      <c r="K46" s="70"/>
    </row>
    <row r="47" spans="1:14" s="2" customFormat="1" x14ac:dyDescent="0.2">
      <c r="A47" s="89">
        <v>45187</v>
      </c>
      <c r="B47" s="128" t="s">
        <v>6</v>
      </c>
      <c r="C47" s="10" t="s">
        <v>200</v>
      </c>
      <c r="D47" s="11" t="s">
        <v>13</v>
      </c>
      <c r="E47" s="86">
        <v>31391</v>
      </c>
      <c r="F47" s="70"/>
      <c r="G47" s="1"/>
      <c r="N47" s="1"/>
    </row>
    <row r="48" spans="1:14" s="2" customFormat="1" x14ac:dyDescent="0.2">
      <c r="A48" s="89">
        <v>45187</v>
      </c>
      <c r="B48" s="128" t="s">
        <v>6</v>
      </c>
      <c r="C48" s="10" t="s">
        <v>895</v>
      </c>
      <c r="D48" s="11" t="s">
        <v>13</v>
      </c>
      <c r="E48" s="86">
        <v>2573</v>
      </c>
      <c r="F48" s="70"/>
      <c r="G48" s="1"/>
      <c r="N48" s="1"/>
    </row>
    <row r="49" spans="1:14" s="2" customFormat="1" x14ac:dyDescent="0.2">
      <c r="A49" s="89">
        <v>45187</v>
      </c>
      <c r="B49" s="128" t="s">
        <v>6</v>
      </c>
      <c r="C49" s="10" t="s">
        <v>19</v>
      </c>
      <c r="D49" s="11" t="s">
        <v>13</v>
      </c>
      <c r="E49" s="86">
        <v>5445124</v>
      </c>
      <c r="F49" s="70"/>
      <c r="G49" s="1"/>
      <c r="N49" s="1"/>
    </row>
    <row r="50" spans="1:14" s="2" customFormat="1" x14ac:dyDescent="0.2">
      <c r="A50" s="89">
        <v>45187</v>
      </c>
      <c r="B50" s="128" t="s">
        <v>6</v>
      </c>
      <c r="C50" s="10" t="s">
        <v>947</v>
      </c>
      <c r="D50" s="11" t="s">
        <v>13</v>
      </c>
      <c r="E50" s="86">
        <v>794596</v>
      </c>
      <c r="F50" s="70"/>
      <c r="G50" s="1"/>
      <c r="N50" s="1"/>
    </row>
    <row r="51" spans="1:14" s="2" customFormat="1" x14ac:dyDescent="0.2">
      <c r="A51" s="89">
        <v>45187</v>
      </c>
      <c r="B51" s="128" t="s">
        <v>6</v>
      </c>
      <c r="C51" s="10" t="s">
        <v>1061</v>
      </c>
      <c r="D51" s="11" t="s">
        <v>13</v>
      </c>
      <c r="E51" s="86">
        <v>2147305</v>
      </c>
      <c r="F51" s="70"/>
      <c r="G51" s="1"/>
      <c r="N51" s="1"/>
    </row>
    <row r="52" spans="1:14" s="2" customFormat="1" x14ac:dyDescent="0.2">
      <c r="A52" s="89">
        <v>45187</v>
      </c>
      <c r="B52" s="128" t="s">
        <v>6</v>
      </c>
      <c r="C52" s="10" t="s">
        <v>516</v>
      </c>
      <c r="D52" s="11" t="s">
        <v>13</v>
      </c>
      <c r="E52" s="86">
        <v>73000</v>
      </c>
      <c r="F52" s="70"/>
      <c r="G52" s="1"/>
      <c r="N52" s="1"/>
    </row>
    <row r="53" spans="1:14" s="2" customFormat="1" x14ac:dyDescent="0.2">
      <c r="A53" s="89">
        <v>45187</v>
      </c>
      <c r="B53" s="128" t="s">
        <v>6</v>
      </c>
      <c r="C53" s="10" t="s">
        <v>421</v>
      </c>
      <c r="D53" s="11" t="s">
        <v>13</v>
      </c>
      <c r="E53" s="86">
        <v>500000</v>
      </c>
      <c r="F53" s="70"/>
      <c r="G53" s="1"/>
      <c r="N53" s="1"/>
    </row>
    <row r="54" spans="1:14" s="2" customFormat="1" x14ac:dyDescent="0.2">
      <c r="A54" s="89">
        <v>45187</v>
      </c>
      <c r="B54" s="128" t="s">
        <v>6</v>
      </c>
      <c r="C54" s="10" t="s">
        <v>455</v>
      </c>
      <c r="D54" s="11" t="s">
        <v>13</v>
      </c>
      <c r="E54" s="86">
        <v>1221810</v>
      </c>
      <c r="F54" s="70"/>
      <c r="G54" s="1"/>
      <c r="N54" s="1"/>
    </row>
    <row r="55" spans="1:14" s="2" customFormat="1" x14ac:dyDescent="0.2">
      <c r="A55" s="89">
        <v>45187</v>
      </c>
      <c r="B55" s="128" t="s">
        <v>6</v>
      </c>
      <c r="C55" s="10" t="s">
        <v>1549</v>
      </c>
      <c r="D55" s="11" t="s">
        <v>13</v>
      </c>
      <c r="E55" s="86">
        <v>9460</v>
      </c>
      <c r="F55" s="70"/>
      <c r="G55" s="1"/>
      <c r="N55" s="1"/>
    </row>
    <row r="56" spans="1:14" s="2" customFormat="1" x14ac:dyDescent="0.2">
      <c r="A56" s="89">
        <v>45187</v>
      </c>
      <c r="B56" s="128" t="s">
        <v>6</v>
      </c>
      <c r="C56" s="10" t="s">
        <v>1334</v>
      </c>
      <c r="D56" s="11" t="s">
        <v>13</v>
      </c>
      <c r="E56" s="86">
        <v>6720</v>
      </c>
      <c r="F56" s="70"/>
      <c r="G56" s="1"/>
      <c r="N56" s="1"/>
    </row>
    <row r="57" spans="1:14" s="2" customFormat="1" x14ac:dyDescent="0.2">
      <c r="A57" s="89">
        <v>45187</v>
      </c>
      <c r="B57" s="128" t="s">
        <v>6</v>
      </c>
      <c r="C57" s="10" t="s">
        <v>144</v>
      </c>
      <c r="D57" s="11" t="s">
        <v>13</v>
      </c>
      <c r="E57" s="86">
        <v>4370564</v>
      </c>
      <c r="F57" s="70"/>
      <c r="G57" s="1"/>
      <c r="N57" s="1"/>
    </row>
    <row r="58" spans="1:14" s="2" customFormat="1" x14ac:dyDescent="0.2">
      <c r="A58" s="89">
        <v>45187</v>
      </c>
      <c r="B58" s="128" t="s">
        <v>6</v>
      </c>
      <c r="C58" s="10" t="s">
        <v>1499</v>
      </c>
      <c r="D58" s="11" t="s">
        <v>13</v>
      </c>
      <c r="E58" s="86">
        <v>2684021</v>
      </c>
      <c r="F58" s="70"/>
      <c r="G58" s="1"/>
      <c r="N58" s="1"/>
    </row>
    <row r="59" spans="1:14" s="2" customFormat="1" x14ac:dyDescent="0.2">
      <c r="A59" s="89">
        <v>45187</v>
      </c>
      <c r="B59" s="128" t="s">
        <v>6</v>
      </c>
      <c r="C59" s="10" t="s">
        <v>935</v>
      </c>
      <c r="D59" s="11" t="s">
        <v>13</v>
      </c>
      <c r="E59" s="86">
        <v>1578749</v>
      </c>
      <c r="F59" s="70"/>
      <c r="G59" s="1"/>
      <c r="N59" s="1"/>
    </row>
    <row r="60" spans="1:14" s="2" customFormat="1" x14ac:dyDescent="0.2">
      <c r="A60" s="89">
        <v>45187</v>
      </c>
      <c r="B60" s="128" t="s">
        <v>6</v>
      </c>
      <c r="C60" s="10" t="s">
        <v>1192</v>
      </c>
      <c r="D60" s="11" t="s">
        <v>13</v>
      </c>
      <c r="E60" s="86">
        <v>3327344</v>
      </c>
      <c r="F60" s="70"/>
      <c r="G60" s="1"/>
      <c r="N60" s="1"/>
    </row>
    <row r="61" spans="1:14" s="2" customFormat="1" x14ac:dyDescent="0.2">
      <c r="A61" s="89">
        <v>45187</v>
      </c>
      <c r="B61" s="128" t="s">
        <v>6</v>
      </c>
      <c r="C61" s="10" t="s">
        <v>1163</v>
      </c>
      <c r="D61" s="11" t="s">
        <v>13</v>
      </c>
      <c r="E61" s="86">
        <v>164328</v>
      </c>
      <c r="F61" s="70"/>
      <c r="G61" s="1"/>
      <c r="N61" s="1"/>
    </row>
    <row r="62" spans="1:14" s="2" customFormat="1" x14ac:dyDescent="0.2">
      <c r="A62" s="89">
        <v>45187</v>
      </c>
      <c r="B62" s="128" t="s">
        <v>6</v>
      </c>
      <c r="C62" s="10" t="s">
        <v>1497</v>
      </c>
      <c r="D62" s="11" t="s">
        <v>13</v>
      </c>
      <c r="E62" s="86">
        <v>1826795</v>
      </c>
      <c r="F62" s="70"/>
      <c r="G62" s="1"/>
      <c r="N62" s="1"/>
    </row>
    <row r="63" spans="1:14" s="2" customFormat="1" x14ac:dyDescent="0.2">
      <c r="A63" s="89">
        <v>45187</v>
      </c>
      <c r="B63" s="128" t="s">
        <v>6</v>
      </c>
      <c r="C63" s="10" t="s">
        <v>272</v>
      </c>
      <c r="D63" s="11" t="s">
        <v>13</v>
      </c>
      <c r="E63" s="86">
        <v>7313</v>
      </c>
      <c r="F63" s="70"/>
      <c r="G63" s="1"/>
      <c r="N63" s="1"/>
    </row>
    <row r="64" spans="1:14" s="2" customFormat="1" x14ac:dyDescent="0.2">
      <c r="A64" s="89">
        <v>45187</v>
      </c>
      <c r="B64" s="128" t="s">
        <v>6</v>
      </c>
      <c r="C64" s="10" t="s">
        <v>390</v>
      </c>
      <c r="D64" s="11" t="s">
        <v>13</v>
      </c>
      <c r="E64" s="86">
        <v>27232</v>
      </c>
      <c r="F64" s="70"/>
      <c r="G64" s="1"/>
      <c r="N64" s="1"/>
    </row>
    <row r="65" spans="1:14" s="2" customFormat="1" x14ac:dyDescent="0.2">
      <c r="A65" s="89">
        <v>45187</v>
      </c>
      <c r="B65" s="128" t="s">
        <v>6</v>
      </c>
      <c r="C65" s="10" t="s">
        <v>320</v>
      </c>
      <c r="D65" s="11" t="s">
        <v>13</v>
      </c>
      <c r="E65" s="86">
        <v>13630</v>
      </c>
      <c r="F65" s="70"/>
      <c r="G65" s="1"/>
      <c r="N65" s="1"/>
    </row>
    <row r="66" spans="1:14" s="2" customFormat="1" x14ac:dyDescent="0.2">
      <c r="A66" s="89">
        <v>45187</v>
      </c>
      <c r="B66" s="128" t="s">
        <v>6</v>
      </c>
      <c r="C66" s="10" t="s">
        <v>564</v>
      </c>
      <c r="D66" s="11" t="s">
        <v>13</v>
      </c>
      <c r="E66" s="86">
        <v>4744596.6900000004</v>
      </c>
      <c r="F66" s="70"/>
      <c r="G66" s="1"/>
      <c r="N66" s="1"/>
    </row>
    <row r="67" spans="1:14" s="2" customFormat="1" x14ac:dyDescent="0.2">
      <c r="A67" s="89">
        <v>45187</v>
      </c>
      <c r="B67" s="128" t="s">
        <v>6</v>
      </c>
      <c r="C67" s="10" t="s">
        <v>164</v>
      </c>
      <c r="D67" s="11" t="s">
        <v>13</v>
      </c>
      <c r="E67" s="86">
        <v>500000</v>
      </c>
      <c r="F67" s="70"/>
      <c r="G67" s="1"/>
      <c r="N67" s="1"/>
    </row>
    <row r="68" spans="1:14" s="2" customFormat="1" x14ac:dyDescent="0.2">
      <c r="A68" s="89">
        <v>45187</v>
      </c>
      <c r="B68" s="128" t="s">
        <v>6</v>
      </c>
      <c r="C68" s="10" t="s">
        <v>16</v>
      </c>
      <c r="D68" s="11" t="s">
        <v>13</v>
      </c>
      <c r="E68" s="86">
        <v>7712.8</v>
      </c>
      <c r="F68" s="70"/>
      <c r="G68" s="1"/>
      <c r="N68" s="1"/>
    </row>
    <row r="69" spans="1:14" s="2" customFormat="1" x14ac:dyDescent="0.2">
      <c r="A69" s="89">
        <v>45187</v>
      </c>
      <c r="B69" s="128" t="s">
        <v>6</v>
      </c>
      <c r="C69" s="10" t="s">
        <v>1351</v>
      </c>
      <c r="D69" s="11" t="s">
        <v>13</v>
      </c>
      <c r="E69" s="86">
        <v>8127.4</v>
      </c>
      <c r="F69" s="70"/>
      <c r="G69" s="1"/>
      <c r="N69" s="1"/>
    </row>
    <row r="70" spans="1:14" s="2" customFormat="1" x14ac:dyDescent="0.2">
      <c r="A70" s="89">
        <v>45187</v>
      </c>
      <c r="B70" s="128" t="s">
        <v>6</v>
      </c>
      <c r="C70" s="10" t="s">
        <v>1550</v>
      </c>
      <c r="D70" s="11" t="s">
        <v>13</v>
      </c>
      <c r="E70" s="86">
        <v>210503.18</v>
      </c>
      <c r="F70" s="70"/>
      <c r="G70" s="1"/>
      <c r="N70" s="1"/>
    </row>
    <row r="71" spans="1:14" s="2" customFormat="1" x14ac:dyDescent="0.2">
      <c r="A71" s="89">
        <v>45187</v>
      </c>
      <c r="B71" s="128" t="s">
        <v>6</v>
      </c>
      <c r="C71" s="10" t="s">
        <v>1551</v>
      </c>
      <c r="D71" s="11" t="s">
        <v>13</v>
      </c>
      <c r="E71" s="86">
        <v>234449</v>
      </c>
      <c r="F71" s="70"/>
      <c r="G71" s="1"/>
      <c r="N71" s="1"/>
    </row>
    <row r="72" spans="1:14" s="2" customFormat="1" x14ac:dyDescent="0.2">
      <c r="A72" s="89">
        <v>45187</v>
      </c>
      <c r="B72" s="128" t="s">
        <v>6</v>
      </c>
      <c r="C72" s="10" t="s">
        <v>785</v>
      </c>
      <c r="D72" s="11" t="s">
        <v>13</v>
      </c>
      <c r="E72" s="86">
        <v>6073657</v>
      </c>
      <c r="F72" s="70"/>
      <c r="G72" s="1"/>
      <c r="N72" s="1"/>
    </row>
    <row r="73" spans="1:14" s="2" customFormat="1" x14ac:dyDescent="0.2">
      <c r="A73" s="89">
        <v>45187</v>
      </c>
      <c r="B73" s="128" t="s">
        <v>6</v>
      </c>
      <c r="C73" s="10" t="s">
        <v>746</v>
      </c>
      <c r="D73" s="11" t="s">
        <v>13</v>
      </c>
      <c r="E73" s="86">
        <v>1000000</v>
      </c>
      <c r="F73" s="70"/>
      <c r="G73" s="1"/>
      <c r="N73" s="1"/>
    </row>
    <row r="74" spans="1:14" s="2" customFormat="1" x14ac:dyDescent="0.2">
      <c r="A74" s="89">
        <v>45187</v>
      </c>
      <c r="B74" s="128" t="s">
        <v>6</v>
      </c>
      <c r="C74" s="10" t="s">
        <v>465</v>
      </c>
      <c r="D74" s="11" t="s">
        <v>13</v>
      </c>
      <c r="E74" s="86">
        <v>800000</v>
      </c>
      <c r="F74" s="70"/>
      <c r="G74" s="1"/>
      <c r="N74" s="1"/>
    </row>
    <row r="75" spans="1:14" s="2" customFormat="1" x14ac:dyDescent="0.2">
      <c r="A75" s="89">
        <v>45187</v>
      </c>
      <c r="B75" s="128" t="s">
        <v>6</v>
      </c>
      <c r="C75" s="10" t="s">
        <v>15</v>
      </c>
      <c r="D75" s="11" t="s">
        <v>13</v>
      </c>
      <c r="E75" s="86">
        <v>1319.15</v>
      </c>
      <c r="F75" s="70"/>
      <c r="G75" s="1"/>
      <c r="N75" s="1"/>
    </row>
    <row r="76" spans="1:14" s="2" customFormat="1" x14ac:dyDescent="0.2">
      <c r="A76" s="89">
        <v>45187</v>
      </c>
      <c r="B76" s="128" t="s">
        <v>6</v>
      </c>
      <c r="C76" s="10" t="s">
        <v>15</v>
      </c>
      <c r="D76" s="11" t="s">
        <v>29</v>
      </c>
      <c r="E76" s="86"/>
      <c r="F76" s="70">
        <v>102720.35</v>
      </c>
      <c r="G76" s="1"/>
      <c r="N76" s="1"/>
    </row>
    <row r="77" spans="1:14" s="2" customFormat="1" x14ac:dyDescent="0.2">
      <c r="A77" s="89">
        <v>45187</v>
      </c>
      <c r="B77" s="128" t="s">
        <v>6</v>
      </c>
      <c r="C77" s="10" t="s">
        <v>64</v>
      </c>
      <c r="D77" s="11" t="s">
        <v>29</v>
      </c>
      <c r="E77" s="86"/>
      <c r="F77" s="70">
        <v>29102.65</v>
      </c>
      <c r="G77" s="1"/>
      <c r="N77" s="1"/>
    </row>
    <row r="78" spans="1:14" s="2" customFormat="1" x14ac:dyDescent="0.2">
      <c r="A78" s="89">
        <v>45187</v>
      </c>
      <c r="B78" s="128" t="s">
        <v>6</v>
      </c>
      <c r="C78" s="10" t="s">
        <v>263</v>
      </c>
      <c r="D78" s="11" t="s">
        <v>29</v>
      </c>
      <c r="E78" s="86"/>
      <c r="F78" s="70">
        <v>42069</v>
      </c>
      <c r="G78" s="1"/>
      <c r="N78" s="1"/>
    </row>
    <row r="79" spans="1:14" s="2" customFormat="1" x14ac:dyDescent="0.2">
      <c r="A79" s="89">
        <v>45187</v>
      </c>
      <c r="B79" s="128" t="s">
        <v>6</v>
      </c>
      <c r="C79" s="10" t="s">
        <v>719</v>
      </c>
      <c r="D79" s="11" t="s">
        <v>29</v>
      </c>
      <c r="E79" s="86"/>
      <c r="F79" s="70">
        <v>20353</v>
      </c>
      <c r="G79" s="1"/>
      <c r="N79" s="1"/>
    </row>
    <row r="80" spans="1:14" s="2" customFormat="1" x14ac:dyDescent="0.2">
      <c r="A80" s="89">
        <v>45187</v>
      </c>
      <c r="B80" s="128" t="s">
        <v>6</v>
      </c>
      <c r="C80" s="10" t="s">
        <v>1498</v>
      </c>
      <c r="D80" s="11" t="s">
        <v>29</v>
      </c>
      <c r="E80" s="86"/>
      <c r="F80" s="70">
        <v>6000</v>
      </c>
      <c r="G80" s="1"/>
      <c r="N80" s="1"/>
    </row>
    <row r="81" spans="1:14" s="2" customFormat="1" x14ac:dyDescent="0.2">
      <c r="A81" s="89">
        <v>45187</v>
      </c>
      <c r="B81" s="128" t="s">
        <v>6</v>
      </c>
      <c r="C81" s="10" t="s">
        <v>628</v>
      </c>
      <c r="D81" s="11" t="s">
        <v>29</v>
      </c>
      <c r="E81" s="86"/>
      <c r="F81" s="70">
        <v>16236</v>
      </c>
      <c r="G81" s="1"/>
      <c r="N81" s="1"/>
    </row>
    <row r="82" spans="1:14" s="2" customFormat="1" x14ac:dyDescent="0.2">
      <c r="A82" s="89">
        <v>45187</v>
      </c>
      <c r="B82" s="128" t="s">
        <v>6</v>
      </c>
      <c r="C82" s="10" t="s">
        <v>290</v>
      </c>
      <c r="D82" s="11" t="s">
        <v>29</v>
      </c>
      <c r="E82" s="86"/>
      <c r="F82" s="70">
        <v>15050</v>
      </c>
      <c r="G82" s="1"/>
      <c r="N82" s="1"/>
    </row>
    <row r="83" spans="1:14" s="2" customFormat="1" x14ac:dyDescent="0.2">
      <c r="A83" s="89">
        <v>45187</v>
      </c>
      <c r="B83" s="128" t="s">
        <v>6</v>
      </c>
      <c r="C83" s="10" t="s">
        <v>363</v>
      </c>
      <c r="D83" s="11" t="s">
        <v>29</v>
      </c>
      <c r="E83" s="86"/>
      <c r="F83" s="70">
        <v>32224</v>
      </c>
      <c r="G83" s="1"/>
      <c r="N83" s="1"/>
    </row>
    <row r="84" spans="1:14" s="2" customFormat="1" x14ac:dyDescent="0.2">
      <c r="A84" s="89">
        <v>45187</v>
      </c>
      <c r="B84" s="128" t="s">
        <v>6</v>
      </c>
      <c r="C84" s="10" t="s">
        <v>35</v>
      </c>
      <c r="D84" s="11" t="s">
        <v>29</v>
      </c>
      <c r="E84" s="86"/>
      <c r="F84" s="70">
        <v>130998.7</v>
      </c>
      <c r="G84" s="1"/>
      <c r="N84" s="1"/>
    </row>
    <row r="85" spans="1:14" s="2" customFormat="1" x14ac:dyDescent="0.2">
      <c r="A85" s="89">
        <v>45187</v>
      </c>
      <c r="B85" s="128" t="s">
        <v>6</v>
      </c>
      <c r="C85" s="10" t="s">
        <v>292</v>
      </c>
      <c r="D85" s="11" t="s">
        <v>29</v>
      </c>
      <c r="E85" s="86"/>
      <c r="F85" s="70">
        <v>8699.81</v>
      </c>
      <c r="G85" s="1"/>
      <c r="I85" s="2" t="s">
        <v>396</v>
      </c>
      <c r="J85" s="2" t="s">
        <v>396</v>
      </c>
      <c r="K85" s="2" t="s">
        <v>396</v>
      </c>
      <c r="L85" s="2" t="s">
        <v>396</v>
      </c>
      <c r="N85" s="1"/>
    </row>
    <row r="86" spans="1:14" s="2" customFormat="1" x14ac:dyDescent="0.2">
      <c r="A86" s="89">
        <v>45187</v>
      </c>
      <c r="B86" s="128" t="s">
        <v>6</v>
      </c>
      <c r="C86" s="10" t="s">
        <v>96</v>
      </c>
      <c r="D86" s="11" t="s">
        <v>29</v>
      </c>
      <c r="E86" s="86"/>
      <c r="F86" s="70">
        <v>7527</v>
      </c>
      <c r="G86" s="1"/>
      <c r="I86" s="2" t="s">
        <v>396</v>
      </c>
      <c r="N86" s="1"/>
    </row>
    <row r="87" spans="1:14" s="2" customFormat="1" x14ac:dyDescent="0.2">
      <c r="A87" s="89">
        <v>45187</v>
      </c>
      <c r="B87" s="128" t="s">
        <v>6</v>
      </c>
      <c r="C87" s="10" t="s">
        <v>459</v>
      </c>
      <c r="D87" s="11" t="s">
        <v>29</v>
      </c>
      <c r="E87" s="86"/>
      <c r="F87" s="70">
        <v>20533</v>
      </c>
      <c r="G87" s="1"/>
      <c r="N87" s="1"/>
    </row>
    <row r="88" spans="1:14" s="172" customFormat="1" x14ac:dyDescent="0.2">
      <c r="A88" s="89">
        <v>45187</v>
      </c>
      <c r="B88" s="128" t="s">
        <v>6</v>
      </c>
      <c r="C88" s="145" t="s">
        <v>649</v>
      </c>
      <c r="D88" s="142" t="s">
        <v>29</v>
      </c>
      <c r="E88" s="146"/>
      <c r="F88" s="139">
        <v>1000000</v>
      </c>
      <c r="G88" s="23"/>
      <c r="N88" s="23"/>
    </row>
    <row r="89" spans="1:14" s="2" customFormat="1" x14ac:dyDescent="0.2">
      <c r="A89" s="89">
        <v>45187</v>
      </c>
      <c r="B89" s="128" t="s">
        <v>11</v>
      </c>
      <c r="C89" s="10" t="s">
        <v>789</v>
      </c>
      <c r="D89" s="11" t="s">
        <v>29</v>
      </c>
      <c r="E89" s="86"/>
      <c r="F89" s="70">
        <v>313936</v>
      </c>
      <c r="G89" s="1"/>
      <c r="N89" s="1"/>
    </row>
    <row r="90" spans="1:14" s="2" customFormat="1" x14ac:dyDescent="0.2">
      <c r="A90" s="89">
        <v>45187</v>
      </c>
      <c r="B90" s="128" t="s">
        <v>11</v>
      </c>
      <c r="C90" s="10" t="s">
        <v>57</v>
      </c>
      <c r="D90" s="11" t="s">
        <v>29</v>
      </c>
      <c r="E90" s="86"/>
      <c r="F90" s="70">
        <v>7500000</v>
      </c>
      <c r="G90" s="1"/>
      <c r="N90" s="1"/>
    </row>
    <row r="91" spans="1:14" s="2" customFormat="1" x14ac:dyDescent="0.2">
      <c r="A91" s="89">
        <v>45187</v>
      </c>
      <c r="B91" s="128" t="s">
        <v>11</v>
      </c>
      <c r="C91" s="10" t="s">
        <v>701</v>
      </c>
      <c r="D91" s="11" t="s">
        <v>29</v>
      </c>
      <c r="E91" s="86"/>
      <c r="F91" s="70">
        <v>69030</v>
      </c>
      <c r="G91" s="1"/>
      <c r="N91" s="1"/>
    </row>
    <row r="92" spans="1:14" s="2" customFormat="1" x14ac:dyDescent="0.2">
      <c r="A92" s="89">
        <v>45187</v>
      </c>
      <c r="B92" s="128" t="s">
        <v>11</v>
      </c>
      <c r="C92" s="10" t="s">
        <v>362</v>
      </c>
      <c r="D92" s="11" t="s">
        <v>29</v>
      </c>
      <c r="E92" s="86"/>
      <c r="F92" s="70">
        <v>50000</v>
      </c>
      <c r="G92" s="1"/>
      <c r="N92" s="1"/>
    </row>
    <row r="93" spans="1:14" s="2" customFormat="1" x14ac:dyDescent="0.2">
      <c r="A93" s="89">
        <v>45187</v>
      </c>
      <c r="B93" s="128" t="s">
        <v>11</v>
      </c>
      <c r="C93" s="10" t="s">
        <v>338</v>
      </c>
      <c r="D93" s="11" t="s">
        <v>29</v>
      </c>
      <c r="E93" s="86"/>
      <c r="F93" s="70">
        <v>100000</v>
      </c>
      <c r="G93" s="1"/>
      <c r="N93" s="1"/>
    </row>
    <row r="94" spans="1:14" s="2" customFormat="1" x14ac:dyDescent="0.2">
      <c r="A94" s="89">
        <v>45187</v>
      </c>
      <c r="B94" s="128" t="s">
        <v>11</v>
      </c>
      <c r="C94" s="10" t="s">
        <v>1131</v>
      </c>
      <c r="D94" s="11" t="s">
        <v>29</v>
      </c>
      <c r="E94" s="86"/>
      <c r="F94" s="70">
        <v>12140486</v>
      </c>
      <c r="G94" s="1"/>
      <c r="N94" s="1"/>
    </row>
    <row r="95" spans="1:14" s="2" customFormat="1" x14ac:dyDescent="0.2">
      <c r="A95" s="32"/>
      <c r="B95" s="33"/>
      <c r="C95" s="14"/>
      <c r="D95" s="34"/>
      <c r="E95" s="16">
        <f>SUM(E46:E94)</f>
        <v>37812320.219999999</v>
      </c>
      <c r="F95" s="16">
        <f>SUM(F46:F94)</f>
        <v>142598717.38000005</v>
      </c>
      <c r="G95" s="1"/>
      <c r="H95" s="1"/>
      <c r="I95" s="38">
        <v>104786397.16</v>
      </c>
      <c r="J95" s="2" t="s">
        <v>396</v>
      </c>
      <c r="K95" s="92">
        <f>E96-I95</f>
        <v>0</v>
      </c>
      <c r="N95" s="1"/>
    </row>
    <row r="96" spans="1:14" s="2" customFormat="1" x14ac:dyDescent="0.2">
      <c r="A96" s="36"/>
      <c r="B96" s="28" t="s">
        <v>11</v>
      </c>
      <c r="C96" s="19" t="s">
        <v>65</v>
      </c>
      <c r="D96" s="37"/>
      <c r="E96" s="38">
        <f>F95-E95</f>
        <v>104786397.16000006</v>
      </c>
      <c r="F96" s="22"/>
      <c r="G96" s="1"/>
      <c r="H96" s="70"/>
      <c r="I96" s="70"/>
      <c r="J96" s="70"/>
      <c r="K96" s="70"/>
      <c r="N96" s="1"/>
    </row>
    <row r="97" spans="1:14" s="2" customFormat="1" x14ac:dyDescent="0.2">
      <c r="A97" s="36"/>
      <c r="B97" s="28" t="s">
        <v>66</v>
      </c>
      <c r="C97" s="19" t="s">
        <v>67</v>
      </c>
      <c r="D97" s="37"/>
      <c r="E97" s="38">
        <v>6500000</v>
      </c>
      <c r="F97" s="22"/>
      <c r="G97" s="1"/>
      <c r="H97" s="70"/>
      <c r="I97" s="70"/>
      <c r="J97" s="70"/>
      <c r="K97" s="70"/>
      <c r="N97" s="1"/>
    </row>
    <row r="98" spans="1:14" s="2" customFormat="1" x14ac:dyDescent="0.2">
      <c r="A98" s="36"/>
      <c r="B98" s="28" t="s">
        <v>66</v>
      </c>
      <c r="C98" s="43" t="s">
        <v>1457</v>
      </c>
      <c r="D98" s="43"/>
      <c r="E98" s="12">
        <v>350000000</v>
      </c>
      <c r="F98" s="22"/>
      <c r="G98" s="1"/>
      <c r="H98" s="70"/>
      <c r="I98" s="45">
        <v>2020.09</v>
      </c>
      <c r="J98" s="46"/>
      <c r="K98" s="46"/>
      <c r="N98" s="1"/>
    </row>
    <row r="99" spans="1:14" s="2" customFormat="1" ht="15" x14ac:dyDescent="0.25">
      <c r="A99" s="36"/>
      <c r="B99" s="28"/>
      <c r="C99" s="44" t="s">
        <v>1541</v>
      </c>
      <c r="D99" s="43"/>
      <c r="E99" s="7">
        <f>+E98+E96+E97</f>
        <v>461286397.16000009</v>
      </c>
      <c r="F99" s="22"/>
      <c r="G99" s="1"/>
      <c r="H99" s="103" t="s">
        <v>69</v>
      </c>
      <c r="I99" s="45">
        <v>-58.58</v>
      </c>
      <c r="J99" s="46"/>
      <c r="K99" s="46"/>
      <c r="N99" s="1"/>
    </row>
    <row r="100" spans="1:14" s="2" customFormat="1" ht="15" x14ac:dyDescent="0.25">
      <c r="A100" s="24"/>
      <c r="B100" s="1"/>
      <c r="C100" s="44" t="s">
        <v>1510</v>
      </c>
      <c r="D100" s="25"/>
      <c r="E100" s="156">
        <f>+I46</f>
        <v>32629295.129999995</v>
      </c>
      <c r="G100" s="1"/>
      <c r="H100" s="35" t="s">
        <v>70</v>
      </c>
      <c r="I100" s="45">
        <f>34.15+5.97</f>
        <v>40.119999999999997</v>
      </c>
      <c r="J100" s="46">
        <f>+I101-D103</f>
        <v>0</v>
      </c>
      <c r="N100" s="1"/>
    </row>
    <row r="101" spans="1:14" s="124" customFormat="1" ht="12.75" customHeight="1" x14ac:dyDescent="0.2">
      <c r="A101" s="24"/>
      <c r="B101" s="1"/>
      <c r="C101" s="56"/>
      <c r="D101" s="56"/>
      <c r="E101" s="104"/>
      <c r="F101" s="2"/>
      <c r="G101" s="166"/>
      <c r="H101" s="70"/>
      <c r="I101" s="49">
        <f>SUM(I98:I100)</f>
        <v>2001.6299999999999</v>
      </c>
      <c r="J101" s="46"/>
      <c r="K101" s="46"/>
    </row>
    <row r="102" spans="1:14" s="124" customFormat="1" ht="12.75" customHeight="1" x14ac:dyDescent="0.2">
      <c r="A102" s="24"/>
      <c r="B102" s="1"/>
      <c r="C102" s="78" t="s">
        <v>575</v>
      </c>
      <c r="D102" s="48" t="s">
        <v>576</v>
      </c>
      <c r="E102" s="104"/>
      <c r="F102" s="2"/>
      <c r="G102" s="168"/>
      <c r="H102" s="167"/>
      <c r="I102" s="167"/>
      <c r="J102" s="168"/>
    </row>
    <row r="103" spans="1:14" s="124" customFormat="1" ht="12.75" customHeight="1" x14ac:dyDescent="0.2">
      <c r="A103" s="24"/>
      <c r="B103" s="1"/>
      <c r="C103" s="47" t="s">
        <v>570</v>
      </c>
      <c r="D103" s="111">
        <v>2001.63</v>
      </c>
      <c r="E103" s="104"/>
      <c r="F103" s="2"/>
      <c r="G103" s="168"/>
      <c r="H103" s="110" t="s">
        <v>581</v>
      </c>
      <c r="I103" s="167"/>
      <c r="J103" s="168"/>
    </row>
    <row r="104" spans="1:14" s="124" customFormat="1" ht="12.75" customHeight="1" x14ac:dyDescent="0.2">
      <c r="A104" s="24"/>
      <c r="B104" s="1"/>
      <c r="C104" s="47" t="s">
        <v>931</v>
      </c>
      <c r="D104" s="111">
        <v>242.34</v>
      </c>
      <c r="E104" s="104"/>
      <c r="F104" s="2"/>
      <c r="G104" s="168"/>
      <c r="H104" s="110" t="s">
        <v>580</v>
      </c>
      <c r="I104" s="167"/>
      <c r="J104" s="168"/>
    </row>
    <row r="105" spans="1:14" s="124" customFormat="1" ht="12.75" customHeight="1" x14ac:dyDescent="0.2">
      <c r="A105" s="24"/>
      <c r="B105" s="1"/>
      <c r="C105" s="47" t="s">
        <v>572</v>
      </c>
      <c r="D105" s="111">
        <f>+D148/100000</f>
        <v>234.8928228</v>
      </c>
      <c r="E105" s="104"/>
      <c r="F105" s="2"/>
      <c r="G105" s="166"/>
      <c r="H105" s="90" t="s">
        <v>587</v>
      </c>
      <c r="I105" s="167"/>
      <c r="J105" s="168"/>
    </row>
    <row r="106" spans="1:14" s="2" customFormat="1" x14ac:dyDescent="0.2">
      <c r="A106" s="24"/>
      <c r="B106" s="1"/>
      <c r="C106" s="108" t="s">
        <v>578</v>
      </c>
      <c r="D106" s="48">
        <f>SUM(D103:D105)</f>
        <v>2478.8628228000002</v>
      </c>
      <c r="E106" s="104"/>
      <c r="G106" s="30"/>
      <c r="I106" s="13"/>
      <c r="J106" s="13"/>
    </row>
    <row r="107" spans="1:14" s="70" customFormat="1" x14ac:dyDescent="0.2">
      <c r="A107" s="24"/>
      <c r="B107" s="1"/>
      <c r="C107" s="47"/>
      <c r="D107" s="107"/>
      <c r="E107" s="104"/>
      <c r="F107" s="2"/>
      <c r="G107" s="30"/>
      <c r="H107" s="2"/>
    </row>
    <row r="108" spans="1:14" s="70" customFormat="1" x14ac:dyDescent="0.2">
      <c r="A108" s="24"/>
      <c r="B108" s="1"/>
      <c r="C108" s="47" t="s">
        <v>932</v>
      </c>
      <c r="D108" s="111">
        <v>209.27</v>
      </c>
      <c r="E108" s="104"/>
      <c r="F108" s="2"/>
      <c r="G108" s="30"/>
      <c r="H108" s="110" t="s">
        <v>581</v>
      </c>
    </row>
    <row r="109" spans="1:14" s="70" customFormat="1" x14ac:dyDescent="0.2">
      <c r="A109" s="24"/>
      <c r="B109" s="1"/>
      <c r="C109" s="136" t="s">
        <v>1142</v>
      </c>
      <c r="D109" s="111">
        <v>134.59</v>
      </c>
      <c r="E109" s="104"/>
      <c r="F109" s="2"/>
      <c r="G109" s="30"/>
      <c r="H109" s="110" t="s">
        <v>581</v>
      </c>
    </row>
    <row r="110" spans="1:14" s="70" customFormat="1" x14ac:dyDescent="0.2">
      <c r="A110" s="24"/>
      <c r="B110" s="1"/>
      <c r="C110" s="78" t="s">
        <v>579</v>
      </c>
      <c r="D110" s="109">
        <f>D108+D109</f>
        <v>343.86</v>
      </c>
      <c r="E110" s="104"/>
      <c r="F110" s="2"/>
      <c r="G110" s="30"/>
    </row>
    <row r="111" spans="1:14" s="70" customFormat="1" x14ac:dyDescent="0.2">
      <c r="A111" s="24"/>
      <c r="B111" s="1"/>
      <c r="C111" s="105"/>
      <c r="D111" s="106"/>
      <c r="E111" s="104"/>
      <c r="F111" s="2"/>
      <c r="G111" s="30"/>
      <c r="I111" s="2"/>
      <c r="J111" s="114" t="s">
        <v>713</v>
      </c>
      <c r="K111" s="2"/>
      <c r="L111" s="2"/>
      <c r="M111" s="2"/>
    </row>
    <row r="112" spans="1:14" s="70" customFormat="1" x14ac:dyDescent="0.2">
      <c r="A112" s="24"/>
      <c r="B112" s="1"/>
      <c r="C112" s="78" t="s">
        <v>577</v>
      </c>
      <c r="D112" s="109">
        <f>D103+D110</f>
        <v>2345.4900000000002</v>
      </c>
      <c r="E112" s="104"/>
      <c r="F112" s="2"/>
      <c r="G112" s="30"/>
      <c r="I112" s="113"/>
      <c r="J112" s="113" t="s">
        <v>709</v>
      </c>
      <c r="K112" s="113" t="s">
        <v>710</v>
      </c>
      <c r="L112" s="113" t="s">
        <v>711</v>
      </c>
      <c r="M112" s="113" t="s">
        <v>712</v>
      </c>
    </row>
    <row r="113" spans="1:14" s="70" customFormat="1" x14ac:dyDescent="0.2">
      <c r="A113" s="24"/>
      <c r="B113" s="1"/>
      <c r="C113" s="56"/>
      <c r="D113" s="56"/>
      <c r="E113" s="104"/>
      <c r="F113" s="2"/>
      <c r="G113" s="30"/>
      <c r="I113" s="113" t="s">
        <v>706</v>
      </c>
      <c r="J113" s="115"/>
      <c r="K113" s="115">
        <v>968.99</v>
      </c>
      <c r="L113" s="115">
        <v>968.99</v>
      </c>
      <c r="M113" s="113">
        <f>+J113+L113-K113</f>
        <v>0</v>
      </c>
    </row>
    <row r="114" spans="1:14" s="70" customFormat="1" ht="38.25" x14ac:dyDescent="0.2">
      <c r="A114" s="24"/>
      <c r="B114" s="1"/>
      <c r="C114" s="79" t="str">
        <f>"Particulars ( 01-04-2021 to "&amp;TEXT(A5,"dd-mm-yyyy")&amp;" )"</f>
        <v>Particulars ( 01-04-2021 to 18-09-2023 )</v>
      </c>
      <c r="D114" s="80" t="s">
        <v>73</v>
      </c>
      <c r="E114" s="80" t="s">
        <v>74</v>
      </c>
      <c r="F114" s="81" t="s">
        <v>75</v>
      </c>
      <c r="G114" s="80" t="s">
        <v>76</v>
      </c>
      <c r="I114" s="113" t="s">
        <v>707</v>
      </c>
      <c r="J114" s="115">
        <v>183.1</v>
      </c>
      <c r="K114" s="115">
        <v>3535.56</v>
      </c>
      <c r="L114" s="115">
        <v>3897.24</v>
      </c>
      <c r="M114" s="113">
        <f>+J114+L114-K114</f>
        <v>544.77999999999975</v>
      </c>
    </row>
    <row r="115" spans="1:14" s="70" customFormat="1" x14ac:dyDescent="0.2">
      <c r="A115" s="24"/>
      <c r="B115" s="1"/>
      <c r="C115" s="50" t="s">
        <v>444</v>
      </c>
      <c r="D115" s="55">
        <f>+L113+L114+J114</f>
        <v>5049.33</v>
      </c>
      <c r="E115" s="55">
        <f>+K113+K114</f>
        <v>4504.55</v>
      </c>
      <c r="F115" s="55">
        <f>+D115-E115</f>
        <v>544.77999999999975</v>
      </c>
      <c r="G115" s="55">
        <f>1500-F115</f>
        <v>955.22000000000025</v>
      </c>
      <c r="I115" s="113" t="s">
        <v>708</v>
      </c>
      <c r="J115" s="115">
        <v>1371.02</v>
      </c>
      <c r="K115" s="115">
        <v>14185.97</v>
      </c>
      <c r="L115" s="115">
        <v>13564.29</v>
      </c>
      <c r="M115" s="113">
        <f>+J115+L115-K115</f>
        <v>749.34000000000196</v>
      </c>
    </row>
    <row r="116" spans="1:14" s="70" customFormat="1" ht="12.75" customHeight="1" x14ac:dyDescent="0.2">
      <c r="A116" s="24"/>
      <c r="B116" s="1"/>
      <c r="C116" s="50" t="s">
        <v>71</v>
      </c>
      <c r="D116" s="55">
        <f>+J115+L115</f>
        <v>14935.310000000001</v>
      </c>
      <c r="E116" s="55">
        <f>+K115</f>
        <v>14185.97</v>
      </c>
      <c r="F116" s="55">
        <f>+D116-E116</f>
        <v>749.34000000000196</v>
      </c>
      <c r="G116" s="55">
        <f>1500+700-F116</f>
        <v>1450.659999999998</v>
      </c>
      <c r="I116" s="2"/>
      <c r="J116" s="118">
        <f>SUM(J113:J115)</f>
        <v>1554.12</v>
      </c>
      <c r="K116" s="118">
        <f>SUM(K113:K115)</f>
        <v>18690.52</v>
      </c>
      <c r="L116" s="118">
        <f>SUM(L113:L115)</f>
        <v>18430.52</v>
      </c>
      <c r="M116" s="118">
        <f>SUM(M113:M115)</f>
        <v>1294.1200000000017</v>
      </c>
    </row>
    <row r="117" spans="1:14" s="70" customFormat="1" ht="12.75" customHeight="1" x14ac:dyDescent="0.2">
      <c r="A117" s="24"/>
      <c r="B117" s="1"/>
      <c r="C117" s="14"/>
      <c r="D117" s="56"/>
      <c r="E117" s="13"/>
      <c r="F117" s="2"/>
      <c r="G117" s="30"/>
    </row>
    <row r="118" spans="1:14" s="70" customFormat="1" ht="12.75" customHeight="1" x14ac:dyDescent="0.2">
      <c r="A118" s="215" t="s">
        <v>80</v>
      </c>
      <c r="B118" s="216"/>
      <c r="C118" s="216"/>
      <c r="D118" s="217"/>
      <c r="E118" s="69"/>
      <c r="G118" s="30"/>
    </row>
    <row r="119" spans="1:14" s="70" customFormat="1" ht="12.75" customHeight="1" x14ac:dyDescent="0.2">
      <c r="A119" s="71" t="s">
        <v>81</v>
      </c>
      <c r="B119" s="71"/>
      <c r="C119" s="72" t="s">
        <v>82</v>
      </c>
      <c r="D119" s="73" t="s">
        <v>83</v>
      </c>
      <c r="E119" s="69"/>
      <c r="G119" s="30"/>
    </row>
    <row r="120" spans="1:14" s="70" customFormat="1" ht="12.75" customHeight="1" x14ac:dyDescent="0.2">
      <c r="A120" s="87">
        <v>45170</v>
      </c>
      <c r="B120" s="120" t="s">
        <v>1052</v>
      </c>
      <c r="C120" s="75" t="s">
        <v>270</v>
      </c>
      <c r="D120" s="88">
        <v>117174</v>
      </c>
      <c r="E120" s="2"/>
      <c r="F120" s="2"/>
      <c r="G120" s="30"/>
      <c r="H120" s="2"/>
      <c r="I120" s="2"/>
      <c r="J120" s="2"/>
      <c r="K120" s="2"/>
      <c r="L120" s="41"/>
      <c r="M120" s="42"/>
      <c r="N120" s="2"/>
    </row>
    <row r="121" spans="1:14" s="70" customFormat="1" ht="12.75" customHeight="1" x14ac:dyDescent="0.2">
      <c r="A121" s="87">
        <v>45171</v>
      </c>
      <c r="B121" s="120" t="s">
        <v>1052</v>
      </c>
      <c r="C121" s="75" t="s">
        <v>767</v>
      </c>
      <c r="D121" s="88">
        <v>278761</v>
      </c>
      <c r="E121" s="2"/>
      <c r="F121" s="2"/>
      <c r="G121" s="30"/>
      <c r="H121" s="2"/>
      <c r="I121" s="2"/>
      <c r="J121" s="1"/>
      <c r="K121" s="1"/>
      <c r="L121" s="1"/>
      <c r="M121" s="1"/>
      <c r="N121" s="2"/>
    </row>
    <row r="122" spans="1:14" s="70" customFormat="1" ht="12.75" customHeight="1" x14ac:dyDescent="0.2">
      <c r="A122" s="87">
        <v>45171</v>
      </c>
      <c r="B122" s="120" t="s">
        <v>1052</v>
      </c>
      <c r="C122" s="75" t="s">
        <v>201</v>
      </c>
      <c r="D122" s="88">
        <v>3500391.21</v>
      </c>
      <c r="E122" s="2"/>
      <c r="F122" s="2"/>
      <c r="G122" s="30"/>
      <c r="H122" s="2"/>
      <c r="I122" s="2"/>
      <c r="J122" s="2"/>
      <c r="K122" s="2"/>
      <c r="L122" s="13"/>
      <c r="M122" s="69" t="s">
        <v>396</v>
      </c>
      <c r="N122" s="2"/>
    </row>
    <row r="123" spans="1:14" s="2" customFormat="1" ht="12.75" customHeight="1" x14ac:dyDescent="0.2">
      <c r="A123" s="87">
        <v>45173</v>
      </c>
      <c r="B123" s="120" t="s">
        <v>1052</v>
      </c>
      <c r="C123" s="75" t="s">
        <v>1478</v>
      </c>
      <c r="D123" s="88">
        <v>22763</v>
      </c>
      <c r="G123" s="30"/>
      <c r="N123" s="1"/>
    </row>
    <row r="124" spans="1:14" s="2" customFormat="1" ht="12.75" customHeight="1" x14ac:dyDescent="0.2">
      <c r="A124" s="87">
        <v>45173</v>
      </c>
      <c r="B124" s="120" t="s">
        <v>1052</v>
      </c>
      <c r="C124" s="75" t="s">
        <v>1478</v>
      </c>
      <c r="D124" s="88">
        <v>1786258</v>
      </c>
      <c r="G124" s="1"/>
      <c r="M124" s="2" t="s">
        <v>396</v>
      </c>
      <c r="N124" s="1"/>
    </row>
    <row r="125" spans="1:14" s="2" customFormat="1" ht="12.75" customHeight="1" x14ac:dyDescent="0.2">
      <c r="A125" s="87">
        <v>45173</v>
      </c>
      <c r="B125" s="120" t="s">
        <v>1052</v>
      </c>
      <c r="C125" s="75" t="s">
        <v>1478</v>
      </c>
      <c r="D125" s="88">
        <v>1329469</v>
      </c>
      <c r="I125" s="1"/>
      <c r="J125" s="1"/>
      <c r="K125" s="1"/>
    </row>
    <row r="126" spans="1:14" s="2" customFormat="1" ht="12.75" customHeight="1" x14ac:dyDescent="0.2">
      <c r="A126" s="87">
        <v>45175</v>
      </c>
      <c r="B126" s="120" t="s">
        <v>1052</v>
      </c>
      <c r="C126" s="75" t="s">
        <v>784</v>
      </c>
      <c r="D126" s="88">
        <v>673560</v>
      </c>
      <c r="G126" s="1"/>
    </row>
    <row r="127" spans="1:14" s="2" customFormat="1" x14ac:dyDescent="0.2">
      <c r="A127" s="87">
        <v>45175</v>
      </c>
      <c r="B127" s="120" t="s">
        <v>1052</v>
      </c>
      <c r="C127" s="75" t="s">
        <v>784</v>
      </c>
      <c r="D127" s="88">
        <v>700391</v>
      </c>
      <c r="G127" s="1"/>
      <c r="N127" s="2" t="s">
        <v>535</v>
      </c>
    </row>
    <row r="128" spans="1:14" x14ac:dyDescent="0.2">
      <c r="A128" s="87">
        <v>45175</v>
      </c>
      <c r="B128" s="120" t="s">
        <v>1052</v>
      </c>
      <c r="C128" s="75" t="s">
        <v>84</v>
      </c>
      <c r="D128" s="88">
        <v>1000000</v>
      </c>
      <c r="I128" s="2"/>
      <c r="J128" s="2"/>
      <c r="K128" s="2"/>
      <c r="L128" s="2"/>
      <c r="M128" s="2"/>
      <c r="N128" s="2"/>
    </row>
    <row r="129" spans="1:14" x14ac:dyDescent="0.2">
      <c r="A129" s="87">
        <v>45176</v>
      </c>
      <c r="B129" s="120" t="s">
        <v>1052</v>
      </c>
      <c r="C129" s="75" t="s">
        <v>85</v>
      </c>
      <c r="D129" s="88">
        <v>565814</v>
      </c>
      <c r="I129" s="2"/>
      <c r="J129" s="2"/>
      <c r="K129" s="2"/>
      <c r="L129" s="2"/>
      <c r="M129" s="2"/>
      <c r="N129" s="2"/>
    </row>
    <row r="130" spans="1:14" s="2" customFormat="1" x14ac:dyDescent="0.2">
      <c r="A130" s="87">
        <v>45176</v>
      </c>
      <c r="B130" s="120" t="s">
        <v>1052</v>
      </c>
      <c r="C130" s="75" t="s">
        <v>271</v>
      </c>
      <c r="D130" s="88">
        <v>1691421</v>
      </c>
      <c r="G130" s="1"/>
    </row>
    <row r="131" spans="1:14" s="2" customFormat="1" x14ac:dyDescent="0.2">
      <c r="A131" s="87">
        <v>45177</v>
      </c>
      <c r="B131" s="120" t="s">
        <v>1052</v>
      </c>
      <c r="C131" s="75" t="s">
        <v>85</v>
      </c>
      <c r="D131" s="88">
        <v>432581</v>
      </c>
    </row>
    <row r="132" spans="1:14" s="2" customFormat="1" x14ac:dyDescent="0.2">
      <c r="A132" s="87">
        <v>45177</v>
      </c>
      <c r="B132" s="120" t="s">
        <v>1052</v>
      </c>
      <c r="C132" s="75" t="s">
        <v>1521</v>
      </c>
      <c r="D132" s="88">
        <v>1198155</v>
      </c>
    </row>
    <row r="133" spans="1:14" s="2" customFormat="1" x14ac:dyDescent="0.2">
      <c r="A133" s="87">
        <v>45180</v>
      </c>
      <c r="B133" s="120" t="s">
        <v>1052</v>
      </c>
      <c r="C133" s="75" t="s">
        <v>784</v>
      </c>
      <c r="D133" s="88">
        <v>279127</v>
      </c>
    </row>
    <row r="134" spans="1:14" s="2" customFormat="1" x14ac:dyDescent="0.2">
      <c r="A134" s="87">
        <v>45180</v>
      </c>
      <c r="B134" s="120" t="s">
        <v>1052</v>
      </c>
      <c r="C134" s="75" t="s">
        <v>270</v>
      </c>
      <c r="D134" s="88">
        <v>30842</v>
      </c>
    </row>
    <row r="135" spans="1:14" s="2" customFormat="1" x14ac:dyDescent="0.2">
      <c r="A135" s="87">
        <v>45180</v>
      </c>
      <c r="B135" s="120" t="s">
        <v>1052</v>
      </c>
      <c r="C135" s="75" t="s">
        <v>271</v>
      </c>
      <c r="D135" s="88">
        <v>701813</v>
      </c>
      <c r="G135" s="1"/>
    </row>
    <row r="136" spans="1:14" s="2" customFormat="1" x14ac:dyDescent="0.2">
      <c r="A136" s="87">
        <v>45180</v>
      </c>
      <c r="B136" s="120" t="s">
        <v>1052</v>
      </c>
      <c r="C136" s="75" t="s">
        <v>271</v>
      </c>
      <c r="D136" s="88">
        <v>189083</v>
      </c>
      <c r="G136" s="1"/>
    </row>
    <row r="137" spans="1:14" s="2" customFormat="1" x14ac:dyDescent="0.2">
      <c r="A137" s="87">
        <v>45180</v>
      </c>
      <c r="B137" s="120" t="s">
        <v>1052</v>
      </c>
      <c r="C137" s="75" t="s">
        <v>271</v>
      </c>
      <c r="D137" s="88">
        <v>2019</v>
      </c>
      <c r="G137" s="1"/>
    </row>
    <row r="138" spans="1:14" s="2" customFormat="1" x14ac:dyDescent="0.2">
      <c r="A138" s="87">
        <v>45182</v>
      </c>
      <c r="B138" s="120" t="s">
        <v>1052</v>
      </c>
      <c r="C138" s="75" t="s">
        <v>467</v>
      </c>
      <c r="D138" s="88">
        <v>3314639</v>
      </c>
      <c r="G138" s="1"/>
    </row>
    <row r="139" spans="1:14" s="2" customFormat="1" x14ac:dyDescent="0.2">
      <c r="A139" s="87">
        <v>45183</v>
      </c>
      <c r="B139" s="120" t="s">
        <v>1052</v>
      </c>
      <c r="C139" s="75" t="s">
        <v>784</v>
      </c>
      <c r="D139" s="88">
        <v>665398</v>
      </c>
      <c r="G139" s="1"/>
    </row>
    <row r="140" spans="1:14" s="2" customFormat="1" x14ac:dyDescent="0.2">
      <c r="A140" s="87">
        <v>45184</v>
      </c>
      <c r="B140" s="120" t="s">
        <v>1052</v>
      </c>
      <c r="C140" s="75" t="s">
        <v>784</v>
      </c>
      <c r="D140" s="88">
        <v>669733</v>
      </c>
      <c r="G140" s="1"/>
    </row>
    <row r="141" spans="1:14" s="2" customFormat="1" x14ac:dyDescent="0.2">
      <c r="A141" s="87">
        <v>45184</v>
      </c>
      <c r="B141" s="120" t="s">
        <v>1052</v>
      </c>
      <c r="C141" s="75" t="s">
        <v>270</v>
      </c>
      <c r="D141" s="88">
        <v>6923</v>
      </c>
      <c r="G141" s="1"/>
    </row>
    <row r="142" spans="1:14" s="2" customFormat="1" x14ac:dyDescent="0.2">
      <c r="A142" s="87">
        <v>45184</v>
      </c>
      <c r="B142" s="120" t="s">
        <v>1052</v>
      </c>
      <c r="C142" s="75" t="s">
        <v>84</v>
      </c>
      <c r="D142" s="88">
        <v>1092413</v>
      </c>
      <c r="G142" s="1"/>
    </row>
    <row r="143" spans="1:14" s="2" customFormat="1" x14ac:dyDescent="0.2">
      <c r="A143" s="87">
        <v>45184</v>
      </c>
      <c r="B143" s="120" t="s">
        <v>1052</v>
      </c>
      <c r="C143" s="75" t="s">
        <v>270</v>
      </c>
      <c r="D143" s="88">
        <v>273422</v>
      </c>
      <c r="G143" s="1"/>
    </row>
    <row r="144" spans="1:14" s="2" customFormat="1" x14ac:dyDescent="0.2">
      <c r="A144" s="87">
        <v>45185</v>
      </c>
      <c r="B144" s="120" t="s">
        <v>1052</v>
      </c>
      <c r="C144" s="75" t="s">
        <v>85</v>
      </c>
      <c r="D144" s="88">
        <v>389967</v>
      </c>
      <c r="G144" s="1"/>
    </row>
    <row r="145" spans="1:13" s="2" customFormat="1" x14ac:dyDescent="0.2">
      <c r="A145" s="87">
        <v>45185</v>
      </c>
      <c r="B145" s="120" t="s">
        <v>1052</v>
      </c>
      <c r="C145" s="75" t="s">
        <v>87</v>
      </c>
      <c r="D145" s="88">
        <v>887666</v>
      </c>
      <c r="G145" s="1"/>
    </row>
    <row r="146" spans="1:13" s="2" customFormat="1" x14ac:dyDescent="0.2">
      <c r="A146" s="87">
        <v>45187</v>
      </c>
      <c r="B146" s="120" t="s">
        <v>1052</v>
      </c>
      <c r="C146" s="75" t="s">
        <v>784</v>
      </c>
      <c r="D146" s="88">
        <v>702770</v>
      </c>
      <c r="G146" s="1"/>
    </row>
    <row r="147" spans="1:13" s="2" customFormat="1" x14ac:dyDescent="0.2">
      <c r="A147" s="87">
        <v>45187</v>
      </c>
      <c r="B147" s="120" t="s">
        <v>1052</v>
      </c>
      <c r="C147" s="75" t="s">
        <v>1552</v>
      </c>
      <c r="D147" s="88">
        <v>986729.07</v>
      </c>
      <c r="G147" s="1"/>
    </row>
    <row r="148" spans="1:13" s="2" customFormat="1" x14ac:dyDescent="0.2">
      <c r="A148" s="87"/>
      <c r="B148" s="74"/>
      <c r="C148" s="75"/>
      <c r="D148" s="51">
        <f>SUM(D120:D147)</f>
        <v>23489282.280000001</v>
      </c>
      <c r="F148" s="2" t="s">
        <v>396</v>
      </c>
      <c r="G148" s="1"/>
    </row>
    <row r="149" spans="1:13" s="2" customFormat="1" x14ac:dyDescent="0.2">
      <c r="A149" s="24"/>
      <c r="B149" s="1"/>
      <c r="C149" s="14"/>
      <c r="D149" s="56"/>
      <c r="E149" s="13"/>
      <c r="G149" s="1"/>
    </row>
    <row r="150" spans="1:13" s="2" customFormat="1" x14ac:dyDescent="0.2">
      <c r="A150" s="24"/>
      <c r="B150" s="1"/>
      <c r="C150" s="218" t="s">
        <v>77</v>
      </c>
      <c r="D150" s="219"/>
      <c r="E150" s="219"/>
      <c r="F150" s="220"/>
      <c r="H150" s="2" t="s">
        <v>396</v>
      </c>
    </row>
    <row r="151" spans="1:13" s="2" customFormat="1" x14ac:dyDescent="0.2">
      <c r="A151" s="24"/>
      <c r="B151" s="1"/>
      <c r="C151" s="50"/>
      <c r="D151" s="57" t="s">
        <v>78</v>
      </c>
      <c r="E151" s="58" t="s">
        <v>79</v>
      </c>
      <c r="F151" s="57" t="s">
        <v>72</v>
      </c>
      <c r="H151" s="2" t="s">
        <v>396</v>
      </c>
    </row>
    <row r="152" spans="1:13" s="2" customFormat="1" x14ac:dyDescent="0.2">
      <c r="A152" s="24"/>
      <c r="B152" s="1"/>
      <c r="C152" s="59" t="str">
        <f>"01-09-2023 to "&amp;TEXT(A5-2,"dd-mm-yyyy")</f>
        <v>01-09-2023 to 16-09-2023</v>
      </c>
      <c r="D152" s="60">
        <v>1391.92</v>
      </c>
      <c r="E152" s="60">
        <v>150.99</v>
      </c>
      <c r="F152" s="61">
        <f>SUM(D152:E152)</f>
        <v>1542.91</v>
      </c>
    </row>
    <row r="153" spans="1:13" s="2" customFormat="1" x14ac:dyDescent="0.2">
      <c r="A153" s="24"/>
      <c r="B153" s="1"/>
      <c r="C153" s="62" t="str">
        <f>TEXT(A5-1,"dd-mm-yyyy")</f>
        <v>17-09-2023</v>
      </c>
      <c r="D153" s="60">
        <v>2.83</v>
      </c>
      <c r="E153" s="60">
        <v>1.2</v>
      </c>
      <c r="F153" s="61">
        <f>SUM(D153:E153)</f>
        <v>4.03</v>
      </c>
      <c r="G153" s="1"/>
      <c r="H153" s="53"/>
    </row>
    <row r="154" spans="1:13" s="2" customFormat="1" ht="13.5" thickBot="1" x14ac:dyDescent="0.25">
      <c r="A154" s="24"/>
      <c r="B154" s="1"/>
      <c r="C154" s="63" t="str">
        <f>"01-09-2023 to "&amp;TEXT(A5-1,"dd-mm-yyyy")</f>
        <v>01-09-2023 to 17-09-2023</v>
      </c>
      <c r="D154" s="64">
        <f>SUM(D152:D153)</f>
        <v>1394.75</v>
      </c>
      <c r="E154" s="64">
        <f>SUM(E152:E153)</f>
        <v>152.19</v>
      </c>
      <c r="F154" s="64">
        <f>SUM(F152:F153)</f>
        <v>1546.94</v>
      </c>
      <c r="G154" s="1"/>
      <c r="H154" s="53"/>
    </row>
    <row r="155" spans="1:13" s="2" customFormat="1" ht="13.5" thickTop="1" x14ac:dyDescent="0.2">
      <c r="A155" s="24"/>
      <c r="B155" s="1"/>
      <c r="C155" s="62"/>
      <c r="D155" s="65"/>
      <c r="E155" s="66"/>
      <c r="F155" s="67"/>
      <c r="L155" s="1"/>
      <c r="M155" s="1"/>
    </row>
    <row r="156" spans="1:13" s="2" customFormat="1" x14ac:dyDescent="0.2">
      <c r="A156" s="24"/>
      <c r="B156" s="1"/>
      <c r="C156" s="62" t="str">
        <f>"01-04-2023 to " &amp;C153</f>
        <v>01-04-2023 to 17-09-2023</v>
      </c>
      <c r="D156" s="68">
        <f>+D154+24261.33</f>
        <v>25656.080000000002</v>
      </c>
      <c r="E156" s="68">
        <f>+E154+1685.25</f>
        <v>1837.44</v>
      </c>
      <c r="F156" s="68">
        <f>+F154+25946.58</f>
        <v>27493.52</v>
      </c>
      <c r="G156" s="1"/>
      <c r="L156" s="1"/>
      <c r="M156" s="1"/>
    </row>
    <row r="157" spans="1:13" s="2" customFormat="1" x14ac:dyDescent="0.2">
      <c r="A157" s="24"/>
      <c r="B157" s="1"/>
      <c r="C157" s="52"/>
      <c r="D157" s="85"/>
      <c r="E157" s="53"/>
      <c r="F157" s="53"/>
      <c r="G157" s="1"/>
      <c r="L157" s="1"/>
      <c r="M157" s="1"/>
    </row>
    <row r="158" spans="1:13" s="2" customFormat="1" x14ac:dyDescent="0.2">
      <c r="A158" s="24"/>
      <c r="B158" s="1"/>
      <c r="C158" s="52"/>
      <c r="D158" s="85"/>
      <c r="E158" s="53"/>
      <c r="F158" s="53"/>
      <c r="G158" s="1"/>
      <c r="L158" s="1"/>
      <c r="M158" s="1"/>
    </row>
    <row r="159" spans="1:13" s="2" customFormat="1" x14ac:dyDescent="0.2">
      <c r="A159" s="24"/>
      <c r="B159" s="1"/>
      <c r="C159" s="52"/>
      <c r="D159" s="85"/>
      <c r="E159" s="53"/>
      <c r="F159" s="53"/>
      <c r="G159" s="1"/>
      <c r="L159" s="1"/>
      <c r="M159" s="1"/>
    </row>
    <row r="160" spans="1:13" s="2" customFormat="1" x14ac:dyDescent="0.2">
      <c r="A160" s="24"/>
      <c r="B160" s="1"/>
      <c r="C160" s="52"/>
      <c r="D160" s="85"/>
      <c r="E160" s="53"/>
      <c r="F160" s="53"/>
      <c r="G160" s="1"/>
      <c r="L160" s="1"/>
      <c r="M160" s="1"/>
    </row>
    <row r="161" spans="1:13" s="2" customFormat="1" x14ac:dyDescent="0.2">
      <c r="A161" s="24"/>
      <c r="B161" s="1"/>
      <c r="C161" s="14"/>
      <c r="D161" s="25"/>
      <c r="G161" s="1"/>
      <c r="L161" s="1"/>
      <c r="M161" s="1"/>
    </row>
    <row r="162" spans="1:13" s="2" customFormat="1" x14ac:dyDescent="0.2">
      <c r="A162" s="24"/>
      <c r="B162" s="1"/>
      <c r="C162" s="14"/>
      <c r="D162" s="25"/>
      <c r="G162" s="1"/>
      <c r="L162" s="1"/>
      <c r="M162" s="1"/>
    </row>
    <row r="163" spans="1:13" s="2" customFormat="1" x14ac:dyDescent="0.2">
      <c r="A163" s="24"/>
      <c r="B163" s="1"/>
      <c r="C163" s="14"/>
      <c r="D163" s="25"/>
      <c r="G163" s="1"/>
      <c r="L163" s="1"/>
      <c r="M163" s="1"/>
    </row>
    <row r="164" spans="1:13" s="2" customFormat="1" x14ac:dyDescent="0.2">
      <c r="A164" s="24"/>
      <c r="B164" s="1"/>
      <c r="C164" s="14"/>
      <c r="D164" s="25"/>
      <c r="G164" s="1"/>
      <c r="L164" s="1"/>
      <c r="M164" s="1"/>
    </row>
    <row r="165" spans="1:13" s="2" customFormat="1" x14ac:dyDescent="0.2">
      <c r="A165" s="24"/>
      <c r="B165" s="1"/>
      <c r="C165" s="14"/>
      <c r="D165" s="25"/>
      <c r="G165" s="1"/>
      <c r="L165" s="1"/>
      <c r="M165" s="1"/>
    </row>
    <row r="166" spans="1:13" s="2" customFormat="1" x14ac:dyDescent="0.2">
      <c r="A166" s="24"/>
      <c r="B166" s="1"/>
      <c r="C166" s="14"/>
      <c r="D166" s="25"/>
      <c r="G166" s="1"/>
      <c r="L166" s="1"/>
      <c r="M166" s="1"/>
    </row>
    <row r="167" spans="1:13" s="2" customFormat="1" x14ac:dyDescent="0.2">
      <c r="A167" s="24"/>
      <c r="B167" s="1"/>
      <c r="C167" s="14"/>
      <c r="D167" s="25"/>
      <c r="G167" s="1"/>
      <c r="L167" s="1"/>
      <c r="M167" s="1"/>
    </row>
    <row r="168" spans="1:13" s="2" customFormat="1" x14ac:dyDescent="0.2">
      <c r="A168" s="24"/>
      <c r="B168" s="1"/>
      <c r="C168" s="14"/>
      <c r="D168" s="25"/>
      <c r="G168" s="1"/>
      <c r="L168" s="1"/>
      <c r="M168" s="1"/>
    </row>
    <row r="169" spans="1:13" s="2" customFormat="1" x14ac:dyDescent="0.2">
      <c r="A169" s="24"/>
      <c r="B169" s="1"/>
      <c r="C169" s="14"/>
      <c r="D169" s="25"/>
      <c r="G169" s="1"/>
      <c r="L169" s="1"/>
      <c r="M169" s="1"/>
    </row>
    <row r="170" spans="1:13" s="2" customFormat="1" x14ac:dyDescent="0.2">
      <c r="A170" s="24"/>
      <c r="B170" s="1"/>
      <c r="C170" s="14"/>
      <c r="D170" s="25"/>
      <c r="G170" s="1"/>
      <c r="L170" s="1"/>
      <c r="M170" s="1"/>
    </row>
    <row r="171" spans="1:13" s="2" customFormat="1" x14ac:dyDescent="0.2">
      <c r="A171" s="24"/>
      <c r="B171" s="1"/>
      <c r="C171" s="14"/>
      <c r="D171" s="25"/>
      <c r="G171" s="1"/>
      <c r="L171" s="1"/>
      <c r="M171" s="1"/>
    </row>
    <row r="172" spans="1:13" s="2" customFormat="1" x14ac:dyDescent="0.2">
      <c r="A172" s="24"/>
      <c r="B172" s="1"/>
      <c r="C172" s="14"/>
      <c r="D172" s="25"/>
      <c r="G172" s="1"/>
      <c r="L172" s="1"/>
      <c r="M172" s="1"/>
    </row>
    <row r="173" spans="1:13" s="2" customFormat="1" x14ac:dyDescent="0.2">
      <c r="A173" s="24"/>
      <c r="B173" s="1"/>
      <c r="C173" s="14"/>
      <c r="D173" s="25"/>
      <c r="G173" s="1"/>
      <c r="L173" s="1"/>
      <c r="M173" s="1"/>
    </row>
    <row r="174" spans="1:13" s="2" customFormat="1" x14ac:dyDescent="0.2">
      <c r="A174" s="24"/>
      <c r="B174" s="1"/>
      <c r="C174" s="14"/>
      <c r="D174" s="25"/>
      <c r="G174" s="1"/>
      <c r="L174" s="1"/>
      <c r="M174" s="1"/>
    </row>
    <row r="175" spans="1:13" s="2" customFormat="1" x14ac:dyDescent="0.2">
      <c r="A175" s="24"/>
      <c r="B175" s="1"/>
      <c r="C175" s="14"/>
      <c r="D175" s="25"/>
      <c r="G175" s="1"/>
      <c r="I175" s="1"/>
      <c r="J175" s="1"/>
      <c r="K175" s="1"/>
      <c r="L175" s="1"/>
      <c r="M175" s="1"/>
    </row>
    <row r="176" spans="1:13" s="2" customFormat="1" x14ac:dyDescent="0.2">
      <c r="A176" s="24"/>
      <c r="B176" s="1"/>
      <c r="C176" s="14"/>
      <c r="D176" s="25"/>
      <c r="G176" s="1"/>
    </row>
    <row r="177" spans="1:14" s="2" customFormat="1" x14ac:dyDescent="0.2">
      <c r="A177" s="24"/>
      <c r="B177" s="1"/>
      <c r="C177" s="14"/>
      <c r="D177" s="25"/>
      <c r="G177" s="1"/>
      <c r="I177" s="1"/>
      <c r="J177" s="1"/>
      <c r="K177" s="1"/>
      <c r="L177" s="1"/>
      <c r="M177" s="1"/>
    </row>
    <row r="178" spans="1:14" s="2" customFormat="1" x14ac:dyDescent="0.2">
      <c r="A178" s="24"/>
      <c r="B178" s="1"/>
      <c r="C178" s="14"/>
      <c r="D178" s="25"/>
      <c r="G178" s="54"/>
      <c r="I178" s="1"/>
      <c r="J178" s="1"/>
      <c r="K178" s="1"/>
      <c r="L178" s="1"/>
      <c r="M178" s="1"/>
    </row>
    <row r="179" spans="1:14" s="2" customFormat="1" x14ac:dyDescent="0.2">
      <c r="A179" s="24"/>
      <c r="B179" s="1"/>
      <c r="C179" s="14"/>
      <c r="D179" s="25"/>
      <c r="G179" s="54"/>
      <c r="I179" s="1"/>
      <c r="J179" s="1"/>
      <c r="K179" s="1"/>
      <c r="L179" s="1"/>
      <c r="M179" s="1"/>
    </row>
    <row r="180" spans="1:14" s="2" customFormat="1" x14ac:dyDescent="0.2">
      <c r="A180" s="24"/>
      <c r="B180" s="1"/>
      <c r="C180" s="14"/>
      <c r="D180" s="25"/>
      <c r="G180" s="54"/>
      <c r="I180" s="1"/>
      <c r="J180" s="1"/>
      <c r="K180" s="1"/>
      <c r="L180" s="1"/>
      <c r="M180" s="1"/>
    </row>
    <row r="181" spans="1:14" s="2" customFormat="1" x14ac:dyDescent="0.2">
      <c r="A181" s="24"/>
      <c r="B181" s="1"/>
      <c r="C181" s="14"/>
      <c r="D181" s="25"/>
      <c r="G181" s="54"/>
      <c r="H181" s="2" t="s">
        <v>396</v>
      </c>
      <c r="I181" s="1"/>
      <c r="J181" s="1"/>
      <c r="K181" s="1"/>
      <c r="L181" s="1"/>
      <c r="M181" s="1"/>
      <c r="N181" s="1"/>
    </row>
    <row r="182" spans="1:14" s="2" customFormat="1" x14ac:dyDescent="0.2">
      <c r="A182" s="24"/>
      <c r="B182" s="1"/>
      <c r="C182" s="14"/>
      <c r="D182" s="25"/>
      <c r="G182" s="54"/>
      <c r="H182" s="53"/>
    </row>
    <row r="183" spans="1:14" s="2" customFormat="1" x14ac:dyDescent="0.2">
      <c r="A183" s="24"/>
      <c r="B183" s="1"/>
      <c r="C183" s="14"/>
      <c r="D183" s="25"/>
      <c r="G183" s="54"/>
      <c r="H183" s="53" t="s">
        <v>396</v>
      </c>
      <c r="I183" s="1"/>
      <c r="J183" s="1"/>
      <c r="K183" s="1"/>
      <c r="L183" s="1"/>
      <c r="M183" s="1"/>
      <c r="N183" s="1"/>
    </row>
    <row r="184" spans="1:14" x14ac:dyDescent="0.2">
      <c r="G184" s="54"/>
      <c r="H184" s="53" t="s">
        <v>396</v>
      </c>
      <c r="J184" s="42"/>
    </row>
    <row r="185" spans="1:14" s="2" customFormat="1" x14ac:dyDescent="0.2">
      <c r="A185" s="24"/>
      <c r="B185" s="1"/>
      <c r="C185" s="14"/>
      <c r="D185" s="25"/>
      <c r="G185" s="54"/>
      <c r="H185" s="53"/>
      <c r="I185" s="101"/>
      <c r="J185" s="1"/>
      <c r="K185" s="1"/>
      <c r="L185" s="1"/>
      <c r="M185" s="1"/>
      <c r="N185" s="1"/>
    </row>
    <row r="186" spans="1:14" x14ac:dyDescent="0.2">
      <c r="G186" s="54"/>
      <c r="H186" s="53"/>
    </row>
    <row r="187" spans="1:14" x14ac:dyDescent="0.2">
      <c r="G187" s="54"/>
      <c r="H187" s="53"/>
    </row>
    <row r="188" spans="1:14" x14ac:dyDescent="0.2">
      <c r="G188" s="54"/>
      <c r="H188" s="53"/>
    </row>
  </sheetData>
  <sheetProtection insertRows="0"/>
  <mergeCells count="6">
    <mergeCell ref="C150:F150"/>
    <mergeCell ref="A1:G1"/>
    <mergeCell ref="A3:F3"/>
    <mergeCell ref="A9:F9"/>
    <mergeCell ref="A44:F44"/>
    <mergeCell ref="A118:D118"/>
  </mergeCells>
  <conditionalFormatting sqref="G115:G116">
    <cfRule type="cellIs" dxfId="309" priority="1" operator="lessThan">
      <formula>0</formula>
    </cfRule>
  </conditionalFormatting>
  <conditionalFormatting sqref="C46">
    <cfRule type="duplicateValues" dxfId="308" priority="2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800-000000000000}">
  <sheetPr codeName="Sheet432">
    <pageSetUpPr fitToPage="1"/>
  </sheetPr>
  <dimension ref="A1:N136"/>
  <sheetViews>
    <sheetView topLeftCell="A40" zoomScaleNormal="100" workbookViewId="0">
      <selection activeCell="E48" sqref="E48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1" ht="20.25" customHeight="1" x14ac:dyDescent="0.4">
      <c r="A1" s="212" t="s">
        <v>1553</v>
      </c>
      <c r="B1" s="212"/>
      <c r="C1" s="212"/>
      <c r="D1" s="212"/>
      <c r="E1" s="212"/>
      <c r="F1" s="212"/>
      <c r="G1" s="212"/>
      <c r="H1" s="112"/>
      <c r="I1" s="112"/>
    </row>
    <row r="2" spans="1:11" ht="12.75" customHeight="1" x14ac:dyDescent="0.4">
      <c r="H2" s="112"/>
      <c r="I2" s="112"/>
    </row>
    <row r="3" spans="1:11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1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1" s="2" customFormat="1" ht="14.25" customHeight="1" x14ac:dyDescent="0.4">
      <c r="A5" s="89">
        <v>45188</v>
      </c>
      <c r="B5" s="9" t="s">
        <v>6</v>
      </c>
      <c r="C5" s="10" t="s">
        <v>7</v>
      </c>
      <c r="D5" s="11"/>
      <c r="E5" s="12">
        <v>1715152.790000001</v>
      </c>
      <c r="F5" s="12"/>
      <c r="G5" s="1"/>
      <c r="H5" s="112"/>
      <c r="I5" s="112"/>
    </row>
    <row r="6" spans="1:11" s="2" customFormat="1" ht="14.25" customHeight="1" x14ac:dyDescent="0.4">
      <c r="A6" s="89">
        <v>45188</v>
      </c>
      <c r="B6" s="9" t="s">
        <v>6</v>
      </c>
      <c r="C6" s="10" t="s">
        <v>990</v>
      </c>
      <c r="D6" s="11" t="s">
        <v>29</v>
      </c>
      <c r="E6" s="12"/>
      <c r="F6" s="12">
        <v>50674</v>
      </c>
      <c r="G6" s="1"/>
      <c r="H6" s="112"/>
      <c r="I6" s="112"/>
    </row>
    <row r="7" spans="1:11" s="2" customFormat="1" ht="12.75" customHeight="1" x14ac:dyDescent="0.4">
      <c r="D7" s="15" t="s">
        <v>8</v>
      </c>
      <c r="E7" s="16">
        <f>SUM(E5:E5)</f>
        <v>1715152.790000001</v>
      </c>
      <c r="F7" s="16">
        <f>+F6</f>
        <v>50674</v>
      </c>
      <c r="G7" s="1"/>
      <c r="H7" s="112"/>
      <c r="I7" s="112"/>
    </row>
    <row r="8" spans="1:11" s="2" customFormat="1" ht="12.75" customHeight="1" x14ac:dyDescent="0.4">
      <c r="A8" s="17"/>
      <c r="B8" s="18"/>
      <c r="C8" s="19" t="s">
        <v>9</v>
      </c>
      <c r="D8" s="20"/>
      <c r="E8" s="21">
        <f>+E7-F7</f>
        <v>1664478.790000001</v>
      </c>
      <c r="F8" s="22"/>
      <c r="G8" s="23"/>
      <c r="H8" s="112"/>
      <c r="I8" s="112"/>
      <c r="J8" s="13"/>
    </row>
    <row r="9" spans="1:11" ht="12.75" customHeight="1" x14ac:dyDescent="0.4">
      <c r="H9" s="112"/>
      <c r="I9" s="112"/>
    </row>
    <row r="10" spans="1:11" ht="18" customHeight="1" x14ac:dyDescent="0.4">
      <c r="A10" s="213" t="s">
        <v>1037</v>
      </c>
      <c r="B10" s="213"/>
      <c r="C10" s="213"/>
      <c r="D10" s="213"/>
      <c r="E10" s="213"/>
      <c r="F10" s="213"/>
      <c r="H10" s="112"/>
      <c r="I10" s="169">
        <v>90000000</v>
      </c>
      <c r="J10" s="169" t="s">
        <v>1508</v>
      </c>
    </row>
    <row r="11" spans="1:11" ht="12.75" customHeight="1" x14ac:dyDescent="0.4">
      <c r="A11" s="3" t="s">
        <v>1</v>
      </c>
      <c r="B11" s="4" t="s">
        <v>2</v>
      </c>
      <c r="C11" s="5"/>
      <c r="D11" s="6" t="s">
        <v>3</v>
      </c>
      <c r="E11" s="7" t="s">
        <v>4</v>
      </c>
      <c r="F11" s="7" t="s">
        <v>5</v>
      </c>
      <c r="H11" s="112"/>
      <c r="I11" s="169">
        <v>86683926.689999998</v>
      </c>
      <c r="J11" s="169" t="s">
        <v>1509</v>
      </c>
      <c r="K11" s="124"/>
    </row>
    <row r="12" spans="1:11" s="2" customFormat="1" ht="14.25" customHeight="1" x14ac:dyDescent="0.2">
      <c r="A12" s="89">
        <v>45188</v>
      </c>
      <c r="B12" s="9" t="s">
        <v>6</v>
      </c>
      <c r="C12" s="10" t="s">
        <v>7</v>
      </c>
      <c r="D12" s="11"/>
      <c r="F12" s="12">
        <v>86746166.760000005</v>
      </c>
      <c r="G12" s="1"/>
      <c r="H12" s="130" t="s">
        <v>396</v>
      </c>
      <c r="I12" s="169">
        <f>+I10-I11</f>
        <v>3316073.3100000024</v>
      </c>
      <c r="J12" s="169" t="s">
        <v>712</v>
      </c>
      <c r="K12" s="165" t="s">
        <v>1512</v>
      </c>
    </row>
    <row r="13" spans="1:11" s="2" customFormat="1" ht="14.25" customHeight="1" x14ac:dyDescent="0.2">
      <c r="A13" s="89">
        <v>45188</v>
      </c>
      <c r="B13" s="9" t="s">
        <v>6</v>
      </c>
      <c r="C13" s="10" t="s">
        <v>1242</v>
      </c>
      <c r="D13" s="11" t="s">
        <v>13</v>
      </c>
      <c r="E13" s="2">
        <v>1050888.48</v>
      </c>
      <c r="F13" s="12"/>
      <c r="G13" s="1"/>
      <c r="H13" s="130"/>
      <c r="I13" s="171"/>
      <c r="J13" s="171"/>
      <c r="K13" s="165"/>
    </row>
    <row r="14" spans="1:11" s="2" customFormat="1" ht="14.25" customHeight="1" x14ac:dyDescent="0.2">
      <c r="A14" s="89">
        <v>45188</v>
      </c>
      <c r="B14" s="9" t="s">
        <v>6</v>
      </c>
      <c r="C14" s="10" t="s">
        <v>1137</v>
      </c>
      <c r="D14" s="11" t="s">
        <v>29</v>
      </c>
      <c r="F14" s="2">
        <v>8771.41</v>
      </c>
      <c r="G14" s="1"/>
      <c r="H14" s="130"/>
      <c r="I14" s="171"/>
      <c r="J14" s="171"/>
      <c r="K14" s="165"/>
    </row>
    <row r="15" spans="1:11" s="2" customFormat="1" ht="14.25" customHeight="1" x14ac:dyDescent="0.2">
      <c r="A15" s="89">
        <v>45188</v>
      </c>
      <c r="B15" s="9" t="s">
        <v>11</v>
      </c>
      <c r="C15" s="10" t="s">
        <v>1068</v>
      </c>
      <c r="D15" s="11" t="s">
        <v>29</v>
      </c>
      <c r="E15" s="2">
        <v>0</v>
      </c>
      <c r="F15" s="12">
        <v>41536</v>
      </c>
      <c r="G15" s="1"/>
      <c r="H15" s="130"/>
      <c r="I15" s="171"/>
      <c r="J15" s="171"/>
      <c r="K15" s="165"/>
    </row>
    <row r="16" spans="1:11" s="2" customFormat="1" ht="14.25" customHeight="1" x14ac:dyDescent="0.2">
      <c r="A16" s="89">
        <v>45188</v>
      </c>
      <c r="B16" s="9" t="s">
        <v>11</v>
      </c>
      <c r="C16" s="10" t="s">
        <v>365</v>
      </c>
      <c r="D16" s="11" t="s">
        <v>29</v>
      </c>
      <c r="E16" s="2">
        <v>0</v>
      </c>
      <c r="F16" s="12">
        <v>348100</v>
      </c>
      <c r="G16" s="1"/>
      <c r="H16" s="130"/>
      <c r="I16" s="171"/>
      <c r="J16" s="171"/>
      <c r="K16" s="165"/>
    </row>
    <row r="17" spans="1:13" s="2" customFormat="1" ht="14.25" customHeight="1" x14ac:dyDescent="0.2">
      <c r="A17" s="89">
        <v>45188</v>
      </c>
      <c r="B17" s="9" t="s">
        <v>11</v>
      </c>
      <c r="C17" s="10" t="s">
        <v>1556</v>
      </c>
      <c r="D17" s="11" t="s">
        <v>29</v>
      </c>
      <c r="E17" s="2">
        <v>0</v>
      </c>
      <c r="F17" s="12">
        <v>43660</v>
      </c>
      <c r="G17" s="1"/>
      <c r="H17" s="130"/>
      <c r="I17" s="171"/>
      <c r="J17" s="171"/>
      <c r="K17" s="165"/>
    </row>
    <row r="18" spans="1:13" s="2" customFormat="1" ht="14.25" customHeight="1" x14ac:dyDescent="0.2">
      <c r="A18" s="89">
        <v>45188</v>
      </c>
      <c r="B18" s="9" t="s">
        <v>11</v>
      </c>
      <c r="C18" s="10" t="s">
        <v>341</v>
      </c>
      <c r="D18" s="11" t="s">
        <v>29</v>
      </c>
      <c r="E18" s="2">
        <v>0</v>
      </c>
      <c r="F18" s="12">
        <v>291148</v>
      </c>
      <c r="G18" s="1"/>
      <c r="H18" s="130"/>
      <c r="I18" s="171"/>
      <c r="J18" s="171"/>
      <c r="K18" s="165"/>
    </row>
    <row r="19" spans="1:13" s="2" customFormat="1" ht="14.25" customHeight="1" x14ac:dyDescent="0.2">
      <c r="A19" s="89">
        <v>45188</v>
      </c>
      <c r="B19" s="9" t="s">
        <v>11</v>
      </c>
      <c r="C19" s="10" t="s">
        <v>858</v>
      </c>
      <c r="D19" s="11" t="s">
        <v>29</v>
      </c>
      <c r="E19" s="2">
        <v>0</v>
      </c>
      <c r="F19" s="12">
        <v>25401</v>
      </c>
      <c r="G19" s="1"/>
      <c r="H19" s="130"/>
      <c r="I19" s="171"/>
      <c r="J19" s="171"/>
      <c r="K19" s="165"/>
    </row>
    <row r="20" spans="1:13" s="2" customFormat="1" ht="14.25" customHeight="1" x14ac:dyDescent="0.2">
      <c r="A20" s="89">
        <v>45188</v>
      </c>
      <c r="B20" s="9" t="s">
        <v>11</v>
      </c>
      <c r="C20" s="10" t="s">
        <v>1557</v>
      </c>
      <c r="D20" s="11" t="s">
        <v>29</v>
      </c>
      <c r="E20" s="2">
        <v>0</v>
      </c>
      <c r="F20" s="12">
        <v>45631</v>
      </c>
      <c r="G20" s="1"/>
      <c r="H20" s="130"/>
      <c r="I20" s="171"/>
      <c r="J20" s="171"/>
      <c r="K20" s="165"/>
    </row>
    <row r="21" spans="1:13" s="2" customFormat="1" ht="14.25" customHeight="1" x14ac:dyDescent="0.2">
      <c r="A21" s="89">
        <v>45188</v>
      </c>
      <c r="B21" s="9" t="s">
        <v>11</v>
      </c>
      <c r="C21" s="10" t="s">
        <v>1279</v>
      </c>
      <c r="D21" s="11" t="s">
        <v>29</v>
      </c>
      <c r="E21" s="2">
        <v>0</v>
      </c>
      <c r="F21" s="12">
        <v>6800</v>
      </c>
      <c r="G21" s="1"/>
      <c r="H21" s="130"/>
      <c r="I21" s="171"/>
      <c r="J21" s="171"/>
      <c r="K21" s="165"/>
    </row>
    <row r="22" spans="1:13" s="2" customFormat="1" ht="14.25" customHeight="1" x14ac:dyDescent="0.2">
      <c r="A22" s="89">
        <v>45188</v>
      </c>
      <c r="B22" s="9" t="s">
        <v>11</v>
      </c>
      <c r="C22" s="10" t="s">
        <v>719</v>
      </c>
      <c r="D22" s="11" t="s">
        <v>29</v>
      </c>
      <c r="E22" s="2">
        <v>0</v>
      </c>
      <c r="F22" s="12">
        <v>33252</v>
      </c>
      <c r="G22" s="1"/>
      <c r="H22" s="130"/>
      <c r="I22" s="171"/>
      <c r="J22" s="171"/>
      <c r="K22" s="165"/>
    </row>
    <row r="23" spans="1:13" s="2" customFormat="1" ht="14.25" customHeight="1" x14ac:dyDescent="0.2">
      <c r="A23" s="89">
        <v>45188</v>
      </c>
      <c r="B23" s="9" t="s">
        <v>11</v>
      </c>
      <c r="C23" s="10" t="s">
        <v>1209</v>
      </c>
      <c r="D23" s="11" t="s">
        <v>29</v>
      </c>
      <c r="E23" s="2">
        <v>0</v>
      </c>
      <c r="F23" s="12">
        <v>86400</v>
      </c>
      <c r="G23" s="1"/>
      <c r="H23" s="130"/>
      <c r="I23" s="171"/>
      <c r="J23" s="171"/>
      <c r="K23" s="165"/>
    </row>
    <row r="24" spans="1:13" s="2" customFormat="1" ht="14.25" customHeight="1" x14ac:dyDescent="0.2">
      <c r="A24" s="89">
        <v>45188</v>
      </c>
      <c r="B24" s="9" t="s">
        <v>11</v>
      </c>
      <c r="C24" s="10" t="s">
        <v>642</v>
      </c>
      <c r="D24" s="11" t="s">
        <v>29</v>
      </c>
      <c r="E24" s="2">
        <v>0</v>
      </c>
      <c r="F24" s="12">
        <v>43106</v>
      </c>
      <c r="G24" s="1"/>
      <c r="H24" s="130"/>
      <c r="I24" s="171"/>
      <c r="J24" s="171"/>
      <c r="K24" s="165"/>
    </row>
    <row r="25" spans="1:13" s="2" customFormat="1" ht="14.25" customHeight="1" x14ac:dyDescent="0.2">
      <c r="D25" s="11" t="s">
        <v>8</v>
      </c>
      <c r="E25" s="16">
        <f>SUM(E12:E24)</f>
        <v>1050888.48</v>
      </c>
      <c r="F25" s="16">
        <f>SUM(F12:F24)</f>
        <v>87719972.170000002</v>
      </c>
      <c r="G25" s="1"/>
      <c r="H25" s="143"/>
      <c r="I25" s="130"/>
      <c r="J25" s="143"/>
      <c r="K25" s="143"/>
      <c r="L25" s="143"/>
      <c r="M25" s="143"/>
    </row>
    <row r="26" spans="1:13" s="2" customFormat="1" ht="14.25" customHeight="1" x14ac:dyDescent="0.4">
      <c r="A26" s="17"/>
      <c r="B26" s="18"/>
      <c r="C26" s="96" t="s">
        <v>9</v>
      </c>
      <c r="D26" s="20"/>
      <c r="E26" s="21">
        <f>+F25-E25</f>
        <v>86669083.689999998</v>
      </c>
      <c r="G26" s="1"/>
      <c r="I26" s="112"/>
      <c r="J26" s="153" t="s">
        <v>779</v>
      </c>
    </row>
    <row r="27" spans="1:13" s="2" customFormat="1" ht="14.25" customHeight="1" x14ac:dyDescent="0.2">
      <c r="A27" s="36"/>
      <c r="B27" s="28" t="s">
        <v>66</v>
      </c>
      <c r="C27" s="43" t="s">
        <v>1458</v>
      </c>
      <c r="D27" s="43"/>
      <c r="E27" s="12">
        <v>30000000</v>
      </c>
      <c r="F27" s="22"/>
      <c r="G27" s="1"/>
      <c r="I27" s="40">
        <v>86669083.689999998</v>
      </c>
      <c r="J27" s="154">
        <f>I27-E26</f>
        <v>0</v>
      </c>
      <c r="K27" s="2">
        <f>+J27-100000</f>
        <v>-100000</v>
      </c>
    </row>
    <row r="28" spans="1:13" s="2" customFormat="1" ht="14.25" customHeight="1" x14ac:dyDescent="0.25">
      <c r="A28" s="36"/>
      <c r="B28" s="28"/>
      <c r="C28" s="44" t="s">
        <v>1541</v>
      </c>
      <c r="D28" s="43"/>
      <c r="E28" s="7">
        <f>+E26+E27</f>
        <v>116669083.69</v>
      </c>
      <c r="F28" s="22"/>
      <c r="G28" s="1"/>
    </row>
    <row r="29" spans="1:13" s="2" customFormat="1" ht="14.25" customHeight="1" x14ac:dyDescent="0.25">
      <c r="A29" s="36"/>
      <c r="B29" s="28"/>
      <c r="C29" s="44" t="s">
        <v>1511</v>
      </c>
      <c r="D29" s="43"/>
      <c r="E29" s="38">
        <f>+I12</f>
        <v>3316073.3100000024</v>
      </c>
      <c r="F29" s="22"/>
      <c r="G29" s="1"/>
    </row>
    <row r="30" spans="1:13" s="2" customFormat="1" ht="14.25" customHeight="1" x14ac:dyDescent="0.2">
      <c r="A30" s="24"/>
      <c r="B30" s="1"/>
      <c r="C30" s="14"/>
      <c r="D30" s="25"/>
      <c r="G30" s="1"/>
      <c r="I30" s="130"/>
      <c r="J30" s="130"/>
    </row>
    <row r="31" spans="1:13" s="2" customFormat="1" x14ac:dyDescent="0.2">
      <c r="A31" s="214" t="s">
        <v>10</v>
      </c>
      <c r="B31" s="214"/>
      <c r="C31" s="214"/>
      <c r="D31" s="214"/>
      <c r="E31" s="214"/>
      <c r="F31" s="214"/>
      <c r="G31" s="1"/>
      <c r="H31" s="159"/>
      <c r="I31" s="160">
        <v>150000000</v>
      </c>
      <c r="J31" s="160" t="s">
        <v>1506</v>
      </c>
      <c r="K31" s="70"/>
    </row>
    <row r="32" spans="1:13" s="2" customFormat="1" x14ac:dyDescent="0.2">
      <c r="A32" s="26" t="s">
        <v>1</v>
      </c>
      <c r="B32" s="27" t="s">
        <v>2</v>
      </c>
      <c r="C32" s="5"/>
      <c r="D32" s="6" t="s">
        <v>3</v>
      </c>
      <c r="E32" s="7" t="s">
        <v>4</v>
      </c>
      <c r="F32" s="7" t="s">
        <v>5</v>
      </c>
      <c r="G32" s="1"/>
      <c r="H32" s="159"/>
      <c r="I32" s="160">
        <v>107568615.34</v>
      </c>
      <c r="J32" s="160" t="s">
        <v>1507</v>
      </c>
      <c r="K32" s="70" t="s">
        <v>1512</v>
      </c>
    </row>
    <row r="33" spans="1:14" s="2" customFormat="1" x14ac:dyDescent="0.2">
      <c r="A33" s="89">
        <v>45188</v>
      </c>
      <c r="B33" s="128" t="s">
        <v>11</v>
      </c>
      <c r="C33" s="29" t="s">
        <v>7</v>
      </c>
      <c r="D33" s="25"/>
      <c r="E33" s="31"/>
      <c r="F33" s="2">
        <v>104786397.16000006</v>
      </c>
      <c r="G33" s="23"/>
      <c r="H33" s="159" t="s">
        <v>1505</v>
      </c>
      <c r="I33" s="160">
        <f>+I31-I32</f>
        <v>42431384.659999996</v>
      </c>
      <c r="J33" s="160"/>
      <c r="K33" s="70"/>
    </row>
    <row r="34" spans="1:14" s="2" customFormat="1" x14ac:dyDescent="0.2">
      <c r="A34" s="89">
        <v>45188</v>
      </c>
      <c r="B34" s="128" t="s">
        <v>6</v>
      </c>
      <c r="C34" s="10" t="s">
        <v>824</v>
      </c>
      <c r="D34" s="11" t="s">
        <v>13</v>
      </c>
      <c r="E34" s="86">
        <v>77373</v>
      </c>
      <c r="F34" s="70"/>
      <c r="G34" s="1"/>
      <c r="N34" s="1"/>
    </row>
    <row r="35" spans="1:14" s="2" customFormat="1" x14ac:dyDescent="0.2">
      <c r="A35" s="89">
        <v>45188</v>
      </c>
      <c r="B35" s="128" t="s">
        <v>6</v>
      </c>
      <c r="C35" s="10" t="s">
        <v>694</v>
      </c>
      <c r="D35" s="11" t="s">
        <v>13</v>
      </c>
      <c r="E35" s="86">
        <v>300000</v>
      </c>
      <c r="F35" s="70"/>
      <c r="G35" s="1"/>
      <c r="N35" s="1"/>
    </row>
    <row r="36" spans="1:14" s="2" customFormat="1" x14ac:dyDescent="0.2">
      <c r="A36" s="89">
        <v>45188</v>
      </c>
      <c r="B36" s="128" t="s">
        <v>6</v>
      </c>
      <c r="C36" s="10" t="s">
        <v>219</v>
      </c>
      <c r="D36" s="11" t="s">
        <v>13</v>
      </c>
      <c r="E36" s="86">
        <v>1291385</v>
      </c>
      <c r="F36" s="70"/>
      <c r="G36" s="1"/>
      <c r="N36" s="1"/>
    </row>
    <row r="37" spans="1:14" s="2" customFormat="1" x14ac:dyDescent="0.2">
      <c r="A37" s="89">
        <v>45188</v>
      </c>
      <c r="B37" s="128" t="s">
        <v>6</v>
      </c>
      <c r="C37" s="10" t="s">
        <v>177</v>
      </c>
      <c r="D37" s="11" t="s">
        <v>13</v>
      </c>
      <c r="E37" s="86">
        <v>633436</v>
      </c>
      <c r="F37" s="70"/>
      <c r="G37" s="1"/>
      <c r="N37" s="1"/>
    </row>
    <row r="38" spans="1:14" s="2" customFormat="1" x14ac:dyDescent="0.2">
      <c r="A38" s="89">
        <v>45188</v>
      </c>
      <c r="B38" s="128" t="s">
        <v>6</v>
      </c>
      <c r="C38" s="10" t="s">
        <v>1554</v>
      </c>
      <c r="D38" s="11" t="s">
        <v>13</v>
      </c>
      <c r="E38" s="86">
        <v>4411</v>
      </c>
      <c r="F38" s="70"/>
      <c r="G38" s="1"/>
      <c r="N38" s="1"/>
    </row>
    <row r="39" spans="1:14" s="2" customFormat="1" x14ac:dyDescent="0.2">
      <c r="A39" s="89">
        <v>45188</v>
      </c>
      <c r="B39" s="128" t="s">
        <v>6</v>
      </c>
      <c r="C39" s="10" t="s">
        <v>15</v>
      </c>
      <c r="D39" s="11" t="s">
        <v>13</v>
      </c>
      <c r="E39" s="86">
        <v>1365.26</v>
      </c>
      <c r="F39" s="70"/>
      <c r="G39" s="1"/>
      <c r="N39" s="1"/>
    </row>
    <row r="40" spans="1:14" s="2" customFormat="1" x14ac:dyDescent="0.2">
      <c r="A40" s="89">
        <v>45188</v>
      </c>
      <c r="B40" s="128" t="s">
        <v>6</v>
      </c>
      <c r="C40" s="10" t="s">
        <v>1555</v>
      </c>
      <c r="D40" s="11" t="s">
        <v>13</v>
      </c>
      <c r="E40" s="86">
        <v>79223</v>
      </c>
      <c r="F40" s="70"/>
      <c r="G40" s="1"/>
      <c r="N40" s="1"/>
    </row>
    <row r="41" spans="1:14" s="2" customFormat="1" x14ac:dyDescent="0.2">
      <c r="A41" s="89">
        <v>45188</v>
      </c>
      <c r="B41" s="128" t="s">
        <v>11</v>
      </c>
      <c r="C41" s="10" t="s">
        <v>64</v>
      </c>
      <c r="D41" s="11" t="s">
        <v>29</v>
      </c>
      <c r="E41" s="86"/>
      <c r="F41" s="70">
        <v>11851.73</v>
      </c>
      <c r="G41" s="1"/>
      <c r="N41" s="1"/>
    </row>
    <row r="42" spans="1:14" s="2" customFormat="1" x14ac:dyDescent="0.2">
      <c r="A42" s="89">
        <v>45188</v>
      </c>
      <c r="B42" s="128" t="s">
        <v>11</v>
      </c>
      <c r="C42" s="10" t="s">
        <v>57</v>
      </c>
      <c r="D42" s="11" t="s">
        <v>29</v>
      </c>
      <c r="E42" s="86"/>
      <c r="F42" s="70">
        <v>7500000</v>
      </c>
      <c r="G42" s="1"/>
      <c r="N42" s="1"/>
    </row>
    <row r="43" spans="1:14" s="2" customFormat="1" x14ac:dyDescent="0.2">
      <c r="A43" s="32"/>
      <c r="B43" s="33"/>
      <c r="C43" s="14"/>
      <c r="D43" s="34"/>
      <c r="E43" s="16">
        <f>SUM(E33:E42)</f>
        <v>2387193.2599999998</v>
      </c>
      <c r="F43" s="16">
        <f>SUM(F33:F42)</f>
        <v>112298248.89000006</v>
      </c>
      <c r="G43" s="1"/>
      <c r="H43" s="1"/>
      <c r="I43" s="38">
        <v>109911055.63</v>
      </c>
      <c r="J43" s="2" t="s">
        <v>396</v>
      </c>
      <c r="K43" s="92">
        <f>E44-I43</f>
        <v>0</v>
      </c>
      <c r="N43" s="1"/>
    </row>
    <row r="44" spans="1:14" s="2" customFormat="1" x14ac:dyDescent="0.2">
      <c r="A44" s="36"/>
      <c r="B44" s="28" t="s">
        <v>11</v>
      </c>
      <c r="C44" s="19" t="s">
        <v>65</v>
      </c>
      <c r="D44" s="37"/>
      <c r="E44" s="38">
        <f>F43-E43</f>
        <v>109911055.63000005</v>
      </c>
      <c r="F44" s="22"/>
      <c r="G44" s="1"/>
      <c r="H44" s="70"/>
      <c r="I44" s="70"/>
      <c r="J44" s="70"/>
      <c r="K44" s="70"/>
      <c r="N44" s="1"/>
    </row>
    <row r="45" spans="1:14" s="2" customFormat="1" x14ac:dyDescent="0.2">
      <c r="A45" s="36"/>
      <c r="B45" s="28" t="s">
        <v>66</v>
      </c>
      <c r="C45" s="19" t="s">
        <v>67</v>
      </c>
      <c r="D45" s="37"/>
      <c r="E45" s="38">
        <v>6500000</v>
      </c>
      <c r="F45" s="22"/>
      <c r="G45" s="1"/>
      <c r="H45" s="70"/>
      <c r="I45" s="70"/>
      <c r="J45" s="70"/>
      <c r="K45" s="70"/>
      <c r="N45" s="1"/>
    </row>
    <row r="46" spans="1:14" s="2" customFormat="1" x14ac:dyDescent="0.2">
      <c r="A46" s="36"/>
      <c r="B46" s="28" t="s">
        <v>66</v>
      </c>
      <c r="C46" s="43" t="s">
        <v>1457</v>
      </c>
      <c r="D46" s="43"/>
      <c r="E46" s="12">
        <v>350000000</v>
      </c>
      <c r="F46" s="22"/>
      <c r="G46" s="1"/>
      <c r="H46" s="70"/>
      <c r="I46" s="45">
        <v>2106.71</v>
      </c>
      <c r="J46" s="46"/>
      <c r="K46" s="46"/>
      <c r="N46" s="1"/>
    </row>
    <row r="47" spans="1:14" s="2" customFormat="1" ht="15" x14ac:dyDescent="0.25">
      <c r="A47" s="36"/>
      <c r="B47" s="28"/>
      <c r="C47" s="44" t="s">
        <v>1541</v>
      </c>
      <c r="D47" s="43"/>
      <c r="E47" s="7">
        <f>+E46+E44+E45</f>
        <v>466411055.63000005</v>
      </c>
      <c r="F47" s="22"/>
      <c r="G47" s="1"/>
      <c r="H47" s="103" t="s">
        <v>69</v>
      </c>
      <c r="I47" s="45">
        <v>-77.459999999999994</v>
      </c>
      <c r="J47" s="46"/>
      <c r="K47" s="46"/>
      <c r="N47" s="1"/>
    </row>
    <row r="48" spans="1:14" s="2" customFormat="1" ht="15" x14ac:dyDescent="0.25">
      <c r="A48" s="24"/>
      <c r="B48" s="1"/>
      <c r="C48" s="44" t="s">
        <v>1510</v>
      </c>
      <c r="D48" s="25"/>
      <c r="E48" s="156">
        <v>32431384.66</v>
      </c>
      <c r="G48" s="1"/>
      <c r="H48" s="35" t="s">
        <v>70</v>
      </c>
      <c r="I48" s="45">
        <f>34.15+5.97</f>
        <v>40.119999999999997</v>
      </c>
      <c r="J48" s="46">
        <f>+I49-D51</f>
        <v>0</v>
      </c>
      <c r="N48" s="1"/>
    </row>
    <row r="49" spans="1:13" s="124" customFormat="1" ht="12.75" customHeight="1" x14ac:dyDescent="0.2">
      <c r="A49" s="24"/>
      <c r="B49" s="1"/>
      <c r="C49" s="56"/>
      <c r="D49" s="56"/>
      <c r="E49" s="104"/>
      <c r="F49" s="2"/>
      <c r="G49" s="166"/>
      <c r="H49" s="70"/>
      <c r="I49" s="49">
        <f>SUM(I46:I48)</f>
        <v>2069.37</v>
      </c>
      <c r="J49" s="46"/>
      <c r="K49" s="46"/>
    </row>
    <row r="50" spans="1:13" s="124" customFormat="1" ht="12.75" customHeight="1" x14ac:dyDescent="0.2">
      <c r="A50" s="24"/>
      <c r="B50" s="1"/>
      <c r="C50" s="78" t="s">
        <v>575</v>
      </c>
      <c r="D50" s="48" t="s">
        <v>576</v>
      </c>
      <c r="E50" s="104"/>
      <c r="F50" s="2"/>
      <c r="G50" s="168"/>
      <c r="H50" s="167"/>
      <c r="I50" s="167"/>
      <c r="J50" s="168"/>
    </row>
    <row r="51" spans="1:13" s="124" customFormat="1" ht="12.75" customHeight="1" x14ac:dyDescent="0.2">
      <c r="A51" s="24"/>
      <c r="B51" s="1"/>
      <c r="C51" s="47" t="s">
        <v>570</v>
      </c>
      <c r="D51" s="111">
        <v>2069.37</v>
      </c>
      <c r="E51" s="104"/>
      <c r="F51" s="2"/>
      <c r="G51" s="168"/>
      <c r="H51" s="110" t="s">
        <v>581</v>
      </c>
      <c r="I51" s="167"/>
      <c r="J51" s="168"/>
    </row>
    <row r="52" spans="1:13" s="124" customFormat="1" ht="12.75" customHeight="1" x14ac:dyDescent="0.2">
      <c r="A52" s="24"/>
      <c r="B52" s="1"/>
      <c r="C52" s="47" t="s">
        <v>931</v>
      </c>
      <c r="D52" s="111">
        <v>242.34</v>
      </c>
      <c r="E52" s="104"/>
      <c r="F52" s="2"/>
      <c r="G52" s="168"/>
      <c r="H52" s="110" t="s">
        <v>580</v>
      </c>
      <c r="I52" s="167"/>
      <c r="J52" s="168"/>
    </row>
    <row r="53" spans="1:13" s="124" customFormat="1" ht="12.75" customHeight="1" x14ac:dyDescent="0.2">
      <c r="A53" s="24"/>
      <c r="B53" s="1"/>
      <c r="C53" s="47" t="s">
        <v>572</v>
      </c>
      <c r="D53" s="111">
        <f>+D96/100000</f>
        <v>234.8928228</v>
      </c>
      <c r="E53" s="104"/>
      <c r="F53" s="2"/>
      <c r="G53" s="166"/>
      <c r="H53" s="90" t="s">
        <v>587</v>
      </c>
      <c r="I53" s="167"/>
      <c r="J53" s="168"/>
    </row>
    <row r="54" spans="1:13" s="2" customFormat="1" x14ac:dyDescent="0.2">
      <c r="A54" s="24"/>
      <c r="B54" s="1"/>
      <c r="C54" s="108" t="s">
        <v>578</v>
      </c>
      <c r="D54" s="48">
        <f>SUM(D51:D53)</f>
        <v>2546.6028228</v>
      </c>
      <c r="E54" s="104"/>
      <c r="G54" s="30"/>
      <c r="I54" s="13"/>
      <c r="J54" s="13"/>
    </row>
    <row r="55" spans="1:13" s="70" customFormat="1" x14ac:dyDescent="0.2">
      <c r="A55" s="24"/>
      <c r="B55" s="1"/>
      <c r="C55" s="47"/>
      <c r="D55" s="107"/>
      <c r="E55" s="104"/>
      <c r="F55" s="2"/>
      <c r="G55" s="30"/>
      <c r="H55" s="2"/>
    </row>
    <row r="56" spans="1:13" s="70" customFormat="1" x14ac:dyDescent="0.2">
      <c r="A56" s="24"/>
      <c r="B56" s="1"/>
      <c r="C56" s="47" t="s">
        <v>932</v>
      </c>
      <c r="D56" s="111">
        <v>209.27</v>
      </c>
      <c r="E56" s="104"/>
      <c r="F56" s="2"/>
      <c r="G56" s="30"/>
      <c r="H56" s="110" t="s">
        <v>581</v>
      </c>
    </row>
    <row r="57" spans="1:13" s="70" customFormat="1" x14ac:dyDescent="0.2">
      <c r="A57" s="24"/>
      <c r="B57" s="1"/>
      <c r="C57" s="136" t="s">
        <v>1142</v>
      </c>
      <c r="D57" s="111">
        <v>134.59</v>
      </c>
      <c r="E57" s="104"/>
      <c r="F57" s="2"/>
      <c r="G57" s="30"/>
      <c r="H57" s="110" t="s">
        <v>581</v>
      </c>
    </row>
    <row r="58" spans="1:13" s="70" customFormat="1" x14ac:dyDescent="0.2">
      <c r="A58" s="24"/>
      <c r="B58" s="1"/>
      <c r="C58" s="78" t="s">
        <v>579</v>
      </c>
      <c r="D58" s="109">
        <f>D56+D57</f>
        <v>343.86</v>
      </c>
      <c r="E58" s="104"/>
      <c r="F58" s="2"/>
      <c r="G58" s="30"/>
    </row>
    <row r="59" spans="1:13" s="70" customFormat="1" x14ac:dyDescent="0.2">
      <c r="A59" s="24"/>
      <c r="B59" s="1"/>
      <c r="C59" s="105"/>
      <c r="D59" s="106"/>
      <c r="E59" s="104"/>
      <c r="F59" s="2"/>
      <c r="G59" s="30"/>
      <c r="I59" s="2"/>
      <c r="J59" s="114" t="s">
        <v>713</v>
      </c>
      <c r="K59" s="2"/>
      <c r="L59" s="2"/>
      <c r="M59" s="2"/>
    </row>
    <row r="60" spans="1:13" s="70" customFormat="1" x14ac:dyDescent="0.2">
      <c r="A60" s="24"/>
      <c r="B60" s="1"/>
      <c r="C60" s="78" t="s">
        <v>577</v>
      </c>
      <c r="D60" s="109">
        <f>D51+D58</f>
        <v>2413.23</v>
      </c>
      <c r="E60" s="104"/>
      <c r="F60" s="2"/>
      <c r="G60" s="30"/>
      <c r="I60" s="113"/>
      <c r="J60" s="113" t="s">
        <v>709</v>
      </c>
      <c r="K60" s="113" t="s">
        <v>710</v>
      </c>
      <c r="L60" s="113" t="s">
        <v>711</v>
      </c>
      <c r="M60" s="113" t="s">
        <v>712</v>
      </c>
    </row>
    <row r="61" spans="1:13" s="70" customFormat="1" x14ac:dyDescent="0.2">
      <c r="A61" s="24"/>
      <c r="B61" s="1"/>
      <c r="C61" s="56"/>
      <c r="D61" s="56"/>
      <c r="E61" s="104"/>
      <c r="F61" s="2"/>
      <c r="G61" s="30"/>
      <c r="I61" s="113" t="s">
        <v>706</v>
      </c>
      <c r="J61" s="115"/>
      <c r="K61" s="115">
        <v>968.99</v>
      </c>
      <c r="L61" s="115">
        <v>968.99</v>
      </c>
      <c r="M61" s="113">
        <f>+J61+L61-K61</f>
        <v>0</v>
      </c>
    </row>
    <row r="62" spans="1:13" s="70" customFormat="1" ht="38.25" x14ac:dyDescent="0.2">
      <c r="A62" s="24"/>
      <c r="B62" s="1"/>
      <c r="C62" s="79" t="str">
        <f>"Particulars ( 01-04-2021 to "&amp;TEXT(A5,"dd-mm-yyyy")&amp;" )"</f>
        <v>Particulars ( 01-04-2021 to 19-09-2023 )</v>
      </c>
      <c r="D62" s="80" t="s">
        <v>73</v>
      </c>
      <c r="E62" s="80" t="s">
        <v>74</v>
      </c>
      <c r="F62" s="81" t="s">
        <v>75</v>
      </c>
      <c r="G62" s="80" t="s">
        <v>76</v>
      </c>
      <c r="I62" s="113" t="s">
        <v>707</v>
      </c>
      <c r="J62" s="115">
        <v>183.1</v>
      </c>
      <c r="K62" s="115">
        <v>3535.56</v>
      </c>
      <c r="L62" s="115">
        <v>3897.24</v>
      </c>
      <c r="M62" s="113">
        <f>+J62+L62-K62</f>
        <v>544.77999999999975</v>
      </c>
    </row>
    <row r="63" spans="1:13" s="70" customFormat="1" x14ac:dyDescent="0.2">
      <c r="A63" s="24"/>
      <c r="B63" s="1"/>
      <c r="C63" s="50" t="s">
        <v>444</v>
      </c>
      <c r="D63" s="55">
        <f>+L61+L62+J62</f>
        <v>5049.33</v>
      </c>
      <c r="E63" s="55">
        <f>+K61+K62</f>
        <v>4504.55</v>
      </c>
      <c r="F63" s="55">
        <f>+D63-E63</f>
        <v>544.77999999999975</v>
      </c>
      <c r="G63" s="55">
        <f>1500-F63</f>
        <v>955.22000000000025</v>
      </c>
      <c r="I63" s="113" t="s">
        <v>708</v>
      </c>
      <c r="J63" s="115">
        <v>1371.02</v>
      </c>
      <c r="K63" s="115">
        <v>14185.97</v>
      </c>
      <c r="L63" s="115">
        <v>13564.29</v>
      </c>
      <c r="M63" s="113">
        <f>+J63+L63-K63</f>
        <v>749.34000000000196</v>
      </c>
    </row>
    <row r="64" spans="1:13" s="70" customFormat="1" ht="12.75" customHeight="1" x14ac:dyDescent="0.2">
      <c r="A64" s="24"/>
      <c r="B64" s="1"/>
      <c r="C64" s="50" t="s">
        <v>71</v>
      </c>
      <c r="D64" s="55">
        <f>+J63+L63</f>
        <v>14935.310000000001</v>
      </c>
      <c r="E64" s="55">
        <f>+K63</f>
        <v>14185.97</v>
      </c>
      <c r="F64" s="55">
        <f>+D64-E64</f>
        <v>749.34000000000196</v>
      </c>
      <c r="G64" s="55">
        <f>1500+700-F64</f>
        <v>1450.659999999998</v>
      </c>
      <c r="I64" s="2"/>
      <c r="J64" s="118">
        <f>SUM(J61:J63)</f>
        <v>1554.12</v>
      </c>
      <c r="K64" s="118">
        <f>SUM(K61:K63)</f>
        <v>18690.52</v>
      </c>
      <c r="L64" s="118">
        <f>SUM(L61:L63)</f>
        <v>18430.52</v>
      </c>
      <c r="M64" s="118">
        <f>SUM(M61:M63)</f>
        <v>1294.1200000000017</v>
      </c>
    </row>
    <row r="65" spans="1:14" s="70" customFormat="1" ht="12.75" customHeight="1" x14ac:dyDescent="0.2">
      <c r="A65" s="24"/>
      <c r="B65" s="1"/>
      <c r="C65" s="14"/>
      <c r="D65" s="56"/>
      <c r="E65" s="13"/>
      <c r="F65" s="2"/>
      <c r="G65" s="30"/>
    </row>
    <row r="66" spans="1:14" s="70" customFormat="1" ht="12.75" customHeight="1" x14ac:dyDescent="0.2">
      <c r="A66" s="215" t="s">
        <v>80</v>
      </c>
      <c r="B66" s="216"/>
      <c r="C66" s="216"/>
      <c r="D66" s="217"/>
      <c r="E66" s="69"/>
      <c r="G66" s="30"/>
    </row>
    <row r="67" spans="1:14" s="70" customFormat="1" ht="12.75" customHeight="1" x14ac:dyDescent="0.2">
      <c r="A67" s="71" t="s">
        <v>81</v>
      </c>
      <c r="B67" s="71"/>
      <c r="C67" s="72" t="s">
        <v>82</v>
      </c>
      <c r="D67" s="73" t="s">
        <v>83</v>
      </c>
      <c r="E67" s="69"/>
      <c r="G67" s="30"/>
    </row>
    <row r="68" spans="1:14" s="70" customFormat="1" ht="12.75" customHeight="1" x14ac:dyDescent="0.2">
      <c r="A68" s="87">
        <v>45170</v>
      </c>
      <c r="B68" s="120" t="s">
        <v>1052</v>
      </c>
      <c r="C68" s="75" t="s">
        <v>270</v>
      </c>
      <c r="D68" s="88">
        <v>117174</v>
      </c>
      <c r="E68" s="2"/>
      <c r="F68" s="2"/>
      <c r="G68" s="30"/>
      <c r="H68" s="2"/>
      <c r="I68" s="2"/>
      <c r="J68" s="2"/>
      <c r="K68" s="2"/>
      <c r="L68" s="41"/>
      <c r="M68" s="42"/>
      <c r="N68" s="2"/>
    </row>
    <row r="69" spans="1:14" s="70" customFormat="1" ht="12.75" customHeight="1" x14ac:dyDescent="0.2">
      <c r="A69" s="87">
        <v>45171</v>
      </c>
      <c r="B69" s="120" t="s">
        <v>1052</v>
      </c>
      <c r="C69" s="75" t="s">
        <v>767</v>
      </c>
      <c r="D69" s="88">
        <v>278761</v>
      </c>
      <c r="E69" s="2"/>
      <c r="F69" s="2"/>
      <c r="G69" s="30"/>
      <c r="H69" s="2"/>
      <c r="I69" s="2"/>
      <c r="J69" s="1"/>
      <c r="K69" s="1"/>
      <c r="L69" s="1"/>
      <c r="M69" s="1"/>
      <c r="N69" s="2"/>
    </row>
    <row r="70" spans="1:14" s="70" customFormat="1" ht="12.75" customHeight="1" x14ac:dyDescent="0.2">
      <c r="A70" s="87">
        <v>45171</v>
      </c>
      <c r="B70" s="120" t="s">
        <v>1052</v>
      </c>
      <c r="C70" s="75" t="s">
        <v>201</v>
      </c>
      <c r="D70" s="88">
        <v>3500391.21</v>
      </c>
      <c r="E70" s="2"/>
      <c r="F70" s="2"/>
      <c r="G70" s="30"/>
      <c r="H70" s="2"/>
      <c r="I70" s="2"/>
      <c r="J70" s="2"/>
      <c r="K70" s="2"/>
      <c r="L70" s="13"/>
      <c r="M70" s="69" t="s">
        <v>396</v>
      </c>
      <c r="N70" s="2"/>
    </row>
    <row r="71" spans="1:14" s="2" customFormat="1" ht="12.75" customHeight="1" x14ac:dyDescent="0.2">
      <c r="A71" s="87">
        <v>45173</v>
      </c>
      <c r="B71" s="120" t="s">
        <v>1052</v>
      </c>
      <c r="C71" s="75" t="s">
        <v>1478</v>
      </c>
      <c r="D71" s="88">
        <v>22763</v>
      </c>
      <c r="G71" s="30"/>
      <c r="N71" s="1"/>
    </row>
    <row r="72" spans="1:14" s="2" customFormat="1" ht="12.75" customHeight="1" x14ac:dyDescent="0.2">
      <c r="A72" s="87">
        <v>45173</v>
      </c>
      <c r="B72" s="120" t="s">
        <v>1052</v>
      </c>
      <c r="C72" s="75" t="s">
        <v>1478</v>
      </c>
      <c r="D72" s="88">
        <v>1786258</v>
      </c>
      <c r="G72" s="1"/>
      <c r="M72" s="2" t="s">
        <v>396</v>
      </c>
      <c r="N72" s="1"/>
    </row>
    <row r="73" spans="1:14" s="2" customFormat="1" ht="12.75" customHeight="1" x14ac:dyDescent="0.2">
      <c r="A73" s="87">
        <v>45173</v>
      </c>
      <c r="B73" s="120" t="s">
        <v>1052</v>
      </c>
      <c r="C73" s="75" t="s">
        <v>1478</v>
      </c>
      <c r="D73" s="88">
        <v>1329469</v>
      </c>
      <c r="I73" s="1"/>
      <c r="J73" s="1"/>
      <c r="K73" s="1"/>
    </row>
    <row r="74" spans="1:14" s="2" customFormat="1" ht="12.75" customHeight="1" x14ac:dyDescent="0.2">
      <c r="A74" s="87">
        <v>45175</v>
      </c>
      <c r="B74" s="120" t="s">
        <v>1052</v>
      </c>
      <c r="C74" s="75" t="s">
        <v>784</v>
      </c>
      <c r="D74" s="88">
        <v>673560</v>
      </c>
      <c r="G74" s="1"/>
    </row>
    <row r="75" spans="1:14" s="2" customFormat="1" x14ac:dyDescent="0.2">
      <c r="A75" s="87">
        <v>45175</v>
      </c>
      <c r="B75" s="120" t="s">
        <v>1052</v>
      </c>
      <c r="C75" s="75" t="s">
        <v>784</v>
      </c>
      <c r="D75" s="88">
        <v>700391</v>
      </c>
      <c r="G75" s="1"/>
      <c r="N75" s="2" t="s">
        <v>535</v>
      </c>
    </row>
    <row r="76" spans="1:14" x14ac:dyDescent="0.2">
      <c r="A76" s="87">
        <v>45175</v>
      </c>
      <c r="B76" s="120" t="s">
        <v>1052</v>
      </c>
      <c r="C76" s="75" t="s">
        <v>84</v>
      </c>
      <c r="D76" s="88">
        <v>1000000</v>
      </c>
      <c r="I76" s="2"/>
      <c r="J76" s="2"/>
      <c r="K76" s="2"/>
      <c r="L76" s="2"/>
      <c r="M76" s="2"/>
      <c r="N76" s="2"/>
    </row>
    <row r="77" spans="1:14" x14ac:dyDescent="0.2">
      <c r="A77" s="87">
        <v>45176</v>
      </c>
      <c r="B77" s="120" t="s">
        <v>1052</v>
      </c>
      <c r="C77" s="75" t="s">
        <v>85</v>
      </c>
      <c r="D77" s="88">
        <v>565814</v>
      </c>
      <c r="I77" s="2"/>
      <c r="J77" s="2"/>
      <c r="K77" s="2"/>
      <c r="L77" s="2"/>
      <c r="M77" s="2"/>
      <c r="N77" s="2"/>
    </row>
    <row r="78" spans="1:14" s="2" customFormat="1" x14ac:dyDescent="0.2">
      <c r="A78" s="87">
        <v>45176</v>
      </c>
      <c r="B78" s="120" t="s">
        <v>1052</v>
      </c>
      <c r="C78" s="75" t="s">
        <v>271</v>
      </c>
      <c r="D78" s="88">
        <v>1691421</v>
      </c>
      <c r="G78" s="1"/>
    </row>
    <row r="79" spans="1:14" s="2" customFormat="1" x14ac:dyDescent="0.2">
      <c r="A79" s="87">
        <v>45177</v>
      </c>
      <c r="B79" s="120" t="s">
        <v>1052</v>
      </c>
      <c r="C79" s="75" t="s">
        <v>85</v>
      </c>
      <c r="D79" s="88">
        <v>432581</v>
      </c>
    </row>
    <row r="80" spans="1:14" s="2" customFormat="1" x14ac:dyDescent="0.2">
      <c r="A80" s="87">
        <v>45177</v>
      </c>
      <c r="B80" s="120" t="s">
        <v>1052</v>
      </c>
      <c r="C80" s="75" t="s">
        <v>1521</v>
      </c>
      <c r="D80" s="88">
        <v>1198155</v>
      </c>
    </row>
    <row r="81" spans="1:7" s="2" customFormat="1" x14ac:dyDescent="0.2">
      <c r="A81" s="87">
        <v>45180</v>
      </c>
      <c r="B81" s="120" t="s">
        <v>1052</v>
      </c>
      <c r="C81" s="75" t="s">
        <v>784</v>
      </c>
      <c r="D81" s="88">
        <v>279127</v>
      </c>
    </row>
    <row r="82" spans="1:7" s="2" customFormat="1" x14ac:dyDescent="0.2">
      <c r="A82" s="87">
        <v>45180</v>
      </c>
      <c r="B82" s="120" t="s">
        <v>1052</v>
      </c>
      <c r="C82" s="75" t="s">
        <v>270</v>
      </c>
      <c r="D82" s="88">
        <v>30842</v>
      </c>
    </row>
    <row r="83" spans="1:7" s="2" customFormat="1" x14ac:dyDescent="0.2">
      <c r="A83" s="87">
        <v>45180</v>
      </c>
      <c r="B83" s="120" t="s">
        <v>1052</v>
      </c>
      <c r="C83" s="75" t="s">
        <v>271</v>
      </c>
      <c r="D83" s="88">
        <v>701813</v>
      </c>
      <c r="G83" s="1"/>
    </row>
    <row r="84" spans="1:7" s="2" customFormat="1" x14ac:dyDescent="0.2">
      <c r="A84" s="87">
        <v>45180</v>
      </c>
      <c r="B84" s="120" t="s">
        <v>1052</v>
      </c>
      <c r="C84" s="75" t="s">
        <v>271</v>
      </c>
      <c r="D84" s="88">
        <v>189083</v>
      </c>
      <c r="G84" s="1"/>
    </row>
    <row r="85" spans="1:7" s="2" customFormat="1" x14ac:dyDescent="0.2">
      <c r="A85" s="87">
        <v>45180</v>
      </c>
      <c r="B85" s="120" t="s">
        <v>1052</v>
      </c>
      <c r="C85" s="75" t="s">
        <v>271</v>
      </c>
      <c r="D85" s="88">
        <v>2019</v>
      </c>
      <c r="G85" s="1"/>
    </row>
    <row r="86" spans="1:7" s="2" customFormat="1" x14ac:dyDescent="0.2">
      <c r="A86" s="87">
        <v>45182</v>
      </c>
      <c r="B86" s="120" t="s">
        <v>1052</v>
      </c>
      <c r="C86" s="75" t="s">
        <v>467</v>
      </c>
      <c r="D86" s="88">
        <v>3314639</v>
      </c>
      <c r="G86" s="1"/>
    </row>
    <row r="87" spans="1:7" s="2" customFormat="1" x14ac:dyDescent="0.2">
      <c r="A87" s="87">
        <v>45183</v>
      </c>
      <c r="B87" s="120" t="s">
        <v>1052</v>
      </c>
      <c r="C87" s="75" t="s">
        <v>784</v>
      </c>
      <c r="D87" s="88">
        <v>665398</v>
      </c>
      <c r="G87" s="1"/>
    </row>
    <row r="88" spans="1:7" s="2" customFormat="1" x14ac:dyDescent="0.2">
      <c r="A88" s="87">
        <v>45184</v>
      </c>
      <c r="B88" s="120" t="s">
        <v>1052</v>
      </c>
      <c r="C88" s="75" t="s">
        <v>784</v>
      </c>
      <c r="D88" s="88">
        <v>669733</v>
      </c>
      <c r="G88" s="1"/>
    </row>
    <row r="89" spans="1:7" s="2" customFormat="1" x14ac:dyDescent="0.2">
      <c r="A89" s="87">
        <v>45184</v>
      </c>
      <c r="B89" s="120" t="s">
        <v>1052</v>
      </c>
      <c r="C89" s="75" t="s">
        <v>270</v>
      </c>
      <c r="D89" s="88">
        <v>6923</v>
      </c>
      <c r="G89" s="1"/>
    </row>
    <row r="90" spans="1:7" s="2" customFormat="1" x14ac:dyDescent="0.2">
      <c r="A90" s="87">
        <v>45184</v>
      </c>
      <c r="B90" s="120" t="s">
        <v>1052</v>
      </c>
      <c r="C90" s="75" t="s">
        <v>84</v>
      </c>
      <c r="D90" s="88">
        <v>1092413</v>
      </c>
      <c r="G90" s="1"/>
    </row>
    <row r="91" spans="1:7" s="2" customFormat="1" x14ac:dyDescent="0.2">
      <c r="A91" s="87">
        <v>45184</v>
      </c>
      <c r="B91" s="120" t="s">
        <v>1052</v>
      </c>
      <c r="C91" s="75" t="s">
        <v>270</v>
      </c>
      <c r="D91" s="88">
        <v>273422</v>
      </c>
      <c r="G91" s="1"/>
    </row>
    <row r="92" spans="1:7" s="2" customFormat="1" x14ac:dyDescent="0.2">
      <c r="A92" s="87">
        <v>45185</v>
      </c>
      <c r="B92" s="120" t="s">
        <v>1052</v>
      </c>
      <c r="C92" s="75" t="s">
        <v>85</v>
      </c>
      <c r="D92" s="88">
        <v>389967</v>
      </c>
      <c r="G92" s="1"/>
    </row>
    <row r="93" spans="1:7" s="2" customFormat="1" x14ac:dyDescent="0.2">
      <c r="A93" s="87">
        <v>45185</v>
      </c>
      <c r="B93" s="120" t="s">
        <v>1052</v>
      </c>
      <c r="C93" s="75" t="s">
        <v>87</v>
      </c>
      <c r="D93" s="88">
        <v>887666</v>
      </c>
      <c r="G93" s="1"/>
    </row>
    <row r="94" spans="1:7" s="2" customFormat="1" x14ac:dyDescent="0.2">
      <c r="A94" s="87">
        <v>45187</v>
      </c>
      <c r="B94" s="120" t="s">
        <v>1052</v>
      </c>
      <c r="C94" s="75" t="s">
        <v>784</v>
      </c>
      <c r="D94" s="88">
        <v>702770</v>
      </c>
      <c r="G94" s="1"/>
    </row>
    <row r="95" spans="1:7" s="2" customFormat="1" x14ac:dyDescent="0.2">
      <c r="A95" s="87">
        <v>45187</v>
      </c>
      <c r="B95" s="120" t="s">
        <v>1052</v>
      </c>
      <c r="C95" s="75" t="s">
        <v>1552</v>
      </c>
      <c r="D95" s="88">
        <v>986729.07</v>
      </c>
      <c r="G95" s="1"/>
    </row>
    <row r="96" spans="1:7" s="2" customFormat="1" x14ac:dyDescent="0.2">
      <c r="A96" s="87"/>
      <c r="B96" s="74"/>
      <c r="C96" s="75"/>
      <c r="D96" s="51">
        <f>SUM(D68:D95)</f>
        <v>23489282.280000001</v>
      </c>
      <c r="F96" s="2" t="s">
        <v>396</v>
      </c>
      <c r="G96" s="1"/>
    </row>
    <row r="97" spans="1:13" s="2" customFormat="1" x14ac:dyDescent="0.2">
      <c r="A97" s="24"/>
      <c r="B97" s="1"/>
      <c r="C97" s="14"/>
      <c r="D97" s="56"/>
      <c r="E97" s="13"/>
      <c r="G97" s="1"/>
    </row>
    <row r="98" spans="1:13" s="2" customFormat="1" x14ac:dyDescent="0.2">
      <c r="A98" s="24"/>
      <c r="B98" s="1"/>
      <c r="C98" s="218" t="s">
        <v>77</v>
      </c>
      <c r="D98" s="219"/>
      <c r="E98" s="219"/>
      <c r="F98" s="220"/>
      <c r="H98" s="2" t="s">
        <v>396</v>
      </c>
    </row>
    <row r="99" spans="1:13" s="2" customFormat="1" x14ac:dyDescent="0.2">
      <c r="A99" s="24"/>
      <c r="B99" s="1"/>
      <c r="C99" s="50"/>
      <c r="D99" s="57" t="s">
        <v>78</v>
      </c>
      <c r="E99" s="58" t="s">
        <v>79</v>
      </c>
      <c r="F99" s="57" t="s">
        <v>72</v>
      </c>
      <c r="H99" s="2" t="s">
        <v>396</v>
      </c>
    </row>
    <row r="100" spans="1:13" s="2" customFormat="1" x14ac:dyDescent="0.2">
      <c r="A100" s="24"/>
      <c r="B100" s="1"/>
      <c r="C100" s="59" t="str">
        <f>"01-09-2023 to "&amp;TEXT(A5-2,"dd-mm-yyyy")</f>
        <v>01-09-2023 to 17-09-2023</v>
      </c>
      <c r="D100" s="60">
        <v>1394.76</v>
      </c>
      <c r="E100" s="60">
        <v>152.19</v>
      </c>
      <c r="F100" s="61">
        <f>SUM(D100:E100)</f>
        <v>1546.95</v>
      </c>
    </row>
    <row r="101" spans="1:13" s="2" customFormat="1" x14ac:dyDescent="0.2">
      <c r="A101" s="24"/>
      <c r="B101" s="1"/>
      <c r="C101" s="62" t="str">
        <f>TEXT(A5-1,"dd-mm-yyyy")</f>
        <v>18-09-2023</v>
      </c>
      <c r="D101" s="60">
        <v>61.88</v>
      </c>
      <c r="E101" s="60">
        <v>5.96</v>
      </c>
      <c r="F101" s="61">
        <f>SUM(D101:E101)</f>
        <v>67.84</v>
      </c>
      <c r="G101" s="1"/>
      <c r="H101" s="53"/>
    </row>
    <row r="102" spans="1:13" s="2" customFormat="1" ht="13.5" thickBot="1" x14ac:dyDescent="0.25">
      <c r="A102" s="24"/>
      <c r="B102" s="1"/>
      <c r="C102" s="63" t="str">
        <f>"01-09-2023 to "&amp;TEXT(A5-1,"dd-mm-yyyy")</f>
        <v>01-09-2023 to 18-09-2023</v>
      </c>
      <c r="D102" s="64">
        <f>SUM(D100:D101)</f>
        <v>1456.64</v>
      </c>
      <c r="E102" s="64">
        <f>SUM(E100:E101)</f>
        <v>158.15</v>
      </c>
      <c r="F102" s="64">
        <f>SUM(F100:F101)</f>
        <v>1614.79</v>
      </c>
      <c r="G102" s="1"/>
      <c r="H102" s="53"/>
    </row>
    <row r="103" spans="1:13" s="2" customFormat="1" ht="13.5" thickTop="1" x14ac:dyDescent="0.2">
      <c r="A103" s="24"/>
      <c r="B103" s="1"/>
      <c r="C103" s="62"/>
      <c r="D103" s="65"/>
      <c r="E103" s="66"/>
      <c r="F103" s="67"/>
      <c r="L103" s="1"/>
      <c r="M103" s="1"/>
    </row>
    <row r="104" spans="1:13" s="2" customFormat="1" x14ac:dyDescent="0.2">
      <c r="A104" s="24"/>
      <c r="B104" s="1"/>
      <c r="C104" s="62" t="str">
        <f>"01-04-2023 to " &amp;C101</f>
        <v>01-04-2023 to 18-09-2023</v>
      </c>
      <c r="D104" s="68">
        <f>+D102+24261.33</f>
        <v>25717.97</v>
      </c>
      <c r="E104" s="68">
        <f>+E102+1685.25</f>
        <v>1843.4</v>
      </c>
      <c r="F104" s="68">
        <f>+F102+25946.58</f>
        <v>27561.370000000003</v>
      </c>
      <c r="G104" s="1"/>
      <c r="L104" s="1"/>
      <c r="M104" s="1"/>
    </row>
    <row r="105" spans="1:13" s="2" customFormat="1" x14ac:dyDescent="0.2">
      <c r="A105" s="24"/>
      <c r="B105" s="1"/>
      <c r="C105" s="52"/>
      <c r="D105" s="85"/>
      <c r="E105" s="53"/>
      <c r="F105" s="53"/>
      <c r="G105" s="1"/>
      <c r="L105" s="1"/>
      <c r="M105" s="1"/>
    </row>
    <row r="106" spans="1:13" s="2" customFormat="1" x14ac:dyDescent="0.2">
      <c r="A106" s="24"/>
      <c r="B106" s="1"/>
      <c r="C106" s="52"/>
      <c r="D106" s="85"/>
      <c r="E106" s="53"/>
      <c r="F106" s="53"/>
      <c r="G106" s="1"/>
      <c r="L106" s="1"/>
      <c r="M106" s="1"/>
    </row>
    <row r="107" spans="1:13" s="2" customFormat="1" x14ac:dyDescent="0.2">
      <c r="A107" s="24"/>
      <c r="B107" s="1"/>
      <c r="C107" s="52"/>
      <c r="D107" s="85"/>
      <c r="E107" s="53"/>
      <c r="F107" s="53"/>
      <c r="G107" s="1"/>
      <c r="L107" s="1"/>
      <c r="M107" s="1"/>
    </row>
    <row r="108" spans="1:13" s="2" customFormat="1" x14ac:dyDescent="0.2">
      <c r="A108" s="24"/>
      <c r="B108" s="1"/>
      <c r="C108" s="52"/>
      <c r="D108" s="85"/>
      <c r="E108" s="53"/>
      <c r="F108" s="53"/>
      <c r="G108" s="1"/>
      <c r="L108" s="1"/>
      <c r="M108" s="1"/>
    </row>
    <row r="109" spans="1:13" s="2" customFormat="1" x14ac:dyDescent="0.2">
      <c r="A109" s="24"/>
      <c r="B109" s="1"/>
      <c r="C109" s="14"/>
      <c r="D109" s="25"/>
      <c r="G109" s="1"/>
      <c r="L109" s="1"/>
      <c r="M109" s="1"/>
    </row>
    <row r="110" spans="1:13" s="2" customFormat="1" x14ac:dyDescent="0.2">
      <c r="A110" s="24"/>
      <c r="B110" s="1"/>
      <c r="C110" s="14"/>
      <c r="D110" s="25"/>
      <c r="G110" s="1"/>
      <c r="L110" s="1"/>
      <c r="M110" s="1"/>
    </row>
    <row r="111" spans="1:13" s="2" customFormat="1" x14ac:dyDescent="0.2">
      <c r="A111" s="24"/>
      <c r="B111" s="1"/>
      <c r="C111" s="14"/>
      <c r="D111" s="25"/>
      <c r="G111" s="1"/>
      <c r="L111" s="1"/>
      <c r="M111" s="1"/>
    </row>
    <row r="112" spans="1:13" s="2" customFormat="1" x14ac:dyDescent="0.2">
      <c r="A112" s="24"/>
      <c r="B112" s="1"/>
      <c r="C112" s="14"/>
      <c r="D112" s="25"/>
      <c r="G112" s="1"/>
      <c r="L112" s="1"/>
      <c r="M112" s="1"/>
    </row>
    <row r="113" spans="1:13" s="2" customFormat="1" x14ac:dyDescent="0.2">
      <c r="A113" s="24"/>
      <c r="B113" s="1"/>
      <c r="C113" s="14"/>
      <c r="D113" s="25"/>
      <c r="G113" s="1"/>
      <c r="L113" s="1"/>
      <c r="M113" s="1"/>
    </row>
    <row r="114" spans="1:13" s="2" customFormat="1" x14ac:dyDescent="0.2">
      <c r="A114" s="24"/>
      <c r="B114" s="1"/>
      <c r="C114" s="14"/>
      <c r="D114" s="25"/>
      <c r="G114" s="1"/>
      <c r="L114" s="1"/>
      <c r="M114" s="1"/>
    </row>
    <row r="115" spans="1:13" s="2" customFormat="1" x14ac:dyDescent="0.2">
      <c r="A115" s="24"/>
      <c r="B115" s="1"/>
      <c r="C115" s="14"/>
      <c r="D115" s="25"/>
      <c r="G115" s="1"/>
      <c r="L115" s="1"/>
      <c r="M115" s="1"/>
    </row>
    <row r="116" spans="1:13" s="2" customFormat="1" x14ac:dyDescent="0.2">
      <c r="A116" s="24"/>
      <c r="B116" s="1"/>
      <c r="C116" s="14"/>
      <c r="D116" s="25"/>
      <c r="G116" s="1"/>
      <c r="L116" s="1"/>
      <c r="M116" s="1"/>
    </row>
    <row r="117" spans="1:13" s="2" customFormat="1" x14ac:dyDescent="0.2">
      <c r="A117" s="24"/>
      <c r="B117" s="1"/>
      <c r="C117" s="14"/>
      <c r="D117" s="25"/>
      <c r="G117" s="1"/>
      <c r="L117" s="1"/>
      <c r="M117" s="1"/>
    </row>
    <row r="118" spans="1:13" s="2" customFormat="1" x14ac:dyDescent="0.2">
      <c r="A118" s="24"/>
      <c r="B118" s="1"/>
      <c r="C118" s="14"/>
      <c r="D118" s="25"/>
      <c r="G118" s="1"/>
      <c r="L118" s="1"/>
      <c r="M118" s="1"/>
    </row>
    <row r="119" spans="1:13" s="2" customFormat="1" x14ac:dyDescent="0.2">
      <c r="A119" s="24"/>
      <c r="B119" s="1"/>
      <c r="C119" s="14"/>
      <c r="D119" s="25"/>
      <c r="G119" s="1"/>
      <c r="L119" s="1"/>
      <c r="M119" s="1"/>
    </row>
    <row r="120" spans="1:13" s="2" customFormat="1" x14ac:dyDescent="0.2">
      <c r="A120" s="24"/>
      <c r="B120" s="1"/>
      <c r="C120" s="14"/>
      <c r="D120" s="25"/>
      <c r="G120" s="1"/>
      <c r="L120" s="1"/>
      <c r="M120" s="1"/>
    </row>
    <row r="121" spans="1:13" s="2" customFormat="1" x14ac:dyDescent="0.2">
      <c r="A121" s="24"/>
      <c r="B121" s="1"/>
      <c r="C121" s="14"/>
      <c r="D121" s="25"/>
      <c r="G121" s="1"/>
      <c r="L121" s="1"/>
      <c r="M121" s="1"/>
    </row>
    <row r="122" spans="1:13" s="2" customFormat="1" x14ac:dyDescent="0.2">
      <c r="A122" s="24"/>
      <c r="B122" s="1"/>
      <c r="C122" s="14"/>
      <c r="D122" s="25"/>
      <c r="G122" s="1"/>
      <c r="L122" s="1"/>
      <c r="M122" s="1"/>
    </row>
    <row r="123" spans="1:13" s="2" customFormat="1" x14ac:dyDescent="0.2">
      <c r="A123" s="24"/>
      <c r="B123" s="1"/>
      <c r="C123" s="14"/>
      <c r="D123" s="25"/>
      <c r="G123" s="1"/>
      <c r="I123" s="1"/>
      <c r="J123" s="1"/>
      <c r="K123" s="1"/>
      <c r="L123" s="1"/>
      <c r="M123" s="1"/>
    </row>
    <row r="124" spans="1:13" s="2" customFormat="1" x14ac:dyDescent="0.2">
      <c r="A124" s="24"/>
      <c r="B124" s="1"/>
      <c r="C124" s="14"/>
      <c r="D124" s="25"/>
      <c r="G124" s="1"/>
    </row>
    <row r="125" spans="1:13" s="2" customFormat="1" x14ac:dyDescent="0.2">
      <c r="A125" s="24"/>
      <c r="B125" s="1"/>
      <c r="C125" s="14"/>
      <c r="D125" s="25"/>
      <c r="G125" s="1"/>
      <c r="I125" s="1"/>
      <c r="J125" s="1"/>
      <c r="K125" s="1"/>
      <c r="L125" s="1"/>
      <c r="M125" s="1"/>
    </row>
    <row r="126" spans="1:13" s="2" customFormat="1" x14ac:dyDescent="0.2">
      <c r="A126" s="24"/>
      <c r="B126" s="1"/>
      <c r="C126" s="14"/>
      <c r="D126" s="25"/>
      <c r="G126" s="54"/>
      <c r="I126" s="1"/>
      <c r="J126" s="1"/>
      <c r="K126" s="1"/>
      <c r="L126" s="1"/>
      <c r="M126" s="1"/>
    </row>
    <row r="127" spans="1:13" s="2" customFormat="1" x14ac:dyDescent="0.2">
      <c r="A127" s="24"/>
      <c r="B127" s="1"/>
      <c r="C127" s="14"/>
      <c r="D127" s="25"/>
      <c r="G127" s="54"/>
      <c r="I127" s="1"/>
      <c r="J127" s="1"/>
      <c r="K127" s="1"/>
      <c r="L127" s="1"/>
      <c r="M127" s="1"/>
    </row>
    <row r="128" spans="1:13" s="2" customFormat="1" x14ac:dyDescent="0.2">
      <c r="A128" s="24"/>
      <c r="B128" s="1"/>
      <c r="C128" s="14"/>
      <c r="D128" s="25"/>
      <c r="G128" s="54"/>
      <c r="I128" s="1"/>
      <c r="J128" s="1"/>
      <c r="K128" s="1"/>
      <c r="L128" s="1"/>
      <c r="M128" s="1"/>
    </row>
    <row r="129" spans="1:14" s="2" customFormat="1" x14ac:dyDescent="0.2">
      <c r="A129" s="24"/>
      <c r="B129" s="1"/>
      <c r="C129" s="14"/>
      <c r="D129" s="25"/>
      <c r="G129" s="54"/>
      <c r="H129" s="2" t="s">
        <v>396</v>
      </c>
      <c r="I129" s="1"/>
      <c r="J129" s="1"/>
      <c r="K129" s="1"/>
      <c r="L129" s="1"/>
      <c r="M129" s="1"/>
      <c r="N129" s="1"/>
    </row>
    <row r="130" spans="1:14" s="2" customFormat="1" x14ac:dyDescent="0.2">
      <c r="A130" s="24"/>
      <c r="B130" s="1"/>
      <c r="C130" s="14"/>
      <c r="D130" s="25"/>
      <c r="G130" s="54"/>
      <c r="H130" s="53"/>
    </row>
    <row r="131" spans="1:14" s="2" customFormat="1" x14ac:dyDescent="0.2">
      <c r="A131" s="24"/>
      <c r="B131" s="1"/>
      <c r="C131" s="14"/>
      <c r="D131" s="25"/>
      <c r="G131" s="54"/>
      <c r="H131" s="53" t="s">
        <v>396</v>
      </c>
      <c r="I131" s="1"/>
      <c r="J131" s="1"/>
      <c r="K131" s="1"/>
      <c r="L131" s="1"/>
      <c r="M131" s="1"/>
      <c r="N131" s="1"/>
    </row>
    <row r="132" spans="1:14" x14ac:dyDescent="0.2">
      <c r="G132" s="54"/>
      <c r="H132" s="53" t="s">
        <v>396</v>
      </c>
      <c r="J132" s="42"/>
    </row>
    <row r="133" spans="1:14" s="2" customFormat="1" x14ac:dyDescent="0.2">
      <c r="A133" s="24"/>
      <c r="B133" s="1"/>
      <c r="C133" s="14"/>
      <c r="D133" s="25"/>
      <c r="G133" s="54"/>
      <c r="H133" s="53"/>
      <c r="I133" s="101"/>
      <c r="J133" s="1"/>
      <c r="K133" s="1"/>
      <c r="L133" s="1"/>
      <c r="M133" s="1"/>
      <c r="N133" s="1"/>
    </row>
    <row r="134" spans="1:14" x14ac:dyDescent="0.2">
      <c r="G134" s="54"/>
      <c r="H134" s="53"/>
    </row>
    <row r="135" spans="1:14" x14ac:dyDescent="0.2">
      <c r="G135" s="54"/>
      <c r="H135" s="53"/>
    </row>
    <row r="136" spans="1:14" x14ac:dyDescent="0.2">
      <c r="G136" s="54"/>
      <c r="H136" s="53"/>
    </row>
  </sheetData>
  <sheetProtection insertRows="0"/>
  <mergeCells count="6">
    <mergeCell ref="C98:F98"/>
    <mergeCell ref="A1:G1"/>
    <mergeCell ref="A3:F3"/>
    <mergeCell ref="A10:F10"/>
    <mergeCell ref="A31:F31"/>
    <mergeCell ref="A66:D66"/>
  </mergeCells>
  <conditionalFormatting sqref="G63:G64">
    <cfRule type="cellIs" dxfId="307" priority="1" operator="lessThan">
      <formula>0</formula>
    </cfRule>
  </conditionalFormatting>
  <conditionalFormatting sqref="C33">
    <cfRule type="duplicateValues" dxfId="306" priority="2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900-000000000000}">
  <sheetPr codeName="Sheet433">
    <pageSetUpPr fitToPage="1"/>
  </sheetPr>
  <dimension ref="A1:N153"/>
  <sheetViews>
    <sheetView topLeftCell="A19" zoomScaleNormal="100" workbookViewId="0">
      <selection activeCell="C52" sqref="C52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3" ht="20.25" customHeight="1" x14ac:dyDescent="0.4">
      <c r="A1" s="212" t="s">
        <v>1560</v>
      </c>
      <c r="B1" s="212"/>
      <c r="C1" s="212"/>
      <c r="D1" s="212"/>
      <c r="E1" s="212"/>
      <c r="F1" s="212"/>
      <c r="G1" s="212"/>
      <c r="H1" s="112"/>
      <c r="I1" s="112"/>
    </row>
    <row r="2" spans="1:13" ht="12.75" customHeight="1" x14ac:dyDescent="0.4">
      <c r="H2" s="112"/>
      <c r="I2" s="112"/>
    </row>
    <row r="3" spans="1:13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3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3" s="2" customFormat="1" ht="14.25" customHeight="1" x14ac:dyDescent="0.4">
      <c r="A5" s="89">
        <v>45189</v>
      </c>
      <c r="B5" s="9" t="s">
        <v>6</v>
      </c>
      <c r="C5" s="10" t="s">
        <v>7</v>
      </c>
      <c r="D5" s="11"/>
      <c r="E5" s="12">
        <v>1664478.790000001</v>
      </c>
      <c r="F5" s="12"/>
      <c r="G5" s="1"/>
      <c r="H5" s="112"/>
      <c r="I5" s="112"/>
    </row>
    <row r="6" spans="1:13" s="2" customFormat="1" ht="14.25" customHeight="1" x14ac:dyDescent="0.4">
      <c r="A6" s="89">
        <v>45189</v>
      </c>
      <c r="B6" s="9" t="s">
        <v>6</v>
      </c>
      <c r="C6" s="10" t="s">
        <v>600</v>
      </c>
      <c r="D6" s="11" t="s">
        <v>29</v>
      </c>
      <c r="E6" s="12"/>
      <c r="F6" s="12">
        <v>350000</v>
      </c>
      <c r="G6" s="1"/>
      <c r="H6" s="112"/>
      <c r="I6" s="112"/>
    </row>
    <row r="7" spans="1:13" s="2" customFormat="1" ht="14.25" customHeight="1" x14ac:dyDescent="0.4">
      <c r="A7" s="89">
        <v>45189</v>
      </c>
      <c r="B7" s="9" t="s">
        <v>6</v>
      </c>
      <c r="C7" s="10" t="s">
        <v>990</v>
      </c>
      <c r="D7" s="11" t="s">
        <v>29</v>
      </c>
      <c r="E7" s="12"/>
      <c r="F7" s="12">
        <v>185191</v>
      </c>
      <c r="G7" s="1"/>
      <c r="H7" s="112"/>
      <c r="I7" s="112"/>
    </row>
    <row r="8" spans="1:13" s="2" customFormat="1" ht="12.75" customHeight="1" x14ac:dyDescent="0.4">
      <c r="D8" s="15" t="s">
        <v>8</v>
      </c>
      <c r="E8" s="16">
        <f>SUM(E5:E7)</f>
        <v>1664478.790000001</v>
      </c>
      <c r="F8" s="16">
        <f>SUM(F6:F7)</f>
        <v>535191</v>
      </c>
      <c r="G8" s="1"/>
      <c r="H8" s="112"/>
      <c r="I8" s="112"/>
    </row>
    <row r="9" spans="1:13" s="2" customFormat="1" ht="12.75" customHeight="1" x14ac:dyDescent="0.4">
      <c r="A9" s="17"/>
      <c r="B9" s="18"/>
      <c r="C9" s="19" t="s">
        <v>9</v>
      </c>
      <c r="D9" s="20"/>
      <c r="E9" s="21">
        <f>+E8-F8</f>
        <v>1129287.790000001</v>
      </c>
      <c r="F9" s="22"/>
      <c r="G9" s="23"/>
      <c r="H9" s="112"/>
      <c r="I9" s="112"/>
      <c r="J9" s="13"/>
    </row>
    <row r="10" spans="1:13" ht="12.75" customHeight="1" x14ac:dyDescent="0.4">
      <c r="H10" s="112"/>
      <c r="I10" s="112"/>
    </row>
    <row r="11" spans="1:13" ht="18" customHeight="1" x14ac:dyDescent="0.4">
      <c r="A11" s="213" t="s">
        <v>1037</v>
      </c>
      <c r="B11" s="213"/>
      <c r="C11" s="213"/>
      <c r="D11" s="213"/>
      <c r="E11" s="213"/>
      <c r="F11" s="213"/>
      <c r="H11" s="112"/>
      <c r="I11" s="169">
        <v>90000000</v>
      </c>
      <c r="J11" s="169" t="s">
        <v>1508</v>
      </c>
    </row>
    <row r="12" spans="1:13" ht="12.75" customHeight="1" x14ac:dyDescent="0.4">
      <c r="A12" s="3" t="s">
        <v>1</v>
      </c>
      <c r="B12" s="4" t="s">
        <v>2</v>
      </c>
      <c r="C12" s="5"/>
      <c r="D12" s="6" t="s">
        <v>3</v>
      </c>
      <c r="E12" s="7" t="s">
        <v>4</v>
      </c>
      <c r="F12" s="7" t="s">
        <v>5</v>
      </c>
      <c r="H12" s="112"/>
      <c r="I12" s="169">
        <v>86674747.689999998</v>
      </c>
      <c r="J12" s="169" t="s">
        <v>1509</v>
      </c>
      <c r="K12" s="124"/>
    </row>
    <row r="13" spans="1:13" s="2" customFormat="1" ht="14.25" customHeight="1" x14ac:dyDescent="0.2">
      <c r="A13" s="89">
        <v>45189</v>
      </c>
      <c r="B13" s="9" t="s">
        <v>6</v>
      </c>
      <c r="C13" s="10" t="s">
        <v>7</v>
      </c>
      <c r="D13" s="11"/>
      <c r="F13" s="12">
        <v>86669083.689999998</v>
      </c>
      <c r="G13" s="1"/>
      <c r="H13" s="130" t="s">
        <v>396</v>
      </c>
      <c r="I13" s="169">
        <f>+I11-I12</f>
        <v>3325252.3100000024</v>
      </c>
      <c r="J13" s="169" t="s">
        <v>712</v>
      </c>
      <c r="K13" s="165" t="s">
        <v>1512</v>
      </c>
    </row>
    <row r="14" spans="1:13" s="2" customFormat="1" ht="14.25" customHeight="1" x14ac:dyDescent="0.2">
      <c r="D14" s="11" t="s">
        <v>8</v>
      </c>
      <c r="E14" s="16">
        <f>SUM(E13:E13)</f>
        <v>0</v>
      </c>
      <c r="F14" s="16">
        <f>SUM(F13:F13)</f>
        <v>86669083.689999998</v>
      </c>
      <c r="G14" s="1"/>
      <c r="H14" s="143"/>
      <c r="I14" s="130"/>
      <c r="J14" s="143"/>
      <c r="K14" s="143"/>
      <c r="L14" s="143"/>
      <c r="M14" s="143"/>
    </row>
    <row r="15" spans="1:13" s="2" customFormat="1" ht="14.25" customHeight="1" x14ac:dyDescent="0.4">
      <c r="A15" s="17"/>
      <c r="B15" s="18"/>
      <c r="C15" s="96" t="s">
        <v>9</v>
      </c>
      <c r="D15" s="20"/>
      <c r="E15" s="21">
        <f>+F14-E14</f>
        <v>86669083.689999998</v>
      </c>
      <c r="G15" s="1"/>
      <c r="I15" s="112"/>
      <c r="J15" s="153" t="s">
        <v>779</v>
      </c>
    </row>
    <row r="16" spans="1:13" s="2" customFormat="1" ht="14.25" customHeight="1" x14ac:dyDescent="0.2">
      <c r="A16" s="36"/>
      <c r="B16" s="28" t="s">
        <v>66</v>
      </c>
      <c r="C16" s="43" t="s">
        <v>1458</v>
      </c>
      <c r="D16" s="43"/>
      <c r="E16" s="12">
        <v>30000000</v>
      </c>
      <c r="F16" s="22"/>
      <c r="G16" s="1"/>
      <c r="I16" s="40">
        <v>86669083.689999998</v>
      </c>
      <c r="J16" s="154">
        <f>I16-E15</f>
        <v>0</v>
      </c>
      <c r="K16" s="2">
        <f>+J16-100000</f>
        <v>-100000</v>
      </c>
    </row>
    <row r="17" spans="1:14" s="2" customFormat="1" ht="14.25" customHeight="1" x14ac:dyDescent="0.25">
      <c r="A17" s="36"/>
      <c r="B17" s="28"/>
      <c r="C17" s="44" t="s">
        <v>1541</v>
      </c>
      <c r="D17" s="43"/>
      <c r="E17" s="7">
        <f>+E15+E16</f>
        <v>116669083.69</v>
      </c>
      <c r="F17" s="22"/>
      <c r="G17" s="1"/>
    </row>
    <row r="18" spans="1:14" s="2" customFormat="1" ht="14.25" customHeight="1" x14ac:dyDescent="0.25">
      <c r="A18" s="36"/>
      <c r="B18" s="28"/>
      <c r="C18" s="44" t="s">
        <v>1511</v>
      </c>
      <c r="D18" s="43"/>
      <c r="E18" s="38">
        <f>+I13</f>
        <v>3325252.3100000024</v>
      </c>
      <c r="F18" s="22"/>
      <c r="G18" s="1"/>
    </row>
    <row r="19" spans="1:14" s="2" customFormat="1" ht="14.25" customHeight="1" x14ac:dyDescent="0.2">
      <c r="A19" s="24"/>
      <c r="B19" s="1"/>
      <c r="C19" s="14"/>
      <c r="D19" s="25"/>
      <c r="G19" s="1"/>
      <c r="I19" s="130"/>
      <c r="J19" s="130"/>
    </row>
    <row r="20" spans="1:14" s="2" customFormat="1" x14ac:dyDescent="0.2">
      <c r="A20" s="214" t="s">
        <v>10</v>
      </c>
      <c r="B20" s="214"/>
      <c r="C20" s="214"/>
      <c r="D20" s="214"/>
      <c r="E20" s="214"/>
      <c r="F20" s="214"/>
      <c r="G20" s="1"/>
      <c r="H20" s="159"/>
      <c r="I20" s="160">
        <v>150000000</v>
      </c>
      <c r="J20" s="160" t="s">
        <v>1506</v>
      </c>
      <c r="K20" s="70"/>
    </row>
    <row r="21" spans="1:14" s="2" customFormat="1" x14ac:dyDescent="0.2">
      <c r="A21" s="26" t="s">
        <v>1</v>
      </c>
      <c r="B21" s="27" t="s">
        <v>2</v>
      </c>
      <c r="C21" s="5"/>
      <c r="D21" s="6" t="s">
        <v>3</v>
      </c>
      <c r="E21" s="7" t="s">
        <v>4</v>
      </c>
      <c r="F21" s="7" t="s">
        <v>5</v>
      </c>
      <c r="G21" s="1"/>
      <c r="H21" s="159"/>
      <c r="I21" s="160">
        <v>117011523.16</v>
      </c>
      <c r="J21" s="160" t="s">
        <v>1507</v>
      </c>
      <c r="K21" s="70" t="s">
        <v>1512</v>
      </c>
    </row>
    <row r="22" spans="1:14" s="2" customFormat="1" x14ac:dyDescent="0.2">
      <c r="A22" s="89">
        <v>45189</v>
      </c>
      <c r="B22" s="128" t="s">
        <v>11</v>
      </c>
      <c r="C22" s="29" t="s">
        <v>7</v>
      </c>
      <c r="D22" s="25"/>
      <c r="E22" s="31"/>
      <c r="F22" s="2">
        <v>109911055.63000005</v>
      </c>
      <c r="G22" s="23"/>
      <c r="H22" s="159" t="s">
        <v>1505</v>
      </c>
      <c r="I22" s="160">
        <f>+I20-I21</f>
        <v>32988476.840000004</v>
      </c>
      <c r="J22" s="160"/>
      <c r="K22" s="70"/>
    </row>
    <row r="23" spans="1:14" s="2" customFormat="1" x14ac:dyDescent="0.2">
      <c r="A23" s="89">
        <v>45189</v>
      </c>
      <c r="B23" s="128" t="s">
        <v>6</v>
      </c>
      <c r="C23" s="10" t="s">
        <v>755</v>
      </c>
      <c r="D23" s="11" t="s">
        <v>13</v>
      </c>
      <c r="E23" s="86">
        <v>651342.09</v>
      </c>
      <c r="F23" s="70"/>
      <c r="G23" s="1"/>
      <c r="N23" s="1"/>
    </row>
    <row r="24" spans="1:14" s="2" customFormat="1" x14ac:dyDescent="0.2">
      <c r="A24" s="89">
        <v>45189</v>
      </c>
      <c r="B24" s="128" t="s">
        <v>6</v>
      </c>
      <c r="C24" s="10" t="s">
        <v>764</v>
      </c>
      <c r="D24" s="11" t="s">
        <v>13</v>
      </c>
      <c r="E24" s="86">
        <v>1047426.14</v>
      </c>
      <c r="F24" s="70"/>
      <c r="G24" s="1"/>
      <c r="N24" s="1"/>
    </row>
    <row r="25" spans="1:14" s="2" customFormat="1" x14ac:dyDescent="0.2">
      <c r="A25" s="89">
        <v>45189</v>
      </c>
      <c r="B25" s="128" t="s">
        <v>6</v>
      </c>
      <c r="C25" s="10" t="s">
        <v>759</v>
      </c>
      <c r="D25" s="11" t="s">
        <v>13</v>
      </c>
      <c r="E25" s="86">
        <v>756707.41</v>
      </c>
      <c r="F25" s="70"/>
      <c r="G25" s="1"/>
      <c r="N25" s="1"/>
    </row>
    <row r="26" spans="1:14" s="2" customFormat="1" x14ac:dyDescent="0.2">
      <c r="A26" s="89">
        <v>45189</v>
      </c>
      <c r="B26" s="128" t="s">
        <v>6</v>
      </c>
      <c r="C26" s="10" t="s">
        <v>749</v>
      </c>
      <c r="D26" s="11" t="s">
        <v>13</v>
      </c>
      <c r="E26" s="86">
        <v>2359401.7200000002</v>
      </c>
      <c r="F26" s="70"/>
      <c r="G26" s="1"/>
      <c r="N26" s="1"/>
    </row>
    <row r="27" spans="1:14" s="2" customFormat="1" x14ac:dyDescent="0.2">
      <c r="A27" s="89">
        <v>45189</v>
      </c>
      <c r="B27" s="128" t="s">
        <v>6</v>
      </c>
      <c r="C27" s="10" t="s">
        <v>773</v>
      </c>
      <c r="D27" s="11" t="s">
        <v>13</v>
      </c>
      <c r="E27" s="86">
        <v>2525984.2799999998</v>
      </c>
      <c r="F27" s="70"/>
      <c r="G27" s="1"/>
      <c r="N27" s="1"/>
    </row>
    <row r="28" spans="1:14" s="2" customFormat="1" x14ac:dyDescent="0.2">
      <c r="A28" s="89">
        <v>45189</v>
      </c>
      <c r="B28" s="128" t="s">
        <v>6</v>
      </c>
      <c r="C28" s="10" t="s">
        <v>332</v>
      </c>
      <c r="D28" s="11" t="s">
        <v>13</v>
      </c>
      <c r="E28" s="86">
        <v>7311</v>
      </c>
      <c r="F28" s="70"/>
      <c r="G28" s="1"/>
      <c r="N28" s="1"/>
    </row>
    <row r="29" spans="1:14" s="2" customFormat="1" x14ac:dyDescent="0.2">
      <c r="A29" s="89">
        <v>45189</v>
      </c>
      <c r="B29" s="128" t="s">
        <v>6</v>
      </c>
      <c r="C29" s="10" t="s">
        <v>381</v>
      </c>
      <c r="D29" s="11" t="s">
        <v>13</v>
      </c>
      <c r="E29" s="86">
        <v>33485</v>
      </c>
      <c r="F29" s="70"/>
      <c r="G29" s="1"/>
      <c r="N29" s="1"/>
    </row>
    <row r="30" spans="1:14" s="2" customFormat="1" x14ac:dyDescent="0.2">
      <c r="A30" s="89">
        <v>45189</v>
      </c>
      <c r="B30" s="128" t="s">
        <v>6</v>
      </c>
      <c r="C30" s="10" t="s">
        <v>202</v>
      </c>
      <c r="D30" s="11" t="s">
        <v>13</v>
      </c>
      <c r="E30" s="86">
        <v>173818</v>
      </c>
      <c r="F30" s="70"/>
      <c r="G30" s="1"/>
      <c r="N30" s="1"/>
    </row>
    <row r="31" spans="1:14" s="2" customFormat="1" x14ac:dyDescent="0.2">
      <c r="A31" s="89">
        <v>45189</v>
      </c>
      <c r="B31" s="128" t="s">
        <v>6</v>
      </c>
      <c r="C31" s="10" t="s">
        <v>1558</v>
      </c>
      <c r="D31" s="11" t="s">
        <v>13</v>
      </c>
      <c r="E31" s="86">
        <v>7034</v>
      </c>
      <c r="F31" s="70"/>
      <c r="G31" s="1"/>
      <c r="N31" s="1"/>
    </row>
    <row r="32" spans="1:14" s="2" customFormat="1" x14ac:dyDescent="0.2">
      <c r="A32" s="89">
        <v>45189</v>
      </c>
      <c r="B32" s="128" t="s">
        <v>6</v>
      </c>
      <c r="C32" s="10" t="s">
        <v>1453</v>
      </c>
      <c r="D32" s="11" t="s">
        <v>13</v>
      </c>
      <c r="E32" s="86">
        <v>549224</v>
      </c>
      <c r="F32" s="70"/>
      <c r="G32" s="1"/>
      <c r="N32" s="1"/>
    </row>
    <row r="33" spans="1:14" s="2" customFormat="1" x14ac:dyDescent="0.2">
      <c r="A33" s="89">
        <v>45189</v>
      </c>
      <c r="B33" s="128" t="s">
        <v>6</v>
      </c>
      <c r="C33" s="10" t="s">
        <v>144</v>
      </c>
      <c r="D33" s="11" t="s">
        <v>13</v>
      </c>
      <c r="E33" s="86">
        <v>3454494</v>
      </c>
      <c r="F33" s="70"/>
      <c r="G33" s="1"/>
      <c r="N33" s="1"/>
    </row>
    <row r="34" spans="1:14" s="2" customFormat="1" x14ac:dyDescent="0.2">
      <c r="A34" s="89">
        <v>45189</v>
      </c>
      <c r="B34" s="128" t="s">
        <v>6</v>
      </c>
      <c r="C34" s="10" t="s">
        <v>935</v>
      </c>
      <c r="D34" s="11" t="s">
        <v>13</v>
      </c>
      <c r="E34" s="86">
        <v>1495598</v>
      </c>
      <c r="F34" s="70"/>
      <c r="G34" s="1"/>
      <c r="N34" s="1"/>
    </row>
    <row r="35" spans="1:14" s="2" customFormat="1" x14ac:dyDescent="0.2">
      <c r="A35" s="89">
        <v>45189</v>
      </c>
      <c r="B35" s="128" t="s">
        <v>6</v>
      </c>
      <c r="C35" s="10" t="s">
        <v>555</v>
      </c>
      <c r="D35" s="11" t="s">
        <v>13</v>
      </c>
      <c r="E35" s="86">
        <v>190923</v>
      </c>
      <c r="F35" s="70"/>
      <c r="G35" s="1"/>
      <c r="N35" s="1"/>
    </row>
    <row r="36" spans="1:14" s="2" customFormat="1" x14ac:dyDescent="0.2">
      <c r="A36" s="89">
        <v>45189</v>
      </c>
      <c r="B36" s="128" t="s">
        <v>6</v>
      </c>
      <c r="C36" s="10" t="s">
        <v>1497</v>
      </c>
      <c r="D36" s="11" t="s">
        <v>13</v>
      </c>
      <c r="E36" s="86">
        <v>1188784</v>
      </c>
      <c r="F36" s="70"/>
      <c r="G36" s="1"/>
      <c r="N36" s="1"/>
    </row>
    <row r="37" spans="1:14" s="2" customFormat="1" x14ac:dyDescent="0.2">
      <c r="A37" s="89">
        <v>45189</v>
      </c>
      <c r="B37" s="128" t="s">
        <v>6</v>
      </c>
      <c r="C37" s="10" t="s">
        <v>1559</v>
      </c>
      <c r="D37" s="11" t="s">
        <v>13</v>
      </c>
      <c r="E37" s="86">
        <v>551242</v>
      </c>
      <c r="F37" s="70"/>
      <c r="G37" s="1"/>
      <c r="N37" s="1"/>
    </row>
    <row r="38" spans="1:14" s="2" customFormat="1" x14ac:dyDescent="0.2">
      <c r="A38" s="89">
        <v>45189</v>
      </c>
      <c r="B38" s="128" t="s">
        <v>6</v>
      </c>
      <c r="C38" s="10" t="s">
        <v>1192</v>
      </c>
      <c r="D38" s="11" t="s">
        <v>13</v>
      </c>
      <c r="E38" s="86">
        <v>1154174</v>
      </c>
      <c r="F38" s="70"/>
      <c r="G38" s="1"/>
      <c r="N38" s="1"/>
    </row>
    <row r="39" spans="1:14" s="2" customFormat="1" x14ac:dyDescent="0.2">
      <c r="A39" s="89">
        <v>45189</v>
      </c>
      <c r="B39" s="128" t="s">
        <v>6</v>
      </c>
      <c r="C39" s="10" t="s">
        <v>972</v>
      </c>
      <c r="D39" s="11" t="s">
        <v>13</v>
      </c>
      <c r="E39" s="86">
        <v>232943</v>
      </c>
      <c r="F39" s="70"/>
      <c r="G39" s="1"/>
      <c r="N39" s="1"/>
    </row>
    <row r="40" spans="1:14" s="2" customFormat="1" x14ac:dyDescent="0.2">
      <c r="A40" s="89">
        <v>45189</v>
      </c>
      <c r="B40" s="128" t="s">
        <v>6</v>
      </c>
      <c r="C40" s="10" t="s">
        <v>817</v>
      </c>
      <c r="D40" s="11" t="s">
        <v>13</v>
      </c>
      <c r="E40" s="86">
        <v>6300</v>
      </c>
      <c r="F40" s="70"/>
      <c r="G40" s="1"/>
      <c r="N40" s="1"/>
    </row>
    <row r="41" spans="1:14" s="2" customFormat="1" x14ac:dyDescent="0.2">
      <c r="A41" s="89">
        <v>45189</v>
      </c>
      <c r="B41" s="128" t="s">
        <v>6</v>
      </c>
      <c r="C41" s="10" t="s">
        <v>611</v>
      </c>
      <c r="D41" s="11" t="s">
        <v>13</v>
      </c>
      <c r="E41" s="86">
        <v>11060</v>
      </c>
      <c r="F41" s="70"/>
      <c r="G41" s="1"/>
      <c r="N41" s="1"/>
    </row>
    <row r="42" spans="1:14" s="2" customFormat="1" x14ac:dyDescent="0.2">
      <c r="A42" s="89">
        <v>45189</v>
      </c>
      <c r="B42" s="128" t="s">
        <v>6</v>
      </c>
      <c r="C42" s="10" t="s">
        <v>15</v>
      </c>
      <c r="D42" s="11" t="s">
        <v>13</v>
      </c>
      <c r="E42" s="86">
        <v>98.36</v>
      </c>
      <c r="F42" s="70"/>
      <c r="G42" s="1"/>
      <c r="N42" s="1"/>
    </row>
    <row r="43" spans="1:14" s="2" customFormat="1" x14ac:dyDescent="0.2">
      <c r="A43" s="89">
        <v>45189</v>
      </c>
      <c r="B43" s="128" t="s">
        <v>6</v>
      </c>
      <c r="C43" s="10" t="s">
        <v>456</v>
      </c>
      <c r="D43" s="11" t="s">
        <v>13</v>
      </c>
      <c r="E43" s="86">
        <v>457020</v>
      </c>
      <c r="F43" s="70"/>
      <c r="G43" s="1"/>
      <c r="N43" s="1"/>
    </row>
    <row r="44" spans="1:14" s="13" customFormat="1" x14ac:dyDescent="0.2">
      <c r="A44" s="97">
        <v>45189</v>
      </c>
      <c r="B44" s="132" t="s">
        <v>11</v>
      </c>
      <c r="C44" s="121" t="s">
        <v>390</v>
      </c>
      <c r="D44" s="122" t="s">
        <v>258</v>
      </c>
      <c r="E44" s="147"/>
      <c r="F44" s="69">
        <v>9609</v>
      </c>
      <c r="G44" s="23"/>
      <c r="N44" s="23"/>
    </row>
    <row r="45" spans="1:14" s="13" customFormat="1" x14ac:dyDescent="0.2">
      <c r="A45" s="97">
        <v>45189</v>
      </c>
      <c r="B45" s="132" t="s">
        <v>11</v>
      </c>
      <c r="C45" s="121" t="s">
        <v>1540</v>
      </c>
      <c r="D45" s="122" t="s">
        <v>258</v>
      </c>
      <c r="E45" s="147"/>
      <c r="F45" s="69">
        <v>1887797</v>
      </c>
      <c r="G45" s="23"/>
      <c r="N45" s="23"/>
    </row>
    <row r="46" spans="1:14" s="13" customFormat="1" x14ac:dyDescent="0.2">
      <c r="A46" s="89">
        <v>45189</v>
      </c>
      <c r="B46" s="128" t="s">
        <v>11</v>
      </c>
      <c r="C46" s="10" t="s">
        <v>273</v>
      </c>
      <c r="D46" s="11" t="s">
        <v>29</v>
      </c>
      <c r="E46" s="147"/>
      <c r="F46" s="69">
        <f>65774+66782</f>
        <v>132556</v>
      </c>
      <c r="G46" s="23"/>
      <c r="N46" s="23"/>
    </row>
    <row r="47" spans="1:14" s="2" customFormat="1" x14ac:dyDescent="0.2">
      <c r="A47" s="89">
        <v>45189</v>
      </c>
      <c r="B47" s="128" t="s">
        <v>11</v>
      </c>
      <c r="C47" s="10" t="s">
        <v>64</v>
      </c>
      <c r="D47" s="11" t="s">
        <v>29</v>
      </c>
      <c r="E47" s="86"/>
      <c r="F47" s="70">
        <v>7375</v>
      </c>
      <c r="G47" s="1"/>
      <c r="N47" s="1"/>
    </row>
    <row r="48" spans="1:14" s="2" customFormat="1" x14ac:dyDescent="0.2">
      <c r="A48" s="89">
        <v>45189</v>
      </c>
      <c r="B48" s="128" t="s">
        <v>11</v>
      </c>
      <c r="C48" s="10" t="s">
        <v>273</v>
      </c>
      <c r="D48" s="11" t="s">
        <v>29</v>
      </c>
      <c r="E48" s="86"/>
      <c r="F48" s="70">
        <v>4242000</v>
      </c>
      <c r="G48" s="1"/>
      <c r="N48" s="1"/>
    </row>
    <row r="49" spans="1:14" s="2" customFormat="1" x14ac:dyDescent="0.2">
      <c r="A49" s="89">
        <v>45189</v>
      </c>
      <c r="B49" s="128" t="s">
        <v>11</v>
      </c>
      <c r="C49" s="10" t="s">
        <v>1403</v>
      </c>
      <c r="D49" s="11" t="s">
        <v>29</v>
      </c>
      <c r="E49" s="86"/>
      <c r="F49" s="70">
        <v>625279</v>
      </c>
      <c r="G49" s="1"/>
      <c r="N49" s="1"/>
    </row>
    <row r="50" spans="1:14" s="2" customFormat="1" x14ac:dyDescent="0.2">
      <c r="A50" s="89">
        <v>45189</v>
      </c>
      <c r="B50" s="128" t="s">
        <v>11</v>
      </c>
      <c r="C50" s="10" t="s">
        <v>125</v>
      </c>
      <c r="D50" s="11" t="s">
        <v>29</v>
      </c>
      <c r="E50" s="86"/>
      <c r="F50" s="70">
        <v>832885</v>
      </c>
      <c r="G50" s="1"/>
      <c r="N50" s="1"/>
    </row>
    <row r="51" spans="1:14" s="2" customFormat="1" x14ac:dyDescent="0.2">
      <c r="A51" s="89">
        <v>45189</v>
      </c>
      <c r="B51" s="128" t="s">
        <v>11</v>
      </c>
      <c r="C51" s="10" t="s">
        <v>109</v>
      </c>
      <c r="D51" s="11" t="s">
        <v>29</v>
      </c>
      <c r="E51" s="86"/>
      <c r="F51" s="70">
        <v>1989457</v>
      </c>
      <c r="G51" s="1"/>
      <c r="N51" s="1"/>
    </row>
    <row r="52" spans="1:14" s="2" customFormat="1" x14ac:dyDescent="0.2">
      <c r="A52" s="89">
        <v>45189</v>
      </c>
      <c r="B52" s="128" t="s">
        <v>11</v>
      </c>
      <c r="C52" s="10" t="s">
        <v>111</v>
      </c>
      <c r="D52" s="11" t="s">
        <v>29</v>
      </c>
      <c r="E52" s="86"/>
      <c r="F52" s="70">
        <v>1165023.58</v>
      </c>
      <c r="G52" s="1"/>
      <c r="N52" s="1"/>
    </row>
    <row r="53" spans="1:14" s="2" customFormat="1" x14ac:dyDescent="0.2">
      <c r="A53" s="89">
        <v>45189</v>
      </c>
      <c r="B53" s="128" t="s">
        <v>11</v>
      </c>
      <c r="C53" s="10" t="s">
        <v>107</v>
      </c>
      <c r="D53" s="11" t="s">
        <v>29</v>
      </c>
      <c r="E53" s="86"/>
      <c r="F53" s="70">
        <v>257509.65</v>
      </c>
      <c r="G53" s="1"/>
      <c r="N53" s="1"/>
    </row>
    <row r="54" spans="1:14" s="2" customFormat="1" x14ac:dyDescent="0.2">
      <c r="A54" s="89">
        <v>45189</v>
      </c>
      <c r="B54" s="128" t="s">
        <v>11</v>
      </c>
      <c r="C54" s="10" t="s">
        <v>498</v>
      </c>
      <c r="D54" s="11" t="s">
        <v>29</v>
      </c>
      <c r="E54" s="86"/>
      <c r="F54" s="70">
        <v>321430.78000000003</v>
      </c>
      <c r="G54" s="1"/>
      <c r="N54" s="1"/>
    </row>
    <row r="55" spans="1:14" s="2" customFormat="1" x14ac:dyDescent="0.2">
      <c r="A55" s="89">
        <v>45189</v>
      </c>
      <c r="B55" s="128" t="s">
        <v>11</v>
      </c>
      <c r="C55" s="10" t="s">
        <v>285</v>
      </c>
      <c r="D55" s="11" t="s">
        <v>29</v>
      </c>
      <c r="E55" s="86"/>
      <c r="F55" s="70">
        <v>416670.51</v>
      </c>
      <c r="G55" s="1"/>
      <c r="N55" s="1"/>
    </row>
    <row r="56" spans="1:14" s="2" customFormat="1" x14ac:dyDescent="0.2">
      <c r="A56" s="89">
        <v>45189</v>
      </c>
      <c r="B56" s="128" t="s">
        <v>11</v>
      </c>
      <c r="C56" s="10" t="s">
        <v>339</v>
      </c>
      <c r="D56" s="11" t="s">
        <v>29</v>
      </c>
      <c r="E56" s="86"/>
      <c r="F56" s="70">
        <v>267532.88</v>
      </c>
      <c r="G56" s="1"/>
      <c r="N56" s="1"/>
    </row>
    <row r="57" spans="1:14" s="2" customFormat="1" x14ac:dyDescent="0.2">
      <c r="A57" s="89">
        <v>45189</v>
      </c>
      <c r="B57" s="128" t="s">
        <v>11</v>
      </c>
      <c r="C57" s="10" t="s">
        <v>1528</v>
      </c>
      <c r="D57" s="11" t="s">
        <v>29</v>
      </c>
      <c r="E57" s="86"/>
      <c r="F57" s="70">
        <v>12468321</v>
      </c>
      <c r="G57" s="1"/>
      <c r="N57" s="1"/>
    </row>
    <row r="58" spans="1:14" s="2" customFormat="1" x14ac:dyDescent="0.2">
      <c r="A58" s="32"/>
      <c r="B58" s="33"/>
      <c r="C58" s="14"/>
      <c r="D58" s="34"/>
      <c r="E58" s="16">
        <f>SUM(E22:E57)</f>
        <v>16854370</v>
      </c>
      <c r="F58" s="16">
        <f>SUM(F22:F57)</f>
        <v>134534502.03000006</v>
      </c>
      <c r="G58" s="1"/>
      <c r="H58" s="1"/>
      <c r="I58" s="38">
        <v>117680132.03</v>
      </c>
      <c r="J58" s="2" t="s">
        <v>396</v>
      </c>
      <c r="K58" s="92">
        <f>E59-I58</f>
        <v>0</v>
      </c>
      <c r="N58" s="1"/>
    </row>
    <row r="59" spans="1:14" s="2" customFormat="1" x14ac:dyDescent="0.2">
      <c r="A59" s="36"/>
      <c r="B59" s="28" t="s">
        <v>11</v>
      </c>
      <c r="C59" s="19" t="s">
        <v>65</v>
      </c>
      <c r="D59" s="37"/>
      <c r="E59" s="38">
        <f>F58-E58</f>
        <v>117680132.03000006</v>
      </c>
      <c r="F59" s="22"/>
      <c r="G59" s="1"/>
      <c r="H59" s="70"/>
      <c r="I59" s="70"/>
      <c r="J59" s="70"/>
      <c r="K59" s="70"/>
      <c r="N59" s="1"/>
    </row>
    <row r="60" spans="1:14" s="2" customFormat="1" x14ac:dyDescent="0.2">
      <c r="A60" s="36"/>
      <c r="B60" s="28" t="s">
        <v>66</v>
      </c>
      <c r="C60" s="19" t="s">
        <v>67</v>
      </c>
      <c r="D60" s="37"/>
      <c r="E60" s="38">
        <v>6500000</v>
      </c>
      <c r="F60" s="22"/>
      <c r="G60" s="1"/>
      <c r="H60" s="70"/>
      <c r="I60" s="70"/>
      <c r="J60" s="70"/>
      <c r="K60" s="70"/>
      <c r="N60" s="1"/>
    </row>
    <row r="61" spans="1:14" s="2" customFormat="1" x14ac:dyDescent="0.2">
      <c r="A61" s="36"/>
      <c r="B61" s="28" t="s">
        <v>66</v>
      </c>
      <c r="C61" s="43" t="s">
        <v>1457</v>
      </c>
      <c r="D61" s="43"/>
      <c r="E61" s="12">
        <v>350000000</v>
      </c>
      <c r="F61" s="22"/>
      <c r="G61" s="1"/>
      <c r="H61" s="70"/>
      <c r="I61" s="45">
        <v>2214.5100000000002</v>
      </c>
      <c r="J61" s="46"/>
      <c r="K61" s="46"/>
      <c r="N61" s="1"/>
    </row>
    <row r="62" spans="1:14" s="2" customFormat="1" ht="15" x14ac:dyDescent="0.25">
      <c r="A62" s="36"/>
      <c r="B62" s="28"/>
      <c r="C62" s="44" t="s">
        <v>1541</v>
      </c>
      <c r="D62" s="43"/>
      <c r="E62" s="7">
        <f>+E61+E59+E60</f>
        <v>474180132.03000009</v>
      </c>
      <c r="F62" s="22"/>
      <c r="G62" s="1"/>
      <c r="H62" s="103" t="s">
        <v>69</v>
      </c>
      <c r="I62" s="45">
        <v>-96.43</v>
      </c>
      <c r="J62" s="46"/>
      <c r="K62" s="46"/>
      <c r="N62" s="1"/>
    </row>
    <row r="63" spans="1:14" s="2" customFormat="1" ht="15" x14ac:dyDescent="0.25">
      <c r="A63" s="24"/>
      <c r="B63" s="1"/>
      <c r="C63" s="44" t="s">
        <v>1510</v>
      </c>
      <c r="D63" s="25"/>
      <c r="E63" s="156">
        <f>+I22</f>
        <v>32988476.840000004</v>
      </c>
      <c r="G63" s="1"/>
      <c r="H63" s="35" t="s">
        <v>70</v>
      </c>
      <c r="I63" s="45">
        <f>34.15+5.97</f>
        <v>40.119999999999997</v>
      </c>
      <c r="J63" s="46">
        <f>+I64-D66</f>
        <v>0</v>
      </c>
      <c r="N63" s="1"/>
    </row>
    <row r="64" spans="1:14" s="124" customFormat="1" ht="12.75" customHeight="1" x14ac:dyDescent="0.2">
      <c r="A64" s="24"/>
      <c r="B64" s="1"/>
      <c r="C64" s="56"/>
      <c r="D64" s="56"/>
      <c r="E64" s="104"/>
      <c r="F64" s="2"/>
      <c r="G64" s="166"/>
      <c r="H64" s="70"/>
      <c r="I64" s="49">
        <f>SUM(I61:I63)</f>
        <v>2158.2000000000003</v>
      </c>
      <c r="J64" s="46"/>
      <c r="K64" s="46"/>
    </row>
    <row r="65" spans="1:13" s="124" customFormat="1" ht="12.75" customHeight="1" x14ac:dyDescent="0.2">
      <c r="A65" s="24"/>
      <c r="B65" s="1"/>
      <c r="C65" s="78" t="s">
        <v>575</v>
      </c>
      <c r="D65" s="48" t="s">
        <v>576</v>
      </c>
      <c r="E65" s="104"/>
      <c r="F65" s="2"/>
      <c r="G65" s="168"/>
      <c r="H65" s="167"/>
      <c r="I65" s="167"/>
      <c r="J65" s="168"/>
    </row>
    <row r="66" spans="1:13" s="124" customFormat="1" ht="12.75" customHeight="1" x14ac:dyDescent="0.2">
      <c r="A66" s="24"/>
      <c r="B66" s="1"/>
      <c r="C66" s="47" t="s">
        <v>570</v>
      </c>
      <c r="D66" s="111">
        <v>2158.1999999999998</v>
      </c>
      <c r="E66" s="104"/>
      <c r="F66" s="2"/>
      <c r="G66" s="168"/>
      <c r="H66" s="110" t="s">
        <v>581</v>
      </c>
      <c r="I66" s="167"/>
      <c r="J66" s="168"/>
    </row>
    <row r="67" spans="1:13" s="124" customFormat="1" ht="12.75" customHeight="1" x14ac:dyDescent="0.2">
      <c r="A67" s="24"/>
      <c r="B67" s="1"/>
      <c r="C67" s="47" t="s">
        <v>931</v>
      </c>
      <c r="D67" s="111">
        <v>263.10000000000002</v>
      </c>
      <c r="E67" s="104"/>
      <c r="F67" s="2"/>
      <c r="G67" s="168"/>
      <c r="H67" s="110" t="s">
        <v>580</v>
      </c>
      <c r="I67" s="167"/>
      <c r="J67" s="168"/>
    </row>
    <row r="68" spans="1:13" s="124" customFormat="1" ht="12.75" customHeight="1" x14ac:dyDescent="0.2">
      <c r="A68" s="24"/>
      <c r="B68" s="1"/>
      <c r="C68" s="47" t="s">
        <v>572</v>
      </c>
      <c r="D68" s="111">
        <f>+D113/100000</f>
        <v>236.46538280000001</v>
      </c>
      <c r="E68" s="104"/>
      <c r="F68" s="2"/>
      <c r="G68" s="166"/>
      <c r="H68" s="90" t="s">
        <v>587</v>
      </c>
      <c r="I68" s="167"/>
      <c r="J68" s="168"/>
    </row>
    <row r="69" spans="1:13" s="2" customFormat="1" x14ac:dyDescent="0.2">
      <c r="A69" s="24"/>
      <c r="B69" s="1"/>
      <c r="C69" s="108" t="s">
        <v>578</v>
      </c>
      <c r="D69" s="48">
        <f>SUM(D66:D68)</f>
        <v>2657.7653827999998</v>
      </c>
      <c r="E69" s="104"/>
      <c r="G69" s="30"/>
      <c r="I69" s="13"/>
      <c r="J69" s="13"/>
    </row>
    <row r="70" spans="1:13" s="70" customFormat="1" x14ac:dyDescent="0.2">
      <c r="A70" s="24"/>
      <c r="B70" s="1"/>
      <c r="C70" s="47"/>
      <c r="D70" s="107"/>
      <c r="E70" s="104"/>
      <c r="F70" s="2"/>
      <c r="G70" s="30"/>
      <c r="H70" s="2"/>
    </row>
    <row r="71" spans="1:13" s="70" customFormat="1" x14ac:dyDescent="0.2">
      <c r="A71" s="24"/>
      <c r="B71" s="1"/>
      <c r="C71" s="47" t="s">
        <v>932</v>
      </c>
      <c r="D71" s="111">
        <v>209.27</v>
      </c>
      <c r="E71" s="104"/>
      <c r="F71" s="2"/>
      <c r="G71" s="30"/>
      <c r="H71" s="110" t="s">
        <v>581</v>
      </c>
    </row>
    <row r="72" spans="1:13" s="70" customFormat="1" x14ac:dyDescent="0.2">
      <c r="A72" s="24"/>
      <c r="B72" s="1"/>
      <c r="C72" s="136" t="s">
        <v>1142</v>
      </c>
      <c r="D72" s="111">
        <v>134.59</v>
      </c>
      <c r="E72" s="104"/>
      <c r="F72" s="2"/>
      <c r="G72" s="30"/>
      <c r="H72" s="110" t="s">
        <v>581</v>
      </c>
    </row>
    <row r="73" spans="1:13" s="70" customFormat="1" x14ac:dyDescent="0.2">
      <c r="A73" s="24"/>
      <c r="B73" s="1"/>
      <c r="C73" s="78" t="s">
        <v>579</v>
      </c>
      <c r="D73" s="109">
        <f>D71+D72</f>
        <v>343.86</v>
      </c>
      <c r="E73" s="104"/>
      <c r="F73" s="2"/>
      <c r="G73" s="30"/>
    </row>
    <row r="74" spans="1:13" s="70" customFormat="1" x14ac:dyDescent="0.2">
      <c r="A74" s="24"/>
      <c r="B74" s="1"/>
      <c r="C74" s="105"/>
      <c r="D74" s="106"/>
      <c r="E74" s="104"/>
      <c r="F74" s="2"/>
      <c r="G74" s="30"/>
      <c r="I74" s="2"/>
      <c r="J74" s="114" t="s">
        <v>713</v>
      </c>
      <c r="K74" s="2"/>
      <c r="L74" s="2"/>
      <c r="M74" s="2"/>
    </row>
    <row r="75" spans="1:13" s="70" customFormat="1" x14ac:dyDescent="0.2">
      <c r="A75" s="24"/>
      <c r="B75" s="1"/>
      <c r="C75" s="78" t="s">
        <v>577</v>
      </c>
      <c r="D75" s="109">
        <f>D66+D73</f>
        <v>2502.06</v>
      </c>
      <c r="E75" s="104"/>
      <c r="F75" s="2"/>
      <c r="G75" s="30"/>
      <c r="I75" s="113"/>
      <c r="J75" s="113" t="s">
        <v>709</v>
      </c>
      <c r="K75" s="113" t="s">
        <v>710</v>
      </c>
      <c r="L75" s="113" t="s">
        <v>711</v>
      </c>
      <c r="M75" s="113" t="s">
        <v>712</v>
      </c>
    </row>
    <row r="76" spans="1:13" s="70" customFormat="1" x14ac:dyDescent="0.2">
      <c r="A76" s="24"/>
      <c r="B76" s="1"/>
      <c r="C76" s="56"/>
      <c r="D76" s="56"/>
      <c r="E76" s="104"/>
      <c r="F76" s="2"/>
      <c r="G76" s="30"/>
      <c r="I76" s="113" t="s">
        <v>706</v>
      </c>
      <c r="J76" s="115"/>
      <c r="K76" s="115">
        <v>968.99</v>
      </c>
      <c r="L76" s="115">
        <v>968.99</v>
      </c>
      <c r="M76" s="113">
        <f>+J76+L76-K76</f>
        <v>0</v>
      </c>
    </row>
    <row r="77" spans="1:13" s="70" customFormat="1" ht="38.25" x14ac:dyDescent="0.2">
      <c r="A77" s="24"/>
      <c r="B77" s="1"/>
      <c r="C77" s="79" t="str">
        <f>"Particulars ( 01-04-2021 to "&amp;TEXT(A5,"dd-mm-yyyy")&amp;" )"</f>
        <v>Particulars ( 01-04-2021 to 20-09-2023 )</v>
      </c>
      <c r="D77" s="80" t="s">
        <v>73</v>
      </c>
      <c r="E77" s="80" t="s">
        <v>74</v>
      </c>
      <c r="F77" s="81" t="s">
        <v>75</v>
      </c>
      <c r="G77" s="80" t="s">
        <v>76</v>
      </c>
      <c r="I77" s="113" t="s">
        <v>707</v>
      </c>
      <c r="J77" s="115">
        <v>183.1</v>
      </c>
      <c r="K77" s="115">
        <v>3556.32</v>
      </c>
      <c r="L77" s="115">
        <v>3897.24</v>
      </c>
      <c r="M77" s="113">
        <f>+J77+L77-K77</f>
        <v>524.01999999999953</v>
      </c>
    </row>
    <row r="78" spans="1:13" s="70" customFormat="1" x14ac:dyDescent="0.2">
      <c r="A78" s="24"/>
      <c r="B78" s="1"/>
      <c r="C78" s="50" t="s">
        <v>444</v>
      </c>
      <c r="D78" s="55">
        <f>+L76+L77+J77</f>
        <v>5049.33</v>
      </c>
      <c r="E78" s="55">
        <f>+K76+K77</f>
        <v>4525.3100000000004</v>
      </c>
      <c r="F78" s="55">
        <f>+D78-E78</f>
        <v>524.01999999999953</v>
      </c>
      <c r="G78" s="55">
        <f>1500-F78</f>
        <v>975.98000000000047</v>
      </c>
      <c r="I78" s="113" t="s">
        <v>708</v>
      </c>
      <c r="J78" s="115">
        <v>1371.02</v>
      </c>
      <c r="K78" s="115">
        <v>14187.54</v>
      </c>
      <c r="L78" s="115">
        <v>13639.37</v>
      </c>
      <c r="M78" s="113">
        <f>+J78+L78-K78</f>
        <v>822.85000000000036</v>
      </c>
    </row>
    <row r="79" spans="1:13" s="70" customFormat="1" ht="12.75" customHeight="1" x14ac:dyDescent="0.2">
      <c r="A79" s="24"/>
      <c r="B79" s="1"/>
      <c r="C79" s="50" t="s">
        <v>71</v>
      </c>
      <c r="D79" s="55">
        <f>+J78+L78</f>
        <v>15010.390000000001</v>
      </c>
      <c r="E79" s="55">
        <f>+K78</f>
        <v>14187.54</v>
      </c>
      <c r="F79" s="55">
        <f>+D79-E79</f>
        <v>822.85000000000036</v>
      </c>
      <c r="G79" s="55">
        <f>1500+700-F79</f>
        <v>1377.1499999999996</v>
      </c>
      <c r="I79" s="2"/>
      <c r="J79" s="118">
        <f>SUM(J76:J78)</f>
        <v>1554.12</v>
      </c>
      <c r="K79" s="118">
        <f>SUM(K76:K78)</f>
        <v>18712.850000000002</v>
      </c>
      <c r="L79" s="118">
        <f>SUM(L76:L78)</f>
        <v>18505.599999999999</v>
      </c>
      <c r="M79" s="118">
        <f>SUM(M76:M78)</f>
        <v>1346.87</v>
      </c>
    </row>
    <row r="80" spans="1:13" s="70" customFormat="1" ht="12.75" customHeight="1" x14ac:dyDescent="0.2">
      <c r="A80" s="24"/>
      <c r="B80" s="1"/>
      <c r="C80" s="14"/>
      <c r="D80" s="56"/>
      <c r="E80" s="13"/>
      <c r="F80" s="2"/>
      <c r="G80" s="30"/>
    </row>
    <row r="81" spans="1:14" s="70" customFormat="1" ht="12.75" customHeight="1" x14ac:dyDescent="0.2">
      <c r="A81" s="215" t="s">
        <v>80</v>
      </c>
      <c r="B81" s="216"/>
      <c r="C81" s="216"/>
      <c r="D81" s="217"/>
      <c r="E81" s="69"/>
      <c r="G81" s="30"/>
    </row>
    <row r="82" spans="1:14" s="70" customFormat="1" ht="12.75" customHeight="1" x14ac:dyDescent="0.2">
      <c r="A82" s="71" t="s">
        <v>81</v>
      </c>
      <c r="B82" s="71"/>
      <c r="C82" s="72" t="s">
        <v>82</v>
      </c>
      <c r="D82" s="73" t="s">
        <v>83</v>
      </c>
      <c r="E82" s="69"/>
      <c r="G82" s="30"/>
    </row>
    <row r="83" spans="1:14" s="70" customFormat="1" ht="12.75" customHeight="1" x14ac:dyDescent="0.2">
      <c r="A83" s="87">
        <v>45170</v>
      </c>
      <c r="B83" s="120" t="s">
        <v>1052</v>
      </c>
      <c r="C83" s="75" t="s">
        <v>270</v>
      </c>
      <c r="D83" s="88">
        <v>117174</v>
      </c>
      <c r="E83" s="2"/>
      <c r="F83" s="2"/>
      <c r="G83" s="30"/>
      <c r="H83" s="2"/>
      <c r="I83" s="2"/>
      <c r="J83" s="2"/>
      <c r="K83" s="2"/>
      <c r="L83" s="41"/>
      <c r="M83" s="42"/>
      <c r="N83" s="2"/>
    </row>
    <row r="84" spans="1:14" s="70" customFormat="1" ht="12.75" customHeight="1" x14ac:dyDescent="0.2">
      <c r="A84" s="87">
        <v>45171</v>
      </c>
      <c r="B84" s="120" t="s">
        <v>1052</v>
      </c>
      <c r="C84" s="75" t="s">
        <v>767</v>
      </c>
      <c r="D84" s="88">
        <v>278761</v>
      </c>
      <c r="E84" s="2"/>
      <c r="F84" s="2"/>
      <c r="G84" s="30"/>
      <c r="H84" s="2"/>
      <c r="I84" s="2"/>
      <c r="J84" s="1"/>
      <c r="K84" s="1"/>
      <c r="L84" s="1"/>
      <c r="M84" s="1"/>
      <c r="N84" s="2"/>
    </row>
    <row r="85" spans="1:14" s="70" customFormat="1" ht="12.75" customHeight="1" x14ac:dyDescent="0.2">
      <c r="A85" s="87">
        <v>45171</v>
      </c>
      <c r="B85" s="120" t="s">
        <v>1052</v>
      </c>
      <c r="C85" s="75" t="s">
        <v>201</v>
      </c>
      <c r="D85" s="88">
        <v>3500391.21</v>
      </c>
      <c r="E85" s="2"/>
      <c r="F85" s="2"/>
      <c r="G85" s="30"/>
      <c r="H85" s="2"/>
      <c r="I85" s="2"/>
      <c r="J85" s="2"/>
      <c r="K85" s="2"/>
      <c r="L85" s="13"/>
      <c r="M85" s="69" t="s">
        <v>396</v>
      </c>
      <c r="N85" s="2"/>
    </row>
    <row r="86" spans="1:14" s="2" customFormat="1" ht="12.75" customHeight="1" x14ac:dyDescent="0.2">
      <c r="A86" s="87">
        <v>45173</v>
      </c>
      <c r="B86" s="120" t="s">
        <v>1052</v>
      </c>
      <c r="C86" s="75" t="s">
        <v>1478</v>
      </c>
      <c r="D86" s="88">
        <v>22763</v>
      </c>
      <c r="G86" s="30"/>
      <c r="N86" s="1"/>
    </row>
    <row r="87" spans="1:14" s="2" customFormat="1" ht="12.75" customHeight="1" x14ac:dyDescent="0.2">
      <c r="A87" s="87">
        <v>45173</v>
      </c>
      <c r="B87" s="120" t="s">
        <v>1052</v>
      </c>
      <c r="C87" s="75" t="s">
        <v>1478</v>
      </c>
      <c r="D87" s="88">
        <v>1786258</v>
      </c>
      <c r="G87" s="1"/>
      <c r="M87" s="2" t="s">
        <v>396</v>
      </c>
      <c r="N87" s="1"/>
    </row>
    <row r="88" spans="1:14" s="2" customFormat="1" ht="12.75" customHeight="1" x14ac:dyDescent="0.2">
      <c r="A88" s="87">
        <v>45173</v>
      </c>
      <c r="B88" s="120" t="s">
        <v>1052</v>
      </c>
      <c r="C88" s="75" t="s">
        <v>1478</v>
      </c>
      <c r="D88" s="88">
        <v>1329469</v>
      </c>
      <c r="I88" s="1"/>
      <c r="J88" s="1"/>
      <c r="K88" s="1"/>
    </row>
    <row r="89" spans="1:14" s="2" customFormat="1" ht="12.75" customHeight="1" x14ac:dyDescent="0.2">
      <c r="A89" s="87">
        <v>45175</v>
      </c>
      <c r="B89" s="120" t="s">
        <v>1052</v>
      </c>
      <c r="C89" s="75" t="s">
        <v>784</v>
      </c>
      <c r="D89" s="88">
        <v>673560</v>
      </c>
      <c r="G89" s="1"/>
    </row>
    <row r="90" spans="1:14" s="2" customFormat="1" x14ac:dyDescent="0.2">
      <c r="A90" s="87">
        <v>45175</v>
      </c>
      <c r="B90" s="120" t="s">
        <v>1052</v>
      </c>
      <c r="C90" s="75" t="s">
        <v>784</v>
      </c>
      <c r="D90" s="88">
        <v>700391</v>
      </c>
      <c r="G90" s="1"/>
      <c r="N90" s="2" t="s">
        <v>535</v>
      </c>
    </row>
    <row r="91" spans="1:14" x14ac:dyDescent="0.2">
      <c r="A91" s="87">
        <v>45175</v>
      </c>
      <c r="B91" s="120" t="s">
        <v>1052</v>
      </c>
      <c r="C91" s="75" t="s">
        <v>84</v>
      </c>
      <c r="D91" s="88">
        <v>1000000</v>
      </c>
      <c r="I91" s="2"/>
      <c r="J91" s="2"/>
      <c r="K91" s="2"/>
      <c r="L91" s="2"/>
      <c r="M91" s="2"/>
      <c r="N91" s="2"/>
    </row>
    <row r="92" spans="1:14" x14ac:dyDescent="0.2">
      <c r="A92" s="87">
        <v>45176</v>
      </c>
      <c r="B92" s="120" t="s">
        <v>1052</v>
      </c>
      <c r="C92" s="75" t="s">
        <v>85</v>
      </c>
      <c r="D92" s="88">
        <v>565814</v>
      </c>
      <c r="I92" s="2"/>
      <c r="J92" s="2"/>
      <c r="K92" s="2"/>
      <c r="L92" s="2"/>
      <c r="M92" s="2"/>
      <c r="N92" s="2"/>
    </row>
    <row r="93" spans="1:14" s="2" customFormat="1" x14ac:dyDescent="0.2">
      <c r="A93" s="87">
        <v>45176</v>
      </c>
      <c r="B93" s="120" t="s">
        <v>1052</v>
      </c>
      <c r="C93" s="75" t="s">
        <v>271</v>
      </c>
      <c r="D93" s="88">
        <v>1691421</v>
      </c>
      <c r="G93" s="1"/>
    </row>
    <row r="94" spans="1:14" s="2" customFormat="1" x14ac:dyDescent="0.2">
      <c r="A94" s="87">
        <v>45177</v>
      </c>
      <c r="B94" s="120" t="s">
        <v>1052</v>
      </c>
      <c r="C94" s="75" t="s">
        <v>85</v>
      </c>
      <c r="D94" s="88">
        <v>432581</v>
      </c>
    </row>
    <row r="95" spans="1:14" s="2" customFormat="1" x14ac:dyDescent="0.2">
      <c r="A95" s="87">
        <v>45177</v>
      </c>
      <c r="B95" s="120" t="s">
        <v>1052</v>
      </c>
      <c r="C95" s="75" t="s">
        <v>1521</v>
      </c>
      <c r="D95" s="88">
        <v>1198155</v>
      </c>
    </row>
    <row r="96" spans="1:14" s="2" customFormat="1" x14ac:dyDescent="0.2">
      <c r="A96" s="87">
        <v>45180</v>
      </c>
      <c r="B96" s="120" t="s">
        <v>1052</v>
      </c>
      <c r="C96" s="75" t="s">
        <v>784</v>
      </c>
      <c r="D96" s="88">
        <v>279127</v>
      </c>
    </row>
    <row r="97" spans="1:7" s="2" customFormat="1" x14ac:dyDescent="0.2">
      <c r="A97" s="87">
        <v>45180</v>
      </c>
      <c r="B97" s="120" t="s">
        <v>1052</v>
      </c>
      <c r="C97" s="75" t="s">
        <v>270</v>
      </c>
      <c r="D97" s="88">
        <v>30842</v>
      </c>
    </row>
    <row r="98" spans="1:7" s="2" customFormat="1" x14ac:dyDescent="0.2">
      <c r="A98" s="87">
        <v>45180</v>
      </c>
      <c r="B98" s="120" t="s">
        <v>1052</v>
      </c>
      <c r="C98" s="75" t="s">
        <v>271</v>
      </c>
      <c r="D98" s="88">
        <v>701813</v>
      </c>
      <c r="G98" s="1"/>
    </row>
    <row r="99" spans="1:7" s="2" customFormat="1" x14ac:dyDescent="0.2">
      <c r="A99" s="87">
        <v>45180</v>
      </c>
      <c r="B99" s="120" t="s">
        <v>1052</v>
      </c>
      <c r="C99" s="75" t="s">
        <v>271</v>
      </c>
      <c r="D99" s="88">
        <v>189083</v>
      </c>
      <c r="G99" s="1"/>
    </row>
    <row r="100" spans="1:7" s="2" customFormat="1" x14ac:dyDescent="0.2">
      <c r="A100" s="87">
        <v>45180</v>
      </c>
      <c r="B100" s="120" t="s">
        <v>1052</v>
      </c>
      <c r="C100" s="75" t="s">
        <v>271</v>
      </c>
      <c r="D100" s="88">
        <v>2019</v>
      </c>
      <c r="G100" s="1"/>
    </row>
    <row r="101" spans="1:7" s="2" customFormat="1" x14ac:dyDescent="0.2">
      <c r="A101" s="87">
        <v>45182</v>
      </c>
      <c r="B101" s="120" t="s">
        <v>1052</v>
      </c>
      <c r="C101" s="75" t="s">
        <v>467</v>
      </c>
      <c r="D101" s="88">
        <v>3314639</v>
      </c>
      <c r="G101" s="1"/>
    </row>
    <row r="102" spans="1:7" s="2" customFormat="1" x14ac:dyDescent="0.2">
      <c r="A102" s="87">
        <v>45183</v>
      </c>
      <c r="B102" s="120" t="s">
        <v>1052</v>
      </c>
      <c r="C102" s="75" t="s">
        <v>784</v>
      </c>
      <c r="D102" s="88">
        <v>665398</v>
      </c>
      <c r="G102" s="1"/>
    </row>
    <row r="103" spans="1:7" s="2" customFormat="1" x14ac:dyDescent="0.2">
      <c r="A103" s="87">
        <v>45184</v>
      </c>
      <c r="B103" s="120" t="s">
        <v>1052</v>
      </c>
      <c r="C103" s="75" t="s">
        <v>784</v>
      </c>
      <c r="D103" s="88">
        <v>669733</v>
      </c>
      <c r="G103" s="1"/>
    </row>
    <row r="104" spans="1:7" s="2" customFormat="1" x14ac:dyDescent="0.2">
      <c r="A104" s="87">
        <v>45184</v>
      </c>
      <c r="B104" s="120" t="s">
        <v>1052</v>
      </c>
      <c r="C104" s="75" t="s">
        <v>270</v>
      </c>
      <c r="D104" s="88">
        <v>6923</v>
      </c>
      <c r="G104" s="1"/>
    </row>
    <row r="105" spans="1:7" s="2" customFormat="1" x14ac:dyDescent="0.2">
      <c r="A105" s="87">
        <v>45184</v>
      </c>
      <c r="B105" s="120" t="s">
        <v>1052</v>
      </c>
      <c r="C105" s="75" t="s">
        <v>84</v>
      </c>
      <c r="D105" s="88">
        <v>1092413</v>
      </c>
      <c r="G105" s="1"/>
    </row>
    <row r="106" spans="1:7" s="2" customFormat="1" x14ac:dyDescent="0.2">
      <c r="A106" s="87">
        <v>45184</v>
      </c>
      <c r="B106" s="120" t="s">
        <v>1052</v>
      </c>
      <c r="C106" s="75" t="s">
        <v>270</v>
      </c>
      <c r="D106" s="88">
        <v>273422</v>
      </c>
      <c r="G106" s="1"/>
    </row>
    <row r="107" spans="1:7" s="2" customFormat="1" x14ac:dyDescent="0.2">
      <c r="A107" s="87">
        <v>45185</v>
      </c>
      <c r="B107" s="120" t="s">
        <v>1052</v>
      </c>
      <c r="C107" s="75" t="s">
        <v>85</v>
      </c>
      <c r="D107" s="88">
        <v>389967</v>
      </c>
      <c r="G107" s="1"/>
    </row>
    <row r="108" spans="1:7" s="2" customFormat="1" x14ac:dyDescent="0.2">
      <c r="A108" s="87">
        <v>45185</v>
      </c>
      <c r="B108" s="120" t="s">
        <v>1052</v>
      </c>
      <c r="C108" s="75" t="s">
        <v>87</v>
      </c>
      <c r="D108" s="88">
        <v>887666</v>
      </c>
      <c r="G108" s="1"/>
    </row>
    <row r="109" spans="1:7" s="2" customFormat="1" x14ac:dyDescent="0.2">
      <c r="A109" s="87">
        <v>45187</v>
      </c>
      <c r="B109" s="120" t="s">
        <v>1052</v>
      </c>
      <c r="C109" s="75" t="s">
        <v>784</v>
      </c>
      <c r="D109" s="88">
        <v>702770</v>
      </c>
      <c r="G109" s="1"/>
    </row>
    <row r="110" spans="1:7" s="2" customFormat="1" x14ac:dyDescent="0.2">
      <c r="A110" s="87">
        <v>45187</v>
      </c>
      <c r="B110" s="120" t="s">
        <v>1052</v>
      </c>
      <c r="C110" s="75" t="s">
        <v>1552</v>
      </c>
      <c r="D110" s="88">
        <v>986729.07</v>
      </c>
      <c r="G110" s="1"/>
    </row>
    <row r="111" spans="1:7" s="2" customFormat="1" x14ac:dyDescent="0.2">
      <c r="A111" s="87">
        <v>45189</v>
      </c>
      <c r="B111" s="120" t="s">
        <v>1052</v>
      </c>
      <c r="C111" s="75" t="s">
        <v>767</v>
      </c>
      <c r="D111" s="88">
        <v>140000</v>
      </c>
      <c r="G111" s="1"/>
    </row>
    <row r="112" spans="1:7" s="2" customFormat="1" x14ac:dyDescent="0.2">
      <c r="A112" s="87">
        <v>45189</v>
      </c>
      <c r="B112" s="120" t="s">
        <v>1052</v>
      </c>
      <c r="C112" s="75" t="s">
        <v>271</v>
      </c>
      <c r="D112" s="88">
        <v>17256</v>
      </c>
      <c r="G112" s="1"/>
    </row>
    <row r="113" spans="1:13" s="2" customFormat="1" x14ac:dyDescent="0.2">
      <c r="A113" s="87"/>
      <c r="B113" s="74"/>
      <c r="C113" s="75"/>
      <c r="D113" s="51">
        <f>SUM(D83:D112)</f>
        <v>23646538.280000001</v>
      </c>
      <c r="F113" s="2" t="s">
        <v>396</v>
      </c>
      <c r="G113" s="1"/>
    </row>
    <row r="114" spans="1:13" s="2" customFormat="1" x14ac:dyDescent="0.2">
      <c r="A114" s="24"/>
      <c r="B114" s="1"/>
      <c r="C114" s="14"/>
      <c r="D114" s="56"/>
      <c r="E114" s="13"/>
      <c r="G114" s="1"/>
    </row>
    <row r="115" spans="1:13" s="2" customFormat="1" x14ac:dyDescent="0.2">
      <c r="A115" s="24"/>
      <c r="B115" s="1"/>
      <c r="C115" s="218" t="s">
        <v>77</v>
      </c>
      <c r="D115" s="219"/>
      <c r="E115" s="219"/>
      <c r="F115" s="220"/>
      <c r="H115" s="2" t="s">
        <v>396</v>
      </c>
    </row>
    <row r="116" spans="1:13" s="2" customFormat="1" x14ac:dyDescent="0.2">
      <c r="A116" s="24"/>
      <c r="B116" s="1"/>
      <c r="C116" s="50"/>
      <c r="D116" s="57" t="s">
        <v>78</v>
      </c>
      <c r="E116" s="58" t="s">
        <v>79</v>
      </c>
      <c r="F116" s="57" t="s">
        <v>72</v>
      </c>
      <c r="H116" s="2" t="s">
        <v>396</v>
      </c>
    </row>
    <row r="117" spans="1:13" s="2" customFormat="1" x14ac:dyDescent="0.2">
      <c r="A117" s="24"/>
      <c r="B117" s="1"/>
      <c r="C117" s="59" t="str">
        <f>"01-09-2023 to "&amp;TEXT(A5-2,"dd-mm-yyyy")</f>
        <v>01-09-2023 to 18-09-2023</v>
      </c>
      <c r="D117" s="60">
        <v>1456.64</v>
      </c>
      <c r="E117" s="60">
        <v>158.16</v>
      </c>
      <c r="F117" s="61">
        <f>SUM(D117:E117)</f>
        <v>1614.8000000000002</v>
      </c>
    </row>
    <row r="118" spans="1:13" s="2" customFormat="1" x14ac:dyDescent="0.2">
      <c r="A118" s="24"/>
      <c r="B118" s="1"/>
      <c r="C118" s="62" t="str">
        <f>TEXT(A5-1,"dd-mm-yyyy")</f>
        <v>19-09-2023</v>
      </c>
      <c r="D118" s="60">
        <v>117.25</v>
      </c>
      <c r="E118" s="60">
        <v>8.83</v>
      </c>
      <c r="F118" s="61">
        <f>SUM(D118:E118)</f>
        <v>126.08</v>
      </c>
      <c r="G118" s="1"/>
      <c r="H118" s="53"/>
    </row>
    <row r="119" spans="1:13" s="2" customFormat="1" ht="13.5" thickBot="1" x14ac:dyDescent="0.25">
      <c r="A119" s="24"/>
      <c r="B119" s="1"/>
      <c r="C119" s="63" t="str">
        <f>"01-09-2023 to "&amp;TEXT(A5-1,"dd-mm-yyyy")</f>
        <v>01-09-2023 to 19-09-2023</v>
      </c>
      <c r="D119" s="64">
        <f>SUM(D117:D118)</f>
        <v>1573.89</v>
      </c>
      <c r="E119" s="64">
        <f>SUM(E117:E118)</f>
        <v>166.99</v>
      </c>
      <c r="F119" s="64">
        <f>SUM(F117:F118)</f>
        <v>1740.88</v>
      </c>
      <c r="G119" s="1"/>
      <c r="H119" s="53"/>
    </row>
    <row r="120" spans="1:13" s="2" customFormat="1" ht="13.5" thickTop="1" x14ac:dyDescent="0.2">
      <c r="A120" s="24"/>
      <c r="B120" s="1"/>
      <c r="C120" s="62"/>
      <c r="D120" s="65"/>
      <c r="E120" s="66"/>
      <c r="F120" s="67"/>
      <c r="L120" s="1"/>
      <c r="M120" s="1"/>
    </row>
    <row r="121" spans="1:13" s="2" customFormat="1" x14ac:dyDescent="0.2">
      <c r="A121" s="24"/>
      <c r="B121" s="1"/>
      <c r="C121" s="62" t="str">
        <f>"01-04-2023 to " &amp;C118</f>
        <v>01-04-2023 to 19-09-2023</v>
      </c>
      <c r="D121" s="68">
        <f>+D119+24261.33</f>
        <v>25835.22</v>
      </c>
      <c r="E121" s="68">
        <f>+E119+1685.25</f>
        <v>1852.24</v>
      </c>
      <c r="F121" s="68">
        <f>+F119+25946.58</f>
        <v>27687.460000000003</v>
      </c>
      <c r="G121" s="1"/>
      <c r="L121" s="1"/>
      <c r="M121" s="1"/>
    </row>
    <row r="122" spans="1:13" s="2" customFormat="1" x14ac:dyDescent="0.2">
      <c r="A122" s="24"/>
      <c r="B122" s="1"/>
      <c r="C122" s="52"/>
      <c r="D122" s="85"/>
      <c r="E122" s="53"/>
      <c r="F122" s="53"/>
      <c r="G122" s="1"/>
      <c r="L122" s="1"/>
      <c r="M122" s="1"/>
    </row>
    <row r="123" spans="1:13" s="2" customFormat="1" x14ac:dyDescent="0.2">
      <c r="A123" s="24"/>
      <c r="B123" s="1"/>
      <c r="C123" s="52"/>
      <c r="D123" s="85"/>
      <c r="E123" s="53"/>
      <c r="F123" s="53"/>
      <c r="G123" s="1"/>
      <c r="L123" s="1"/>
      <c r="M123" s="1"/>
    </row>
    <row r="124" spans="1:13" s="2" customFormat="1" x14ac:dyDescent="0.2">
      <c r="A124" s="24"/>
      <c r="B124" s="1"/>
      <c r="C124" s="52"/>
      <c r="D124" s="85"/>
      <c r="E124" s="53"/>
      <c r="F124" s="53"/>
      <c r="G124" s="1"/>
      <c r="L124" s="1"/>
      <c r="M124" s="1"/>
    </row>
    <row r="125" spans="1:13" s="2" customFormat="1" x14ac:dyDescent="0.2">
      <c r="A125" s="24"/>
      <c r="B125" s="1"/>
      <c r="C125" s="52"/>
      <c r="D125" s="85"/>
      <c r="E125" s="53"/>
      <c r="F125" s="53"/>
      <c r="G125" s="1"/>
      <c r="L125" s="1"/>
      <c r="M125" s="1"/>
    </row>
    <row r="126" spans="1:13" s="2" customFormat="1" x14ac:dyDescent="0.2">
      <c r="A126" s="24"/>
      <c r="B126" s="1"/>
      <c r="C126" s="14"/>
      <c r="D126" s="25"/>
      <c r="G126" s="1"/>
      <c r="L126" s="1"/>
      <c r="M126" s="1"/>
    </row>
    <row r="127" spans="1:13" s="2" customFormat="1" x14ac:dyDescent="0.2">
      <c r="A127" s="24"/>
      <c r="B127" s="1"/>
      <c r="C127" s="14"/>
      <c r="D127" s="25"/>
      <c r="G127" s="1"/>
      <c r="L127" s="1"/>
      <c r="M127" s="1"/>
    </row>
    <row r="128" spans="1:13" s="2" customFormat="1" x14ac:dyDescent="0.2">
      <c r="A128" s="24"/>
      <c r="B128" s="1"/>
      <c r="C128" s="14"/>
      <c r="D128" s="25"/>
      <c r="G128" s="1"/>
      <c r="L128" s="1"/>
      <c r="M128" s="1"/>
    </row>
    <row r="129" spans="1:13" s="2" customFormat="1" x14ac:dyDescent="0.2">
      <c r="A129" s="24"/>
      <c r="B129" s="1"/>
      <c r="C129" s="14"/>
      <c r="D129" s="25"/>
      <c r="G129" s="1"/>
      <c r="L129" s="1"/>
      <c r="M129" s="1"/>
    </row>
    <row r="130" spans="1:13" s="2" customFormat="1" x14ac:dyDescent="0.2">
      <c r="A130" s="24"/>
      <c r="B130" s="1"/>
      <c r="C130" s="14"/>
      <c r="D130" s="25"/>
      <c r="G130" s="1"/>
      <c r="L130" s="1"/>
      <c r="M130" s="1"/>
    </row>
    <row r="131" spans="1:13" s="2" customFormat="1" x14ac:dyDescent="0.2">
      <c r="A131" s="24"/>
      <c r="B131" s="1"/>
      <c r="C131" s="14"/>
      <c r="D131" s="25"/>
      <c r="G131" s="1"/>
      <c r="L131" s="1"/>
      <c r="M131" s="1"/>
    </row>
    <row r="132" spans="1:13" s="2" customFormat="1" x14ac:dyDescent="0.2">
      <c r="A132" s="24"/>
      <c r="B132" s="1"/>
      <c r="C132" s="14"/>
      <c r="D132" s="25"/>
      <c r="G132" s="1"/>
      <c r="L132" s="1"/>
      <c r="M132" s="1"/>
    </row>
    <row r="133" spans="1:13" s="2" customFormat="1" x14ac:dyDescent="0.2">
      <c r="A133" s="24"/>
      <c r="B133" s="1"/>
      <c r="C133" s="14"/>
      <c r="D133" s="25"/>
      <c r="G133" s="1"/>
      <c r="L133" s="1"/>
      <c r="M133" s="1"/>
    </row>
    <row r="134" spans="1:13" s="2" customFormat="1" x14ac:dyDescent="0.2">
      <c r="A134" s="24"/>
      <c r="B134" s="1"/>
      <c r="C134" s="14"/>
      <c r="D134" s="25"/>
      <c r="G134" s="1"/>
      <c r="L134" s="1"/>
      <c r="M134" s="1"/>
    </row>
    <row r="135" spans="1:13" s="2" customFormat="1" x14ac:dyDescent="0.2">
      <c r="A135" s="24"/>
      <c r="B135" s="1"/>
      <c r="C135" s="14"/>
      <c r="D135" s="25"/>
      <c r="G135" s="1"/>
      <c r="L135" s="1"/>
      <c r="M135" s="1"/>
    </row>
    <row r="136" spans="1:13" s="2" customFormat="1" x14ac:dyDescent="0.2">
      <c r="A136" s="24"/>
      <c r="B136" s="1"/>
      <c r="C136" s="14"/>
      <c r="D136" s="25"/>
      <c r="G136" s="1"/>
      <c r="L136" s="1"/>
      <c r="M136" s="1"/>
    </row>
    <row r="137" spans="1:13" s="2" customFormat="1" x14ac:dyDescent="0.2">
      <c r="A137" s="24"/>
      <c r="B137" s="1"/>
      <c r="C137" s="14"/>
      <c r="D137" s="25"/>
      <c r="G137" s="1"/>
      <c r="L137" s="1"/>
      <c r="M137" s="1"/>
    </row>
    <row r="138" spans="1:13" s="2" customFormat="1" x14ac:dyDescent="0.2">
      <c r="A138" s="24"/>
      <c r="B138" s="1"/>
      <c r="C138" s="14"/>
      <c r="D138" s="25"/>
      <c r="G138" s="1"/>
      <c r="L138" s="1"/>
      <c r="M138" s="1"/>
    </row>
    <row r="139" spans="1:13" s="2" customFormat="1" x14ac:dyDescent="0.2">
      <c r="A139" s="24"/>
      <c r="B139" s="1"/>
      <c r="C139" s="14"/>
      <c r="D139" s="25"/>
      <c r="G139" s="1"/>
      <c r="L139" s="1"/>
      <c r="M139" s="1"/>
    </row>
    <row r="140" spans="1:13" s="2" customFormat="1" x14ac:dyDescent="0.2">
      <c r="A140" s="24"/>
      <c r="B140" s="1"/>
      <c r="C140" s="14"/>
      <c r="D140" s="25"/>
      <c r="G140" s="1"/>
      <c r="I140" s="1"/>
      <c r="J140" s="1"/>
      <c r="K140" s="1"/>
      <c r="L140" s="1"/>
      <c r="M140" s="1"/>
    </row>
    <row r="141" spans="1:13" s="2" customFormat="1" x14ac:dyDescent="0.2">
      <c r="A141" s="24"/>
      <c r="B141" s="1"/>
      <c r="C141" s="14"/>
      <c r="D141" s="25"/>
      <c r="G141" s="1"/>
    </row>
    <row r="142" spans="1:13" s="2" customFormat="1" x14ac:dyDescent="0.2">
      <c r="A142" s="24"/>
      <c r="B142" s="1"/>
      <c r="C142" s="14"/>
      <c r="D142" s="25"/>
      <c r="G142" s="1"/>
      <c r="I142" s="1"/>
      <c r="J142" s="1"/>
      <c r="K142" s="1"/>
      <c r="L142" s="1"/>
      <c r="M142" s="1"/>
    </row>
    <row r="143" spans="1:13" s="2" customFormat="1" x14ac:dyDescent="0.2">
      <c r="A143" s="24"/>
      <c r="B143" s="1"/>
      <c r="C143" s="14"/>
      <c r="D143" s="25"/>
      <c r="G143" s="54"/>
      <c r="I143" s="1"/>
      <c r="J143" s="1"/>
      <c r="K143" s="1"/>
      <c r="L143" s="1"/>
      <c r="M143" s="1"/>
    </row>
    <row r="144" spans="1:13" s="2" customFormat="1" x14ac:dyDescent="0.2">
      <c r="A144" s="24"/>
      <c r="B144" s="1"/>
      <c r="C144" s="14"/>
      <c r="D144" s="25"/>
      <c r="G144" s="54"/>
      <c r="I144" s="1"/>
      <c r="J144" s="1"/>
      <c r="K144" s="1"/>
      <c r="L144" s="1"/>
      <c r="M144" s="1"/>
    </row>
    <row r="145" spans="1:14" s="2" customFormat="1" x14ac:dyDescent="0.2">
      <c r="A145" s="24"/>
      <c r="B145" s="1"/>
      <c r="C145" s="14"/>
      <c r="D145" s="25"/>
      <c r="G145" s="54"/>
      <c r="I145" s="1"/>
      <c r="J145" s="1"/>
      <c r="K145" s="1"/>
      <c r="L145" s="1"/>
      <c r="M145" s="1"/>
    </row>
    <row r="146" spans="1:14" s="2" customFormat="1" x14ac:dyDescent="0.2">
      <c r="A146" s="24"/>
      <c r="B146" s="1"/>
      <c r="C146" s="14"/>
      <c r="D146" s="25"/>
      <c r="G146" s="54"/>
      <c r="H146" s="2" t="s">
        <v>396</v>
      </c>
      <c r="I146" s="1"/>
      <c r="J146" s="1"/>
      <c r="K146" s="1"/>
      <c r="L146" s="1"/>
      <c r="M146" s="1"/>
      <c r="N146" s="1"/>
    </row>
    <row r="147" spans="1:14" s="2" customFormat="1" x14ac:dyDescent="0.2">
      <c r="A147" s="24"/>
      <c r="B147" s="1"/>
      <c r="C147" s="14"/>
      <c r="D147" s="25"/>
      <c r="G147" s="54"/>
      <c r="H147" s="53"/>
    </row>
    <row r="148" spans="1:14" s="2" customFormat="1" x14ac:dyDescent="0.2">
      <c r="A148" s="24"/>
      <c r="B148" s="1"/>
      <c r="C148" s="14"/>
      <c r="D148" s="25"/>
      <c r="G148" s="54"/>
      <c r="H148" s="53" t="s">
        <v>396</v>
      </c>
      <c r="I148" s="1"/>
      <c r="J148" s="1"/>
      <c r="K148" s="1"/>
      <c r="L148" s="1"/>
      <c r="M148" s="1"/>
      <c r="N148" s="1"/>
    </row>
    <row r="149" spans="1:14" x14ac:dyDescent="0.2">
      <c r="G149" s="54"/>
      <c r="H149" s="53" t="s">
        <v>396</v>
      </c>
      <c r="J149" s="42"/>
    </row>
    <row r="150" spans="1:14" s="2" customFormat="1" x14ac:dyDescent="0.2">
      <c r="A150" s="24"/>
      <c r="B150" s="1"/>
      <c r="C150" s="14"/>
      <c r="D150" s="25"/>
      <c r="G150" s="54"/>
      <c r="H150" s="53"/>
      <c r="I150" s="101"/>
      <c r="J150" s="1"/>
      <c r="K150" s="1"/>
      <c r="L150" s="1"/>
      <c r="M150" s="1"/>
      <c r="N150" s="1"/>
    </row>
    <row r="151" spans="1:14" x14ac:dyDescent="0.2">
      <c r="G151" s="54"/>
      <c r="H151" s="53"/>
    </row>
    <row r="152" spans="1:14" x14ac:dyDescent="0.2">
      <c r="G152" s="54"/>
      <c r="H152" s="53"/>
    </row>
    <row r="153" spans="1:14" x14ac:dyDescent="0.2">
      <c r="G153" s="54"/>
      <c r="H153" s="53"/>
    </row>
  </sheetData>
  <sheetProtection insertRows="0"/>
  <mergeCells count="6">
    <mergeCell ref="C115:F115"/>
    <mergeCell ref="A1:G1"/>
    <mergeCell ref="A3:F3"/>
    <mergeCell ref="A11:F11"/>
    <mergeCell ref="A20:F20"/>
    <mergeCell ref="A81:D81"/>
  </mergeCells>
  <conditionalFormatting sqref="G78:G79">
    <cfRule type="cellIs" dxfId="305" priority="1" operator="lessThan">
      <formula>0</formula>
    </cfRule>
  </conditionalFormatting>
  <conditionalFormatting sqref="C22">
    <cfRule type="duplicateValues" dxfId="304" priority="2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A00-000000000000}">
  <sheetPr codeName="Sheet434">
    <pageSetUpPr fitToPage="1"/>
  </sheetPr>
  <dimension ref="A1:N146"/>
  <sheetViews>
    <sheetView topLeftCell="A16" zoomScaleNormal="100" workbookViewId="0">
      <selection activeCell="E52" sqref="E52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3" ht="20.25" customHeight="1" x14ac:dyDescent="0.4">
      <c r="A1" s="212" t="s">
        <v>1561</v>
      </c>
      <c r="B1" s="212"/>
      <c r="C1" s="212"/>
      <c r="D1" s="212"/>
      <c r="E1" s="212"/>
      <c r="F1" s="212"/>
      <c r="G1" s="212"/>
      <c r="H1" s="112"/>
      <c r="I1" s="112"/>
    </row>
    <row r="2" spans="1:13" ht="12.75" customHeight="1" x14ac:dyDescent="0.4">
      <c r="H2" s="112"/>
      <c r="I2" s="112"/>
    </row>
    <row r="3" spans="1:13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3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3" s="2" customFormat="1" ht="14.25" customHeight="1" x14ac:dyDescent="0.4">
      <c r="A5" s="89">
        <v>45190</v>
      </c>
      <c r="B5" s="9" t="s">
        <v>6</v>
      </c>
      <c r="C5" s="10" t="s">
        <v>7</v>
      </c>
      <c r="D5" s="11"/>
      <c r="E5" s="12">
        <v>1129287.790000001</v>
      </c>
      <c r="F5" s="12"/>
      <c r="G5" s="1"/>
      <c r="H5" s="112"/>
      <c r="I5" s="112"/>
    </row>
    <row r="6" spans="1:13" s="2" customFormat="1" ht="14.25" customHeight="1" x14ac:dyDescent="0.4">
      <c r="A6" s="89">
        <v>45190</v>
      </c>
      <c r="B6" s="9" t="s">
        <v>6</v>
      </c>
      <c r="C6" s="10" t="s">
        <v>600</v>
      </c>
      <c r="D6" s="11" t="s">
        <v>499</v>
      </c>
      <c r="E6" s="12">
        <v>100000</v>
      </c>
      <c r="F6" s="12"/>
      <c r="G6" s="1"/>
      <c r="H6" s="112"/>
      <c r="I6" s="112"/>
    </row>
    <row r="7" spans="1:13" s="2" customFormat="1" ht="12.75" customHeight="1" x14ac:dyDescent="0.4">
      <c r="D7" s="15" t="s">
        <v>8</v>
      </c>
      <c r="E7" s="16">
        <f>SUM(E5:E6)</f>
        <v>1229287.790000001</v>
      </c>
      <c r="F7" s="16">
        <f>SUM(F6:F6)</f>
        <v>0</v>
      </c>
      <c r="G7" s="1"/>
      <c r="H7" s="112"/>
      <c r="I7" s="112"/>
    </row>
    <row r="8" spans="1:13" s="2" customFormat="1" ht="12.75" customHeight="1" x14ac:dyDescent="0.4">
      <c r="A8" s="17"/>
      <c r="B8" s="18"/>
      <c r="C8" s="19" t="s">
        <v>9</v>
      </c>
      <c r="D8" s="20"/>
      <c r="E8" s="21">
        <f>+E7-F7</f>
        <v>1229287.790000001</v>
      </c>
      <c r="F8" s="22"/>
      <c r="G8" s="23"/>
      <c r="H8" s="112"/>
      <c r="I8" s="112"/>
      <c r="J8" s="13"/>
    </row>
    <row r="9" spans="1:13" ht="12.75" customHeight="1" x14ac:dyDescent="0.4">
      <c r="H9" s="112"/>
      <c r="I9" s="112"/>
    </row>
    <row r="10" spans="1:13" ht="18" customHeight="1" x14ac:dyDescent="0.4">
      <c r="A10" s="213" t="s">
        <v>1037</v>
      </c>
      <c r="B10" s="213"/>
      <c r="C10" s="213"/>
      <c r="D10" s="213"/>
      <c r="E10" s="213"/>
      <c r="F10" s="213"/>
      <c r="H10" s="112"/>
      <c r="I10" s="169">
        <v>90000000</v>
      </c>
      <c r="J10" s="169" t="s">
        <v>1508</v>
      </c>
    </row>
    <row r="11" spans="1:13" ht="12.75" customHeight="1" x14ac:dyDescent="0.4">
      <c r="A11" s="3" t="s">
        <v>1</v>
      </c>
      <c r="B11" s="4" t="s">
        <v>2</v>
      </c>
      <c r="C11" s="5"/>
      <c r="D11" s="6" t="s">
        <v>3</v>
      </c>
      <c r="E11" s="7" t="s">
        <v>4</v>
      </c>
      <c r="F11" s="7" t="s">
        <v>5</v>
      </c>
      <c r="H11" s="112"/>
      <c r="I11" s="169">
        <v>86674425.290000007</v>
      </c>
      <c r="J11" s="169" t="s">
        <v>1509</v>
      </c>
      <c r="K11" s="124"/>
    </row>
    <row r="12" spans="1:13" s="2" customFormat="1" ht="14.25" customHeight="1" x14ac:dyDescent="0.2">
      <c r="A12" s="89">
        <v>45190</v>
      </c>
      <c r="B12" s="9" t="s">
        <v>6</v>
      </c>
      <c r="C12" s="10" t="s">
        <v>7</v>
      </c>
      <c r="D12" s="11"/>
      <c r="F12" s="12">
        <v>86669083.689999998</v>
      </c>
      <c r="G12" s="1"/>
      <c r="H12" s="130" t="s">
        <v>396</v>
      </c>
      <c r="I12" s="169">
        <f>+I10-I11</f>
        <v>3325574.7099999934</v>
      </c>
      <c r="J12" s="169" t="s">
        <v>712</v>
      </c>
      <c r="K12" s="165" t="s">
        <v>1512</v>
      </c>
    </row>
    <row r="13" spans="1:13" s="2" customFormat="1" ht="14.25" customHeight="1" x14ac:dyDescent="0.2">
      <c r="A13" s="89">
        <v>45190</v>
      </c>
      <c r="B13" s="9" t="s">
        <v>6</v>
      </c>
      <c r="C13" s="10" t="s">
        <v>1137</v>
      </c>
      <c r="D13" s="11" t="s">
        <v>13</v>
      </c>
      <c r="E13" s="2">
        <f>19883.38-5664</f>
        <v>14219.380000000001</v>
      </c>
      <c r="F13" s="12"/>
      <c r="G13" s="1"/>
      <c r="H13" s="130"/>
      <c r="I13" s="169"/>
      <c r="J13" s="169"/>
      <c r="K13" s="165"/>
    </row>
    <row r="14" spans="1:13" s="2" customFormat="1" ht="14.25" customHeight="1" x14ac:dyDescent="0.2">
      <c r="A14" s="89">
        <v>45190</v>
      </c>
      <c r="B14" s="9" t="s">
        <v>11</v>
      </c>
      <c r="C14" s="10" t="s">
        <v>1137</v>
      </c>
      <c r="D14" s="11" t="s">
        <v>29</v>
      </c>
      <c r="F14" s="12">
        <v>19560.98</v>
      </c>
      <c r="G14" s="1"/>
      <c r="H14" s="130"/>
      <c r="I14" s="169"/>
      <c r="J14" s="169"/>
      <c r="K14" s="165"/>
    </row>
    <row r="15" spans="1:13" s="2" customFormat="1" ht="14.25" customHeight="1" x14ac:dyDescent="0.2">
      <c r="D15" s="11" t="s">
        <v>8</v>
      </c>
      <c r="E15" s="16">
        <f>SUM(E12:E14)</f>
        <v>14219.380000000001</v>
      </c>
      <c r="F15" s="16">
        <f>SUM(F12:F14)</f>
        <v>86688644.670000002</v>
      </c>
      <c r="G15" s="1"/>
      <c r="H15" s="143"/>
      <c r="I15" s="130"/>
      <c r="J15" s="143"/>
      <c r="K15" s="143"/>
      <c r="L15" s="143"/>
      <c r="M15" s="143"/>
    </row>
    <row r="16" spans="1:13" s="2" customFormat="1" ht="14.25" customHeight="1" x14ac:dyDescent="0.4">
      <c r="A16" s="17"/>
      <c r="B16" s="18"/>
      <c r="C16" s="96" t="s">
        <v>9</v>
      </c>
      <c r="D16" s="20"/>
      <c r="E16" s="21">
        <f>+F15-E15</f>
        <v>86674425.290000007</v>
      </c>
      <c r="G16" s="1"/>
      <c r="I16" s="112"/>
      <c r="J16" s="153" t="s">
        <v>779</v>
      </c>
    </row>
    <row r="17" spans="1:14" s="2" customFormat="1" ht="14.25" customHeight="1" x14ac:dyDescent="0.2">
      <c r="A17" s="36"/>
      <c r="B17" s="28" t="s">
        <v>66</v>
      </c>
      <c r="C17" s="43" t="s">
        <v>1458</v>
      </c>
      <c r="D17" s="43"/>
      <c r="E17" s="12">
        <v>30000000</v>
      </c>
      <c r="F17" s="22"/>
      <c r="G17" s="1"/>
      <c r="I17" s="40">
        <v>86674425.290000007</v>
      </c>
      <c r="J17" s="154">
        <f>I17-E16</f>
        <v>0</v>
      </c>
    </row>
    <row r="18" spans="1:14" s="2" customFormat="1" ht="14.25" customHeight="1" x14ac:dyDescent="0.25">
      <c r="A18" s="36"/>
      <c r="B18" s="28"/>
      <c r="C18" s="44" t="s">
        <v>1541</v>
      </c>
      <c r="D18" s="43"/>
      <c r="E18" s="7">
        <f>+E16+E17</f>
        <v>116674425.29000001</v>
      </c>
      <c r="F18" s="22"/>
      <c r="G18" s="1"/>
    </row>
    <row r="19" spans="1:14" s="2" customFormat="1" ht="14.25" customHeight="1" x14ac:dyDescent="0.25">
      <c r="A19" s="36"/>
      <c r="B19" s="28"/>
      <c r="C19" s="44" t="s">
        <v>1511</v>
      </c>
      <c r="D19" s="43"/>
      <c r="E19" s="38">
        <f>+I12</f>
        <v>3325574.7099999934</v>
      </c>
      <c r="F19" s="22"/>
      <c r="G19" s="1"/>
    </row>
    <row r="20" spans="1:14" s="2" customFormat="1" ht="14.25" customHeight="1" x14ac:dyDescent="0.2">
      <c r="A20" s="24"/>
      <c r="B20" s="1"/>
      <c r="C20" s="14"/>
      <c r="D20" s="25"/>
      <c r="G20" s="1"/>
      <c r="I20" s="130"/>
      <c r="J20" s="130"/>
    </row>
    <row r="21" spans="1:14" s="2" customFormat="1" x14ac:dyDescent="0.2">
      <c r="A21" s="214" t="s">
        <v>10</v>
      </c>
      <c r="B21" s="214"/>
      <c r="C21" s="214"/>
      <c r="D21" s="214"/>
      <c r="E21" s="214"/>
      <c r="F21" s="214"/>
      <c r="G21" s="1"/>
      <c r="H21" s="159"/>
      <c r="I21" s="160">
        <v>150000000</v>
      </c>
      <c r="J21" s="160" t="s">
        <v>1506</v>
      </c>
      <c r="K21" s="70"/>
    </row>
    <row r="22" spans="1:14" s="2" customFormat="1" x14ac:dyDescent="0.2">
      <c r="A22" s="26" t="s">
        <v>1</v>
      </c>
      <c r="B22" s="27" t="s">
        <v>2</v>
      </c>
      <c r="C22" s="5"/>
      <c r="D22" s="6" t="s">
        <v>3</v>
      </c>
      <c r="E22" s="7" t="s">
        <v>4</v>
      </c>
      <c r="F22" s="7" t="s">
        <v>5</v>
      </c>
      <c r="G22" s="1"/>
      <c r="H22" s="159"/>
      <c r="I22" s="160">
        <v>110309685.73999999</v>
      </c>
      <c r="J22" s="160" t="s">
        <v>1507</v>
      </c>
      <c r="K22" s="70" t="s">
        <v>1512</v>
      </c>
    </row>
    <row r="23" spans="1:14" s="2" customFormat="1" x14ac:dyDescent="0.2">
      <c r="A23" s="89">
        <v>45190</v>
      </c>
      <c r="B23" s="128" t="s">
        <v>11</v>
      </c>
      <c r="C23" s="29" t="s">
        <v>7</v>
      </c>
      <c r="D23" s="25"/>
      <c r="E23" s="31"/>
      <c r="F23" s="2">
        <v>117680132.03000006</v>
      </c>
      <c r="G23" s="23"/>
      <c r="H23" s="159" t="s">
        <v>1505</v>
      </c>
      <c r="I23" s="160">
        <f>+I21-I22</f>
        <v>39690314.260000005</v>
      </c>
      <c r="J23" s="160"/>
      <c r="K23" s="70"/>
    </row>
    <row r="24" spans="1:14" s="2" customFormat="1" x14ac:dyDescent="0.2">
      <c r="A24" s="89">
        <v>45190</v>
      </c>
      <c r="B24" s="128" t="s">
        <v>6</v>
      </c>
      <c r="C24" s="10" t="s">
        <v>24</v>
      </c>
      <c r="D24" s="11" t="s">
        <v>13</v>
      </c>
      <c r="E24" s="86">
        <v>449063</v>
      </c>
      <c r="F24" s="70"/>
      <c r="G24" s="1"/>
      <c r="N24" s="1"/>
    </row>
    <row r="25" spans="1:14" s="2" customFormat="1" x14ac:dyDescent="0.2">
      <c r="A25" s="89">
        <v>45190</v>
      </c>
      <c r="B25" s="128" t="s">
        <v>6</v>
      </c>
      <c r="C25" s="10" t="s">
        <v>120</v>
      </c>
      <c r="D25" s="11" t="s">
        <v>13</v>
      </c>
      <c r="E25" s="86">
        <v>18194.37</v>
      </c>
      <c r="F25" s="70"/>
      <c r="G25" s="1"/>
      <c r="N25" s="1"/>
    </row>
    <row r="26" spans="1:14" s="2" customFormat="1" x14ac:dyDescent="0.2">
      <c r="A26" s="89">
        <v>45190</v>
      </c>
      <c r="B26" s="128" t="s">
        <v>6</v>
      </c>
      <c r="C26" s="10" t="s">
        <v>19</v>
      </c>
      <c r="D26" s="11" t="s">
        <v>13</v>
      </c>
      <c r="E26" s="86">
        <v>4154</v>
      </c>
      <c r="F26" s="70"/>
      <c r="G26" s="1"/>
      <c r="N26" s="1"/>
    </row>
    <row r="27" spans="1:14" s="2" customFormat="1" x14ac:dyDescent="0.2">
      <c r="A27" s="89">
        <v>45190</v>
      </c>
      <c r="B27" s="128" t="s">
        <v>6</v>
      </c>
      <c r="C27" s="10" t="s">
        <v>683</v>
      </c>
      <c r="D27" s="11" t="s">
        <v>13</v>
      </c>
      <c r="E27" s="86">
        <v>419725</v>
      </c>
      <c r="F27" s="70"/>
      <c r="G27" s="1"/>
      <c r="N27" s="1"/>
    </row>
    <row r="28" spans="1:14" s="2" customFormat="1" x14ac:dyDescent="0.2">
      <c r="A28" s="89">
        <v>45190</v>
      </c>
      <c r="B28" s="128" t="s">
        <v>6</v>
      </c>
      <c r="C28" s="10" t="s">
        <v>1241</v>
      </c>
      <c r="D28" s="11" t="s">
        <v>13</v>
      </c>
      <c r="E28" s="86">
        <v>196930</v>
      </c>
      <c r="F28" s="70"/>
      <c r="G28" s="1"/>
      <c r="N28" s="1"/>
    </row>
    <row r="29" spans="1:14" s="2" customFormat="1" x14ac:dyDescent="0.2">
      <c r="A29" s="89">
        <v>45190</v>
      </c>
      <c r="B29" s="128" t="s">
        <v>6</v>
      </c>
      <c r="C29" s="10" t="s">
        <v>1563</v>
      </c>
      <c r="D29" s="11" t="s">
        <v>13</v>
      </c>
      <c r="E29" s="86">
        <v>1962715</v>
      </c>
      <c r="F29" s="70"/>
      <c r="G29" s="1"/>
      <c r="N29" s="1"/>
    </row>
    <row r="30" spans="1:14" s="2" customFormat="1" x14ac:dyDescent="0.2">
      <c r="A30" s="89">
        <v>45190</v>
      </c>
      <c r="B30" s="128" t="s">
        <v>6</v>
      </c>
      <c r="C30" s="10" t="s">
        <v>845</v>
      </c>
      <c r="D30" s="11" t="s">
        <v>13</v>
      </c>
      <c r="E30" s="86">
        <v>414423</v>
      </c>
      <c r="F30" s="70"/>
      <c r="G30" s="1"/>
      <c r="N30" s="1"/>
    </row>
    <row r="31" spans="1:14" s="2" customFormat="1" x14ac:dyDescent="0.2">
      <c r="A31" s="89">
        <v>45190</v>
      </c>
      <c r="B31" s="128" t="s">
        <v>6</v>
      </c>
      <c r="C31" s="10" t="s">
        <v>614</v>
      </c>
      <c r="D31" s="11" t="s">
        <v>13</v>
      </c>
      <c r="E31" s="86">
        <v>267780</v>
      </c>
      <c r="F31" s="70"/>
      <c r="G31" s="1"/>
      <c r="N31" s="1"/>
    </row>
    <row r="32" spans="1:14" s="2" customFormat="1" x14ac:dyDescent="0.2">
      <c r="A32" s="89">
        <v>45190</v>
      </c>
      <c r="B32" s="128" t="s">
        <v>6</v>
      </c>
      <c r="C32" s="10" t="s">
        <v>469</v>
      </c>
      <c r="D32" s="11" t="s">
        <v>13</v>
      </c>
      <c r="E32" s="86">
        <v>1310819</v>
      </c>
      <c r="F32" s="70"/>
      <c r="G32" s="1"/>
      <c r="N32" s="1"/>
    </row>
    <row r="33" spans="1:14" s="2" customFormat="1" x14ac:dyDescent="0.2">
      <c r="A33" s="89">
        <v>45190</v>
      </c>
      <c r="B33" s="128" t="s">
        <v>6</v>
      </c>
      <c r="C33" s="10" t="s">
        <v>1497</v>
      </c>
      <c r="D33" s="11" t="s">
        <v>13</v>
      </c>
      <c r="E33" s="86">
        <v>383185</v>
      </c>
      <c r="F33" s="70"/>
      <c r="G33" s="1"/>
      <c r="N33" s="1"/>
    </row>
    <row r="34" spans="1:14" s="2" customFormat="1" x14ac:dyDescent="0.2">
      <c r="A34" s="89">
        <v>45190</v>
      </c>
      <c r="B34" s="128" t="s">
        <v>6</v>
      </c>
      <c r="C34" s="10" t="s">
        <v>1229</v>
      </c>
      <c r="D34" s="11" t="s">
        <v>13</v>
      </c>
      <c r="E34" s="86">
        <v>4956679</v>
      </c>
      <c r="F34" s="70"/>
      <c r="G34" s="1"/>
      <c r="N34" s="1"/>
    </row>
    <row r="35" spans="1:14" s="2" customFormat="1" x14ac:dyDescent="0.2">
      <c r="A35" s="89">
        <v>45190</v>
      </c>
      <c r="B35" s="128" t="s">
        <v>6</v>
      </c>
      <c r="C35" s="10" t="s">
        <v>177</v>
      </c>
      <c r="D35" s="11" t="s">
        <v>13</v>
      </c>
      <c r="E35" s="86">
        <v>741884</v>
      </c>
      <c r="F35" s="70"/>
      <c r="G35" s="1"/>
      <c r="N35" s="1"/>
    </row>
    <row r="36" spans="1:14" s="2" customFormat="1" x14ac:dyDescent="0.2">
      <c r="A36" s="89">
        <v>45190</v>
      </c>
      <c r="B36" s="128" t="s">
        <v>6</v>
      </c>
      <c r="C36" s="10" t="s">
        <v>488</v>
      </c>
      <c r="D36" s="11" t="s">
        <v>13</v>
      </c>
      <c r="E36" s="86">
        <v>52435</v>
      </c>
      <c r="F36" s="70"/>
      <c r="G36" s="1"/>
      <c r="N36" s="1"/>
    </row>
    <row r="37" spans="1:14" s="2" customFormat="1" x14ac:dyDescent="0.2">
      <c r="A37" s="89">
        <v>45190</v>
      </c>
      <c r="B37" s="128" t="s">
        <v>6</v>
      </c>
      <c r="C37" s="10" t="s">
        <v>385</v>
      </c>
      <c r="D37" s="11" t="s">
        <v>13</v>
      </c>
      <c r="E37" s="86">
        <v>50956</v>
      </c>
      <c r="F37" s="70"/>
      <c r="G37" s="1"/>
      <c r="N37" s="1"/>
    </row>
    <row r="38" spans="1:14" s="2" customFormat="1" x14ac:dyDescent="0.2">
      <c r="A38" s="89">
        <v>45190</v>
      </c>
      <c r="B38" s="128" t="s">
        <v>6</v>
      </c>
      <c r="C38" s="10" t="s">
        <v>149</v>
      </c>
      <c r="D38" s="11" t="s">
        <v>13</v>
      </c>
      <c r="E38" s="86">
        <v>108332</v>
      </c>
      <c r="F38" s="70"/>
      <c r="G38" s="1"/>
      <c r="N38" s="1"/>
    </row>
    <row r="39" spans="1:14" s="2" customFormat="1" x14ac:dyDescent="0.2">
      <c r="A39" s="89">
        <v>45190</v>
      </c>
      <c r="B39" s="128" t="s">
        <v>6</v>
      </c>
      <c r="C39" s="10" t="s">
        <v>785</v>
      </c>
      <c r="D39" s="11" t="s">
        <v>13</v>
      </c>
      <c r="E39" s="86">
        <v>2627038</v>
      </c>
      <c r="F39" s="70"/>
      <c r="G39" s="1"/>
      <c r="N39" s="1"/>
    </row>
    <row r="40" spans="1:14" s="2" customFormat="1" x14ac:dyDescent="0.2">
      <c r="A40" s="89">
        <v>45190</v>
      </c>
      <c r="B40" s="128" t="s">
        <v>6</v>
      </c>
      <c r="C40" s="10" t="s">
        <v>304</v>
      </c>
      <c r="D40" s="11" t="s">
        <v>13</v>
      </c>
      <c r="E40" s="86">
        <v>258552</v>
      </c>
      <c r="F40" s="70"/>
      <c r="G40" s="1"/>
      <c r="N40" s="1"/>
    </row>
    <row r="41" spans="1:14" s="2" customFormat="1" x14ac:dyDescent="0.2">
      <c r="A41" s="89">
        <v>45190</v>
      </c>
      <c r="B41" s="128" t="s">
        <v>6</v>
      </c>
      <c r="C41" s="10" t="s">
        <v>179</v>
      </c>
      <c r="D41" s="11" t="s">
        <v>13</v>
      </c>
      <c r="E41" s="86">
        <v>50000</v>
      </c>
      <c r="F41" s="70"/>
      <c r="G41" s="1"/>
      <c r="N41" s="1"/>
    </row>
    <row r="42" spans="1:14" s="2" customFormat="1" x14ac:dyDescent="0.2">
      <c r="A42" s="89">
        <v>45190</v>
      </c>
      <c r="B42" s="128" t="s">
        <v>6</v>
      </c>
      <c r="C42" s="10" t="s">
        <v>1564</v>
      </c>
      <c r="D42" s="11" t="s">
        <v>13</v>
      </c>
      <c r="E42" s="86">
        <v>140000</v>
      </c>
      <c r="F42" s="70"/>
      <c r="G42" s="1"/>
      <c r="N42" s="1"/>
    </row>
    <row r="43" spans="1:14" s="2" customFormat="1" x14ac:dyDescent="0.2">
      <c r="A43" s="89">
        <v>45190</v>
      </c>
      <c r="B43" s="128" t="s">
        <v>6</v>
      </c>
      <c r="C43" s="10" t="s">
        <v>22</v>
      </c>
      <c r="D43" s="11" t="s">
        <v>13</v>
      </c>
      <c r="E43" s="86">
        <v>187116.41</v>
      </c>
      <c r="F43" s="70"/>
      <c r="G43" s="1"/>
      <c r="N43" s="1"/>
    </row>
    <row r="44" spans="1:14" s="2" customFormat="1" x14ac:dyDescent="0.2">
      <c r="A44" s="89">
        <v>45190</v>
      </c>
      <c r="B44" s="128" t="s">
        <v>6</v>
      </c>
      <c r="C44" s="10" t="s">
        <v>27</v>
      </c>
      <c r="D44" s="11" t="s">
        <v>13</v>
      </c>
      <c r="E44" s="86">
        <v>327593.40000000002</v>
      </c>
      <c r="F44" s="70"/>
      <c r="G44" s="1"/>
      <c r="N44" s="1"/>
    </row>
    <row r="45" spans="1:14" s="2" customFormat="1" x14ac:dyDescent="0.2">
      <c r="A45" s="89">
        <v>45190</v>
      </c>
      <c r="B45" s="128" t="s">
        <v>11</v>
      </c>
      <c r="C45" s="10" t="s">
        <v>15</v>
      </c>
      <c r="D45" s="11" t="s">
        <v>29</v>
      </c>
      <c r="E45" s="86">
        <v>27871.43</v>
      </c>
      <c r="F45" s="70"/>
      <c r="G45" s="1"/>
      <c r="N45" s="1"/>
    </row>
    <row r="46" spans="1:14" s="2" customFormat="1" x14ac:dyDescent="0.2">
      <c r="A46" s="89">
        <v>45190</v>
      </c>
      <c r="B46" s="128" t="s">
        <v>6</v>
      </c>
      <c r="C46" s="10" t="s">
        <v>1562</v>
      </c>
      <c r="D46" s="11" t="s">
        <v>29</v>
      </c>
      <c r="E46" s="86"/>
      <c r="F46" s="70">
        <v>2218400</v>
      </c>
      <c r="G46" s="1"/>
      <c r="N46" s="1"/>
    </row>
    <row r="47" spans="1:14" s="13" customFormat="1" x14ac:dyDescent="0.2">
      <c r="A47" s="89">
        <v>45190</v>
      </c>
      <c r="B47" s="128" t="s">
        <v>11</v>
      </c>
      <c r="C47" s="10" t="s">
        <v>1565</v>
      </c>
      <c r="D47" s="11" t="s">
        <v>29</v>
      </c>
      <c r="E47" s="86"/>
      <c r="F47" s="70">
        <v>347353.35</v>
      </c>
      <c r="G47" s="23"/>
      <c r="N47" s="23"/>
    </row>
    <row r="48" spans="1:14" s="13" customFormat="1" x14ac:dyDescent="0.2">
      <c r="A48" s="89">
        <v>45190</v>
      </c>
      <c r="B48" s="128" t="s">
        <v>11</v>
      </c>
      <c r="C48" s="10" t="s">
        <v>64</v>
      </c>
      <c r="D48" s="11" t="s">
        <v>29</v>
      </c>
      <c r="E48" s="86"/>
      <c r="F48" s="70">
        <v>5520.5599999999995</v>
      </c>
      <c r="G48" s="23"/>
      <c r="N48" s="23"/>
    </row>
    <row r="49" spans="1:14" s="13" customFormat="1" x14ac:dyDescent="0.2">
      <c r="A49" s="89">
        <v>45190</v>
      </c>
      <c r="B49" s="128" t="s">
        <v>11</v>
      </c>
      <c r="C49" s="10" t="s">
        <v>15</v>
      </c>
      <c r="D49" s="11" t="s">
        <v>29</v>
      </c>
      <c r="E49" s="86"/>
      <c r="F49" s="70">
        <v>40266.28</v>
      </c>
      <c r="G49" s="23"/>
      <c r="N49" s="23"/>
    </row>
    <row r="50" spans="1:14" s="2" customFormat="1" x14ac:dyDescent="0.2">
      <c r="A50" s="89">
        <v>45190</v>
      </c>
      <c r="B50" s="128" t="s">
        <v>11</v>
      </c>
      <c r="C50" s="10" t="s">
        <v>555</v>
      </c>
      <c r="D50" s="11" t="s">
        <v>29</v>
      </c>
      <c r="E50" s="86"/>
      <c r="F50" s="70">
        <v>190923</v>
      </c>
      <c r="G50" s="1"/>
      <c r="N50" s="1"/>
    </row>
    <row r="51" spans="1:14" s="2" customFormat="1" x14ac:dyDescent="0.2">
      <c r="A51" s="32"/>
      <c r="B51" s="33"/>
      <c r="C51" s="14"/>
      <c r="D51" s="34"/>
      <c r="E51" s="16">
        <f>SUM(E23:E50)</f>
        <v>14955445.610000001</v>
      </c>
      <c r="F51" s="16">
        <f>SUM(F23:F50)</f>
        <v>120482595.22000006</v>
      </c>
      <c r="G51" s="1"/>
      <c r="H51" s="1"/>
      <c r="I51" s="38">
        <v>105527149.61</v>
      </c>
      <c r="J51" s="2" t="s">
        <v>396</v>
      </c>
      <c r="K51" s="92">
        <f>E52-I51</f>
        <v>0</v>
      </c>
      <c r="N51" s="1"/>
    </row>
    <row r="52" spans="1:14" s="2" customFormat="1" x14ac:dyDescent="0.2">
      <c r="A52" s="36"/>
      <c r="B52" s="28" t="s">
        <v>11</v>
      </c>
      <c r="C52" s="19" t="s">
        <v>65</v>
      </c>
      <c r="D52" s="37"/>
      <c r="E52" s="38">
        <f>F51-E51</f>
        <v>105527149.61000006</v>
      </c>
      <c r="F52" s="22"/>
      <c r="G52" s="1"/>
      <c r="H52" s="70"/>
      <c r="I52" s="70"/>
      <c r="J52" s="70"/>
      <c r="K52" s="70"/>
      <c r="N52" s="1"/>
    </row>
    <row r="53" spans="1:14" s="2" customFormat="1" x14ac:dyDescent="0.2">
      <c r="A53" s="36"/>
      <c r="B53" s="28" t="s">
        <v>66</v>
      </c>
      <c r="C53" s="19" t="s">
        <v>67</v>
      </c>
      <c r="D53" s="37"/>
      <c r="E53" s="38">
        <v>6500000</v>
      </c>
      <c r="F53" s="22"/>
      <c r="G53" s="1"/>
      <c r="H53" s="70"/>
      <c r="I53" s="70"/>
      <c r="J53" s="70"/>
      <c r="K53" s="70"/>
      <c r="N53" s="1"/>
    </row>
    <row r="54" spans="1:14" s="2" customFormat="1" x14ac:dyDescent="0.2">
      <c r="A54" s="36"/>
      <c r="B54" s="28" t="s">
        <v>66</v>
      </c>
      <c r="C54" s="43" t="s">
        <v>1457</v>
      </c>
      <c r="D54" s="43"/>
      <c r="E54" s="12">
        <v>350000000</v>
      </c>
      <c r="F54" s="22"/>
      <c r="G54" s="1"/>
      <c r="H54" s="70"/>
      <c r="I54" s="45">
        <v>2333.14</v>
      </c>
      <c r="J54" s="46"/>
      <c r="K54" s="46"/>
      <c r="N54" s="1"/>
    </row>
    <row r="55" spans="1:14" s="2" customFormat="1" ht="15" x14ac:dyDescent="0.25">
      <c r="A55" s="36"/>
      <c r="B55" s="28"/>
      <c r="C55" s="44" t="s">
        <v>1541</v>
      </c>
      <c r="D55" s="43"/>
      <c r="E55" s="7">
        <f>+E54+E52+E53</f>
        <v>462027149.61000007</v>
      </c>
      <c r="F55" s="22"/>
      <c r="G55" s="1"/>
      <c r="H55" s="103" t="s">
        <v>69</v>
      </c>
      <c r="I55" s="45">
        <v>-124</v>
      </c>
      <c r="J55" s="46"/>
      <c r="K55" s="46"/>
      <c r="N55" s="1"/>
    </row>
    <row r="56" spans="1:14" s="2" customFormat="1" ht="15" x14ac:dyDescent="0.25">
      <c r="A56" s="24"/>
      <c r="B56" s="1"/>
      <c r="C56" s="44" t="s">
        <v>1510</v>
      </c>
      <c r="D56" s="25"/>
      <c r="E56" s="156">
        <f>I23-E53</f>
        <v>33190314.260000005</v>
      </c>
      <c r="G56" s="1"/>
      <c r="H56" s="35" t="s">
        <v>70</v>
      </c>
      <c r="I56" s="45">
        <v>43.6</v>
      </c>
      <c r="J56" s="46">
        <f>+I57-D59</f>
        <v>0</v>
      </c>
      <c r="N56" s="1"/>
    </row>
    <row r="57" spans="1:14" s="124" customFormat="1" ht="12.75" customHeight="1" x14ac:dyDescent="0.2">
      <c r="A57" s="24"/>
      <c r="B57" s="1"/>
      <c r="C57" s="56"/>
      <c r="D57" s="56"/>
      <c r="E57" s="104"/>
      <c r="F57" s="2"/>
      <c r="G57" s="166"/>
      <c r="H57" s="70"/>
      <c r="I57" s="49">
        <f>SUM(I54:I56)</f>
        <v>2252.7399999999998</v>
      </c>
      <c r="J57" s="46"/>
      <c r="K57" s="46"/>
    </row>
    <row r="58" spans="1:14" s="124" customFormat="1" ht="12.75" customHeight="1" x14ac:dyDescent="0.2">
      <c r="A58" s="24"/>
      <c r="B58" s="1"/>
      <c r="C58" s="78" t="s">
        <v>575</v>
      </c>
      <c r="D58" s="48" t="s">
        <v>576</v>
      </c>
      <c r="E58" s="104"/>
      <c r="F58" s="2"/>
      <c r="G58" s="168"/>
      <c r="H58" s="167"/>
      <c r="I58" s="167"/>
      <c r="J58" s="168"/>
    </row>
    <row r="59" spans="1:14" s="124" customFormat="1" ht="12.75" customHeight="1" x14ac:dyDescent="0.2">
      <c r="A59" s="24"/>
      <c r="B59" s="1"/>
      <c r="C59" s="47" t="s">
        <v>570</v>
      </c>
      <c r="D59" s="111">
        <v>2252.7399999999998</v>
      </c>
      <c r="E59" s="104"/>
      <c r="F59" s="2"/>
      <c r="G59" s="168"/>
      <c r="H59" s="110" t="s">
        <v>581</v>
      </c>
      <c r="I59" s="167"/>
      <c r="J59" s="168"/>
    </row>
    <row r="60" spans="1:14" s="124" customFormat="1" ht="12.75" customHeight="1" x14ac:dyDescent="0.2">
      <c r="A60" s="24"/>
      <c r="B60" s="1"/>
      <c r="C60" s="47" t="s">
        <v>931</v>
      </c>
      <c r="D60" s="111">
        <v>264.60000000000002</v>
      </c>
      <c r="E60" s="104"/>
      <c r="F60" s="2"/>
      <c r="G60" s="168"/>
      <c r="H60" s="110" t="s">
        <v>580</v>
      </c>
      <c r="I60" s="167"/>
      <c r="J60" s="168"/>
    </row>
    <row r="61" spans="1:14" s="124" customFormat="1" ht="12.75" customHeight="1" x14ac:dyDescent="0.2">
      <c r="A61" s="24"/>
      <c r="B61" s="1"/>
      <c r="C61" s="47" t="s">
        <v>572</v>
      </c>
      <c r="D61" s="111">
        <f>+D106/100000</f>
        <v>236.46538280000001</v>
      </c>
      <c r="E61" s="104"/>
      <c r="F61" s="2"/>
      <c r="G61" s="166"/>
      <c r="H61" s="90" t="s">
        <v>587</v>
      </c>
      <c r="I61" s="167"/>
      <c r="J61" s="168"/>
    </row>
    <row r="62" spans="1:14" s="2" customFormat="1" x14ac:dyDescent="0.2">
      <c r="A62" s="24"/>
      <c r="B62" s="1"/>
      <c r="C62" s="108" t="s">
        <v>578</v>
      </c>
      <c r="D62" s="48">
        <f>SUM(D59:D61)</f>
        <v>2753.8053827999997</v>
      </c>
      <c r="E62" s="104"/>
      <c r="G62" s="30"/>
      <c r="I62" s="13"/>
      <c r="J62" s="13"/>
    </row>
    <row r="63" spans="1:14" s="70" customFormat="1" x14ac:dyDescent="0.2">
      <c r="A63" s="24"/>
      <c r="B63" s="1"/>
      <c r="C63" s="47"/>
      <c r="D63" s="107"/>
      <c r="E63" s="104"/>
      <c r="F63" s="2"/>
      <c r="G63" s="30"/>
      <c r="H63" s="2"/>
    </row>
    <row r="64" spans="1:14" s="70" customFormat="1" x14ac:dyDescent="0.2">
      <c r="A64" s="24"/>
      <c r="B64" s="1"/>
      <c r="C64" s="47" t="s">
        <v>932</v>
      </c>
      <c r="D64" s="111">
        <v>235.54</v>
      </c>
      <c r="E64" s="104"/>
      <c r="F64" s="2"/>
      <c r="G64" s="30"/>
      <c r="H64" s="110" t="s">
        <v>581</v>
      </c>
    </row>
    <row r="65" spans="1:14" s="70" customFormat="1" x14ac:dyDescent="0.2">
      <c r="A65" s="24"/>
      <c r="B65" s="1"/>
      <c r="C65" s="136" t="s">
        <v>1142</v>
      </c>
      <c r="D65" s="111">
        <v>212.94</v>
      </c>
      <c r="E65" s="104"/>
      <c r="F65" s="2"/>
      <c r="G65" s="30"/>
      <c r="H65" s="110" t="s">
        <v>581</v>
      </c>
    </row>
    <row r="66" spans="1:14" s="70" customFormat="1" x14ac:dyDescent="0.2">
      <c r="A66" s="24"/>
      <c r="B66" s="1"/>
      <c r="C66" s="78" t="s">
        <v>579</v>
      </c>
      <c r="D66" s="109">
        <f>D64+D65</f>
        <v>448.48</v>
      </c>
      <c r="E66" s="104"/>
      <c r="F66" s="2"/>
      <c r="G66" s="30"/>
    </row>
    <row r="67" spans="1:14" s="70" customFormat="1" x14ac:dyDescent="0.2">
      <c r="A67" s="24"/>
      <c r="B67" s="1"/>
      <c r="C67" s="105"/>
      <c r="D67" s="106"/>
      <c r="E67" s="104"/>
      <c r="F67" s="2"/>
      <c r="G67" s="30"/>
      <c r="I67" s="2"/>
      <c r="J67" s="114" t="s">
        <v>713</v>
      </c>
      <c r="K67" s="2"/>
      <c r="L67" s="2"/>
      <c r="M67" s="2"/>
    </row>
    <row r="68" spans="1:14" s="70" customFormat="1" x14ac:dyDescent="0.2">
      <c r="A68" s="24"/>
      <c r="B68" s="1"/>
      <c r="C68" s="78" t="s">
        <v>577</v>
      </c>
      <c r="D68" s="109">
        <f>D59+D66</f>
        <v>2701.22</v>
      </c>
      <c r="E68" s="104"/>
      <c r="F68" s="2"/>
      <c r="G68" s="30"/>
      <c r="I68" s="113"/>
      <c r="J68" s="113" t="s">
        <v>709</v>
      </c>
      <c r="K68" s="113" t="s">
        <v>710</v>
      </c>
      <c r="L68" s="113" t="s">
        <v>711</v>
      </c>
      <c r="M68" s="113" t="s">
        <v>712</v>
      </c>
    </row>
    <row r="69" spans="1:14" s="70" customFormat="1" x14ac:dyDescent="0.2">
      <c r="A69" s="24"/>
      <c r="B69" s="1"/>
      <c r="C69" s="56"/>
      <c r="D69" s="56"/>
      <c r="E69" s="104"/>
      <c r="F69" s="2"/>
      <c r="G69" s="30"/>
      <c r="I69" s="113" t="s">
        <v>706</v>
      </c>
      <c r="J69" s="115"/>
      <c r="K69" s="115">
        <v>968.99</v>
      </c>
      <c r="L69" s="115">
        <v>968.99</v>
      </c>
      <c r="M69" s="113">
        <f>+J69+L69-K69</f>
        <v>0</v>
      </c>
    </row>
    <row r="70" spans="1:14" s="70" customFormat="1" ht="38.25" x14ac:dyDescent="0.2">
      <c r="A70" s="24"/>
      <c r="B70" s="1"/>
      <c r="C70" s="79" t="str">
        <f>"Particulars ( 01-04-2021 to "&amp;TEXT(A5,"dd-mm-yyyy")&amp;" )"</f>
        <v>Particulars ( 01-04-2021 to 21-09-2023 )</v>
      </c>
      <c r="D70" s="80" t="s">
        <v>73</v>
      </c>
      <c r="E70" s="80" t="s">
        <v>74</v>
      </c>
      <c r="F70" s="81" t="s">
        <v>75</v>
      </c>
      <c r="G70" s="80" t="s">
        <v>76</v>
      </c>
      <c r="I70" s="113" t="s">
        <v>707</v>
      </c>
      <c r="J70" s="115">
        <v>183.1</v>
      </c>
      <c r="K70" s="115">
        <v>3557.82</v>
      </c>
      <c r="L70" s="115">
        <v>3923.51</v>
      </c>
      <c r="M70" s="113">
        <f>+J70+L70-K70</f>
        <v>548.79000000000042</v>
      </c>
    </row>
    <row r="71" spans="1:14" s="70" customFormat="1" x14ac:dyDescent="0.2">
      <c r="A71" s="24"/>
      <c r="B71" s="1"/>
      <c r="C71" s="50" t="s">
        <v>444</v>
      </c>
      <c r="D71" s="55">
        <f>+L69+L70+J70</f>
        <v>5075.6000000000004</v>
      </c>
      <c r="E71" s="55">
        <f>+K69+K70</f>
        <v>4526.8100000000004</v>
      </c>
      <c r="F71" s="55">
        <f>+D71-E71</f>
        <v>548.79</v>
      </c>
      <c r="G71" s="55">
        <f>1500-F71</f>
        <v>951.21</v>
      </c>
      <c r="I71" s="113" t="s">
        <v>708</v>
      </c>
      <c r="J71" s="115">
        <v>1371.02</v>
      </c>
      <c r="K71" s="115">
        <v>14187.54</v>
      </c>
      <c r="L71" s="115">
        <v>13642.64</v>
      </c>
      <c r="M71" s="113">
        <f>+J71+L71-K71</f>
        <v>826.11999999999898</v>
      </c>
    </row>
    <row r="72" spans="1:14" s="70" customFormat="1" ht="12.75" customHeight="1" x14ac:dyDescent="0.2">
      <c r="A72" s="24"/>
      <c r="B72" s="1"/>
      <c r="C72" s="50" t="s">
        <v>71</v>
      </c>
      <c r="D72" s="55">
        <f>+J71+L71</f>
        <v>15013.66</v>
      </c>
      <c r="E72" s="55">
        <f>+K71</f>
        <v>14187.54</v>
      </c>
      <c r="F72" s="55">
        <f>+D72-E72</f>
        <v>826.11999999999898</v>
      </c>
      <c r="G72" s="55">
        <f>1500+700-F72</f>
        <v>1373.880000000001</v>
      </c>
      <c r="I72" s="2"/>
      <c r="J72" s="118">
        <f>SUM(J69:J71)</f>
        <v>1554.12</v>
      </c>
      <c r="K72" s="118">
        <f>SUM(K69:K71)</f>
        <v>18714.350000000002</v>
      </c>
      <c r="L72" s="118">
        <f>SUM(L69:L71)</f>
        <v>18535.14</v>
      </c>
      <c r="M72" s="118">
        <f>SUM(M69:M71)</f>
        <v>1374.9099999999994</v>
      </c>
    </row>
    <row r="73" spans="1:14" s="70" customFormat="1" ht="12.75" customHeight="1" x14ac:dyDescent="0.2">
      <c r="A73" s="24"/>
      <c r="B73" s="1"/>
      <c r="C73" s="14"/>
      <c r="D73" s="56"/>
      <c r="E73" s="13"/>
      <c r="F73" s="2"/>
      <c r="G73" s="30"/>
    </row>
    <row r="74" spans="1:14" s="70" customFormat="1" ht="12.75" customHeight="1" x14ac:dyDescent="0.2">
      <c r="A74" s="215" t="s">
        <v>80</v>
      </c>
      <c r="B74" s="216"/>
      <c r="C74" s="216"/>
      <c r="D74" s="217"/>
      <c r="E74" s="69"/>
      <c r="G74" s="30"/>
    </row>
    <row r="75" spans="1:14" s="70" customFormat="1" ht="12.75" customHeight="1" x14ac:dyDescent="0.2">
      <c r="A75" s="71" t="s">
        <v>81</v>
      </c>
      <c r="B75" s="71"/>
      <c r="C75" s="72" t="s">
        <v>82</v>
      </c>
      <c r="D75" s="73" t="s">
        <v>83</v>
      </c>
      <c r="E75" s="69"/>
      <c r="G75" s="30"/>
    </row>
    <row r="76" spans="1:14" s="70" customFormat="1" ht="12.75" customHeight="1" x14ac:dyDescent="0.2">
      <c r="A76" s="87">
        <v>45170</v>
      </c>
      <c r="B76" s="120" t="s">
        <v>1052</v>
      </c>
      <c r="C76" s="75" t="s">
        <v>270</v>
      </c>
      <c r="D76" s="88">
        <v>117174</v>
      </c>
      <c r="E76" s="2"/>
      <c r="F76" s="2"/>
      <c r="G76" s="30"/>
      <c r="H76" s="2"/>
      <c r="I76" s="2"/>
      <c r="J76" s="2"/>
      <c r="K76" s="2"/>
      <c r="L76" s="41"/>
      <c r="M76" s="42"/>
      <c r="N76" s="2"/>
    </row>
    <row r="77" spans="1:14" s="70" customFormat="1" ht="12.75" customHeight="1" x14ac:dyDescent="0.2">
      <c r="A77" s="87">
        <v>45171</v>
      </c>
      <c r="B77" s="120" t="s">
        <v>1052</v>
      </c>
      <c r="C77" s="75" t="s">
        <v>767</v>
      </c>
      <c r="D77" s="88">
        <v>278761</v>
      </c>
      <c r="E77" s="2"/>
      <c r="F77" s="2"/>
      <c r="G77" s="30"/>
      <c r="H77" s="2"/>
      <c r="I77" s="2"/>
      <c r="J77" s="1"/>
      <c r="K77" s="1"/>
      <c r="L77" s="1"/>
      <c r="M77" s="1"/>
      <c r="N77" s="2"/>
    </row>
    <row r="78" spans="1:14" s="70" customFormat="1" ht="12.75" customHeight="1" x14ac:dyDescent="0.2">
      <c r="A78" s="87">
        <v>45171</v>
      </c>
      <c r="B78" s="120" t="s">
        <v>1052</v>
      </c>
      <c r="C78" s="75" t="s">
        <v>201</v>
      </c>
      <c r="D78" s="88">
        <v>3500391.21</v>
      </c>
      <c r="E78" s="2"/>
      <c r="F78" s="2"/>
      <c r="G78" s="30"/>
      <c r="H78" s="2"/>
      <c r="I78" s="2"/>
      <c r="J78" s="2"/>
      <c r="K78" s="2"/>
      <c r="L78" s="13"/>
      <c r="M78" s="69" t="s">
        <v>396</v>
      </c>
      <c r="N78" s="2"/>
    </row>
    <row r="79" spans="1:14" s="2" customFormat="1" ht="12.75" customHeight="1" x14ac:dyDescent="0.2">
      <c r="A79" s="87">
        <v>45173</v>
      </c>
      <c r="B79" s="120" t="s">
        <v>1052</v>
      </c>
      <c r="C79" s="75" t="s">
        <v>1478</v>
      </c>
      <c r="D79" s="88">
        <v>22763</v>
      </c>
      <c r="G79" s="30"/>
      <c r="N79" s="1"/>
    </row>
    <row r="80" spans="1:14" s="2" customFormat="1" ht="12.75" customHeight="1" x14ac:dyDescent="0.2">
      <c r="A80" s="87">
        <v>45173</v>
      </c>
      <c r="B80" s="120" t="s">
        <v>1052</v>
      </c>
      <c r="C80" s="75" t="s">
        <v>1478</v>
      </c>
      <c r="D80" s="88">
        <v>1786258</v>
      </c>
      <c r="G80" s="1"/>
      <c r="M80" s="2" t="s">
        <v>396</v>
      </c>
      <c r="N80" s="1"/>
    </row>
    <row r="81" spans="1:14" s="2" customFormat="1" ht="12.75" customHeight="1" x14ac:dyDescent="0.2">
      <c r="A81" s="87">
        <v>45173</v>
      </c>
      <c r="B81" s="120" t="s">
        <v>1052</v>
      </c>
      <c r="C81" s="75" t="s">
        <v>1478</v>
      </c>
      <c r="D81" s="88">
        <v>1329469</v>
      </c>
      <c r="I81" s="1"/>
      <c r="J81" s="1"/>
      <c r="K81" s="1"/>
    </row>
    <row r="82" spans="1:14" s="2" customFormat="1" ht="12.75" customHeight="1" x14ac:dyDescent="0.2">
      <c r="A82" s="87">
        <v>45175</v>
      </c>
      <c r="B82" s="120" t="s">
        <v>1052</v>
      </c>
      <c r="C82" s="75" t="s">
        <v>784</v>
      </c>
      <c r="D82" s="88">
        <v>673560</v>
      </c>
      <c r="G82" s="1"/>
    </row>
    <row r="83" spans="1:14" s="2" customFormat="1" x14ac:dyDescent="0.2">
      <c r="A83" s="87">
        <v>45175</v>
      </c>
      <c r="B83" s="120" t="s">
        <v>1052</v>
      </c>
      <c r="C83" s="75" t="s">
        <v>784</v>
      </c>
      <c r="D83" s="88">
        <v>700391</v>
      </c>
      <c r="G83" s="1"/>
      <c r="N83" s="2" t="s">
        <v>535</v>
      </c>
    </row>
    <row r="84" spans="1:14" x14ac:dyDescent="0.2">
      <c r="A84" s="87">
        <v>45175</v>
      </c>
      <c r="B84" s="120" t="s">
        <v>1052</v>
      </c>
      <c r="C84" s="75" t="s">
        <v>84</v>
      </c>
      <c r="D84" s="88">
        <v>1000000</v>
      </c>
      <c r="I84" s="2"/>
      <c r="J84" s="2"/>
      <c r="K84" s="2"/>
      <c r="L84" s="2"/>
      <c r="M84" s="2"/>
      <c r="N84" s="2"/>
    </row>
    <row r="85" spans="1:14" x14ac:dyDescent="0.2">
      <c r="A85" s="87">
        <v>45176</v>
      </c>
      <c r="B85" s="120" t="s">
        <v>1052</v>
      </c>
      <c r="C85" s="75" t="s">
        <v>85</v>
      </c>
      <c r="D85" s="88">
        <v>565814</v>
      </c>
      <c r="I85" s="2"/>
      <c r="J85" s="2"/>
      <c r="K85" s="2"/>
      <c r="L85" s="2"/>
      <c r="M85" s="2"/>
      <c r="N85" s="2"/>
    </row>
    <row r="86" spans="1:14" s="2" customFormat="1" x14ac:dyDescent="0.2">
      <c r="A86" s="87">
        <v>45176</v>
      </c>
      <c r="B86" s="120" t="s">
        <v>1052</v>
      </c>
      <c r="C86" s="75" t="s">
        <v>271</v>
      </c>
      <c r="D86" s="88">
        <v>1691421</v>
      </c>
      <c r="G86" s="1"/>
    </row>
    <row r="87" spans="1:14" s="2" customFormat="1" x14ac:dyDescent="0.2">
      <c r="A87" s="87">
        <v>45177</v>
      </c>
      <c r="B87" s="120" t="s">
        <v>1052</v>
      </c>
      <c r="C87" s="75" t="s">
        <v>85</v>
      </c>
      <c r="D87" s="88">
        <v>432581</v>
      </c>
    </row>
    <row r="88" spans="1:14" s="2" customFormat="1" x14ac:dyDescent="0.2">
      <c r="A88" s="87">
        <v>45177</v>
      </c>
      <c r="B88" s="120" t="s">
        <v>1052</v>
      </c>
      <c r="C88" s="75" t="s">
        <v>1521</v>
      </c>
      <c r="D88" s="88">
        <v>1198155</v>
      </c>
    </row>
    <row r="89" spans="1:14" s="2" customFormat="1" x14ac:dyDescent="0.2">
      <c r="A89" s="87">
        <v>45180</v>
      </c>
      <c r="B89" s="120" t="s">
        <v>1052</v>
      </c>
      <c r="C89" s="75" t="s">
        <v>784</v>
      </c>
      <c r="D89" s="88">
        <v>279127</v>
      </c>
    </row>
    <row r="90" spans="1:14" s="2" customFormat="1" x14ac:dyDescent="0.2">
      <c r="A90" s="87">
        <v>45180</v>
      </c>
      <c r="B90" s="120" t="s">
        <v>1052</v>
      </c>
      <c r="C90" s="75" t="s">
        <v>270</v>
      </c>
      <c r="D90" s="88">
        <v>30842</v>
      </c>
    </row>
    <row r="91" spans="1:14" s="2" customFormat="1" x14ac:dyDescent="0.2">
      <c r="A91" s="87">
        <v>45180</v>
      </c>
      <c r="B91" s="120" t="s">
        <v>1052</v>
      </c>
      <c r="C91" s="75" t="s">
        <v>271</v>
      </c>
      <c r="D91" s="88">
        <v>701813</v>
      </c>
      <c r="G91" s="1"/>
    </row>
    <row r="92" spans="1:14" s="2" customFormat="1" x14ac:dyDescent="0.2">
      <c r="A92" s="87">
        <v>45180</v>
      </c>
      <c r="B92" s="120" t="s">
        <v>1052</v>
      </c>
      <c r="C92" s="75" t="s">
        <v>271</v>
      </c>
      <c r="D92" s="88">
        <v>189083</v>
      </c>
      <c r="G92" s="1"/>
    </row>
    <row r="93" spans="1:14" s="2" customFormat="1" x14ac:dyDescent="0.2">
      <c r="A93" s="87">
        <v>45180</v>
      </c>
      <c r="B93" s="120" t="s">
        <v>1052</v>
      </c>
      <c r="C93" s="75" t="s">
        <v>271</v>
      </c>
      <c r="D93" s="88">
        <v>2019</v>
      </c>
      <c r="G93" s="1"/>
    </row>
    <row r="94" spans="1:14" s="2" customFormat="1" x14ac:dyDescent="0.2">
      <c r="A94" s="87">
        <v>45182</v>
      </c>
      <c r="B94" s="120" t="s">
        <v>1052</v>
      </c>
      <c r="C94" s="75" t="s">
        <v>467</v>
      </c>
      <c r="D94" s="88">
        <v>3314639</v>
      </c>
      <c r="G94" s="1"/>
    </row>
    <row r="95" spans="1:14" s="2" customFormat="1" x14ac:dyDescent="0.2">
      <c r="A95" s="87">
        <v>45183</v>
      </c>
      <c r="B95" s="120" t="s">
        <v>1052</v>
      </c>
      <c r="C95" s="75" t="s">
        <v>784</v>
      </c>
      <c r="D95" s="88">
        <v>665398</v>
      </c>
      <c r="G95" s="1"/>
    </row>
    <row r="96" spans="1:14" s="2" customFormat="1" x14ac:dyDescent="0.2">
      <c r="A96" s="87">
        <v>45184</v>
      </c>
      <c r="B96" s="120" t="s">
        <v>1052</v>
      </c>
      <c r="C96" s="75" t="s">
        <v>784</v>
      </c>
      <c r="D96" s="88">
        <v>669733</v>
      </c>
      <c r="G96" s="1"/>
    </row>
    <row r="97" spans="1:8" s="2" customFormat="1" x14ac:dyDescent="0.2">
      <c r="A97" s="87">
        <v>45184</v>
      </c>
      <c r="B97" s="120" t="s">
        <v>1052</v>
      </c>
      <c r="C97" s="75" t="s">
        <v>270</v>
      </c>
      <c r="D97" s="88">
        <v>6923</v>
      </c>
      <c r="G97" s="1"/>
    </row>
    <row r="98" spans="1:8" s="2" customFormat="1" x14ac:dyDescent="0.2">
      <c r="A98" s="87">
        <v>45184</v>
      </c>
      <c r="B98" s="120" t="s">
        <v>1052</v>
      </c>
      <c r="C98" s="75" t="s">
        <v>84</v>
      </c>
      <c r="D98" s="88">
        <v>1092413</v>
      </c>
      <c r="G98" s="1"/>
    </row>
    <row r="99" spans="1:8" s="2" customFormat="1" x14ac:dyDescent="0.2">
      <c r="A99" s="87">
        <v>45184</v>
      </c>
      <c r="B99" s="120" t="s">
        <v>1052</v>
      </c>
      <c r="C99" s="75" t="s">
        <v>270</v>
      </c>
      <c r="D99" s="88">
        <v>273422</v>
      </c>
      <c r="G99" s="1"/>
    </row>
    <row r="100" spans="1:8" s="2" customFormat="1" x14ac:dyDescent="0.2">
      <c r="A100" s="87">
        <v>45185</v>
      </c>
      <c r="B100" s="120" t="s">
        <v>1052</v>
      </c>
      <c r="C100" s="75" t="s">
        <v>85</v>
      </c>
      <c r="D100" s="88">
        <v>389967</v>
      </c>
      <c r="G100" s="1"/>
    </row>
    <row r="101" spans="1:8" s="2" customFormat="1" x14ac:dyDescent="0.2">
      <c r="A101" s="87">
        <v>45185</v>
      </c>
      <c r="B101" s="120" t="s">
        <v>1052</v>
      </c>
      <c r="C101" s="75" t="s">
        <v>87</v>
      </c>
      <c r="D101" s="88">
        <v>887666</v>
      </c>
      <c r="G101" s="1"/>
    </row>
    <row r="102" spans="1:8" s="2" customFormat="1" x14ac:dyDescent="0.2">
      <c r="A102" s="87">
        <v>45187</v>
      </c>
      <c r="B102" s="120" t="s">
        <v>1052</v>
      </c>
      <c r="C102" s="75" t="s">
        <v>784</v>
      </c>
      <c r="D102" s="88">
        <v>702770</v>
      </c>
      <c r="G102" s="1"/>
    </row>
    <row r="103" spans="1:8" s="2" customFormat="1" x14ac:dyDescent="0.2">
      <c r="A103" s="87">
        <v>45187</v>
      </c>
      <c r="B103" s="120" t="s">
        <v>1052</v>
      </c>
      <c r="C103" s="75" t="s">
        <v>1552</v>
      </c>
      <c r="D103" s="88">
        <v>986729.07</v>
      </c>
      <c r="G103" s="1"/>
    </row>
    <row r="104" spans="1:8" s="2" customFormat="1" x14ac:dyDescent="0.2">
      <c r="A104" s="87">
        <v>45189</v>
      </c>
      <c r="B104" s="120" t="s">
        <v>1052</v>
      </c>
      <c r="C104" s="75" t="s">
        <v>767</v>
      </c>
      <c r="D104" s="88">
        <v>140000</v>
      </c>
      <c r="G104" s="1"/>
    </row>
    <row r="105" spans="1:8" s="2" customFormat="1" x14ac:dyDescent="0.2">
      <c r="A105" s="87">
        <v>45189</v>
      </c>
      <c r="B105" s="120" t="s">
        <v>1052</v>
      </c>
      <c r="C105" s="75" t="s">
        <v>271</v>
      </c>
      <c r="D105" s="88">
        <v>17256</v>
      </c>
      <c r="G105" s="1"/>
    </row>
    <row r="106" spans="1:8" s="2" customFormat="1" x14ac:dyDescent="0.2">
      <c r="A106" s="87"/>
      <c r="B106" s="74"/>
      <c r="C106" s="75"/>
      <c r="D106" s="51">
        <f>SUM(D76:D105)</f>
        <v>23646538.280000001</v>
      </c>
      <c r="F106" s="2" t="s">
        <v>396</v>
      </c>
      <c r="G106" s="1"/>
    </row>
    <row r="107" spans="1:8" s="2" customFormat="1" x14ac:dyDescent="0.2">
      <c r="A107" s="24"/>
      <c r="B107" s="1"/>
      <c r="C107" s="14"/>
      <c r="D107" s="56"/>
      <c r="E107" s="13"/>
      <c r="G107" s="1"/>
    </row>
    <row r="108" spans="1:8" s="2" customFormat="1" x14ac:dyDescent="0.2">
      <c r="A108" s="24"/>
      <c r="B108" s="1"/>
      <c r="C108" s="218" t="s">
        <v>77</v>
      </c>
      <c r="D108" s="219"/>
      <c r="E108" s="219"/>
      <c r="F108" s="220"/>
      <c r="H108" s="2" t="s">
        <v>396</v>
      </c>
    </row>
    <row r="109" spans="1:8" s="2" customFormat="1" x14ac:dyDescent="0.2">
      <c r="A109" s="24"/>
      <c r="B109" s="1"/>
      <c r="C109" s="50"/>
      <c r="D109" s="57" t="s">
        <v>78</v>
      </c>
      <c r="E109" s="58" t="s">
        <v>79</v>
      </c>
      <c r="F109" s="57" t="s">
        <v>72</v>
      </c>
      <c r="H109" s="2" t="s">
        <v>396</v>
      </c>
    </row>
    <row r="110" spans="1:8" s="2" customFormat="1" x14ac:dyDescent="0.2">
      <c r="A110" s="24"/>
      <c r="B110" s="1"/>
      <c r="C110" s="59" t="str">
        <f>"01-09-2023 to "&amp;TEXT(A5-2,"dd-mm-yyyy")</f>
        <v>01-09-2023 to 19-09-2023</v>
      </c>
      <c r="D110" s="60">
        <v>1576.28</v>
      </c>
      <c r="E110" s="60">
        <v>166.99</v>
      </c>
      <c r="F110" s="61">
        <f>SUM(D110:E110)</f>
        <v>1743.27</v>
      </c>
    </row>
    <row r="111" spans="1:8" s="2" customFormat="1" x14ac:dyDescent="0.2">
      <c r="A111" s="24"/>
      <c r="B111" s="1"/>
      <c r="C111" s="62" t="str">
        <f>TEXT(A5-1,"dd-mm-yyyy")</f>
        <v>20-09-2023</v>
      </c>
      <c r="D111" s="60">
        <v>81.36</v>
      </c>
      <c r="E111" s="60">
        <v>7.27</v>
      </c>
      <c r="F111" s="61">
        <f>SUM(D111:E111)</f>
        <v>88.63</v>
      </c>
      <c r="G111" s="1"/>
      <c r="H111" s="53"/>
    </row>
    <row r="112" spans="1:8" s="2" customFormat="1" ht="13.5" thickBot="1" x14ac:dyDescent="0.25">
      <c r="A112" s="24"/>
      <c r="B112" s="1"/>
      <c r="C112" s="63" t="str">
        <f>"01-09-2023 to "&amp;TEXT(A5-1,"dd-mm-yyyy")</f>
        <v>01-09-2023 to 20-09-2023</v>
      </c>
      <c r="D112" s="64">
        <f>SUM(D110:D111)</f>
        <v>1657.6399999999999</v>
      </c>
      <c r="E112" s="64">
        <f>SUM(E110:E111)</f>
        <v>174.26000000000002</v>
      </c>
      <c r="F112" s="64">
        <f>SUM(F110:F111)</f>
        <v>1831.9</v>
      </c>
      <c r="G112" s="1"/>
      <c r="H112" s="53"/>
    </row>
    <row r="113" spans="1:13" s="2" customFormat="1" ht="13.5" thickTop="1" x14ac:dyDescent="0.2">
      <c r="A113" s="24"/>
      <c r="B113" s="1"/>
      <c r="C113" s="62"/>
      <c r="D113" s="65"/>
      <c r="E113" s="66"/>
      <c r="F113" s="67"/>
      <c r="L113" s="1"/>
      <c r="M113" s="1"/>
    </row>
    <row r="114" spans="1:13" s="2" customFormat="1" x14ac:dyDescent="0.2">
      <c r="A114" s="24"/>
      <c r="B114" s="1"/>
      <c r="C114" s="62" t="str">
        <f>"01-04-2023 to " &amp;C111</f>
        <v>01-04-2023 to 20-09-2023</v>
      </c>
      <c r="D114" s="68">
        <f>+D112+24261.33</f>
        <v>25918.97</v>
      </c>
      <c r="E114" s="68">
        <f>+E112+1685.25</f>
        <v>1859.51</v>
      </c>
      <c r="F114" s="68">
        <f>+F112+25946.58</f>
        <v>27778.480000000003</v>
      </c>
      <c r="G114" s="1"/>
      <c r="L114" s="1"/>
      <c r="M114" s="1"/>
    </row>
    <row r="115" spans="1:13" s="2" customFormat="1" x14ac:dyDescent="0.2">
      <c r="A115" s="24"/>
      <c r="B115" s="1"/>
      <c r="C115" s="52"/>
      <c r="D115" s="85"/>
      <c r="E115" s="53"/>
      <c r="F115" s="53"/>
      <c r="G115" s="1"/>
      <c r="L115" s="1"/>
      <c r="M115" s="1"/>
    </row>
    <row r="116" spans="1:13" s="2" customFormat="1" x14ac:dyDescent="0.2">
      <c r="A116" s="24"/>
      <c r="B116" s="1"/>
      <c r="C116" s="52"/>
      <c r="D116" s="85"/>
      <c r="E116" s="53"/>
      <c r="F116" s="53"/>
      <c r="G116" s="1"/>
      <c r="L116" s="1"/>
      <c r="M116" s="1"/>
    </row>
    <row r="117" spans="1:13" s="2" customFormat="1" x14ac:dyDescent="0.2">
      <c r="A117" s="24"/>
      <c r="B117" s="1"/>
      <c r="C117" s="52"/>
      <c r="D117" s="85"/>
      <c r="E117" s="53"/>
      <c r="F117" s="53"/>
      <c r="G117" s="1"/>
      <c r="L117" s="1"/>
      <c r="M117" s="1"/>
    </row>
    <row r="118" spans="1:13" s="2" customFormat="1" x14ac:dyDescent="0.2">
      <c r="A118" s="24"/>
      <c r="B118" s="1"/>
      <c r="C118" s="52"/>
      <c r="D118" s="85"/>
      <c r="E118" s="53"/>
      <c r="F118" s="53"/>
      <c r="G118" s="1"/>
      <c r="L118" s="1"/>
      <c r="M118" s="1"/>
    </row>
    <row r="119" spans="1:13" s="2" customFormat="1" x14ac:dyDescent="0.2">
      <c r="A119" s="24"/>
      <c r="B119" s="1"/>
      <c r="C119" s="14"/>
      <c r="D119" s="25"/>
      <c r="G119" s="1"/>
      <c r="L119" s="1"/>
      <c r="M119" s="1"/>
    </row>
    <row r="120" spans="1:13" s="2" customFormat="1" x14ac:dyDescent="0.2">
      <c r="A120" s="24"/>
      <c r="B120" s="1"/>
      <c r="C120" s="14"/>
      <c r="D120" s="25"/>
      <c r="G120" s="1"/>
      <c r="L120" s="1"/>
      <c r="M120" s="1"/>
    </row>
    <row r="121" spans="1:13" s="2" customFormat="1" x14ac:dyDescent="0.2">
      <c r="A121" s="24"/>
      <c r="B121" s="1"/>
      <c r="C121" s="14"/>
      <c r="D121" s="25"/>
      <c r="G121" s="1"/>
      <c r="L121" s="1"/>
      <c r="M121" s="1"/>
    </row>
    <row r="122" spans="1:13" s="2" customFormat="1" x14ac:dyDescent="0.2">
      <c r="A122" s="24"/>
      <c r="B122" s="1"/>
      <c r="C122" s="14"/>
      <c r="D122" s="25"/>
      <c r="G122" s="1"/>
      <c r="L122" s="1"/>
      <c r="M122" s="1"/>
    </row>
    <row r="123" spans="1:13" s="2" customFormat="1" x14ac:dyDescent="0.2">
      <c r="A123" s="24"/>
      <c r="B123" s="1"/>
      <c r="C123" s="14"/>
      <c r="D123" s="25"/>
      <c r="G123" s="1"/>
      <c r="L123" s="1"/>
      <c r="M123" s="1"/>
    </row>
    <row r="124" spans="1:13" s="2" customFormat="1" x14ac:dyDescent="0.2">
      <c r="A124" s="24"/>
      <c r="B124" s="1"/>
      <c r="C124" s="14"/>
      <c r="D124" s="25"/>
      <c r="G124" s="1"/>
      <c r="L124" s="1"/>
      <c r="M124" s="1"/>
    </row>
    <row r="125" spans="1:13" s="2" customFormat="1" x14ac:dyDescent="0.2">
      <c r="A125" s="24"/>
      <c r="B125" s="1"/>
      <c r="C125" s="14"/>
      <c r="D125" s="25"/>
      <c r="G125" s="1"/>
      <c r="L125" s="1"/>
      <c r="M125" s="1"/>
    </row>
    <row r="126" spans="1:13" s="2" customFormat="1" x14ac:dyDescent="0.2">
      <c r="A126" s="24"/>
      <c r="B126" s="1"/>
      <c r="C126" s="14"/>
      <c r="D126" s="25"/>
      <c r="G126" s="1"/>
      <c r="L126" s="1"/>
      <c r="M126" s="1"/>
    </row>
    <row r="127" spans="1:13" s="2" customFormat="1" x14ac:dyDescent="0.2">
      <c r="A127" s="24"/>
      <c r="B127" s="1"/>
      <c r="C127" s="14"/>
      <c r="D127" s="25"/>
      <c r="G127" s="1"/>
      <c r="L127" s="1"/>
      <c r="M127" s="1"/>
    </row>
    <row r="128" spans="1:13" s="2" customFormat="1" x14ac:dyDescent="0.2">
      <c r="A128" s="24"/>
      <c r="B128" s="1"/>
      <c r="C128" s="14"/>
      <c r="D128" s="25"/>
      <c r="G128" s="1"/>
      <c r="L128" s="1"/>
      <c r="M128" s="1"/>
    </row>
    <row r="129" spans="1:14" s="2" customFormat="1" x14ac:dyDescent="0.2">
      <c r="A129" s="24"/>
      <c r="B129" s="1"/>
      <c r="C129" s="14"/>
      <c r="D129" s="25"/>
      <c r="G129" s="1"/>
      <c r="L129" s="1"/>
      <c r="M129" s="1"/>
    </row>
    <row r="130" spans="1:14" s="2" customFormat="1" x14ac:dyDescent="0.2">
      <c r="A130" s="24"/>
      <c r="B130" s="1"/>
      <c r="C130" s="14"/>
      <c r="D130" s="25"/>
      <c r="G130" s="1"/>
      <c r="L130" s="1"/>
      <c r="M130" s="1"/>
    </row>
    <row r="131" spans="1:14" s="2" customFormat="1" x14ac:dyDescent="0.2">
      <c r="A131" s="24"/>
      <c r="B131" s="1"/>
      <c r="C131" s="14"/>
      <c r="D131" s="25"/>
      <c r="G131" s="1"/>
      <c r="L131" s="1"/>
      <c r="M131" s="1"/>
    </row>
    <row r="132" spans="1:14" s="2" customFormat="1" x14ac:dyDescent="0.2">
      <c r="A132" s="24"/>
      <c r="B132" s="1"/>
      <c r="C132" s="14"/>
      <c r="D132" s="25"/>
      <c r="G132" s="1"/>
      <c r="L132" s="1"/>
      <c r="M132" s="1"/>
    </row>
    <row r="133" spans="1:14" s="2" customFormat="1" x14ac:dyDescent="0.2">
      <c r="A133" s="24"/>
      <c r="B133" s="1"/>
      <c r="C133" s="14"/>
      <c r="D133" s="25"/>
      <c r="G133" s="1"/>
      <c r="I133" s="1"/>
      <c r="J133" s="1"/>
      <c r="K133" s="1"/>
      <c r="L133" s="1"/>
      <c r="M133" s="1"/>
    </row>
    <row r="134" spans="1:14" s="2" customFormat="1" x14ac:dyDescent="0.2">
      <c r="A134" s="24"/>
      <c r="B134" s="1"/>
      <c r="C134" s="14"/>
      <c r="D134" s="25"/>
      <c r="G134" s="1"/>
    </row>
    <row r="135" spans="1:14" s="2" customFormat="1" x14ac:dyDescent="0.2">
      <c r="A135" s="24"/>
      <c r="B135" s="1"/>
      <c r="C135" s="14"/>
      <c r="D135" s="25"/>
      <c r="G135" s="1"/>
      <c r="I135" s="1"/>
      <c r="J135" s="1"/>
      <c r="K135" s="1"/>
      <c r="L135" s="1"/>
      <c r="M135" s="1"/>
    </row>
    <row r="136" spans="1:14" s="2" customFormat="1" x14ac:dyDescent="0.2">
      <c r="A136" s="24"/>
      <c r="B136" s="1"/>
      <c r="C136" s="14"/>
      <c r="D136" s="25"/>
      <c r="G136" s="54"/>
      <c r="I136" s="1"/>
      <c r="J136" s="1"/>
      <c r="K136" s="1"/>
      <c r="L136" s="1"/>
      <c r="M136" s="1"/>
    </row>
    <row r="137" spans="1:14" s="2" customFormat="1" x14ac:dyDescent="0.2">
      <c r="A137" s="24"/>
      <c r="B137" s="1"/>
      <c r="C137" s="14"/>
      <c r="D137" s="25"/>
      <c r="G137" s="54"/>
      <c r="I137" s="1"/>
      <c r="J137" s="1"/>
      <c r="K137" s="1"/>
      <c r="L137" s="1"/>
      <c r="M137" s="1"/>
    </row>
    <row r="138" spans="1:14" s="2" customFormat="1" x14ac:dyDescent="0.2">
      <c r="A138" s="24"/>
      <c r="B138" s="1"/>
      <c r="C138" s="14"/>
      <c r="D138" s="25"/>
      <c r="G138" s="54"/>
      <c r="I138" s="1"/>
      <c r="J138" s="1"/>
      <c r="K138" s="1"/>
      <c r="L138" s="1"/>
      <c r="M138" s="1"/>
    </row>
    <row r="139" spans="1:14" s="2" customFormat="1" x14ac:dyDescent="0.2">
      <c r="A139" s="24"/>
      <c r="B139" s="1"/>
      <c r="C139" s="14"/>
      <c r="D139" s="25"/>
      <c r="G139" s="54"/>
      <c r="H139" s="2" t="s">
        <v>396</v>
      </c>
      <c r="I139" s="1"/>
      <c r="J139" s="1"/>
      <c r="K139" s="1"/>
      <c r="L139" s="1"/>
      <c r="M139" s="1"/>
      <c r="N139" s="1"/>
    </row>
    <row r="140" spans="1:14" s="2" customFormat="1" x14ac:dyDescent="0.2">
      <c r="A140" s="24"/>
      <c r="B140" s="1"/>
      <c r="C140" s="14"/>
      <c r="D140" s="25"/>
      <c r="G140" s="54"/>
      <c r="H140" s="53"/>
    </row>
    <row r="141" spans="1:14" s="2" customFormat="1" x14ac:dyDescent="0.2">
      <c r="A141" s="24"/>
      <c r="B141" s="1"/>
      <c r="C141" s="14"/>
      <c r="D141" s="25"/>
      <c r="G141" s="54"/>
      <c r="H141" s="53" t="s">
        <v>396</v>
      </c>
      <c r="I141" s="1"/>
      <c r="J141" s="1"/>
      <c r="K141" s="1"/>
      <c r="L141" s="1"/>
      <c r="M141" s="1"/>
      <c r="N141" s="1"/>
    </row>
    <row r="142" spans="1:14" x14ac:dyDescent="0.2">
      <c r="G142" s="54"/>
      <c r="H142" s="53" t="s">
        <v>396</v>
      </c>
      <c r="J142" s="42"/>
    </row>
    <row r="143" spans="1:14" s="2" customFormat="1" x14ac:dyDescent="0.2">
      <c r="A143" s="24"/>
      <c r="B143" s="1"/>
      <c r="C143" s="14"/>
      <c r="D143" s="25"/>
      <c r="G143" s="54"/>
      <c r="H143" s="53"/>
      <c r="I143" s="101"/>
      <c r="J143" s="1"/>
      <c r="K143" s="1"/>
      <c r="L143" s="1"/>
      <c r="M143" s="1"/>
      <c r="N143" s="1"/>
    </row>
    <row r="144" spans="1:14" x14ac:dyDescent="0.2">
      <c r="G144" s="54"/>
      <c r="H144" s="53"/>
    </row>
    <row r="145" spans="7:8" x14ac:dyDescent="0.2">
      <c r="G145" s="54"/>
      <c r="H145" s="53"/>
    </row>
    <row r="146" spans="7:8" x14ac:dyDescent="0.2">
      <c r="G146" s="54"/>
      <c r="H146" s="53"/>
    </row>
  </sheetData>
  <sheetProtection insertRows="0"/>
  <mergeCells count="6">
    <mergeCell ref="C108:F108"/>
    <mergeCell ref="A1:G1"/>
    <mergeCell ref="A3:F3"/>
    <mergeCell ref="A10:F10"/>
    <mergeCell ref="A21:F21"/>
    <mergeCell ref="A74:D74"/>
  </mergeCells>
  <conditionalFormatting sqref="G71:G72">
    <cfRule type="cellIs" dxfId="303" priority="1" operator="lessThan">
      <formula>0</formula>
    </cfRule>
  </conditionalFormatting>
  <conditionalFormatting sqref="C23">
    <cfRule type="duplicateValues" dxfId="302" priority="2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B00-000000000000}">
  <sheetPr codeName="Sheet435">
    <pageSetUpPr fitToPage="1"/>
  </sheetPr>
  <dimension ref="A1:N173"/>
  <sheetViews>
    <sheetView topLeftCell="A71" zoomScaleNormal="100" workbookViewId="0">
      <selection activeCell="E82" sqref="E82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1" ht="20.25" customHeight="1" x14ac:dyDescent="0.4">
      <c r="A1" s="212" t="s">
        <v>1570</v>
      </c>
      <c r="B1" s="212"/>
      <c r="C1" s="212"/>
      <c r="D1" s="212"/>
      <c r="E1" s="212"/>
      <c r="F1" s="212"/>
      <c r="G1" s="212"/>
      <c r="H1" s="112"/>
      <c r="I1" s="112"/>
    </row>
    <row r="2" spans="1:11" ht="12.75" customHeight="1" x14ac:dyDescent="0.4">
      <c r="H2" s="112"/>
      <c r="I2" s="112"/>
    </row>
    <row r="3" spans="1:11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1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1" s="2" customFormat="1" ht="14.25" customHeight="1" x14ac:dyDescent="0.4">
      <c r="A5" s="89">
        <v>45192</v>
      </c>
      <c r="B5" s="9" t="s">
        <v>6</v>
      </c>
      <c r="C5" s="10" t="s">
        <v>7</v>
      </c>
      <c r="D5" s="11"/>
      <c r="E5" s="12">
        <v>1229287.790000001</v>
      </c>
      <c r="F5" s="12"/>
      <c r="G5" s="1"/>
      <c r="H5" s="112"/>
      <c r="I5" s="112"/>
    </row>
    <row r="6" spans="1:11" s="2" customFormat="1" ht="14.25" customHeight="1" x14ac:dyDescent="0.4">
      <c r="A6" s="89">
        <v>45192</v>
      </c>
      <c r="B6" s="9" t="s">
        <v>11</v>
      </c>
      <c r="C6" s="10" t="s">
        <v>1571</v>
      </c>
      <c r="D6" s="11" t="s">
        <v>29</v>
      </c>
      <c r="E6" s="12"/>
      <c r="F6" s="12">
        <v>107798</v>
      </c>
      <c r="G6" s="1"/>
      <c r="H6" s="112"/>
      <c r="I6" s="112"/>
    </row>
    <row r="7" spans="1:11" s="2" customFormat="1" ht="12.75" customHeight="1" x14ac:dyDescent="0.4">
      <c r="D7" s="15" t="s">
        <v>8</v>
      </c>
      <c r="E7" s="16">
        <f>SUM(E5:E5)</f>
        <v>1229287.790000001</v>
      </c>
      <c r="F7" s="16">
        <f>SUM(F6)</f>
        <v>107798</v>
      </c>
      <c r="G7" s="1"/>
      <c r="H7" s="112"/>
      <c r="I7" s="112"/>
    </row>
    <row r="8" spans="1:11" s="2" customFormat="1" ht="12.75" customHeight="1" x14ac:dyDescent="0.4">
      <c r="A8" s="17"/>
      <c r="B8" s="18"/>
      <c r="C8" s="19" t="s">
        <v>9</v>
      </c>
      <c r="D8" s="20"/>
      <c r="E8" s="21">
        <f>+E7-F7</f>
        <v>1121489.790000001</v>
      </c>
      <c r="F8" s="22"/>
      <c r="G8" s="23"/>
      <c r="H8" s="112"/>
      <c r="I8" s="112"/>
      <c r="J8" s="13"/>
    </row>
    <row r="9" spans="1:11" ht="12.75" customHeight="1" x14ac:dyDescent="0.4">
      <c r="H9" s="112"/>
      <c r="I9" s="112"/>
    </row>
    <row r="10" spans="1:11" ht="18" customHeight="1" x14ac:dyDescent="0.4">
      <c r="A10" s="213" t="s">
        <v>1037</v>
      </c>
      <c r="B10" s="213"/>
      <c r="C10" s="213"/>
      <c r="D10" s="213"/>
      <c r="E10" s="213"/>
      <c r="F10" s="213"/>
      <c r="H10" s="112"/>
      <c r="I10" s="169">
        <v>90000000</v>
      </c>
      <c r="J10" s="169" t="s">
        <v>1508</v>
      </c>
    </row>
    <row r="11" spans="1:11" ht="12.75" customHeight="1" x14ac:dyDescent="0.4">
      <c r="A11" s="3" t="s">
        <v>1</v>
      </c>
      <c r="B11" s="4" t="s">
        <v>2</v>
      </c>
      <c r="C11" s="5"/>
      <c r="D11" s="6" t="s">
        <v>3</v>
      </c>
      <c r="E11" s="7" t="s">
        <v>4</v>
      </c>
      <c r="F11" s="7" t="s">
        <v>5</v>
      </c>
      <c r="H11" s="112"/>
      <c r="I11" s="169">
        <v>66840536.200000003</v>
      </c>
      <c r="J11" s="169" t="s">
        <v>1509</v>
      </c>
      <c r="K11" s="124"/>
    </row>
    <row r="12" spans="1:11" s="2" customFormat="1" ht="14.25" customHeight="1" x14ac:dyDescent="0.2">
      <c r="A12" s="89">
        <v>45192</v>
      </c>
      <c r="B12" s="9" t="s">
        <v>6</v>
      </c>
      <c r="C12" s="10" t="s">
        <v>7</v>
      </c>
      <c r="D12" s="11"/>
      <c r="F12" s="12">
        <v>86674425.290000007</v>
      </c>
      <c r="G12" s="1"/>
      <c r="H12" s="130" t="s">
        <v>396</v>
      </c>
      <c r="I12" s="169">
        <f>+I10-I11</f>
        <v>23159463.799999997</v>
      </c>
      <c r="J12" s="169" t="s">
        <v>712</v>
      </c>
      <c r="K12" s="165" t="s">
        <v>1512</v>
      </c>
    </row>
    <row r="13" spans="1:11" s="2" customFormat="1" ht="14.25" customHeight="1" x14ac:dyDescent="0.2">
      <c r="A13" s="89">
        <v>45192</v>
      </c>
      <c r="B13" s="9" t="s">
        <v>6</v>
      </c>
      <c r="C13" s="10" t="s">
        <v>1002</v>
      </c>
      <c r="D13" s="11" t="s">
        <v>13</v>
      </c>
      <c r="E13" s="2">
        <f>26929392.22+7443595</f>
        <v>34372987.219999999</v>
      </c>
      <c r="F13" s="12"/>
      <c r="G13" s="1"/>
      <c r="H13" s="130"/>
      <c r="I13" s="171"/>
      <c r="J13" s="171"/>
      <c r="K13" s="165"/>
    </row>
    <row r="14" spans="1:11" s="2" customFormat="1" ht="14.25" customHeight="1" x14ac:dyDescent="0.2">
      <c r="A14" s="89">
        <v>45192</v>
      </c>
      <c r="B14" s="9" t="s">
        <v>6</v>
      </c>
      <c r="C14" s="10" t="s">
        <v>220</v>
      </c>
      <c r="D14" s="11" t="s">
        <v>13</v>
      </c>
      <c r="E14" s="2">
        <v>3561190</v>
      </c>
      <c r="F14" s="12"/>
      <c r="G14" s="1"/>
      <c r="H14" s="130"/>
      <c r="I14" s="171"/>
      <c r="J14" s="171"/>
      <c r="K14" s="165"/>
    </row>
    <row r="15" spans="1:11" s="2" customFormat="1" ht="14.25" customHeight="1" x14ac:dyDescent="0.2">
      <c r="A15" s="89">
        <v>45192</v>
      </c>
      <c r="B15" s="9" t="s">
        <v>6</v>
      </c>
      <c r="C15" s="10" t="s">
        <v>201</v>
      </c>
      <c r="D15" s="11" t="s">
        <v>13</v>
      </c>
      <c r="E15" s="2">
        <v>1682711</v>
      </c>
      <c r="F15" s="12"/>
      <c r="G15" s="1"/>
      <c r="H15" s="130"/>
      <c r="I15" s="171"/>
      <c r="J15" s="171"/>
      <c r="K15" s="165"/>
    </row>
    <row r="16" spans="1:11" s="2" customFormat="1" ht="14.25" customHeight="1" x14ac:dyDescent="0.2">
      <c r="A16" s="89">
        <v>45192</v>
      </c>
      <c r="B16" s="9" t="s">
        <v>6</v>
      </c>
      <c r="C16" s="10" t="s">
        <v>1137</v>
      </c>
      <c r="D16" s="11" t="s">
        <v>13</v>
      </c>
      <c r="E16" s="2">
        <f>30736.33+22245.59</f>
        <v>52981.919999999998</v>
      </c>
      <c r="F16" s="12"/>
      <c r="G16" s="1"/>
      <c r="H16" s="130"/>
      <c r="I16" s="171"/>
      <c r="J16" s="171"/>
      <c r="K16" s="165"/>
    </row>
    <row r="17" spans="1:11" s="2" customFormat="1" ht="14.25" customHeight="1" x14ac:dyDescent="0.2">
      <c r="A17" s="89">
        <v>45192</v>
      </c>
      <c r="B17" s="9" t="s">
        <v>6</v>
      </c>
      <c r="C17" s="10" t="s">
        <v>1375</v>
      </c>
      <c r="D17" s="11" t="s">
        <v>13</v>
      </c>
      <c r="E17" s="2">
        <v>2655328</v>
      </c>
      <c r="F17" s="12"/>
      <c r="G17" s="1"/>
      <c r="H17" s="130"/>
      <c r="I17" s="171"/>
      <c r="J17" s="171"/>
      <c r="K17" s="165"/>
    </row>
    <row r="18" spans="1:11" s="2" customFormat="1" ht="14.25" customHeight="1" x14ac:dyDescent="0.2">
      <c r="A18" s="89">
        <v>45192</v>
      </c>
      <c r="B18" s="9" t="s">
        <v>6</v>
      </c>
      <c r="C18" s="10" t="s">
        <v>1137</v>
      </c>
      <c r="D18" s="11" t="s">
        <v>29</v>
      </c>
      <c r="F18" s="12">
        <f>613931.49+73510.56</f>
        <v>687442.05</v>
      </c>
      <c r="G18" s="1"/>
      <c r="H18" s="130"/>
      <c r="I18" s="171"/>
      <c r="J18" s="171"/>
      <c r="K18" s="165"/>
    </row>
    <row r="19" spans="1:11" s="13" customFormat="1" ht="14.25" customHeight="1" x14ac:dyDescent="0.2">
      <c r="A19" s="97">
        <v>45192</v>
      </c>
      <c r="B19" s="98" t="s">
        <v>11</v>
      </c>
      <c r="C19" s="121" t="s">
        <v>1375</v>
      </c>
      <c r="D19" s="122" t="s">
        <v>258</v>
      </c>
      <c r="F19" s="38">
        <v>2655328</v>
      </c>
      <c r="G19" s="23"/>
      <c r="H19" s="173"/>
      <c r="I19" s="174"/>
      <c r="J19" s="174"/>
      <c r="K19" s="175"/>
    </row>
    <row r="20" spans="1:11" s="13" customFormat="1" ht="14.25" customHeight="1" x14ac:dyDescent="0.2">
      <c r="A20" s="89">
        <v>45192</v>
      </c>
      <c r="B20" s="9" t="s">
        <v>11</v>
      </c>
      <c r="C20" s="10" t="s">
        <v>1491</v>
      </c>
      <c r="D20" s="11" t="s">
        <v>29</v>
      </c>
      <c r="E20" s="2"/>
      <c r="F20" s="12">
        <v>200000</v>
      </c>
      <c r="G20" s="23"/>
      <c r="H20" s="173"/>
      <c r="I20" s="174"/>
      <c r="J20" s="174"/>
      <c r="K20" s="175"/>
    </row>
    <row r="21" spans="1:11" s="2" customFormat="1" ht="14.25" customHeight="1" x14ac:dyDescent="0.2">
      <c r="A21" s="89">
        <v>45192</v>
      </c>
      <c r="B21" s="9" t="s">
        <v>11</v>
      </c>
      <c r="C21" s="10" t="s">
        <v>1566</v>
      </c>
      <c r="D21" s="11" t="s">
        <v>29</v>
      </c>
      <c r="F21" s="12">
        <v>81864</v>
      </c>
      <c r="G21" s="1"/>
      <c r="H21" s="130"/>
      <c r="I21" s="171"/>
      <c r="J21" s="171"/>
      <c r="K21" s="165"/>
    </row>
    <row r="22" spans="1:11" s="2" customFormat="1" ht="14.25" customHeight="1" x14ac:dyDescent="0.2">
      <c r="A22" s="89">
        <v>45192</v>
      </c>
      <c r="B22" s="9" t="s">
        <v>11</v>
      </c>
      <c r="C22" s="10" t="s">
        <v>502</v>
      </c>
      <c r="D22" s="11" t="s">
        <v>29</v>
      </c>
      <c r="F22" s="12">
        <v>374762</v>
      </c>
      <c r="G22" s="1"/>
      <c r="H22" s="130"/>
      <c r="I22" s="171"/>
      <c r="J22" s="171"/>
      <c r="K22" s="165"/>
    </row>
    <row r="23" spans="1:11" s="2" customFormat="1" ht="14.25" customHeight="1" x14ac:dyDescent="0.2">
      <c r="A23" s="89">
        <v>45192</v>
      </c>
      <c r="B23" s="9" t="s">
        <v>11</v>
      </c>
      <c r="C23" s="10" t="s">
        <v>1472</v>
      </c>
      <c r="D23" s="11" t="s">
        <v>29</v>
      </c>
      <c r="F23" s="12">
        <v>989470</v>
      </c>
      <c r="G23" s="1"/>
      <c r="H23" s="130"/>
      <c r="I23" s="171"/>
      <c r="J23" s="171"/>
      <c r="K23" s="165"/>
    </row>
    <row r="24" spans="1:11" s="2" customFormat="1" ht="14.25" customHeight="1" x14ac:dyDescent="0.2">
      <c r="A24" s="89">
        <v>45192</v>
      </c>
      <c r="B24" s="9" t="s">
        <v>11</v>
      </c>
      <c r="C24" s="10" t="s">
        <v>806</v>
      </c>
      <c r="D24" s="11" t="s">
        <v>29</v>
      </c>
      <c r="F24" s="12">
        <v>300000</v>
      </c>
      <c r="G24" s="1"/>
      <c r="H24" s="130"/>
      <c r="I24" s="171"/>
      <c r="J24" s="171"/>
      <c r="K24" s="165"/>
    </row>
    <row r="25" spans="1:11" s="2" customFormat="1" ht="14.25" customHeight="1" x14ac:dyDescent="0.2">
      <c r="A25" s="89">
        <v>45192</v>
      </c>
      <c r="B25" s="9" t="s">
        <v>11</v>
      </c>
      <c r="C25" s="10" t="s">
        <v>350</v>
      </c>
      <c r="D25" s="11" t="s">
        <v>29</v>
      </c>
      <c r="F25" s="12">
        <v>3930</v>
      </c>
      <c r="G25" s="1"/>
      <c r="H25" s="130"/>
      <c r="I25" s="171"/>
      <c r="J25" s="171"/>
      <c r="K25" s="165"/>
    </row>
    <row r="26" spans="1:11" s="2" customFormat="1" ht="14.25" customHeight="1" x14ac:dyDescent="0.2">
      <c r="A26" s="89">
        <v>45192</v>
      </c>
      <c r="B26" s="9" t="s">
        <v>11</v>
      </c>
      <c r="C26" s="10" t="s">
        <v>691</v>
      </c>
      <c r="D26" s="11" t="s">
        <v>29</v>
      </c>
      <c r="F26" s="12">
        <v>42472</v>
      </c>
      <c r="G26" s="1"/>
      <c r="H26" s="130"/>
      <c r="I26" s="171"/>
      <c r="J26" s="171"/>
      <c r="K26" s="165"/>
    </row>
    <row r="27" spans="1:11" s="2" customFormat="1" ht="14.25" customHeight="1" x14ac:dyDescent="0.2">
      <c r="A27" s="89">
        <v>45192</v>
      </c>
      <c r="B27" s="9" t="s">
        <v>11</v>
      </c>
      <c r="C27" s="10" t="s">
        <v>346</v>
      </c>
      <c r="D27" s="11" t="s">
        <v>29</v>
      </c>
      <c r="F27" s="12">
        <v>264175</v>
      </c>
      <c r="G27" s="1"/>
      <c r="H27" s="130"/>
      <c r="I27" s="171"/>
      <c r="J27" s="171"/>
      <c r="K27" s="165"/>
    </row>
    <row r="28" spans="1:11" s="2" customFormat="1" ht="14.25" customHeight="1" x14ac:dyDescent="0.2">
      <c r="A28" s="89">
        <v>45192</v>
      </c>
      <c r="B28" s="9" t="s">
        <v>11</v>
      </c>
      <c r="C28" s="10" t="s">
        <v>352</v>
      </c>
      <c r="D28" s="11" t="s">
        <v>29</v>
      </c>
      <c r="F28" s="12">
        <v>58311</v>
      </c>
      <c r="G28" s="1"/>
      <c r="H28" s="130"/>
      <c r="I28" s="171"/>
      <c r="J28" s="171"/>
      <c r="K28" s="165"/>
    </row>
    <row r="29" spans="1:11" s="2" customFormat="1" ht="14.25" customHeight="1" x14ac:dyDescent="0.2">
      <c r="A29" s="89">
        <v>45192</v>
      </c>
      <c r="B29" s="9" t="s">
        <v>11</v>
      </c>
      <c r="C29" s="10" t="s">
        <v>1216</v>
      </c>
      <c r="D29" s="11" t="s">
        <v>29</v>
      </c>
      <c r="F29" s="12">
        <v>26550</v>
      </c>
      <c r="G29" s="1"/>
      <c r="H29" s="130"/>
      <c r="I29" s="171"/>
      <c r="J29" s="171"/>
      <c r="K29" s="165"/>
    </row>
    <row r="30" spans="1:11" s="2" customFormat="1" ht="14.25" customHeight="1" x14ac:dyDescent="0.2">
      <c r="A30" s="89">
        <v>45192</v>
      </c>
      <c r="B30" s="9" t="s">
        <v>11</v>
      </c>
      <c r="C30" s="10" t="s">
        <v>1111</v>
      </c>
      <c r="D30" s="11" t="s">
        <v>29</v>
      </c>
      <c r="F30" s="12">
        <v>92070</v>
      </c>
      <c r="G30" s="1"/>
      <c r="H30" s="130"/>
      <c r="I30" s="171"/>
      <c r="J30" s="171"/>
      <c r="K30" s="165"/>
    </row>
    <row r="31" spans="1:11" s="2" customFormat="1" ht="14.25" customHeight="1" x14ac:dyDescent="0.2">
      <c r="A31" s="89">
        <v>45192</v>
      </c>
      <c r="B31" s="9" t="s">
        <v>11</v>
      </c>
      <c r="C31" s="10" t="s">
        <v>1567</v>
      </c>
      <c r="D31" s="11" t="s">
        <v>29</v>
      </c>
      <c r="F31" s="12">
        <v>76329</v>
      </c>
      <c r="G31" s="1"/>
      <c r="H31" s="130"/>
      <c r="I31" s="171"/>
      <c r="J31" s="171"/>
      <c r="K31" s="165"/>
    </row>
    <row r="32" spans="1:11" s="2" customFormat="1" ht="14.25" customHeight="1" x14ac:dyDescent="0.2">
      <c r="A32" s="89">
        <v>45192</v>
      </c>
      <c r="B32" s="9" t="s">
        <v>11</v>
      </c>
      <c r="C32" s="10" t="s">
        <v>62</v>
      </c>
      <c r="D32" s="11" t="s">
        <v>29</v>
      </c>
      <c r="F32" s="12">
        <v>17000</v>
      </c>
      <c r="G32" s="1"/>
      <c r="H32" s="130"/>
      <c r="I32" s="171"/>
      <c r="J32" s="171"/>
      <c r="K32" s="165"/>
    </row>
    <row r="33" spans="1:13" s="2" customFormat="1" ht="14.25" customHeight="1" x14ac:dyDescent="0.2">
      <c r="A33" s="89">
        <v>45192</v>
      </c>
      <c r="B33" s="9" t="s">
        <v>11</v>
      </c>
      <c r="C33" s="10" t="s">
        <v>57</v>
      </c>
      <c r="D33" s="11" t="s">
        <v>29</v>
      </c>
      <c r="F33" s="12">
        <v>5000000</v>
      </c>
      <c r="G33" s="1"/>
      <c r="H33" s="130"/>
      <c r="I33" s="171"/>
      <c r="J33" s="171"/>
      <c r="K33" s="165"/>
    </row>
    <row r="34" spans="1:13" s="2" customFormat="1" ht="14.25" customHeight="1" x14ac:dyDescent="0.2">
      <c r="A34" s="89">
        <v>45192</v>
      </c>
      <c r="B34" s="9" t="s">
        <v>11</v>
      </c>
      <c r="C34" s="10" t="s">
        <v>823</v>
      </c>
      <c r="D34" s="11" t="s">
        <v>29</v>
      </c>
      <c r="F34" s="12">
        <v>12640</v>
      </c>
      <c r="G34" s="1"/>
      <c r="H34" s="130"/>
      <c r="I34" s="171"/>
      <c r="J34" s="171"/>
      <c r="K34" s="165"/>
    </row>
    <row r="35" spans="1:13" s="2" customFormat="1" ht="14.25" customHeight="1" x14ac:dyDescent="0.2">
      <c r="A35" s="89">
        <v>45192</v>
      </c>
      <c r="B35" s="9" t="s">
        <v>11</v>
      </c>
      <c r="C35" s="10" t="s">
        <v>954</v>
      </c>
      <c r="D35" s="11" t="s">
        <v>29</v>
      </c>
      <c r="F35" s="12">
        <v>788079</v>
      </c>
      <c r="G35" s="1"/>
      <c r="H35" s="130"/>
      <c r="I35" s="171"/>
      <c r="J35" s="171"/>
      <c r="K35" s="165"/>
    </row>
    <row r="36" spans="1:13" s="2" customFormat="1" ht="14.25" customHeight="1" x14ac:dyDescent="0.2">
      <c r="A36" s="89">
        <v>45192</v>
      </c>
      <c r="B36" s="9" t="s">
        <v>11</v>
      </c>
      <c r="C36" s="10" t="s">
        <v>696</v>
      </c>
      <c r="D36" s="11" t="s">
        <v>29</v>
      </c>
      <c r="F36" s="12">
        <v>1275588</v>
      </c>
      <c r="G36" s="1"/>
      <c r="H36" s="130"/>
      <c r="I36" s="171"/>
      <c r="J36" s="171"/>
      <c r="K36" s="165"/>
    </row>
    <row r="37" spans="1:13" s="2" customFormat="1" ht="14.25" customHeight="1" x14ac:dyDescent="0.2">
      <c r="A37" s="89">
        <v>45192</v>
      </c>
      <c r="B37" s="9" t="s">
        <v>11</v>
      </c>
      <c r="C37" s="10" t="s">
        <v>301</v>
      </c>
      <c r="D37" s="11" t="s">
        <v>29</v>
      </c>
      <c r="F37" s="12">
        <v>2302628</v>
      </c>
      <c r="G37" s="1"/>
      <c r="H37" s="130"/>
      <c r="I37" s="171"/>
      <c r="J37" s="171"/>
      <c r="K37" s="165"/>
    </row>
    <row r="38" spans="1:13" s="2" customFormat="1" ht="14.25" customHeight="1" x14ac:dyDescent="0.2">
      <c r="A38" s="89">
        <v>45192</v>
      </c>
      <c r="B38" s="9" t="s">
        <v>11</v>
      </c>
      <c r="C38" s="10" t="s">
        <v>482</v>
      </c>
      <c r="D38" s="11" t="s">
        <v>29</v>
      </c>
      <c r="F38" s="12">
        <v>15821</v>
      </c>
      <c r="G38" s="1"/>
      <c r="H38" s="130"/>
      <c r="I38" s="171"/>
      <c r="J38" s="171"/>
      <c r="K38" s="165"/>
    </row>
    <row r="39" spans="1:13" s="2" customFormat="1" ht="14.25" customHeight="1" x14ac:dyDescent="0.2">
      <c r="A39" s="89">
        <v>45192</v>
      </c>
      <c r="B39" s="9" t="s">
        <v>11</v>
      </c>
      <c r="C39" s="10" t="s">
        <v>96</v>
      </c>
      <c r="D39" s="11" t="s">
        <v>29</v>
      </c>
      <c r="F39" s="12">
        <v>5777</v>
      </c>
      <c r="G39" s="1"/>
      <c r="H39" s="130"/>
      <c r="I39" s="171"/>
      <c r="J39" s="171"/>
      <c r="K39" s="165"/>
    </row>
    <row r="40" spans="1:13" s="2" customFormat="1" ht="14.25" customHeight="1" x14ac:dyDescent="0.2">
      <c r="A40" s="89">
        <v>45192</v>
      </c>
      <c r="B40" s="9" t="s">
        <v>11</v>
      </c>
      <c r="C40" s="10" t="s">
        <v>718</v>
      </c>
      <c r="D40" s="11" t="s">
        <v>29</v>
      </c>
      <c r="F40" s="12">
        <v>16590</v>
      </c>
      <c r="G40" s="1"/>
      <c r="H40" s="130"/>
      <c r="I40" s="171"/>
      <c r="J40" s="171"/>
      <c r="K40" s="165"/>
    </row>
    <row r="41" spans="1:13" s="2" customFormat="1" ht="14.25" customHeight="1" x14ac:dyDescent="0.2">
      <c r="A41" s="89">
        <v>45192</v>
      </c>
      <c r="B41" s="9" t="s">
        <v>11</v>
      </c>
      <c r="C41" s="10" t="s">
        <v>500</v>
      </c>
      <c r="D41" s="11" t="s">
        <v>29</v>
      </c>
      <c r="F41" s="12">
        <v>1891930</v>
      </c>
      <c r="G41" s="1"/>
      <c r="H41" s="130"/>
      <c r="I41" s="171"/>
      <c r="J41" s="171"/>
      <c r="K41" s="165"/>
    </row>
    <row r="42" spans="1:13" s="2" customFormat="1" ht="14.25" customHeight="1" x14ac:dyDescent="0.2">
      <c r="A42" s="89">
        <v>45192</v>
      </c>
      <c r="B42" s="9" t="s">
        <v>11</v>
      </c>
      <c r="C42" s="10" t="s">
        <v>147</v>
      </c>
      <c r="D42" s="11" t="s">
        <v>29</v>
      </c>
      <c r="F42" s="12">
        <v>1692363</v>
      </c>
      <c r="G42" s="1"/>
      <c r="H42" s="130"/>
      <c r="I42" s="171"/>
      <c r="J42" s="171"/>
      <c r="K42" s="165"/>
    </row>
    <row r="43" spans="1:13" s="2" customFormat="1" ht="14.25" customHeight="1" x14ac:dyDescent="0.2">
      <c r="A43" s="89">
        <v>45192</v>
      </c>
      <c r="B43" s="9" t="s">
        <v>11</v>
      </c>
      <c r="C43" s="10" t="s">
        <v>1091</v>
      </c>
      <c r="D43" s="11" t="s">
        <v>29</v>
      </c>
      <c r="F43" s="12">
        <v>59000</v>
      </c>
      <c r="G43" s="1"/>
      <c r="H43" s="130"/>
      <c r="I43" s="171"/>
      <c r="J43" s="171"/>
      <c r="K43" s="165"/>
    </row>
    <row r="44" spans="1:13" s="2" customFormat="1" ht="14.25" customHeight="1" x14ac:dyDescent="0.2">
      <c r="D44" s="11" t="s">
        <v>8</v>
      </c>
      <c r="E44" s="16">
        <f>SUM(E12:E43)</f>
        <v>42325198.140000001</v>
      </c>
      <c r="F44" s="16">
        <f>SUM(F12:F43)</f>
        <v>105604544.34</v>
      </c>
      <c r="G44" s="1"/>
      <c r="H44" s="143"/>
      <c r="I44" s="130"/>
      <c r="J44" s="143"/>
      <c r="K44" s="143"/>
      <c r="L44" s="143"/>
      <c r="M44" s="143"/>
    </row>
    <row r="45" spans="1:13" s="2" customFormat="1" ht="14.25" customHeight="1" x14ac:dyDescent="0.4">
      <c r="A45" s="17"/>
      <c r="B45" s="18"/>
      <c r="C45" s="96" t="s">
        <v>9</v>
      </c>
      <c r="D45" s="20"/>
      <c r="E45" s="21">
        <f>+F44-E44</f>
        <v>63279346.200000003</v>
      </c>
      <c r="G45" s="1"/>
      <c r="I45" s="112"/>
      <c r="J45" s="153" t="s">
        <v>779</v>
      </c>
    </row>
    <row r="46" spans="1:13" s="2" customFormat="1" ht="14.25" customHeight="1" x14ac:dyDescent="0.2">
      <c r="A46" s="36"/>
      <c r="B46" s="28" t="s">
        <v>66</v>
      </c>
      <c r="C46" s="43" t="s">
        <v>1458</v>
      </c>
      <c r="D46" s="43"/>
      <c r="E46" s="12">
        <v>30000000</v>
      </c>
      <c r="F46" s="22"/>
      <c r="G46" s="1"/>
      <c r="I46" s="40">
        <v>63279346.200000003</v>
      </c>
      <c r="J46" s="154">
        <f>I46-E45</f>
        <v>0</v>
      </c>
    </row>
    <row r="47" spans="1:13" s="2" customFormat="1" ht="14.25" customHeight="1" x14ac:dyDescent="0.25">
      <c r="A47" s="36"/>
      <c r="B47" s="28"/>
      <c r="C47" s="44" t="s">
        <v>1541</v>
      </c>
      <c r="D47" s="43"/>
      <c r="E47" s="7">
        <f>+E45+E46</f>
        <v>93279346.200000003</v>
      </c>
      <c r="F47" s="22"/>
      <c r="G47" s="1"/>
    </row>
    <row r="48" spans="1:13" s="2" customFormat="1" ht="14.25" customHeight="1" x14ac:dyDescent="0.25">
      <c r="A48" s="36"/>
      <c r="B48" s="28"/>
      <c r="C48" s="44" t="s">
        <v>1511</v>
      </c>
      <c r="D48" s="43"/>
      <c r="E48" s="38">
        <f>+I12</f>
        <v>23159463.799999997</v>
      </c>
      <c r="F48" s="22"/>
      <c r="G48" s="1"/>
    </row>
    <row r="49" spans="1:14" s="2" customFormat="1" ht="14.25" customHeight="1" x14ac:dyDescent="0.2">
      <c r="A49" s="24"/>
      <c r="B49" s="1"/>
      <c r="C49" s="14"/>
      <c r="D49" s="25"/>
      <c r="G49" s="1"/>
      <c r="I49" s="130"/>
      <c r="J49" s="130"/>
    </row>
    <row r="50" spans="1:14" s="2" customFormat="1" x14ac:dyDescent="0.2">
      <c r="A50" s="214" t="s">
        <v>10</v>
      </c>
      <c r="B50" s="214"/>
      <c r="C50" s="214"/>
      <c r="D50" s="214"/>
      <c r="E50" s="214"/>
      <c r="F50" s="214"/>
      <c r="G50" s="1"/>
      <c r="H50" s="159"/>
      <c r="I50" s="160">
        <v>150000000</v>
      </c>
      <c r="J50" s="160" t="s">
        <v>1506</v>
      </c>
      <c r="K50" s="70"/>
    </row>
    <row r="51" spans="1:14" s="2" customFormat="1" x14ac:dyDescent="0.2">
      <c r="A51" s="26" t="s">
        <v>1</v>
      </c>
      <c r="B51" s="27" t="s">
        <v>2</v>
      </c>
      <c r="C51" s="5"/>
      <c r="D51" s="6" t="s">
        <v>3</v>
      </c>
      <c r="E51" s="7" t="s">
        <v>4</v>
      </c>
      <c r="F51" s="7" t="s">
        <v>5</v>
      </c>
      <c r="G51" s="1"/>
      <c r="H51" s="159"/>
      <c r="I51" s="160">
        <v>105254805.89</v>
      </c>
      <c r="J51" s="160" t="s">
        <v>1507</v>
      </c>
      <c r="K51" s="70" t="s">
        <v>1512</v>
      </c>
    </row>
    <row r="52" spans="1:14" s="2" customFormat="1" x14ac:dyDescent="0.2">
      <c r="A52" s="89">
        <v>45192</v>
      </c>
      <c r="B52" s="128" t="s">
        <v>11</v>
      </c>
      <c r="C52" s="29" t="s">
        <v>7</v>
      </c>
      <c r="D52" s="25"/>
      <c r="E52" s="31"/>
      <c r="F52" s="2">
        <v>105527149.61000006</v>
      </c>
      <c r="G52" s="23"/>
      <c r="H52" s="159" t="s">
        <v>1505</v>
      </c>
      <c r="I52" s="160">
        <f>+I50-I51</f>
        <v>44745194.109999999</v>
      </c>
      <c r="J52" s="160"/>
      <c r="K52" s="70"/>
    </row>
    <row r="53" spans="1:14" s="2" customFormat="1" x14ac:dyDescent="0.2">
      <c r="A53" s="89">
        <v>45192</v>
      </c>
      <c r="B53" s="128" t="s">
        <v>6</v>
      </c>
      <c r="C53" s="10" t="s">
        <v>311</v>
      </c>
      <c r="D53" s="11" t="s">
        <v>13</v>
      </c>
      <c r="E53" s="86">
        <v>90448</v>
      </c>
      <c r="F53" s="70"/>
      <c r="G53" s="1"/>
      <c r="N53" s="1"/>
    </row>
    <row r="54" spans="1:14" s="2" customFormat="1" x14ac:dyDescent="0.2">
      <c r="A54" s="89">
        <v>45192</v>
      </c>
      <c r="B54" s="128" t="s">
        <v>6</v>
      </c>
      <c r="C54" s="10" t="s">
        <v>1568</v>
      </c>
      <c r="D54" s="11" t="s">
        <v>13</v>
      </c>
      <c r="E54" s="86">
        <v>57750</v>
      </c>
      <c r="F54" s="70"/>
      <c r="G54" s="1"/>
      <c r="N54" s="1"/>
    </row>
    <row r="55" spans="1:14" s="2" customFormat="1" x14ac:dyDescent="0.2">
      <c r="A55" s="89">
        <v>45192</v>
      </c>
      <c r="B55" s="128" t="s">
        <v>6</v>
      </c>
      <c r="C55" s="10" t="s">
        <v>749</v>
      </c>
      <c r="D55" s="11" t="s">
        <v>13</v>
      </c>
      <c r="E55" s="86">
        <v>205896.66999999998</v>
      </c>
      <c r="F55" s="70"/>
      <c r="G55" s="1"/>
      <c r="N55" s="1"/>
    </row>
    <row r="56" spans="1:14" s="2" customFormat="1" x14ac:dyDescent="0.2">
      <c r="A56" s="89">
        <v>45192</v>
      </c>
      <c r="B56" s="128" t="s">
        <v>6</v>
      </c>
      <c r="C56" s="10" t="s">
        <v>15</v>
      </c>
      <c r="D56" s="11" t="s">
        <v>13</v>
      </c>
      <c r="E56" s="86">
        <v>60617.520000000004</v>
      </c>
      <c r="F56" s="70"/>
      <c r="G56" s="1"/>
      <c r="N56" s="1"/>
    </row>
    <row r="57" spans="1:14" s="2" customFormat="1" x14ac:dyDescent="0.2">
      <c r="A57" s="89">
        <v>45192</v>
      </c>
      <c r="B57" s="128" t="s">
        <v>6</v>
      </c>
      <c r="C57" s="10" t="s">
        <v>746</v>
      </c>
      <c r="D57" s="11" t="s">
        <v>13</v>
      </c>
      <c r="E57" s="86">
        <v>1016000</v>
      </c>
      <c r="F57" s="70"/>
      <c r="G57" s="1"/>
      <c r="N57" s="1"/>
    </row>
    <row r="58" spans="1:14" s="2" customFormat="1" x14ac:dyDescent="0.2">
      <c r="A58" s="89">
        <v>45192</v>
      </c>
      <c r="B58" s="128" t="s">
        <v>6</v>
      </c>
      <c r="C58" s="10" t="s">
        <v>1569</v>
      </c>
      <c r="D58" s="11" t="s">
        <v>13</v>
      </c>
      <c r="E58" s="86">
        <v>300000</v>
      </c>
      <c r="F58" s="70"/>
      <c r="G58" s="1"/>
      <c r="N58" s="1"/>
    </row>
    <row r="59" spans="1:14" s="2" customFormat="1" x14ac:dyDescent="0.2">
      <c r="A59" s="89">
        <v>45192</v>
      </c>
      <c r="B59" s="128" t="s">
        <v>6</v>
      </c>
      <c r="C59" s="10" t="s">
        <v>244</v>
      </c>
      <c r="D59" s="11" t="s">
        <v>13</v>
      </c>
      <c r="E59" s="86">
        <v>123908</v>
      </c>
      <c r="F59" s="70"/>
      <c r="G59" s="1"/>
      <c r="N59" s="1"/>
    </row>
    <row r="60" spans="1:14" s="2" customFormat="1" x14ac:dyDescent="0.2">
      <c r="A60" s="89">
        <v>45192</v>
      </c>
      <c r="B60" s="128" t="s">
        <v>6</v>
      </c>
      <c r="C60" s="10" t="s">
        <v>448</v>
      </c>
      <c r="D60" s="11" t="s">
        <v>13</v>
      </c>
      <c r="E60" s="86">
        <v>9122</v>
      </c>
      <c r="F60" s="70"/>
      <c r="G60" s="1"/>
      <c r="N60" s="1"/>
    </row>
    <row r="61" spans="1:14" s="2" customFormat="1" x14ac:dyDescent="0.2">
      <c r="A61" s="89">
        <v>45192</v>
      </c>
      <c r="B61" s="128" t="s">
        <v>6</v>
      </c>
      <c r="C61" s="10" t="s">
        <v>12</v>
      </c>
      <c r="D61" s="11" t="s">
        <v>13</v>
      </c>
      <c r="E61" s="86">
        <v>3874647.75</v>
      </c>
      <c r="F61" s="70"/>
      <c r="G61" s="1"/>
      <c r="N61" s="1"/>
    </row>
    <row r="62" spans="1:14" s="2" customFormat="1" x14ac:dyDescent="0.2">
      <c r="A62" s="89">
        <v>45192</v>
      </c>
      <c r="B62" s="128" t="s">
        <v>6</v>
      </c>
      <c r="C62" s="10" t="s">
        <v>1564</v>
      </c>
      <c r="D62" s="11" t="s">
        <v>13</v>
      </c>
      <c r="E62" s="86">
        <v>90000</v>
      </c>
      <c r="F62" s="70"/>
      <c r="G62" s="1"/>
      <c r="N62" s="1"/>
    </row>
    <row r="63" spans="1:14" s="2" customFormat="1" x14ac:dyDescent="0.2">
      <c r="A63" s="89">
        <v>45192</v>
      </c>
      <c r="B63" s="128" t="s">
        <v>6</v>
      </c>
      <c r="C63" s="10" t="s">
        <v>503</v>
      </c>
      <c r="D63" s="11" t="s">
        <v>13</v>
      </c>
      <c r="E63" s="86">
        <v>1092674</v>
      </c>
      <c r="F63" s="70"/>
      <c r="G63" s="1"/>
      <c r="N63" s="1"/>
    </row>
    <row r="64" spans="1:14" s="2" customFormat="1" x14ac:dyDescent="0.2">
      <c r="A64" s="89">
        <v>45192</v>
      </c>
      <c r="B64" s="128" t="s">
        <v>6</v>
      </c>
      <c r="C64" s="10" t="s">
        <v>1138</v>
      </c>
      <c r="D64" s="11" t="s">
        <v>13</v>
      </c>
      <c r="E64" s="86">
        <v>952061</v>
      </c>
      <c r="F64" s="70"/>
      <c r="G64" s="1"/>
      <c r="N64" s="1"/>
    </row>
    <row r="65" spans="1:14" s="2" customFormat="1" x14ac:dyDescent="0.2">
      <c r="A65" s="89">
        <v>45192</v>
      </c>
      <c r="B65" s="128" t="s">
        <v>6</v>
      </c>
      <c r="C65" s="10" t="s">
        <v>264</v>
      </c>
      <c r="D65" s="11" t="s">
        <v>13</v>
      </c>
      <c r="E65" s="86">
        <v>1050000</v>
      </c>
      <c r="F65" s="70"/>
      <c r="G65" s="1"/>
      <c r="N65" s="1"/>
    </row>
    <row r="66" spans="1:14" s="2" customFormat="1" x14ac:dyDescent="0.2">
      <c r="A66" s="89">
        <v>45192</v>
      </c>
      <c r="B66" s="128" t="s">
        <v>6</v>
      </c>
      <c r="C66" s="10" t="s">
        <v>17</v>
      </c>
      <c r="D66" s="11" t="s">
        <v>13</v>
      </c>
      <c r="E66" s="86">
        <v>432581</v>
      </c>
      <c r="F66" s="70"/>
      <c r="G66" s="1"/>
      <c r="N66" s="1"/>
    </row>
    <row r="67" spans="1:14" s="2" customFormat="1" x14ac:dyDescent="0.2">
      <c r="A67" s="89">
        <v>45192</v>
      </c>
      <c r="B67" s="128" t="s">
        <v>6</v>
      </c>
      <c r="C67" s="10" t="s">
        <v>19</v>
      </c>
      <c r="D67" s="11" t="s">
        <v>13</v>
      </c>
      <c r="E67" s="86">
        <v>241845.69</v>
      </c>
      <c r="F67" s="70"/>
      <c r="G67" s="1"/>
      <c r="N67" s="1"/>
    </row>
    <row r="68" spans="1:14" s="2" customFormat="1" x14ac:dyDescent="0.2">
      <c r="A68" s="89">
        <v>45192</v>
      </c>
      <c r="B68" s="128" t="s">
        <v>6</v>
      </c>
      <c r="C68" s="10" t="s">
        <v>666</v>
      </c>
      <c r="D68" s="11" t="s">
        <v>13</v>
      </c>
      <c r="E68" s="86">
        <v>30450</v>
      </c>
      <c r="F68" s="70"/>
      <c r="G68" s="1"/>
      <c r="N68" s="1"/>
    </row>
    <row r="69" spans="1:14" s="2" customFormat="1" x14ac:dyDescent="0.2">
      <c r="A69" s="89">
        <v>45192</v>
      </c>
      <c r="B69" s="128" t="s">
        <v>6</v>
      </c>
      <c r="C69" s="10" t="s">
        <v>381</v>
      </c>
      <c r="D69" s="11" t="s">
        <v>13</v>
      </c>
      <c r="E69" s="86">
        <v>73049</v>
      </c>
      <c r="F69" s="70"/>
      <c r="G69" s="1"/>
      <c r="N69" s="1"/>
    </row>
    <row r="70" spans="1:14" s="2" customFormat="1" x14ac:dyDescent="0.2">
      <c r="A70" s="89">
        <v>45192</v>
      </c>
      <c r="B70" s="128" t="s">
        <v>11</v>
      </c>
      <c r="C70" s="10" t="s">
        <v>57</v>
      </c>
      <c r="D70" s="11" t="s">
        <v>29</v>
      </c>
      <c r="E70" s="86"/>
      <c r="F70" s="70">
        <v>13000000</v>
      </c>
      <c r="G70" s="1"/>
      <c r="N70" s="1"/>
    </row>
    <row r="71" spans="1:14" s="2" customFormat="1" x14ac:dyDescent="0.2">
      <c r="A71" s="89">
        <v>45192</v>
      </c>
      <c r="B71" s="128" t="s">
        <v>11</v>
      </c>
      <c r="C71" s="10" t="s">
        <v>1572</v>
      </c>
      <c r="D71" s="11" t="s">
        <v>29</v>
      </c>
      <c r="E71" s="86"/>
      <c r="F71" s="70">
        <v>350302.47</v>
      </c>
      <c r="G71" s="1"/>
      <c r="N71" s="1"/>
    </row>
    <row r="72" spans="1:14" s="2" customFormat="1" x14ac:dyDescent="0.2">
      <c r="A72" s="89">
        <v>45192</v>
      </c>
      <c r="B72" s="128" t="s">
        <v>11</v>
      </c>
      <c r="C72" s="10" t="s">
        <v>64</v>
      </c>
      <c r="D72" s="11" t="s">
        <v>29</v>
      </c>
      <c r="E72" s="86"/>
      <c r="F72" s="70">
        <f>11642.21+0.1</f>
        <v>11642.31</v>
      </c>
      <c r="G72" s="1"/>
      <c r="N72" s="1"/>
    </row>
    <row r="73" spans="1:14" s="2" customFormat="1" x14ac:dyDescent="0.2">
      <c r="A73" s="89">
        <v>45192</v>
      </c>
      <c r="B73" s="128" t="s">
        <v>11</v>
      </c>
      <c r="C73" s="10" t="s">
        <v>109</v>
      </c>
      <c r="D73" s="11" t="s">
        <v>29</v>
      </c>
      <c r="E73" s="86"/>
      <c r="F73" s="70">
        <v>1903988</v>
      </c>
      <c r="G73" s="1"/>
      <c r="N73" s="1"/>
    </row>
    <row r="74" spans="1:14" s="2" customFormat="1" x14ac:dyDescent="0.2">
      <c r="A74" s="32"/>
      <c r="B74" s="33"/>
      <c r="C74" s="14"/>
      <c r="D74" s="34"/>
      <c r="E74" s="16">
        <f>SUM(E52:E73)</f>
        <v>9701050.629999999</v>
      </c>
      <c r="F74" s="16">
        <f>SUM(F52:F73)</f>
        <v>120793082.39000006</v>
      </c>
      <c r="G74" s="1"/>
      <c r="H74" s="1"/>
      <c r="I74" s="38">
        <v>111092031.76000001</v>
      </c>
      <c r="J74" s="2" t="s">
        <v>396</v>
      </c>
      <c r="K74" s="92">
        <f>E75-I74</f>
        <v>0</v>
      </c>
      <c r="N74" s="1"/>
    </row>
    <row r="75" spans="1:14" s="2" customFormat="1" x14ac:dyDescent="0.2">
      <c r="A75" s="36"/>
      <c r="B75" s="28" t="s">
        <v>11</v>
      </c>
      <c r="C75" s="19" t="s">
        <v>65</v>
      </c>
      <c r="D75" s="37"/>
      <c r="E75" s="38">
        <f>F74-E74</f>
        <v>111092031.76000006</v>
      </c>
      <c r="F75" s="22"/>
      <c r="G75" s="1"/>
      <c r="H75" s="1"/>
      <c r="I75" s="70"/>
      <c r="J75" s="70"/>
      <c r="K75" s="70"/>
      <c r="N75" s="1"/>
    </row>
    <row r="76" spans="1:14" s="2" customFormat="1" x14ac:dyDescent="0.2">
      <c r="A76" s="36"/>
      <c r="B76" s="28" t="s">
        <v>66</v>
      </c>
      <c r="C76" s="19" t="s">
        <v>67</v>
      </c>
      <c r="D76" s="37"/>
      <c r="E76" s="38">
        <v>6500000</v>
      </c>
      <c r="F76" s="22"/>
      <c r="G76" s="1"/>
      <c r="H76" s="70"/>
      <c r="I76" s="70"/>
      <c r="J76" s="70"/>
      <c r="K76" s="70"/>
      <c r="N76" s="1"/>
    </row>
    <row r="77" spans="1:14" s="2" customFormat="1" x14ac:dyDescent="0.2">
      <c r="A77" s="36"/>
      <c r="B77" s="28" t="s">
        <v>66</v>
      </c>
      <c r="C77" s="43" t="s">
        <v>1457</v>
      </c>
      <c r="D77" s="43"/>
      <c r="E77" s="12">
        <v>350000000</v>
      </c>
      <c r="F77" s="22"/>
      <c r="G77" s="1"/>
      <c r="H77" s="70"/>
      <c r="I77" s="45">
        <v>2841.26</v>
      </c>
      <c r="J77" s="46"/>
      <c r="K77" s="46"/>
      <c r="N77" s="1"/>
    </row>
    <row r="78" spans="1:14" s="2" customFormat="1" ht="15" x14ac:dyDescent="0.25">
      <c r="A78" s="36"/>
      <c r="B78" s="28"/>
      <c r="C78" s="44" t="s">
        <v>1541</v>
      </c>
      <c r="D78" s="43"/>
      <c r="E78" s="7">
        <f>+E77+E75+E76</f>
        <v>467592031.76000005</v>
      </c>
      <c r="F78" s="22"/>
      <c r="G78" s="1"/>
      <c r="H78" s="103" t="s">
        <v>69</v>
      </c>
      <c r="I78" s="45">
        <v>-166.64</v>
      </c>
      <c r="J78" s="46"/>
      <c r="K78" s="46"/>
      <c r="N78" s="1"/>
    </row>
    <row r="79" spans="1:14" s="2" customFormat="1" ht="15" x14ac:dyDescent="0.25">
      <c r="A79" s="24"/>
      <c r="B79" s="1"/>
      <c r="C79" s="44" t="s">
        <v>1510</v>
      </c>
      <c r="D79" s="25"/>
      <c r="E79" s="156">
        <f>I52-E76</f>
        <v>38245194.109999999</v>
      </c>
      <c r="G79" s="1"/>
      <c r="H79" s="35" t="s">
        <v>70</v>
      </c>
      <c r="I79" s="45">
        <v>51.07</v>
      </c>
      <c r="J79" s="46">
        <f>+I80-D82</f>
        <v>0</v>
      </c>
      <c r="N79" s="1"/>
    </row>
    <row r="80" spans="1:14" s="124" customFormat="1" ht="12.75" customHeight="1" x14ac:dyDescent="0.2">
      <c r="A80" s="24"/>
      <c r="B80" s="1"/>
      <c r="C80" s="56"/>
      <c r="D80" s="56"/>
      <c r="E80" s="104"/>
      <c r="F80" s="2"/>
      <c r="G80" s="166"/>
      <c r="H80" s="70"/>
      <c r="I80" s="49">
        <f>SUM(I77:I79)</f>
        <v>2725.6900000000005</v>
      </c>
      <c r="J80" s="46"/>
      <c r="K80" s="46"/>
    </row>
    <row r="81" spans="1:13" s="124" customFormat="1" ht="12.75" customHeight="1" x14ac:dyDescent="0.2">
      <c r="A81" s="24"/>
      <c r="B81" s="1"/>
      <c r="C81" s="78" t="s">
        <v>575</v>
      </c>
      <c r="D81" s="48" t="s">
        <v>576</v>
      </c>
      <c r="E81" s="104"/>
      <c r="F81" s="2"/>
      <c r="G81" s="168"/>
      <c r="H81" s="167"/>
      <c r="I81" s="167"/>
      <c r="J81" s="168"/>
    </row>
    <row r="82" spans="1:13" s="124" customFormat="1" ht="12.75" customHeight="1" x14ac:dyDescent="0.2">
      <c r="A82" s="24"/>
      <c r="B82" s="1"/>
      <c r="C82" s="47" t="s">
        <v>570</v>
      </c>
      <c r="D82" s="111">
        <v>2725.69</v>
      </c>
      <c r="E82" s="104"/>
      <c r="F82" s="2"/>
      <c r="G82" s="168"/>
      <c r="H82" s="110" t="s">
        <v>581</v>
      </c>
      <c r="I82" s="167"/>
      <c r="J82" s="168"/>
    </row>
    <row r="83" spans="1:13" s="124" customFormat="1" ht="12.75" customHeight="1" x14ac:dyDescent="0.2">
      <c r="A83" s="24"/>
      <c r="B83" s="1"/>
      <c r="C83" s="47" t="s">
        <v>931</v>
      </c>
      <c r="D83" s="111">
        <v>276.23</v>
      </c>
      <c r="E83" s="104"/>
      <c r="F83" s="2"/>
      <c r="G83" s="168"/>
      <c r="H83" s="110" t="s">
        <v>580</v>
      </c>
      <c r="I83" s="167"/>
      <c r="J83" s="168"/>
    </row>
    <row r="84" spans="1:13" s="124" customFormat="1" ht="12.75" customHeight="1" x14ac:dyDescent="0.2">
      <c r="A84" s="24"/>
      <c r="B84" s="1"/>
      <c r="C84" s="47" t="s">
        <v>572</v>
      </c>
      <c r="D84" s="111">
        <f>+D133/100000</f>
        <v>341.39242280000002</v>
      </c>
      <c r="E84" s="104"/>
      <c r="F84" s="2"/>
      <c r="G84" s="166"/>
      <c r="H84" s="90" t="s">
        <v>587</v>
      </c>
      <c r="I84" s="167"/>
      <c r="J84" s="168"/>
    </row>
    <row r="85" spans="1:13" s="2" customFormat="1" x14ac:dyDescent="0.2">
      <c r="A85" s="24"/>
      <c r="B85" s="1"/>
      <c r="C85" s="108" t="s">
        <v>578</v>
      </c>
      <c r="D85" s="48">
        <f>SUM(D82:D84)</f>
        <v>3343.3124228000001</v>
      </c>
      <c r="E85" s="104"/>
      <c r="G85" s="30"/>
      <c r="I85" s="13"/>
      <c r="J85" s="13"/>
    </row>
    <row r="86" spans="1:13" s="70" customFormat="1" x14ac:dyDescent="0.2">
      <c r="A86" s="24"/>
      <c r="B86" s="1"/>
      <c r="C86" s="47"/>
      <c r="D86" s="107"/>
      <c r="E86" s="104"/>
      <c r="F86" s="2"/>
      <c r="G86" s="30"/>
      <c r="H86" s="2"/>
    </row>
    <row r="87" spans="1:13" s="70" customFormat="1" x14ac:dyDescent="0.2">
      <c r="A87" s="24"/>
      <c r="B87" s="1"/>
      <c r="C87" s="47" t="s">
        <v>932</v>
      </c>
      <c r="D87" s="111">
        <v>235.54</v>
      </c>
      <c r="E87" s="104"/>
      <c r="F87" s="2"/>
      <c r="G87" s="30"/>
      <c r="H87" s="110" t="s">
        <v>581</v>
      </c>
    </row>
    <row r="88" spans="1:13" s="70" customFormat="1" x14ac:dyDescent="0.2">
      <c r="A88" s="24"/>
      <c r="B88" s="1"/>
      <c r="C88" s="136" t="s">
        <v>1142</v>
      </c>
      <c r="D88" s="111">
        <v>215</v>
      </c>
      <c r="E88" s="104"/>
      <c r="F88" s="2"/>
      <c r="G88" s="30"/>
      <c r="H88" s="110" t="s">
        <v>581</v>
      </c>
    </row>
    <row r="89" spans="1:13" s="70" customFormat="1" x14ac:dyDescent="0.2">
      <c r="A89" s="24"/>
      <c r="B89" s="1"/>
      <c r="C89" s="78" t="s">
        <v>579</v>
      </c>
      <c r="D89" s="109">
        <f>D87+D88</f>
        <v>450.53999999999996</v>
      </c>
      <c r="E89" s="104"/>
      <c r="F89" s="2"/>
      <c r="G89" s="30"/>
    </row>
    <row r="90" spans="1:13" s="70" customFormat="1" x14ac:dyDescent="0.2">
      <c r="A90" s="24"/>
      <c r="B90" s="1"/>
      <c r="C90" s="105"/>
      <c r="D90" s="106"/>
      <c r="E90" s="104"/>
      <c r="F90" s="2"/>
      <c r="G90" s="30"/>
      <c r="I90" s="2"/>
      <c r="J90" s="114" t="s">
        <v>713</v>
      </c>
      <c r="K90" s="2"/>
      <c r="L90" s="2"/>
      <c r="M90" s="2"/>
    </row>
    <row r="91" spans="1:13" s="70" customFormat="1" x14ac:dyDescent="0.2">
      <c r="A91" s="24"/>
      <c r="B91" s="1"/>
      <c r="C91" s="78" t="s">
        <v>577</v>
      </c>
      <c r="D91" s="109">
        <f>D82+D89</f>
        <v>3176.23</v>
      </c>
      <c r="E91" s="104"/>
      <c r="F91" s="2"/>
      <c r="G91" s="30"/>
      <c r="I91" s="113"/>
      <c r="J91" s="113" t="s">
        <v>709</v>
      </c>
      <c r="K91" s="113" t="s">
        <v>710</v>
      </c>
      <c r="L91" s="113" t="s">
        <v>711</v>
      </c>
      <c r="M91" s="113" t="s">
        <v>712</v>
      </c>
    </row>
    <row r="92" spans="1:13" s="70" customFormat="1" x14ac:dyDescent="0.2">
      <c r="A92" s="24"/>
      <c r="B92" s="1"/>
      <c r="C92" s="56"/>
      <c r="D92" s="56"/>
      <c r="E92" s="104"/>
      <c r="F92" s="2"/>
      <c r="G92" s="30"/>
      <c r="I92" s="113" t="s">
        <v>706</v>
      </c>
      <c r="J92" s="115"/>
      <c r="K92" s="115">
        <v>968.99</v>
      </c>
      <c r="L92" s="115">
        <v>968.99</v>
      </c>
      <c r="M92" s="113">
        <f>+J92+L92-K92</f>
        <v>0</v>
      </c>
    </row>
    <row r="93" spans="1:13" s="70" customFormat="1" ht="38.25" x14ac:dyDescent="0.2">
      <c r="A93" s="24"/>
      <c r="B93" s="1"/>
      <c r="C93" s="79" t="str">
        <f>"Particulars ( 01-04-2021 to "&amp;TEXT(A5,"dd-mm-yyyy")&amp;" )"</f>
        <v>Particulars ( 01-04-2021 to 23-09-2023 )</v>
      </c>
      <c r="D93" s="80" t="s">
        <v>73</v>
      </c>
      <c r="E93" s="80" t="s">
        <v>74</v>
      </c>
      <c r="F93" s="81" t="s">
        <v>75</v>
      </c>
      <c r="G93" s="80" t="s">
        <v>76</v>
      </c>
      <c r="I93" s="113" t="s">
        <v>707</v>
      </c>
      <c r="J93" s="115">
        <v>183.1</v>
      </c>
      <c r="K93" s="115">
        <v>3569.46</v>
      </c>
      <c r="L93" s="115">
        <v>3923.51</v>
      </c>
      <c r="M93" s="113">
        <f>+J93+L93-K93</f>
        <v>537.15000000000055</v>
      </c>
    </row>
    <row r="94" spans="1:13" s="70" customFormat="1" x14ac:dyDescent="0.2">
      <c r="A94" s="24"/>
      <c r="B94" s="1"/>
      <c r="C94" s="50" t="s">
        <v>444</v>
      </c>
      <c r="D94" s="55">
        <f>+L92+L93+J93</f>
        <v>5075.6000000000004</v>
      </c>
      <c r="E94" s="55">
        <f>+K92+K93</f>
        <v>4538.45</v>
      </c>
      <c r="F94" s="55">
        <f>+D94-E94</f>
        <v>537.15000000000055</v>
      </c>
      <c r="G94" s="55">
        <f>1500-F94</f>
        <v>962.84999999999945</v>
      </c>
      <c r="I94" s="113" t="s">
        <v>708</v>
      </c>
      <c r="J94" s="115">
        <v>1371.02</v>
      </c>
      <c r="K94" s="115">
        <v>14299.18</v>
      </c>
      <c r="L94" s="115">
        <v>13644.7</v>
      </c>
      <c r="M94" s="113">
        <f>+J94+L94-K94</f>
        <v>716.54000000000087</v>
      </c>
    </row>
    <row r="95" spans="1:13" s="70" customFormat="1" ht="12.75" customHeight="1" x14ac:dyDescent="0.2">
      <c r="A95" s="24"/>
      <c r="B95" s="1"/>
      <c r="C95" s="50" t="s">
        <v>71</v>
      </c>
      <c r="D95" s="55">
        <f>+J94+L94</f>
        <v>15015.720000000001</v>
      </c>
      <c r="E95" s="55">
        <f>+K94</f>
        <v>14299.18</v>
      </c>
      <c r="F95" s="55">
        <f>+D95-E95</f>
        <v>716.54000000000087</v>
      </c>
      <c r="G95" s="55">
        <f>1500+700-F95</f>
        <v>1483.4599999999991</v>
      </c>
      <c r="I95" s="2"/>
      <c r="J95" s="118">
        <f>SUM(J92:J94)</f>
        <v>1554.12</v>
      </c>
      <c r="K95" s="118">
        <f>SUM(K92:K94)</f>
        <v>18837.63</v>
      </c>
      <c r="L95" s="118">
        <f>SUM(L92:L94)</f>
        <v>18537.2</v>
      </c>
      <c r="M95" s="118">
        <f>SUM(M92:M94)</f>
        <v>1253.6900000000014</v>
      </c>
    </row>
    <row r="96" spans="1:13" s="70" customFormat="1" ht="12.75" customHeight="1" x14ac:dyDescent="0.2">
      <c r="A96" s="24"/>
      <c r="B96" s="1"/>
      <c r="C96" s="14"/>
      <c r="D96" s="56"/>
      <c r="E96" s="13"/>
      <c r="F96" s="2"/>
      <c r="G96" s="30"/>
    </row>
    <row r="97" spans="1:14" s="70" customFormat="1" ht="12.75" customHeight="1" x14ac:dyDescent="0.2">
      <c r="A97" s="215" t="s">
        <v>80</v>
      </c>
      <c r="B97" s="216"/>
      <c r="C97" s="216"/>
      <c r="D97" s="217"/>
      <c r="E97" s="69"/>
      <c r="G97" s="30"/>
    </row>
    <row r="98" spans="1:14" s="70" customFormat="1" ht="12.75" customHeight="1" x14ac:dyDescent="0.2">
      <c r="A98" s="71" t="s">
        <v>81</v>
      </c>
      <c r="B98" s="71"/>
      <c r="C98" s="72" t="s">
        <v>82</v>
      </c>
      <c r="D98" s="73" t="s">
        <v>83</v>
      </c>
      <c r="E98" s="69"/>
      <c r="G98" s="30"/>
    </row>
    <row r="99" spans="1:14" s="70" customFormat="1" ht="12.75" customHeight="1" x14ac:dyDescent="0.2">
      <c r="A99" s="87">
        <v>45170</v>
      </c>
      <c r="B99" s="120" t="s">
        <v>1052</v>
      </c>
      <c r="C99" s="75" t="s">
        <v>270</v>
      </c>
      <c r="D99" s="88">
        <v>117174</v>
      </c>
      <c r="E99" s="2"/>
      <c r="F99" s="2"/>
      <c r="G99" s="30"/>
      <c r="H99" s="2"/>
      <c r="I99" s="2"/>
      <c r="J99" s="2"/>
      <c r="K99" s="2"/>
      <c r="L99" s="41"/>
      <c r="M99" s="42"/>
      <c r="N99" s="2"/>
    </row>
    <row r="100" spans="1:14" s="70" customFormat="1" ht="12.75" customHeight="1" x14ac:dyDescent="0.2">
      <c r="A100" s="87">
        <v>45171</v>
      </c>
      <c r="B100" s="120" t="s">
        <v>1052</v>
      </c>
      <c r="C100" s="75" t="s">
        <v>767</v>
      </c>
      <c r="D100" s="88">
        <v>278761</v>
      </c>
      <c r="E100" s="2"/>
      <c r="F100" s="2"/>
      <c r="G100" s="30"/>
      <c r="H100" s="2"/>
      <c r="I100" s="2"/>
      <c r="J100" s="1"/>
      <c r="K100" s="1"/>
      <c r="L100" s="1"/>
      <c r="M100" s="1"/>
      <c r="N100" s="2"/>
    </row>
    <row r="101" spans="1:14" s="70" customFormat="1" ht="12.75" customHeight="1" x14ac:dyDescent="0.2">
      <c r="A101" s="87">
        <v>45171</v>
      </c>
      <c r="B101" s="120" t="s">
        <v>1052</v>
      </c>
      <c r="C101" s="75" t="s">
        <v>201</v>
      </c>
      <c r="D101" s="88">
        <v>3500391.21</v>
      </c>
      <c r="E101" s="2"/>
      <c r="F101" s="2"/>
      <c r="G101" s="30"/>
      <c r="H101" s="2"/>
      <c r="I101" s="2"/>
      <c r="J101" s="2"/>
      <c r="K101" s="2"/>
      <c r="L101" s="13"/>
      <c r="M101" s="69" t="s">
        <v>396</v>
      </c>
      <c r="N101" s="2"/>
    </row>
    <row r="102" spans="1:14" s="2" customFormat="1" ht="12.75" customHeight="1" x14ac:dyDescent="0.2">
      <c r="A102" s="87">
        <v>45173</v>
      </c>
      <c r="B102" s="120" t="s">
        <v>1052</v>
      </c>
      <c r="C102" s="75" t="s">
        <v>1478</v>
      </c>
      <c r="D102" s="88">
        <v>22763</v>
      </c>
      <c r="G102" s="30"/>
      <c r="N102" s="1"/>
    </row>
    <row r="103" spans="1:14" s="2" customFormat="1" ht="12.75" customHeight="1" x14ac:dyDescent="0.2">
      <c r="A103" s="87">
        <v>45173</v>
      </c>
      <c r="B103" s="120" t="s">
        <v>1052</v>
      </c>
      <c r="C103" s="75" t="s">
        <v>1478</v>
      </c>
      <c r="D103" s="88">
        <v>1786258</v>
      </c>
      <c r="G103" s="1"/>
      <c r="M103" s="2" t="s">
        <v>396</v>
      </c>
      <c r="N103" s="1"/>
    </row>
    <row r="104" spans="1:14" s="2" customFormat="1" ht="12.75" customHeight="1" x14ac:dyDescent="0.2">
      <c r="A104" s="87">
        <v>45173</v>
      </c>
      <c r="B104" s="120" t="s">
        <v>1052</v>
      </c>
      <c r="C104" s="75" t="s">
        <v>1478</v>
      </c>
      <c r="D104" s="88">
        <v>1329469</v>
      </c>
      <c r="I104" s="1"/>
      <c r="J104" s="1"/>
      <c r="K104" s="1"/>
    </row>
    <row r="105" spans="1:14" s="2" customFormat="1" ht="12.75" customHeight="1" x14ac:dyDescent="0.2">
      <c r="A105" s="87">
        <v>45175</v>
      </c>
      <c r="B105" s="120" t="s">
        <v>1052</v>
      </c>
      <c r="C105" s="75" t="s">
        <v>784</v>
      </c>
      <c r="D105" s="88">
        <v>673560</v>
      </c>
      <c r="G105" s="1"/>
    </row>
    <row r="106" spans="1:14" s="2" customFormat="1" x14ac:dyDescent="0.2">
      <c r="A106" s="87">
        <v>45175</v>
      </c>
      <c r="B106" s="120" t="s">
        <v>1052</v>
      </c>
      <c r="C106" s="75" t="s">
        <v>784</v>
      </c>
      <c r="D106" s="88">
        <v>700391</v>
      </c>
      <c r="G106" s="1"/>
      <c r="N106" s="2" t="s">
        <v>535</v>
      </c>
    </row>
    <row r="107" spans="1:14" x14ac:dyDescent="0.2">
      <c r="A107" s="87">
        <v>45175</v>
      </c>
      <c r="B107" s="120" t="s">
        <v>1052</v>
      </c>
      <c r="C107" s="75" t="s">
        <v>84</v>
      </c>
      <c r="D107" s="88">
        <v>1000000</v>
      </c>
      <c r="I107" s="2"/>
      <c r="J107" s="2"/>
      <c r="K107" s="2"/>
      <c r="L107" s="2"/>
      <c r="M107" s="2"/>
      <c r="N107" s="2"/>
    </row>
    <row r="108" spans="1:14" x14ac:dyDescent="0.2">
      <c r="A108" s="87">
        <v>45176</v>
      </c>
      <c r="B108" s="120" t="s">
        <v>1052</v>
      </c>
      <c r="C108" s="75" t="s">
        <v>85</v>
      </c>
      <c r="D108" s="88">
        <v>565814</v>
      </c>
      <c r="I108" s="2"/>
      <c r="J108" s="2"/>
      <c r="K108" s="2"/>
      <c r="L108" s="2"/>
      <c r="M108" s="2"/>
      <c r="N108" s="2"/>
    </row>
    <row r="109" spans="1:14" s="2" customFormat="1" x14ac:dyDescent="0.2">
      <c r="A109" s="87">
        <v>45176</v>
      </c>
      <c r="B109" s="120" t="s">
        <v>1052</v>
      </c>
      <c r="C109" s="75" t="s">
        <v>271</v>
      </c>
      <c r="D109" s="88">
        <v>1691421</v>
      </c>
      <c r="G109" s="1"/>
    </row>
    <row r="110" spans="1:14" s="2" customFormat="1" x14ac:dyDescent="0.2">
      <c r="A110" s="87">
        <v>45177</v>
      </c>
      <c r="B110" s="120" t="s">
        <v>1052</v>
      </c>
      <c r="C110" s="75" t="s">
        <v>85</v>
      </c>
      <c r="D110" s="88">
        <v>432581</v>
      </c>
    </row>
    <row r="111" spans="1:14" s="2" customFormat="1" x14ac:dyDescent="0.2">
      <c r="A111" s="87">
        <v>45177</v>
      </c>
      <c r="B111" s="120" t="s">
        <v>1052</v>
      </c>
      <c r="C111" s="75" t="s">
        <v>1521</v>
      </c>
      <c r="D111" s="88">
        <v>1198155</v>
      </c>
    </row>
    <row r="112" spans="1:14" s="2" customFormat="1" x14ac:dyDescent="0.2">
      <c r="A112" s="87">
        <v>45180</v>
      </c>
      <c r="B112" s="120" t="s">
        <v>1052</v>
      </c>
      <c r="C112" s="75" t="s">
        <v>784</v>
      </c>
      <c r="D112" s="88">
        <v>279127</v>
      </c>
    </row>
    <row r="113" spans="1:7" s="2" customFormat="1" x14ac:dyDescent="0.2">
      <c r="A113" s="87">
        <v>45180</v>
      </c>
      <c r="B113" s="120" t="s">
        <v>1052</v>
      </c>
      <c r="C113" s="75" t="s">
        <v>270</v>
      </c>
      <c r="D113" s="88">
        <v>30842</v>
      </c>
    </row>
    <row r="114" spans="1:7" s="2" customFormat="1" x14ac:dyDescent="0.2">
      <c r="A114" s="87">
        <v>45180</v>
      </c>
      <c r="B114" s="120" t="s">
        <v>1052</v>
      </c>
      <c r="C114" s="75" t="s">
        <v>271</v>
      </c>
      <c r="D114" s="88">
        <v>701813</v>
      </c>
      <c r="G114" s="1"/>
    </row>
    <row r="115" spans="1:7" s="2" customFormat="1" x14ac:dyDescent="0.2">
      <c r="A115" s="87">
        <v>45180</v>
      </c>
      <c r="B115" s="120" t="s">
        <v>1052</v>
      </c>
      <c r="C115" s="75" t="s">
        <v>271</v>
      </c>
      <c r="D115" s="88">
        <v>189083</v>
      </c>
      <c r="G115" s="1"/>
    </row>
    <row r="116" spans="1:7" s="2" customFormat="1" x14ac:dyDescent="0.2">
      <c r="A116" s="87">
        <v>45180</v>
      </c>
      <c r="B116" s="120" t="s">
        <v>1052</v>
      </c>
      <c r="C116" s="75" t="s">
        <v>271</v>
      </c>
      <c r="D116" s="88">
        <v>2019</v>
      </c>
      <c r="G116" s="1"/>
    </row>
    <row r="117" spans="1:7" s="2" customFormat="1" x14ac:dyDescent="0.2">
      <c r="A117" s="87">
        <v>45182</v>
      </c>
      <c r="B117" s="120" t="s">
        <v>1052</v>
      </c>
      <c r="C117" s="75" t="s">
        <v>467</v>
      </c>
      <c r="D117" s="88">
        <v>3314639</v>
      </c>
      <c r="G117" s="1"/>
    </row>
    <row r="118" spans="1:7" s="2" customFormat="1" x14ac:dyDescent="0.2">
      <c r="A118" s="87">
        <v>45183</v>
      </c>
      <c r="B118" s="120" t="s">
        <v>1052</v>
      </c>
      <c r="C118" s="75" t="s">
        <v>784</v>
      </c>
      <c r="D118" s="88">
        <v>665398</v>
      </c>
      <c r="G118" s="1"/>
    </row>
    <row r="119" spans="1:7" s="2" customFormat="1" x14ac:dyDescent="0.2">
      <c r="A119" s="87">
        <v>45184</v>
      </c>
      <c r="B119" s="120" t="s">
        <v>1052</v>
      </c>
      <c r="C119" s="75" t="s">
        <v>784</v>
      </c>
      <c r="D119" s="88">
        <v>669733</v>
      </c>
      <c r="G119" s="1"/>
    </row>
    <row r="120" spans="1:7" s="2" customFormat="1" x14ac:dyDescent="0.2">
      <c r="A120" s="87">
        <v>45184</v>
      </c>
      <c r="B120" s="120" t="s">
        <v>1052</v>
      </c>
      <c r="C120" s="75" t="s">
        <v>270</v>
      </c>
      <c r="D120" s="88">
        <v>6923</v>
      </c>
      <c r="G120" s="1"/>
    </row>
    <row r="121" spans="1:7" s="2" customFormat="1" x14ac:dyDescent="0.2">
      <c r="A121" s="87">
        <v>45184</v>
      </c>
      <c r="B121" s="120" t="s">
        <v>1052</v>
      </c>
      <c r="C121" s="75" t="s">
        <v>84</v>
      </c>
      <c r="D121" s="88">
        <v>1092413</v>
      </c>
      <c r="G121" s="1"/>
    </row>
    <row r="122" spans="1:7" s="2" customFormat="1" x14ac:dyDescent="0.2">
      <c r="A122" s="87">
        <v>45184</v>
      </c>
      <c r="B122" s="120" t="s">
        <v>1052</v>
      </c>
      <c r="C122" s="75" t="s">
        <v>270</v>
      </c>
      <c r="D122" s="88">
        <v>273422</v>
      </c>
      <c r="G122" s="1"/>
    </row>
    <row r="123" spans="1:7" s="2" customFormat="1" x14ac:dyDescent="0.2">
      <c r="A123" s="87">
        <v>45185</v>
      </c>
      <c r="B123" s="120" t="s">
        <v>1052</v>
      </c>
      <c r="C123" s="75" t="s">
        <v>85</v>
      </c>
      <c r="D123" s="88">
        <v>389967</v>
      </c>
      <c r="G123" s="1"/>
    </row>
    <row r="124" spans="1:7" s="2" customFormat="1" x14ac:dyDescent="0.2">
      <c r="A124" s="87">
        <v>45185</v>
      </c>
      <c r="B124" s="120" t="s">
        <v>1052</v>
      </c>
      <c r="C124" s="75" t="s">
        <v>87</v>
      </c>
      <c r="D124" s="88">
        <v>887666</v>
      </c>
      <c r="G124" s="1"/>
    </row>
    <row r="125" spans="1:7" s="2" customFormat="1" x14ac:dyDescent="0.2">
      <c r="A125" s="87">
        <v>45187</v>
      </c>
      <c r="B125" s="120" t="s">
        <v>1052</v>
      </c>
      <c r="C125" s="75" t="s">
        <v>784</v>
      </c>
      <c r="D125" s="88">
        <v>702770</v>
      </c>
      <c r="G125" s="1"/>
    </row>
    <row r="126" spans="1:7" s="2" customFormat="1" x14ac:dyDescent="0.2">
      <c r="A126" s="87">
        <v>45187</v>
      </c>
      <c r="B126" s="120" t="s">
        <v>1052</v>
      </c>
      <c r="C126" s="75" t="s">
        <v>1552</v>
      </c>
      <c r="D126" s="88">
        <v>986729.07</v>
      </c>
      <c r="G126" s="1"/>
    </row>
    <row r="127" spans="1:7" s="2" customFormat="1" x14ac:dyDescent="0.2">
      <c r="A127" s="87">
        <v>45189</v>
      </c>
      <c r="B127" s="120" t="s">
        <v>1052</v>
      </c>
      <c r="C127" s="75" t="s">
        <v>767</v>
      </c>
      <c r="D127" s="88">
        <v>140000</v>
      </c>
      <c r="G127" s="1"/>
    </row>
    <row r="128" spans="1:7" s="2" customFormat="1" x14ac:dyDescent="0.2">
      <c r="A128" s="87">
        <v>45189</v>
      </c>
      <c r="B128" s="120" t="s">
        <v>1052</v>
      </c>
      <c r="C128" s="75" t="s">
        <v>271</v>
      </c>
      <c r="D128" s="88">
        <v>17256</v>
      </c>
      <c r="G128" s="1"/>
    </row>
    <row r="129" spans="1:13" s="2" customFormat="1" x14ac:dyDescent="0.2">
      <c r="A129" s="87">
        <v>45190</v>
      </c>
      <c r="B129" s="120" t="s">
        <v>1052</v>
      </c>
      <c r="C129" s="75" t="s">
        <v>1573</v>
      </c>
      <c r="D129" s="88">
        <v>6659450</v>
      </c>
      <c r="G129" s="1"/>
    </row>
    <row r="130" spans="1:13" s="2" customFormat="1" x14ac:dyDescent="0.2">
      <c r="A130" s="87">
        <v>45190</v>
      </c>
      <c r="B130" s="120" t="s">
        <v>1052</v>
      </c>
      <c r="C130" s="75" t="s">
        <v>1478</v>
      </c>
      <c r="D130" s="88">
        <v>3527095</v>
      </c>
      <c r="G130" s="1"/>
    </row>
    <row r="131" spans="1:13" s="2" customFormat="1" x14ac:dyDescent="0.2">
      <c r="A131" s="87">
        <v>45191</v>
      </c>
      <c r="B131" s="120" t="s">
        <v>1052</v>
      </c>
      <c r="C131" s="75" t="s">
        <v>784</v>
      </c>
      <c r="D131" s="88">
        <v>68477</v>
      </c>
      <c r="G131" s="1"/>
    </row>
    <row r="132" spans="1:13" s="2" customFormat="1" x14ac:dyDescent="0.2">
      <c r="A132" s="87">
        <v>45191</v>
      </c>
      <c r="B132" s="120" t="s">
        <v>1052</v>
      </c>
      <c r="C132" s="75" t="s">
        <v>84</v>
      </c>
      <c r="D132" s="88">
        <v>237682</v>
      </c>
      <c r="G132" s="1"/>
    </row>
    <row r="133" spans="1:13" s="2" customFormat="1" x14ac:dyDescent="0.2">
      <c r="A133" s="87"/>
      <c r="B133" s="74"/>
      <c r="C133" s="75"/>
      <c r="D133" s="51">
        <f>SUM(D99:D132)</f>
        <v>34139242.280000001</v>
      </c>
      <c r="F133" s="2" t="s">
        <v>396</v>
      </c>
      <c r="G133" s="1"/>
    </row>
    <row r="134" spans="1:13" s="2" customFormat="1" x14ac:dyDescent="0.2">
      <c r="A134" s="24"/>
      <c r="B134" s="1"/>
      <c r="C134" s="14"/>
      <c r="D134" s="56"/>
      <c r="E134" s="13"/>
      <c r="G134" s="1"/>
    </row>
    <row r="135" spans="1:13" s="2" customFormat="1" x14ac:dyDescent="0.2">
      <c r="A135" s="24"/>
      <c r="B135" s="1"/>
      <c r="C135" s="218" t="s">
        <v>77</v>
      </c>
      <c r="D135" s="219"/>
      <c r="E135" s="219"/>
      <c r="F135" s="220"/>
      <c r="H135" s="2" t="s">
        <v>396</v>
      </c>
    </row>
    <row r="136" spans="1:13" s="2" customFormat="1" x14ac:dyDescent="0.2">
      <c r="A136" s="24"/>
      <c r="B136" s="1"/>
      <c r="C136" s="50"/>
      <c r="D136" s="57" t="s">
        <v>78</v>
      </c>
      <c r="E136" s="58" t="s">
        <v>79</v>
      </c>
      <c r="F136" s="57" t="s">
        <v>72</v>
      </c>
      <c r="H136" s="2" t="s">
        <v>396</v>
      </c>
    </row>
    <row r="137" spans="1:13" s="2" customFormat="1" x14ac:dyDescent="0.2">
      <c r="A137" s="24"/>
      <c r="B137" s="1"/>
      <c r="C137" s="59" t="str">
        <f>"01-09-2023 to "&amp;TEXT(A5-2,"dd-mm-yyyy")</f>
        <v>01-09-2023 to 21-09-2023</v>
      </c>
      <c r="D137" s="60">
        <v>1732.55</v>
      </c>
      <c r="E137" s="60">
        <v>198.2</v>
      </c>
      <c r="F137" s="61">
        <f>SUM(D137:E137)</f>
        <v>1930.75</v>
      </c>
    </row>
    <row r="138" spans="1:13" s="2" customFormat="1" x14ac:dyDescent="0.2">
      <c r="A138" s="24"/>
      <c r="B138" s="1"/>
      <c r="C138" s="62" t="str">
        <f>TEXT(A5-1,"dd-mm-yyyy")</f>
        <v>22-09-2023</v>
      </c>
      <c r="D138" s="60">
        <v>89.53</v>
      </c>
      <c r="E138" s="60">
        <v>7.71</v>
      </c>
      <c r="F138" s="61">
        <f>SUM(D138:E138)</f>
        <v>97.24</v>
      </c>
      <c r="G138" s="1"/>
      <c r="H138" s="53"/>
    </row>
    <row r="139" spans="1:13" s="2" customFormat="1" ht="13.5" thickBot="1" x14ac:dyDescent="0.25">
      <c r="A139" s="24"/>
      <c r="B139" s="1"/>
      <c r="C139" s="63" t="str">
        <f>"01-09-2023 to "&amp;TEXT(A5-1,"dd-mm-yyyy")</f>
        <v>01-09-2023 to 22-09-2023</v>
      </c>
      <c r="D139" s="64">
        <f>SUM(D137:D138)</f>
        <v>1822.08</v>
      </c>
      <c r="E139" s="64">
        <f>SUM(E137:E138)</f>
        <v>205.91</v>
      </c>
      <c r="F139" s="64">
        <f>SUM(F137:F138)</f>
        <v>2027.99</v>
      </c>
      <c r="G139" s="1"/>
      <c r="H139" s="53"/>
    </row>
    <row r="140" spans="1:13" s="2" customFormat="1" ht="13.5" thickTop="1" x14ac:dyDescent="0.2">
      <c r="A140" s="24"/>
      <c r="B140" s="1"/>
      <c r="C140" s="62"/>
      <c r="D140" s="65"/>
      <c r="E140" s="66"/>
      <c r="F140" s="67"/>
      <c r="L140" s="1"/>
      <c r="M140" s="1"/>
    </row>
    <row r="141" spans="1:13" s="2" customFormat="1" x14ac:dyDescent="0.2">
      <c r="A141" s="24"/>
      <c r="B141" s="1"/>
      <c r="C141" s="62" t="str">
        <f>"01-04-2023 to " &amp;C138</f>
        <v>01-04-2023 to 22-09-2023</v>
      </c>
      <c r="D141" s="68">
        <f>+D139+24261.33</f>
        <v>26083.410000000003</v>
      </c>
      <c r="E141" s="68">
        <f>+E139+1685.25</f>
        <v>1891.16</v>
      </c>
      <c r="F141" s="68">
        <f>+F139+25946.58</f>
        <v>27974.570000000003</v>
      </c>
      <c r="G141" s="1"/>
      <c r="L141" s="1"/>
      <c r="M141" s="1"/>
    </row>
    <row r="142" spans="1:13" s="2" customFormat="1" x14ac:dyDescent="0.2">
      <c r="A142" s="24"/>
      <c r="B142" s="1"/>
      <c r="C142" s="52"/>
      <c r="D142" s="85"/>
      <c r="E142" s="53"/>
      <c r="F142" s="53"/>
      <c r="G142" s="1"/>
      <c r="L142" s="1"/>
      <c r="M142" s="1"/>
    </row>
    <row r="143" spans="1:13" s="2" customFormat="1" x14ac:dyDescent="0.2">
      <c r="A143" s="24"/>
      <c r="B143" s="1"/>
      <c r="C143" s="52"/>
      <c r="D143" s="85"/>
      <c r="E143" s="53"/>
      <c r="F143" s="53"/>
      <c r="G143" s="1"/>
      <c r="L143" s="1"/>
      <c r="M143" s="1"/>
    </row>
    <row r="144" spans="1:13" s="2" customFormat="1" x14ac:dyDescent="0.2">
      <c r="A144" s="24"/>
      <c r="B144" s="1"/>
      <c r="C144" s="52"/>
      <c r="D144" s="85"/>
      <c r="E144" s="53"/>
      <c r="F144" s="53"/>
      <c r="G144" s="1"/>
      <c r="L144" s="1"/>
      <c r="M144" s="1"/>
    </row>
    <row r="145" spans="1:13" s="2" customFormat="1" x14ac:dyDescent="0.2">
      <c r="A145" s="24"/>
      <c r="B145" s="1"/>
      <c r="C145" s="52"/>
      <c r="D145" s="85"/>
      <c r="E145" s="53"/>
      <c r="F145" s="53"/>
      <c r="G145" s="1"/>
      <c r="L145" s="1"/>
      <c r="M145" s="1"/>
    </row>
    <row r="146" spans="1:13" s="2" customFormat="1" x14ac:dyDescent="0.2">
      <c r="A146" s="24"/>
      <c r="B146" s="1"/>
      <c r="C146" s="14"/>
      <c r="D146" s="25"/>
      <c r="G146" s="1"/>
      <c r="L146" s="1"/>
      <c r="M146" s="1"/>
    </row>
    <row r="147" spans="1:13" s="2" customFormat="1" x14ac:dyDescent="0.2">
      <c r="A147" s="24"/>
      <c r="B147" s="1"/>
      <c r="C147" s="14"/>
      <c r="D147" s="25"/>
      <c r="G147" s="1"/>
      <c r="L147" s="1"/>
      <c r="M147" s="1"/>
    </row>
    <row r="148" spans="1:13" s="2" customFormat="1" x14ac:dyDescent="0.2">
      <c r="A148" s="24"/>
      <c r="B148" s="1"/>
      <c r="C148" s="14"/>
      <c r="D148" s="25"/>
      <c r="G148" s="1"/>
      <c r="L148" s="1"/>
      <c r="M148" s="1"/>
    </row>
    <row r="149" spans="1:13" s="2" customFormat="1" x14ac:dyDescent="0.2">
      <c r="A149" s="24"/>
      <c r="B149" s="1"/>
      <c r="C149" s="14"/>
      <c r="D149" s="25"/>
      <c r="G149" s="1"/>
      <c r="L149" s="1"/>
      <c r="M149" s="1"/>
    </row>
    <row r="150" spans="1:13" s="2" customFormat="1" x14ac:dyDescent="0.2">
      <c r="A150" s="24"/>
      <c r="B150" s="1"/>
      <c r="C150" s="14"/>
      <c r="D150" s="25"/>
      <c r="G150" s="1"/>
      <c r="L150" s="1"/>
      <c r="M150" s="1"/>
    </row>
    <row r="151" spans="1:13" s="2" customFormat="1" x14ac:dyDescent="0.2">
      <c r="A151" s="24"/>
      <c r="B151" s="1"/>
      <c r="C151" s="14"/>
      <c r="D151" s="25"/>
      <c r="G151" s="1"/>
      <c r="L151" s="1"/>
      <c r="M151" s="1"/>
    </row>
    <row r="152" spans="1:13" s="2" customFormat="1" x14ac:dyDescent="0.2">
      <c r="A152" s="24"/>
      <c r="B152" s="1"/>
      <c r="C152" s="14"/>
      <c r="D152" s="25"/>
      <c r="G152" s="1"/>
      <c r="L152" s="1"/>
      <c r="M152" s="1"/>
    </row>
    <row r="153" spans="1:13" s="2" customFormat="1" x14ac:dyDescent="0.2">
      <c r="A153" s="24"/>
      <c r="B153" s="1"/>
      <c r="C153" s="14"/>
      <c r="D153" s="25"/>
      <c r="G153" s="1"/>
      <c r="L153" s="1"/>
      <c r="M153" s="1"/>
    </row>
    <row r="154" spans="1:13" s="2" customFormat="1" x14ac:dyDescent="0.2">
      <c r="A154" s="24"/>
      <c r="B154" s="1"/>
      <c r="C154" s="14"/>
      <c r="D154" s="25"/>
      <c r="G154" s="1"/>
      <c r="L154" s="1"/>
      <c r="M154" s="1"/>
    </row>
    <row r="155" spans="1:13" s="2" customFormat="1" x14ac:dyDescent="0.2">
      <c r="A155" s="24"/>
      <c r="B155" s="1"/>
      <c r="C155" s="14"/>
      <c r="D155" s="25"/>
      <c r="G155" s="1"/>
      <c r="L155" s="1"/>
      <c r="M155" s="1"/>
    </row>
    <row r="156" spans="1:13" s="2" customFormat="1" x14ac:dyDescent="0.2">
      <c r="A156" s="24"/>
      <c r="B156" s="1"/>
      <c r="C156" s="14"/>
      <c r="D156" s="25"/>
      <c r="G156" s="1"/>
      <c r="L156" s="1"/>
      <c r="M156" s="1"/>
    </row>
    <row r="157" spans="1:13" s="2" customFormat="1" x14ac:dyDescent="0.2">
      <c r="A157" s="24"/>
      <c r="B157" s="1"/>
      <c r="C157" s="14"/>
      <c r="D157" s="25"/>
      <c r="G157" s="1"/>
      <c r="L157" s="1"/>
      <c r="M157" s="1"/>
    </row>
    <row r="158" spans="1:13" s="2" customFormat="1" x14ac:dyDescent="0.2">
      <c r="A158" s="24"/>
      <c r="B158" s="1"/>
      <c r="C158" s="14"/>
      <c r="D158" s="25"/>
      <c r="G158" s="1"/>
      <c r="L158" s="1"/>
      <c r="M158" s="1"/>
    </row>
    <row r="159" spans="1:13" s="2" customFormat="1" x14ac:dyDescent="0.2">
      <c r="A159" s="24"/>
      <c r="B159" s="1"/>
      <c r="C159" s="14"/>
      <c r="D159" s="25"/>
      <c r="G159" s="1"/>
      <c r="L159" s="1"/>
      <c r="M159" s="1"/>
    </row>
    <row r="160" spans="1:13" s="2" customFormat="1" x14ac:dyDescent="0.2">
      <c r="A160" s="24"/>
      <c r="B160" s="1"/>
      <c r="C160" s="14"/>
      <c r="D160" s="25"/>
      <c r="G160" s="1"/>
      <c r="I160" s="1"/>
      <c r="J160" s="1"/>
      <c r="K160" s="1"/>
      <c r="L160" s="1"/>
      <c r="M160" s="1"/>
    </row>
    <row r="161" spans="1:14" s="2" customFormat="1" x14ac:dyDescent="0.2">
      <c r="A161" s="24"/>
      <c r="B161" s="1"/>
      <c r="C161" s="14"/>
      <c r="D161" s="25"/>
      <c r="G161" s="1"/>
    </row>
    <row r="162" spans="1:14" s="2" customFormat="1" x14ac:dyDescent="0.2">
      <c r="A162" s="24"/>
      <c r="B162" s="1"/>
      <c r="C162" s="14"/>
      <c r="D162" s="25"/>
      <c r="G162" s="1"/>
      <c r="I162" s="1"/>
      <c r="J162" s="1"/>
      <c r="K162" s="1"/>
      <c r="L162" s="1"/>
      <c r="M162" s="1"/>
    </row>
    <row r="163" spans="1:14" s="2" customFormat="1" x14ac:dyDescent="0.2">
      <c r="A163" s="24"/>
      <c r="B163" s="1"/>
      <c r="C163" s="14"/>
      <c r="D163" s="25"/>
      <c r="G163" s="54"/>
      <c r="I163" s="1"/>
      <c r="J163" s="1"/>
      <c r="K163" s="1"/>
      <c r="L163" s="1"/>
      <c r="M163" s="1"/>
    </row>
    <row r="164" spans="1:14" s="2" customFormat="1" x14ac:dyDescent="0.2">
      <c r="A164" s="24"/>
      <c r="B164" s="1"/>
      <c r="C164" s="14"/>
      <c r="D164" s="25"/>
      <c r="G164" s="54"/>
      <c r="I164" s="1"/>
      <c r="J164" s="1"/>
      <c r="K164" s="1"/>
      <c r="L164" s="1"/>
      <c r="M164" s="1"/>
    </row>
    <row r="165" spans="1:14" s="2" customFormat="1" x14ac:dyDescent="0.2">
      <c r="A165" s="24"/>
      <c r="B165" s="1"/>
      <c r="C165" s="14"/>
      <c r="D165" s="25"/>
      <c r="G165" s="54"/>
      <c r="I165" s="1"/>
      <c r="J165" s="1"/>
      <c r="K165" s="1"/>
      <c r="L165" s="1"/>
      <c r="M165" s="1"/>
    </row>
    <row r="166" spans="1:14" s="2" customFormat="1" x14ac:dyDescent="0.2">
      <c r="A166" s="24"/>
      <c r="B166" s="1"/>
      <c r="C166" s="14"/>
      <c r="D166" s="25"/>
      <c r="G166" s="54"/>
      <c r="H166" s="2" t="s">
        <v>396</v>
      </c>
      <c r="I166" s="1"/>
      <c r="J166" s="1"/>
      <c r="K166" s="1"/>
      <c r="L166" s="1"/>
      <c r="M166" s="1"/>
      <c r="N166" s="1"/>
    </row>
    <row r="167" spans="1:14" s="2" customFormat="1" x14ac:dyDescent="0.2">
      <c r="A167" s="24"/>
      <c r="B167" s="1"/>
      <c r="C167" s="14"/>
      <c r="D167" s="25"/>
      <c r="G167" s="54"/>
      <c r="H167" s="53"/>
    </row>
    <row r="168" spans="1:14" s="2" customFormat="1" x14ac:dyDescent="0.2">
      <c r="A168" s="24"/>
      <c r="B168" s="1"/>
      <c r="C168" s="14"/>
      <c r="D168" s="25"/>
      <c r="G168" s="54"/>
      <c r="H168" s="53" t="s">
        <v>396</v>
      </c>
      <c r="I168" s="1"/>
      <c r="J168" s="1"/>
      <c r="K168" s="1"/>
      <c r="L168" s="1"/>
      <c r="M168" s="1"/>
      <c r="N168" s="1"/>
    </row>
    <row r="169" spans="1:14" x14ac:dyDescent="0.2">
      <c r="G169" s="54"/>
      <c r="H169" s="53" t="s">
        <v>396</v>
      </c>
      <c r="J169" s="42"/>
    </row>
    <row r="170" spans="1:14" s="2" customFormat="1" x14ac:dyDescent="0.2">
      <c r="A170" s="24"/>
      <c r="B170" s="1"/>
      <c r="C170" s="14"/>
      <c r="D170" s="25"/>
      <c r="G170" s="54"/>
      <c r="H170" s="53"/>
      <c r="I170" s="101"/>
      <c r="J170" s="1"/>
      <c r="K170" s="1"/>
      <c r="L170" s="1"/>
      <c r="M170" s="1"/>
      <c r="N170" s="1"/>
    </row>
    <row r="171" spans="1:14" x14ac:dyDescent="0.2">
      <c r="G171" s="54"/>
      <c r="H171" s="53"/>
    </row>
    <row r="172" spans="1:14" x14ac:dyDescent="0.2">
      <c r="G172" s="54"/>
      <c r="H172" s="53"/>
    </row>
    <row r="173" spans="1:14" x14ac:dyDescent="0.2">
      <c r="G173" s="54"/>
      <c r="H173" s="53"/>
    </row>
  </sheetData>
  <sheetProtection insertRows="0"/>
  <mergeCells count="6">
    <mergeCell ref="C135:F135"/>
    <mergeCell ref="A1:G1"/>
    <mergeCell ref="A3:F3"/>
    <mergeCell ref="A10:F10"/>
    <mergeCell ref="A50:F50"/>
    <mergeCell ref="A97:D97"/>
  </mergeCells>
  <conditionalFormatting sqref="G94:G95">
    <cfRule type="cellIs" dxfId="301" priority="1" operator="lessThan">
      <formula>0</formula>
    </cfRule>
  </conditionalFormatting>
  <conditionalFormatting sqref="C52">
    <cfRule type="duplicateValues" dxfId="300" priority="2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C00-000000000000}">
  <sheetPr codeName="Sheet436">
    <pageSetUpPr fitToPage="1"/>
  </sheetPr>
  <dimension ref="A1:N189"/>
  <sheetViews>
    <sheetView topLeftCell="A77" zoomScaleNormal="100" workbookViewId="0">
      <selection activeCell="E93" sqref="E93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1" ht="20.25" customHeight="1" x14ac:dyDescent="0.4">
      <c r="A1" s="212" t="s">
        <v>1574</v>
      </c>
      <c r="B1" s="212"/>
      <c r="C1" s="212"/>
      <c r="D1" s="212"/>
      <c r="E1" s="212"/>
      <c r="F1" s="212"/>
      <c r="G1" s="212"/>
      <c r="H1" s="112"/>
      <c r="I1" s="112"/>
    </row>
    <row r="2" spans="1:11" ht="12.75" customHeight="1" x14ac:dyDescent="0.4">
      <c r="H2" s="112"/>
      <c r="I2" s="112"/>
    </row>
    <row r="3" spans="1:11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1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1" s="2" customFormat="1" ht="14.25" customHeight="1" x14ac:dyDescent="0.4">
      <c r="A5" s="89">
        <v>45194</v>
      </c>
      <c r="B5" s="9" t="s">
        <v>6</v>
      </c>
      <c r="C5" s="10" t="s">
        <v>7</v>
      </c>
      <c r="D5" s="11"/>
      <c r="E5" s="12">
        <v>1121489.790000001</v>
      </c>
      <c r="F5" s="12"/>
      <c r="G5" s="1"/>
      <c r="H5" s="112"/>
      <c r="I5" s="112"/>
    </row>
    <row r="6" spans="1:11" s="2" customFormat="1" ht="14.25" customHeight="1" x14ac:dyDescent="0.4">
      <c r="A6" s="89">
        <v>45194</v>
      </c>
      <c r="B6" s="9" t="s">
        <v>11</v>
      </c>
      <c r="C6" s="10" t="s">
        <v>1575</v>
      </c>
      <c r="D6" s="11" t="s">
        <v>29</v>
      </c>
      <c r="E6" s="12"/>
      <c r="F6" s="12">
        <v>130850</v>
      </c>
      <c r="G6" s="1"/>
      <c r="H6" s="112"/>
      <c r="I6" s="112"/>
    </row>
    <row r="7" spans="1:11" s="2" customFormat="1" ht="12.75" customHeight="1" x14ac:dyDescent="0.4">
      <c r="D7" s="15" t="s">
        <v>8</v>
      </c>
      <c r="E7" s="16">
        <f>SUM(E5:E5)</f>
        <v>1121489.790000001</v>
      </c>
      <c r="F7" s="16">
        <f>SUM(F6)</f>
        <v>130850</v>
      </c>
      <c r="G7" s="1"/>
      <c r="H7" s="112"/>
      <c r="I7" s="112"/>
    </row>
    <row r="8" spans="1:11" s="2" customFormat="1" ht="12.75" customHeight="1" x14ac:dyDescent="0.4">
      <c r="A8" s="17"/>
      <c r="B8" s="18"/>
      <c r="C8" s="19" t="s">
        <v>9</v>
      </c>
      <c r="D8" s="20"/>
      <c r="E8" s="21">
        <f>+E7-F7</f>
        <v>990639.79000000097</v>
      </c>
      <c r="F8" s="22"/>
      <c r="G8" s="23"/>
      <c r="H8" s="112"/>
      <c r="I8" s="112"/>
      <c r="J8" s="13"/>
    </row>
    <row r="9" spans="1:11" ht="12.75" customHeight="1" x14ac:dyDescent="0.4">
      <c r="H9" s="112"/>
      <c r="I9" s="112"/>
    </row>
    <row r="10" spans="1:11" ht="18" customHeight="1" x14ac:dyDescent="0.4">
      <c r="A10" s="213" t="s">
        <v>1037</v>
      </c>
      <c r="B10" s="213"/>
      <c r="C10" s="213"/>
      <c r="D10" s="213"/>
      <c r="E10" s="213"/>
      <c r="F10" s="213"/>
      <c r="H10" s="112"/>
      <c r="I10" s="169">
        <v>90000000</v>
      </c>
      <c r="J10" s="169" t="s">
        <v>1508</v>
      </c>
    </row>
    <row r="11" spans="1:11" ht="12.75" customHeight="1" x14ac:dyDescent="0.4">
      <c r="A11" s="3" t="s">
        <v>1</v>
      </c>
      <c r="B11" s="4" t="s">
        <v>2</v>
      </c>
      <c r="C11" s="5"/>
      <c r="D11" s="6" t="s">
        <v>3</v>
      </c>
      <c r="E11" s="7" t="s">
        <v>4</v>
      </c>
      <c r="F11" s="7" t="s">
        <v>5</v>
      </c>
      <c r="H11" s="112"/>
      <c r="I11" s="169">
        <v>84699123.200000003</v>
      </c>
      <c r="J11" s="169" t="s">
        <v>1509</v>
      </c>
      <c r="K11" s="124"/>
    </row>
    <row r="12" spans="1:11" s="2" customFormat="1" ht="14.25" customHeight="1" x14ac:dyDescent="0.2">
      <c r="A12" s="89">
        <v>45194</v>
      </c>
      <c r="B12" s="9" t="s">
        <v>6</v>
      </c>
      <c r="C12" s="10" t="s">
        <v>7</v>
      </c>
      <c r="D12" s="11"/>
      <c r="F12" s="12">
        <v>63279346.200000003</v>
      </c>
      <c r="G12" s="1"/>
      <c r="H12" s="130" t="s">
        <v>396</v>
      </c>
      <c r="I12" s="169">
        <f>+I10-I11</f>
        <v>5300876.799999997</v>
      </c>
      <c r="J12" s="169" t="s">
        <v>712</v>
      </c>
      <c r="K12" s="165" t="s">
        <v>1512</v>
      </c>
    </row>
    <row r="13" spans="1:11" s="2" customFormat="1" ht="14.25" customHeight="1" x14ac:dyDescent="0.2">
      <c r="A13" s="89">
        <v>45194</v>
      </c>
      <c r="B13" s="9" t="s">
        <v>6</v>
      </c>
      <c r="C13" s="76" t="s">
        <v>405</v>
      </c>
      <c r="D13" s="11" t="s">
        <v>13</v>
      </c>
      <c r="E13" s="2">
        <v>3967704</v>
      </c>
      <c r="F13" s="12"/>
      <c r="G13" s="1"/>
      <c r="H13" s="130"/>
      <c r="I13" s="171"/>
      <c r="J13" s="171"/>
      <c r="K13" s="165"/>
    </row>
    <row r="14" spans="1:11" s="2" customFormat="1" ht="14.25" customHeight="1" x14ac:dyDescent="0.2">
      <c r="A14" s="89">
        <v>45194</v>
      </c>
      <c r="B14" s="9" t="s">
        <v>6</v>
      </c>
      <c r="C14" s="76" t="s">
        <v>1410</v>
      </c>
      <c r="D14" s="11" t="s">
        <v>13</v>
      </c>
      <c r="F14" s="31">
        <v>1506913</v>
      </c>
      <c r="G14" s="1"/>
      <c r="H14" s="130"/>
      <c r="I14" s="171"/>
      <c r="J14" s="171"/>
      <c r="K14" s="165"/>
    </row>
    <row r="15" spans="1:11" s="2" customFormat="1" ht="14.25" customHeight="1" x14ac:dyDescent="0.2">
      <c r="A15" s="89">
        <v>45194</v>
      </c>
      <c r="B15" s="9" t="s">
        <v>6</v>
      </c>
      <c r="C15" s="76" t="s">
        <v>1399</v>
      </c>
      <c r="D15" s="11" t="s">
        <v>13</v>
      </c>
      <c r="F15" s="31">
        <v>47200</v>
      </c>
      <c r="G15" s="1"/>
      <c r="H15" s="130"/>
      <c r="I15" s="171"/>
      <c r="J15" s="171"/>
      <c r="K15" s="165"/>
    </row>
    <row r="16" spans="1:11" s="2" customFormat="1" ht="14.25" customHeight="1" x14ac:dyDescent="0.2">
      <c r="A16" s="89">
        <v>45194</v>
      </c>
      <c r="B16" s="9" t="s">
        <v>6</v>
      </c>
      <c r="C16" s="76" t="s">
        <v>494</v>
      </c>
      <c r="D16" s="11" t="s">
        <v>13</v>
      </c>
      <c r="F16" s="31">
        <v>18805</v>
      </c>
      <c r="G16" s="1"/>
      <c r="H16" s="130"/>
      <c r="I16" s="171"/>
      <c r="J16" s="171"/>
      <c r="K16" s="165"/>
    </row>
    <row r="17" spans="1:11" s="2" customFormat="1" ht="14.25" customHeight="1" x14ac:dyDescent="0.2">
      <c r="A17" s="89">
        <v>45194</v>
      </c>
      <c r="B17" s="9" t="s">
        <v>6</v>
      </c>
      <c r="C17" s="76" t="s">
        <v>302</v>
      </c>
      <c r="D17" s="11" t="s">
        <v>13</v>
      </c>
      <c r="F17" s="31">
        <v>10152</v>
      </c>
      <c r="G17" s="1"/>
      <c r="H17" s="130"/>
      <c r="I17" s="171"/>
      <c r="J17" s="171"/>
      <c r="K17" s="165"/>
    </row>
    <row r="18" spans="1:11" s="2" customFormat="1" ht="14.25" customHeight="1" x14ac:dyDescent="0.2">
      <c r="A18" s="89">
        <v>45194</v>
      </c>
      <c r="B18" s="9" t="s">
        <v>6</v>
      </c>
      <c r="C18" s="76" t="s">
        <v>171</v>
      </c>
      <c r="D18" s="11" t="s">
        <v>29</v>
      </c>
      <c r="F18" s="31">
        <v>6225</v>
      </c>
      <c r="G18" s="1"/>
      <c r="H18" s="130"/>
      <c r="I18" s="171"/>
      <c r="J18" s="171"/>
      <c r="K18" s="165"/>
    </row>
    <row r="19" spans="1:11" s="13" customFormat="1" ht="14.25" customHeight="1" x14ac:dyDescent="0.2">
      <c r="A19" s="89">
        <v>45194</v>
      </c>
      <c r="B19" s="98" t="s">
        <v>11</v>
      </c>
      <c r="C19" s="76" t="s">
        <v>1346</v>
      </c>
      <c r="D19" s="11" t="s">
        <v>29</v>
      </c>
      <c r="E19" s="2"/>
      <c r="F19" s="31">
        <v>1020</v>
      </c>
      <c r="G19" s="23"/>
      <c r="H19" s="173"/>
      <c r="I19" s="174"/>
      <c r="J19" s="174"/>
      <c r="K19" s="175"/>
    </row>
    <row r="20" spans="1:11" s="13" customFormat="1" ht="14.25" customHeight="1" x14ac:dyDescent="0.2">
      <c r="A20" s="89">
        <v>45194</v>
      </c>
      <c r="B20" s="9" t="s">
        <v>11</v>
      </c>
      <c r="C20" s="76" t="s">
        <v>194</v>
      </c>
      <c r="D20" s="11" t="s">
        <v>29</v>
      </c>
      <c r="E20" s="2"/>
      <c r="F20" s="31">
        <v>588132</v>
      </c>
      <c r="G20" s="23"/>
      <c r="H20" s="173"/>
      <c r="I20" s="174"/>
      <c r="J20" s="174"/>
      <c r="K20" s="175"/>
    </row>
    <row r="21" spans="1:11" s="2" customFormat="1" ht="14.25" customHeight="1" x14ac:dyDescent="0.2">
      <c r="A21" s="89">
        <v>45194</v>
      </c>
      <c r="B21" s="9" t="s">
        <v>11</v>
      </c>
      <c r="C21" s="76" t="s">
        <v>1140</v>
      </c>
      <c r="D21" s="11" t="s">
        <v>29</v>
      </c>
      <c r="F21" s="31">
        <v>192592</v>
      </c>
      <c r="G21" s="1"/>
      <c r="H21" s="130"/>
      <c r="I21" s="171"/>
      <c r="J21" s="171"/>
      <c r="K21" s="165"/>
    </row>
    <row r="22" spans="1:11" s="2" customFormat="1" ht="14.25" customHeight="1" x14ac:dyDescent="0.2">
      <c r="A22" s="89">
        <v>45194</v>
      </c>
      <c r="B22" s="9" t="s">
        <v>11</v>
      </c>
      <c r="C22" s="76" t="s">
        <v>790</v>
      </c>
      <c r="D22" s="11" t="s">
        <v>29</v>
      </c>
      <c r="F22" s="31">
        <v>672987</v>
      </c>
      <c r="G22" s="1"/>
      <c r="H22" s="130"/>
      <c r="I22" s="171"/>
      <c r="J22" s="171"/>
      <c r="K22" s="165"/>
    </row>
    <row r="23" spans="1:11" s="2" customFormat="1" ht="14.25" customHeight="1" x14ac:dyDescent="0.2">
      <c r="A23" s="89">
        <v>45194</v>
      </c>
      <c r="B23" s="9" t="s">
        <v>11</v>
      </c>
      <c r="C23" s="76" t="s">
        <v>849</v>
      </c>
      <c r="D23" s="11" t="s">
        <v>29</v>
      </c>
      <c r="F23" s="31">
        <v>413609</v>
      </c>
      <c r="G23" s="1"/>
      <c r="H23" s="130"/>
      <c r="I23" s="171"/>
      <c r="J23" s="171"/>
      <c r="K23" s="165"/>
    </row>
    <row r="24" spans="1:11" s="2" customFormat="1" ht="14.25" customHeight="1" x14ac:dyDescent="0.2">
      <c r="A24" s="89">
        <v>45194</v>
      </c>
      <c r="B24" s="9" t="s">
        <v>11</v>
      </c>
      <c r="C24" s="76" t="s">
        <v>745</v>
      </c>
      <c r="D24" s="11" t="s">
        <v>29</v>
      </c>
      <c r="F24" s="31">
        <v>927549</v>
      </c>
      <c r="G24" s="1"/>
      <c r="H24" s="130"/>
      <c r="I24" s="171"/>
      <c r="J24" s="171"/>
      <c r="K24" s="165"/>
    </row>
    <row r="25" spans="1:11" s="2" customFormat="1" ht="14.25" customHeight="1" x14ac:dyDescent="0.2">
      <c r="A25" s="89">
        <v>45194</v>
      </c>
      <c r="B25" s="9" t="s">
        <v>11</v>
      </c>
      <c r="C25" s="76" t="s">
        <v>193</v>
      </c>
      <c r="D25" s="11" t="s">
        <v>29</v>
      </c>
      <c r="F25" s="31">
        <v>652581</v>
      </c>
      <c r="G25" s="1"/>
      <c r="H25" s="130"/>
      <c r="I25" s="171"/>
      <c r="J25" s="171"/>
      <c r="K25" s="165"/>
    </row>
    <row r="26" spans="1:11" s="2" customFormat="1" ht="14.25" customHeight="1" x14ac:dyDescent="0.2">
      <c r="A26" s="89">
        <v>45194</v>
      </c>
      <c r="B26" s="9" t="s">
        <v>11</v>
      </c>
      <c r="C26" s="76" t="s">
        <v>56</v>
      </c>
      <c r="D26" s="11" t="s">
        <v>29</v>
      </c>
      <c r="F26" s="31">
        <v>536204</v>
      </c>
      <c r="G26" s="1"/>
      <c r="H26" s="130"/>
      <c r="I26" s="171"/>
      <c r="J26" s="171"/>
      <c r="K26" s="165"/>
    </row>
    <row r="27" spans="1:11" s="2" customFormat="1" ht="14.25" customHeight="1" x14ac:dyDescent="0.2">
      <c r="A27" s="89">
        <v>45194</v>
      </c>
      <c r="B27" s="9" t="s">
        <v>11</v>
      </c>
      <c r="C27" s="76" t="s">
        <v>520</v>
      </c>
      <c r="D27" s="11" t="s">
        <v>29</v>
      </c>
      <c r="F27" s="31">
        <v>437756</v>
      </c>
      <c r="G27" s="1"/>
      <c r="H27" s="130"/>
      <c r="I27" s="171"/>
      <c r="J27" s="171"/>
      <c r="K27" s="165"/>
    </row>
    <row r="28" spans="1:11" s="2" customFormat="1" ht="14.25" customHeight="1" x14ac:dyDescent="0.2">
      <c r="A28" s="89">
        <v>45194</v>
      </c>
      <c r="B28" s="9" t="s">
        <v>11</v>
      </c>
      <c r="C28" s="76" t="s">
        <v>300</v>
      </c>
      <c r="D28" s="11" t="s">
        <v>29</v>
      </c>
      <c r="F28" s="31">
        <v>85130</v>
      </c>
      <c r="G28" s="1"/>
      <c r="H28" s="130"/>
      <c r="I28" s="171"/>
      <c r="J28" s="171"/>
      <c r="K28" s="165"/>
    </row>
    <row r="29" spans="1:11" s="2" customFormat="1" ht="14.25" customHeight="1" x14ac:dyDescent="0.2">
      <c r="A29" s="89">
        <v>45194</v>
      </c>
      <c r="B29" s="9" t="s">
        <v>11</v>
      </c>
      <c r="C29" s="76" t="s">
        <v>410</v>
      </c>
      <c r="D29" s="11" t="s">
        <v>29</v>
      </c>
      <c r="F29" s="31">
        <v>149270</v>
      </c>
      <c r="G29" s="1"/>
      <c r="H29" s="130"/>
      <c r="I29" s="171"/>
      <c r="J29" s="171"/>
      <c r="K29" s="165"/>
    </row>
    <row r="30" spans="1:11" s="2" customFormat="1" ht="14.25" customHeight="1" x14ac:dyDescent="0.2">
      <c r="A30" s="89">
        <v>45194</v>
      </c>
      <c r="B30" s="9" t="s">
        <v>11</v>
      </c>
      <c r="C30" s="76" t="s">
        <v>57</v>
      </c>
      <c r="D30" s="11" t="s">
        <v>29</v>
      </c>
      <c r="F30" s="31">
        <v>10000000</v>
      </c>
      <c r="G30" s="1"/>
      <c r="H30" s="130"/>
      <c r="I30" s="171"/>
      <c r="J30" s="171"/>
      <c r="K30" s="165"/>
    </row>
    <row r="31" spans="1:11" s="2" customFormat="1" ht="14.25" customHeight="1" x14ac:dyDescent="0.2">
      <c r="A31" s="89">
        <v>45194</v>
      </c>
      <c r="B31" s="9" t="s">
        <v>11</v>
      </c>
      <c r="C31" s="76" t="s">
        <v>238</v>
      </c>
      <c r="D31" s="11" t="s">
        <v>29</v>
      </c>
      <c r="F31" s="31">
        <v>250000</v>
      </c>
      <c r="G31" s="1"/>
      <c r="H31" s="130"/>
      <c r="I31" s="171"/>
      <c r="J31" s="171"/>
      <c r="K31" s="165"/>
    </row>
    <row r="32" spans="1:11" s="2" customFormat="1" ht="14.25" customHeight="1" x14ac:dyDescent="0.2">
      <c r="A32" s="89">
        <v>45194</v>
      </c>
      <c r="B32" s="9" t="s">
        <v>11</v>
      </c>
      <c r="C32" s="76" t="s">
        <v>1576</v>
      </c>
      <c r="D32" s="11" t="s">
        <v>29</v>
      </c>
      <c r="F32" s="31">
        <v>4189</v>
      </c>
      <c r="G32" s="1"/>
      <c r="H32" s="130"/>
      <c r="I32" s="171"/>
      <c r="J32" s="171"/>
      <c r="K32" s="165"/>
    </row>
    <row r="33" spans="1:14" s="2" customFormat="1" ht="14.25" customHeight="1" x14ac:dyDescent="0.2">
      <c r="A33" s="89">
        <v>45194</v>
      </c>
      <c r="B33" s="9" t="s">
        <v>11</v>
      </c>
      <c r="C33" s="76" t="s">
        <v>147</v>
      </c>
      <c r="D33" s="11" t="s">
        <v>29</v>
      </c>
      <c r="F33" s="31">
        <v>3773921</v>
      </c>
      <c r="G33" s="1"/>
      <c r="H33" s="130"/>
      <c r="I33" s="171"/>
      <c r="J33" s="171"/>
      <c r="K33" s="165"/>
    </row>
    <row r="34" spans="1:14" s="2" customFormat="1" ht="14.25" customHeight="1" x14ac:dyDescent="0.2">
      <c r="A34" s="89">
        <v>45194</v>
      </c>
      <c r="B34" s="9" t="s">
        <v>11</v>
      </c>
      <c r="C34" s="76" t="s">
        <v>32</v>
      </c>
      <c r="D34" s="11" t="s">
        <v>29</v>
      </c>
      <c r="F34" s="31">
        <v>1121942</v>
      </c>
      <c r="G34" s="1"/>
      <c r="H34" s="130"/>
      <c r="I34" s="171"/>
      <c r="J34" s="171"/>
      <c r="K34" s="165"/>
    </row>
    <row r="35" spans="1:14" s="2" customFormat="1" ht="14.25" customHeight="1" x14ac:dyDescent="0.2">
      <c r="A35" s="89">
        <v>45194</v>
      </c>
      <c r="B35" s="9" t="s">
        <v>11</v>
      </c>
      <c r="C35" s="76" t="s">
        <v>1577</v>
      </c>
      <c r="D35" s="11" t="s">
        <v>29</v>
      </c>
      <c r="F35" s="31">
        <v>16100</v>
      </c>
      <c r="G35" s="1"/>
      <c r="H35" s="130"/>
      <c r="I35" s="171"/>
      <c r="J35" s="171"/>
      <c r="K35" s="165"/>
    </row>
    <row r="36" spans="1:14" s="2" customFormat="1" ht="14.25" customHeight="1" x14ac:dyDescent="0.2">
      <c r="A36" s="89">
        <v>45194</v>
      </c>
      <c r="B36" s="9" t="s">
        <v>11</v>
      </c>
      <c r="C36" s="76" t="s">
        <v>1578</v>
      </c>
      <c r="D36" s="11" t="s">
        <v>29</v>
      </c>
      <c r="F36" s="31">
        <v>7500</v>
      </c>
      <c r="G36" s="1"/>
      <c r="H36" s="130"/>
      <c r="I36" s="171"/>
      <c r="J36" s="171"/>
      <c r="K36" s="165"/>
    </row>
    <row r="37" spans="1:14" s="2" customFormat="1" ht="14.25" customHeight="1" x14ac:dyDescent="0.2">
      <c r="D37" s="11" t="s">
        <v>8</v>
      </c>
      <c r="E37" s="16">
        <f>SUM(E12:E36)</f>
        <v>3967704</v>
      </c>
      <c r="F37" s="16">
        <f>SUM(F12:F36)</f>
        <v>84699123.200000003</v>
      </c>
      <c r="G37" s="1"/>
      <c r="H37" s="143"/>
      <c r="I37" s="130"/>
      <c r="J37" s="143"/>
      <c r="K37" s="143"/>
      <c r="L37" s="143"/>
      <c r="M37" s="143"/>
    </row>
    <row r="38" spans="1:14" s="2" customFormat="1" ht="14.25" customHeight="1" x14ac:dyDescent="0.4">
      <c r="A38" s="17"/>
      <c r="B38" s="18"/>
      <c r="C38" s="96" t="s">
        <v>9</v>
      </c>
      <c r="D38" s="20"/>
      <c r="E38" s="21">
        <f>+F37-E37</f>
        <v>80731419.200000003</v>
      </c>
      <c r="G38" s="1"/>
      <c r="I38" s="112"/>
      <c r="J38" s="153" t="s">
        <v>779</v>
      </c>
    </row>
    <row r="39" spans="1:14" s="2" customFormat="1" ht="14.25" customHeight="1" x14ac:dyDescent="0.2">
      <c r="A39" s="36"/>
      <c r="B39" s="28" t="s">
        <v>66</v>
      </c>
      <c r="C39" s="43" t="s">
        <v>1458</v>
      </c>
      <c r="D39" s="43"/>
      <c r="E39" s="12">
        <v>30000000</v>
      </c>
      <c r="F39" s="22"/>
      <c r="G39" s="1"/>
      <c r="I39" s="40">
        <v>80731419.200000003</v>
      </c>
      <c r="J39" s="154">
        <f>I39-E38</f>
        <v>0</v>
      </c>
    </row>
    <row r="40" spans="1:14" s="2" customFormat="1" ht="14.25" customHeight="1" x14ac:dyDescent="0.25">
      <c r="A40" s="36"/>
      <c r="B40" s="28"/>
      <c r="C40" s="44" t="s">
        <v>1541</v>
      </c>
      <c r="D40" s="43"/>
      <c r="E40" s="7">
        <f>+E38+E39</f>
        <v>110731419.2</v>
      </c>
      <c r="F40" s="22"/>
      <c r="G40" s="1"/>
      <c r="H40" s="13" t="s">
        <v>1582</v>
      </c>
      <c r="I40" s="13" t="s">
        <v>1583</v>
      </c>
    </row>
    <row r="41" spans="1:14" s="2" customFormat="1" ht="14.25" customHeight="1" x14ac:dyDescent="0.25">
      <c r="A41" s="36"/>
      <c r="B41" s="28"/>
      <c r="C41" s="44" t="s">
        <v>1511</v>
      </c>
      <c r="D41" s="43"/>
      <c r="E41" s="38">
        <f>+I12</f>
        <v>5300876.799999997</v>
      </c>
      <c r="F41" s="22"/>
      <c r="G41" s="1"/>
    </row>
    <row r="42" spans="1:14" s="2" customFormat="1" ht="14.25" customHeight="1" x14ac:dyDescent="0.2">
      <c r="A42" s="24"/>
      <c r="B42" s="1"/>
      <c r="C42" s="14"/>
      <c r="D42" s="25"/>
      <c r="G42" s="1"/>
      <c r="I42" s="130"/>
      <c r="J42" s="130"/>
    </row>
    <row r="43" spans="1:14" s="2" customFormat="1" x14ac:dyDescent="0.2">
      <c r="A43" s="214" t="s">
        <v>10</v>
      </c>
      <c r="B43" s="214"/>
      <c r="C43" s="214"/>
      <c r="D43" s="214"/>
      <c r="E43" s="214"/>
      <c r="F43" s="214"/>
      <c r="G43" s="1"/>
      <c r="H43" s="159"/>
      <c r="I43" s="160">
        <v>150000000</v>
      </c>
      <c r="J43" s="160" t="s">
        <v>1506</v>
      </c>
      <c r="K43" s="70"/>
    </row>
    <row r="44" spans="1:14" s="2" customFormat="1" x14ac:dyDescent="0.2">
      <c r="A44" s="26" t="s">
        <v>1</v>
      </c>
      <c r="B44" s="27" t="s">
        <v>2</v>
      </c>
      <c r="C44" s="5"/>
      <c r="D44" s="6" t="s">
        <v>3</v>
      </c>
      <c r="E44" s="7" t="s">
        <v>4</v>
      </c>
      <c r="F44" s="7" t="s">
        <v>5</v>
      </c>
      <c r="G44" s="1"/>
      <c r="H44" s="159"/>
      <c r="I44" s="160">
        <v>108867541.44</v>
      </c>
      <c r="J44" s="160" t="s">
        <v>1507</v>
      </c>
      <c r="K44" s="70" t="s">
        <v>1512</v>
      </c>
    </row>
    <row r="45" spans="1:14" s="2" customFormat="1" x14ac:dyDescent="0.2">
      <c r="A45" s="89">
        <v>45194</v>
      </c>
      <c r="B45" s="128" t="s">
        <v>11</v>
      </c>
      <c r="C45" s="29" t="s">
        <v>7</v>
      </c>
      <c r="D45" s="25"/>
      <c r="E45" s="31"/>
      <c r="F45" s="2">
        <v>111092031.76000006</v>
      </c>
      <c r="G45" s="23"/>
      <c r="H45" s="159" t="s">
        <v>1505</v>
      </c>
      <c r="I45" s="160">
        <f>+I43-I44</f>
        <v>41132458.560000002</v>
      </c>
      <c r="J45" s="160"/>
      <c r="K45" s="70"/>
    </row>
    <row r="46" spans="1:14" s="2" customFormat="1" x14ac:dyDescent="0.2">
      <c r="A46" s="89">
        <v>45194</v>
      </c>
      <c r="B46" s="128" t="s">
        <v>6</v>
      </c>
      <c r="C46" s="10" t="s">
        <v>519</v>
      </c>
      <c r="D46" s="11" t="s">
        <v>13</v>
      </c>
      <c r="E46" s="86">
        <v>1458241</v>
      </c>
      <c r="F46" s="70"/>
      <c r="G46" s="1"/>
      <c r="N46" s="1"/>
    </row>
    <row r="47" spans="1:14" s="2" customFormat="1" x14ac:dyDescent="0.2">
      <c r="A47" s="89">
        <v>45194</v>
      </c>
      <c r="B47" s="128" t="s">
        <v>6</v>
      </c>
      <c r="C47" s="10" t="s">
        <v>93</v>
      </c>
      <c r="D47" s="11" t="s">
        <v>13</v>
      </c>
      <c r="E47" s="86">
        <v>3131670</v>
      </c>
      <c r="F47" s="70"/>
      <c r="G47" s="1"/>
      <c r="N47" s="1"/>
    </row>
    <row r="48" spans="1:14" s="2" customFormat="1" x14ac:dyDescent="0.2">
      <c r="A48" s="89">
        <v>45194</v>
      </c>
      <c r="B48" s="128" t="s">
        <v>6</v>
      </c>
      <c r="C48" s="10" t="s">
        <v>276</v>
      </c>
      <c r="D48" s="11" t="s">
        <v>13</v>
      </c>
      <c r="E48" s="86">
        <v>13004</v>
      </c>
      <c r="F48" s="70"/>
      <c r="G48" s="1"/>
      <c r="N48" s="1"/>
    </row>
    <row r="49" spans="1:14" s="2" customFormat="1" x14ac:dyDescent="0.2">
      <c r="A49" s="89">
        <v>45194</v>
      </c>
      <c r="B49" s="128" t="s">
        <v>6</v>
      </c>
      <c r="C49" s="10" t="s">
        <v>555</v>
      </c>
      <c r="D49" s="11" t="s">
        <v>13</v>
      </c>
      <c r="E49" s="86">
        <v>190923</v>
      </c>
      <c r="F49" s="70"/>
      <c r="G49" s="1"/>
      <c r="N49" s="1"/>
    </row>
    <row r="50" spans="1:14" s="2" customFormat="1" x14ac:dyDescent="0.2">
      <c r="A50" s="89">
        <v>45194</v>
      </c>
      <c r="B50" s="128" t="s">
        <v>6</v>
      </c>
      <c r="C50" s="10" t="s">
        <v>418</v>
      </c>
      <c r="D50" s="11" t="s">
        <v>13</v>
      </c>
      <c r="E50" s="86">
        <v>32928</v>
      </c>
      <c r="F50" s="70"/>
      <c r="G50" s="1"/>
      <c r="N50" s="1"/>
    </row>
    <row r="51" spans="1:14" s="2" customFormat="1" x14ac:dyDescent="0.2">
      <c r="A51" s="89">
        <v>45194</v>
      </c>
      <c r="B51" s="128" t="s">
        <v>6</v>
      </c>
      <c r="C51" s="10" t="s">
        <v>1581</v>
      </c>
      <c r="D51" s="11" t="s">
        <v>13</v>
      </c>
      <c r="E51" s="86">
        <v>8820</v>
      </c>
      <c r="F51" s="70"/>
      <c r="G51" s="1"/>
      <c r="N51" s="1"/>
    </row>
    <row r="52" spans="1:14" s="2" customFormat="1" x14ac:dyDescent="0.2">
      <c r="A52" s="89">
        <v>45194</v>
      </c>
      <c r="B52" s="128" t="s">
        <v>6</v>
      </c>
      <c r="C52" s="10" t="s">
        <v>817</v>
      </c>
      <c r="D52" s="11" t="s">
        <v>13</v>
      </c>
      <c r="E52" s="86">
        <v>524081</v>
      </c>
      <c r="F52" s="70"/>
      <c r="G52" s="1"/>
      <c r="N52" s="1"/>
    </row>
    <row r="53" spans="1:14" s="2" customFormat="1" x14ac:dyDescent="0.2">
      <c r="A53" s="89">
        <v>45194</v>
      </c>
      <c r="B53" s="128" t="s">
        <v>6</v>
      </c>
      <c r="C53" s="10" t="s">
        <v>121</v>
      </c>
      <c r="D53" s="11" t="s">
        <v>13</v>
      </c>
      <c r="E53" s="86">
        <v>500000</v>
      </c>
      <c r="F53" s="70"/>
      <c r="G53" s="1"/>
      <c r="N53" s="1"/>
    </row>
    <row r="54" spans="1:14" s="2" customFormat="1" x14ac:dyDescent="0.2">
      <c r="A54" s="89">
        <v>45194</v>
      </c>
      <c r="B54" s="128" t="s">
        <v>6</v>
      </c>
      <c r="C54" s="10" t="s">
        <v>688</v>
      </c>
      <c r="D54" s="11" t="s">
        <v>13</v>
      </c>
      <c r="E54" s="86">
        <v>397999</v>
      </c>
      <c r="F54" s="70"/>
      <c r="G54" s="1"/>
      <c r="N54" s="1"/>
    </row>
    <row r="55" spans="1:14" s="2" customFormat="1" x14ac:dyDescent="0.2">
      <c r="A55" s="89">
        <v>45194</v>
      </c>
      <c r="B55" s="128" t="s">
        <v>6</v>
      </c>
      <c r="C55" s="10" t="s">
        <v>15</v>
      </c>
      <c r="D55" s="11" t="s">
        <v>13</v>
      </c>
      <c r="E55" s="86">
        <v>36221.26</v>
      </c>
      <c r="F55" s="70"/>
      <c r="G55" s="1"/>
      <c r="N55" s="1"/>
    </row>
    <row r="56" spans="1:14" s="2" customFormat="1" x14ac:dyDescent="0.2">
      <c r="A56" s="89">
        <v>45194</v>
      </c>
      <c r="B56" s="128" t="s">
        <v>6</v>
      </c>
      <c r="C56" s="10" t="s">
        <v>1584</v>
      </c>
      <c r="D56" s="11" t="s">
        <v>13</v>
      </c>
      <c r="E56" s="86">
        <v>113400</v>
      </c>
      <c r="F56" s="70"/>
      <c r="G56" s="1"/>
      <c r="N56" s="1"/>
    </row>
    <row r="57" spans="1:14" s="2" customFormat="1" x14ac:dyDescent="0.2">
      <c r="A57" s="89">
        <v>45194</v>
      </c>
      <c r="B57" s="128" t="s">
        <v>6</v>
      </c>
      <c r="C57" s="10" t="s">
        <v>1271</v>
      </c>
      <c r="D57" s="11" t="s">
        <v>13</v>
      </c>
      <c r="E57" s="86">
        <v>63665</v>
      </c>
      <c r="F57" s="70"/>
      <c r="G57" s="1"/>
      <c r="N57" s="1"/>
    </row>
    <row r="58" spans="1:14" s="2" customFormat="1" x14ac:dyDescent="0.2">
      <c r="A58" s="89">
        <v>45194</v>
      </c>
      <c r="B58" s="128" t="s">
        <v>6</v>
      </c>
      <c r="C58" s="10" t="s">
        <v>1375</v>
      </c>
      <c r="D58" s="11" t="s">
        <v>13</v>
      </c>
      <c r="E58" s="86">
        <v>2400528</v>
      </c>
      <c r="F58" s="70"/>
      <c r="G58" s="1"/>
      <c r="N58" s="1"/>
    </row>
    <row r="59" spans="1:14" s="2" customFormat="1" x14ac:dyDescent="0.2">
      <c r="A59" s="89">
        <v>45194</v>
      </c>
      <c r="B59" s="128" t="s">
        <v>6</v>
      </c>
      <c r="C59" s="10" t="s">
        <v>390</v>
      </c>
      <c r="D59" s="11" t="s">
        <v>13</v>
      </c>
      <c r="E59" s="86">
        <v>9609</v>
      </c>
      <c r="F59" s="70"/>
      <c r="G59" s="1"/>
      <c r="N59" s="1"/>
    </row>
    <row r="60" spans="1:14" s="2" customFormat="1" x14ac:dyDescent="0.2">
      <c r="A60" s="89">
        <v>45194</v>
      </c>
      <c r="B60" s="128" t="s">
        <v>11</v>
      </c>
      <c r="C60" s="10" t="s">
        <v>284</v>
      </c>
      <c r="D60" s="11" t="s">
        <v>29</v>
      </c>
      <c r="E60" s="86"/>
      <c r="F60" s="70">
        <v>1341080</v>
      </c>
      <c r="G60" s="1"/>
      <c r="N60" s="1"/>
    </row>
    <row r="61" spans="1:14" s="2" customFormat="1" x14ac:dyDescent="0.2">
      <c r="A61" s="89">
        <v>45194</v>
      </c>
      <c r="B61" s="128" t="s">
        <v>11</v>
      </c>
      <c r="C61" s="10" t="s">
        <v>1403</v>
      </c>
      <c r="D61" s="11" t="s">
        <v>29</v>
      </c>
      <c r="E61" s="86"/>
      <c r="F61" s="70">
        <v>3076385.2</v>
      </c>
      <c r="G61" s="1"/>
      <c r="N61" s="1"/>
    </row>
    <row r="62" spans="1:14" s="2" customFormat="1" x14ac:dyDescent="0.2">
      <c r="A62" s="89">
        <v>45194</v>
      </c>
      <c r="B62" s="128" t="s">
        <v>11</v>
      </c>
      <c r="C62" s="10" t="s">
        <v>58</v>
      </c>
      <c r="D62" s="11" t="s">
        <v>29</v>
      </c>
      <c r="E62" s="86"/>
      <c r="F62" s="70">
        <v>405338</v>
      </c>
      <c r="G62" s="1"/>
      <c r="N62" s="1"/>
    </row>
    <row r="63" spans="1:14" s="2" customFormat="1" x14ac:dyDescent="0.2">
      <c r="A63" s="89">
        <v>45194</v>
      </c>
      <c r="B63" s="128" t="s">
        <v>11</v>
      </c>
      <c r="C63" s="10" t="s">
        <v>344</v>
      </c>
      <c r="D63" s="11" t="s">
        <v>29</v>
      </c>
      <c r="E63" s="86"/>
      <c r="F63" s="70">
        <v>4100</v>
      </c>
      <c r="G63" s="1"/>
      <c r="N63" s="1"/>
    </row>
    <row r="64" spans="1:14" s="2" customFormat="1" x14ac:dyDescent="0.2">
      <c r="A64" s="89">
        <v>45194</v>
      </c>
      <c r="B64" s="128" t="s">
        <v>11</v>
      </c>
      <c r="C64" s="10" t="s">
        <v>1579</v>
      </c>
      <c r="D64" s="11" t="s">
        <v>29</v>
      </c>
      <c r="E64" s="86"/>
      <c r="F64" s="70">
        <v>7259.36</v>
      </c>
      <c r="G64" s="1"/>
      <c r="N64" s="1"/>
    </row>
    <row r="65" spans="1:14" s="2" customFormat="1" x14ac:dyDescent="0.2">
      <c r="A65" s="89">
        <v>45194</v>
      </c>
      <c r="B65" s="128" t="s">
        <v>11</v>
      </c>
      <c r="C65" s="10" t="s">
        <v>303</v>
      </c>
      <c r="D65" s="11" t="s">
        <v>29</v>
      </c>
      <c r="E65" s="86"/>
      <c r="F65" s="70">
        <v>13099</v>
      </c>
      <c r="G65" s="1"/>
      <c r="N65" s="1"/>
    </row>
    <row r="66" spans="1:14" s="2" customFormat="1" x14ac:dyDescent="0.2">
      <c r="A66" s="89">
        <v>45194</v>
      </c>
      <c r="B66" s="128" t="s">
        <v>11</v>
      </c>
      <c r="C66" s="10" t="s">
        <v>885</v>
      </c>
      <c r="D66" s="11" t="s">
        <v>29</v>
      </c>
      <c r="E66" s="86"/>
      <c r="F66" s="70">
        <v>5250</v>
      </c>
      <c r="G66" s="1"/>
      <c r="N66" s="1"/>
    </row>
    <row r="67" spans="1:14" s="2" customFormat="1" x14ac:dyDescent="0.2">
      <c r="A67" s="89">
        <v>45194</v>
      </c>
      <c r="B67" s="128" t="s">
        <v>11</v>
      </c>
      <c r="C67" s="10" t="s">
        <v>392</v>
      </c>
      <c r="D67" s="11" t="s">
        <v>29</v>
      </c>
      <c r="E67" s="86"/>
      <c r="F67" s="70">
        <v>195</v>
      </c>
      <c r="G67" s="1"/>
      <c r="N67" s="1"/>
    </row>
    <row r="68" spans="1:14" s="2" customFormat="1" x14ac:dyDescent="0.2">
      <c r="A68" s="89">
        <v>45194</v>
      </c>
      <c r="B68" s="128" t="s">
        <v>11</v>
      </c>
      <c r="C68" s="10" t="s">
        <v>970</v>
      </c>
      <c r="D68" s="11" t="s">
        <v>29</v>
      </c>
      <c r="E68" s="86"/>
      <c r="F68" s="70">
        <v>74526.31</v>
      </c>
      <c r="G68" s="1"/>
      <c r="N68" s="1"/>
    </row>
    <row r="69" spans="1:14" s="2" customFormat="1" x14ac:dyDescent="0.2">
      <c r="A69" s="89">
        <v>45194</v>
      </c>
      <c r="B69" s="128" t="s">
        <v>11</v>
      </c>
      <c r="C69" s="10" t="s">
        <v>353</v>
      </c>
      <c r="D69" s="11" t="s">
        <v>29</v>
      </c>
      <c r="E69" s="86"/>
      <c r="F69" s="70">
        <v>17700</v>
      </c>
      <c r="G69" s="1"/>
      <c r="N69" s="1"/>
    </row>
    <row r="70" spans="1:14" s="2" customFormat="1" x14ac:dyDescent="0.2">
      <c r="A70" s="89">
        <v>45194</v>
      </c>
      <c r="B70" s="128" t="s">
        <v>11</v>
      </c>
      <c r="C70" s="10" t="s">
        <v>460</v>
      </c>
      <c r="D70" s="11" t="s">
        <v>29</v>
      </c>
      <c r="E70" s="86"/>
      <c r="F70" s="70">
        <v>188291</v>
      </c>
      <c r="G70" s="1"/>
      <c r="N70" s="1"/>
    </row>
    <row r="71" spans="1:14" s="2" customFormat="1" x14ac:dyDescent="0.2">
      <c r="A71" s="89">
        <v>45194</v>
      </c>
      <c r="B71" s="128" t="s">
        <v>11</v>
      </c>
      <c r="C71" s="10" t="s">
        <v>126</v>
      </c>
      <c r="D71" s="11" t="s">
        <v>29</v>
      </c>
      <c r="E71" s="86"/>
      <c r="F71" s="70">
        <v>472614</v>
      </c>
      <c r="G71" s="1"/>
      <c r="N71" s="1"/>
    </row>
    <row r="72" spans="1:14" s="2" customFormat="1" x14ac:dyDescent="0.2">
      <c r="A72" s="89">
        <v>45194</v>
      </c>
      <c r="B72" s="128" t="s">
        <v>11</v>
      </c>
      <c r="C72" s="10" t="s">
        <v>204</v>
      </c>
      <c r="D72" s="11" t="s">
        <v>29</v>
      </c>
      <c r="E72" s="86"/>
      <c r="F72" s="70">
        <v>517213</v>
      </c>
      <c r="G72" s="1"/>
      <c r="N72" s="1"/>
    </row>
    <row r="73" spans="1:14" s="2" customFormat="1" x14ac:dyDescent="0.2">
      <c r="A73" s="89">
        <v>45194</v>
      </c>
      <c r="B73" s="128" t="s">
        <v>11</v>
      </c>
      <c r="C73" s="10" t="s">
        <v>925</v>
      </c>
      <c r="D73" s="11" t="s">
        <v>29</v>
      </c>
      <c r="E73" s="86"/>
      <c r="F73" s="70">
        <v>442629.52</v>
      </c>
      <c r="G73" s="1"/>
      <c r="N73" s="1"/>
    </row>
    <row r="74" spans="1:14" s="2" customFormat="1" x14ac:dyDescent="0.2">
      <c r="A74" s="89">
        <v>45194</v>
      </c>
      <c r="B74" s="128" t="s">
        <v>11</v>
      </c>
      <c r="C74" s="10" t="s">
        <v>34</v>
      </c>
      <c r="D74" s="11" t="s">
        <v>29</v>
      </c>
      <c r="E74" s="86"/>
      <c r="F74" s="70">
        <v>150000</v>
      </c>
      <c r="G74" s="1"/>
      <c r="N74" s="1"/>
    </row>
    <row r="75" spans="1:14" s="2" customFormat="1" x14ac:dyDescent="0.2">
      <c r="A75" s="89">
        <v>45194</v>
      </c>
      <c r="B75" s="128" t="s">
        <v>11</v>
      </c>
      <c r="C75" s="10" t="s">
        <v>62</v>
      </c>
      <c r="D75" s="11" t="s">
        <v>29</v>
      </c>
      <c r="E75" s="86"/>
      <c r="F75" s="70">
        <v>144000</v>
      </c>
      <c r="G75" s="1"/>
      <c r="N75" s="1"/>
    </row>
    <row r="76" spans="1:14" s="2" customFormat="1" x14ac:dyDescent="0.2">
      <c r="A76" s="89">
        <v>45194</v>
      </c>
      <c r="B76" s="128" t="s">
        <v>11</v>
      </c>
      <c r="C76" s="10" t="s">
        <v>1580</v>
      </c>
      <c r="D76" s="11" t="s">
        <v>29</v>
      </c>
      <c r="E76" s="86"/>
      <c r="F76" s="70">
        <v>58562</v>
      </c>
      <c r="G76" s="1"/>
      <c r="N76" s="1"/>
    </row>
    <row r="77" spans="1:14" s="2" customFormat="1" x14ac:dyDescent="0.2">
      <c r="A77" s="89">
        <v>45194</v>
      </c>
      <c r="B77" s="128" t="s">
        <v>11</v>
      </c>
      <c r="C77" s="10" t="s">
        <v>107</v>
      </c>
      <c r="D77" s="11" t="s">
        <v>29</v>
      </c>
      <c r="E77" s="86"/>
      <c r="F77" s="70">
        <v>724103.22</v>
      </c>
      <c r="G77" s="1"/>
      <c r="N77" s="1"/>
    </row>
    <row r="78" spans="1:14" s="2" customFormat="1" x14ac:dyDescent="0.2">
      <c r="A78" s="89">
        <v>45194</v>
      </c>
      <c r="B78" s="128" t="s">
        <v>11</v>
      </c>
      <c r="C78" s="10" t="s">
        <v>558</v>
      </c>
      <c r="D78" s="11" t="s">
        <v>29</v>
      </c>
      <c r="E78" s="86"/>
      <c r="F78" s="70">
        <v>1653427.78</v>
      </c>
      <c r="G78" s="1"/>
      <c r="N78" s="1"/>
    </row>
    <row r="79" spans="1:14" s="2" customFormat="1" x14ac:dyDescent="0.2">
      <c r="A79" s="89">
        <v>45194</v>
      </c>
      <c r="B79" s="128" t="s">
        <v>11</v>
      </c>
      <c r="C79" s="10" t="s">
        <v>541</v>
      </c>
      <c r="D79" s="11" t="s">
        <v>29</v>
      </c>
      <c r="E79" s="86"/>
      <c r="F79" s="70">
        <v>248353</v>
      </c>
      <c r="G79" s="1"/>
      <c r="N79" s="1"/>
    </row>
    <row r="80" spans="1:14" s="2" customFormat="1" x14ac:dyDescent="0.2">
      <c r="A80" s="89">
        <v>45194</v>
      </c>
      <c r="B80" s="128" t="s">
        <v>11</v>
      </c>
      <c r="C80" s="10" t="s">
        <v>886</v>
      </c>
      <c r="D80" s="11" t="s">
        <v>29</v>
      </c>
      <c r="E80" s="86"/>
      <c r="F80" s="70">
        <v>5684</v>
      </c>
      <c r="G80" s="1"/>
      <c r="N80" s="1"/>
    </row>
    <row r="81" spans="1:14" s="2" customFormat="1" x14ac:dyDescent="0.2">
      <c r="A81" s="89">
        <v>45194</v>
      </c>
      <c r="B81" s="128" t="s">
        <v>11</v>
      </c>
      <c r="C81" s="10" t="s">
        <v>382</v>
      </c>
      <c r="D81" s="11" t="s">
        <v>29</v>
      </c>
      <c r="E81" s="86"/>
      <c r="F81" s="70">
        <v>405000</v>
      </c>
      <c r="G81" s="1"/>
      <c r="N81" s="1"/>
    </row>
    <row r="82" spans="1:14" s="2" customFormat="1" x14ac:dyDescent="0.2">
      <c r="A82" s="89">
        <v>45194</v>
      </c>
      <c r="B82" s="128" t="s">
        <v>11</v>
      </c>
      <c r="C82" s="10" t="s">
        <v>1472</v>
      </c>
      <c r="D82" s="11" t="s">
        <v>29</v>
      </c>
      <c r="E82" s="86"/>
      <c r="F82" s="70">
        <v>2194586</v>
      </c>
      <c r="G82" s="1"/>
      <c r="N82" s="1"/>
    </row>
    <row r="83" spans="1:14" s="2" customFormat="1" x14ac:dyDescent="0.2">
      <c r="A83" s="89">
        <v>45194</v>
      </c>
      <c r="B83" s="128" t="s">
        <v>11</v>
      </c>
      <c r="C83" s="10" t="s">
        <v>521</v>
      </c>
      <c r="D83" s="11" t="s">
        <v>29</v>
      </c>
      <c r="E83" s="86"/>
      <c r="F83" s="70">
        <v>57420</v>
      </c>
      <c r="G83" s="1"/>
      <c r="N83" s="1"/>
    </row>
    <row r="84" spans="1:14" s="2" customFormat="1" x14ac:dyDescent="0.2">
      <c r="A84" s="89">
        <v>45194</v>
      </c>
      <c r="B84" s="128" t="s">
        <v>11</v>
      </c>
      <c r="C84" s="10" t="s">
        <v>129</v>
      </c>
      <c r="D84" s="11" t="s">
        <v>29</v>
      </c>
      <c r="E84" s="86"/>
      <c r="F84" s="70">
        <v>85990</v>
      </c>
      <c r="G84" s="1"/>
      <c r="N84" s="1"/>
    </row>
    <row r="85" spans="1:14" s="2" customFormat="1" x14ac:dyDescent="0.2">
      <c r="A85" s="89">
        <v>45194</v>
      </c>
      <c r="B85" s="128" t="s">
        <v>11</v>
      </c>
      <c r="C85" s="10" t="s">
        <v>603</v>
      </c>
      <c r="D85" s="11" t="s">
        <v>29</v>
      </c>
      <c r="E85" s="86"/>
      <c r="F85" s="70">
        <v>6262</v>
      </c>
      <c r="G85" s="1"/>
      <c r="N85" s="1"/>
    </row>
    <row r="86" spans="1:14" s="2" customFormat="1" x14ac:dyDescent="0.2">
      <c r="A86" s="89">
        <v>45194</v>
      </c>
      <c r="B86" s="128" t="s">
        <v>11</v>
      </c>
      <c r="C86" s="10" t="s">
        <v>800</v>
      </c>
      <c r="D86" s="11" t="s">
        <v>29</v>
      </c>
      <c r="E86" s="86"/>
      <c r="F86" s="70">
        <v>12637.82</v>
      </c>
      <c r="G86" s="1"/>
      <c r="N86" s="1"/>
    </row>
    <row r="87" spans="1:14" s="2" customFormat="1" x14ac:dyDescent="0.2">
      <c r="A87" s="89">
        <v>45194</v>
      </c>
      <c r="B87" s="128" t="s">
        <v>11</v>
      </c>
      <c r="C87" s="10" t="s">
        <v>64</v>
      </c>
      <c r="D87" s="11" t="s">
        <v>29</v>
      </c>
      <c r="E87" s="86"/>
      <c r="F87" s="70">
        <v>1770</v>
      </c>
      <c r="G87" s="1"/>
      <c r="N87" s="1"/>
    </row>
    <row r="88" spans="1:14" s="2" customFormat="1" x14ac:dyDescent="0.2">
      <c r="A88" s="89">
        <v>45194</v>
      </c>
      <c r="B88" s="128" t="s">
        <v>11</v>
      </c>
      <c r="C88" s="10" t="s">
        <v>27</v>
      </c>
      <c r="D88" s="11" t="s">
        <v>29</v>
      </c>
      <c r="E88" s="86"/>
      <c r="F88" s="70">
        <v>262966.80000000005</v>
      </c>
      <c r="G88" s="1"/>
      <c r="N88" s="1"/>
    </row>
    <row r="89" spans="1:14" s="2" customFormat="1" x14ac:dyDescent="0.2">
      <c r="A89" s="32"/>
      <c r="B89" s="33"/>
      <c r="C89" s="14"/>
      <c r="D89" s="34"/>
      <c r="E89" s="16">
        <f>SUM(E45:E88)</f>
        <v>8881089.2599999998</v>
      </c>
      <c r="F89" s="16">
        <f>SUM(F45:F88)</f>
        <v>123668474.77000006</v>
      </c>
      <c r="G89" s="1"/>
      <c r="H89" s="1"/>
      <c r="I89" s="38">
        <v>114787385.51000001</v>
      </c>
      <c r="J89" s="2" t="s">
        <v>396</v>
      </c>
      <c r="K89" s="92">
        <f>E90-I89</f>
        <v>0</v>
      </c>
      <c r="N89" s="1"/>
    </row>
    <row r="90" spans="1:14" s="2" customFormat="1" x14ac:dyDescent="0.2">
      <c r="A90" s="36"/>
      <c r="B90" s="28" t="s">
        <v>11</v>
      </c>
      <c r="C90" s="19" t="s">
        <v>65</v>
      </c>
      <c r="D90" s="37"/>
      <c r="E90" s="38">
        <f>F89-E89</f>
        <v>114787385.51000005</v>
      </c>
      <c r="F90" s="22"/>
      <c r="G90" s="1"/>
      <c r="H90" s="1"/>
      <c r="I90" s="70"/>
      <c r="J90" s="70"/>
      <c r="K90" s="70"/>
      <c r="N90" s="1"/>
    </row>
    <row r="91" spans="1:14" s="2" customFormat="1" x14ac:dyDescent="0.2">
      <c r="A91" s="36"/>
      <c r="B91" s="28" t="s">
        <v>66</v>
      </c>
      <c r="C91" s="19" t="s">
        <v>67</v>
      </c>
      <c r="D91" s="37"/>
      <c r="E91" s="38">
        <v>6500000</v>
      </c>
      <c r="F91" s="22"/>
      <c r="G91" s="1"/>
      <c r="H91" s="70"/>
      <c r="I91" s="70"/>
      <c r="J91" s="70"/>
      <c r="K91" s="70"/>
      <c r="N91" s="1"/>
    </row>
    <row r="92" spans="1:14" s="2" customFormat="1" x14ac:dyDescent="0.2">
      <c r="A92" s="36"/>
      <c r="B92" s="28" t="s">
        <v>66</v>
      </c>
      <c r="C92" s="43" t="s">
        <v>1457</v>
      </c>
      <c r="D92" s="43"/>
      <c r="E92" s="12">
        <v>350000000</v>
      </c>
      <c r="F92" s="22"/>
      <c r="G92" s="1"/>
      <c r="H92" s="70"/>
      <c r="I92" s="45">
        <v>2982.53</v>
      </c>
      <c r="J92" s="46"/>
      <c r="K92" s="46"/>
      <c r="N92" s="1"/>
    </row>
    <row r="93" spans="1:14" s="2" customFormat="1" ht="15" x14ac:dyDescent="0.25">
      <c r="A93" s="36"/>
      <c r="B93" s="28"/>
      <c r="C93" s="44" t="s">
        <v>1541</v>
      </c>
      <c r="D93" s="43"/>
      <c r="E93" s="7">
        <f>+E92+E90+E91</f>
        <v>471287385.51000005</v>
      </c>
      <c r="F93" s="22"/>
      <c r="G93" s="1"/>
      <c r="H93" s="103" t="s">
        <v>69</v>
      </c>
      <c r="I93" s="45">
        <v>-204.38</v>
      </c>
      <c r="J93" s="46"/>
      <c r="K93" s="46"/>
      <c r="N93" s="1"/>
    </row>
    <row r="94" spans="1:14" s="2" customFormat="1" ht="15" x14ac:dyDescent="0.25">
      <c r="A94" s="24"/>
      <c r="B94" s="1"/>
      <c r="C94" s="44" t="s">
        <v>1510</v>
      </c>
      <c r="D94" s="25"/>
      <c r="E94" s="156">
        <v>26632458.559999999</v>
      </c>
      <c r="G94" s="1"/>
      <c r="H94" s="35" t="s">
        <v>70</v>
      </c>
      <c r="I94" s="45">
        <v>116.8</v>
      </c>
      <c r="J94" s="46">
        <f>+I95-D97</f>
        <v>0</v>
      </c>
      <c r="N94" s="1"/>
    </row>
    <row r="95" spans="1:14" s="124" customFormat="1" ht="12.75" customHeight="1" x14ac:dyDescent="0.2">
      <c r="A95" s="24"/>
      <c r="B95" s="1"/>
      <c r="C95" s="56"/>
      <c r="D95" s="56"/>
      <c r="E95" s="104"/>
      <c r="F95" s="2"/>
      <c r="G95" s="166"/>
      <c r="H95" s="70"/>
      <c r="I95" s="49">
        <f>SUM(I92:I94)</f>
        <v>2894.9500000000003</v>
      </c>
      <c r="J95" s="46"/>
      <c r="K95" s="46"/>
    </row>
    <row r="96" spans="1:14" s="124" customFormat="1" ht="12.75" customHeight="1" x14ac:dyDescent="0.2">
      <c r="A96" s="24"/>
      <c r="B96" s="1"/>
      <c r="C96" s="78" t="s">
        <v>575</v>
      </c>
      <c r="D96" s="48" t="s">
        <v>576</v>
      </c>
      <c r="E96" s="104"/>
      <c r="F96" s="2"/>
      <c r="G96" s="168"/>
      <c r="H96" s="167"/>
      <c r="I96" s="167"/>
      <c r="J96" s="168"/>
    </row>
    <row r="97" spans="1:13" s="124" customFormat="1" ht="12.75" customHeight="1" x14ac:dyDescent="0.2">
      <c r="A97" s="24"/>
      <c r="B97" s="1"/>
      <c r="C97" s="47" t="s">
        <v>570</v>
      </c>
      <c r="D97" s="111">
        <v>2894.95</v>
      </c>
      <c r="E97" s="104"/>
      <c r="F97" s="2"/>
      <c r="G97" s="168"/>
      <c r="H97" s="110" t="s">
        <v>581</v>
      </c>
      <c r="I97" s="167"/>
      <c r="J97" s="168"/>
    </row>
    <row r="98" spans="1:13" s="124" customFormat="1" ht="12.75" customHeight="1" x14ac:dyDescent="0.2">
      <c r="A98" s="24"/>
      <c r="B98" s="1"/>
      <c r="C98" s="47" t="s">
        <v>931</v>
      </c>
      <c r="D98" s="111">
        <v>276.23</v>
      </c>
      <c r="E98" s="104"/>
      <c r="F98" s="2"/>
      <c r="G98" s="168"/>
      <c r="H98" s="110" t="s">
        <v>580</v>
      </c>
      <c r="I98" s="167"/>
      <c r="J98" s="168"/>
    </row>
    <row r="99" spans="1:13" s="124" customFormat="1" ht="12.75" customHeight="1" x14ac:dyDescent="0.2">
      <c r="A99" s="24"/>
      <c r="B99" s="1"/>
      <c r="C99" s="47" t="s">
        <v>572</v>
      </c>
      <c r="D99" s="111">
        <f>+D149/100000</f>
        <v>348.10115280000002</v>
      </c>
      <c r="E99" s="104"/>
      <c r="F99" s="2"/>
      <c r="G99" s="166"/>
      <c r="H99" s="90" t="s">
        <v>587</v>
      </c>
      <c r="I99" s="167"/>
      <c r="J99" s="168"/>
    </row>
    <row r="100" spans="1:13" s="2" customFormat="1" x14ac:dyDescent="0.2">
      <c r="A100" s="24"/>
      <c r="B100" s="1"/>
      <c r="C100" s="108" t="s">
        <v>578</v>
      </c>
      <c r="D100" s="48">
        <f>SUM(D97:D99)</f>
        <v>3519.2811527999997</v>
      </c>
      <c r="E100" s="104"/>
      <c r="G100" s="30"/>
      <c r="I100" s="13"/>
      <c r="J100" s="13"/>
    </row>
    <row r="101" spans="1:13" s="70" customFormat="1" x14ac:dyDescent="0.2">
      <c r="A101" s="24"/>
      <c r="B101" s="1"/>
      <c r="C101" s="47"/>
      <c r="D101" s="107"/>
      <c r="E101" s="104"/>
      <c r="F101" s="2"/>
      <c r="G101" s="30"/>
      <c r="H101" s="2"/>
    </row>
    <row r="102" spans="1:13" s="70" customFormat="1" x14ac:dyDescent="0.2">
      <c r="A102" s="24"/>
      <c r="B102" s="1"/>
      <c r="C102" s="47" t="s">
        <v>932</v>
      </c>
      <c r="D102" s="111">
        <v>235.54</v>
      </c>
      <c r="E102" s="104"/>
      <c r="F102" s="2"/>
      <c r="G102" s="30"/>
      <c r="H102" s="110" t="s">
        <v>581</v>
      </c>
    </row>
    <row r="103" spans="1:13" s="70" customFormat="1" x14ac:dyDescent="0.2">
      <c r="A103" s="24"/>
      <c r="B103" s="1"/>
      <c r="C103" s="136" t="s">
        <v>1142</v>
      </c>
      <c r="D103" s="111">
        <v>212.37</v>
      </c>
      <c r="E103" s="104"/>
      <c r="F103" s="2"/>
      <c r="G103" s="30"/>
      <c r="H103" s="110" t="s">
        <v>581</v>
      </c>
    </row>
    <row r="104" spans="1:13" s="70" customFormat="1" x14ac:dyDescent="0.2">
      <c r="A104" s="24"/>
      <c r="B104" s="1"/>
      <c r="C104" s="78" t="s">
        <v>579</v>
      </c>
      <c r="D104" s="109">
        <f>D102+D103</f>
        <v>447.90999999999997</v>
      </c>
      <c r="E104" s="104"/>
      <c r="F104" s="2"/>
      <c r="G104" s="30"/>
    </row>
    <row r="105" spans="1:13" s="70" customFormat="1" x14ac:dyDescent="0.2">
      <c r="A105" s="24"/>
      <c r="B105" s="1"/>
      <c r="C105" s="105"/>
      <c r="D105" s="106"/>
      <c r="E105" s="104"/>
      <c r="F105" s="2"/>
      <c r="G105" s="30"/>
      <c r="I105" s="2"/>
      <c r="J105" s="114" t="s">
        <v>713</v>
      </c>
      <c r="K105" s="2"/>
      <c r="L105" s="2"/>
      <c r="M105" s="2"/>
    </row>
    <row r="106" spans="1:13" s="70" customFormat="1" x14ac:dyDescent="0.2">
      <c r="A106" s="24"/>
      <c r="B106" s="1"/>
      <c r="C106" s="78" t="s">
        <v>577</v>
      </c>
      <c r="D106" s="109">
        <f>D97+D104</f>
        <v>3342.8599999999997</v>
      </c>
      <c r="E106" s="104"/>
      <c r="F106" s="2"/>
      <c r="G106" s="30"/>
      <c r="I106" s="113"/>
      <c r="J106" s="113" t="s">
        <v>709</v>
      </c>
      <c r="K106" s="113" t="s">
        <v>710</v>
      </c>
      <c r="L106" s="113" t="s">
        <v>711</v>
      </c>
      <c r="M106" s="113" t="s">
        <v>712</v>
      </c>
    </row>
    <row r="107" spans="1:13" s="70" customFormat="1" x14ac:dyDescent="0.2">
      <c r="A107" s="24"/>
      <c r="B107" s="1"/>
      <c r="C107" s="56"/>
      <c r="D107" s="56"/>
      <c r="E107" s="104"/>
      <c r="F107" s="2"/>
      <c r="G107" s="30"/>
      <c r="I107" s="113" t="s">
        <v>706</v>
      </c>
      <c r="J107" s="115"/>
      <c r="K107" s="115">
        <v>968.99</v>
      </c>
      <c r="L107" s="115">
        <v>968.99</v>
      </c>
      <c r="M107" s="113">
        <f>+J107+L107-K107</f>
        <v>0</v>
      </c>
    </row>
    <row r="108" spans="1:13" s="70" customFormat="1" ht="38.25" x14ac:dyDescent="0.2">
      <c r="A108" s="24"/>
      <c r="B108" s="1"/>
      <c r="C108" s="79" t="str">
        <f>"Particulars ( 01-04-2021 to "&amp;TEXT(A5,"dd-mm-yyyy")&amp;" )"</f>
        <v>Particulars ( 01-04-2021 to 25-09-2023 )</v>
      </c>
      <c r="D108" s="80" t="s">
        <v>73</v>
      </c>
      <c r="E108" s="80" t="s">
        <v>74</v>
      </c>
      <c r="F108" s="81" t="s">
        <v>75</v>
      </c>
      <c r="G108" s="80" t="s">
        <v>76</v>
      </c>
      <c r="I108" s="113" t="s">
        <v>707</v>
      </c>
      <c r="J108" s="115">
        <v>183.1</v>
      </c>
      <c r="K108" s="115">
        <v>3569.46</v>
      </c>
      <c r="L108" s="115">
        <v>3923.51</v>
      </c>
      <c r="M108" s="113">
        <f>+J108+L108-K108</f>
        <v>537.15000000000055</v>
      </c>
    </row>
    <row r="109" spans="1:13" s="70" customFormat="1" x14ac:dyDescent="0.2">
      <c r="A109" s="24"/>
      <c r="B109" s="1"/>
      <c r="C109" s="50" t="s">
        <v>444</v>
      </c>
      <c r="D109" s="55">
        <f>+L107+L108+J108</f>
        <v>5075.6000000000004</v>
      </c>
      <c r="E109" s="55">
        <f>+K107+K108</f>
        <v>4538.45</v>
      </c>
      <c r="F109" s="55">
        <f>+D109-E109</f>
        <v>537.15000000000055</v>
      </c>
      <c r="G109" s="55">
        <f>1500-F109</f>
        <v>962.84999999999945</v>
      </c>
      <c r="I109" s="113" t="s">
        <v>708</v>
      </c>
      <c r="J109" s="115">
        <v>1371.02</v>
      </c>
      <c r="K109" s="115">
        <v>14301.81</v>
      </c>
      <c r="L109" s="115">
        <v>13644.7</v>
      </c>
      <c r="M109" s="113">
        <f>+J109+L109-K109</f>
        <v>713.91000000000167</v>
      </c>
    </row>
    <row r="110" spans="1:13" s="70" customFormat="1" ht="12.75" customHeight="1" x14ac:dyDescent="0.2">
      <c r="A110" s="24"/>
      <c r="B110" s="1"/>
      <c r="C110" s="50" t="s">
        <v>71</v>
      </c>
      <c r="D110" s="55">
        <f>+J109+L109</f>
        <v>15015.720000000001</v>
      </c>
      <c r="E110" s="55">
        <f>+K109</f>
        <v>14301.81</v>
      </c>
      <c r="F110" s="55">
        <f>+D110-E110</f>
        <v>713.91000000000167</v>
      </c>
      <c r="G110" s="55">
        <f>1500+700-F110</f>
        <v>1486.0899999999983</v>
      </c>
      <c r="I110" s="2"/>
      <c r="J110" s="118">
        <f>SUM(J107:J109)</f>
        <v>1554.12</v>
      </c>
      <c r="K110" s="118">
        <f>SUM(K107:K109)</f>
        <v>18840.259999999998</v>
      </c>
      <c r="L110" s="118">
        <f>SUM(L107:L109)</f>
        <v>18537.2</v>
      </c>
      <c r="M110" s="118">
        <f>SUM(M107:M109)</f>
        <v>1251.0600000000022</v>
      </c>
    </row>
    <row r="111" spans="1:13" s="70" customFormat="1" ht="12.75" customHeight="1" x14ac:dyDescent="0.2">
      <c r="A111" s="24"/>
      <c r="B111" s="1"/>
      <c r="C111" s="14"/>
      <c r="D111" s="56"/>
      <c r="E111" s="13"/>
      <c r="F111" s="2"/>
      <c r="G111" s="30"/>
    </row>
    <row r="112" spans="1:13" s="70" customFormat="1" ht="12.75" customHeight="1" x14ac:dyDescent="0.2">
      <c r="A112" s="215" t="s">
        <v>80</v>
      </c>
      <c r="B112" s="216"/>
      <c r="C112" s="216"/>
      <c r="D112" s="217"/>
      <c r="E112" s="69"/>
      <c r="G112" s="30"/>
    </row>
    <row r="113" spans="1:14" s="70" customFormat="1" ht="12.75" customHeight="1" x14ac:dyDescent="0.2">
      <c r="A113" s="71" t="s">
        <v>81</v>
      </c>
      <c r="B113" s="71"/>
      <c r="C113" s="72" t="s">
        <v>82</v>
      </c>
      <c r="D113" s="73" t="s">
        <v>83</v>
      </c>
      <c r="E113" s="69"/>
      <c r="G113" s="30"/>
    </row>
    <row r="114" spans="1:14" s="70" customFormat="1" ht="12.75" customHeight="1" x14ac:dyDescent="0.2">
      <c r="A114" s="87">
        <v>45170</v>
      </c>
      <c r="B114" s="120" t="s">
        <v>1052</v>
      </c>
      <c r="C114" s="75" t="s">
        <v>270</v>
      </c>
      <c r="D114" s="88">
        <v>117174</v>
      </c>
      <c r="E114" s="2"/>
      <c r="F114" s="2"/>
      <c r="G114" s="30"/>
      <c r="H114" s="2"/>
      <c r="I114" s="2"/>
      <c r="J114" s="2"/>
      <c r="K114" s="2"/>
      <c r="L114" s="41"/>
      <c r="M114" s="42"/>
      <c r="N114" s="2"/>
    </row>
    <row r="115" spans="1:14" s="70" customFormat="1" ht="12.75" customHeight="1" x14ac:dyDescent="0.2">
      <c r="A115" s="87">
        <v>45171</v>
      </c>
      <c r="B115" s="120" t="s">
        <v>1052</v>
      </c>
      <c r="C115" s="75" t="s">
        <v>767</v>
      </c>
      <c r="D115" s="88">
        <v>278761</v>
      </c>
      <c r="E115" s="2"/>
      <c r="F115" s="2"/>
      <c r="G115" s="30"/>
      <c r="H115" s="2"/>
      <c r="I115" s="2"/>
      <c r="J115" s="1"/>
      <c r="K115" s="1"/>
      <c r="L115" s="1"/>
      <c r="M115" s="1"/>
      <c r="N115" s="2"/>
    </row>
    <row r="116" spans="1:14" s="70" customFormat="1" ht="12.75" customHeight="1" x14ac:dyDescent="0.2">
      <c r="A116" s="87">
        <v>45171</v>
      </c>
      <c r="B116" s="120" t="s">
        <v>1052</v>
      </c>
      <c r="C116" s="75" t="s">
        <v>201</v>
      </c>
      <c r="D116" s="88">
        <v>3500391.21</v>
      </c>
      <c r="E116" s="2"/>
      <c r="F116" s="2"/>
      <c r="G116" s="30"/>
      <c r="H116" s="2"/>
      <c r="I116" s="2"/>
      <c r="J116" s="2"/>
      <c r="K116" s="2"/>
      <c r="L116" s="13"/>
      <c r="M116" s="69" t="s">
        <v>396</v>
      </c>
      <c r="N116" s="2"/>
    </row>
    <row r="117" spans="1:14" s="2" customFormat="1" ht="12.75" customHeight="1" x14ac:dyDescent="0.2">
      <c r="A117" s="87">
        <v>45173</v>
      </c>
      <c r="B117" s="120" t="s">
        <v>1052</v>
      </c>
      <c r="C117" s="75" t="s">
        <v>1478</v>
      </c>
      <c r="D117" s="88">
        <v>22763</v>
      </c>
      <c r="G117" s="30"/>
      <c r="N117" s="1"/>
    </row>
    <row r="118" spans="1:14" s="2" customFormat="1" ht="12.75" customHeight="1" x14ac:dyDescent="0.2">
      <c r="A118" s="87">
        <v>45173</v>
      </c>
      <c r="B118" s="120" t="s">
        <v>1052</v>
      </c>
      <c r="C118" s="75" t="s">
        <v>1478</v>
      </c>
      <c r="D118" s="88">
        <v>1786258</v>
      </c>
      <c r="G118" s="1"/>
      <c r="M118" s="2" t="s">
        <v>396</v>
      </c>
      <c r="N118" s="1"/>
    </row>
    <row r="119" spans="1:14" s="2" customFormat="1" ht="12.75" customHeight="1" x14ac:dyDescent="0.2">
      <c r="A119" s="87">
        <v>45173</v>
      </c>
      <c r="B119" s="120" t="s">
        <v>1052</v>
      </c>
      <c r="C119" s="75" t="s">
        <v>1478</v>
      </c>
      <c r="D119" s="88">
        <v>1329469</v>
      </c>
      <c r="I119" s="1"/>
      <c r="J119" s="1"/>
      <c r="K119" s="1"/>
    </row>
    <row r="120" spans="1:14" s="2" customFormat="1" ht="12.75" customHeight="1" x14ac:dyDescent="0.2">
      <c r="A120" s="87">
        <v>45175</v>
      </c>
      <c r="B120" s="120" t="s">
        <v>1052</v>
      </c>
      <c r="C120" s="75" t="s">
        <v>784</v>
      </c>
      <c r="D120" s="88">
        <v>673560</v>
      </c>
      <c r="G120" s="1"/>
    </row>
    <row r="121" spans="1:14" s="2" customFormat="1" x14ac:dyDescent="0.2">
      <c r="A121" s="87">
        <v>45175</v>
      </c>
      <c r="B121" s="120" t="s">
        <v>1052</v>
      </c>
      <c r="C121" s="75" t="s">
        <v>784</v>
      </c>
      <c r="D121" s="88">
        <v>700391</v>
      </c>
      <c r="G121" s="1"/>
      <c r="N121" s="2" t="s">
        <v>535</v>
      </c>
    </row>
    <row r="122" spans="1:14" x14ac:dyDescent="0.2">
      <c r="A122" s="87">
        <v>45175</v>
      </c>
      <c r="B122" s="120" t="s">
        <v>1052</v>
      </c>
      <c r="C122" s="75" t="s">
        <v>84</v>
      </c>
      <c r="D122" s="88">
        <v>1000000</v>
      </c>
      <c r="I122" s="2"/>
      <c r="J122" s="2"/>
      <c r="K122" s="2"/>
      <c r="L122" s="2"/>
      <c r="M122" s="2"/>
      <c r="N122" s="2"/>
    </row>
    <row r="123" spans="1:14" x14ac:dyDescent="0.2">
      <c r="A123" s="87">
        <v>45176</v>
      </c>
      <c r="B123" s="120" t="s">
        <v>1052</v>
      </c>
      <c r="C123" s="75" t="s">
        <v>85</v>
      </c>
      <c r="D123" s="88">
        <v>565814</v>
      </c>
      <c r="I123" s="2"/>
      <c r="J123" s="2"/>
      <c r="K123" s="2"/>
      <c r="L123" s="2"/>
      <c r="M123" s="2"/>
      <c r="N123" s="2"/>
    </row>
    <row r="124" spans="1:14" s="2" customFormat="1" x14ac:dyDescent="0.2">
      <c r="A124" s="87">
        <v>45176</v>
      </c>
      <c r="B124" s="120" t="s">
        <v>1052</v>
      </c>
      <c r="C124" s="75" t="s">
        <v>271</v>
      </c>
      <c r="D124" s="88">
        <v>1691421</v>
      </c>
      <c r="G124" s="1"/>
    </row>
    <row r="125" spans="1:14" s="2" customFormat="1" x14ac:dyDescent="0.2">
      <c r="A125" s="87">
        <v>45177</v>
      </c>
      <c r="B125" s="120" t="s">
        <v>1052</v>
      </c>
      <c r="C125" s="75" t="s">
        <v>85</v>
      </c>
      <c r="D125" s="88">
        <v>432581</v>
      </c>
    </row>
    <row r="126" spans="1:14" s="2" customFormat="1" x14ac:dyDescent="0.2">
      <c r="A126" s="87">
        <v>45177</v>
      </c>
      <c r="B126" s="120" t="s">
        <v>1052</v>
      </c>
      <c r="C126" s="75" t="s">
        <v>1521</v>
      </c>
      <c r="D126" s="88">
        <v>1198155</v>
      </c>
    </row>
    <row r="127" spans="1:14" s="2" customFormat="1" x14ac:dyDescent="0.2">
      <c r="A127" s="87">
        <v>45180</v>
      </c>
      <c r="B127" s="120" t="s">
        <v>1052</v>
      </c>
      <c r="C127" s="75" t="s">
        <v>784</v>
      </c>
      <c r="D127" s="88">
        <v>279127</v>
      </c>
    </row>
    <row r="128" spans="1:14" s="2" customFormat="1" x14ac:dyDescent="0.2">
      <c r="A128" s="87">
        <v>45180</v>
      </c>
      <c r="B128" s="120" t="s">
        <v>1052</v>
      </c>
      <c r="C128" s="75" t="s">
        <v>270</v>
      </c>
      <c r="D128" s="88">
        <v>30842</v>
      </c>
    </row>
    <row r="129" spans="1:7" s="2" customFormat="1" x14ac:dyDescent="0.2">
      <c r="A129" s="87">
        <v>45180</v>
      </c>
      <c r="B129" s="120" t="s">
        <v>1052</v>
      </c>
      <c r="C129" s="75" t="s">
        <v>271</v>
      </c>
      <c r="D129" s="88">
        <v>701813</v>
      </c>
      <c r="G129" s="1"/>
    </row>
    <row r="130" spans="1:7" s="2" customFormat="1" x14ac:dyDescent="0.2">
      <c r="A130" s="87">
        <v>45180</v>
      </c>
      <c r="B130" s="120" t="s">
        <v>1052</v>
      </c>
      <c r="C130" s="75" t="s">
        <v>271</v>
      </c>
      <c r="D130" s="88">
        <v>189083</v>
      </c>
      <c r="G130" s="1"/>
    </row>
    <row r="131" spans="1:7" s="2" customFormat="1" x14ac:dyDescent="0.2">
      <c r="A131" s="87">
        <v>45180</v>
      </c>
      <c r="B131" s="120" t="s">
        <v>1052</v>
      </c>
      <c r="C131" s="75" t="s">
        <v>271</v>
      </c>
      <c r="D131" s="88">
        <v>2019</v>
      </c>
      <c r="G131" s="1"/>
    </row>
    <row r="132" spans="1:7" s="2" customFormat="1" x14ac:dyDescent="0.2">
      <c r="A132" s="87">
        <v>45182</v>
      </c>
      <c r="B132" s="120" t="s">
        <v>1052</v>
      </c>
      <c r="C132" s="75" t="s">
        <v>467</v>
      </c>
      <c r="D132" s="88">
        <v>3314639</v>
      </c>
      <c r="G132" s="1"/>
    </row>
    <row r="133" spans="1:7" s="2" customFormat="1" x14ac:dyDescent="0.2">
      <c r="A133" s="87">
        <v>45183</v>
      </c>
      <c r="B133" s="120" t="s">
        <v>1052</v>
      </c>
      <c r="C133" s="75" t="s">
        <v>784</v>
      </c>
      <c r="D133" s="88">
        <v>665398</v>
      </c>
      <c r="G133" s="1"/>
    </row>
    <row r="134" spans="1:7" s="2" customFormat="1" x14ac:dyDescent="0.2">
      <c r="A134" s="87">
        <v>45184</v>
      </c>
      <c r="B134" s="120" t="s">
        <v>1052</v>
      </c>
      <c r="C134" s="75" t="s">
        <v>784</v>
      </c>
      <c r="D134" s="88">
        <v>669733</v>
      </c>
      <c r="G134" s="1"/>
    </row>
    <row r="135" spans="1:7" s="2" customFormat="1" x14ac:dyDescent="0.2">
      <c r="A135" s="87">
        <v>45184</v>
      </c>
      <c r="B135" s="120" t="s">
        <v>1052</v>
      </c>
      <c r="C135" s="75" t="s">
        <v>270</v>
      </c>
      <c r="D135" s="88">
        <v>6923</v>
      </c>
      <c r="G135" s="1"/>
    </row>
    <row r="136" spans="1:7" s="2" customFormat="1" x14ac:dyDescent="0.2">
      <c r="A136" s="87">
        <v>45184</v>
      </c>
      <c r="B136" s="120" t="s">
        <v>1052</v>
      </c>
      <c r="C136" s="75" t="s">
        <v>84</v>
      </c>
      <c r="D136" s="88">
        <v>1092413</v>
      </c>
      <c r="G136" s="1"/>
    </row>
    <row r="137" spans="1:7" s="2" customFormat="1" x14ac:dyDescent="0.2">
      <c r="A137" s="87">
        <v>45184</v>
      </c>
      <c r="B137" s="120" t="s">
        <v>1052</v>
      </c>
      <c r="C137" s="75" t="s">
        <v>270</v>
      </c>
      <c r="D137" s="88">
        <v>273422</v>
      </c>
      <c r="G137" s="1"/>
    </row>
    <row r="138" spans="1:7" s="2" customFormat="1" x14ac:dyDescent="0.2">
      <c r="A138" s="87">
        <v>45185</v>
      </c>
      <c r="B138" s="120" t="s">
        <v>1052</v>
      </c>
      <c r="C138" s="75" t="s">
        <v>85</v>
      </c>
      <c r="D138" s="88">
        <v>389967</v>
      </c>
      <c r="G138" s="1"/>
    </row>
    <row r="139" spans="1:7" s="2" customFormat="1" x14ac:dyDescent="0.2">
      <c r="A139" s="87">
        <v>45185</v>
      </c>
      <c r="B139" s="120" t="s">
        <v>1052</v>
      </c>
      <c r="C139" s="75" t="s">
        <v>87</v>
      </c>
      <c r="D139" s="88">
        <v>887666</v>
      </c>
      <c r="G139" s="1"/>
    </row>
    <row r="140" spans="1:7" s="2" customFormat="1" x14ac:dyDescent="0.2">
      <c r="A140" s="87">
        <v>45187</v>
      </c>
      <c r="B140" s="120" t="s">
        <v>1052</v>
      </c>
      <c r="C140" s="75" t="s">
        <v>784</v>
      </c>
      <c r="D140" s="88">
        <v>702770</v>
      </c>
      <c r="G140" s="1"/>
    </row>
    <row r="141" spans="1:7" s="2" customFormat="1" x14ac:dyDescent="0.2">
      <c r="A141" s="87">
        <v>45187</v>
      </c>
      <c r="B141" s="120" t="s">
        <v>1052</v>
      </c>
      <c r="C141" s="75" t="s">
        <v>1552</v>
      </c>
      <c r="D141" s="88">
        <v>986729.07</v>
      </c>
      <c r="G141" s="1"/>
    </row>
    <row r="142" spans="1:7" s="2" customFormat="1" x14ac:dyDescent="0.2">
      <c r="A142" s="87">
        <v>45189</v>
      </c>
      <c r="B142" s="120" t="s">
        <v>1052</v>
      </c>
      <c r="C142" s="75" t="s">
        <v>767</v>
      </c>
      <c r="D142" s="88">
        <v>140000</v>
      </c>
      <c r="G142" s="1"/>
    </row>
    <row r="143" spans="1:7" s="2" customFormat="1" x14ac:dyDescent="0.2">
      <c r="A143" s="87">
        <v>45189</v>
      </c>
      <c r="B143" s="120" t="s">
        <v>1052</v>
      </c>
      <c r="C143" s="75" t="s">
        <v>271</v>
      </c>
      <c r="D143" s="88">
        <v>17256</v>
      </c>
      <c r="G143" s="1"/>
    </row>
    <row r="144" spans="1:7" s="2" customFormat="1" x14ac:dyDescent="0.2">
      <c r="A144" s="87">
        <v>45190</v>
      </c>
      <c r="B144" s="120" t="s">
        <v>1052</v>
      </c>
      <c r="C144" s="75" t="s">
        <v>1573</v>
      </c>
      <c r="D144" s="88">
        <v>6659450</v>
      </c>
      <c r="G144" s="1"/>
    </row>
    <row r="145" spans="1:13" s="2" customFormat="1" x14ac:dyDescent="0.2">
      <c r="A145" s="87">
        <v>45190</v>
      </c>
      <c r="B145" s="120" t="s">
        <v>1052</v>
      </c>
      <c r="C145" s="75" t="s">
        <v>1478</v>
      </c>
      <c r="D145" s="88">
        <v>3527095</v>
      </c>
      <c r="G145" s="1"/>
    </row>
    <row r="146" spans="1:13" s="2" customFormat="1" x14ac:dyDescent="0.2">
      <c r="A146" s="87">
        <v>45191</v>
      </c>
      <c r="B146" s="120" t="s">
        <v>1052</v>
      </c>
      <c r="C146" s="75" t="s">
        <v>784</v>
      </c>
      <c r="D146" s="88">
        <v>68477</v>
      </c>
      <c r="G146" s="1"/>
    </row>
    <row r="147" spans="1:13" s="2" customFormat="1" x14ac:dyDescent="0.2">
      <c r="A147" s="87">
        <v>45191</v>
      </c>
      <c r="B147" s="120" t="s">
        <v>1052</v>
      </c>
      <c r="C147" s="75" t="s">
        <v>84</v>
      </c>
      <c r="D147" s="88">
        <v>237682</v>
      </c>
      <c r="G147" s="1"/>
    </row>
    <row r="148" spans="1:13" s="2" customFormat="1" x14ac:dyDescent="0.2">
      <c r="A148" s="87">
        <v>45194</v>
      </c>
      <c r="B148" s="120" t="s">
        <v>1052</v>
      </c>
      <c r="C148" s="75" t="s">
        <v>784</v>
      </c>
      <c r="D148" s="88">
        <v>670873</v>
      </c>
      <c r="G148" s="1"/>
    </row>
    <row r="149" spans="1:13" s="2" customFormat="1" x14ac:dyDescent="0.2">
      <c r="A149" s="87"/>
      <c r="B149" s="74"/>
      <c r="C149" s="75"/>
      <c r="D149" s="51">
        <f>SUM(D114:D148)</f>
        <v>34810115.280000001</v>
      </c>
      <c r="F149" s="2" t="s">
        <v>396</v>
      </c>
      <c r="G149" s="1"/>
    </row>
    <row r="150" spans="1:13" s="2" customFormat="1" x14ac:dyDescent="0.2">
      <c r="A150" s="24"/>
      <c r="B150" s="1"/>
      <c r="C150" s="14"/>
      <c r="D150" s="56"/>
      <c r="E150" s="13"/>
      <c r="G150" s="1"/>
    </row>
    <row r="151" spans="1:13" s="2" customFormat="1" x14ac:dyDescent="0.2">
      <c r="A151" s="24"/>
      <c r="B151" s="1"/>
      <c r="C151" s="218" t="s">
        <v>77</v>
      </c>
      <c r="D151" s="219"/>
      <c r="E151" s="219"/>
      <c r="F151" s="220"/>
      <c r="H151" s="2" t="s">
        <v>396</v>
      </c>
    </row>
    <row r="152" spans="1:13" s="2" customFormat="1" x14ac:dyDescent="0.2">
      <c r="A152" s="24"/>
      <c r="B152" s="1"/>
      <c r="C152" s="50"/>
      <c r="D152" s="57" t="s">
        <v>78</v>
      </c>
      <c r="E152" s="58" t="s">
        <v>79</v>
      </c>
      <c r="F152" s="57" t="s">
        <v>72</v>
      </c>
      <c r="H152" s="2" t="s">
        <v>396</v>
      </c>
    </row>
    <row r="153" spans="1:13" s="2" customFormat="1" x14ac:dyDescent="0.2">
      <c r="A153" s="24"/>
      <c r="B153" s="1"/>
      <c r="C153" s="59" t="str">
        <f>"01-09-2023 to "&amp;TEXT(A5-2,"dd-mm-yyyy")</f>
        <v>01-09-2023 to 23-09-2023</v>
      </c>
      <c r="D153" s="60">
        <v>1926.74</v>
      </c>
      <c r="E153" s="60">
        <v>230.8</v>
      </c>
      <c r="F153" s="61">
        <f>SUM(D153:E153)</f>
        <v>2157.54</v>
      </c>
    </row>
    <row r="154" spans="1:13" s="2" customFormat="1" x14ac:dyDescent="0.2">
      <c r="A154" s="24"/>
      <c r="B154" s="1"/>
      <c r="C154" s="62" t="str">
        <f>TEXT(A5-1,"dd-mm-yyyy")</f>
        <v>24-09-2023</v>
      </c>
      <c r="D154" s="60">
        <v>3.23</v>
      </c>
      <c r="E154" s="60">
        <v>0</v>
      </c>
      <c r="F154" s="61">
        <f>SUM(D154:E154)</f>
        <v>3.23</v>
      </c>
      <c r="G154" s="1"/>
      <c r="H154" s="53"/>
    </row>
    <row r="155" spans="1:13" s="2" customFormat="1" ht="13.5" thickBot="1" x14ac:dyDescent="0.25">
      <c r="A155" s="24"/>
      <c r="B155" s="1"/>
      <c r="C155" s="63" t="str">
        <f>"01-09-2023 to "&amp;TEXT(A5-1,"dd-mm-yyyy")</f>
        <v>01-09-2023 to 24-09-2023</v>
      </c>
      <c r="D155" s="64">
        <f>SUM(D153:D154)</f>
        <v>1929.97</v>
      </c>
      <c r="E155" s="64">
        <f>SUM(E153:E154)</f>
        <v>230.8</v>
      </c>
      <c r="F155" s="64">
        <f>SUM(F153:F154)</f>
        <v>2160.77</v>
      </c>
      <c r="G155" s="1"/>
      <c r="H155" s="53"/>
    </row>
    <row r="156" spans="1:13" s="2" customFormat="1" ht="13.5" thickTop="1" x14ac:dyDescent="0.2">
      <c r="A156" s="24"/>
      <c r="B156" s="1"/>
      <c r="C156" s="62"/>
      <c r="D156" s="65"/>
      <c r="E156" s="66"/>
      <c r="F156" s="67"/>
      <c r="L156" s="1"/>
      <c r="M156" s="1"/>
    </row>
    <row r="157" spans="1:13" s="2" customFormat="1" x14ac:dyDescent="0.2">
      <c r="A157" s="24"/>
      <c r="B157" s="1"/>
      <c r="C157" s="62" t="str">
        <f>"01-04-2023 to " &amp;C154</f>
        <v>01-04-2023 to 24-09-2023</v>
      </c>
      <c r="D157" s="68">
        <f>+D155+24261.33</f>
        <v>26191.300000000003</v>
      </c>
      <c r="E157" s="68">
        <f>+E155+1685.25</f>
        <v>1916.05</v>
      </c>
      <c r="F157" s="68">
        <f>+F155+25946.58</f>
        <v>28107.350000000002</v>
      </c>
      <c r="G157" s="1"/>
      <c r="L157" s="1"/>
      <c r="M157" s="1"/>
    </row>
    <row r="158" spans="1:13" s="2" customFormat="1" x14ac:dyDescent="0.2">
      <c r="A158" s="24"/>
      <c r="B158" s="1"/>
      <c r="C158" s="52"/>
      <c r="D158" s="85"/>
      <c r="E158" s="53"/>
      <c r="F158" s="53"/>
      <c r="G158" s="1"/>
      <c r="L158" s="1"/>
      <c r="M158" s="1"/>
    </row>
    <row r="159" spans="1:13" s="2" customFormat="1" x14ac:dyDescent="0.2">
      <c r="A159" s="24"/>
      <c r="B159" s="1"/>
      <c r="C159" s="52"/>
      <c r="D159" s="85"/>
      <c r="E159" s="53"/>
      <c r="F159" s="53"/>
      <c r="G159" s="1"/>
      <c r="L159" s="1"/>
      <c r="M159" s="1"/>
    </row>
    <row r="160" spans="1:13" s="2" customFormat="1" x14ac:dyDescent="0.2">
      <c r="A160" s="24"/>
      <c r="B160" s="1"/>
      <c r="C160" s="52"/>
      <c r="D160" s="85"/>
      <c r="E160" s="53"/>
      <c r="F160" s="53"/>
      <c r="G160" s="1"/>
      <c r="L160" s="1"/>
      <c r="M160" s="1"/>
    </row>
    <row r="161" spans="1:13" s="2" customFormat="1" x14ac:dyDescent="0.2">
      <c r="A161" s="24"/>
      <c r="B161" s="1"/>
      <c r="C161" s="52"/>
      <c r="D161" s="85"/>
      <c r="E161" s="53"/>
      <c r="F161" s="53"/>
      <c r="G161" s="1"/>
      <c r="L161" s="1"/>
      <c r="M161" s="1"/>
    </row>
    <row r="162" spans="1:13" s="2" customFormat="1" x14ac:dyDescent="0.2">
      <c r="A162" s="24"/>
      <c r="B162" s="1"/>
      <c r="C162" s="14"/>
      <c r="D162" s="25"/>
      <c r="G162" s="1"/>
      <c r="L162" s="1"/>
      <c r="M162" s="1"/>
    </row>
    <row r="163" spans="1:13" s="2" customFormat="1" x14ac:dyDescent="0.2">
      <c r="A163" s="24"/>
      <c r="B163" s="1"/>
      <c r="C163" s="14"/>
      <c r="D163" s="25"/>
      <c r="G163" s="1"/>
      <c r="L163" s="1"/>
      <c r="M163" s="1"/>
    </row>
    <row r="164" spans="1:13" s="2" customFormat="1" x14ac:dyDescent="0.2">
      <c r="A164" s="24"/>
      <c r="B164" s="1"/>
      <c r="C164" s="14"/>
      <c r="D164" s="25"/>
      <c r="G164" s="1"/>
      <c r="L164" s="1"/>
      <c r="M164" s="1"/>
    </row>
    <row r="165" spans="1:13" s="2" customFormat="1" x14ac:dyDescent="0.2">
      <c r="A165" s="24"/>
      <c r="B165" s="1"/>
      <c r="C165" s="14"/>
      <c r="D165" s="25"/>
      <c r="G165" s="1"/>
      <c r="L165" s="1"/>
      <c r="M165" s="1"/>
    </row>
    <row r="166" spans="1:13" s="2" customFormat="1" x14ac:dyDescent="0.2">
      <c r="A166" s="24"/>
      <c r="B166" s="1"/>
      <c r="C166" s="14"/>
      <c r="D166" s="25"/>
      <c r="G166" s="1"/>
      <c r="L166" s="1"/>
      <c r="M166" s="1"/>
    </row>
    <row r="167" spans="1:13" s="2" customFormat="1" x14ac:dyDescent="0.2">
      <c r="A167" s="24"/>
      <c r="B167" s="1"/>
      <c r="C167" s="14"/>
      <c r="D167" s="25"/>
      <c r="G167" s="1"/>
      <c r="L167" s="1"/>
      <c r="M167" s="1"/>
    </row>
    <row r="168" spans="1:13" s="2" customFormat="1" x14ac:dyDescent="0.2">
      <c r="A168" s="24"/>
      <c r="B168" s="1"/>
      <c r="C168" s="14"/>
      <c r="D168" s="25"/>
      <c r="G168" s="1"/>
      <c r="L168" s="1"/>
      <c r="M168" s="1"/>
    </row>
    <row r="169" spans="1:13" s="2" customFormat="1" x14ac:dyDescent="0.2">
      <c r="A169" s="24"/>
      <c r="B169" s="1"/>
      <c r="C169" s="14"/>
      <c r="D169" s="25"/>
      <c r="G169" s="1"/>
      <c r="L169" s="1"/>
      <c r="M169" s="1"/>
    </row>
    <row r="170" spans="1:13" s="2" customFormat="1" x14ac:dyDescent="0.2">
      <c r="A170" s="24"/>
      <c r="B170" s="1"/>
      <c r="C170" s="14"/>
      <c r="D170" s="25"/>
      <c r="G170" s="1"/>
      <c r="L170" s="1"/>
      <c r="M170" s="1"/>
    </row>
    <row r="171" spans="1:13" s="2" customFormat="1" x14ac:dyDescent="0.2">
      <c r="A171" s="24"/>
      <c r="B171" s="1"/>
      <c r="C171" s="14"/>
      <c r="D171" s="25"/>
      <c r="G171" s="1"/>
      <c r="L171" s="1"/>
      <c r="M171" s="1"/>
    </row>
    <row r="172" spans="1:13" s="2" customFormat="1" x14ac:dyDescent="0.2">
      <c r="A172" s="24"/>
      <c r="B172" s="1"/>
      <c r="C172" s="14"/>
      <c r="D172" s="25"/>
      <c r="G172" s="1"/>
      <c r="L172" s="1"/>
      <c r="M172" s="1"/>
    </row>
    <row r="173" spans="1:13" s="2" customFormat="1" x14ac:dyDescent="0.2">
      <c r="A173" s="24"/>
      <c r="B173" s="1"/>
      <c r="C173" s="14"/>
      <c r="D173" s="25"/>
      <c r="G173" s="1"/>
      <c r="L173" s="1"/>
      <c r="M173" s="1"/>
    </row>
    <row r="174" spans="1:13" s="2" customFormat="1" x14ac:dyDescent="0.2">
      <c r="A174" s="24"/>
      <c r="B174" s="1"/>
      <c r="C174" s="14"/>
      <c r="D174" s="25"/>
      <c r="G174" s="1"/>
      <c r="L174" s="1"/>
      <c r="M174" s="1"/>
    </row>
    <row r="175" spans="1:13" s="2" customFormat="1" x14ac:dyDescent="0.2">
      <c r="A175" s="24"/>
      <c r="B175" s="1"/>
      <c r="C175" s="14"/>
      <c r="D175" s="25"/>
      <c r="G175" s="1"/>
      <c r="L175" s="1"/>
      <c r="M175" s="1"/>
    </row>
    <row r="176" spans="1:13" s="2" customFormat="1" x14ac:dyDescent="0.2">
      <c r="A176" s="24"/>
      <c r="B176" s="1"/>
      <c r="C176" s="14"/>
      <c r="D176" s="25"/>
      <c r="G176" s="1"/>
      <c r="I176" s="1"/>
      <c r="J176" s="1"/>
      <c r="K176" s="1"/>
      <c r="L176" s="1"/>
      <c r="M176" s="1"/>
    </row>
    <row r="177" spans="1:14" s="2" customFormat="1" x14ac:dyDescent="0.2">
      <c r="A177" s="24"/>
      <c r="B177" s="1"/>
      <c r="C177" s="14"/>
      <c r="D177" s="25"/>
      <c r="G177" s="1"/>
    </row>
    <row r="178" spans="1:14" s="2" customFormat="1" x14ac:dyDescent="0.2">
      <c r="A178" s="24"/>
      <c r="B178" s="1"/>
      <c r="C178" s="14"/>
      <c r="D178" s="25"/>
      <c r="G178" s="1"/>
      <c r="I178" s="1"/>
      <c r="J178" s="1"/>
      <c r="K178" s="1"/>
      <c r="L178" s="1"/>
      <c r="M178" s="1"/>
    </row>
    <row r="179" spans="1:14" s="2" customFormat="1" x14ac:dyDescent="0.2">
      <c r="A179" s="24"/>
      <c r="B179" s="1"/>
      <c r="C179" s="14"/>
      <c r="D179" s="25"/>
      <c r="G179" s="54"/>
      <c r="I179" s="1"/>
      <c r="J179" s="1"/>
      <c r="K179" s="1"/>
      <c r="L179" s="1"/>
      <c r="M179" s="1"/>
    </row>
    <row r="180" spans="1:14" s="2" customFormat="1" x14ac:dyDescent="0.2">
      <c r="A180" s="24"/>
      <c r="B180" s="1"/>
      <c r="C180" s="14"/>
      <c r="D180" s="25"/>
      <c r="G180" s="54"/>
      <c r="I180" s="1"/>
      <c r="J180" s="1"/>
      <c r="K180" s="1"/>
      <c r="L180" s="1"/>
      <c r="M180" s="1"/>
    </row>
    <row r="181" spans="1:14" s="2" customFormat="1" x14ac:dyDescent="0.2">
      <c r="A181" s="24"/>
      <c r="B181" s="1"/>
      <c r="C181" s="14"/>
      <c r="D181" s="25"/>
      <c r="G181" s="54"/>
      <c r="I181" s="1"/>
      <c r="J181" s="1"/>
      <c r="K181" s="1"/>
      <c r="L181" s="1"/>
      <c r="M181" s="1"/>
    </row>
    <row r="182" spans="1:14" s="2" customFormat="1" x14ac:dyDescent="0.2">
      <c r="A182" s="24"/>
      <c r="B182" s="1"/>
      <c r="C182" s="14"/>
      <c r="D182" s="25"/>
      <c r="G182" s="54"/>
      <c r="H182" s="2" t="s">
        <v>396</v>
      </c>
      <c r="I182" s="1"/>
      <c r="J182" s="1"/>
      <c r="K182" s="1"/>
      <c r="L182" s="1"/>
      <c r="M182" s="1"/>
      <c r="N182" s="1"/>
    </row>
    <row r="183" spans="1:14" s="2" customFormat="1" x14ac:dyDescent="0.2">
      <c r="A183" s="24"/>
      <c r="B183" s="1"/>
      <c r="C183" s="14"/>
      <c r="D183" s="25"/>
      <c r="G183" s="54"/>
      <c r="H183" s="53"/>
    </row>
    <row r="184" spans="1:14" s="2" customFormat="1" x14ac:dyDescent="0.2">
      <c r="A184" s="24"/>
      <c r="B184" s="1"/>
      <c r="C184" s="14"/>
      <c r="D184" s="25"/>
      <c r="G184" s="54"/>
      <c r="H184" s="53" t="s">
        <v>396</v>
      </c>
      <c r="I184" s="1"/>
      <c r="J184" s="1"/>
      <c r="K184" s="1"/>
      <c r="L184" s="1"/>
      <c r="M184" s="1"/>
      <c r="N184" s="1"/>
    </row>
    <row r="185" spans="1:14" x14ac:dyDescent="0.2">
      <c r="G185" s="54"/>
      <c r="H185" s="53" t="s">
        <v>396</v>
      </c>
      <c r="J185" s="42"/>
    </row>
    <row r="186" spans="1:14" s="2" customFormat="1" x14ac:dyDescent="0.2">
      <c r="A186" s="24"/>
      <c r="B186" s="1"/>
      <c r="C186" s="14"/>
      <c r="D186" s="25"/>
      <c r="G186" s="54"/>
      <c r="H186" s="53"/>
      <c r="I186" s="101"/>
      <c r="J186" s="1"/>
      <c r="K186" s="1"/>
      <c r="L186" s="1"/>
      <c r="M186" s="1"/>
      <c r="N186" s="1"/>
    </row>
    <row r="187" spans="1:14" x14ac:dyDescent="0.2">
      <c r="G187" s="54"/>
      <c r="H187" s="53"/>
    </row>
    <row r="188" spans="1:14" x14ac:dyDescent="0.2">
      <c r="G188" s="54"/>
      <c r="H188" s="53"/>
    </row>
    <row r="189" spans="1:14" x14ac:dyDescent="0.2">
      <c r="G189" s="54"/>
      <c r="H189" s="53"/>
    </row>
  </sheetData>
  <sheetProtection insertRows="0"/>
  <mergeCells count="6">
    <mergeCell ref="C151:F151"/>
    <mergeCell ref="A1:G1"/>
    <mergeCell ref="A3:F3"/>
    <mergeCell ref="A10:F10"/>
    <mergeCell ref="A43:F43"/>
    <mergeCell ref="A112:D112"/>
  </mergeCells>
  <conditionalFormatting sqref="G109:G110">
    <cfRule type="cellIs" dxfId="299" priority="1" operator="lessThan">
      <formula>0</formula>
    </cfRule>
  </conditionalFormatting>
  <conditionalFormatting sqref="C45">
    <cfRule type="duplicateValues" dxfId="298" priority="2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D00-000000000000}">
  <sheetPr codeName="Sheet437">
    <pageSetUpPr fitToPage="1"/>
  </sheetPr>
  <dimension ref="A1:N181"/>
  <sheetViews>
    <sheetView topLeftCell="A46" zoomScaleNormal="100" workbookViewId="0">
      <selection activeCell="C17" sqref="C17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1" ht="20.25" customHeight="1" x14ac:dyDescent="0.4">
      <c r="A1" s="212" t="s">
        <v>1585</v>
      </c>
      <c r="B1" s="212"/>
      <c r="C1" s="212"/>
      <c r="D1" s="212"/>
      <c r="E1" s="212"/>
      <c r="F1" s="212"/>
      <c r="G1" s="212"/>
      <c r="H1" s="112"/>
      <c r="I1" s="112"/>
    </row>
    <row r="2" spans="1:11" ht="12.75" customHeight="1" x14ac:dyDescent="0.4">
      <c r="H2" s="112"/>
      <c r="I2" s="112"/>
    </row>
    <row r="3" spans="1:11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1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1" s="2" customFormat="1" ht="14.25" customHeight="1" x14ac:dyDescent="0.4">
      <c r="A5" s="89">
        <v>45195</v>
      </c>
      <c r="B5" s="9" t="s">
        <v>6</v>
      </c>
      <c r="C5" s="10" t="s">
        <v>7</v>
      </c>
      <c r="D5" s="11"/>
      <c r="E5" s="12">
        <v>990639.79000000097</v>
      </c>
      <c r="F5" s="12"/>
      <c r="G5" s="1"/>
      <c r="H5" s="112"/>
      <c r="I5" s="112"/>
    </row>
    <row r="6" spans="1:11" s="2" customFormat="1" ht="12.75" customHeight="1" x14ac:dyDescent="0.4">
      <c r="D6" s="15" t="s">
        <v>8</v>
      </c>
      <c r="E6" s="16">
        <f>SUM(E5:E5)</f>
        <v>990639.79000000097</v>
      </c>
      <c r="F6" s="16">
        <f>F5</f>
        <v>0</v>
      </c>
      <c r="G6" s="1"/>
      <c r="H6" s="112"/>
      <c r="I6" s="112"/>
    </row>
    <row r="7" spans="1:11" s="2" customFormat="1" ht="12.75" customHeight="1" x14ac:dyDescent="0.4">
      <c r="A7" s="17"/>
      <c r="B7" s="18"/>
      <c r="C7" s="19" t="s">
        <v>9</v>
      </c>
      <c r="D7" s="20"/>
      <c r="E7" s="21">
        <f>+E6-F6</f>
        <v>990639.79000000097</v>
      </c>
      <c r="F7" s="22"/>
      <c r="G7" s="23"/>
      <c r="H7" s="112"/>
      <c r="I7" s="112"/>
      <c r="J7" s="13"/>
    </row>
    <row r="8" spans="1:11" ht="12.75" customHeight="1" x14ac:dyDescent="0.4">
      <c r="H8" s="112"/>
      <c r="I8" s="112"/>
    </row>
    <row r="9" spans="1:11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69">
        <v>90000000</v>
      </c>
      <c r="J9" s="169" t="s">
        <v>1508</v>
      </c>
    </row>
    <row r="10" spans="1:11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69">
        <v>85224916.200000003</v>
      </c>
      <c r="J10" s="169" t="s">
        <v>1509</v>
      </c>
      <c r="K10" s="124"/>
    </row>
    <row r="11" spans="1:11" s="2" customFormat="1" ht="14.25" customHeight="1" x14ac:dyDescent="0.2">
      <c r="A11" s="89">
        <v>45195</v>
      </c>
      <c r="B11" s="9" t="s">
        <v>6</v>
      </c>
      <c r="C11" s="10" t="s">
        <v>7</v>
      </c>
      <c r="D11" s="11"/>
      <c r="F11" s="12">
        <v>80731419.200000003</v>
      </c>
      <c r="G11" s="1"/>
      <c r="H11" s="130" t="s">
        <v>396</v>
      </c>
      <c r="I11" s="169">
        <f>+I9-I10</f>
        <v>4775083.799999997</v>
      </c>
      <c r="J11" s="169" t="s">
        <v>712</v>
      </c>
      <c r="K11" s="165" t="s">
        <v>1512</v>
      </c>
    </row>
    <row r="12" spans="1:11" s="2" customFormat="1" ht="14.25" customHeight="1" x14ac:dyDescent="0.2">
      <c r="A12" s="89">
        <v>45195</v>
      </c>
      <c r="B12" s="9" t="s">
        <v>6</v>
      </c>
      <c r="C12" s="76" t="s">
        <v>158</v>
      </c>
      <c r="D12" s="11" t="s">
        <v>13</v>
      </c>
      <c r="E12" s="2">
        <v>75364</v>
      </c>
      <c r="F12" s="12"/>
      <c r="G12" s="1"/>
      <c r="H12" s="130"/>
      <c r="I12" s="171"/>
      <c r="J12" s="171"/>
      <c r="K12" s="165"/>
    </row>
    <row r="13" spans="1:11" s="2" customFormat="1" ht="14.25" customHeight="1" x14ac:dyDescent="0.2">
      <c r="A13" s="89">
        <v>45195</v>
      </c>
      <c r="B13" s="9" t="s">
        <v>6</v>
      </c>
      <c r="C13" s="76" t="s">
        <v>331</v>
      </c>
      <c r="D13" s="11" t="s">
        <v>13</v>
      </c>
      <c r="E13" s="2">
        <v>1090397</v>
      </c>
      <c r="F13" s="31"/>
      <c r="G13" s="1"/>
      <c r="H13" s="130"/>
      <c r="I13" s="171"/>
      <c r="J13" s="171"/>
      <c r="K13" s="165"/>
    </row>
    <row r="14" spans="1:11" s="2" customFormat="1" ht="14.25" customHeight="1" x14ac:dyDescent="0.2">
      <c r="A14" s="89">
        <v>45195</v>
      </c>
      <c r="B14" s="9" t="s">
        <v>6</v>
      </c>
      <c r="C14" s="76" t="s">
        <v>234</v>
      </c>
      <c r="D14" s="11" t="s">
        <v>13</v>
      </c>
      <c r="E14" s="2">
        <v>45894</v>
      </c>
      <c r="F14" s="31"/>
      <c r="G14" s="1"/>
      <c r="H14" s="130"/>
      <c r="I14" s="171"/>
      <c r="J14" s="171"/>
      <c r="K14" s="165"/>
    </row>
    <row r="15" spans="1:11" s="2" customFormat="1" ht="14.25" customHeight="1" x14ac:dyDescent="0.2">
      <c r="A15" s="89">
        <v>45195</v>
      </c>
      <c r="B15" s="9" t="s">
        <v>6</v>
      </c>
      <c r="C15" s="76" t="s">
        <v>1431</v>
      </c>
      <c r="D15" s="11" t="s">
        <v>13</v>
      </c>
      <c r="E15" s="2">
        <v>658665</v>
      </c>
      <c r="F15" s="31"/>
      <c r="G15" s="1"/>
      <c r="H15" s="130"/>
      <c r="I15" s="171"/>
      <c r="J15" s="171"/>
      <c r="K15" s="165"/>
    </row>
    <row r="16" spans="1:11" s="2" customFormat="1" ht="14.25" customHeight="1" x14ac:dyDescent="0.2">
      <c r="A16" s="89">
        <v>45195</v>
      </c>
      <c r="B16" s="9" t="s">
        <v>6</v>
      </c>
      <c r="C16" s="76" t="s">
        <v>375</v>
      </c>
      <c r="D16" s="11" t="s">
        <v>13</v>
      </c>
      <c r="E16" s="2">
        <v>255956</v>
      </c>
      <c r="F16" s="31"/>
      <c r="G16" s="1"/>
      <c r="H16" s="130"/>
      <c r="I16" s="171"/>
      <c r="J16" s="171"/>
      <c r="K16" s="165"/>
    </row>
    <row r="17" spans="1:13" s="2" customFormat="1" ht="14.25" customHeight="1" x14ac:dyDescent="0.2">
      <c r="A17" s="89">
        <v>45195</v>
      </c>
      <c r="B17" s="9" t="s">
        <v>6</v>
      </c>
      <c r="C17" s="76" t="s">
        <v>1137</v>
      </c>
      <c r="D17" s="11" t="s">
        <v>13</v>
      </c>
      <c r="E17" s="2">
        <v>24611.25</v>
      </c>
      <c r="F17" s="31"/>
      <c r="G17" s="1"/>
      <c r="H17" s="130"/>
      <c r="I17" s="171"/>
      <c r="J17" s="171"/>
      <c r="K17" s="165"/>
    </row>
    <row r="18" spans="1:13" s="13" customFormat="1" ht="14.25" customHeight="1" x14ac:dyDescent="0.2">
      <c r="A18" s="89">
        <v>45195</v>
      </c>
      <c r="B18" s="98" t="s">
        <v>11</v>
      </c>
      <c r="C18" s="76" t="s">
        <v>1086</v>
      </c>
      <c r="D18" s="11" t="s">
        <v>29</v>
      </c>
      <c r="E18" s="2"/>
      <c r="F18" s="31">
        <v>580000</v>
      </c>
      <c r="G18" s="23"/>
      <c r="H18" s="173"/>
      <c r="I18" s="174"/>
      <c r="J18" s="174"/>
      <c r="K18" s="175"/>
    </row>
    <row r="19" spans="1:13" s="13" customFormat="1" ht="14.25" customHeight="1" x14ac:dyDescent="0.2">
      <c r="A19" s="89">
        <v>45195</v>
      </c>
      <c r="B19" s="9" t="s">
        <v>11</v>
      </c>
      <c r="C19" s="76" t="s">
        <v>1586</v>
      </c>
      <c r="D19" s="11" t="s">
        <v>29</v>
      </c>
      <c r="E19" s="2"/>
      <c r="F19" s="31">
        <v>4071</v>
      </c>
      <c r="G19" s="23"/>
      <c r="H19" s="173"/>
      <c r="I19" s="174"/>
      <c r="J19" s="174"/>
      <c r="K19" s="175"/>
    </row>
    <row r="20" spans="1:13" s="2" customFormat="1" ht="14.25" customHeight="1" x14ac:dyDescent="0.2">
      <c r="A20" s="89">
        <v>45195</v>
      </c>
      <c r="B20" s="9" t="s">
        <v>11</v>
      </c>
      <c r="C20" s="76" t="s">
        <v>254</v>
      </c>
      <c r="D20" s="11" t="s">
        <v>29</v>
      </c>
      <c r="F20" s="31">
        <v>122155</v>
      </c>
      <c r="G20" s="1"/>
      <c r="H20" s="130"/>
      <c r="I20" s="171"/>
      <c r="J20" s="171"/>
      <c r="K20" s="165"/>
    </row>
    <row r="21" spans="1:13" s="2" customFormat="1" ht="14.25" customHeight="1" x14ac:dyDescent="0.2">
      <c r="A21" s="89">
        <v>45195</v>
      </c>
      <c r="B21" s="9" t="s">
        <v>11</v>
      </c>
      <c r="C21" s="76" t="s">
        <v>1587</v>
      </c>
      <c r="D21" s="11" t="s">
        <v>29</v>
      </c>
      <c r="F21" s="31">
        <v>226560</v>
      </c>
      <c r="G21" s="1"/>
      <c r="H21" s="130"/>
      <c r="I21" s="171"/>
      <c r="J21" s="171"/>
      <c r="K21" s="165"/>
    </row>
    <row r="22" spans="1:13" s="2" customFormat="1" ht="14.25" customHeight="1" x14ac:dyDescent="0.2">
      <c r="A22" s="89">
        <v>45195</v>
      </c>
      <c r="B22" s="9" t="s">
        <v>11</v>
      </c>
      <c r="C22" s="76" t="s">
        <v>256</v>
      </c>
      <c r="D22" s="11" t="s">
        <v>29</v>
      </c>
      <c r="F22" s="31">
        <v>367718</v>
      </c>
      <c r="G22" s="1"/>
      <c r="H22" s="130"/>
      <c r="I22" s="171"/>
      <c r="J22" s="171"/>
      <c r="K22" s="165"/>
    </row>
    <row r="23" spans="1:13" s="2" customFormat="1" ht="14.25" customHeight="1" x14ac:dyDescent="0.2">
      <c r="A23" s="89">
        <v>45195</v>
      </c>
      <c r="B23" s="9" t="s">
        <v>11</v>
      </c>
      <c r="C23" s="76" t="s">
        <v>308</v>
      </c>
      <c r="D23" s="11" t="s">
        <v>29</v>
      </c>
      <c r="F23" s="31">
        <v>206500</v>
      </c>
      <c r="G23" s="1"/>
      <c r="H23" s="130"/>
      <c r="I23" s="171"/>
      <c r="J23" s="171"/>
      <c r="K23" s="165"/>
    </row>
    <row r="24" spans="1:13" s="2" customFormat="1" ht="14.25" customHeight="1" x14ac:dyDescent="0.2">
      <c r="A24" s="89">
        <v>45195</v>
      </c>
      <c r="B24" s="9" t="s">
        <v>11</v>
      </c>
      <c r="C24" s="76" t="s">
        <v>650</v>
      </c>
      <c r="D24" s="11" t="s">
        <v>29</v>
      </c>
      <c r="F24" s="31">
        <v>693518</v>
      </c>
      <c r="G24" s="1"/>
      <c r="H24" s="130"/>
      <c r="I24" s="171"/>
      <c r="J24" s="171"/>
      <c r="K24" s="165"/>
    </row>
    <row r="25" spans="1:13" s="2" customFormat="1" ht="14.25" customHeight="1" x14ac:dyDescent="0.2">
      <c r="A25" s="89">
        <v>45195</v>
      </c>
      <c r="B25" s="9" t="s">
        <v>11</v>
      </c>
      <c r="C25" s="76" t="s">
        <v>1348</v>
      </c>
      <c r="D25" s="11" t="s">
        <v>29</v>
      </c>
      <c r="F25" s="31">
        <v>2310869</v>
      </c>
      <c r="G25" s="1"/>
      <c r="H25" s="130"/>
      <c r="I25" s="171"/>
      <c r="J25" s="171"/>
      <c r="K25" s="165"/>
    </row>
    <row r="26" spans="1:13" s="2" customFormat="1" ht="14.25" customHeight="1" x14ac:dyDescent="0.2">
      <c r="A26" s="89">
        <v>45195</v>
      </c>
      <c r="B26" s="9" t="s">
        <v>11</v>
      </c>
      <c r="C26" s="76" t="s">
        <v>1588</v>
      </c>
      <c r="D26" s="11" t="s">
        <v>29</v>
      </c>
      <c r="F26" s="31">
        <v>35978</v>
      </c>
      <c r="G26" s="1"/>
      <c r="H26" s="130"/>
      <c r="I26" s="171"/>
      <c r="J26" s="171"/>
      <c r="K26" s="165"/>
    </row>
    <row r="27" spans="1:13" s="2" customFormat="1" ht="14.25" customHeight="1" x14ac:dyDescent="0.2">
      <c r="A27" s="89">
        <v>45195</v>
      </c>
      <c r="B27" s="9" t="s">
        <v>11</v>
      </c>
      <c r="C27" s="76" t="s">
        <v>1056</v>
      </c>
      <c r="D27" s="11" t="s">
        <v>29</v>
      </c>
      <c r="F27" s="31">
        <v>37000</v>
      </c>
      <c r="G27" s="1"/>
      <c r="H27" s="130"/>
      <c r="I27" s="171"/>
      <c r="J27" s="171"/>
      <c r="K27" s="165"/>
    </row>
    <row r="28" spans="1:13" s="2" customFormat="1" ht="14.25" customHeight="1" x14ac:dyDescent="0.2">
      <c r="A28" s="89">
        <v>45195</v>
      </c>
      <c r="B28" s="9" t="s">
        <v>11</v>
      </c>
      <c r="C28" s="76" t="s">
        <v>484</v>
      </c>
      <c r="D28" s="11" t="s">
        <v>29</v>
      </c>
      <c r="F28" s="31">
        <v>5220</v>
      </c>
      <c r="G28" s="1"/>
      <c r="H28" s="130"/>
      <c r="I28" s="171"/>
      <c r="J28" s="171"/>
      <c r="K28" s="165"/>
    </row>
    <row r="29" spans="1:13" s="2" customFormat="1" ht="14.25" customHeight="1" x14ac:dyDescent="0.2">
      <c r="A29" s="89">
        <v>45195</v>
      </c>
      <c r="B29" s="9" t="s">
        <v>11</v>
      </c>
      <c r="C29" s="76" t="s">
        <v>482</v>
      </c>
      <c r="D29" s="11" t="s">
        <v>29</v>
      </c>
      <c r="F29" s="31">
        <v>14976</v>
      </c>
      <c r="G29" s="1"/>
      <c r="H29" s="130"/>
      <c r="I29" s="171"/>
      <c r="J29" s="171"/>
      <c r="K29" s="165"/>
    </row>
    <row r="30" spans="1:13" s="2" customFormat="1" ht="14.25" customHeight="1" x14ac:dyDescent="0.2">
      <c r="D30" s="11" t="s">
        <v>8</v>
      </c>
      <c r="E30" s="16">
        <f>SUM(E11:E29)</f>
        <v>2150887.25</v>
      </c>
      <c r="F30" s="16">
        <f>SUM(F11:F29)</f>
        <v>85335984.200000003</v>
      </c>
      <c r="G30" s="1"/>
      <c r="H30" s="143"/>
      <c r="I30" s="130"/>
      <c r="J30" s="143"/>
      <c r="K30" s="143"/>
      <c r="L30" s="143"/>
      <c r="M30" s="143"/>
    </row>
    <row r="31" spans="1:13" s="2" customFormat="1" ht="14.25" customHeight="1" x14ac:dyDescent="0.4">
      <c r="A31" s="17"/>
      <c r="B31" s="18"/>
      <c r="C31" s="96" t="s">
        <v>9</v>
      </c>
      <c r="D31" s="20"/>
      <c r="E31" s="21">
        <f>+F30-E30</f>
        <v>83185096.950000003</v>
      </c>
      <c r="G31" s="1"/>
      <c r="I31" s="112"/>
      <c r="J31" s="153" t="s">
        <v>779</v>
      </c>
    </row>
    <row r="32" spans="1:13" s="2" customFormat="1" ht="14.25" customHeight="1" x14ac:dyDescent="0.2">
      <c r="A32" s="36"/>
      <c r="B32" s="28" t="s">
        <v>66</v>
      </c>
      <c r="C32" s="43" t="s">
        <v>1458</v>
      </c>
      <c r="D32" s="43"/>
      <c r="E32" s="12">
        <v>30000000</v>
      </c>
      <c r="F32" s="22"/>
      <c r="G32" s="1"/>
      <c r="I32" s="40">
        <v>83185096.950000003</v>
      </c>
      <c r="J32" s="154">
        <f>I32-E31</f>
        <v>0</v>
      </c>
    </row>
    <row r="33" spans="1:14" s="2" customFormat="1" ht="14.25" customHeight="1" x14ac:dyDescent="0.25">
      <c r="A33" s="36"/>
      <c r="B33" s="28"/>
      <c r="C33" s="44" t="s">
        <v>1541</v>
      </c>
      <c r="D33" s="43"/>
      <c r="E33" s="7">
        <f>+E31+E32</f>
        <v>113185096.95</v>
      </c>
      <c r="F33" s="22"/>
      <c r="G33" s="1"/>
      <c r="H33" s="13" t="s">
        <v>1582</v>
      </c>
      <c r="I33" s="13" t="s">
        <v>1583</v>
      </c>
    </row>
    <row r="34" spans="1:14" s="2" customFormat="1" ht="14.25" customHeight="1" x14ac:dyDescent="0.25">
      <c r="A34" s="36"/>
      <c r="B34" s="28"/>
      <c r="C34" s="44" t="s">
        <v>1511</v>
      </c>
      <c r="D34" s="43"/>
      <c r="E34" s="38">
        <f>+I11</f>
        <v>4775083.799999997</v>
      </c>
      <c r="F34" s="22"/>
      <c r="G34" s="1"/>
      <c r="H34" s="2">
        <v>7045764</v>
      </c>
      <c r="I34" s="2">
        <v>11994919.07</v>
      </c>
      <c r="J34" s="176">
        <f>I34-H34</f>
        <v>4949155.07</v>
      </c>
    </row>
    <row r="35" spans="1:14" s="2" customFormat="1" ht="14.25" customHeight="1" x14ac:dyDescent="0.2">
      <c r="A35" s="24"/>
      <c r="B35" s="1"/>
      <c r="C35" s="14"/>
      <c r="D35" s="25"/>
      <c r="G35" s="1"/>
      <c r="I35" s="130"/>
      <c r="J35" s="130"/>
    </row>
    <row r="36" spans="1:14" s="2" customFormat="1" x14ac:dyDescent="0.2">
      <c r="A36" s="214" t="s">
        <v>10</v>
      </c>
      <c r="B36" s="214"/>
      <c r="C36" s="214"/>
      <c r="D36" s="214"/>
      <c r="E36" s="214"/>
      <c r="F36" s="214"/>
      <c r="G36" s="1"/>
      <c r="H36" s="159"/>
      <c r="I36" s="160">
        <v>150000000</v>
      </c>
      <c r="J36" s="160" t="s">
        <v>1506</v>
      </c>
      <c r="K36" s="70"/>
    </row>
    <row r="37" spans="1:14" s="2" customFormat="1" x14ac:dyDescent="0.2">
      <c r="A37" s="26" t="s">
        <v>1</v>
      </c>
      <c r="B37" s="27" t="s">
        <v>2</v>
      </c>
      <c r="C37" s="5"/>
      <c r="D37" s="6" t="s">
        <v>3</v>
      </c>
      <c r="E37" s="7" t="s">
        <v>4</v>
      </c>
      <c r="F37" s="7" t="s">
        <v>5</v>
      </c>
      <c r="G37" s="1"/>
      <c r="H37" s="159"/>
      <c r="I37" s="160">
        <v>102591579.12</v>
      </c>
      <c r="J37" s="160" t="s">
        <v>1507</v>
      </c>
      <c r="K37" s="70" t="s">
        <v>1512</v>
      </c>
    </row>
    <row r="38" spans="1:14" s="2" customFormat="1" x14ac:dyDescent="0.2">
      <c r="A38" s="89">
        <v>45195</v>
      </c>
      <c r="B38" s="128" t="s">
        <v>11</v>
      </c>
      <c r="C38" s="29" t="s">
        <v>7</v>
      </c>
      <c r="D38" s="25"/>
      <c r="E38" s="31"/>
      <c r="F38" s="2">
        <v>114787385.51000005</v>
      </c>
      <c r="G38" s="23"/>
      <c r="H38" s="159" t="s">
        <v>1505</v>
      </c>
      <c r="I38" s="160">
        <f>+I36-I37</f>
        <v>47408420.879999995</v>
      </c>
      <c r="J38" s="160"/>
      <c r="K38" s="70"/>
    </row>
    <row r="39" spans="1:14" s="2" customFormat="1" x14ac:dyDescent="0.2">
      <c r="A39" s="89">
        <v>45195</v>
      </c>
      <c r="B39" s="128" t="s">
        <v>6</v>
      </c>
      <c r="C39" s="10" t="s">
        <v>759</v>
      </c>
      <c r="D39" s="11" t="s">
        <v>13</v>
      </c>
      <c r="E39" s="86">
        <v>567460</v>
      </c>
      <c r="F39" s="70"/>
      <c r="G39" s="1"/>
      <c r="N39" s="1"/>
    </row>
    <row r="40" spans="1:14" s="2" customFormat="1" x14ac:dyDescent="0.2">
      <c r="A40" s="89">
        <v>45195</v>
      </c>
      <c r="B40" s="128" t="s">
        <v>6</v>
      </c>
      <c r="C40" s="10" t="s">
        <v>15</v>
      </c>
      <c r="D40" s="11" t="s">
        <v>13</v>
      </c>
      <c r="E40" s="86">
        <v>77322.25</v>
      </c>
      <c r="F40" s="70"/>
      <c r="G40" s="1"/>
      <c r="N40" s="1"/>
    </row>
    <row r="41" spans="1:14" s="2" customFormat="1" x14ac:dyDescent="0.2">
      <c r="A41" s="89">
        <v>45195</v>
      </c>
      <c r="B41" s="128" t="s">
        <v>6</v>
      </c>
      <c r="C41" s="10" t="s">
        <v>1270</v>
      </c>
      <c r="D41" s="11" t="s">
        <v>13</v>
      </c>
      <c r="E41" s="86">
        <v>1164939</v>
      </c>
      <c r="F41" s="70"/>
      <c r="G41" s="1"/>
      <c r="N41" s="1"/>
    </row>
    <row r="42" spans="1:14" s="2" customFormat="1" x14ac:dyDescent="0.2">
      <c r="A42" s="89">
        <v>45195</v>
      </c>
      <c r="B42" s="128" t="s">
        <v>6</v>
      </c>
      <c r="C42" s="10" t="s">
        <v>764</v>
      </c>
      <c r="D42" s="11" t="s">
        <v>13</v>
      </c>
      <c r="E42" s="86">
        <v>475250</v>
      </c>
      <c r="F42" s="70"/>
      <c r="G42" s="1"/>
      <c r="N42" s="1"/>
    </row>
    <row r="43" spans="1:14" s="2" customFormat="1" x14ac:dyDescent="0.2">
      <c r="A43" s="89">
        <v>45195</v>
      </c>
      <c r="B43" s="128" t="s">
        <v>6</v>
      </c>
      <c r="C43" s="10" t="s">
        <v>683</v>
      </c>
      <c r="D43" s="11" t="s">
        <v>13</v>
      </c>
      <c r="E43" s="86">
        <v>318330.63</v>
      </c>
      <c r="F43" s="70"/>
      <c r="G43" s="1"/>
      <c r="N43" s="1"/>
    </row>
    <row r="44" spans="1:14" s="2" customFormat="1" x14ac:dyDescent="0.2">
      <c r="A44" s="89">
        <v>45195</v>
      </c>
      <c r="B44" s="128" t="s">
        <v>6</v>
      </c>
      <c r="C44" s="10" t="s">
        <v>19</v>
      </c>
      <c r="D44" s="11" t="s">
        <v>13</v>
      </c>
      <c r="E44" s="86">
        <v>700385</v>
      </c>
      <c r="F44" s="70"/>
      <c r="G44" s="1"/>
      <c r="N44" s="1"/>
    </row>
    <row r="45" spans="1:14" s="2" customFormat="1" x14ac:dyDescent="0.2">
      <c r="A45" s="89">
        <v>45195</v>
      </c>
      <c r="B45" s="128" t="s">
        <v>6</v>
      </c>
      <c r="C45" s="10" t="s">
        <v>752</v>
      </c>
      <c r="D45" s="11" t="s">
        <v>13</v>
      </c>
      <c r="E45" s="86">
        <v>279163</v>
      </c>
      <c r="F45" s="70"/>
      <c r="G45" s="1"/>
      <c r="N45" s="1"/>
    </row>
    <row r="46" spans="1:14" s="2" customFormat="1" x14ac:dyDescent="0.2">
      <c r="A46" s="89">
        <v>45195</v>
      </c>
      <c r="B46" s="128" t="s">
        <v>6</v>
      </c>
      <c r="C46" s="10" t="s">
        <v>332</v>
      </c>
      <c r="D46" s="11" t="s">
        <v>13</v>
      </c>
      <c r="E46" s="86">
        <v>1884955</v>
      </c>
      <c r="F46" s="70"/>
      <c r="G46" s="1"/>
      <c r="N46" s="1"/>
    </row>
    <row r="47" spans="1:14" s="2" customFormat="1" x14ac:dyDescent="0.2">
      <c r="A47" s="89">
        <v>45195</v>
      </c>
      <c r="B47" s="128" t="s">
        <v>6</v>
      </c>
      <c r="C47" s="10" t="s">
        <v>611</v>
      </c>
      <c r="D47" s="11" t="s">
        <v>13</v>
      </c>
      <c r="E47" s="86">
        <v>1000000</v>
      </c>
      <c r="F47" s="70"/>
      <c r="G47" s="1"/>
      <c r="N47" s="1"/>
    </row>
    <row r="48" spans="1:14" s="2" customFormat="1" x14ac:dyDescent="0.2">
      <c r="A48" s="89">
        <v>45195</v>
      </c>
      <c r="B48" s="128" t="s">
        <v>6</v>
      </c>
      <c r="C48" s="10" t="s">
        <v>679</v>
      </c>
      <c r="D48" s="11" t="s">
        <v>13</v>
      </c>
      <c r="E48" s="86">
        <v>102375</v>
      </c>
      <c r="F48" s="70"/>
      <c r="G48" s="1"/>
      <c r="N48" s="1"/>
    </row>
    <row r="49" spans="1:14" s="2" customFormat="1" x14ac:dyDescent="0.2">
      <c r="A49" s="89">
        <v>45195</v>
      </c>
      <c r="B49" s="128" t="s">
        <v>6</v>
      </c>
      <c r="C49" s="10" t="s">
        <v>469</v>
      </c>
      <c r="D49" s="11" t="s">
        <v>13</v>
      </c>
      <c r="E49" s="86">
        <v>2054377</v>
      </c>
      <c r="F49" s="70"/>
      <c r="G49" s="1"/>
      <c r="N49" s="1"/>
    </row>
    <row r="50" spans="1:14" s="2" customFormat="1" x14ac:dyDescent="0.2">
      <c r="A50" s="89">
        <v>45195</v>
      </c>
      <c r="B50" s="128" t="s">
        <v>6</v>
      </c>
      <c r="C50" s="10" t="s">
        <v>153</v>
      </c>
      <c r="D50" s="11" t="s">
        <v>13</v>
      </c>
      <c r="E50" s="86">
        <v>260715</v>
      </c>
      <c r="F50" s="70"/>
      <c r="G50" s="1"/>
      <c r="N50" s="1"/>
    </row>
    <row r="51" spans="1:14" s="2" customFormat="1" x14ac:dyDescent="0.2">
      <c r="A51" s="89">
        <v>45195</v>
      </c>
      <c r="B51" s="128" t="s">
        <v>6</v>
      </c>
      <c r="C51" s="10" t="s">
        <v>1229</v>
      </c>
      <c r="D51" s="11" t="s">
        <v>13</v>
      </c>
      <c r="E51" s="86">
        <v>4071288</v>
      </c>
      <c r="F51" s="70"/>
      <c r="G51" s="1"/>
      <c r="N51" s="1"/>
    </row>
    <row r="52" spans="1:14" s="2" customFormat="1" x14ac:dyDescent="0.2">
      <c r="A52" s="89">
        <v>45195</v>
      </c>
      <c r="B52" s="128" t="s">
        <v>6</v>
      </c>
      <c r="C52" s="10" t="s">
        <v>381</v>
      </c>
      <c r="D52" s="11" t="s">
        <v>13</v>
      </c>
      <c r="E52" s="86">
        <v>57467</v>
      </c>
      <c r="F52" s="70"/>
      <c r="G52" s="1"/>
      <c r="N52" s="1"/>
    </row>
    <row r="53" spans="1:14" s="2" customFormat="1" x14ac:dyDescent="0.2">
      <c r="A53" s="89">
        <v>45195</v>
      </c>
      <c r="B53" s="128" t="s">
        <v>6</v>
      </c>
      <c r="C53" s="10" t="s">
        <v>177</v>
      </c>
      <c r="D53" s="11" t="s">
        <v>13</v>
      </c>
      <c r="E53" s="86">
        <v>495432</v>
      </c>
      <c r="F53" s="70"/>
      <c r="G53" s="1"/>
      <c r="N53" s="1"/>
    </row>
    <row r="54" spans="1:14" s="2" customFormat="1" x14ac:dyDescent="0.2">
      <c r="A54" s="89">
        <v>45195</v>
      </c>
      <c r="B54" s="128" t="s">
        <v>6</v>
      </c>
      <c r="C54" s="10" t="s">
        <v>1591</v>
      </c>
      <c r="D54" s="11" t="s">
        <v>13</v>
      </c>
      <c r="E54" s="86">
        <v>4200</v>
      </c>
      <c r="F54" s="70"/>
      <c r="G54" s="1"/>
      <c r="N54" s="1"/>
    </row>
    <row r="55" spans="1:14" s="2" customFormat="1" x14ac:dyDescent="0.2">
      <c r="A55" s="89">
        <v>45195</v>
      </c>
      <c r="B55" s="128" t="s">
        <v>6</v>
      </c>
      <c r="C55" s="10" t="s">
        <v>1517</v>
      </c>
      <c r="D55" s="11" t="s">
        <v>13</v>
      </c>
      <c r="E55" s="86">
        <v>750000</v>
      </c>
      <c r="F55" s="70"/>
      <c r="G55" s="1"/>
      <c r="N55" s="1"/>
    </row>
    <row r="56" spans="1:14" s="2" customFormat="1" x14ac:dyDescent="0.2">
      <c r="A56" s="89">
        <v>45195</v>
      </c>
      <c r="B56" s="128" t="s">
        <v>6</v>
      </c>
      <c r="C56" s="10" t="s">
        <v>1364</v>
      </c>
      <c r="D56" s="11" t="s">
        <v>13</v>
      </c>
      <c r="E56" s="86">
        <v>402938</v>
      </c>
      <c r="F56" s="70"/>
      <c r="G56" s="1"/>
      <c r="N56" s="1"/>
    </row>
    <row r="57" spans="1:14" s="2" customFormat="1" x14ac:dyDescent="0.2">
      <c r="A57" s="89">
        <v>45195</v>
      </c>
      <c r="B57" s="128" t="s">
        <v>6</v>
      </c>
      <c r="C57" s="10" t="s">
        <v>1568</v>
      </c>
      <c r="D57" s="11" t="s">
        <v>13</v>
      </c>
      <c r="E57" s="86">
        <v>11235</v>
      </c>
      <c r="F57" s="70"/>
      <c r="G57" s="1"/>
      <c r="N57" s="1"/>
    </row>
    <row r="58" spans="1:14" s="2" customFormat="1" x14ac:dyDescent="0.2">
      <c r="A58" s="89">
        <v>45195</v>
      </c>
      <c r="B58" s="128" t="s">
        <v>6</v>
      </c>
      <c r="C58" s="10" t="s">
        <v>1592</v>
      </c>
      <c r="D58" s="11" t="s">
        <v>13</v>
      </c>
      <c r="E58" s="86">
        <v>302400</v>
      </c>
      <c r="F58" s="70"/>
      <c r="G58" s="1"/>
      <c r="N58" s="1"/>
    </row>
    <row r="59" spans="1:14" s="2" customFormat="1" x14ac:dyDescent="0.2">
      <c r="A59" s="89">
        <v>45195</v>
      </c>
      <c r="B59" s="128" t="s">
        <v>11</v>
      </c>
      <c r="C59" s="10" t="s">
        <v>760</v>
      </c>
      <c r="D59" s="11" t="s">
        <v>29</v>
      </c>
      <c r="E59" s="86"/>
      <c r="F59" s="70">
        <v>312711.2</v>
      </c>
      <c r="G59" s="1"/>
      <c r="N59" s="1"/>
    </row>
    <row r="60" spans="1:14" s="2" customFormat="1" x14ac:dyDescent="0.2">
      <c r="A60" s="89">
        <v>45195</v>
      </c>
      <c r="B60" s="128" t="s">
        <v>11</v>
      </c>
      <c r="C60" s="10" t="s">
        <v>64</v>
      </c>
      <c r="D60" s="11" t="s">
        <v>29</v>
      </c>
      <c r="E60" s="86"/>
      <c r="F60" s="70">
        <v>4729.4400000000005</v>
      </c>
      <c r="G60" s="1"/>
      <c r="N60" s="1"/>
    </row>
    <row r="61" spans="1:14" s="2" customFormat="1" x14ac:dyDescent="0.2">
      <c r="A61" s="89">
        <v>45195</v>
      </c>
      <c r="B61" s="128" t="s">
        <v>11</v>
      </c>
      <c r="C61" s="10" t="s">
        <v>156</v>
      </c>
      <c r="D61" s="11" t="s">
        <v>29</v>
      </c>
      <c r="E61" s="86"/>
      <c r="F61" s="70">
        <v>15</v>
      </c>
      <c r="G61" s="1"/>
      <c r="N61" s="1"/>
    </row>
    <row r="62" spans="1:14" s="2" customFormat="1" x14ac:dyDescent="0.2">
      <c r="A62" s="89">
        <v>45195</v>
      </c>
      <c r="B62" s="128" t="s">
        <v>11</v>
      </c>
      <c r="C62" s="10" t="s">
        <v>109</v>
      </c>
      <c r="D62" s="11" t="s">
        <v>29</v>
      </c>
      <c r="E62" s="86"/>
      <c r="F62" s="70">
        <v>651051</v>
      </c>
      <c r="G62" s="1"/>
      <c r="N62" s="1"/>
    </row>
    <row r="63" spans="1:14" s="2" customFormat="1" x14ac:dyDescent="0.2">
      <c r="A63" s="89">
        <v>45195</v>
      </c>
      <c r="B63" s="128" t="s">
        <v>11</v>
      </c>
      <c r="C63" s="10" t="s">
        <v>1403</v>
      </c>
      <c r="D63" s="11" t="s">
        <v>29</v>
      </c>
      <c r="E63" s="86"/>
      <c r="F63" s="70">
        <v>3338778</v>
      </c>
      <c r="G63" s="1"/>
      <c r="N63" s="1"/>
    </row>
    <row r="64" spans="1:14" s="2" customFormat="1" x14ac:dyDescent="0.2">
      <c r="A64" s="89">
        <v>45195</v>
      </c>
      <c r="B64" s="128" t="s">
        <v>11</v>
      </c>
      <c r="C64" s="10" t="s">
        <v>224</v>
      </c>
      <c r="D64" s="11" t="s">
        <v>29</v>
      </c>
      <c r="E64" s="86"/>
      <c r="F64" s="70">
        <v>122178</v>
      </c>
      <c r="G64" s="1"/>
      <c r="N64" s="1"/>
    </row>
    <row r="65" spans="1:14" s="2" customFormat="1" x14ac:dyDescent="0.2">
      <c r="A65" s="89">
        <v>45195</v>
      </c>
      <c r="B65" s="128" t="s">
        <v>11</v>
      </c>
      <c r="C65" s="10" t="s">
        <v>45</v>
      </c>
      <c r="D65" s="11" t="s">
        <v>29</v>
      </c>
      <c r="E65" s="86"/>
      <c r="F65" s="70">
        <v>421196</v>
      </c>
      <c r="G65" s="1"/>
      <c r="N65" s="1"/>
    </row>
    <row r="66" spans="1:14" s="2" customFormat="1" x14ac:dyDescent="0.2">
      <c r="A66" s="89">
        <v>45195</v>
      </c>
      <c r="B66" s="128" t="s">
        <v>11</v>
      </c>
      <c r="C66" s="10" t="s">
        <v>46</v>
      </c>
      <c r="D66" s="11" t="s">
        <v>29</v>
      </c>
      <c r="E66" s="86"/>
      <c r="F66" s="70">
        <v>142376</v>
      </c>
      <c r="G66" s="1"/>
      <c r="N66" s="1"/>
    </row>
    <row r="67" spans="1:14" s="2" customFormat="1" x14ac:dyDescent="0.2">
      <c r="A67" s="89">
        <v>45195</v>
      </c>
      <c r="B67" s="128" t="s">
        <v>11</v>
      </c>
      <c r="C67" s="10" t="s">
        <v>1361</v>
      </c>
      <c r="D67" s="11" t="s">
        <v>29</v>
      </c>
      <c r="E67" s="86"/>
      <c r="F67" s="70">
        <v>149634</v>
      </c>
      <c r="G67" s="1"/>
      <c r="N67" s="1"/>
    </row>
    <row r="68" spans="1:14" s="2" customFormat="1" x14ac:dyDescent="0.2">
      <c r="A68" s="89">
        <v>45195</v>
      </c>
      <c r="B68" s="128" t="s">
        <v>11</v>
      </c>
      <c r="C68" s="10" t="s">
        <v>798</v>
      </c>
      <c r="D68" s="11" t="s">
        <v>29</v>
      </c>
      <c r="E68" s="86"/>
      <c r="F68" s="70">
        <v>322833</v>
      </c>
      <c r="G68" s="1"/>
      <c r="N68" s="1"/>
    </row>
    <row r="69" spans="1:14" s="2" customFormat="1" x14ac:dyDescent="0.2">
      <c r="A69" s="89">
        <v>45195</v>
      </c>
      <c r="B69" s="128" t="s">
        <v>11</v>
      </c>
      <c r="C69" s="10" t="s">
        <v>251</v>
      </c>
      <c r="D69" s="11" t="s">
        <v>29</v>
      </c>
      <c r="E69" s="86"/>
      <c r="F69" s="70">
        <v>214784</v>
      </c>
      <c r="G69" s="1"/>
      <c r="N69" s="1"/>
    </row>
    <row r="70" spans="1:14" s="2" customFormat="1" x14ac:dyDescent="0.2">
      <c r="A70" s="89">
        <v>45195</v>
      </c>
      <c r="B70" s="128" t="s">
        <v>11</v>
      </c>
      <c r="C70" s="10" t="s">
        <v>28</v>
      </c>
      <c r="D70" s="11" t="s">
        <v>29</v>
      </c>
      <c r="E70" s="86"/>
      <c r="F70" s="70">
        <v>205364.25</v>
      </c>
      <c r="G70" s="1"/>
      <c r="N70" s="1"/>
    </row>
    <row r="71" spans="1:14" s="2" customFormat="1" x14ac:dyDescent="0.2">
      <c r="A71" s="89">
        <v>45195</v>
      </c>
      <c r="B71" s="128" t="s">
        <v>11</v>
      </c>
      <c r="C71" s="10" t="s">
        <v>1589</v>
      </c>
      <c r="D71" s="11" t="s">
        <v>29</v>
      </c>
      <c r="E71" s="86"/>
      <c r="F71" s="70">
        <v>81591</v>
      </c>
      <c r="G71" s="1"/>
      <c r="N71" s="1"/>
    </row>
    <row r="72" spans="1:14" s="2" customFormat="1" x14ac:dyDescent="0.2">
      <c r="A72" s="89">
        <v>45195</v>
      </c>
      <c r="B72" s="128" t="s">
        <v>11</v>
      </c>
      <c r="C72" s="10" t="s">
        <v>117</v>
      </c>
      <c r="D72" s="11" t="s">
        <v>29</v>
      </c>
      <c r="E72" s="86"/>
      <c r="F72" s="70">
        <v>77977</v>
      </c>
      <c r="G72" s="1"/>
      <c r="N72" s="1"/>
    </row>
    <row r="73" spans="1:14" s="2" customFormat="1" x14ac:dyDescent="0.2">
      <c r="A73" s="89">
        <v>45195</v>
      </c>
      <c r="B73" s="128" t="s">
        <v>11</v>
      </c>
      <c r="C73" s="10" t="s">
        <v>392</v>
      </c>
      <c r="D73" s="11" t="s">
        <v>29</v>
      </c>
      <c r="E73" s="86"/>
      <c r="F73" s="70">
        <v>79437</v>
      </c>
      <c r="G73" s="1"/>
      <c r="N73" s="1"/>
    </row>
    <row r="74" spans="1:14" s="2" customFormat="1" x14ac:dyDescent="0.2">
      <c r="A74" s="89">
        <v>45195</v>
      </c>
      <c r="B74" s="128" t="s">
        <v>11</v>
      </c>
      <c r="C74" s="10" t="s">
        <v>203</v>
      </c>
      <c r="D74" s="11" t="s">
        <v>29</v>
      </c>
      <c r="E74" s="86"/>
      <c r="F74" s="70">
        <v>4830</v>
      </c>
      <c r="G74" s="1"/>
      <c r="N74" s="1"/>
    </row>
    <row r="75" spans="1:14" s="2" customFormat="1" x14ac:dyDescent="0.2">
      <c r="A75" s="89">
        <v>45195</v>
      </c>
      <c r="B75" s="128" t="s">
        <v>11</v>
      </c>
      <c r="C75" s="10" t="s">
        <v>800</v>
      </c>
      <c r="D75" s="11" t="s">
        <v>29</v>
      </c>
      <c r="E75" s="86"/>
      <c r="F75" s="70">
        <v>2360</v>
      </c>
      <c r="G75" s="1"/>
      <c r="N75" s="1"/>
    </row>
    <row r="76" spans="1:14" s="2" customFormat="1" x14ac:dyDescent="0.2">
      <c r="A76" s="89">
        <v>45195</v>
      </c>
      <c r="B76" s="128" t="s">
        <v>11</v>
      </c>
      <c r="C76" s="10" t="s">
        <v>799</v>
      </c>
      <c r="D76" s="11" t="s">
        <v>29</v>
      </c>
      <c r="E76" s="86"/>
      <c r="F76" s="70">
        <v>1067428</v>
      </c>
      <c r="G76" s="1"/>
      <c r="N76" s="1"/>
    </row>
    <row r="77" spans="1:14" s="2" customFormat="1" x14ac:dyDescent="0.2">
      <c r="A77" s="89">
        <v>45195</v>
      </c>
      <c r="B77" s="128" t="s">
        <v>11</v>
      </c>
      <c r="C77" s="10" t="s">
        <v>372</v>
      </c>
      <c r="D77" s="11" t="s">
        <v>29</v>
      </c>
      <c r="E77" s="86"/>
      <c r="F77" s="70">
        <v>297096</v>
      </c>
      <c r="G77" s="1"/>
      <c r="N77" s="1"/>
    </row>
    <row r="78" spans="1:14" s="2" customFormat="1" x14ac:dyDescent="0.2">
      <c r="A78" s="89">
        <v>45195</v>
      </c>
      <c r="B78" s="128" t="s">
        <v>11</v>
      </c>
      <c r="C78" s="10" t="s">
        <v>1590</v>
      </c>
      <c r="D78" s="11" t="s">
        <v>29</v>
      </c>
      <c r="E78" s="86"/>
      <c r="F78" s="70">
        <v>10243</v>
      </c>
      <c r="G78" s="1"/>
      <c r="N78" s="1"/>
    </row>
    <row r="79" spans="1:14" s="2" customFormat="1" x14ac:dyDescent="0.2">
      <c r="A79" s="89">
        <v>45195</v>
      </c>
      <c r="B79" s="128" t="s">
        <v>11</v>
      </c>
      <c r="C79" s="10" t="s">
        <v>208</v>
      </c>
      <c r="D79" s="11" t="s">
        <v>29</v>
      </c>
      <c r="E79" s="86"/>
      <c r="F79" s="70">
        <v>22309</v>
      </c>
      <c r="G79" s="1"/>
      <c r="N79" s="1"/>
    </row>
    <row r="80" spans="1:14" s="2" customFormat="1" x14ac:dyDescent="0.2">
      <c r="A80" s="89">
        <v>45195</v>
      </c>
      <c r="B80" s="128" t="s">
        <v>11</v>
      </c>
      <c r="C80" s="10" t="s">
        <v>1593</v>
      </c>
      <c r="D80" s="11" t="s">
        <v>29</v>
      </c>
      <c r="E80" s="86"/>
      <c r="F80" s="70">
        <v>204659.67</v>
      </c>
      <c r="G80" s="1"/>
      <c r="N80" s="1"/>
    </row>
    <row r="81" spans="1:14" s="2" customFormat="1" x14ac:dyDescent="0.2">
      <c r="A81" s="32"/>
      <c r="B81" s="33"/>
      <c r="C81" s="14"/>
      <c r="D81" s="34"/>
      <c r="E81" s="16">
        <f>SUM(E38:E80)</f>
        <v>14980231.879999999</v>
      </c>
      <c r="F81" s="16">
        <f>SUM(F38:F80)</f>
        <v>122520966.07000005</v>
      </c>
      <c r="G81" s="1"/>
      <c r="H81" s="1"/>
      <c r="I81" s="38">
        <v>107540734.19</v>
      </c>
      <c r="J81" s="2" t="s">
        <v>396</v>
      </c>
      <c r="K81" s="92">
        <f>E82-I81</f>
        <v>0</v>
      </c>
      <c r="N81" s="1"/>
    </row>
    <row r="82" spans="1:14" s="2" customFormat="1" x14ac:dyDescent="0.2">
      <c r="A82" s="36"/>
      <c r="B82" s="28" t="s">
        <v>11</v>
      </c>
      <c r="C82" s="19" t="s">
        <v>65</v>
      </c>
      <c r="D82" s="37"/>
      <c r="E82" s="38">
        <f>F81-E81</f>
        <v>107540734.19000006</v>
      </c>
      <c r="F82" s="22"/>
      <c r="G82" s="1"/>
      <c r="H82" s="1"/>
      <c r="I82" s="70"/>
      <c r="J82" s="70"/>
      <c r="K82" s="70"/>
      <c r="N82" s="1"/>
    </row>
    <row r="83" spans="1:14" s="2" customFormat="1" x14ac:dyDescent="0.2">
      <c r="A83" s="36"/>
      <c r="B83" s="28" t="s">
        <v>66</v>
      </c>
      <c r="C83" s="19" t="s">
        <v>67</v>
      </c>
      <c r="D83" s="37"/>
      <c r="E83" s="38">
        <v>6500000</v>
      </c>
      <c r="F83" s="22"/>
      <c r="G83" s="1"/>
      <c r="H83" s="70"/>
      <c r="I83" s="70"/>
      <c r="J83" s="70"/>
      <c r="K83" s="70"/>
      <c r="N83" s="1"/>
    </row>
    <row r="84" spans="1:14" s="2" customFormat="1" x14ac:dyDescent="0.2">
      <c r="A84" s="36"/>
      <c r="B84" s="28" t="s">
        <v>66</v>
      </c>
      <c r="C84" s="43" t="s">
        <v>1457</v>
      </c>
      <c r="D84" s="43"/>
      <c r="E84" s="12">
        <v>350000000</v>
      </c>
      <c r="F84" s="22"/>
      <c r="G84" s="1"/>
      <c r="H84" s="70"/>
      <c r="I84" s="45">
        <v>3142.7</v>
      </c>
      <c r="J84" s="46"/>
      <c r="K84" s="46"/>
      <c r="N84" s="1"/>
    </row>
    <row r="85" spans="1:14" s="2" customFormat="1" ht="15" x14ac:dyDescent="0.25">
      <c r="A85" s="36"/>
      <c r="B85" s="28"/>
      <c r="C85" s="44" t="s">
        <v>1541</v>
      </c>
      <c r="D85" s="43"/>
      <c r="E85" s="7">
        <f>+E84+E82+E83</f>
        <v>464040734.19000006</v>
      </c>
      <c r="F85" s="22"/>
      <c r="G85" s="1"/>
      <c r="H85" s="103" t="s">
        <v>69</v>
      </c>
      <c r="I85" s="45">
        <v>-206.43</v>
      </c>
      <c r="J85" s="46"/>
      <c r="K85" s="46"/>
      <c r="N85" s="1"/>
    </row>
    <row r="86" spans="1:14" s="2" customFormat="1" ht="15" x14ac:dyDescent="0.25">
      <c r="A86" s="24"/>
      <c r="B86" s="1"/>
      <c r="C86" s="44" t="s">
        <v>1510</v>
      </c>
      <c r="D86" s="25"/>
      <c r="E86" s="156">
        <f>I38-E83-J34-3631000</f>
        <v>32328265.809999995</v>
      </c>
      <c r="G86" s="1"/>
      <c r="H86" s="35" t="s">
        <v>70</v>
      </c>
      <c r="I86" s="45">
        <v>118.85</v>
      </c>
      <c r="J86" s="46">
        <f>+I87-D89</f>
        <v>0</v>
      </c>
      <c r="N86" s="1"/>
    </row>
    <row r="87" spans="1:14" s="124" customFormat="1" ht="12.75" customHeight="1" x14ac:dyDescent="0.2">
      <c r="A87" s="24"/>
      <c r="B87" s="1"/>
      <c r="C87" s="56"/>
      <c r="D87" s="56"/>
      <c r="E87" s="104"/>
      <c r="F87" s="2"/>
      <c r="G87" s="166"/>
      <c r="H87" s="70"/>
      <c r="I87" s="49">
        <f>SUM(I84:I86)</f>
        <v>3055.12</v>
      </c>
      <c r="J87" s="46"/>
      <c r="K87" s="46"/>
    </row>
    <row r="88" spans="1:14" s="124" customFormat="1" ht="12.75" customHeight="1" x14ac:dyDescent="0.2">
      <c r="A88" s="24"/>
      <c r="B88" s="1"/>
      <c r="C88" s="78" t="s">
        <v>575</v>
      </c>
      <c r="D88" s="48" t="s">
        <v>576</v>
      </c>
      <c r="E88" s="104"/>
      <c r="F88" s="2"/>
      <c r="G88" s="168"/>
      <c r="H88" s="167"/>
      <c r="I88" s="167"/>
      <c r="J88" s="168"/>
    </row>
    <row r="89" spans="1:14" s="124" customFormat="1" ht="12.75" customHeight="1" x14ac:dyDescent="0.2">
      <c r="A89" s="24"/>
      <c r="B89" s="1"/>
      <c r="C89" s="47" t="s">
        <v>570</v>
      </c>
      <c r="D89" s="111">
        <v>3055.12</v>
      </c>
      <c r="E89" s="104"/>
      <c r="F89" s="2"/>
      <c r="G89" s="168"/>
      <c r="H89" s="110" t="s">
        <v>581</v>
      </c>
      <c r="I89" s="167"/>
      <c r="J89" s="168"/>
    </row>
    <row r="90" spans="1:14" s="124" customFormat="1" ht="12.75" customHeight="1" x14ac:dyDescent="0.2">
      <c r="A90" s="24"/>
      <c r="B90" s="1"/>
      <c r="C90" s="47" t="s">
        <v>931</v>
      </c>
      <c r="D90" s="111">
        <v>307.26</v>
      </c>
      <c r="E90" s="104"/>
      <c r="F90" s="2"/>
      <c r="G90" s="168"/>
      <c r="H90" s="110" t="s">
        <v>580</v>
      </c>
      <c r="I90" s="167"/>
      <c r="J90" s="168"/>
    </row>
    <row r="91" spans="1:14" s="124" customFormat="1" ht="12.75" customHeight="1" x14ac:dyDescent="0.2">
      <c r="A91" s="24"/>
      <c r="B91" s="1"/>
      <c r="C91" s="47" t="s">
        <v>572</v>
      </c>
      <c r="D91" s="111">
        <f>+D141/100000</f>
        <v>348.10115280000002</v>
      </c>
      <c r="E91" s="104"/>
      <c r="F91" s="2"/>
      <c r="G91" s="166"/>
      <c r="H91" s="90" t="s">
        <v>587</v>
      </c>
      <c r="I91" s="167"/>
      <c r="J91" s="168"/>
    </row>
    <row r="92" spans="1:14" s="2" customFormat="1" x14ac:dyDescent="0.2">
      <c r="A92" s="24"/>
      <c r="B92" s="1"/>
      <c r="C92" s="108" t="s">
        <v>578</v>
      </c>
      <c r="D92" s="48">
        <f>SUM(D89:D91)</f>
        <v>3710.4811528</v>
      </c>
      <c r="E92" s="104"/>
      <c r="G92" s="30"/>
      <c r="I92" s="13"/>
      <c r="J92" s="13"/>
    </row>
    <row r="93" spans="1:14" s="70" customFormat="1" x14ac:dyDescent="0.2">
      <c r="A93" s="24"/>
      <c r="B93" s="1"/>
      <c r="C93" s="47"/>
      <c r="D93" s="107"/>
      <c r="E93" s="104"/>
      <c r="F93" s="2"/>
      <c r="G93" s="30"/>
      <c r="H93" s="2"/>
    </row>
    <row r="94" spans="1:14" s="70" customFormat="1" x14ac:dyDescent="0.2">
      <c r="A94" s="24"/>
      <c r="B94" s="1"/>
      <c r="C94" s="47" t="s">
        <v>932</v>
      </c>
      <c r="D94" s="111">
        <v>235.54</v>
      </c>
      <c r="E94" s="104"/>
      <c r="F94" s="2"/>
      <c r="G94" s="30"/>
      <c r="H94" s="110" t="s">
        <v>581</v>
      </c>
    </row>
    <row r="95" spans="1:14" s="70" customFormat="1" x14ac:dyDescent="0.2">
      <c r="A95" s="24"/>
      <c r="B95" s="1"/>
      <c r="C95" s="136" t="s">
        <v>1142</v>
      </c>
      <c r="D95" s="111">
        <v>219.67</v>
      </c>
      <c r="E95" s="104"/>
      <c r="F95" s="2"/>
      <c r="G95" s="30"/>
      <c r="H95" s="110" t="s">
        <v>581</v>
      </c>
    </row>
    <row r="96" spans="1:14" s="70" customFormat="1" x14ac:dyDescent="0.2">
      <c r="A96" s="24"/>
      <c r="B96" s="1"/>
      <c r="C96" s="78" t="s">
        <v>579</v>
      </c>
      <c r="D96" s="109">
        <f>D94+D95</f>
        <v>455.21</v>
      </c>
      <c r="E96" s="104"/>
      <c r="F96" s="2"/>
      <c r="G96" s="30"/>
    </row>
    <row r="97" spans="1:14" s="70" customFormat="1" x14ac:dyDescent="0.2">
      <c r="A97" s="24"/>
      <c r="B97" s="1"/>
      <c r="C97" s="105"/>
      <c r="D97" s="106"/>
      <c r="E97" s="104"/>
      <c r="F97" s="2"/>
      <c r="G97" s="30"/>
      <c r="I97" s="2"/>
      <c r="J97" s="114" t="s">
        <v>713</v>
      </c>
      <c r="K97" s="2"/>
      <c r="L97" s="2"/>
      <c r="M97" s="2"/>
    </row>
    <row r="98" spans="1:14" s="70" customFormat="1" x14ac:dyDescent="0.2">
      <c r="A98" s="24"/>
      <c r="B98" s="1"/>
      <c r="C98" s="78" t="s">
        <v>577</v>
      </c>
      <c r="D98" s="109">
        <f>D89+D96</f>
        <v>3510.33</v>
      </c>
      <c r="E98" s="104"/>
      <c r="F98" s="2"/>
      <c r="G98" s="30"/>
      <c r="I98" s="113"/>
      <c r="J98" s="113" t="s">
        <v>709</v>
      </c>
      <c r="K98" s="113" t="s">
        <v>710</v>
      </c>
      <c r="L98" s="113" t="s">
        <v>711</v>
      </c>
      <c r="M98" s="113" t="s">
        <v>712</v>
      </c>
    </row>
    <row r="99" spans="1:14" s="70" customFormat="1" x14ac:dyDescent="0.2">
      <c r="A99" s="24"/>
      <c r="B99" s="1"/>
      <c r="C99" s="56"/>
      <c r="D99" s="56"/>
      <c r="E99" s="104"/>
      <c r="F99" s="2"/>
      <c r="G99" s="30"/>
      <c r="I99" s="113" t="s">
        <v>706</v>
      </c>
      <c r="J99" s="115"/>
      <c r="K99" s="115">
        <v>968.99</v>
      </c>
      <c r="L99" s="115">
        <v>968.99</v>
      </c>
      <c r="M99" s="113">
        <f>+J99+L99-K99</f>
        <v>0</v>
      </c>
    </row>
    <row r="100" spans="1:14" s="70" customFormat="1" ht="38.25" x14ac:dyDescent="0.2">
      <c r="A100" s="24"/>
      <c r="B100" s="1"/>
      <c r="C100" s="79" t="str">
        <f>"Particulars ( 01-04-2021 to "&amp;TEXT(A5,"dd-mm-yyyy")&amp;" )"</f>
        <v>Particulars ( 01-04-2021 to 26-09-2023 )</v>
      </c>
      <c r="D100" s="80" t="s">
        <v>73</v>
      </c>
      <c r="E100" s="80" t="s">
        <v>74</v>
      </c>
      <c r="F100" s="81" t="s">
        <v>75</v>
      </c>
      <c r="G100" s="80" t="s">
        <v>76</v>
      </c>
      <c r="I100" s="113" t="s">
        <v>707</v>
      </c>
      <c r="J100" s="115">
        <v>183.1</v>
      </c>
      <c r="K100" s="115">
        <v>3600.48</v>
      </c>
      <c r="L100" s="115">
        <v>3923.51</v>
      </c>
      <c r="M100" s="113">
        <f>+J100+L100-K100</f>
        <v>506.13000000000056</v>
      </c>
    </row>
    <row r="101" spans="1:14" s="70" customFormat="1" x14ac:dyDescent="0.2">
      <c r="A101" s="24"/>
      <c r="B101" s="1"/>
      <c r="C101" s="50" t="s">
        <v>444</v>
      </c>
      <c r="D101" s="55">
        <f>+L99+L100+J100</f>
        <v>5075.6000000000004</v>
      </c>
      <c r="E101" s="55">
        <f>+K99+K100</f>
        <v>4569.47</v>
      </c>
      <c r="F101" s="55">
        <f>+D101-E101</f>
        <v>506.13000000000011</v>
      </c>
      <c r="G101" s="55">
        <f>1500-F101</f>
        <v>993.86999999999989</v>
      </c>
      <c r="I101" s="113" t="s">
        <v>708</v>
      </c>
      <c r="J101" s="115">
        <v>1371.02</v>
      </c>
      <c r="K101" s="115">
        <v>14304.94</v>
      </c>
      <c r="L101" s="115">
        <v>13655.13</v>
      </c>
      <c r="M101" s="113">
        <f>+J101+L101-K101</f>
        <v>721.20999999999913</v>
      </c>
    </row>
    <row r="102" spans="1:14" s="70" customFormat="1" ht="12.75" customHeight="1" x14ac:dyDescent="0.2">
      <c r="A102" s="24"/>
      <c r="B102" s="1"/>
      <c r="C102" s="50" t="s">
        <v>71</v>
      </c>
      <c r="D102" s="55">
        <f>+J101+L101</f>
        <v>15026.15</v>
      </c>
      <c r="E102" s="55">
        <f>+K101</f>
        <v>14304.94</v>
      </c>
      <c r="F102" s="55">
        <f>+D102-E102</f>
        <v>721.20999999999913</v>
      </c>
      <c r="G102" s="55">
        <f>1500+700-F102</f>
        <v>1478.7900000000009</v>
      </c>
      <c r="I102" s="2"/>
      <c r="J102" s="118">
        <f>SUM(J99:J101)</f>
        <v>1554.12</v>
      </c>
      <c r="K102" s="118">
        <f>SUM(K99:K101)</f>
        <v>18874.41</v>
      </c>
      <c r="L102" s="118">
        <f>SUM(L99:L101)</f>
        <v>18547.629999999997</v>
      </c>
      <c r="M102" s="118">
        <f>SUM(M99:M101)</f>
        <v>1227.3399999999997</v>
      </c>
    </row>
    <row r="103" spans="1:14" s="70" customFormat="1" ht="12.75" customHeight="1" x14ac:dyDescent="0.2">
      <c r="A103" s="24"/>
      <c r="B103" s="1"/>
      <c r="C103" s="14"/>
      <c r="D103" s="56"/>
      <c r="E103" s="13"/>
      <c r="F103" s="2"/>
      <c r="G103" s="30"/>
    </row>
    <row r="104" spans="1:14" s="70" customFormat="1" ht="12.75" customHeight="1" x14ac:dyDescent="0.2">
      <c r="A104" s="215" t="s">
        <v>80</v>
      </c>
      <c r="B104" s="216"/>
      <c r="C104" s="216"/>
      <c r="D104" s="217"/>
      <c r="E104" s="69"/>
      <c r="G104" s="30"/>
    </row>
    <row r="105" spans="1:14" s="70" customFormat="1" ht="12.75" customHeight="1" x14ac:dyDescent="0.2">
      <c r="A105" s="71" t="s">
        <v>81</v>
      </c>
      <c r="B105" s="71"/>
      <c r="C105" s="72" t="s">
        <v>82</v>
      </c>
      <c r="D105" s="73" t="s">
        <v>83</v>
      </c>
      <c r="E105" s="69"/>
      <c r="G105" s="30"/>
    </row>
    <row r="106" spans="1:14" s="70" customFormat="1" ht="12.75" customHeight="1" x14ac:dyDescent="0.2">
      <c r="A106" s="87">
        <v>45170</v>
      </c>
      <c r="B106" s="120" t="s">
        <v>1052</v>
      </c>
      <c r="C106" s="75" t="s">
        <v>270</v>
      </c>
      <c r="D106" s="88">
        <v>117174</v>
      </c>
      <c r="E106" s="2"/>
      <c r="F106" s="2"/>
      <c r="G106" s="30"/>
      <c r="H106" s="2"/>
      <c r="I106" s="2"/>
      <c r="J106" s="2"/>
      <c r="K106" s="2"/>
      <c r="L106" s="41"/>
      <c r="M106" s="42"/>
      <c r="N106" s="2"/>
    </row>
    <row r="107" spans="1:14" s="70" customFormat="1" ht="12.75" customHeight="1" x14ac:dyDescent="0.2">
      <c r="A107" s="87">
        <v>45171</v>
      </c>
      <c r="B107" s="120" t="s">
        <v>1052</v>
      </c>
      <c r="C107" s="75" t="s">
        <v>767</v>
      </c>
      <c r="D107" s="88">
        <v>278761</v>
      </c>
      <c r="E107" s="2"/>
      <c r="F107" s="2"/>
      <c r="G107" s="30"/>
      <c r="H107" s="2"/>
      <c r="I107" s="2"/>
      <c r="J107" s="1"/>
      <c r="K107" s="1"/>
      <c r="L107" s="1"/>
      <c r="M107" s="1"/>
      <c r="N107" s="2"/>
    </row>
    <row r="108" spans="1:14" s="70" customFormat="1" ht="12.75" customHeight="1" x14ac:dyDescent="0.2">
      <c r="A108" s="87">
        <v>45171</v>
      </c>
      <c r="B108" s="120" t="s">
        <v>1052</v>
      </c>
      <c r="C108" s="75" t="s">
        <v>201</v>
      </c>
      <c r="D108" s="88">
        <v>3500391.21</v>
      </c>
      <c r="E108" s="2"/>
      <c r="F108" s="2"/>
      <c r="G108" s="30"/>
      <c r="H108" s="2"/>
      <c r="I108" s="2"/>
      <c r="J108" s="2"/>
      <c r="K108" s="2"/>
      <c r="L108" s="13"/>
      <c r="M108" s="69" t="s">
        <v>396</v>
      </c>
      <c r="N108" s="2"/>
    </row>
    <row r="109" spans="1:14" s="2" customFormat="1" ht="12.75" customHeight="1" x14ac:dyDescent="0.2">
      <c r="A109" s="87">
        <v>45173</v>
      </c>
      <c r="B109" s="120" t="s">
        <v>1052</v>
      </c>
      <c r="C109" s="75" t="s">
        <v>1478</v>
      </c>
      <c r="D109" s="88">
        <v>22763</v>
      </c>
      <c r="G109" s="30"/>
      <c r="N109" s="1"/>
    </row>
    <row r="110" spans="1:14" s="2" customFormat="1" ht="12.75" customHeight="1" x14ac:dyDescent="0.2">
      <c r="A110" s="87">
        <v>45173</v>
      </c>
      <c r="B110" s="120" t="s">
        <v>1052</v>
      </c>
      <c r="C110" s="75" t="s">
        <v>1478</v>
      </c>
      <c r="D110" s="88">
        <v>1786258</v>
      </c>
      <c r="G110" s="1"/>
      <c r="M110" s="2" t="s">
        <v>396</v>
      </c>
      <c r="N110" s="1"/>
    </row>
    <row r="111" spans="1:14" s="2" customFormat="1" ht="12.75" customHeight="1" x14ac:dyDescent="0.2">
      <c r="A111" s="87">
        <v>45173</v>
      </c>
      <c r="B111" s="120" t="s">
        <v>1052</v>
      </c>
      <c r="C111" s="75" t="s">
        <v>1478</v>
      </c>
      <c r="D111" s="88">
        <v>1329469</v>
      </c>
      <c r="I111" s="1"/>
      <c r="J111" s="1"/>
      <c r="K111" s="1"/>
    </row>
    <row r="112" spans="1:14" s="2" customFormat="1" ht="12.75" customHeight="1" x14ac:dyDescent="0.2">
      <c r="A112" s="87">
        <v>45175</v>
      </c>
      <c r="B112" s="120" t="s">
        <v>1052</v>
      </c>
      <c r="C112" s="75" t="s">
        <v>784</v>
      </c>
      <c r="D112" s="88">
        <v>673560</v>
      </c>
      <c r="G112" s="1"/>
    </row>
    <row r="113" spans="1:14" s="2" customFormat="1" x14ac:dyDescent="0.2">
      <c r="A113" s="87">
        <v>45175</v>
      </c>
      <c r="B113" s="120" t="s">
        <v>1052</v>
      </c>
      <c r="C113" s="75" t="s">
        <v>784</v>
      </c>
      <c r="D113" s="88">
        <v>700391</v>
      </c>
      <c r="G113" s="1"/>
      <c r="N113" s="2" t="s">
        <v>535</v>
      </c>
    </row>
    <row r="114" spans="1:14" x14ac:dyDescent="0.2">
      <c r="A114" s="87">
        <v>45175</v>
      </c>
      <c r="B114" s="120" t="s">
        <v>1052</v>
      </c>
      <c r="C114" s="75" t="s">
        <v>84</v>
      </c>
      <c r="D114" s="88">
        <v>1000000</v>
      </c>
      <c r="I114" s="2"/>
      <c r="J114" s="2"/>
      <c r="K114" s="2"/>
      <c r="L114" s="2"/>
      <c r="M114" s="2"/>
      <c r="N114" s="2"/>
    </row>
    <row r="115" spans="1:14" x14ac:dyDescent="0.2">
      <c r="A115" s="87">
        <v>45176</v>
      </c>
      <c r="B115" s="120" t="s">
        <v>1052</v>
      </c>
      <c r="C115" s="75" t="s">
        <v>85</v>
      </c>
      <c r="D115" s="88">
        <v>565814</v>
      </c>
      <c r="I115" s="2"/>
      <c r="J115" s="2"/>
      <c r="K115" s="2"/>
      <c r="L115" s="2"/>
      <c r="M115" s="2"/>
      <c r="N115" s="2"/>
    </row>
    <row r="116" spans="1:14" s="2" customFormat="1" x14ac:dyDescent="0.2">
      <c r="A116" s="87">
        <v>45176</v>
      </c>
      <c r="B116" s="120" t="s">
        <v>1052</v>
      </c>
      <c r="C116" s="75" t="s">
        <v>271</v>
      </c>
      <c r="D116" s="88">
        <v>1691421</v>
      </c>
      <c r="G116" s="1"/>
    </row>
    <row r="117" spans="1:14" s="2" customFormat="1" x14ac:dyDescent="0.2">
      <c r="A117" s="87">
        <v>45177</v>
      </c>
      <c r="B117" s="120" t="s">
        <v>1052</v>
      </c>
      <c r="C117" s="75" t="s">
        <v>85</v>
      </c>
      <c r="D117" s="88">
        <v>432581</v>
      </c>
    </row>
    <row r="118" spans="1:14" s="2" customFormat="1" x14ac:dyDescent="0.2">
      <c r="A118" s="87">
        <v>45177</v>
      </c>
      <c r="B118" s="120" t="s">
        <v>1052</v>
      </c>
      <c r="C118" s="75" t="s">
        <v>1521</v>
      </c>
      <c r="D118" s="88">
        <v>1198155</v>
      </c>
    </row>
    <row r="119" spans="1:14" s="2" customFormat="1" x14ac:dyDescent="0.2">
      <c r="A119" s="87">
        <v>45180</v>
      </c>
      <c r="B119" s="120" t="s">
        <v>1052</v>
      </c>
      <c r="C119" s="75" t="s">
        <v>784</v>
      </c>
      <c r="D119" s="88">
        <v>279127</v>
      </c>
    </row>
    <row r="120" spans="1:14" s="2" customFormat="1" x14ac:dyDescent="0.2">
      <c r="A120" s="87">
        <v>45180</v>
      </c>
      <c r="B120" s="120" t="s">
        <v>1052</v>
      </c>
      <c r="C120" s="75" t="s">
        <v>270</v>
      </c>
      <c r="D120" s="88">
        <v>30842</v>
      </c>
    </row>
    <row r="121" spans="1:14" s="2" customFormat="1" x14ac:dyDescent="0.2">
      <c r="A121" s="87">
        <v>45180</v>
      </c>
      <c r="B121" s="120" t="s">
        <v>1052</v>
      </c>
      <c r="C121" s="75" t="s">
        <v>271</v>
      </c>
      <c r="D121" s="88">
        <v>701813</v>
      </c>
      <c r="G121" s="1"/>
    </row>
    <row r="122" spans="1:14" s="2" customFormat="1" x14ac:dyDescent="0.2">
      <c r="A122" s="87">
        <v>45180</v>
      </c>
      <c r="B122" s="120" t="s">
        <v>1052</v>
      </c>
      <c r="C122" s="75" t="s">
        <v>271</v>
      </c>
      <c r="D122" s="88">
        <v>189083</v>
      </c>
      <c r="G122" s="1"/>
    </row>
    <row r="123" spans="1:14" s="2" customFormat="1" x14ac:dyDescent="0.2">
      <c r="A123" s="87">
        <v>45180</v>
      </c>
      <c r="B123" s="120" t="s">
        <v>1052</v>
      </c>
      <c r="C123" s="75" t="s">
        <v>271</v>
      </c>
      <c r="D123" s="88">
        <v>2019</v>
      </c>
      <c r="G123" s="1"/>
    </row>
    <row r="124" spans="1:14" s="2" customFormat="1" x14ac:dyDescent="0.2">
      <c r="A124" s="87">
        <v>45182</v>
      </c>
      <c r="B124" s="120" t="s">
        <v>1052</v>
      </c>
      <c r="C124" s="75" t="s">
        <v>467</v>
      </c>
      <c r="D124" s="88">
        <v>3314639</v>
      </c>
      <c r="G124" s="1"/>
    </row>
    <row r="125" spans="1:14" s="2" customFormat="1" x14ac:dyDescent="0.2">
      <c r="A125" s="87">
        <v>45183</v>
      </c>
      <c r="B125" s="120" t="s">
        <v>1052</v>
      </c>
      <c r="C125" s="75" t="s">
        <v>784</v>
      </c>
      <c r="D125" s="88">
        <v>665398</v>
      </c>
      <c r="G125" s="1"/>
    </row>
    <row r="126" spans="1:14" s="2" customFormat="1" x14ac:dyDescent="0.2">
      <c r="A126" s="87">
        <v>45184</v>
      </c>
      <c r="B126" s="120" t="s">
        <v>1052</v>
      </c>
      <c r="C126" s="75" t="s">
        <v>784</v>
      </c>
      <c r="D126" s="88">
        <v>669733</v>
      </c>
      <c r="G126" s="1"/>
    </row>
    <row r="127" spans="1:14" s="2" customFormat="1" x14ac:dyDescent="0.2">
      <c r="A127" s="87">
        <v>45184</v>
      </c>
      <c r="B127" s="120" t="s">
        <v>1052</v>
      </c>
      <c r="C127" s="75" t="s">
        <v>270</v>
      </c>
      <c r="D127" s="88">
        <v>6923</v>
      </c>
      <c r="G127" s="1"/>
    </row>
    <row r="128" spans="1:14" s="2" customFormat="1" x14ac:dyDescent="0.2">
      <c r="A128" s="87">
        <v>45184</v>
      </c>
      <c r="B128" s="120" t="s">
        <v>1052</v>
      </c>
      <c r="C128" s="75" t="s">
        <v>84</v>
      </c>
      <c r="D128" s="88">
        <v>1092413</v>
      </c>
      <c r="G128" s="1"/>
    </row>
    <row r="129" spans="1:8" s="2" customFormat="1" x14ac:dyDescent="0.2">
      <c r="A129" s="87">
        <v>45184</v>
      </c>
      <c r="B129" s="120" t="s">
        <v>1052</v>
      </c>
      <c r="C129" s="75" t="s">
        <v>270</v>
      </c>
      <c r="D129" s="88">
        <v>273422</v>
      </c>
      <c r="G129" s="1"/>
    </row>
    <row r="130" spans="1:8" s="2" customFormat="1" x14ac:dyDescent="0.2">
      <c r="A130" s="87">
        <v>45185</v>
      </c>
      <c r="B130" s="120" t="s">
        <v>1052</v>
      </c>
      <c r="C130" s="75" t="s">
        <v>85</v>
      </c>
      <c r="D130" s="88">
        <v>389967</v>
      </c>
      <c r="G130" s="1"/>
    </row>
    <row r="131" spans="1:8" s="2" customFormat="1" x14ac:dyDescent="0.2">
      <c r="A131" s="87">
        <v>45185</v>
      </c>
      <c r="B131" s="120" t="s">
        <v>1052</v>
      </c>
      <c r="C131" s="75" t="s">
        <v>87</v>
      </c>
      <c r="D131" s="88">
        <v>887666</v>
      </c>
      <c r="G131" s="1"/>
    </row>
    <row r="132" spans="1:8" s="2" customFormat="1" x14ac:dyDescent="0.2">
      <c r="A132" s="87">
        <v>45187</v>
      </c>
      <c r="B132" s="120" t="s">
        <v>1052</v>
      </c>
      <c r="C132" s="75" t="s">
        <v>784</v>
      </c>
      <c r="D132" s="88">
        <v>702770</v>
      </c>
      <c r="G132" s="1"/>
    </row>
    <row r="133" spans="1:8" s="2" customFormat="1" x14ac:dyDescent="0.2">
      <c r="A133" s="87">
        <v>45187</v>
      </c>
      <c r="B133" s="120" t="s">
        <v>1052</v>
      </c>
      <c r="C133" s="75" t="s">
        <v>1552</v>
      </c>
      <c r="D133" s="88">
        <v>986729.07</v>
      </c>
      <c r="G133" s="1"/>
    </row>
    <row r="134" spans="1:8" s="2" customFormat="1" x14ac:dyDescent="0.2">
      <c r="A134" s="87">
        <v>45189</v>
      </c>
      <c r="B134" s="120" t="s">
        <v>1052</v>
      </c>
      <c r="C134" s="75" t="s">
        <v>767</v>
      </c>
      <c r="D134" s="88">
        <v>140000</v>
      </c>
      <c r="G134" s="1"/>
    </row>
    <row r="135" spans="1:8" s="2" customFormat="1" x14ac:dyDescent="0.2">
      <c r="A135" s="87">
        <v>45189</v>
      </c>
      <c r="B135" s="120" t="s">
        <v>1052</v>
      </c>
      <c r="C135" s="75" t="s">
        <v>271</v>
      </c>
      <c r="D135" s="88">
        <v>17256</v>
      </c>
      <c r="G135" s="1"/>
    </row>
    <row r="136" spans="1:8" s="2" customFormat="1" x14ac:dyDescent="0.2">
      <c r="A136" s="87">
        <v>45190</v>
      </c>
      <c r="B136" s="120" t="s">
        <v>1052</v>
      </c>
      <c r="C136" s="75" t="s">
        <v>1573</v>
      </c>
      <c r="D136" s="88">
        <v>6659450</v>
      </c>
      <c r="G136" s="1"/>
    </row>
    <row r="137" spans="1:8" s="2" customFormat="1" x14ac:dyDescent="0.2">
      <c r="A137" s="87">
        <v>45190</v>
      </c>
      <c r="B137" s="120" t="s">
        <v>1052</v>
      </c>
      <c r="C137" s="75" t="s">
        <v>1478</v>
      </c>
      <c r="D137" s="88">
        <v>3527095</v>
      </c>
      <c r="G137" s="1"/>
    </row>
    <row r="138" spans="1:8" s="2" customFormat="1" x14ac:dyDescent="0.2">
      <c r="A138" s="87">
        <v>45191</v>
      </c>
      <c r="B138" s="120" t="s">
        <v>1052</v>
      </c>
      <c r="C138" s="75" t="s">
        <v>784</v>
      </c>
      <c r="D138" s="88">
        <v>68477</v>
      </c>
      <c r="G138" s="1"/>
    </row>
    <row r="139" spans="1:8" s="2" customFormat="1" x14ac:dyDescent="0.2">
      <c r="A139" s="87">
        <v>45191</v>
      </c>
      <c r="B139" s="120" t="s">
        <v>1052</v>
      </c>
      <c r="C139" s="75" t="s">
        <v>84</v>
      </c>
      <c r="D139" s="88">
        <v>237682</v>
      </c>
      <c r="G139" s="1"/>
    </row>
    <row r="140" spans="1:8" s="2" customFormat="1" x14ac:dyDescent="0.2">
      <c r="A140" s="87">
        <v>45194</v>
      </c>
      <c r="B140" s="120" t="s">
        <v>1052</v>
      </c>
      <c r="C140" s="75" t="s">
        <v>784</v>
      </c>
      <c r="D140" s="88">
        <v>670873</v>
      </c>
      <c r="G140" s="1"/>
    </row>
    <row r="141" spans="1:8" s="2" customFormat="1" x14ac:dyDescent="0.2">
      <c r="A141" s="87"/>
      <c r="B141" s="74"/>
      <c r="C141" s="75"/>
      <c r="D141" s="51">
        <f>SUM(D106:D140)</f>
        <v>34810115.280000001</v>
      </c>
      <c r="F141" s="2" t="s">
        <v>396</v>
      </c>
      <c r="G141" s="1"/>
    </row>
    <row r="142" spans="1:8" s="2" customFormat="1" x14ac:dyDescent="0.2">
      <c r="A142" s="24"/>
      <c r="B142" s="1"/>
      <c r="C142" s="14"/>
      <c r="D142" s="56"/>
      <c r="E142" s="13"/>
      <c r="G142" s="1"/>
    </row>
    <row r="143" spans="1:8" s="2" customFormat="1" x14ac:dyDescent="0.2">
      <c r="A143" s="24"/>
      <c r="B143" s="1"/>
      <c r="C143" s="218" t="s">
        <v>77</v>
      </c>
      <c r="D143" s="219"/>
      <c r="E143" s="219"/>
      <c r="F143" s="220"/>
      <c r="H143" s="2" t="s">
        <v>396</v>
      </c>
    </row>
    <row r="144" spans="1:8" s="2" customFormat="1" x14ac:dyDescent="0.2">
      <c r="A144" s="24"/>
      <c r="B144" s="1"/>
      <c r="C144" s="50"/>
      <c r="D144" s="57" t="s">
        <v>78</v>
      </c>
      <c r="E144" s="58" t="s">
        <v>79</v>
      </c>
      <c r="F144" s="57" t="s">
        <v>72</v>
      </c>
      <c r="H144" s="2" t="s">
        <v>396</v>
      </c>
    </row>
    <row r="145" spans="1:13" s="2" customFormat="1" x14ac:dyDescent="0.2">
      <c r="A145" s="24"/>
      <c r="B145" s="1"/>
      <c r="C145" s="59" t="str">
        <f>"01-09-2023 to "&amp;TEXT(A5-2,"dd-mm-yyyy")</f>
        <v>01-09-2023 to 24-09-2023</v>
      </c>
      <c r="D145" s="60">
        <v>1928.75</v>
      </c>
      <c r="E145" s="60">
        <v>230.8</v>
      </c>
      <c r="F145" s="61">
        <f>SUM(D145:E145)</f>
        <v>2159.5500000000002</v>
      </c>
    </row>
    <row r="146" spans="1:13" s="2" customFormat="1" x14ac:dyDescent="0.2">
      <c r="A146" s="24"/>
      <c r="B146" s="1"/>
      <c r="C146" s="62" t="str">
        <f>TEXT(A5-1,"dd-mm-yyyy")</f>
        <v>25-09-2023</v>
      </c>
      <c r="D146" s="60">
        <v>69.010000000000005</v>
      </c>
      <c r="E146" s="60">
        <v>22.63</v>
      </c>
      <c r="F146" s="61">
        <f>SUM(D146:E146)</f>
        <v>91.64</v>
      </c>
      <c r="G146" s="1"/>
      <c r="H146" s="53"/>
    </row>
    <row r="147" spans="1:13" s="2" customFormat="1" ht="13.5" thickBot="1" x14ac:dyDescent="0.25">
      <c r="A147" s="24"/>
      <c r="B147" s="1"/>
      <c r="C147" s="63" t="str">
        <f>"01-09-2023 to "&amp;TEXT(A5-1,"dd-mm-yyyy")</f>
        <v>01-09-2023 to 25-09-2023</v>
      </c>
      <c r="D147" s="64">
        <f>SUM(D145:D146)</f>
        <v>1997.76</v>
      </c>
      <c r="E147" s="64">
        <f>SUM(E145:E146)</f>
        <v>253.43</v>
      </c>
      <c r="F147" s="64">
        <f>SUM(F145:F146)</f>
        <v>2251.19</v>
      </c>
      <c r="G147" s="1"/>
      <c r="H147" s="53"/>
    </row>
    <row r="148" spans="1:13" s="2" customFormat="1" ht="13.5" thickTop="1" x14ac:dyDescent="0.2">
      <c r="A148" s="24"/>
      <c r="B148" s="1"/>
      <c r="C148" s="62"/>
      <c r="D148" s="65"/>
      <c r="E148" s="66"/>
      <c r="F148" s="67"/>
      <c r="L148" s="1"/>
      <c r="M148" s="1"/>
    </row>
    <row r="149" spans="1:13" s="2" customFormat="1" x14ac:dyDescent="0.2">
      <c r="A149" s="24"/>
      <c r="B149" s="1"/>
      <c r="C149" s="62" t="str">
        <f>"01-04-2023 to " &amp;C146</f>
        <v>01-04-2023 to 25-09-2023</v>
      </c>
      <c r="D149" s="68">
        <f>+D147+24261.33</f>
        <v>26259.09</v>
      </c>
      <c r="E149" s="68">
        <f>+E147+1685.25</f>
        <v>1938.68</v>
      </c>
      <c r="F149" s="68">
        <f>+F147+25946.58</f>
        <v>28197.77</v>
      </c>
      <c r="G149" s="1"/>
      <c r="L149" s="1"/>
      <c r="M149" s="1"/>
    </row>
    <row r="150" spans="1:13" s="2" customFormat="1" x14ac:dyDescent="0.2">
      <c r="A150" s="24"/>
      <c r="B150" s="1"/>
      <c r="C150" s="52"/>
      <c r="D150" s="85"/>
      <c r="E150" s="53"/>
      <c r="F150" s="53"/>
      <c r="G150" s="1"/>
      <c r="L150" s="1"/>
      <c r="M150" s="1"/>
    </row>
    <row r="151" spans="1:13" s="2" customFormat="1" x14ac:dyDescent="0.2">
      <c r="A151" s="24"/>
      <c r="B151" s="1"/>
      <c r="C151" s="52"/>
      <c r="D151" s="85"/>
      <c r="E151" s="53"/>
      <c r="F151" s="53"/>
      <c r="G151" s="1"/>
      <c r="L151" s="1"/>
      <c r="M151" s="1"/>
    </row>
    <row r="152" spans="1:13" s="2" customFormat="1" x14ac:dyDescent="0.2">
      <c r="A152" s="24"/>
      <c r="B152" s="1"/>
      <c r="C152" s="52"/>
      <c r="D152" s="85"/>
      <c r="E152" s="53"/>
      <c r="F152" s="53"/>
      <c r="G152" s="1"/>
      <c r="L152" s="1"/>
      <c r="M152" s="1"/>
    </row>
    <row r="153" spans="1:13" s="2" customFormat="1" x14ac:dyDescent="0.2">
      <c r="A153" s="24"/>
      <c r="B153" s="1"/>
      <c r="C153" s="52"/>
      <c r="D153" s="85"/>
      <c r="E153" s="53"/>
      <c r="F153" s="53"/>
      <c r="G153" s="1"/>
      <c r="L153" s="1"/>
      <c r="M153" s="1"/>
    </row>
    <row r="154" spans="1:13" s="2" customFormat="1" x14ac:dyDescent="0.2">
      <c r="A154" s="24"/>
      <c r="B154" s="1"/>
      <c r="C154" s="14"/>
      <c r="D154" s="25"/>
      <c r="G154" s="1"/>
      <c r="L154" s="1"/>
      <c r="M154" s="1"/>
    </row>
    <row r="155" spans="1:13" s="2" customFormat="1" x14ac:dyDescent="0.2">
      <c r="A155" s="24"/>
      <c r="B155" s="1"/>
      <c r="C155" s="14"/>
      <c r="D155" s="25"/>
      <c r="G155" s="1"/>
      <c r="L155" s="1"/>
      <c r="M155" s="1"/>
    </row>
    <row r="156" spans="1:13" s="2" customFormat="1" x14ac:dyDescent="0.2">
      <c r="A156" s="24"/>
      <c r="B156" s="1"/>
      <c r="C156" s="14"/>
      <c r="D156" s="25"/>
      <c r="G156" s="1"/>
      <c r="L156" s="1"/>
      <c r="M156" s="1"/>
    </row>
    <row r="157" spans="1:13" s="2" customFormat="1" x14ac:dyDescent="0.2">
      <c r="A157" s="24"/>
      <c r="B157" s="1"/>
      <c r="C157" s="14"/>
      <c r="D157" s="25"/>
      <c r="G157" s="1"/>
      <c r="L157" s="1"/>
      <c r="M157" s="1"/>
    </row>
    <row r="158" spans="1:13" s="2" customFormat="1" x14ac:dyDescent="0.2">
      <c r="A158" s="24"/>
      <c r="B158" s="1"/>
      <c r="C158" s="14"/>
      <c r="D158" s="25"/>
      <c r="G158" s="1"/>
      <c r="L158" s="1"/>
      <c r="M158" s="1"/>
    </row>
    <row r="159" spans="1:13" s="2" customFormat="1" x14ac:dyDescent="0.2">
      <c r="A159" s="24"/>
      <c r="B159" s="1"/>
      <c r="C159" s="14"/>
      <c r="D159" s="25"/>
      <c r="G159" s="1"/>
      <c r="L159" s="1"/>
      <c r="M159" s="1"/>
    </row>
    <row r="160" spans="1:13" s="2" customFormat="1" x14ac:dyDescent="0.2">
      <c r="A160" s="24"/>
      <c r="B160" s="1"/>
      <c r="C160" s="14"/>
      <c r="D160" s="25"/>
      <c r="G160" s="1"/>
      <c r="L160" s="1"/>
      <c r="M160" s="1"/>
    </row>
    <row r="161" spans="1:14" s="2" customFormat="1" x14ac:dyDescent="0.2">
      <c r="A161" s="24"/>
      <c r="B161" s="1"/>
      <c r="C161" s="14"/>
      <c r="D161" s="25"/>
      <c r="G161" s="1"/>
      <c r="L161" s="1"/>
      <c r="M161" s="1"/>
    </row>
    <row r="162" spans="1:14" s="2" customFormat="1" x14ac:dyDescent="0.2">
      <c r="A162" s="24"/>
      <c r="B162" s="1"/>
      <c r="C162" s="14"/>
      <c r="D162" s="25"/>
      <c r="G162" s="1"/>
      <c r="L162" s="1"/>
      <c r="M162" s="1"/>
    </row>
    <row r="163" spans="1:14" s="2" customFormat="1" x14ac:dyDescent="0.2">
      <c r="A163" s="24"/>
      <c r="B163" s="1"/>
      <c r="C163" s="14"/>
      <c r="D163" s="25"/>
      <c r="G163" s="1"/>
      <c r="L163" s="1"/>
      <c r="M163" s="1"/>
    </row>
    <row r="164" spans="1:14" s="2" customFormat="1" x14ac:dyDescent="0.2">
      <c r="A164" s="24"/>
      <c r="B164" s="1"/>
      <c r="C164" s="14"/>
      <c r="D164" s="25"/>
      <c r="G164" s="1"/>
      <c r="L164" s="1"/>
      <c r="M164" s="1"/>
    </row>
    <row r="165" spans="1:14" s="2" customFormat="1" x14ac:dyDescent="0.2">
      <c r="A165" s="24"/>
      <c r="B165" s="1"/>
      <c r="C165" s="14"/>
      <c r="D165" s="25"/>
      <c r="G165" s="1"/>
      <c r="L165" s="1"/>
      <c r="M165" s="1"/>
    </row>
    <row r="166" spans="1:14" s="2" customFormat="1" x14ac:dyDescent="0.2">
      <c r="A166" s="24"/>
      <c r="B166" s="1"/>
      <c r="C166" s="14"/>
      <c r="D166" s="25"/>
      <c r="G166" s="1"/>
      <c r="L166" s="1"/>
      <c r="M166" s="1"/>
    </row>
    <row r="167" spans="1:14" s="2" customFormat="1" x14ac:dyDescent="0.2">
      <c r="A167" s="24"/>
      <c r="B167" s="1"/>
      <c r="C167" s="14"/>
      <c r="D167" s="25"/>
      <c r="G167" s="1"/>
      <c r="L167" s="1"/>
      <c r="M167" s="1"/>
    </row>
    <row r="168" spans="1:14" s="2" customFormat="1" x14ac:dyDescent="0.2">
      <c r="A168" s="24"/>
      <c r="B168" s="1"/>
      <c r="C168" s="14"/>
      <c r="D168" s="25"/>
      <c r="G168" s="1"/>
      <c r="I168" s="1"/>
      <c r="J168" s="1"/>
      <c r="K168" s="1"/>
      <c r="L168" s="1"/>
      <c r="M168" s="1"/>
    </row>
    <row r="169" spans="1:14" s="2" customFormat="1" x14ac:dyDescent="0.2">
      <c r="A169" s="24"/>
      <c r="B169" s="1"/>
      <c r="C169" s="14"/>
      <c r="D169" s="25"/>
      <c r="G169" s="1"/>
    </row>
    <row r="170" spans="1:14" s="2" customFormat="1" x14ac:dyDescent="0.2">
      <c r="A170" s="24"/>
      <c r="B170" s="1"/>
      <c r="C170" s="14"/>
      <c r="D170" s="25"/>
      <c r="G170" s="1"/>
      <c r="I170" s="1"/>
      <c r="J170" s="1"/>
      <c r="K170" s="1"/>
      <c r="L170" s="1"/>
      <c r="M170" s="1"/>
    </row>
    <row r="171" spans="1:14" s="2" customFormat="1" x14ac:dyDescent="0.2">
      <c r="A171" s="24"/>
      <c r="B171" s="1"/>
      <c r="C171" s="14"/>
      <c r="D171" s="25"/>
      <c r="G171" s="54"/>
      <c r="I171" s="1"/>
      <c r="J171" s="1"/>
      <c r="K171" s="1"/>
      <c r="L171" s="1"/>
      <c r="M171" s="1"/>
    </row>
    <row r="172" spans="1:14" s="2" customFormat="1" x14ac:dyDescent="0.2">
      <c r="A172" s="24"/>
      <c r="B172" s="1"/>
      <c r="C172" s="14"/>
      <c r="D172" s="25"/>
      <c r="G172" s="54"/>
      <c r="I172" s="1"/>
      <c r="J172" s="1"/>
      <c r="K172" s="1"/>
      <c r="L172" s="1"/>
      <c r="M172" s="1"/>
    </row>
    <row r="173" spans="1:14" s="2" customFormat="1" x14ac:dyDescent="0.2">
      <c r="A173" s="24"/>
      <c r="B173" s="1"/>
      <c r="C173" s="14"/>
      <c r="D173" s="25"/>
      <c r="G173" s="54"/>
      <c r="I173" s="1"/>
      <c r="J173" s="1"/>
      <c r="K173" s="1"/>
      <c r="L173" s="1"/>
      <c r="M173" s="1"/>
    </row>
    <row r="174" spans="1:14" s="2" customFormat="1" x14ac:dyDescent="0.2">
      <c r="A174" s="24"/>
      <c r="B174" s="1"/>
      <c r="C174" s="14"/>
      <c r="D174" s="25"/>
      <c r="G174" s="54"/>
      <c r="H174" s="2" t="s">
        <v>396</v>
      </c>
      <c r="I174" s="1"/>
      <c r="J174" s="1"/>
      <c r="K174" s="1"/>
      <c r="L174" s="1"/>
      <c r="M174" s="1"/>
      <c r="N174" s="1"/>
    </row>
    <row r="175" spans="1:14" s="2" customFormat="1" x14ac:dyDescent="0.2">
      <c r="A175" s="24"/>
      <c r="B175" s="1"/>
      <c r="C175" s="14"/>
      <c r="D175" s="25"/>
      <c r="G175" s="54"/>
      <c r="H175" s="53"/>
    </row>
    <row r="176" spans="1:14" s="2" customFormat="1" x14ac:dyDescent="0.2">
      <c r="A176" s="24"/>
      <c r="B176" s="1"/>
      <c r="C176" s="14"/>
      <c r="D176" s="25"/>
      <c r="G176" s="54"/>
      <c r="H176" s="53" t="s">
        <v>396</v>
      </c>
      <c r="I176" s="1"/>
      <c r="J176" s="1"/>
      <c r="K176" s="1"/>
      <c r="L176" s="1"/>
      <c r="M176" s="1"/>
      <c r="N176" s="1"/>
    </row>
    <row r="177" spans="1:14" x14ac:dyDescent="0.2">
      <c r="G177" s="54"/>
      <c r="H177" s="53" t="s">
        <v>396</v>
      </c>
      <c r="J177" s="42"/>
    </row>
    <row r="178" spans="1:14" s="2" customFormat="1" x14ac:dyDescent="0.2">
      <c r="A178" s="24"/>
      <c r="B178" s="1"/>
      <c r="C178" s="14"/>
      <c r="D178" s="25"/>
      <c r="G178" s="54"/>
      <c r="H178" s="53"/>
      <c r="I178" s="101"/>
      <c r="J178" s="1"/>
      <c r="K178" s="1"/>
      <c r="L178" s="1"/>
      <c r="M178" s="1"/>
      <c r="N178" s="1"/>
    </row>
    <row r="179" spans="1:14" x14ac:dyDescent="0.2">
      <c r="G179" s="54"/>
      <c r="H179" s="53"/>
    </row>
    <row r="180" spans="1:14" x14ac:dyDescent="0.2">
      <c r="G180" s="54"/>
      <c r="H180" s="53"/>
    </row>
    <row r="181" spans="1:14" x14ac:dyDescent="0.2">
      <c r="G181" s="54"/>
      <c r="H181" s="53"/>
    </row>
  </sheetData>
  <sheetProtection insertRows="0"/>
  <mergeCells count="6">
    <mergeCell ref="C143:F143"/>
    <mergeCell ref="A1:G1"/>
    <mergeCell ref="A3:F3"/>
    <mergeCell ref="A9:F9"/>
    <mergeCell ref="A36:F36"/>
    <mergeCell ref="A104:D104"/>
  </mergeCells>
  <conditionalFormatting sqref="G101:G102">
    <cfRule type="cellIs" dxfId="297" priority="1" operator="lessThan">
      <formula>0</formula>
    </cfRule>
  </conditionalFormatting>
  <conditionalFormatting sqref="C38">
    <cfRule type="duplicateValues" dxfId="296" priority="2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E00-000000000000}">
  <sheetPr codeName="Sheet438">
    <pageSetUpPr fitToPage="1"/>
  </sheetPr>
  <dimension ref="A1:N161"/>
  <sheetViews>
    <sheetView topLeftCell="A28" zoomScaleNormal="100" workbookViewId="0">
      <selection activeCell="I58" sqref="I58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1" ht="20.25" customHeight="1" x14ac:dyDescent="0.4">
      <c r="A1" s="212" t="s">
        <v>1594</v>
      </c>
      <c r="B1" s="212"/>
      <c r="C1" s="212"/>
      <c r="D1" s="212"/>
      <c r="E1" s="212"/>
      <c r="F1" s="212"/>
      <c r="G1" s="212"/>
      <c r="H1" s="112"/>
      <c r="I1" s="112"/>
    </row>
    <row r="2" spans="1:11" ht="12.75" customHeight="1" x14ac:dyDescent="0.4">
      <c r="H2" s="112"/>
      <c r="I2" s="112"/>
    </row>
    <row r="3" spans="1:11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1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1" s="2" customFormat="1" ht="14.25" customHeight="1" x14ac:dyDescent="0.4">
      <c r="A5" s="89">
        <v>45196</v>
      </c>
      <c r="B5" s="9" t="s">
        <v>6</v>
      </c>
      <c r="C5" s="10" t="s">
        <v>7</v>
      </c>
      <c r="D5" s="11"/>
      <c r="E5" s="12">
        <v>990639.79000000097</v>
      </c>
      <c r="F5" s="12"/>
      <c r="G5" s="1"/>
      <c r="H5" s="112"/>
      <c r="I5" s="112"/>
    </row>
    <row r="6" spans="1:11" s="2" customFormat="1" ht="12.75" customHeight="1" x14ac:dyDescent="0.4">
      <c r="D6" s="15" t="s">
        <v>8</v>
      </c>
      <c r="E6" s="16">
        <f>SUM(E5:E5)</f>
        <v>990639.79000000097</v>
      </c>
      <c r="F6" s="16">
        <f>F5</f>
        <v>0</v>
      </c>
      <c r="G6" s="1"/>
      <c r="H6" s="112"/>
      <c r="I6" s="112"/>
    </row>
    <row r="7" spans="1:11" s="2" customFormat="1" ht="12.75" customHeight="1" x14ac:dyDescent="0.4">
      <c r="A7" s="17"/>
      <c r="B7" s="18"/>
      <c r="C7" s="19" t="s">
        <v>9</v>
      </c>
      <c r="D7" s="20"/>
      <c r="E7" s="21">
        <f>+E6-F6</f>
        <v>990639.79000000097</v>
      </c>
      <c r="F7" s="22"/>
      <c r="G7" s="23"/>
      <c r="H7" s="112"/>
      <c r="I7" s="112"/>
      <c r="J7" s="13"/>
    </row>
    <row r="8" spans="1:11" ht="12.75" customHeight="1" x14ac:dyDescent="0.4">
      <c r="H8" s="112"/>
      <c r="I8" s="112"/>
    </row>
    <row r="9" spans="1:11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69">
        <v>90000000</v>
      </c>
      <c r="J9" s="169" t="s">
        <v>1508</v>
      </c>
    </row>
    <row r="10" spans="1:11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69">
        <v>82152320.650000006</v>
      </c>
      <c r="J10" s="169" t="s">
        <v>1509</v>
      </c>
      <c r="K10" s="124"/>
    </row>
    <row r="11" spans="1:11" s="2" customFormat="1" ht="14.25" customHeight="1" x14ac:dyDescent="0.2">
      <c r="A11" s="89">
        <v>45196</v>
      </c>
      <c r="B11" s="9" t="s">
        <v>6</v>
      </c>
      <c r="C11" s="10" t="s">
        <v>7</v>
      </c>
      <c r="D11" s="11"/>
      <c r="F11" s="12">
        <v>83185096.950000003</v>
      </c>
      <c r="G11" s="1"/>
      <c r="H11" s="130" t="s">
        <v>396</v>
      </c>
      <c r="I11" s="169">
        <f>+I9-I10</f>
        <v>7847679.349999994</v>
      </c>
      <c r="J11" s="169" t="s">
        <v>712</v>
      </c>
      <c r="K11" s="165" t="s">
        <v>1512</v>
      </c>
    </row>
    <row r="12" spans="1:11" s="2" customFormat="1" ht="14.25" customHeight="1" x14ac:dyDescent="0.2">
      <c r="A12" s="89">
        <v>45196</v>
      </c>
      <c r="B12" s="9" t="s">
        <v>6</v>
      </c>
      <c r="C12" s="76" t="s">
        <v>386</v>
      </c>
      <c r="D12" s="11" t="s">
        <v>13</v>
      </c>
      <c r="E12" s="2">
        <v>200000</v>
      </c>
      <c r="F12" s="12"/>
      <c r="G12" s="1"/>
      <c r="H12" s="130"/>
      <c r="I12" s="171"/>
      <c r="J12" s="171"/>
      <c r="K12" s="165"/>
    </row>
    <row r="13" spans="1:11" s="2" customFormat="1" ht="14.25" customHeight="1" x14ac:dyDescent="0.2">
      <c r="A13" s="89">
        <v>45196</v>
      </c>
      <c r="B13" s="9" t="s">
        <v>6</v>
      </c>
      <c r="C13" s="76" t="s">
        <v>1255</v>
      </c>
      <c r="D13" s="11" t="s">
        <v>13</v>
      </c>
      <c r="E13" s="2">
        <v>1500000</v>
      </c>
      <c r="F13" s="12"/>
      <c r="G13" s="1"/>
      <c r="H13" s="130"/>
      <c r="I13" s="171"/>
      <c r="J13" s="171"/>
      <c r="K13" s="165"/>
    </row>
    <row r="14" spans="1:11" s="2" customFormat="1" ht="14.25" customHeight="1" x14ac:dyDescent="0.2">
      <c r="A14" s="89">
        <v>45196</v>
      </c>
      <c r="B14" s="9" t="s">
        <v>11</v>
      </c>
      <c r="C14" s="76" t="s">
        <v>1137</v>
      </c>
      <c r="D14" s="11" t="s">
        <v>29</v>
      </c>
      <c r="F14" s="31">
        <v>356.58</v>
      </c>
      <c r="G14" s="1"/>
      <c r="H14" s="130"/>
      <c r="I14" s="171"/>
      <c r="J14" s="171"/>
      <c r="K14" s="165"/>
    </row>
    <row r="15" spans="1:11" s="2" customFormat="1" ht="14.25" customHeight="1" x14ac:dyDescent="0.2">
      <c r="A15" s="89">
        <v>45196</v>
      </c>
      <c r="B15" s="9" t="s">
        <v>11</v>
      </c>
      <c r="C15" s="76" t="s">
        <v>1595</v>
      </c>
      <c r="D15" s="11" t="s">
        <v>29</v>
      </c>
      <c r="F15" s="31">
        <v>23600</v>
      </c>
      <c r="G15" s="1"/>
      <c r="H15" s="130"/>
      <c r="I15" s="171"/>
      <c r="J15" s="171"/>
      <c r="K15" s="165"/>
    </row>
    <row r="16" spans="1:11" s="2" customFormat="1" ht="14.25" customHeight="1" x14ac:dyDescent="0.2">
      <c r="A16" s="89">
        <v>45196</v>
      </c>
      <c r="B16" s="9" t="s">
        <v>11</v>
      </c>
      <c r="C16" s="76" t="s">
        <v>886</v>
      </c>
      <c r="D16" s="11" t="s">
        <v>29</v>
      </c>
      <c r="F16" s="31">
        <v>2842</v>
      </c>
      <c r="G16" s="1"/>
      <c r="H16" s="130"/>
      <c r="I16" s="171"/>
      <c r="J16" s="171"/>
      <c r="K16" s="165"/>
    </row>
    <row r="17" spans="1:13" s="2" customFormat="1" ht="14.25" customHeight="1" x14ac:dyDescent="0.2">
      <c r="A17" s="89">
        <v>45196</v>
      </c>
      <c r="B17" s="9" t="s">
        <v>11</v>
      </c>
      <c r="C17" s="76" t="s">
        <v>235</v>
      </c>
      <c r="D17" s="11" t="s">
        <v>29</v>
      </c>
      <c r="F17" s="31">
        <v>6825</v>
      </c>
      <c r="G17" s="1"/>
      <c r="H17" s="130"/>
      <c r="I17" s="171"/>
      <c r="J17" s="171"/>
      <c r="K17" s="165"/>
    </row>
    <row r="18" spans="1:13" s="2" customFormat="1" ht="14.25" customHeight="1" x14ac:dyDescent="0.2">
      <c r="A18" s="89">
        <v>45196</v>
      </c>
      <c r="B18" s="9" t="s">
        <v>11</v>
      </c>
      <c r="C18" s="76" t="s">
        <v>476</v>
      </c>
      <c r="D18" s="11" t="s">
        <v>29</v>
      </c>
      <c r="F18" s="31">
        <v>138600</v>
      </c>
      <c r="G18" s="1"/>
      <c r="H18" s="130"/>
      <c r="I18" s="171"/>
      <c r="J18" s="171"/>
      <c r="K18" s="165"/>
    </row>
    <row r="19" spans="1:13" s="13" customFormat="1" ht="14.25" customHeight="1" x14ac:dyDescent="0.2">
      <c r="A19" s="89">
        <v>45196</v>
      </c>
      <c r="B19" s="9" t="s">
        <v>11</v>
      </c>
      <c r="C19" s="76" t="s">
        <v>1134</v>
      </c>
      <c r="D19" s="11" t="s">
        <v>29</v>
      </c>
      <c r="E19" s="2"/>
      <c r="F19" s="31">
        <v>116820</v>
      </c>
      <c r="G19" s="23"/>
      <c r="H19" s="173"/>
      <c r="I19" s="174"/>
      <c r="J19" s="174"/>
      <c r="K19" s="175"/>
    </row>
    <row r="20" spans="1:13" s="13" customFormat="1" ht="14.25" customHeight="1" x14ac:dyDescent="0.2">
      <c r="A20" s="89">
        <v>45196</v>
      </c>
      <c r="B20" s="9" t="s">
        <v>11</v>
      </c>
      <c r="C20" s="76" t="s">
        <v>1461</v>
      </c>
      <c r="D20" s="11" t="s">
        <v>29</v>
      </c>
      <c r="E20" s="2"/>
      <c r="F20" s="31">
        <v>24592</v>
      </c>
      <c r="G20" s="23"/>
      <c r="H20" s="173"/>
      <c r="I20" s="174"/>
      <c r="J20" s="174"/>
      <c r="K20" s="175"/>
    </row>
    <row r="21" spans="1:13" s="2" customFormat="1" ht="14.25" customHeight="1" x14ac:dyDescent="0.2">
      <c r="A21" s="89">
        <v>45196</v>
      </c>
      <c r="B21" s="9" t="s">
        <v>11</v>
      </c>
      <c r="C21" s="76" t="s">
        <v>1579</v>
      </c>
      <c r="D21" s="11" t="s">
        <v>29</v>
      </c>
      <c r="F21" s="31">
        <v>12784.12</v>
      </c>
      <c r="G21" s="1"/>
      <c r="H21" s="130"/>
      <c r="I21" s="171"/>
      <c r="J21" s="171"/>
      <c r="K21" s="165"/>
    </row>
    <row r="22" spans="1:13" s="2" customFormat="1" ht="14.25" customHeight="1" x14ac:dyDescent="0.2">
      <c r="A22" s="89">
        <v>45196</v>
      </c>
      <c r="B22" s="9" t="s">
        <v>11</v>
      </c>
      <c r="C22" s="76" t="s">
        <v>437</v>
      </c>
      <c r="D22" s="11" t="s">
        <v>29</v>
      </c>
      <c r="F22" s="31">
        <v>25324</v>
      </c>
      <c r="G22" s="1"/>
      <c r="H22" s="130"/>
      <c r="I22" s="171"/>
      <c r="J22" s="171"/>
      <c r="K22" s="165"/>
    </row>
    <row r="23" spans="1:13" s="2" customFormat="1" ht="14.25" customHeight="1" x14ac:dyDescent="0.2">
      <c r="A23" s="89">
        <v>45196</v>
      </c>
      <c r="B23" s="9" t="s">
        <v>11</v>
      </c>
      <c r="C23" s="76" t="s">
        <v>338</v>
      </c>
      <c r="D23" s="11" t="s">
        <v>29</v>
      </c>
      <c r="F23" s="31">
        <v>268275</v>
      </c>
      <c r="G23" s="1"/>
      <c r="H23" s="130"/>
      <c r="I23" s="171"/>
      <c r="J23" s="171"/>
      <c r="K23" s="165"/>
    </row>
    <row r="24" spans="1:13" s="2" customFormat="1" ht="14.25" customHeight="1" x14ac:dyDescent="0.2">
      <c r="D24" s="11" t="s">
        <v>8</v>
      </c>
      <c r="E24" s="16">
        <f>SUM(E11:E23)</f>
        <v>1700000</v>
      </c>
      <c r="F24" s="16">
        <f>SUM(F11:F23)</f>
        <v>83805115.650000006</v>
      </c>
      <c r="G24" s="1"/>
      <c r="H24" s="143"/>
      <c r="I24" s="130"/>
      <c r="J24" s="143"/>
      <c r="K24" s="143"/>
      <c r="L24" s="143"/>
      <c r="M24" s="143"/>
    </row>
    <row r="25" spans="1:13" s="2" customFormat="1" ht="14.25" customHeight="1" x14ac:dyDescent="0.4">
      <c r="A25" s="17"/>
      <c r="B25" s="18"/>
      <c r="C25" s="96" t="s">
        <v>9</v>
      </c>
      <c r="D25" s="20"/>
      <c r="E25" s="21">
        <f>+F24-E24</f>
        <v>82105115.650000006</v>
      </c>
      <c r="G25" s="1"/>
      <c r="I25" s="112"/>
      <c r="J25" s="153" t="s">
        <v>779</v>
      </c>
    </row>
    <row r="26" spans="1:13" s="2" customFormat="1" ht="14.25" customHeight="1" x14ac:dyDescent="0.2">
      <c r="A26" s="36"/>
      <c r="B26" s="28" t="s">
        <v>66</v>
      </c>
      <c r="C26" s="43" t="s">
        <v>1458</v>
      </c>
      <c r="D26" s="43"/>
      <c r="E26" s="12">
        <v>30000000</v>
      </c>
      <c r="F26" s="22"/>
      <c r="G26" s="1"/>
      <c r="I26" s="40">
        <v>82105115.650000006</v>
      </c>
      <c r="J26" s="154">
        <f>I26-E25</f>
        <v>0</v>
      </c>
    </row>
    <row r="27" spans="1:13" s="2" customFormat="1" ht="14.25" customHeight="1" x14ac:dyDescent="0.25">
      <c r="A27" s="36"/>
      <c r="B27" s="28"/>
      <c r="C27" s="44" t="s">
        <v>1541</v>
      </c>
      <c r="D27" s="43"/>
      <c r="E27" s="7">
        <f>+E25+E26</f>
        <v>112105115.65000001</v>
      </c>
      <c r="F27" s="22"/>
      <c r="G27" s="1"/>
      <c r="H27" s="13" t="s">
        <v>1582</v>
      </c>
      <c r="I27" s="13" t="s">
        <v>1583</v>
      </c>
    </row>
    <row r="28" spans="1:13" s="2" customFormat="1" ht="14.25" customHeight="1" x14ac:dyDescent="0.25">
      <c r="A28" s="36"/>
      <c r="B28" s="28"/>
      <c r="C28" s="44" t="s">
        <v>1511</v>
      </c>
      <c r="D28" s="43"/>
      <c r="E28" s="38">
        <f>+I11</f>
        <v>7847679.349999994</v>
      </c>
      <c r="F28" s="22"/>
      <c r="G28" s="1"/>
      <c r="H28" s="2">
        <v>1912680</v>
      </c>
      <c r="I28" s="2">
        <v>13440601.619999999</v>
      </c>
      <c r="J28" s="176">
        <f>I28-H28</f>
        <v>11527921.619999999</v>
      </c>
    </row>
    <row r="29" spans="1:13" s="2" customFormat="1" ht="14.25" customHeight="1" x14ac:dyDescent="0.2">
      <c r="A29" s="24"/>
      <c r="B29" s="1"/>
      <c r="C29" s="14"/>
      <c r="D29" s="25"/>
      <c r="G29" s="1"/>
      <c r="I29" s="130"/>
      <c r="J29" s="130"/>
    </row>
    <row r="30" spans="1:13" s="2" customFormat="1" x14ac:dyDescent="0.2">
      <c r="A30" s="214" t="s">
        <v>10</v>
      </c>
      <c r="B30" s="214"/>
      <c r="C30" s="214"/>
      <c r="D30" s="214"/>
      <c r="E30" s="214"/>
      <c r="F30" s="214"/>
      <c r="G30" s="1"/>
      <c r="H30" s="159"/>
      <c r="I30" s="160">
        <v>225000000</v>
      </c>
      <c r="J30" s="160" t="s">
        <v>1506</v>
      </c>
      <c r="K30" s="70"/>
    </row>
    <row r="31" spans="1:13" s="2" customFormat="1" x14ac:dyDescent="0.2">
      <c r="A31" s="26" t="s">
        <v>1</v>
      </c>
      <c r="B31" s="27" t="s">
        <v>2</v>
      </c>
      <c r="C31" s="5"/>
      <c r="D31" s="6" t="s">
        <v>3</v>
      </c>
      <c r="E31" s="7" t="s">
        <v>4</v>
      </c>
      <c r="F31" s="7" t="s">
        <v>5</v>
      </c>
      <c r="G31" s="1"/>
      <c r="H31" s="159"/>
      <c r="I31" s="160">
        <v>162129563.62</v>
      </c>
      <c r="J31" s="160" t="s">
        <v>1507</v>
      </c>
      <c r="K31" s="70" t="s">
        <v>1512</v>
      </c>
    </row>
    <row r="32" spans="1:13" s="2" customFormat="1" x14ac:dyDescent="0.2">
      <c r="A32" s="89">
        <v>45196</v>
      </c>
      <c r="B32" s="128" t="s">
        <v>11</v>
      </c>
      <c r="C32" s="29" t="s">
        <v>7</v>
      </c>
      <c r="D32" s="25"/>
      <c r="E32" s="31"/>
      <c r="F32" s="2">
        <v>107540734.19000006</v>
      </c>
      <c r="G32" s="23"/>
      <c r="H32" s="159" t="s">
        <v>1505</v>
      </c>
      <c r="I32" s="160">
        <f>+I30-I31</f>
        <v>62870436.379999995</v>
      </c>
      <c r="J32" s="160"/>
      <c r="K32" s="70"/>
    </row>
    <row r="33" spans="1:14" s="2" customFormat="1" x14ac:dyDescent="0.2">
      <c r="A33" s="89">
        <v>45196</v>
      </c>
      <c r="B33" s="128" t="s">
        <v>6</v>
      </c>
      <c r="C33" s="10" t="s">
        <v>760</v>
      </c>
      <c r="D33" s="11" t="s">
        <v>13</v>
      </c>
      <c r="E33" s="86">
        <v>662519.29</v>
      </c>
      <c r="F33" s="70"/>
      <c r="G33" s="1"/>
      <c r="N33" s="1"/>
    </row>
    <row r="34" spans="1:14" s="2" customFormat="1" x14ac:dyDescent="0.2">
      <c r="A34" s="89">
        <v>45196</v>
      </c>
      <c r="B34" s="128" t="s">
        <v>6</v>
      </c>
      <c r="C34" s="10" t="s">
        <v>765</v>
      </c>
      <c r="D34" s="11" t="s">
        <v>13</v>
      </c>
      <c r="E34" s="86">
        <v>748215.8</v>
      </c>
      <c r="F34" s="70"/>
      <c r="G34" s="1"/>
      <c r="N34" s="1"/>
    </row>
    <row r="35" spans="1:14" s="2" customFormat="1" x14ac:dyDescent="0.2">
      <c r="A35" s="89">
        <v>45196</v>
      </c>
      <c r="B35" s="128" t="s">
        <v>6</v>
      </c>
      <c r="C35" s="10" t="s">
        <v>764</v>
      </c>
      <c r="D35" s="11" t="s">
        <v>13</v>
      </c>
      <c r="E35" s="86">
        <v>984657.38</v>
      </c>
      <c r="F35" s="70"/>
      <c r="G35" s="1"/>
      <c r="N35" s="1"/>
    </row>
    <row r="36" spans="1:14" s="2" customFormat="1" x14ac:dyDescent="0.2">
      <c r="A36" s="89">
        <v>45196</v>
      </c>
      <c r="B36" s="128" t="s">
        <v>6</v>
      </c>
      <c r="C36" s="10" t="s">
        <v>749</v>
      </c>
      <c r="D36" s="11" t="s">
        <v>13</v>
      </c>
      <c r="E36" s="86">
        <v>6256633.7699999996</v>
      </c>
      <c r="F36" s="70"/>
      <c r="G36" s="1"/>
      <c r="N36" s="1"/>
    </row>
    <row r="37" spans="1:14" s="2" customFormat="1" x14ac:dyDescent="0.2">
      <c r="A37" s="89">
        <v>45196</v>
      </c>
      <c r="B37" s="128" t="s">
        <v>6</v>
      </c>
      <c r="C37" s="10" t="s">
        <v>785</v>
      </c>
      <c r="D37" s="11" t="s">
        <v>13</v>
      </c>
      <c r="E37" s="86">
        <v>3557708</v>
      </c>
      <c r="F37" s="70"/>
      <c r="G37" s="1"/>
      <c r="N37" s="1"/>
    </row>
    <row r="38" spans="1:14" s="2" customFormat="1" x14ac:dyDescent="0.2">
      <c r="A38" s="89">
        <v>45196</v>
      </c>
      <c r="B38" s="128" t="s">
        <v>6</v>
      </c>
      <c r="C38" s="10" t="s">
        <v>516</v>
      </c>
      <c r="D38" s="11" t="s">
        <v>13</v>
      </c>
      <c r="E38" s="86">
        <v>73000</v>
      </c>
      <c r="F38" s="70"/>
      <c r="G38" s="1"/>
      <c r="N38" s="1"/>
    </row>
    <row r="39" spans="1:14" s="2" customFormat="1" x14ac:dyDescent="0.2">
      <c r="A39" s="89">
        <v>45196</v>
      </c>
      <c r="B39" s="128" t="s">
        <v>6</v>
      </c>
      <c r="C39" s="10" t="s">
        <v>1596</v>
      </c>
      <c r="D39" s="11" t="s">
        <v>13</v>
      </c>
      <c r="E39" s="86">
        <v>10500</v>
      </c>
      <c r="F39" s="70"/>
      <c r="G39" s="1"/>
      <c r="N39" s="1"/>
    </row>
    <row r="40" spans="1:14" s="2" customFormat="1" x14ac:dyDescent="0.2">
      <c r="A40" s="89">
        <v>45196</v>
      </c>
      <c r="B40" s="128" t="s">
        <v>6</v>
      </c>
      <c r="C40" s="10" t="s">
        <v>527</v>
      </c>
      <c r="D40" s="11" t="s">
        <v>13</v>
      </c>
      <c r="E40" s="86">
        <v>1764036</v>
      </c>
      <c r="F40" s="70"/>
      <c r="G40" s="1"/>
      <c r="N40" s="1"/>
    </row>
    <row r="41" spans="1:14" s="2" customFormat="1" x14ac:dyDescent="0.2">
      <c r="A41" s="89">
        <v>45196</v>
      </c>
      <c r="B41" s="128" t="s">
        <v>6</v>
      </c>
      <c r="C41" s="10" t="s">
        <v>381</v>
      </c>
      <c r="D41" s="11" t="s">
        <v>13</v>
      </c>
      <c r="E41" s="86">
        <v>35404</v>
      </c>
      <c r="F41" s="70"/>
      <c r="G41" s="1"/>
      <c r="N41" s="1"/>
    </row>
    <row r="42" spans="1:14" s="2" customFormat="1" x14ac:dyDescent="0.2">
      <c r="A42" s="89">
        <v>45196</v>
      </c>
      <c r="B42" s="128" t="s">
        <v>6</v>
      </c>
      <c r="C42" s="10" t="s">
        <v>1135</v>
      </c>
      <c r="D42" s="11" t="s">
        <v>13</v>
      </c>
      <c r="E42" s="86">
        <v>25783</v>
      </c>
      <c r="F42" s="70"/>
      <c r="G42" s="1"/>
      <c r="N42" s="1"/>
    </row>
    <row r="43" spans="1:14" s="2" customFormat="1" x14ac:dyDescent="0.2">
      <c r="A43" s="89">
        <v>45196</v>
      </c>
      <c r="B43" s="128" t="s">
        <v>6</v>
      </c>
      <c r="C43" s="10" t="s">
        <v>538</v>
      </c>
      <c r="D43" s="11" t="s">
        <v>13</v>
      </c>
      <c r="E43" s="86">
        <v>1101</v>
      </c>
      <c r="F43" s="70"/>
      <c r="G43" s="1"/>
      <c r="N43" s="1"/>
    </row>
    <row r="44" spans="1:14" s="2" customFormat="1" x14ac:dyDescent="0.2">
      <c r="A44" s="89">
        <v>45196</v>
      </c>
      <c r="B44" s="128" t="s">
        <v>6</v>
      </c>
      <c r="C44" s="10" t="s">
        <v>299</v>
      </c>
      <c r="D44" s="11" t="s">
        <v>13</v>
      </c>
      <c r="E44" s="86">
        <v>75856</v>
      </c>
      <c r="F44" s="70"/>
      <c r="G44" s="1"/>
      <c r="N44" s="1"/>
    </row>
    <row r="45" spans="1:14" s="2" customFormat="1" x14ac:dyDescent="0.2">
      <c r="A45" s="89">
        <v>45196</v>
      </c>
      <c r="B45" s="128" t="s">
        <v>6</v>
      </c>
      <c r="C45" s="10" t="s">
        <v>149</v>
      </c>
      <c r="D45" s="11" t="s">
        <v>13</v>
      </c>
      <c r="E45" s="86">
        <v>583396</v>
      </c>
      <c r="F45" s="70"/>
      <c r="G45" s="1"/>
      <c r="N45" s="1"/>
    </row>
    <row r="46" spans="1:14" s="2" customFormat="1" x14ac:dyDescent="0.2">
      <c r="A46" s="89">
        <v>45196</v>
      </c>
      <c r="B46" s="128" t="s">
        <v>6</v>
      </c>
      <c r="C46" s="10" t="s">
        <v>810</v>
      </c>
      <c r="D46" s="11" t="s">
        <v>13</v>
      </c>
      <c r="E46" s="86">
        <v>190000</v>
      </c>
      <c r="F46" s="70"/>
      <c r="G46" s="1"/>
      <c r="N46" s="1"/>
    </row>
    <row r="47" spans="1:14" s="2" customFormat="1" x14ac:dyDescent="0.2">
      <c r="A47" s="89">
        <v>45196</v>
      </c>
      <c r="B47" s="128" t="s">
        <v>6</v>
      </c>
      <c r="C47" s="10" t="s">
        <v>503</v>
      </c>
      <c r="D47" s="11" t="s">
        <v>13</v>
      </c>
      <c r="E47" s="86">
        <v>552020.77</v>
      </c>
      <c r="F47" s="70"/>
      <c r="G47" s="1"/>
      <c r="N47" s="1"/>
    </row>
    <row r="48" spans="1:14" s="2" customFormat="1" x14ac:dyDescent="0.2">
      <c r="A48" s="89">
        <v>45196</v>
      </c>
      <c r="B48" s="128" t="s">
        <v>6</v>
      </c>
      <c r="C48" s="10" t="s">
        <v>165</v>
      </c>
      <c r="D48" s="11" t="s">
        <v>13</v>
      </c>
      <c r="E48" s="86">
        <v>10395</v>
      </c>
      <c r="F48" s="70"/>
      <c r="G48" s="1"/>
      <c r="N48" s="1"/>
    </row>
    <row r="49" spans="1:14" s="2" customFormat="1" x14ac:dyDescent="0.2">
      <c r="A49" s="89">
        <v>45196</v>
      </c>
      <c r="B49" s="128" t="s">
        <v>6</v>
      </c>
      <c r="C49" s="10" t="s">
        <v>964</v>
      </c>
      <c r="D49" s="11" t="s">
        <v>13</v>
      </c>
      <c r="E49" s="86">
        <v>1170000</v>
      </c>
      <c r="F49" s="70"/>
      <c r="G49" s="1"/>
      <c r="N49" s="1"/>
    </row>
    <row r="50" spans="1:14" s="2" customFormat="1" x14ac:dyDescent="0.2">
      <c r="A50" s="89">
        <v>45196</v>
      </c>
      <c r="B50" s="128" t="s">
        <v>11</v>
      </c>
      <c r="C50" s="10" t="s">
        <v>64</v>
      </c>
      <c r="D50" s="11" t="s">
        <v>29</v>
      </c>
      <c r="E50" s="86"/>
      <c r="F50" s="70">
        <v>7098.88</v>
      </c>
      <c r="G50" s="1"/>
      <c r="N50" s="1"/>
    </row>
    <row r="51" spans="1:14" s="2" customFormat="1" x14ac:dyDescent="0.2">
      <c r="A51" s="89">
        <v>45196</v>
      </c>
      <c r="B51" s="128" t="s">
        <v>11</v>
      </c>
      <c r="C51" s="10" t="s">
        <v>15</v>
      </c>
      <c r="D51" s="11" t="s">
        <v>29</v>
      </c>
      <c r="E51" s="86"/>
      <c r="F51" s="70">
        <v>58892.25</v>
      </c>
      <c r="G51" s="1"/>
      <c r="N51" s="1"/>
    </row>
    <row r="52" spans="1:14" s="2" customFormat="1" x14ac:dyDescent="0.2">
      <c r="A52" s="89">
        <v>45196</v>
      </c>
      <c r="B52" s="128" t="s">
        <v>11</v>
      </c>
      <c r="C52" s="10" t="s">
        <v>1403</v>
      </c>
      <c r="D52" s="11" t="s">
        <v>29</v>
      </c>
      <c r="E52" s="86"/>
      <c r="F52" s="70">
        <v>1578238</v>
      </c>
      <c r="G52" s="1"/>
      <c r="N52" s="1"/>
    </row>
    <row r="53" spans="1:14" s="2" customFormat="1" x14ac:dyDescent="0.2">
      <c r="A53" s="89">
        <v>45196</v>
      </c>
      <c r="B53" s="128" t="s">
        <v>11</v>
      </c>
      <c r="C53" s="10" t="s">
        <v>1155</v>
      </c>
      <c r="D53" s="11" t="s">
        <v>29</v>
      </c>
      <c r="E53" s="86"/>
      <c r="F53" s="70">
        <v>75000000</v>
      </c>
      <c r="G53" s="1"/>
      <c r="N53" s="1"/>
    </row>
    <row r="54" spans="1:14" s="2" customFormat="1" x14ac:dyDescent="0.2">
      <c r="A54" s="89">
        <v>45196</v>
      </c>
      <c r="B54" s="128" t="s">
        <v>11</v>
      </c>
      <c r="C54" s="10" t="s">
        <v>102</v>
      </c>
      <c r="D54" s="11" t="s">
        <v>29</v>
      </c>
      <c r="E54" s="86"/>
      <c r="F54" s="70">
        <v>499520.55</v>
      </c>
      <c r="G54" s="1"/>
      <c r="N54" s="1"/>
    </row>
    <row r="55" spans="1:14" s="2" customFormat="1" x14ac:dyDescent="0.2">
      <c r="A55" s="89">
        <v>45196</v>
      </c>
      <c r="B55" s="128" t="s">
        <v>11</v>
      </c>
      <c r="C55" s="10" t="s">
        <v>454</v>
      </c>
      <c r="D55" s="11" t="s">
        <v>29</v>
      </c>
      <c r="E55" s="86"/>
      <c r="F55" s="70">
        <v>5000000</v>
      </c>
      <c r="G55" s="1"/>
      <c r="N55" s="1"/>
    </row>
    <row r="56" spans="1:14" s="2" customFormat="1" x14ac:dyDescent="0.2">
      <c r="A56" s="89">
        <v>45196</v>
      </c>
      <c r="B56" s="128" t="s">
        <v>11</v>
      </c>
      <c r="C56" s="10" t="s">
        <v>1597</v>
      </c>
      <c r="D56" s="11" t="s">
        <v>29</v>
      </c>
      <c r="E56" s="86"/>
      <c r="F56" s="70">
        <v>413511.83</v>
      </c>
      <c r="G56" s="1"/>
      <c r="N56" s="1"/>
    </row>
    <row r="57" spans="1:14" s="13" customFormat="1" x14ac:dyDescent="0.2">
      <c r="A57" s="97">
        <v>45196</v>
      </c>
      <c r="B57" s="132" t="s">
        <v>11</v>
      </c>
      <c r="C57" s="121" t="s">
        <v>153</v>
      </c>
      <c r="D57" s="122" t="s">
        <v>258</v>
      </c>
      <c r="E57" s="147"/>
      <c r="F57" s="69">
        <v>260715</v>
      </c>
      <c r="G57" s="23"/>
      <c r="N57" s="23"/>
    </row>
    <row r="58" spans="1:14" s="2" customFormat="1" x14ac:dyDescent="0.2">
      <c r="A58" s="32"/>
      <c r="B58" s="33"/>
      <c r="C58" s="14"/>
      <c r="D58" s="34"/>
      <c r="E58" s="16">
        <f>SUM(E32:E57)</f>
        <v>16701226.01</v>
      </c>
      <c r="F58" s="16">
        <f>SUM(F32:F57)</f>
        <v>190358710.70000008</v>
      </c>
      <c r="G58" s="1"/>
      <c r="H58" s="1"/>
      <c r="I58" s="38">
        <v>172492461.11000001</v>
      </c>
      <c r="J58" s="2" t="s">
        <v>396</v>
      </c>
      <c r="K58" s="92">
        <f>E59-I58</f>
        <v>1165023.5800000727</v>
      </c>
      <c r="N58" s="1"/>
    </row>
    <row r="59" spans="1:14" s="2" customFormat="1" x14ac:dyDescent="0.2">
      <c r="A59" s="36"/>
      <c r="B59" s="28" t="s">
        <v>11</v>
      </c>
      <c r="C59" s="19" t="s">
        <v>65</v>
      </c>
      <c r="D59" s="37"/>
      <c r="E59" s="38">
        <f>F58-E58</f>
        <v>173657484.69000009</v>
      </c>
      <c r="F59" s="22"/>
      <c r="G59" s="1"/>
      <c r="H59" s="1"/>
      <c r="I59" s="70"/>
      <c r="J59" s="70"/>
      <c r="K59" s="70"/>
      <c r="N59" s="1"/>
    </row>
    <row r="60" spans="1:14" s="2" customFormat="1" x14ac:dyDescent="0.2">
      <c r="A60" s="36"/>
      <c r="B60" s="28" t="s">
        <v>66</v>
      </c>
      <c r="C60" s="19" t="s">
        <v>67</v>
      </c>
      <c r="D60" s="37"/>
      <c r="E60" s="38">
        <v>6500000</v>
      </c>
      <c r="F60" s="22"/>
      <c r="G60" s="1"/>
      <c r="H60" s="70"/>
      <c r="I60" s="70"/>
      <c r="J60" s="70"/>
      <c r="K60" s="70"/>
      <c r="N60" s="1"/>
    </row>
    <row r="61" spans="1:14" s="2" customFormat="1" x14ac:dyDescent="0.2">
      <c r="A61" s="36"/>
      <c r="B61" s="28" t="s">
        <v>66</v>
      </c>
      <c r="C61" s="43" t="s">
        <v>1457</v>
      </c>
      <c r="D61" s="43"/>
      <c r="E61" s="12">
        <v>275000000</v>
      </c>
      <c r="F61" s="22"/>
      <c r="G61" s="1"/>
      <c r="H61" s="70"/>
      <c r="I61" s="45">
        <v>3198.6</v>
      </c>
      <c r="J61" s="46"/>
      <c r="K61" s="46"/>
      <c r="N61" s="1"/>
    </row>
    <row r="62" spans="1:14" s="2" customFormat="1" ht="15" x14ac:dyDescent="0.25">
      <c r="A62" s="36"/>
      <c r="B62" s="28"/>
      <c r="C62" s="44" t="s">
        <v>1541</v>
      </c>
      <c r="D62" s="43"/>
      <c r="E62" s="7">
        <f>+E61+E59+E60</f>
        <v>455157484.69000006</v>
      </c>
      <c r="F62" s="22"/>
      <c r="G62" s="1"/>
      <c r="H62" s="103" t="s">
        <v>69</v>
      </c>
      <c r="I62" s="45">
        <v>-213.17</v>
      </c>
      <c r="J62" s="46"/>
      <c r="K62" s="46"/>
      <c r="N62" s="1"/>
    </row>
    <row r="63" spans="1:14" s="2" customFormat="1" ht="15" x14ac:dyDescent="0.25">
      <c r="A63" s="24"/>
      <c r="B63" s="1"/>
      <c r="C63" s="44" t="s">
        <v>1510</v>
      </c>
      <c r="D63" s="25"/>
      <c r="E63" s="156">
        <f>I32-E60+H28-I28</f>
        <v>44842514.759999998</v>
      </c>
      <c r="G63" s="1"/>
      <c r="H63" s="35" t="s">
        <v>70</v>
      </c>
      <c r="I63" s="45">
        <v>122.99</v>
      </c>
      <c r="J63" s="46">
        <f>+I64-D66</f>
        <v>0</v>
      </c>
      <c r="N63" s="1"/>
    </row>
    <row r="64" spans="1:14" s="124" customFormat="1" ht="12.75" customHeight="1" x14ac:dyDescent="0.2">
      <c r="A64" s="24"/>
      <c r="B64" s="1"/>
      <c r="C64" s="56"/>
      <c r="D64" s="56"/>
      <c r="E64" s="104"/>
      <c r="F64" s="2"/>
      <c r="G64" s="166"/>
      <c r="H64" s="70"/>
      <c r="I64" s="49">
        <f>SUM(I61:I63)</f>
        <v>3108.4199999999996</v>
      </c>
      <c r="J64" s="46"/>
      <c r="K64" s="46"/>
    </row>
    <row r="65" spans="1:13" s="124" customFormat="1" ht="12.75" customHeight="1" x14ac:dyDescent="0.2">
      <c r="A65" s="24"/>
      <c r="B65" s="1"/>
      <c r="C65" s="78" t="s">
        <v>575</v>
      </c>
      <c r="D65" s="48" t="s">
        <v>576</v>
      </c>
      <c r="E65" s="104"/>
      <c r="F65" s="2"/>
      <c r="G65" s="168"/>
      <c r="H65" s="167"/>
      <c r="I65" s="167"/>
      <c r="J65" s="168"/>
    </row>
    <row r="66" spans="1:13" s="124" customFormat="1" ht="12.75" customHeight="1" x14ac:dyDescent="0.2">
      <c r="A66" s="24"/>
      <c r="B66" s="1"/>
      <c r="C66" s="47" t="s">
        <v>570</v>
      </c>
      <c r="D66" s="111">
        <v>3108.42</v>
      </c>
      <c r="E66" s="104"/>
      <c r="F66" s="2"/>
      <c r="G66" s="168"/>
      <c r="H66" s="110" t="s">
        <v>581</v>
      </c>
      <c r="I66" s="167"/>
      <c r="J66" s="168"/>
    </row>
    <row r="67" spans="1:13" s="124" customFormat="1" ht="12.75" customHeight="1" x14ac:dyDescent="0.2">
      <c r="A67" s="24"/>
      <c r="B67" s="1"/>
      <c r="C67" s="47" t="s">
        <v>931</v>
      </c>
      <c r="D67" s="111">
        <v>307.26</v>
      </c>
      <c r="E67" s="104"/>
      <c r="F67" s="2"/>
      <c r="G67" s="168"/>
      <c r="H67" s="110" t="s">
        <v>580</v>
      </c>
      <c r="I67" s="167"/>
      <c r="J67" s="168"/>
    </row>
    <row r="68" spans="1:13" s="124" customFormat="1" ht="12.75" customHeight="1" x14ac:dyDescent="0.2">
      <c r="A68" s="24"/>
      <c r="B68" s="1"/>
      <c r="C68" s="47" t="s">
        <v>572</v>
      </c>
      <c r="D68" s="111">
        <f>+D121/100000</f>
        <v>376.02208280000002</v>
      </c>
      <c r="E68" s="104"/>
      <c r="F68" s="2"/>
      <c r="G68" s="166"/>
      <c r="H68" s="90" t="s">
        <v>587</v>
      </c>
      <c r="I68" s="167"/>
      <c r="J68" s="168"/>
    </row>
    <row r="69" spans="1:13" s="2" customFormat="1" x14ac:dyDescent="0.2">
      <c r="A69" s="24"/>
      <c r="B69" s="1"/>
      <c r="C69" s="108" t="s">
        <v>578</v>
      </c>
      <c r="D69" s="48">
        <f>SUM(D66:D68)</f>
        <v>3791.7020828000004</v>
      </c>
      <c r="E69" s="104"/>
      <c r="G69" s="30"/>
      <c r="I69" s="13"/>
      <c r="J69" s="13"/>
    </row>
    <row r="70" spans="1:13" s="70" customFormat="1" x14ac:dyDescent="0.2">
      <c r="A70" s="24"/>
      <c r="B70" s="1"/>
      <c r="C70" s="47"/>
      <c r="D70" s="107"/>
      <c r="E70" s="104"/>
      <c r="F70" s="2"/>
      <c r="G70" s="30"/>
      <c r="H70" s="2"/>
    </row>
    <row r="71" spans="1:13" s="70" customFormat="1" x14ac:dyDescent="0.2">
      <c r="A71" s="24"/>
      <c r="B71" s="1"/>
      <c r="C71" s="47" t="s">
        <v>932</v>
      </c>
      <c r="D71" s="111">
        <v>271.12</v>
      </c>
      <c r="E71" s="104"/>
      <c r="F71" s="2"/>
      <c r="G71" s="30"/>
      <c r="H71" s="110" t="s">
        <v>581</v>
      </c>
    </row>
    <row r="72" spans="1:13" s="70" customFormat="1" x14ac:dyDescent="0.2">
      <c r="A72" s="24"/>
      <c r="B72" s="1"/>
      <c r="C72" s="136" t="s">
        <v>1142</v>
      </c>
      <c r="D72" s="111">
        <v>350.11</v>
      </c>
      <c r="E72" s="104"/>
      <c r="F72" s="2"/>
      <c r="G72" s="30"/>
      <c r="H72" s="110" t="s">
        <v>581</v>
      </c>
    </row>
    <row r="73" spans="1:13" s="70" customFormat="1" x14ac:dyDescent="0.2">
      <c r="A73" s="24"/>
      <c r="B73" s="1"/>
      <c r="C73" s="78" t="s">
        <v>579</v>
      </c>
      <c r="D73" s="109">
        <f>D71+D72</f>
        <v>621.23</v>
      </c>
      <c r="E73" s="104"/>
      <c r="F73" s="2"/>
      <c r="G73" s="30"/>
    </row>
    <row r="74" spans="1:13" s="70" customFormat="1" x14ac:dyDescent="0.2">
      <c r="A74" s="24"/>
      <c r="B74" s="1"/>
      <c r="C74" s="105"/>
      <c r="D74" s="106"/>
      <c r="E74" s="104"/>
      <c r="F74" s="2"/>
      <c r="G74" s="30"/>
      <c r="I74" s="2"/>
      <c r="J74" s="114" t="s">
        <v>713</v>
      </c>
      <c r="K74" s="2"/>
      <c r="L74" s="2"/>
      <c r="M74" s="2"/>
    </row>
    <row r="75" spans="1:13" s="70" customFormat="1" x14ac:dyDescent="0.2">
      <c r="A75" s="24"/>
      <c r="B75" s="1"/>
      <c r="C75" s="78" t="s">
        <v>577</v>
      </c>
      <c r="D75" s="109">
        <f>D66+D73</f>
        <v>3729.65</v>
      </c>
      <c r="E75" s="104"/>
      <c r="F75" s="2"/>
      <c r="G75" s="30"/>
      <c r="I75" s="113"/>
      <c r="J75" s="113" t="s">
        <v>709</v>
      </c>
      <c r="K75" s="113" t="s">
        <v>710</v>
      </c>
      <c r="L75" s="113" t="s">
        <v>711</v>
      </c>
      <c r="M75" s="113" t="s">
        <v>712</v>
      </c>
    </row>
    <row r="76" spans="1:13" s="70" customFormat="1" x14ac:dyDescent="0.2">
      <c r="A76" s="24"/>
      <c r="B76" s="1"/>
      <c r="C76" s="56"/>
      <c r="D76" s="56"/>
      <c r="E76" s="104"/>
      <c r="F76" s="2"/>
      <c r="G76" s="30"/>
      <c r="I76" s="113" t="s">
        <v>706</v>
      </c>
      <c r="J76" s="115"/>
      <c r="K76" s="115">
        <v>968.99</v>
      </c>
      <c r="L76" s="115">
        <v>968.99</v>
      </c>
      <c r="M76" s="113">
        <f>+J76+L76-K76</f>
        <v>0</v>
      </c>
    </row>
    <row r="77" spans="1:13" s="70" customFormat="1" ht="38.25" x14ac:dyDescent="0.2">
      <c r="A77" s="24"/>
      <c r="B77" s="1"/>
      <c r="C77" s="79" t="str">
        <f>"Particulars ( 01-04-2021 to "&amp;TEXT(A5,"dd-mm-yyyy")&amp;" )"</f>
        <v>Particulars ( 01-04-2021 to 27-09-2023 )</v>
      </c>
      <c r="D77" s="80" t="s">
        <v>73</v>
      </c>
      <c r="E77" s="80" t="s">
        <v>74</v>
      </c>
      <c r="F77" s="81" t="s">
        <v>75</v>
      </c>
      <c r="G77" s="80" t="s">
        <v>76</v>
      </c>
      <c r="I77" s="113" t="s">
        <v>707</v>
      </c>
      <c r="J77" s="115">
        <v>183.1</v>
      </c>
      <c r="K77" s="115">
        <v>3600.48</v>
      </c>
      <c r="L77" s="115">
        <v>3959.09</v>
      </c>
      <c r="M77" s="113">
        <f>+J77+L77-K77</f>
        <v>541.71000000000049</v>
      </c>
    </row>
    <row r="78" spans="1:13" s="70" customFormat="1" x14ac:dyDescent="0.2">
      <c r="A78" s="24"/>
      <c r="B78" s="1"/>
      <c r="C78" s="50" t="s">
        <v>444</v>
      </c>
      <c r="D78" s="55">
        <f>+L76+L77+J77</f>
        <v>5111.18</v>
      </c>
      <c r="E78" s="55">
        <f>+K76+K77</f>
        <v>4569.47</v>
      </c>
      <c r="F78" s="55">
        <f>+D78-E78</f>
        <v>541.71</v>
      </c>
      <c r="G78" s="55">
        <f>1500-F78</f>
        <v>958.29</v>
      </c>
      <c r="I78" s="113" t="s">
        <v>708</v>
      </c>
      <c r="J78" s="115">
        <v>1371.02</v>
      </c>
      <c r="K78" s="115">
        <v>14332.86</v>
      </c>
      <c r="L78" s="115">
        <v>13785.57</v>
      </c>
      <c r="M78" s="113">
        <f>+J78+L78-K78</f>
        <v>823.72999999999956</v>
      </c>
    </row>
    <row r="79" spans="1:13" s="70" customFormat="1" ht="12.75" customHeight="1" x14ac:dyDescent="0.2">
      <c r="A79" s="24"/>
      <c r="B79" s="1"/>
      <c r="C79" s="50" t="s">
        <v>71</v>
      </c>
      <c r="D79" s="55">
        <f>+J78+L78</f>
        <v>15156.59</v>
      </c>
      <c r="E79" s="55">
        <f>+K78</f>
        <v>14332.86</v>
      </c>
      <c r="F79" s="55">
        <f>+D79-E79</f>
        <v>823.72999999999956</v>
      </c>
      <c r="G79" s="55">
        <f>1500+700-F79</f>
        <v>1376.2700000000004</v>
      </c>
      <c r="I79" s="2"/>
      <c r="J79" s="118">
        <f>SUM(J76:J78)</f>
        <v>1554.12</v>
      </c>
      <c r="K79" s="118">
        <f>SUM(K76:K78)</f>
        <v>18902.330000000002</v>
      </c>
      <c r="L79" s="118">
        <f>SUM(L76:L78)</f>
        <v>18713.650000000001</v>
      </c>
      <c r="M79" s="118">
        <f>SUM(M76:M78)</f>
        <v>1365.44</v>
      </c>
    </row>
    <row r="80" spans="1:13" s="70" customFormat="1" ht="12.75" customHeight="1" x14ac:dyDescent="0.2">
      <c r="A80" s="24"/>
      <c r="B80" s="1"/>
      <c r="C80" s="14"/>
      <c r="D80" s="56"/>
      <c r="E80" s="13"/>
      <c r="F80" s="2"/>
      <c r="G80" s="30"/>
    </row>
    <row r="81" spans="1:14" s="70" customFormat="1" ht="12.75" customHeight="1" x14ac:dyDescent="0.2">
      <c r="A81" s="215" t="s">
        <v>80</v>
      </c>
      <c r="B81" s="216"/>
      <c r="C81" s="216"/>
      <c r="D81" s="217"/>
      <c r="E81" s="69"/>
      <c r="G81" s="30"/>
    </row>
    <row r="82" spans="1:14" s="70" customFormat="1" ht="12.75" customHeight="1" x14ac:dyDescent="0.2">
      <c r="A82" s="71" t="s">
        <v>81</v>
      </c>
      <c r="B82" s="71"/>
      <c r="C82" s="72" t="s">
        <v>82</v>
      </c>
      <c r="D82" s="73" t="s">
        <v>83</v>
      </c>
      <c r="E82" s="69"/>
      <c r="G82" s="30"/>
    </row>
    <row r="83" spans="1:14" s="70" customFormat="1" ht="12.75" customHeight="1" x14ac:dyDescent="0.2">
      <c r="A83" s="87">
        <v>45170</v>
      </c>
      <c r="B83" s="120" t="s">
        <v>1052</v>
      </c>
      <c r="C83" s="75" t="s">
        <v>270</v>
      </c>
      <c r="D83" s="88">
        <v>117174</v>
      </c>
      <c r="E83" s="2"/>
      <c r="F83" s="2"/>
      <c r="G83" s="30"/>
      <c r="H83" s="2"/>
      <c r="I83" s="2"/>
      <c r="J83" s="2"/>
      <c r="K83" s="2"/>
      <c r="L83" s="41"/>
      <c r="M83" s="42"/>
      <c r="N83" s="2"/>
    </row>
    <row r="84" spans="1:14" s="70" customFormat="1" ht="12.75" customHeight="1" x14ac:dyDescent="0.2">
      <c r="A84" s="87">
        <v>45171</v>
      </c>
      <c r="B84" s="120" t="s">
        <v>1052</v>
      </c>
      <c r="C84" s="75" t="s">
        <v>767</v>
      </c>
      <c r="D84" s="88">
        <v>278761</v>
      </c>
      <c r="E84" s="2"/>
      <c r="F84" s="2"/>
      <c r="G84" s="30"/>
      <c r="H84" s="2"/>
      <c r="I84" s="2"/>
      <c r="J84" s="1"/>
      <c r="K84" s="1"/>
      <c r="L84" s="1"/>
      <c r="M84" s="1"/>
      <c r="N84" s="2"/>
    </row>
    <row r="85" spans="1:14" s="70" customFormat="1" ht="12.75" customHeight="1" x14ac:dyDescent="0.2">
      <c r="A85" s="87">
        <v>45171</v>
      </c>
      <c r="B85" s="120" t="s">
        <v>1052</v>
      </c>
      <c r="C85" s="75" t="s">
        <v>201</v>
      </c>
      <c r="D85" s="88">
        <v>3500391.21</v>
      </c>
      <c r="E85" s="2"/>
      <c r="F85" s="2"/>
      <c r="G85" s="30"/>
      <c r="H85" s="2"/>
      <c r="I85" s="2"/>
      <c r="J85" s="2"/>
      <c r="K85" s="2"/>
      <c r="L85" s="13"/>
      <c r="M85" s="69" t="s">
        <v>396</v>
      </c>
      <c r="N85" s="2"/>
    </row>
    <row r="86" spans="1:14" s="2" customFormat="1" ht="12.75" customHeight="1" x14ac:dyDescent="0.2">
      <c r="A86" s="87">
        <v>45173</v>
      </c>
      <c r="B86" s="120" t="s">
        <v>1052</v>
      </c>
      <c r="C86" s="75" t="s">
        <v>1478</v>
      </c>
      <c r="D86" s="88">
        <v>22763</v>
      </c>
      <c r="G86" s="30"/>
      <c r="N86" s="1"/>
    </row>
    <row r="87" spans="1:14" s="2" customFormat="1" ht="12.75" customHeight="1" x14ac:dyDescent="0.2">
      <c r="A87" s="87">
        <v>45173</v>
      </c>
      <c r="B87" s="120" t="s">
        <v>1052</v>
      </c>
      <c r="C87" s="75" t="s">
        <v>1478</v>
      </c>
      <c r="D87" s="88">
        <v>1786258</v>
      </c>
      <c r="G87" s="1"/>
      <c r="M87" s="2" t="s">
        <v>396</v>
      </c>
      <c r="N87" s="1"/>
    </row>
    <row r="88" spans="1:14" s="2" customFormat="1" ht="12.75" customHeight="1" x14ac:dyDescent="0.2">
      <c r="A88" s="87">
        <v>45173</v>
      </c>
      <c r="B88" s="120" t="s">
        <v>1052</v>
      </c>
      <c r="C88" s="75" t="s">
        <v>1478</v>
      </c>
      <c r="D88" s="88">
        <v>1329469</v>
      </c>
      <c r="I88" s="1"/>
      <c r="J88" s="1"/>
      <c r="K88" s="1"/>
    </row>
    <row r="89" spans="1:14" s="2" customFormat="1" ht="12.75" customHeight="1" x14ac:dyDescent="0.2">
      <c r="A89" s="87">
        <v>45175</v>
      </c>
      <c r="B89" s="120" t="s">
        <v>1052</v>
      </c>
      <c r="C89" s="75" t="s">
        <v>784</v>
      </c>
      <c r="D89" s="88">
        <v>673560</v>
      </c>
      <c r="G89" s="1"/>
    </row>
    <row r="90" spans="1:14" s="2" customFormat="1" x14ac:dyDescent="0.2">
      <c r="A90" s="87">
        <v>45175</v>
      </c>
      <c r="B90" s="120" t="s">
        <v>1052</v>
      </c>
      <c r="C90" s="75" t="s">
        <v>784</v>
      </c>
      <c r="D90" s="88">
        <v>700391</v>
      </c>
      <c r="G90" s="1"/>
      <c r="N90" s="2" t="s">
        <v>535</v>
      </c>
    </row>
    <row r="91" spans="1:14" x14ac:dyDescent="0.2">
      <c r="A91" s="87">
        <v>45175</v>
      </c>
      <c r="B91" s="120" t="s">
        <v>1052</v>
      </c>
      <c r="C91" s="75" t="s">
        <v>84</v>
      </c>
      <c r="D91" s="88">
        <v>1000000</v>
      </c>
      <c r="I91" s="2"/>
      <c r="J91" s="2"/>
      <c r="K91" s="2"/>
      <c r="L91" s="2"/>
      <c r="M91" s="2"/>
      <c r="N91" s="2"/>
    </row>
    <row r="92" spans="1:14" x14ac:dyDescent="0.2">
      <c r="A92" s="87">
        <v>45176</v>
      </c>
      <c r="B92" s="120" t="s">
        <v>1052</v>
      </c>
      <c r="C92" s="75" t="s">
        <v>85</v>
      </c>
      <c r="D92" s="88">
        <v>565814</v>
      </c>
      <c r="I92" s="2"/>
      <c r="J92" s="2"/>
      <c r="K92" s="2"/>
      <c r="L92" s="2"/>
      <c r="M92" s="2"/>
      <c r="N92" s="2"/>
    </row>
    <row r="93" spans="1:14" s="2" customFormat="1" x14ac:dyDescent="0.2">
      <c r="A93" s="87">
        <v>45176</v>
      </c>
      <c r="B93" s="120" t="s">
        <v>1052</v>
      </c>
      <c r="C93" s="75" t="s">
        <v>271</v>
      </c>
      <c r="D93" s="88">
        <v>1691421</v>
      </c>
      <c r="G93" s="1"/>
    </row>
    <row r="94" spans="1:14" s="2" customFormat="1" x14ac:dyDescent="0.2">
      <c r="A94" s="87">
        <v>45177</v>
      </c>
      <c r="B94" s="120" t="s">
        <v>1052</v>
      </c>
      <c r="C94" s="75" t="s">
        <v>85</v>
      </c>
      <c r="D94" s="88">
        <v>432581</v>
      </c>
    </row>
    <row r="95" spans="1:14" s="2" customFormat="1" x14ac:dyDescent="0.2">
      <c r="A95" s="87">
        <v>45177</v>
      </c>
      <c r="B95" s="120" t="s">
        <v>1052</v>
      </c>
      <c r="C95" s="75" t="s">
        <v>1521</v>
      </c>
      <c r="D95" s="88">
        <v>1198155</v>
      </c>
    </row>
    <row r="96" spans="1:14" s="2" customFormat="1" x14ac:dyDescent="0.2">
      <c r="A96" s="87">
        <v>45180</v>
      </c>
      <c r="B96" s="120" t="s">
        <v>1052</v>
      </c>
      <c r="C96" s="75" t="s">
        <v>784</v>
      </c>
      <c r="D96" s="88">
        <v>279127</v>
      </c>
    </row>
    <row r="97" spans="1:7" s="2" customFormat="1" x14ac:dyDescent="0.2">
      <c r="A97" s="87">
        <v>45180</v>
      </c>
      <c r="B97" s="120" t="s">
        <v>1052</v>
      </c>
      <c r="C97" s="75" t="s">
        <v>270</v>
      </c>
      <c r="D97" s="88">
        <v>30842</v>
      </c>
    </row>
    <row r="98" spans="1:7" s="2" customFormat="1" x14ac:dyDescent="0.2">
      <c r="A98" s="87">
        <v>45180</v>
      </c>
      <c r="B98" s="120" t="s">
        <v>1052</v>
      </c>
      <c r="C98" s="75" t="s">
        <v>271</v>
      </c>
      <c r="D98" s="88">
        <v>701813</v>
      </c>
      <c r="G98" s="1"/>
    </row>
    <row r="99" spans="1:7" s="2" customFormat="1" x14ac:dyDescent="0.2">
      <c r="A99" s="87">
        <v>45180</v>
      </c>
      <c r="B99" s="120" t="s">
        <v>1052</v>
      </c>
      <c r="C99" s="75" t="s">
        <v>271</v>
      </c>
      <c r="D99" s="88">
        <v>189083</v>
      </c>
      <c r="G99" s="1"/>
    </row>
    <row r="100" spans="1:7" s="2" customFormat="1" x14ac:dyDescent="0.2">
      <c r="A100" s="87">
        <v>45180</v>
      </c>
      <c r="B100" s="120" t="s">
        <v>1052</v>
      </c>
      <c r="C100" s="75" t="s">
        <v>271</v>
      </c>
      <c r="D100" s="88">
        <v>2019</v>
      </c>
      <c r="G100" s="1"/>
    </row>
    <row r="101" spans="1:7" s="2" customFormat="1" x14ac:dyDescent="0.2">
      <c r="A101" s="87">
        <v>45182</v>
      </c>
      <c r="B101" s="120" t="s">
        <v>1052</v>
      </c>
      <c r="C101" s="75" t="s">
        <v>467</v>
      </c>
      <c r="D101" s="88">
        <v>3314639</v>
      </c>
      <c r="G101" s="1"/>
    </row>
    <row r="102" spans="1:7" s="2" customFormat="1" x14ac:dyDescent="0.2">
      <c r="A102" s="87">
        <v>45183</v>
      </c>
      <c r="B102" s="120" t="s">
        <v>1052</v>
      </c>
      <c r="C102" s="75" t="s">
        <v>784</v>
      </c>
      <c r="D102" s="88">
        <v>665398</v>
      </c>
      <c r="G102" s="1"/>
    </row>
    <row r="103" spans="1:7" s="2" customFormat="1" x14ac:dyDescent="0.2">
      <c r="A103" s="87">
        <v>45184</v>
      </c>
      <c r="B103" s="120" t="s">
        <v>1052</v>
      </c>
      <c r="C103" s="75" t="s">
        <v>784</v>
      </c>
      <c r="D103" s="88">
        <v>669733</v>
      </c>
      <c r="G103" s="1"/>
    </row>
    <row r="104" spans="1:7" s="2" customFormat="1" x14ac:dyDescent="0.2">
      <c r="A104" s="87">
        <v>45184</v>
      </c>
      <c r="B104" s="120" t="s">
        <v>1052</v>
      </c>
      <c r="C104" s="75" t="s">
        <v>270</v>
      </c>
      <c r="D104" s="88">
        <v>6923</v>
      </c>
      <c r="G104" s="1"/>
    </row>
    <row r="105" spans="1:7" s="2" customFormat="1" x14ac:dyDescent="0.2">
      <c r="A105" s="87">
        <v>45184</v>
      </c>
      <c r="B105" s="120" t="s">
        <v>1052</v>
      </c>
      <c r="C105" s="75" t="s">
        <v>84</v>
      </c>
      <c r="D105" s="88">
        <v>1092413</v>
      </c>
      <c r="G105" s="1"/>
    </row>
    <row r="106" spans="1:7" s="2" customFormat="1" x14ac:dyDescent="0.2">
      <c r="A106" s="87">
        <v>45184</v>
      </c>
      <c r="B106" s="120" t="s">
        <v>1052</v>
      </c>
      <c r="C106" s="75" t="s">
        <v>270</v>
      </c>
      <c r="D106" s="88">
        <v>273422</v>
      </c>
      <c r="G106" s="1"/>
    </row>
    <row r="107" spans="1:7" s="2" customFormat="1" x14ac:dyDescent="0.2">
      <c r="A107" s="87">
        <v>45185</v>
      </c>
      <c r="B107" s="120" t="s">
        <v>1052</v>
      </c>
      <c r="C107" s="75" t="s">
        <v>85</v>
      </c>
      <c r="D107" s="88">
        <v>389967</v>
      </c>
      <c r="G107" s="1"/>
    </row>
    <row r="108" spans="1:7" s="2" customFormat="1" x14ac:dyDescent="0.2">
      <c r="A108" s="87">
        <v>45185</v>
      </c>
      <c r="B108" s="120" t="s">
        <v>1052</v>
      </c>
      <c r="C108" s="75" t="s">
        <v>87</v>
      </c>
      <c r="D108" s="88">
        <v>887666</v>
      </c>
      <c r="G108" s="1"/>
    </row>
    <row r="109" spans="1:7" s="2" customFormat="1" x14ac:dyDescent="0.2">
      <c r="A109" s="87">
        <v>45187</v>
      </c>
      <c r="B109" s="120" t="s">
        <v>1052</v>
      </c>
      <c r="C109" s="75" t="s">
        <v>784</v>
      </c>
      <c r="D109" s="88">
        <v>702770</v>
      </c>
      <c r="G109" s="1"/>
    </row>
    <row r="110" spans="1:7" s="2" customFormat="1" x14ac:dyDescent="0.2">
      <c r="A110" s="87">
        <v>45187</v>
      </c>
      <c r="B110" s="120" t="s">
        <v>1052</v>
      </c>
      <c r="C110" s="75" t="s">
        <v>1552</v>
      </c>
      <c r="D110" s="88">
        <v>986729.07</v>
      </c>
      <c r="G110" s="1"/>
    </row>
    <row r="111" spans="1:7" s="2" customFormat="1" x14ac:dyDescent="0.2">
      <c r="A111" s="87">
        <v>45189</v>
      </c>
      <c r="B111" s="120" t="s">
        <v>1052</v>
      </c>
      <c r="C111" s="75" t="s">
        <v>767</v>
      </c>
      <c r="D111" s="88">
        <v>140000</v>
      </c>
      <c r="G111" s="1"/>
    </row>
    <row r="112" spans="1:7" s="2" customFormat="1" x14ac:dyDescent="0.2">
      <c r="A112" s="87">
        <v>45189</v>
      </c>
      <c r="B112" s="120" t="s">
        <v>1052</v>
      </c>
      <c r="C112" s="75" t="s">
        <v>271</v>
      </c>
      <c r="D112" s="88">
        <v>17256</v>
      </c>
      <c r="G112" s="1"/>
    </row>
    <row r="113" spans="1:13" s="2" customFormat="1" x14ac:dyDescent="0.2">
      <c r="A113" s="87">
        <v>45190</v>
      </c>
      <c r="B113" s="120" t="s">
        <v>1052</v>
      </c>
      <c r="C113" s="75" t="s">
        <v>1573</v>
      </c>
      <c r="D113" s="88">
        <v>6659450</v>
      </c>
      <c r="G113" s="1"/>
    </row>
    <row r="114" spans="1:13" s="2" customFormat="1" x14ac:dyDescent="0.2">
      <c r="A114" s="87">
        <v>45190</v>
      </c>
      <c r="B114" s="120" t="s">
        <v>1052</v>
      </c>
      <c r="C114" s="75" t="s">
        <v>1478</v>
      </c>
      <c r="D114" s="88">
        <v>307522</v>
      </c>
      <c r="G114" s="1"/>
    </row>
    <row r="115" spans="1:13" s="2" customFormat="1" x14ac:dyDescent="0.2">
      <c r="A115" s="87">
        <v>45190</v>
      </c>
      <c r="B115" s="120" t="s">
        <v>1052</v>
      </c>
      <c r="C115" s="75" t="s">
        <v>1478</v>
      </c>
      <c r="D115" s="88">
        <v>3527095</v>
      </c>
      <c r="G115" s="1"/>
    </row>
    <row r="116" spans="1:13" s="2" customFormat="1" x14ac:dyDescent="0.2">
      <c r="A116" s="87">
        <v>45191</v>
      </c>
      <c r="B116" s="120" t="s">
        <v>1052</v>
      </c>
      <c r="C116" s="75" t="s">
        <v>784</v>
      </c>
      <c r="D116" s="88">
        <v>68477</v>
      </c>
      <c r="G116" s="1"/>
    </row>
    <row r="117" spans="1:13" s="2" customFormat="1" x14ac:dyDescent="0.2">
      <c r="A117" s="87">
        <v>45191</v>
      </c>
      <c r="B117" s="120" t="s">
        <v>1052</v>
      </c>
      <c r="C117" s="75" t="s">
        <v>84</v>
      </c>
      <c r="D117" s="88">
        <v>237682</v>
      </c>
      <c r="G117" s="1"/>
    </row>
    <row r="118" spans="1:13" s="2" customFormat="1" x14ac:dyDescent="0.2">
      <c r="A118" s="87">
        <v>45194</v>
      </c>
      <c r="B118" s="120" t="s">
        <v>1052</v>
      </c>
      <c r="C118" s="75" t="s">
        <v>784</v>
      </c>
      <c r="D118" s="88">
        <v>670873</v>
      </c>
      <c r="G118" s="1"/>
    </row>
    <row r="119" spans="1:13" s="2" customFormat="1" x14ac:dyDescent="0.2">
      <c r="A119" s="87">
        <v>45196</v>
      </c>
      <c r="B119" s="120" t="s">
        <v>1052</v>
      </c>
      <c r="C119" s="75" t="s">
        <v>784</v>
      </c>
      <c r="D119" s="88">
        <v>342738</v>
      </c>
      <c r="G119" s="1"/>
    </row>
    <row r="120" spans="1:13" s="2" customFormat="1" x14ac:dyDescent="0.2">
      <c r="A120" s="87">
        <v>45196</v>
      </c>
      <c r="B120" s="120" t="s">
        <v>1052</v>
      </c>
      <c r="C120" s="75" t="s">
        <v>467</v>
      </c>
      <c r="D120" s="88">
        <v>2141833</v>
      </c>
      <c r="G120" s="1"/>
    </row>
    <row r="121" spans="1:13" s="2" customFormat="1" x14ac:dyDescent="0.2">
      <c r="A121" s="87"/>
      <c r="B121" s="74"/>
      <c r="C121" s="75"/>
      <c r="D121" s="51">
        <f>SUM(D83:D120)</f>
        <v>37602208.280000001</v>
      </c>
      <c r="F121" s="2" t="s">
        <v>396</v>
      </c>
      <c r="G121" s="1"/>
    </row>
    <row r="122" spans="1:13" s="2" customFormat="1" x14ac:dyDescent="0.2">
      <c r="A122" s="24"/>
      <c r="B122" s="1"/>
      <c r="C122" s="14"/>
      <c r="D122" s="56"/>
      <c r="E122" s="13"/>
      <c r="G122" s="1"/>
    </row>
    <row r="123" spans="1:13" s="2" customFormat="1" x14ac:dyDescent="0.2">
      <c r="A123" s="24"/>
      <c r="B123" s="1"/>
      <c r="C123" s="218" t="s">
        <v>77</v>
      </c>
      <c r="D123" s="219"/>
      <c r="E123" s="219"/>
      <c r="F123" s="220"/>
      <c r="H123" s="2" t="s">
        <v>396</v>
      </c>
    </row>
    <row r="124" spans="1:13" s="2" customFormat="1" x14ac:dyDescent="0.2">
      <c r="A124" s="24"/>
      <c r="B124" s="1"/>
      <c r="C124" s="50"/>
      <c r="D124" s="57" t="s">
        <v>78</v>
      </c>
      <c r="E124" s="58" t="s">
        <v>79</v>
      </c>
      <c r="F124" s="57" t="s">
        <v>72</v>
      </c>
      <c r="H124" s="2" t="s">
        <v>396</v>
      </c>
    </row>
    <row r="125" spans="1:13" s="2" customFormat="1" x14ac:dyDescent="0.2">
      <c r="A125" s="24"/>
      <c r="B125" s="1"/>
      <c r="C125" s="59" t="str">
        <f>"01-09-2023 to "&amp;TEXT(A5-2,"dd-mm-yyyy")</f>
        <v>01-09-2023 to 25-09-2023</v>
      </c>
      <c r="D125" s="60">
        <v>2004.11</v>
      </c>
      <c r="E125" s="60">
        <v>253.42</v>
      </c>
      <c r="F125" s="61">
        <f>SUM(D125:E125)</f>
        <v>2257.5299999999997</v>
      </c>
    </row>
    <row r="126" spans="1:13" s="2" customFormat="1" x14ac:dyDescent="0.2">
      <c r="A126" s="24"/>
      <c r="B126" s="1"/>
      <c r="C126" s="62" t="str">
        <f>TEXT(A5-1,"dd-mm-yyyy")</f>
        <v>26-09-2023</v>
      </c>
      <c r="D126" s="60">
        <v>140.16</v>
      </c>
      <c r="E126" s="60">
        <v>22.01</v>
      </c>
      <c r="F126" s="61">
        <f>SUM(D126:E126)</f>
        <v>162.16999999999999</v>
      </c>
      <c r="G126" s="1"/>
      <c r="H126" s="53"/>
    </row>
    <row r="127" spans="1:13" s="2" customFormat="1" ht="13.5" thickBot="1" x14ac:dyDescent="0.25">
      <c r="A127" s="24"/>
      <c r="B127" s="1"/>
      <c r="C127" s="63" t="str">
        <f>"01-09-2023 to "&amp;TEXT(A5-1,"dd-mm-yyyy")</f>
        <v>01-09-2023 to 26-09-2023</v>
      </c>
      <c r="D127" s="64">
        <f>SUM(D125:D126)</f>
        <v>2144.27</v>
      </c>
      <c r="E127" s="64">
        <f>SUM(E125:E126)</f>
        <v>275.43</v>
      </c>
      <c r="F127" s="64">
        <f>SUM(F125:F126)</f>
        <v>2419.6999999999998</v>
      </c>
      <c r="G127" s="1"/>
      <c r="H127" s="53"/>
    </row>
    <row r="128" spans="1:13" s="2" customFormat="1" ht="13.5" thickTop="1" x14ac:dyDescent="0.2">
      <c r="A128" s="24"/>
      <c r="B128" s="1"/>
      <c r="C128" s="62"/>
      <c r="D128" s="65"/>
      <c r="E128" s="66"/>
      <c r="F128" s="67"/>
      <c r="L128" s="1"/>
      <c r="M128" s="1"/>
    </row>
    <row r="129" spans="1:13" s="2" customFormat="1" x14ac:dyDescent="0.2">
      <c r="A129" s="24"/>
      <c r="B129" s="1"/>
      <c r="C129" s="62" t="str">
        <f>"01-04-2023 to " &amp;C126</f>
        <v>01-04-2023 to 26-09-2023</v>
      </c>
      <c r="D129" s="68">
        <f>+D127+24252.69</f>
        <v>26396.959999999999</v>
      </c>
      <c r="E129" s="68">
        <f>+E127+1685.25</f>
        <v>1960.68</v>
      </c>
      <c r="F129" s="68">
        <f>+F127+25938.15</f>
        <v>28357.850000000002</v>
      </c>
      <c r="G129" s="1"/>
      <c r="L129" s="1"/>
      <c r="M129" s="1"/>
    </row>
    <row r="130" spans="1:13" s="2" customFormat="1" x14ac:dyDescent="0.2">
      <c r="A130" s="24"/>
      <c r="B130" s="1"/>
      <c r="C130" s="52"/>
      <c r="D130" s="85"/>
      <c r="E130" s="53"/>
      <c r="F130" s="53"/>
      <c r="G130" s="1"/>
      <c r="L130" s="1"/>
      <c r="M130" s="1"/>
    </row>
    <row r="131" spans="1:13" s="2" customFormat="1" x14ac:dyDescent="0.2">
      <c r="A131" s="24"/>
      <c r="B131" s="1"/>
      <c r="C131" s="52"/>
      <c r="D131" s="85"/>
      <c r="E131" s="53"/>
      <c r="F131" s="53"/>
      <c r="G131" s="1"/>
      <c r="L131" s="1"/>
      <c r="M131" s="1"/>
    </row>
    <row r="132" spans="1:13" s="2" customFormat="1" x14ac:dyDescent="0.2">
      <c r="A132" s="24"/>
      <c r="B132" s="1"/>
      <c r="C132" s="52"/>
      <c r="D132" s="85"/>
      <c r="E132" s="53"/>
      <c r="F132" s="53"/>
      <c r="G132" s="1"/>
      <c r="L132" s="1"/>
      <c r="M132" s="1"/>
    </row>
    <row r="133" spans="1:13" s="2" customFormat="1" x14ac:dyDescent="0.2">
      <c r="A133" s="24"/>
      <c r="B133" s="1"/>
      <c r="C133" s="52"/>
      <c r="D133" s="85"/>
      <c r="E133" s="53"/>
      <c r="F133" s="53"/>
      <c r="G133" s="1"/>
      <c r="L133" s="1"/>
      <c r="M133" s="1"/>
    </row>
    <row r="134" spans="1:13" s="2" customFormat="1" x14ac:dyDescent="0.2">
      <c r="A134" s="24"/>
      <c r="B134" s="1"/>
      <c r="C134" s="14"/>
      <c r="D134" s="25"/>
      <c r="G134" s="1"/>
      <c r="L134" s="1"/>
      <c r="M134" s="1"/>
    </row>
    <row r="135" spans="1:13" s="2" customFormat="1" x14ac:dyDescent="0.2">
      <c r="A135" s="24"/>
      <c r="B135" s="1"/>
      <c r="C135" s="14"/>
      <c r="D135" s="25"/>
      <c r="G135" s="1"/>
      <c r="L135" s="1"/>
      <c r="M135" s="1"/>
    </row>
    <row r="136" spans="1:13" s="2" customFormat="1" x14ac:dyDescent="0.2">
      <c r="A136" s="24"/>
      <c r="B136" s="1"/>
      <c r="C136" s="14"/>
      <c r="D136" s="25"/>
      <c r="G136" s="1"/>
      <c r="L136" s="1"/>
      <c r="M136" s="1"/>
    </row>
    <row r="137" spans="1:13" s="2" customFormat="1" x14ac:dyDescent="0.2">
      <c r="A137" s="24"/>
      <c r="B137" s="1"/>
      <c r="C137" s="14"/>
      <c r="D137" s="25"/>
      <c r="G137" s="1"/>
      <c r="L137" s="1"/>
      <c r="M137" s="1"/>
    </row>
    <row r="138" spans="1:13" s="2" customFormat="1" x14ac:dyDescent="0.2">
      <c r="A138" s="24"/>
      <c r="B138" s="1"/>
      <c r="C138" s="14"/>
      <c r="D138" s="25"/>
      <c r="G138" s="1"/>
      <c r="L138" s="1"/>
      <c r="M138" s="1"/>
    </row>
    <row r="139" spans="1:13" s="2" customFormat="1" x14ac:dyDescent="0.2">
      <c r="A139" s="24"/>
      <c r="B139" s="1"/>
      <c r="C139" s="14"/>
      <c r="D139" s="25"/>
      <c r="G139" s="1"/>
      <c r="L139" s="1"/>
      <c r="M139" s="1"/>
    </row>
    <row r="140" spans="1:13" s="2" customFormat="1" x14ac:dyDescent="0.2">
      <c r="A140" s="24"/>
      <c r="B140" s="1"/>
      <c r="C140" s="14"/>
      <c r="D140" s="25"/>
      <c r="G140" s="1"/>
      <c r="L140" s="1"/>
      <c r="M140" s="1"/>
    </row>
    <row r="141" spans="1:13" s="2" customFormat="1" x14ac:dyDescent="0.2">
      <c r="A141" s="24"/>
      <c r="B141" s="1"/>
      <c r="C141" s="14"/>
      <c r="D141" s="25"/>
      <c r="G141" s="1"/>
      <c r="L141" s="1"/>
      <c r="M141" s="1"/>
    </row>
    <row r="142" spans="1:13" s="2" customFormat="1" x14ac:dyDescent="0.2">
      <c r="A142" s="24"/>
      <c r="B142" s="1"/>
      <c r="C142" s="14"/>
      <c r="D142" s="25"/>
      <c r="G142" s="1"/>
      <c r="L142" s="1"/>
      <c r="M142" s="1"/>
    </row>
    <row r="143" spans="1:13" s="2" customFormat="1" x14ac:dyDescent="0.2">
      <c r="A143" s="24"/>
      <c r="B143" s="1"/>
      <c r="C143" s="14"/>
      <c r="D143" s="25"/>
      <c r="G143" s="1"/>
      <c r="L143" s="1"/>
      <c r="M143" s="1"/>
    </row>
    <row r="144" spans="1:13" s="2" customFormat="1" x14ac:dyDescent="0.2">
      <c r="A144" s="24"/>
      <c r="B144" s="1"/>
      <c r="C144" s="14"/>
      <c r="D144" s="25"/>
      <c r="G144" s="1"/>
      <c r="L144" s="1"/>
      <c r="M144" s="1"/>
    </row>
    <row r="145" spans="1:14" s="2" customFormat="1" x14ac:dyDescent="0.2">
      <c r="A145" s="24"/>
      <c r="B145" s="1"/>
      <c r="C145" s="14"/>
      <c r="D145" s="25"/>
      <c r="G145" s="1"/>
      <c r="L145" s="1"/>
      <c r="M145" s="1"/>
    </row>
    <row r="146" spans="1:14" s="2" customFormat="1" x14ac:dyDescent="0.2">
      <c r="A146" s="24"/>
      <c r="B146" s="1"/>
      <c r="C146" s="14"/>
      <c r="D146" s="25"/>
      <c r="G146" s="1"/>
      <c r="L146" s="1"/>
      <c r="M146" s="1"/>
    </row>
    <row r="147" spans="1:14" s="2" customFormat="1" x14ac:dyDescent="0.2">
      <c r="A147" s="24"/>
      <c r="B147" s="1"/>
      <c r="C147" s="14"/>
      <c r="D147" s="25"/>
      <c r="G147" s="1"/>
      <c r="L147" s="1"/>
      <c r="M147" s="1"/>
    </row>
    <row r="148" spans="1:14" s="2" customFormat="1" x14ac:dyDescent="0.2">
      <c r="A148" s="24"/>
      <c r="B148" s="1"/>
      <c r="C148" s="14"/>
      <c r="D148" s="25"/>
      <c r="G148" s="1"/>
      <c r="I148" s="1"/>
      <c r="J148" s="1"/>
      <c r="K148" s="1"/>
      <c r="L148" s="1"/>
      <c r="M148" s="1"/>
    </row>
    <row r="149" spans="1:14" s="2" customFormat="1" x14ac:dyDescent="0.2">
      <c r="A149" s="24"/>
      <c r="B149" s="1"/>
      <c r="C149" s="14"/>
      <c r="D149" s="25"/>
      <c r="G149" s="1"/>
    </row>
    <row r="150" spans="1:14" s="2" customFormat="1" x14ac:dyDescent="0.2">
      <c r="A150" s="24"/>
      <c r="B150" s="1"/>
      <c r="C150" s="14"/>
      <c r="D150" s="25"/>
      <c r="G150" s="1"/>
      <c r="I150" s="1"/>
      <c r="J150" s="1"/>
      <c r="K150" s="1"/>
      <c r="L150" s="1"/>
      <c r="M150" s="1"/>
    </row>
    <row r="151" spans="1:14" s="2" customFormat="1" x14ac:dyDescent="0.2">
      <c r="A151" s="24"/>
      <c r="B151" s="1"/>
      <c r="C151" s="14"/>
      <c r="D151" s="25"/>
      <c r="G151" s="54"/>
      <c r="I151" s="1"/>
      <c r="J151" s="1"/>
      <c r="K151" s="1"/>
      <c r="L151" s="1"/>
      <c r="M151" s="1"/>
    </row>
    <row r="152" spans="1:14" s="2" customFormat="1" x14ac:dyDescent="0.2">
      <c r="A152" s="24"/>
      <c r="B152" s="1"/>
      <c r="C152" s="14"/>
      <c r="D152" s="25"/>
      <c r="G152" s="54"/>
      <c r="I152" s="1"/>
      <c r="J152" s="1"/>
      <c r="K152" s="1"/>
      <c r="L152" s="1"/>
      <c r="M152" s="1"/>
    </row>
    <row r="153" spans="1:14" s="2" customFormat="1" x14ac:dyDescent="0.2">
      <c r="A153" s="24"/>
      <c r="B153" s="1"/>
      <c r="C153" s="14"/>
      <c r="D153" s="25"/>
      <c r="G153" s="54"/>
      <c r="I153" s="1"/>
      <c r="J153" s="1"/>
      <c r="K153" s="1"/>
      <c r="L153" s="1"/>
      <c r="M153" s="1"/>
    </row>
    <row r="154" spans="1:14" s="2" customFormat="1" x14ac:dyDescent="0.2">
      <c r="A154" s="24"/>
      <c r="B154" s="1"/>
      <c r="C154" s="14"/>
      <c r="D154" s="25"/>
      <c r="G154" s="54"/>
      <c r="H154" s="2" t="s">
        <v>396</v>
      </c>
      <c r="I154" s="1"/>
      <c r="J154" s="1"/>
      <c r="K154" s="1"/>
      <c r="L154" s="1"/>
      <c r="M154" s="1"/>
      <c r="N154" s="1"/>
    </row>
    <row r="155" spans="1:14" s="2" customFormat="1" x14ac:dyDescent="0.2">
      <c r="A155" s="24"/>
      <c r="B155" s="1"/>
      <c r="C155" s="14"/>
      <c r="D155" s="25"/>
      <c r="G155" s="54"/>
      <c r="H155" s="53"/>
    </row>
    <row r="156" spans="1:14" s="2" customFormat="1" x14ac:dyDescent="0.2">
      <c r="A156" s="24"/>
      <c r="B156" s="1"/>
      <c r="C156" s="14"/>
      <c r="D156" s="25"/>
      <c r="G156" s="54"/>
      <c r="H156" s="53" t="s">
        <v>396</v>
      </c>
      <c r="I156" s="1"/>
      <c r="J156" s="1"/>
      <c r="K156" s="1"/>
      <c r="L156" s="1"/>
      <c r="M156" s="1"/>
      <c r="N156" s="1"/>
    </row>
    <row r="157" spans="1:14" x14ac:dyDescent="0.2">
      <c r="G157" s="54"/>
      <c r="H157" s="53" t="s">
        <v>396</v>
      </c>
      <c r="J157" s="42"/>
    </row>
    <row r="158" spans="1:14" s="2" customFormat="1" x14ac:dyDescent="0.2">
      <c r="A158" s="24"/>
      <c r="B158" s="1"/>
      <c r="C158" s="14"/>
      <c r="D158" s="25"/>
      <c r="G158" s="54"/>
      <c r="H158" s="53"/>
      <c r="I158" s="101"/>
      <c r="J158" s="1"/>
      <c r="K158" s="1"/>
      <c r="L158" s="1"/>
      <c r="M158" s="1"/>
      <c r="N158" s="1"/>
    </row>
    <row r="159" spans="1:14" x14ac:dyDescent="0.2">
      <c r="G159" s="54"/>
      <c r="H159" s="53"/>
    </row>
    <row r="160" spans="1:14" x14ac:dyDescent="0.2">
      <c r="G160" s="54"/>
      <c r="H160" s="53"/>
    </row>
    <row r="161" spans="7:8" x14ac:dyDescent="0.2">
      <c r="G161" s="54"/>
      <c r="H161" s="53"/>
    </row>
  </sheetData>
  <sheetProtection insertRows="0"/>
  <mergeCells count="6">
    <mergeCell ref="C123:F123"/>
    <mergeCell ref="A1:G1"/>
    <mergeCell ref="A3:F3"/>
    <mergeCell ref="A9:F9"/>
    <mergeCell ref="A30:F30"/>
    <mergeCell ref="A81:D81"/>
  </mergeCells>
  <conditionalFormatting sqref="G78:G79">
    <cfRule type="cellIs" dxfId="295" priority="1" operator="lessThan">
      <formula>0</formula>
    </cfRule>
  </conditionalFormatting>
  <conditionalFormatting sqref="C32">
    <cfRule type="duplicateValues" dxfId="294" priority="2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F00-000000000000}">
  <sheetPr codeName="Sheet439">
    <pageSetUpPr fitToPage="1"/>
  </sheetPr>
  <dimension ref="A1:N190"/>
  <sheetViews>
    <sheetView topLeftCell="A24" zoomScaleNormal="100" workbookViewId="0">
      <selection activeCell="E92" sqref="E92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1" ht="20.25" customHeight="1" x14ac:dyDescent="0.4">
      <c r="A1" s="212" t="s">
        <v>1598</v>
      </c>
      <c r="B1" s="212"/>
      <c r="C1" s="212"/>
      <c r="D1" s="212"/>
      <c r="E1" s="212"/>
      <c r="F1" s="212"/>
      <c r="G1" s="212"/>
      <c r="H1" s="112"/>
      <c r="I1" s="112"/>
    </row>
    <row r="2" spans="1:11" ht="12.75" customHeight="1" x14ac:dyDescent="0.4">
      <c r="H2" s="112"/>
      <c r="I2" s="112"/>
    </row>
    <row r="3" spans="1:11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1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1" s="2" customFormat="1" ht="14.25" customHeight="1" x14ac:dyDescent="0.4">
      <c r="A5" s="89">
        <v>45197</v>
      </c>
      <c r="B5" s="9" t="s">
        <v>6</v>
      </c>
      <c r="C5" s="10" t="s">
        <v>7</v>
      </c>
      <c r="D5" s="11"/>
      <c r="E5" s="12">
        <v>990639.79000000097</v>
      </c>
      <c r="F5" s="12"/>
      <c r="G5" s="1"/>
      <c r="H5" s="112"/>
      <c r="I5" s="112"/>
    </row>
    <row r="6" spans="1:11" s="2" customFormat="1" ht="12.75" customHeight="1" x14ac:dyDescent="0.4">
      <c r="D6" s="15" t="s">
        <v>8</v>
      </c>
      <c r="E6" s="16">
        <f>SUM(E5:E5)</f>
        <v>990639.79000000097</v>
      </c>
      <c r="F6" s="16">
        <f>F5</f>
        <v>0</v>
      </c>
      <c r="G6" s="1"/>
      <c r="H6" s="112"/>
      <c r="I6" s="112"/>
    </row>
    <row r="7" spans="1:11" s="2" customFormat="1" ht="12.75" customHeight="1" x14ac:dyDescent="0.4">
      <c r="A7" s="17"/>
      <c r="B7" s="18"/>
      <c r="C7" s="19" t="s">
        <v>9</v>
      </c>
      <c r="D7" s="20"/>
      <c r="E7" s="21">
        <f>+E6-F6</f>
        <v>990639.79000000097</v>
      </c>
      <c r="F7" s="22"/>
      <c r="G7" s="23"/>
      <c r="H7" s="112"/>
      <c r="I7" s="112"/>
      <c r="J7" s="13"/>
    </row>
    <row r="8" spans="1:11" ht="12.75" customHeight="1" x14ac:dyDescent="0.4">
      <c r="H8" s="112"/>
      <c r="I8" s="112"/>
    </row>
    <row r="9" spans="1:11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69">
        <v>90000000</v>
      </c>
      <c r="J9" s="169" t="s">
        <v>1508</v>
      </c>
    </row>
    <row r="10" spans="1:11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69">
        <f>89043627.58+763875</f>
        <v>89807502.579999998</v>
      </c>
      <c r="J10" s="169" t="s">
        <v>1509</v>
      </c>
      <c r="K10" s="124"/>
    </row>
    <row r="11" spans="1:11" s="2" customFormat="1" ht="14.25" customHeight="1" x14ac:dyDescent="0.2">
      <c r="A11" s="89">
        <v>45197</v>
      </c>
      <c r="B11" s="9" t="s">
        <v>6</v>
      </c>
      <c r="C11" s="10" t="s">
        <v>7</v>
      </c>
      <c r="D11" s="11"/>
      <c r="F11" s="12">
        <v>82105115.650000006</v>
      </c>
      <c r="G11" s="1"/>
      <c r="H11" s="130" t="s">
        <v>396</v>
      </c>
      <c r="I11" s="169">
        <f>+I9-I10</f>
        <v>192497.42000000179</v>
      </c>
      <c r="J11" s="169" t="s">
        <v>712</v>
      </c>
      <c r="K11" s="165" t="s">
        <v>1512</v>
      </c>
    </row>
    <row r="12" spans="1:11" s="2" customFormat="1" ht="14.25" customHeight="1" x14ac:dyDescent="0.2">
      <c r="A12" s="89">
        <v>45197</v>
      </c>
      <c r="B12" s="9" t="s">
        <v>6</v>
      </c>
      <c r="C12" s="76" t="s">
        <v>234</v>
      </c>
      <c r="D12" s="11" t="s">
        <v>13</v>
      </c>
      <c r="E12" s="2">
        <v>66087</v>
      </c>
      <c r="F12" s="12"/>
      <c r="G12" s="1"/>
      <c r="H12" s="130"/>
      <c r="I12" s="171"/>
      <c r="J12" s="171"/>
      <c r="K12" s="165"/>
    </row>
    <row r="13" spans="1:11" s="2" customFormat="1" ht="14.25" customHeight="1" x14ac:dyDescent="0.2">
      <c r="A13" s="89">
        <v>45197</v>
      </c>
      <c r="B13" s="9" t="s">
        <v>11</v>
      </c>
      <c r="C13" s="76" t="s">
        <v>225</v>
      </c>
      <c r="D13" s="11" t="s">
        <v>29</v>
      </c>
      <c r="F13" s="12">
        <v>31565</v>
      </c>
      <c r="G13" s="1"/>
      <c r="H13" s="130"/>
      <c r="I13" s="171"/>
      <c r="J13" s="171"/>
      <c r="K13" s="165"/>
    </row>
    <row r="14" spans="1:11" s="2" customFormat="1" ht="14.25" customHeight="1" x14ac:dyDescent="0.2">
      <c r="A14" s="89">
        <v>45197</v>
      </c>
      <c r="B14" s="9" t="s">
        <v>11</v>
      </c>
      <c r="C14" s="76" t="s">
        <v>1599</v>
      </c>
      <c r="D14" s="11" t="s">
        <v>29</v>
      </c>
      <c r="F14" s="31">
        <v>31206</v>
      </c>
      <c r="G14" s="1"/>
      <c r="H14" s="130"/>
      <c r="I14" s="171"/>
      <c r="J14" s="171"/>
      <c r="K14" s="165"/>
    </row>
    <row r="15" spans="1:11" s="2" customFormat="1" ht="14.25" customHeight="1" x14ac:dyDescent="0.2">
      <c r="A15" s="89">
        <v>45197</v>
      </c>
      <c r="B15" s="9" t="s">
        <v>11</v>
      </c>
      <c r="C15" s="76" t="s">
        <v>242</v>
      </c>
      <c r="D15" s="11" t="s">
        <v>29</v>
      </c>
      <c r="F15" s="31">
        <v>71358.929999999993</v>
      </c>
      <c r="G15" s="1"/>
      <c r="H15" s="130"/>
      <c r="I15" s="171"/>
      <c r="J15" s="171"/>
      <c r="K15" s="165"/>
    </row>
    <row r="16" spans="1:11" s="2" customFormat="1" ht="14.25" customHeight="1" x14ac:dyDescent="0.2">
      <c r="A16" s="89">
        <v>45197</v>
      </c>
      <c r="B16" s="9" t="s">
        <v>11</v>
      </c>
      <c r="C16" s="76" t="s">
        <v>287</v>
      </c>
      <c r="D16" s="11" t="s">
        <v>29</v>
      </c>
      <c r="F16" s="31">
        <v>12522</v>
      </c>
      <c r="G16" s="1"/>
      <c r="H16" s="130"/>
      <c r="I16" s="171"/>
      <c r="J16" s="171"/>
      <c r="K16" s="165"/>
    </row>
    <row r="17" spans="1:13" s="2" customFormat="1" ht="14.25" customHeight="1" x14ac:dyDescent="0.2">
      <c r="A17" s="89">
        <v>45197</v>
      </c>
      <c r="B17" s="9" t="s">
        <v>11</v>
      </c>
      <c r="C17" s="76" t="s">
        <v>221</v>
      </c>
      <c r="D17" s="11" t="s">
        <v>29</v>
      </c>
      <c r="F17" s="31">
        <v>860</v>
      </c>
      <c r="G17" s="1"/>
      <c r="H17" s="130"/>
      <c r="I17" s="171"/>
      <c r="J17" s="171"/>
      <c r="K17" s="165"/>
    </row>
    <row r="18" spans="1:13" s="2" customFormat="1" ht="14.25" customHeight="1" x14ac:dyDescent="0.2">
      <c r="A18" s="89">
        <v>45197</v>
      </c>
      <c r="B18" s="9" t="s">
        <v>11</v>
      </c>
      <c r="C18" s="76" t="s">
        <v>57</v>
      </c>
      <c r="D18" s="11" t="s">
        <v>29</v>
      </c>
      <c r="F18" s="31">
        <v>5000000</v>
      </c>
      <c r="G18" s="1"/>
      <c r="H18" s="130"/>
      <c r="I18" s="171"/>
      <c r="J18" s="171"/>
      <c r="K18" s="165"/>
    </row>
    <row r="19" spans="1:13" s="13" customFormat="1" ht="14.25" customHeight="1" x14ac:dyDescent="0.2">
      <c r="A19" s="89">
        <v>45197</v>
      </c>
      <c r="B19" s="9" t="s">
        <v>11</v>
      </c>
      <c r="C19" s="76" t="s">
        <v>1600</v>
      </c>
      <c r="D19" s="11" t="s">
        <v>29</v>
      </c>
      <c r="E19" s="2"/>
      <c r="F19" s="31">
        <v>1600000</v>
      </c>
      <c r="G19" s="23"/>
      <c r="H19" s="173"/>
      <c r="I19" s="174"/>
      <c r="J19" s="174"/>
      <c r="K19" s="175"/>
    </row>
    <row r="20" spans="1:13" s="13" customFormat="1" ht="14.25" customHeight="1" x14ac:dyDescent="0.2">
      <c r="A20" s="89">
        <v>45197</v>
      </c>
      <c r="B20" s="9" t="s">
        <v>11</v>
      </c>
      <c r="C20" s="76" t="s">
        <v>1601</v>
      </c>
      <c r="D20" s="11" t="s">
        <v>29</v>
      </c>
      <c r="E20" s="2"/>
      <c r="F20" s="31">
        <v>52200</v>
      </c>
      <c r="G20" s="23"/>
      <c r="H20" s="173"/>
      <c r="I20" s="174"/>
      <c r="J20" s="174"/>
      <c r="K20" s="175"/>
    </row>
    <row r="21" spans="1:13" s="13" customFormat="1" ht="14.25" customHeight="1" x14ac:dyDescent="0.2">
      <c r="A21" s="89">
        <v>45197</v>
      </c>
      <c r="B21" s="9" t="s">
        <v>11</v>
      </c>
      <c r="C21" s="76" t="s">
        <v>494</v>
      </c>
      <c r="D21" s="11" t="s">
        <v>29</v>
      </c>
      <c r="E21" s="2"/>
      <c r="F21" s="31">
        <v>7594</v>
      </c>
      <c r="G21" s="23"/>
      <c r="H21" s="173"/>
      <c r="I21" s="174"/>
      <c r="J21" s="174"/>
      <c r="K21" s="175"/>
    </row>
    <row r="22" spans="1:13" s="2" customFormat="1" ht="14.25" customHeight="1" x14ac:dyDescent="0.2">
      <c r="A22" s="89">
        <v>45197</v>
      </c>
      <c r="B22" s="9" t="s">
        <v>11</v>
      </c>
      <c r="C22" s="76" t="s">
        <v>1602</v>
      </c>
      <c r="D22" s="11" t="s">
        <v>29</v>
      </c>
      <c r="F22" s="31">
        <v>84000</v>
      </c>
      <c r="G22" s="1"/>
      <c r="H22" s="130"/>
      <c r="I22" s="171"/>
      <c r="J22" s="171"/>
      <c r="K22" s="165"/>
    </row>
    <row r="23" spans="1:13" s="2" customFormat="1" ht="14.25" customHeight="1" x14ac:dyDescent="0.2">
      <c r="A23" s="89">
        <v>45197</v>
      </c>
      <c r="B23" s="9" t="s">
        <v>11</v>
      </c>
      <c r="C23" s="76" t="s">
        <v>1603</v>
      </c>
      <c r="D23" s="11" t="s">
        <v>29</v>
      </c>
      <c r="F23" s="31">
        <v>268275</v>
      </c>
      <c r="G23" s="1"/>
      <c r="H23" s="130"/>
      <c r="I23" s="171"/>
      <c r="J23" s="171"/>
      <c r="K23" s="165"/>
    </row>
    <row r="24" spans="1:13" s="2" customFormat="1" ht="14.25" customHeight="1" x14ac:dyDescent="0.2">
      <c r="A24" s="89">
        <v>45197</v>
      </c>
      <c r="B24" s="9" t="s">
        <v>11</v>
      </c>
      <c r="C24" s="76" t="s">
        <v>99</v>
      </c>
      <c r="D24" s="11" t="s">
        <v>29</v>
      </c>
      <c r="F24" s="31">
        <v>495600</v>
      </c>
      <c r="G24" s="1"/>
      <c r="H24" s="130"/>
      <c r="I24" s="171"/>
      <c r="J24" s="171"/>
      <c r="K24" s="165"/>
    </row>
    <row r="25" spans="1:13" s="2" customFormat="1" ht="14.25" customHeight="1" x14ac:dyDescent="0.2">
      <c r="D25" s="11" t="s">
        <v>8</v>
      </c>
      <c r="E25" s="16">
        <f>SUM(E11:E24)</f>
        <v>66087</v>
      </c>
      <c r="F25" s="16">
        <f>SUM(F11:F24)</f>
        <v>89760296.580000013</v>
      </c>
      <c r="G25" s="1"/>
      <c r="H25" s="143"/>
      <c r="I25" s="130"/>
      <c r="J25" s="143"/>
      <c r="K25" s="143"/>
      <c r="L25" s="143"/>
      <c r="M25" s="143"/>
    </row>
    <row r="26" spans="1:13" s="2" customFormat="1" ht="14.25" customHeight="1" x14ac:dyDescent="0.4">
      <c r="A26" s="17"/>
      <c r="B26" s="18"/>
      <c r="C26" s="96" t="s">
        <v>9</v>
      </c>
      <c r="D26" s="20"/>
      <c r="E26" s="21">
        <f>+F25-E25</f>
        <v>89694209.580000013</v>
      </c>
      <c r="G26" s="1"/>
      <c r="I26" s="112"/>
      <c r="J26" s="153" t="s">
        <v>779</v>
      </c>
    </row>
    <row r="27" spans="1:13" s="2" customFormat="1" ht="14.25" customHeight="1" x14ac:dyDescent="0.2">
      <c r="A27" s="36"/>
      <c r="B27" s="28" t="s">
        <v>66</v>
      </c>
      <c r="C27" s="43" t="s">
        <v>1458</v>
      </c>
      <c r="D27" s="43"/>
      <c r="E27" s="12">
        <v>30000000</v>
      </c>
      <c r="F27" s="22"/>
      <c r="G27" s="1"/>
      <c r="I27" s="40">
        <v>89694210.579999998</v>
      </c>
      <c r="J27" s="154">
        <f>I27-E26</f>
        <v>0.99999998509883881</v>
      </c>
    </row>
    <row r="28" spans="1:13" s="2" customFormat="1" ht="14.25" customHeight="1" x14ac:dyDescent="0.25">
      <c r="A28" s="36"/>
      <c r="B28" s="28"/>
      <c r="C28" s="44" t="s">
        <v>1541</v>
      </c>
      <c r="D28" s="43"/>
      <c r="E28" s="7">
        <f>+E26+E27</f>
        <v>119694209.58000001</v>
      </c>
      <c r="F28" s="22"/>
      <c r="G28" s="1"/>
      <c r="H28" s="13" t="s">
        <v>1582</v>
      </c>
      <c r="I28" s="13" t="s">
        <v>1583</v>
      </c>
    </row>
    <row r="29" spans="1:13" s="2" customFormat="1" ht="14.25" customHeight="1" x14ac:dyDescent="0.25">
      <c r="A29" s="36"/>
      <c r="B29" s="28"/>
      <c r="C29" s="44" t="s">
        <v>1511</v>
      </c>
      <c r="D29" s="43"/>
      <c r="E29" s="38">
        <f>+I11</f>
        <v>192497.42000000179</v>
      </c>
      <c r="F29" s="22"/>
      <c r="G29" s="1"/>
      <c r="H29" s="2">
        <v>16578893</v>
      </c>
      <c r="I29" s="2">
        <v>10486347.289999999</v>
      </c>
      <c r="J29" s="176">
        <f>I29-H29</f>
        <v>-6092545.7100000009</v>
      </c>
    </row>
    <row r="30" spans="1:13" s="2" customFormat="1" ht="14.25" customHeight="1" x14ac:dyDescent="0.2">
      <c r="A30" s="24"/>
      <c r="B30" s="1"/>
      <c r="C30" s="14"/>
      <c r="D30" s="25"/>
      <c r="G30" s="1"/>
      <c r="I30" s="130"/>
      <c r="J30" s="130"/>
    </row>
    <row r="31" spans="1:13" s="2" customFormat="1" x14ac:dyDescent="0.2">
      <c r="A31" s="214" t="s">
        <v>10</v>
      </c>
      <c r="B31" s="214"/>
      <c r="C31" s="214"/>
      <c r="D31" s="214"/>
      <c r="E31" s="214"/>
      <c r="F31" s="214"/>
      <c r="G31" s="1"/>
      <c r="H31" s="159"/>
      <c r="I31" s="160">
        <v>225000000</v>
      </c>
      <c r="J31" s="160" t="s">
        <v>1506</v>
      </c>
      <c r="K31" s="70"/>
    </row>
    <row r="32" spans="1:13" s="2" customFormat="1" x14ac:dyDescent="0.2">
      <c r="A32" s="26" t="s">
        <v>1</v>
      </c>
      <c r="B32" s="27" t="s">
        <v>2</v>
      </c>
      <c r="C32" s="5"/>
      <c r="D32" s="6" t="s">
        <v>3</v>
      </c>
      <c r="E32" s="7" t="s">
        <v>4</v>
      </c>
      <c r="F32" s="7" t="s">
        <v>5</v>
      </c>
      <c r="G32" s="1"/>
      <c r="H32" s="159"/>
      <c r="I32" s="160">
        <v>162129563.62</v>
      </c>
      <c r="J32" s="160" t="s">
        <v>1507</v>
      </c>
      <c r="K32" s="70" t="s">
        <v>1512</v>
      </c>
    </row>
    <row r="33" spans="1:14" s="2" customFormat="1" x14ac:dyDescent="0.2">
      <c r="A33" s="89">
        <v>45197</v>
      </c>
      <c r="B33" s="128" t="s">
        <v>11</v>
      </c>
      <c r="C33" s="29" t="s">
        <v>7</v>
      </c>
      <c r="D33" s="25"/>
      <c r="E33" s="31"/>
      <c r="F33" s="2">
        <v>173657484.69000009</v>
      </c>
      <c r="G33" s="23"/>
      <c r="H33" s="159" t="s">
        <v>1505</v>
      </c>
      <c r="I33" s="160">
        <f>+I31-I32</f>
        <v>62870436.379999995</v>
      </c>
      <c r="J33" s="160"/>
      <c r="K33" s="70"/>
    </row>
    <row r="34" spans="1:14" s="2" customFormat="1" x14ac:dyDescent="0.2">
      <c r="A34" s="89">
        <v>45197</v>
      </c>
      <c r="B34" s="128" t="s">
        <v>6</v>
      </c>
      <c r="C34" s="10" t="s">
        <v>17</v>
      </c>
      <c r="D34" s="11" t="s">
        <v>13</v>
      </c>
      <c r="E34" s="86">
        <v>854710</v>
      </c>
      <c r="F34" s="70"/>
      <c r="G34" s="1"/>
      <c r="N34" s="1"/>
    </row>
    <row r="35" spans="1:14" s="2" customFormat="1" x14ac:dyDescent="0.2">
      <c r="A35" s="89">
        <v>45197</v>
      </c>
      <c r="B35" s="128" t="s">
        <v>6</v>
      </c>
      <c r="C35" s="10" t="s">
        <v>19</v>
      </c>
      <c r="D35" s="11" t="s">
        <v>13</v>
      </c>
      <c r="E35" s="86">
        <v>2441891</v>
      </c>
      <c r="F35" s="70"/>
      <c r="G35" s="1"/>
      <c r="N35" s="1"/>
    </row>
    <row r="36" spans="1:14" s="2" customFormat="1" x14ac:dyDescent="0.2">
      <c r="A36" s="89">
        <v>45197</v>
      </c>
      <c r="B36" s="128" t="s">
        <v>6</v>
      </c>
      <c r="C36" s="10" t="s">
        <v>1604</v>
      </c>
      <c r="D36" s="11" t="s">
        <v>13</v>
      </c>
      <c r="E36" s="86">
        <v>407057</v>
      </c>
      <c r="F36" s="70"/>
      <c r="G36" s="1"/>
      <c r="N36" s="1"/>
    </row>
    <row r="37" spans="1:14" s="2" customFormat="1" x14ac:dyDescent="0.2">
      <c r="A37" s="89">
        <v>45197</v>
      </c>
      <c r="B37" s="128" t="s">
        <v>6</v>
      </c>
      <c r="C37" s="10" t="s">
        <v>162</v>
      </c>
      <c r="D37" s="11" t="s">
        <v>13</v>
      </c>
      <c r="E37" s="86">
        <v>27195</v>
      </c>
      <c r="F37" s="70"/>
      <c r="G37" s="1"/>
      <c r="N37" s="1"/>
    </row>
    <row r="38" spans="1:14" s="2" customFormat="1" x14ac:dyDescent="0.2">
      <c r="A38" s="89">
        <v>45197</v>
      </c>
      <c r="B38" s="128" t="s">
        <v>6</v>
      </c>
      <c r="C38" s="10" t="s">
        <v>413</v>
      </c>
      <c r="D38" s="11" t="s">
        <v>13</v>
      </c>
      <c r="E38" s="86">
        <v>73631</v>
      </c>
      <c r="F38" s="70"/>
      <c r="G38" s="1"/>
      <c r="N38" s="1"/>
    </row>
    <row r="39" spans="1:14" s="2" customFormat="1" x14ac:dyDescent="0.2">
      <c r="A39" s="89">
        <v>45197</v>
      </c>
      <c r="B39" s="128" t="s">
        <v>6</v>
      </c>
      <c r="C39" s="10" t="s">
        <v>1402</v>
      </c>
      <c r="D39" s="11" t="s">
        <v>13</v>
      </c>
      <c r="E39" s="86">
        <v>337817</v>
      </c>
      <c r="F39" s="70"/>
      <c r="G39" s="1"/>
      <c r="N39" s="1"/>
    </row>
    <row r="40" spans="1:14" s="2" customFormat="1" x14ac:dyDescent="0.2">
      <c r="A40" s="89">
        <v>45197</v>
      </c>
      <c r="B40" s="128" t="s">
        <v>6</v>
      </c>
      <c r="C40" s="10" t="s">
        <v>275</v>
      </c>
      <c r="D40" s="11" t="s">
        <v>13</v>
      </c>
      <c r="E40" s="86">
        <v>609846</v>
      </c>
      <c r="F40" s="70"/>
      <c r="G40" s="1"/>
      <c r="N40" s="1"/>
    </row>
    <row r="41" spans="1:14" s="2" customFormat="1" x14ac:dyDescent="0.2">
      <c r="A41" s="89">
        <v>45197</v>
      </c>
      <c r="B41" s="128" t="s">
        <v>6</v>
      </c>
      <c r="C41" s="10" t="s">
        <v>390</v>
      </c>
      <c r="D41" s="11" t="s">
        <v>13</v>
      </c>
      <c r="E41" s="86">
        <v>4075781</v>
      </c>
      <c r="F41" s="70"/>
      <c r="G41" s="1"/>
      <c r="N41" s="1"/>
    </row>
    <row r="42" spans="1:14" s="2" customFormat="1" x14ac:dyDescent="0.2">
      <c r="A42" s="89">
        <v>45197</v>
      </c>
      <c r="B42" s="128" t="s">
        <v>6</v>
      </c>
      <c r="C42" s="10" t="s">
        <v>471</v>
      </c>
      <c r="D42" s="11" t="s">
        <v>13</v>
      </c>
      <c r="E42" s="86">
        <v>60141</v>
      </c>
      <c r="F42" s="70"/>
      <c r="G42" s="1"/>
      <c r="N42" s="1"/>
    </row>
    <row r="43" spans="1:14" s="2" customFormat="1" x14ac:dyDescent="0.2">
      <c r="A43" s="89">
        <v>45197</v>
      </c>
      <c r="B43" s="128" t="s">
        <v>6</v>
      </c>
      <c r="C43" s="10" t="s">
        <v>164</v>
      </c>
      <c r="D43" s="11" t="s">
        <v>13</v>
      </c>
      <c r="E43" s="86">
        <v>900000</v>
      </c>
      <c r="F43" s="70"/>
      <c r="G43" s="1"/>
      <c r="N43" s="1"/>
    </row>
    <row r="44" spans="1:14" s="2" customFormat="1" x14ac:dyDescent="0.2">
      <c r="A44" s="89">
        <v>45197</v>
      </c>
      <c r="B44" s="128" t="s">
        <v>6</v>
      </c>
      <c r="C44" s="10" t="s">
        <v>381</v>
      </c>
      <c r="D44" s="11" t="s">
        <v>13</v>
      </c>
      <c r="E44" s="86">
        <v>32149</v>
      </c>
      <c r="F44" s="70"/>
      <c r="G44" s="1"/>
      <c r="N44" s="1"/>
    </row>
    <row r="45" spans="1:14" s="2" customFormat="1" x14ac:dyDescent="0.2">
      <c r="A45" s="89">
        <v>45197</v>
      </c>
      <c r="B45" s="128" t="s">
        <v>6</v>
      </c>
      <c r="C45" s="10" t="s">
        <v>514</v>
      </c>
      <c r="D45" s="11" t="s">
        <v>13</v>
      </c>
      <c r="E45" s="86">
        <v>1404897</v>
      </c>
      <c r="F45" s="70"/>
      <c r="G45" s="1"/>
      <c r="N45" s="1"/>
    </row>
    <row r="46" spans="1:14" s="2" customFormat="1" x14ac:dyDescent="0.2">
      <c r="A46" s="89">
        <v>45197</v>
      </c>
      <c r="B46" s="128" t="s">
        <v>6</v>
      </c>
      <c r="C46" s="10" t="s">
        <v>655</v>
      </c>
      <c r="D46" s="11" t="s">
        <v>13</v>
      </c>
      <c r="E46" s="86">
        <v>10000000</v>
      </c>
      <c r="F46" s="70"/>
      <c r="G46" s="1"/>
      <c r="N46" s="1"/>
    </row>
    <row r="47" spans="1:14" s="2" customFormat="1" x14ac:dyDescent="0.2">
      <c r="A47" s="89">
        <v>45197</v>
      </c>
      <c r="B47" s="128" t="s">
        <v>6</v>
      </c>
      <c r="C47" s="10" t="s">
        <v>456</v>
      </c>
      <c r="D47" s="11" t="s">
        <v>13</v>
      </c>
      <c r="E47" s="86">
        <v>500000</v>
      </c>
      <c r="F47" s="70"/>
      <c r="G47" s="1"/>
      <c r="N47" s="1"/>
    </row>
    <row r="48" spans="1:14" s="2" customFormat="1" x14ac:dyDescent="0.2">
      <c r="A48" s="89">
        <v>45197</v>
      </c>
      <c r="B48" s="128" t="s">
        <v>6</v>
      </c>
      <c r="C48" s="10" t="s">
        <v>819</v>
      </c>
      <c r="D48" s="11" t="s">
        <v>13</v>
      </c>
      <c r="E48" s="86">
        <v>7040</v>
      </c>
      <c r="F48" s="70"/>
      <c r="G48" s="1"/>
      <c r="N48" s="1"/>
    </row>
    <row r="49" spans="1:14" s="2" customFormat="1" x14ac:dyDescent="0.2">
      <c r="A49" s="89">
        <v>45197</v>
      </c>
      <c r="B49" s="128" t="s">
        <v>6</v>
      </c>
      <c r="C49" s="10" t="s">
        <v>149</v>
      </c>
      <c r="D49" s="11" t="s">
        <v>13</v>
      </c>
      <c r="E49" s="86">
        <v>57408</v>
      </c>
      <c r="F49" s="70"/>
      <c r="G49" s="1"/>
      <c r="N49" s="1"/>
    </row>
    <row r="50" spans="1:14" s="2" customFormat="1" x14ac:dyDescent="0.2">
      <c r="A50" s="89">
        <v>45197</v>
      </c>
      <c r="B50" s="128" t="s">
        <v>6</v>
      </c>
      <c r="C50" s="10" t="s">
        <v>237</v>
      </c>
      <c r="D50" s="11" t="s">
        <v>13</v>
      </c>
      <c r="E50" s="86">
        <v>1824084</v>
      </c>
      <c r="F50" s="70"/>
      <c r="G50" s="1"/>
      <c r="N50" s="1"/>
    </row>
    <row r="51" spans="1:14" s="2" customFormat="1" x14ac:dyDescent="0.2">
      <c r="A51" s="89">
        <v>45197</v>
      </c>
      <c r="B51" s="128" t="s">
        <v>6</v>
      </c>
      <c r="C51" s="10" t="s">
        <v>1608</v>
      </c>
      <c r="D51" s="11" t="s">
        <v>13</v>
      </c>
      <c r="E51" s="86">
        <v>1837.5</v>
      </c>
      <c r="F51" s="70"/>
      <c r="G51" s="1"/>
      <c r="N51" s="1"/>
    </row>
    <row r="52" spans="1:14" s="2" customFormat="1" x14ac:dyDescent="0.2">
      <c r="A52" s="89">
        <v>45197</v>
      </c>
      <c r="B52" s="128" t="s">
        <v>6</v>
      </c>
      <c r="C52" s="10" t="s">
        <v>15</v>
      </c>
      <c r="D52" s="11" t="s">
        <v>13</v>
      </c>
      <c r="E52" s="86">
        <v>1458.96</v>
      </c>
      <c r="F52" s="70"/>
      <c r="G52" s="1"/>
      <c r="N52" s="1"/>
    </row>
    <row r="53" spans="1:14" s="2" customFormat="1" x14ac:dyDescent="0.2">
      <c r="A53" s="89">
        <v>45197</v>
      </c>
      <c r="B53" s="128" t="s">
        <v>6</v>
      </c>
      <c r="C53" s="10" t="s">
        <v>146</v>
      </c>
      <c r="D53" s="11" t="s">
        <v>13</v>
      </c>
      <c r="E53" s="86">
        <v>753089.55</v>
      </c>
      <c r="F53" s="70"/>
      <c r="G53" s="1"/>
      <c r="N53" s="1"/>
    </row>
    <row r="54" spans="1:14" s="2" customFormat="1" x14ac:dyDescent="0.2">
      <c r="A54" s="89">
        <v>45197</v>
      </c>
      <c r="B54" s="128" t="s">
        <v>6</v>
      </c>
      <c r="C54" s="10" t="s">
        <v>1212</v>
      </c>
      <c r="D54" s="11" t="s">
        <v>13</v>
      </c>
      <c r="E54" s="86">
        <v>78875</v>
      </c>
      <c r="F54" s="70"/>
      <c r="G54" s="1"/>
      <c r="N54" s="1"/>
    </row>
    <row r="55" spans="1:14" s="2" customFormat="1" x14ac:dyDescent="0.2">
      <c r="A55" s="89">
        <v>45197</v>
      </c>
      <c r="B55" s="128" t="s">
        <v>6</v>
      </c>
      <c r="C55" s="10" t="s">
        <v>964</v>
      </c>
      <c r="D55" s="11" t="s">
        <v>13</v>
      </c>
      <c r="E55" s="86">
        <v>2205</v>
      </c>
      <c r="F55" s="70"/>
      <c r="G55" s="1"/>
      <c r="N55" s="1"/>
    </row>
    <row r="56" spans="1:14" s="2" customFormat="1" x14ac:dyDescent="0.2">
      <c r="A56" s="89">
        <v>45197</v>
      </c>
      <c r="B56" s="128" t="s">
        <v>6</v>
      </c>
      <c r="C56" s="10" t="s">
        <v>332</v>
      </c>
      <c r="D56" s="11" t="s">
        <v>13</v>
      </c>
      <c r="E56" s="86">
        <v>5323</v>
      </c>
      <c r="F56" s="70"/>
      <c r="G56" s="1"/>
      <c r="N56" s="1"/>
    </row>
    <row r="57" spans="1:14" s="2" customFormat="1" x14ac:dyDescent="0.2">
      <c r="A57" s="89">
        <v>45197</v>
      </c>
      <c r="B57" s="128" t="s">
        <v>11</v>
      </c>
      <c r="C57" s="10" t="s">
        <v>64</v>
      </c>
      <c r="D57" s="11" t="s">
        <v>29</v>
      </c>
      <c r="E57" s="86"/>
      <c r="F57" s="70">
        <v>1994.2</v>
      </c>
      <c r="G57" s="1"/>
      <c r="N57" s="1"/>
    </row>
    <row r="58" spans="1:14" s="2" customFormat="1" x14ac:dyDescent="0.2">
      <c r="A58" s="89">
        <v>45197</v>
      </c>
      <c r="B58" s="128" t="s">
        <v>11</v>
      </c>
      <c r="C58" s="10" t="s">
        <v>1403</v>
      </c>
      <c r="D58" s="11" t="s">
        <v>29</v>
      </c>
      <c r="E58" s="86"/>
      <c r="F58" s="70">
        <v>1938206</v>
      </c>
      <c r="G58" s="1"/>
      <c r="N58" s="1"/>
    </row>
    <row r="59" spans="1:14" s="2" customFormat="1" x14ac:dyDescent="0.2">
      <c r="A59" s="89">
        <v>45197</v>
      </c>
      <c r="B59" s="128" t="s">
        <v>11</v>
      </c>
      <c r="C59" s="10" t="s">
        <v>42</v>
      </c>
      <c r="D59" s="11" t="s">
        <v>29</v>
      </c>
      <c r="E59" s="86"/>
      <c r="F59" s="70">
        <v>21009.599999999999</v>
      </c>
      <c r="G59" s="1"/>
      <c r="N59" s="1"/>
    </row>
    <row r="60" spans="1:14" s="2" customFormat="1" x14ac:dyDescent="0.2">
      <c r="A60" s="89">
        <v>45197</v>
      </c>
      <c r="B60" s="128" t="s">
        <v>11</v>
      </c>
      <c r="C60" s="10" t="s">
        <v>277</v>
      </c>
      <c r="D60" s="11" t="s">
        <v>29</v>
      </c>
      <c r="E60" s="86"/>
      <c r="F60" s="70">
        <v>42840</v>
      </c>
      <c r="G60" s="1"/>
      <c r="N60" s="1"/>
    </row>
    <row r="61" spans="1:14" s="2" customFormat="1" x14ac:dyDescent="0.2">
      <c r="A61" s="89">
        <v>45197</v>
      </c>
      <c r="B61" s="128" t="s">
        <v>11</v>
      </c>
      <c r="C61" s="10" t="s">
        <v>43</v>
      </c>
      <c r="D61" s="11" t="s">
        <v>29</v>
      </c>
      <c r="E61" s="86"/>
      <c r="F61" s="70">
        <v>25842</v>
      </c>
      <c r="G61" s="1"/>
      <c r="N61" s="1"/>
    </row>
    <row r="62" spans="1:14" s="2" customFormat="1" x14ac:dyDescent="0.2">
      <c r="A62" s="89">
        <v>45197</v>
      </c>
      <c r="B62" s="128" t="s">
        <v>11</v>
      </c>
      <c r="C62" s="10" t="s">
        <v>44</v>
      </c>
      <c r="D62" s="11" t="s">
        <v>29</v>
      </c>
      <c r="E62" s="86"/>
      <c r="F62" s="70">
        <v>50683</v>
      </c>
      <c r="G62" s="1"/>
      <c r="N62" s="1"/>
    </row>
    <row r="63" spans="1:14" s="2" customFormat="1" x14ac:dyDescent="0.2">
      <c r="A63" s="89">
        <v>45197</v>
      </c>
      <c r="B63" s="128" t="s">
        <v>11</v>
      </c>
      <c r="C63" s="10" t="s">
        <v>226</v>
      </c>
      <c r="D63" s="11" t="s">
        <v>29</v>
      </c>
      <c r="E63" s="86"/>
      <c r="F63" s="70">
        <v>54681</v>
      </c>
      <c r="G63" s="1"/>
      <c r="N63" s="1"/>
    </row>
    <row r="64" spans="1:14" s="2" customFormat="1" x14ac:dyDescent="0.2">
      <c r="A64" s="89">
        <v>45197</v>
      </c>
      <c r="B64" s="128" t="s">
        <v>11</v>
      </c>
      <c r="C64" s="10" t="s">
        <v>439</v>
      </c>
      <c r="D64" s="11" t="s">
        <v>29</v>
      </c>
      <c r="E64" s="86"/>
      <c r="F64" s="70">
        <v>767</v>
      </c>
      <c r="G64" s="1"/>
      <c r="N64" s="1"/>
    </row>
    <row r="65" spans="1:14" s="2" customFormat="1" x14ac:dyDescent="0.2">
      <c r="A65" s="89">
        <v>45197</v>
      </c>
      <c r="B65" s="128" t="s">
        <v>11</v>
      </c>
      <c r="C65" s="10" t="s">
        <v>462</v>
      </c>
      <c r="D65" s="11" t="s">
        <v>29</v>
      </c>
      <c r="E65" s="86"/>
      <c r="F65" s="70">
        <v>49133.4</v>
      </c>
      <c r="G65" s="1"/>
      <c r="N65" s="1"/>
    </row>
    <row r="66" spans="1:14" s="2" customFormat="1" x14ac:dyDescent="0.2">
      <c r="A66" s="89">
        <v>45197</v>
      </c>
      <c r="B66" s="128" t="s">
        <v>11</v>
      </c>
      <c r="C66" s="10" t="s">
        <v>37</v>
      </c>
      <c r="D66" s="11" t="s">
        <v>29</v>
      </c>
      <c r="E66" s="86"/>
      <c r="F66" s="70">
        <v>11682</v>
      </c>
      <c r="G66" s="1"/>
      <c r="N66" s="1"/>
    </row>
    <row r="67" spans="1:14" s="2" customFormat="1" x14ac:dyDescent="0.2">
      <c r="A67" s="89">
        <v>45197</v>
      </c>
      <c r="B67" s="128" t="s">
        <v>11</v>
      </c>
      <c r="C67" s="10" t="s">
        <v>409</v>
      </c>
      <c r="D67" s="11" t="s">
        <v>29</v>
      </c>
      <c r="E67" s="86"/>
      <c r="F67" s="70">
        <v>5247</v>
      </c>
      <c r="G67" s="1"/>
      <c r="N67" s="1"/>
    </row>
    <row r="68" spans="1:14" s="2" customFormat="1" x14ac:dyDescent="0.2">
      <c r="A68" s="89">
        <v>45197</v>
      </c>
      <c r="B68" s="128" t="s">
        <v>11</v>
      </c>
      <c r="C68" s="10" t="s">
        <v>1605</v>
      </c>
      <c r="D68" s="11" t="s">
        <v>29</v>
      </c>
      <c r="E68" s="86"/>
      <c r="F68" s="70">
        <v>30186</v>
      </c>
      <c r="G68" s="1"/>
      <c r="N68" s="1"/>
    </row>
    <row r="69" spans="1:14" s="2" customFormat="1" x14ac:dyDescent="0.2">
      <c r="A69" s="89">
        <v>45197</v>
      </c>
      <c r="B69" s="128" t="s">
        <v>11</v>
      </c>
      <c r="C69" s="10" t="s">
        <v>1188</v>
      </c>
      <c r="D69" s="11" t="s">
        <v>29</v>
      </c>
      <c r="E69" s="86"/>
      <c r="F69" s="70">
        <v>17700</v>
      </c>
      <c r="G69" s="1"/>
      <c r="N69" s="1"/>
    </row>
    <row r="70" spans="1:14" s="2" customFormat="1" x14ac:dyDescent="0.2">
      <c r="A70" s="89">
        <v>45197</v>
      </c>
      <c r="B70" s="128" t="s">
        <v>11</v>
      </c>
      <c r="C70" s="10" t="s">
        <v>1606</v>
      </c>
      <c r="D70" s="11" t="s">
        <v>29</v>
      </c>
      <c r="E70" s="86"/>
      <c r="F70" s="70">
        <v>34800</v>
      </c>
      <c r="G70" s="1"/>
      <c r="N70" s="1"/>
    </row>
    <row r="71" spans="1:14" s="2" customFormat="1" x14ac:dyDescent="0.2">
      <c r="A71" s="89">
        <v>45197</v>
      </c>
      <c r="B71" s="128" t="s">
        <v>11</v>
      </c>
      <c r="C71" s="10" t="s">
        <v>1196</v>
      </c>
      <c r="D71" s="11" t="s">
        <v>29</v>
      </c>
      <c r="E71" s="86"/>
      <c r="F71" s="70">
        <v>20480</v>
      </c>
      <c r="G71" s="1"/>
      <c r="N71" s="1"/>
    </row>
    <row r="72" spans="1:14" s="2" customFormat="1" x14ac:dyDescent="0.2">
      <c r="A72" s="89">
        <v>45197</v>
      </c>
      <c r="B72" s="128" t="s">
        <v>11</v>
      </c>
      <c r="C72" s="10" t="s">
        <v>290</v>
      </c>
      <c r="D72" s="11" t="s">
        <v>29</v>
      </c>
      <c r="E72" s="86"/>
      <c r="F72" s="70">
        <v>5460</v>
      </c>
      <c r="G72" s="1"/>
      <c r="N72" s="1"/>
    </row>
    <row r="73" spans="1:14" s="2" customFormat="1" x14ac:dyDescent="0.2">
      <c r="A73" s="89">
        <v>45197</v>
      </c>
      <c r="B73" s="128" t="s">
        <v>11</v>
      </c>
      <c r="C73" s="10" t="s">
        <v>60</v>
      </c>
      <c r="D73" s="11" t="s">
        <v>29</v>
      </c>
      <c r="E73" s="86"/>
      <c r="F73" s="70">
        <v>21060</v>
      </c>
      <c r="G73" s="1"/>
      <c r="N73" s="1"/>
    </row>
    <row r="74" spans="1:14" s="2" customFormat="1" x14ac:dyDescent="0.2">
      <c r="A74" s="89">
        <v>45197</v>
      </c>
      <c r="B74" s="128" t="s">
        <v>11</v>
      </c>
      <c r="C74" s="10" t="s">
        <v>47</v>
      </c>
      <c r="D74" s="11" t="s">
        <v>29</v>
      </c>
      <c r="E74" s="86"/>
      <c r="F74" s="70">
        <v>6435</v>
      </c>
      <c r="G74" s="1"/>
      <c r="N74" s="1"/>
    </row>
    <row r="75" spans="1:14" s="2" customFormat="1" x14ac:dyDescent="0.2">
      <c r="A75" s="89">
        <v>45197</v>
      </c>
      <c r="B75" s="128" t="s">
        <v>11</v>
      </c>
      <c r="C75" s="10" t="s">
        <v>38</v>
      </c>
      <c r="D75" s="11" t="s">
        <v>29</v>
      </c>
      <c r="E75" s="86"/>
      <c r="F75" s="70">
        <v>35913.1</v>
      </c>
      <c r="G75" s="1"/>
      <c r="N75" s="1"/>
    </row>
    <row r="76" spans="1:14" s="2" customFormat="1" x14ac:dyDescent="0.2">
      <c r="A76" s="89">
        <v>45197</v>
      </c>
      <c r="B76" s="128" t="s">
        <v>11</v>
      </c>
      <c r="C76" s="10" t="s">
        <v>40</v>
      </c>
      <c r="D76" s="11" t="s">
        <v>29</v>
      </c>
      <c r="E76" s="86"/>
      <c r="F76" s="70">
        <v>35549</v>
      </c>
      <c r="G76" s="1"/>
      <c r="N76" s="1"/>
    </row>
    <row r="77" spans="1:14" s="2" customFormat="1" x14ac:dyDescent="0.2">
      <c r="A77" s="89">
        <v>45197</v>
      </c>
      <c r="B77" s="128" t="s">
        <v>11</v>
      </c>
      <c r="C77" s="10" t="s">
        <v>1607</v>
      </c>
      <c r="D77" s="11" t="s">
        <v>29</v>
      </c>
      <c r="E77" s="86"/>
      <c r="F77" s="70">
        <v>29500</v>
      </c>
      <c r="G77" s="1"/>
      <c r="N77" s="1"/>
    </row>
    <row r="78" spans="1:14" s="2" customFormat="1" x14ac:dyDescent="0.2">
      <c r="A78" s="89">
        <v>45197</v>
      </c>
      <c r="B78" s="128" t="s">
        <v>11</v>
      </c>
      <c r="C78" s="10" t="s">
        <v>356</v>
      </c>
      <c r="D78" s="11" t="s">
        <v>29</v>
      </c>
      <c r="E78" s="86"/>
      <c r="F78" s="70">
        <v>1267226</v>
      </c>
      <c r="G78" s="1"/>
      <c r="N78" s="1"/>
    </row>
    <row r="79" spans="1:14" s="2" customFormat="1" x14ac:dyDescent="0.2">
      <c r="A79" s="89">
        <v>45197</v>
      </c>
      <c r="B79" s="128" t="s">
        <v>11</v>
      </c>
      <c r="C79" s="10" t="s">
        <v>460</v>
      </c>
      <c r="D79" s="11" t="s">
        <v>29</v>
      </c>
      <c r="E79" s="86"/>
      <c r="F79" s="70">
        <v>122604</v>
      </c>
      <c r="G79" s="1"/>
      <c r="N79" s="1"/>
    </row>
    <row r="80" spans="1:14" s="2" customFormat="1" x14ac:dyDescent="0.2">
      <c r="A80" s="89">
        <v>45197</v>
      </c>
      <c r="B80" s="128" t="s">
        <v>11</v>
      </c>
      <c r="C80" s="10" t="s">
        <v>137</v>
      </c>
      <c r="D80" s="11" t="s">
        <v>29</v>
      </c>
      <c r="E80" s="86"/>
      <c r="F80" s="70">
        <v>289471</v>
      </c>
      <c r="G80" s="1"/>
      <c r="N80" s="1"/>
    </row>
    <row r="81" spans="1:14" s="2" customFormat="1" x14ac:dyDescent="0.2">
      <c r="A81" s="89">
        <v>45197</v>
      </c>
      <c r="B81" s="128" t="s">
        <v>11</v>
      </c>
      <c r="C81" s="10" t="s">
        <v>204</v>
      </c>
      <c r="D81" s="11" t="s">
        <v>29</v>
      </c>
      <c r="E81" s="86"/>
      <c r="F81" s="70">
        <v>481277</v>
      </c>
      <c r="G81" s="1"/>
      <c r="N81" s="1"/>
    </row>
    <row r="82" spans="1:14" s="2" customFormat="1" x14ac:dyDescent="0.2">
      <c r="A82" s="89">
        <v>45197</v>
      </c>
      <c r="B82" s="128" t="s">
        <v>11</v>
      </c>
      <c r="C82" s="10" t="s">
        <v>126</v>
      </c>
      <c r="D82" s="11" t="s">
        <v>29</v>
      </c>
      <c r="E82" s="86"/>
      <c r="F82" s="70">
        <v>1329980</v>
      </c>
      <c r="G82" s="1"/>
      <c r="N82" s="1"/>
    </row>
    <row r="83" spans="1:14" s="2" customFormat="1" x14ac:dyDescent="0.2">
      <c r="A83" s="89">
        <v>45197</v>
      </c>
      <c r="B83" s="128" t="s">
        <v>11</v>
      </c>
      <c r="C83" s="10" t="s">
        <v>549</v>
      </c>
      <c r="D83" s="11" t="s">
        <v>29</v>
      </c>
      <c r="E83" s="86"/>
      <c r="F83" s="70">
        <v>238899</v>
      </c>
      <c r="G83" s="1"/>
      <c r="N83" s="1"/>
    </row>
    <row r="84" spans="1:14" s="2" customFormat="1" x14ac:dyDescent="0.2">
      <c r="A84" s="89">
        <v>45197</v>
      </c>
      <c r="B84" s="128" t="s">
        <v>11</v>
      </c>
      <c r="C84" s="10" t="s">
        <v>1472</v>
      </c>
      <c r="D84" s="11" t="s">
        <v>29</v>
      </c>
      <c r="E84" s="86"/>
      <c r="F84" s="70">
        <v>419114</v>
      </c>
      <c r="G84" s="1"/>
      <c r="N84" s="1"/>
    </row>
    <row r="85" spans="1:14" s="2" customFormat="1" x14ac:dyDescent="0.2">
      <c r="A85" s="89">
        <v>45197</v>
      </c>
      <c r="B85" s="128" t="s">
        <v>11</v>
      </c>
      <c r="C85" s="10" t="s">
        <v>243</v>
      </c>
      <c r="D85" s="11" t="s">
        <v>29</v>
      </c>
      <c r="E85" s="86"/>
      <c r="F85" s="70">
        <v>3770.1</v>
      </c>
      <c r="G85" s="1"/>
      <c r="N85" s="1"/>
    </row>
    <row r="86" spans="1:14" s="2" customFormat="1" x14ac:dyDescent="0.2">
      <c r="A86" s="89">
        <v>45197</v>
      </c>
      <c r="B86" s="128" t="s">
        <v>11</v>
      </c>
      <c r="C86" s="10" t="s">
        <v>765</v>
      </c>
      <c r="D86" s="11" t="s">
        <v>29</v>
      </c>
      <c r="E86" s="86"/>
      <c r="F86" s="70">
        <v>589991.59</v>
      </c>
      <c r="G86" s="1"/>
      <c r="N86" s="1"/>
    </row>
    <row r="87" spans="1:14" s="2" customFormat="1" x14ac:dyDescent="0.2">
      <c r="A87" s="32"/>
      <c r="B87" s="33"/>
      <c r="C87" s="14"/>
      <c r="D87" s="34"/>
      <c r="E87" s="16">
        <f>SUM(E33:E86)</f>
        <v>24456436.010000002</v>
      </c>
      <c r="F87" s="16">
        <f>SUM(F33:F86)</f>
        <v>180838985.68000007</v>
      </c>
      <c r="G87" s="1"/>
      <c r="H87" s="1"/>
      <c r="I87" s="38">
        <v>155217526.78999999</v>
      </c>
      <c r="J87" s="2" t="s">
        <v>396</v>
      </c>
      <c r="K87" s="92">
        <f>E88-I87</f>
        <v>1165022.8800000846</v>
      </c>
      <c r="N87" s="1"/>
    </row>
    <row r="88" spans="1:14" s="2" customFormat="1" x14ac:dyDescent="0.2">
      <c r="A88" s="36"/>
      <c r="B88" s="28" t="s">
        <v>11</v>
      </c>
      <c r="C88" s="19" t="s">
        <v>65</v>
      </c>
      <c r="D88" s="37"/>
      <c r="E88" s="38">
        <f>F87-E87</f>
        <v>156382549.67000008</v>
      </c>
      <c r="F88" s="22"/>
      <c r="G88" s="1"/>
      <c r="H88" s="1"/>
      <c r="I88" s="70"/>
      <c r="J88" s="70"/>
      <c r="K88" s="70"/>
      <c r="N88" s="1"/>
    </row>
    <row r="89" spans="1:14" s="2" customFormat="1" x14ac:dyDescent="0.2">
      <c r="A89" s="36"/>
      <c r="B89" s="28" t="s">
        <v>66</v>
      </c>
      <c r="C89" s="19" t="s">
        <v>67</v>
      </c>
      <c r="D89" s="37"/>
      <c r="E89" s="38">
        <v>6500000</v>
      </c>
      <c r="F89" s="22"/>
      <c r="G89" s="1"/>
      <c r="H89" s="70"/>
      <c r="I89" s="70"/>
      <c r="J89" s="70"/>
      <c r="K89" s="70"/>
      <c r="N89" s="1"/>
    </row>
    <row r="90" spans="1:14" s="2" customFormat="1" x14ac:dyDescent="0.2">
      <c r="A90" s="36"/>
      <c r="B90" s="28" t="s">
        <v>66</v>
      </c>
      <c r="C90" s="43" t="s">
        <v>1457</v>
      </c>
      <c r="D90" s="43"/>
      <c r="E90" s="12">
        <v>275000000</v>
      </c>
      <c r="F90" s="22"/>
      <c r="G90" s="1"/>
      <c r="H90" s="70"/>
      <c r="I90" s="45">
        <v>3464.45</v>
      </c>
      <c r="J90" s="46"/>
      <c r="K90" s="46"/>
      <c r="N90" s="1"/>
    </row>
    <row r="91" spans="1:14" s="2" customFormat="1" ht="15" x14ac:dyDescent="0.25">
      <c r="A91" s="36"/>
      <c r="B91" s="28"/>
      <c r="C91" s="44" t="s">
        <v>1541</v>
      </c>
      <c r="D91" s="43"/>
      <c r="E91" s="7">
        <f>+E90+E88+E89</f>
        <v>437882549.67000008</v>
      </c>
      <c r="F91" s="22"/>
      <c r="G91" s="1"/>
      <c r="H91" s="103" t="s">
        <v>69</v>
      </c>
      <c r="I91" s="45">
        <v>-213.17</v>
      </c>
      <c r="J91" s="46"/>
      <c r="K91" s="46"/>
      <c r="N91" s="1"/>
    </row>
    <row r="92" spans="1:14" s="2" customFormat="1" ht="15" x14ac:dyDescent="0.25">
      <c r="A92" s="24"/>
      <c r="B92" s="1"/>
      <c r="C92" s="44" t="s">
        <v>1510</v>
      </c>
      <c r="D92" s="25"/>
      <c r="E92" s="156">
        <f>I33-E89+H29-I29</f>
        <v>62462982.089999996</v>
      </c>
      <c r="G92" s="1"/>
      <c r="H92" s="35" t="s">
        <v>70</v>
      </c>
      <c r="I92" s="45">
        <v>122.99</v>
      </c>
      <c r="J92" s="46">
        <f>+I93-D95</f>
        <v>0</v>
      </c>
      <c r="N92" s="1"/>
    </row>
    <row r="93" spans="1:14" s="124" customFormat="1" ht="12.75" customHeight="1" x14ac:dyDescent="0.2">
      <c r="A93" s="24"/>
      <c r="B93" s="1"/>
      <c r="C93" s="56"/>
      <c r="D93" s="56"/>
      <c r="E93" s="104"/>
      <c r="F93" s="2"/>
      <c r="G93" s="166"/>
      <c r="H93" s="70"/>
      <c r="I93" s="49">
        <f>SUM(I90:I92)</f>
        <v>3374.2699999999995</v>
      </c>
      <c r="J93" s="46"/>
      <c r="K93" s="46"/>
    </row>
    <row r="94" spans="1:14" s="124" customFormat="1" ht="12.75" customHeight="1" x14ac:dyDescent="0.2">
      <c r="A94" s="24"/>
      <c r="B94" s="1"/>
      <c r="C94" s="78" t="s">
        <v>575</v>
      </c>
      <c r="D94" s="48" t="s">
        <v>576</v>
      </c>
      <c r="E94" s="104"/>
      <c r="F94" s="2"/>
      <c r="G94" s="168"/>
      <c r="H94" s="167"/>
      <c r="I94" s="167"/>
      <c r="J94" s="168"/>
    </row>
    <row r="95" spans="1:14" s="124" customFormat="1" ht="12.75" customHeight="1" x14ac:dyDescent="0.2">
      <c r="A95" s="24"/>
      <c r="B95" s="1"/>
      <c r="C95" s="47" t="s">
        <v>570</v>
      </c>
      <c r="D95" s="111">
        <v>3374.27</v>
      </c>
      <c r="E95" s="104"/>
      <c r="F95" s="2"/>
      <c r="G95" s="168"/>
      <c r="H95" s="110" t="s">
        <v>581</v>
      </c>
      <c r="I95" s="167"/>
      <c r="J95" s="168"/>
    </row>
    <row r="96" spans="1:14" s="124" customFormat="1" ht="12.75" customHeight="1" x14ac:dyDescent="0.2">
      <c r="A96" s="24"/>
      <c r="B96" s="1"/>
      <c r="C96" s="47" t="s">
        <v>931</v>
      </c>
      <c r="D96" s="111">
        <v>307.26</v>
      </c>
      <c r="E96" s="104"/>
      <c r="F96" s="2"/>
      <c r="G96" s="168"/>
      <c r="H96" s="110" t="s">
        <v>580</v>
      </c>
      <c r="I96" s="167"/>
      <c r="J96" s="168"/>
    </row>
    <row r="97" spans="1:14" s="124" customFormat="1" ht="12.75" customHeight="1" x14ac:dyDescent="0.2">
      <c r="A97" s="24"/>
      <c r="B97" s="1"/>
      <c r="C97" s="47" t="s">
        <v>572</v>
      </c>
      <c r="D97" s="111">
        <f>+D150/100000</f>
        <v>376.02208280000002</v>
      </c>
      <c r="E97" s="104"/>
      <c r="F97" s="2"/>
      <c r="G97" s="166"/>
      <c r="H97" s="90" t="s">
        <v>587</v>
      </c>
      <c r="I97" s="167"/>
      <c r="J97" s="168"/>
    </row>
    <row r="98" spans="1:14" s="2" customFormat="1" x14ac:dyDescent="0.2">
      <c r="A98" s="24"/>
      <c r="B98" s="1"/>
      <c r="C98" s="108" t="s">
        <v>578</v>
      </c>
      <c r="D98" s="48">
        <f>SUM(D95:D97)</f>
        <v>4057.5520827999999</v>
      </c>
      <c r="E98" s="104"/>
      <c r="G98" s="30"/>
      <c r="I98" s="13"/>
      <c r="J98" s="13"/>
    </row>
    <row r="99" spans="1:14" s="70" customFormat="1" x14ac:dyDescent="0.2">
      <c r="A99" s="24"/>
      <c r="B99" s="1"/>
      <c r="C99" s="47"/>
      <c r="D99" s="107"/>
      <c r="E99" s="104"/>
      <c r="F99" s="2"/>
      <c r="G99" s="30"/>
      <c r="H99" s="2"/>
    </row>
    <row r="100" spans="1:14" s="70" customFormat="1" x14ac:dyDescent="0.2">
      <c r="A100" s="24"/>
      <c r="B100" s="1"/>
      <c r="C100" s="47" t="s">
        <v>932</v>
      </c>
      <c r="D100" s="111">
        <v>271.12</v>
      </c>
      <c r="E100" s="104"/>
      <c r="F100" s="2"/>
      <c r="G100" s="30"/>
      <c r="H100" s="110" t="s">
        <v>581</v>
      </c>
    </row>
    <row r="101" spans="1:14" s="70" customFormat="1" x14ac:dyDescent="0.2">
      <c r="A101" s="24"/>
      <c r="B101" s="1"/>
      <c r="C101" s="136" t="s">
        <v>1142</v>
      </c>
      <c r="D101" s="111">
        <v>344.21</v>
      </c>
      <c r="E101" s="104"/>
      <c r="F101" s="2"/>
      <c r="G101" s="30"/>
      <c r="H101" s="110" t="s">
        <v>581</v>
      </c>
    </row>
    <row r="102" spans="1:14" s="70" customFormat="1" x14ac:dyDescent="0.2">
      <c r="A102" s="24"/>
      <c r="B102" s="1"/>
      <c r="C102" s="78" t="s">
        <v>579</v>
      </c>
      <c r="D102" s="109">
        <f>D100+D101</f>
        <v>615.32999999999993</v>
      </c>
      <c r="E102" s="104"/>
      <c r="F102" s="2"/>
      <c r="G102" s="30"/>
    </row>
    <row r="103" spans="1:14" s="70" customFormat="1" x14ac:dyDescent="0.2">
      <c r="A103" s="24"/>
      <c r="B103" s="1"/>
      <c r="C103" s="105"/>
      <c r="D103" s="106"/>
      <c r="E103" s="104"/>
      <c r="F103" s="2"/>
      <c r="G103" s="30"/>
      <c r="I103" s="2"/>
      <c r="J103" s="114" t="s">
        <v>713</v>
      </c>
      <c r="K103" s="2"/>
      <c r="L103" s="2"/>
      <c r="M103" s="2"/>
    </row>
    <row r="104" spans="1:14" s="70" customFormat="1" x14ac:dyDescent="0.2">
      <c r="A104" s="24"/>
      <c r="B104" s="1"/>
      <c r="C104" s="78" t="s">
        <v>577</v>
      </c>
      <c r="D104" s="109">
        <f>D95+D102</f>
        <v>3989.6</v>
      </c>
      <c r="E104" s="104"/>
      <c r="F104" s="2"/>
      <c r="G104" s="30"/>
      <c r="I104" s="113"/>
      <c r="J104" s="113" t="s">
        <v>709</v>
      </c>
      <c r="K104" s="113" t="s">
        <v>710</v>
      </c>
      <c r="L104" s="113" t="s">
        <v>711</v>
      </c>
      <c r="M104" s="113" t="s">
        <v>712</v>
      </c>
    </row>
    <row r="105" spans="1:14" s="70" customFormat="1" x14ac:dyDescent="0.2">
      <c r="A105" s="24"/>
      <c r="B105" s="1"/>
      <c r="C105" s="56"/>
      <c r="D105" s="56"/>
      <c r="E105" s="104"/>
      <c r="F105" s="2"/>
      <c r="G105" s="30"/>
      <c r="I105" s="113" t="s">
        <v>706</v>
      </c>
      <c r="J105" s="115"/>
      <c r="K105" s="115">
        <v>968.99</v>
      </c>
      <c r="L105" s="115">
        <v>968.99</v>
      </c>
      <c r="M105" s="113">
        <f>+J105+L105-K105</f>
        <v>0</v>
      </c>
    </row>
    <row r="106" spans="1:14" s="70" customFormat="1" ht="38.25" x14ac:dyDescent="0.2">
      <c r="A106" s="24"/>
      <c r="B106" s="1"/>
      <c r="C106" s="79" t="str">
        <f>"Particulars ( 01-04-2021 to "&amp;TEXT(A5,"dd-mm-yyyy")&amp;" )"</f>
        <v>Particulars ( 01-04-2021 to 28-09-2023 )</v>
      </c>
      <c r="D106" s="80" t="s">
        <v>73</v>
      </c>
      <c r="E106" s="80" t="s">
        <v>74</v>
      </c>
      <c r="F106" s="81" t="s">
        <v>75</v>
      </c>
      <c r="G106" s="80" t="s">
        <v>76</v>
      </c>
      <c r="I106" s="113" t="s">
        <v>707</v>
      </c>
      <c r="J106" s="115">
        <v>183.1</v>
      </c>
      <c r="K106" s="115">
        <v>3600.48</v>
      </c>
      <c r="L106" s="115">
        <v>3959.09</v>
      </c>
      <c r="M106" s="113">
        <f>+J106+L106-K106</f>
        <v>541.71000000000049</v>
      </c>
    </row>
    <row r="107" spans="1:14" s="70" customFormat="1" x14ac:dyDescent="0.2">
      <c r="A107" s="24"/>
      <c r="B107" s="1"/>
      <c r="C107" s="50" t="s">
        <v>444</v>
      </c>
      <c r="D107" s="55">
        <f>+L105+L106+J106</f>
        <v>5111.18</v>
      </c>
      <c r="E107" s="55">
        <f>+K105+K106</f>
        <v>4569.47</v>
      </c>
      <c r="F107" s="55">
        <f>+D107-E107</f>
        <v>541.71</v>
      </c>
      <c r="G107" s="55">
        <f>1500-F107</f>
        <v>958.29</v>
      </c>
      <c r="I107" s="113" t="s">
        <v>708</v>
      </c>
      <c r="J107" s="115">
        <v>1371.02</v>
      </c>
      <c r="K107" s="115">
        <v>14338.83</v>
      </c>
      <c r="L107" s="115">
        <v>13785.57</v>
      </c>
      <c r="M107" s="113">
        <f>+J107+L107-K107</f>
        <v>817.76000000000022</v>
      </c>
    </row>
    <row r="108" spans="1:14" s="70" customFormat="1" ht="12.75" customHeight="1" x14ac:dyDescent="0.2">
      <c r="A108" s="24"/>
      <c r="B108" s="1"/>
      <c r="C108" s="50" t="s">
        <v>71</v>
      </c>
      <c r="D108" s="55">
        <f>+J107+L107</f>
        <v>15156.59</v>
      </c>
      <c r="E108" s="55">
        <f>+K107</f>
        <v>14338.83</v>
      </c>
      <c r="F108" s="55">
        <f>+D108-E108</f>
        <v>817.76000000000022</v>
      </c>
      <c r="G108" s="55">
        <f>1500+700-F108</f>
        <v>1382.2399999999998</v>
      </c>
      <c r="I108" s="2"/>
      <c r="J108" s="118">
        <f>SUM(J105:J107)</f>
        <v>1554.12</v>
      </c>
      <c r="K108" s="118">
        <f>SUM(K105:K107)</f>
        <v>18908.3</v>
      </c>
      <c r="L108" s="118">
        <f>SUM(L105:L107)</f>
        <v>18713.650000000001</v>
      </c>
      <c r="M108" s="118">
        <f>SUM(M105:M107)</f>
        <v>1359.4700000000007</v>
      </c>
    </row>
    <row r="109" spans="1:14" s="70" customFormat="1" ht="12.75" customHeight="1" x14ac:dyDescent="0.2">
      <c r="A109" s="24"/>
      <c r="B109" s="1"/>
      <c r="C109" s="14"/>
      <c r="D109" s="56"/>
      <c r="E109" s="13"/>
      <c r="F109" s="2"/>
      <c r="G109" s="30"/>
    </row>
    <row r="110" spans="1:14" s="70" customFormat="1" ht="12.75" customHeight="1" x14ac:dyDescent="0.2">
      <c r="A110" s="215" t="s">
        <v>80</v>
      </c>
      <c r="B110" s="216"/>
      <c r="C110" s="216"/>
      <c r="D110" s="217"/>
      <c r="E110" s="69"/>
      <c r="G110" s="30"/>
    </row>
    <row r="111" spans="1:14" s="70" customFormat="1" ht="12.75" customHeight="1" x14ac:dyDescent="0.2">
      <c r="A111" s="71" t="s">
        <v>81</v>
      </c>
      <c r="B111" s="71"/>
      <c r="C111" s="72" t="s">
        <v>82</v>
      </c>
      <c r="D111" s="73" t="s">
        <v>83</v>
      </c>
      <c r="E111" s="69"/>
      <c r="G111" s="30"/>
    </row>
    <row r="112" spans="1:14" s="70" customFormat="1" ht="12.75" customHeight="1" x14ac:dyDescent="0.2">
      <c r="A112" s="87">
        <v>45170</v>
      </c>
      <c r="B112" s="120" t="s">
        <v>1052</v>
      </c>
      <c r="C112" s="75" t="s">
        <v>270</v>
      </c>
      <c r="D112" s="88">
        <v>117174</v>
      </c>
      <c r="E112" s="2"/>
      <c r="F112" s="2"/>
      <c r="G112" s="30"/>
      <c r="H112" s="2"/>
      <c r="I112" s="2"/>
      <c r="J112" s="2"/>
      <c r="K112" s="2"/>
      <c r="L112" s="41"/>
      <c r="M112" s="42"/>
      <c r="N112" s="2"/>
    </row>
    <row r="113" spans="1:14" s="70" customFormat="1" ht="12.75" customHeight="1" x14ac:dyDescent="0.2">
      <c r="A113" s="87">
        <v>45171</v>
      </c>
      <c r="B113" s="120" t="s">
        <v>1052</v>
      </c>
      <c r="C113" s="75" t="s">
        <v>767</v>
      </c>
      <c r="D113" s="88">
        <v>278761</v>
      </c>
      <c r="E113" s="2"/>
      <c r="F113" s="2"/>
      <c r="G113" s="30"/>
      <c r="H113" s="2"/>
      <c r="I113" s="2"/>
      <c r="J113" s="1"/>
      <c r="K113" s="1"/>
      <c r="L113" s="1"/>
      <c r="M113" s="1"/>
      <c r="N113" s="2"/>
    </row>
    <row r="114" spans="1:14" s="70" customFormat="1" ht="12.75" customHeight="1" x14ac:dyDescent="0.2">
      <c r="A114" s="87">
        <v>45171</v>
      </c>
      <c r="B114" s="120" t="s">
        <v>1052</v>
      </c>
      <c r="C114" s="75" t="s">
        <v>201</v>
      </c>
      <c r="D114" s="88">
        <v>3500391.21</v>
      </c>
      <c r="E114" s="2"/>
      <c r="F114" s="2"/>
      <c r="G114" s="30"/>
      <c r="H114" s="2"/>
      <c r="I114" s="2"/>
      <c r="J114" s="2"/>
      <c r="K114" s="2"/>
      <c r="L114" s="13"/>
      <c r="M114" s="69" t="s">
        <v>396</v>
      </c>
      <c r="N114" s="2"/>
    </row>
    <row r="115" spans="1:14" s="2" customFormat="1" ht="12.75" customHeight="1" x14ac:dyDescent="0.2">
      <c r="A115" s="87">
        <v>45173</v>
      </c>
      <c r="B115" s="120" t="s">
        <v>1052</v>
      </c>
      <c r="C115" s="75" t="s">
        <v>1478</v>
      </c>
      <c r="D115" s="88">
        <v>22763</v>
      </c>
      <c r="G115" s="30"/>
      <c r="N115" s="1"/>
    </row>
    <row r="116" spans="1:14" s="2" customFormat="1" ht="12.75" customHeight="1" x14ac:dyDescent="0.2">
      <c r="A116" s="87">
        <v>45173</v>
      </c>
      <c r="B116" s="120" t="s">
        <v>1052</v>
      </c>
      <c r="C116" s="75" t="s">
        <v>1478</v>
      </c>
      <c r="D116" s="88">
        <v>1786258</v>
      </c>
      <c r="G116" s="1"/>
      <c r="M116" s="2" t="s">
        <v>396</v>
      </c>
      <c r="N116" s="1"/>
    </row>
    <row r="117" spans="1:14" s="2" customFormat="1" ht="12.75" customHeight="1" x14ac:dyDescent="0.2">
      <c r="A117" s="87">
        <v>45173</v>
      </c>
      <c r="B117" s="120" t="s">
        <v>1052</v>
      </c>
      <c r="C117" s="75" t="s">
        <v>1478</v>
      </c>
      <c r="D117" s="88">
        <v>1329469</v>
      </c>
      <c r="I117" s="1"/>
      <c r="J117" s="1"/>
      <c r="K117" s="1"/>
    </row>
    <row r="118" spans="1:14" s="2" customFormat="1" ht="12.75" customHeight="1" x14ac:dyDescent="0.2">
      <c r="A118" s="87">
        <v>45175</v>
      </c>
      <c r="B118" s="120" t="s">
        <v>1052</v>
      </c>
      <c r="C118" s="75" t="s">
        <v>784</v>
      </c>
      <c r="D118" s="88">
        <v>673560</v>
      </c>
      <c r="G118" s="1"/>
    </row>
    <row r="119" spans="1:14" s="2" customFormat="1" x14ac:dyDescent="0.2">
      <c r="A119" s="87">
        <v>45175</v>
      </c>
      <c r="B119" s="120" t="s">
        <v>1052</v>
      </c>
      <c r="C119" s="75" t="s">
        <v>784</v>
      </c>
      <c r="D119" s="88">
        <v>700391</v>
      </c>
      <c r="G119" s="1"/>
      <c r="N119" s="2" t="s">
        <v>535</v>
      </c>
    </row>
    <row r="120" spans="1:14" x14ac:dyDescent="0.2">
      <c r="A120" s="87">
        <v>45175</v>
      </c>
      <c r="B120" s="120" t="s">
        <v>1052</v>
      </c>
      <c r="C120" s="75" t="s">
        <v>84</v>
      </c>
      <c r="D120" s="88">
        <v>1000000</v>
      </c>
      <c r="I120" s="2"/>
      <c r="J120" s="2"/>
      <c r="K120" s="2"/>
      <c r="L120" s="2"/>
      <c r="M120" s="2"/>
      <c r="N120" s="2"/>
    </row>
    <row r="121" spans="1:14" x14ac:dyDescent="0.2">
      <c r="A121" s="87">
        <v>45176</v>
      </c>
      <c r="B121" s="120" t="s">
        <v>1052</v>
      </c>
      <c r="C121" s="75" t="s">
        <v>85</v>
      </c>
      <c r="D121" s="88">
        <v>565814</v>
      </c>
      <c r="I121" s="2"/>
      <c r="J121" s="2"/>
      <c r="K121" s="2"/>
      <c r="L121" s="2"/>
      <c r="M121" s="2"/>
      <c r="N121" s="2"/>
    </row>
    <row r="122" spans="1:14" s="2" customFormat="1" x14ac:dyDescent="0.2">
      <c r="A122" s="87">
        <v>45176</v>
      </c>
      <c r="B122" s="120" t="s">
        <v>1052</v>
      </c>
      <c r="C122" s="75" t="s">
        <v>271</v>
      </c>
      <c r="D122" s="88">
        <v>1691421</v>
      </c>
      <c r="G122" s="1"/>
    </row>
    <row r="123" spans="1:14" s="2" customFormat="1" x14ac:dyDescent="0.2">
      <c r="A123" s="87">
        <v>45177</v>
      </c>
      <c r="B123" s="120" t="s">
        <v>1052</v>
      </c>
      <c r="C123" s="75" t="s">
        <v>85</v>
      </c>
      <c r="D123" s="88">
        <v>432581</v>
      </c>
    </row>
    <row r="124" spans="1:14" s="2" customFormat="1" x14ac:dyDescent="0.2">
      <c r="A124" s="87">
        <v>45177</v>
      </c>
      <c r="B124" s="120" t="s">
        <v>1052</v>
      </c>
      <c r="C124" s="75" t="s">
        <v>1521</v>
      </c>
      <c r="D124" s="88">
        <v>1198155</v>
      </c>
    </row>
    <row r="125" spans="1:14" s="2" customFormat="1" x14ac:dyDescent="0.2">
      <c r="A125" s="87">
        <v>45180</v>
      </c>
      <c r="B125" s="120" t="s">
        <v>1052</v>
      </c>
      <c r="C125" s="75" t="s">
        <v>784</v>
      </c>
      <c r="D125" s="88">
        <v>279127</v>
      </c>
    </row>
    <row r="126" spans="1:14" s="2" customFormat="1" x14ac:dyDescent="0.2">
      <c r="A126" s="87">
        <v>45180</v>
      </c>
      <c r="B126" s="120" t="s">
        <v>1052</v>
      </c>
      <c r="C126" s="75" t="s">
        <v>270</v>
      </c>
      <c r="D126" s="88">
        <v>30842</v>
      </c>
    </row>
    <row r="127" spans="1:14" s="2" customFormat="1" x14ac:dyDescent="0.2">
      <c r="A127" s="87">
        <v>45180</v>
      </c>
      <c r="B127" s="120" t="s">
        <v>1052</v>
      </c>
      <c r="C127" s="75" t="s">
        <v>271</v>
      </c>
      <c r="D127" s="88">
        <v>701813</v>
      </c>
      <c r="G127" s="1"/>
    </row>
    <row r="128" spans="1:14" s="2" customFormat="1" x14ac:dyDescent="0.2">
      <c r="A128" s="87">
        <v>45180</v>
      </c>
      <c r="B128" s="120" t="s">
        <v>1052</v>
      </c>
      <c r="C128" s="75" t="s">
        <v>271</v>
      </c>
      <c r="D128" s="88">
        <v>189083</v>
      </c>
      <c r="G128" s="1"/>
    </row>
    <row r="129" spans="1:7" s="2" customFormat="1" x14ac:dyDescent="0.2">
      <c r="A129" s="87">
        <v>45180</v>
      </c>
      <c r="B129" s="120" t="s">
        <v>1052</v>
      </c>
      <c r="C129" s="75" t="s">
        <v>271</v>
      </c>
      <c r="D129" s="88">
        <v>2019</v>
      </c>
      <c r="G129" s="1"/>
    </row>
    <row r="130" spans="1:7" s="2" customFormat="1" x14ac:dyDescent="0.2">
      <c r="A130" s="87">
        <v>45182</v>
      </c>
      <c r="B130" s="120" t="s">
        <v>1052</v>
      </c>
      <c r="C130" s="75" t="s">
        <v>467</v>
      </c>
      <c r="D130" s="88">
        <v>3314639</v>
      </c>
      <c r="G130" s="1"/>
    </row>
    <row r="131" spans="1:7" s="2" customFormat="1" x14ac:dyDescent="0.2">
      <c r="A131" s="87">
        <v>45183</v>
      </c>
      <c r="B131" s="120" t="s">
        <v>1052</v>
      </c>
      <c r="C131" s="75" t="s">
        <v>784</v>
      </c>
      <c r="D131" s="88">
        <v>665398</v>
      </c>
      <c r="G131" s="1"/>
    </row>
    <row r="132" spans="1:7" s="2" customFormat="1" x14ac:dyDescent="0.2">
      <c r="A132" s="87">
        <v>45184</v>
      </c>
      <c r="B132" s="120" t="s">
        <v>1052</v>
      </c>
      <c r="C132" s="75" t="s">
        <v>784</v>
      </c>
      <c r="D132" s="88">
        <v>669733</v>
      </c>
      <c r="G132" s="1"/>
    </row>
    <row r="133" spans="1:7" s="2" customFormat="1" x14ac:dyDescent="0.2">
      <c r="A133" s="87">
        <v>45184</v>
      </c>
      <c r="B133" s="120" t="s">
        <v>1052</v>
      </c>
      <c r="C133" s="75" t="s">
        <v>270</v>
      </c>
      <c r="D133" s="88">
        <v>6923</v>
      </c>
      <c r="G133" s="1"/>
    </row>
    <row r="134" spans="1:7" s="2" customFormat="1" x14ac:dyDescent="0.2">
      <c r="A134" s="87">
        <v>45184</v>
      </c>
      <c r="B134" s="120" t="s">
        <v>1052</v>
      </c>
      <c r="C134" s="75" t="s">
        <v>84</v>
      </c>
      <c r="D134" s="88">
        <v>1092413</v>
      </c>
      <c r="G134" s="1"/>
    </row>
    <row r="135" spans="1:7" s="2" customFormat="1" x14ac:dyDescent="0.2">
      <c r="A135" s="87">
        <v>45184</v>
      </c>
      <c r="B135" s="120" t="s">
        <v>1052</v>
      </c>
      <c r="C135" s="75" t="s">
        <v>270</v>
      </c>
      <c r="D135" s="88">
        <v>273422</v>
      </c>
      <c r="G135" s="1"/>
    </row>
    <row r="136" spans="1:7" s="2" customFormat="1" x14ac:dyDescent="0.2">
      <c r="A136" s="87">
        <v>45185</v>
      </c>
      <c r="B136" s="120" t="s">
        <v>1052</v>
      </c>
      <c r="C136" s="75" t="s">
        <v>85</v>
      </c>
      <c r="D136" s="88">
        <v>389967</v>
      </c>
      <c r="G136" s="1"/>
    </row>
    <row r="137" spans="1:7" s="2" customFormat="1" x14ac:dyDescent="0.2">
      <c r="A137" s="87">
        <v>45185</v>
      </c>
      <c r="B137" s="120" t="s">
        <v>1052</v>
      </c>
      <c r="C137" s="75" t="s">
        <v>87</v>
      </c>
      <c r="D137" s="88">
        <v>887666</v>
      </c>
      <c r="G137" s="1"/>
    </row>
    <row r="138" spans="1:7" s="2" customFormat="1" x14ac:dyDescent="0.2">
      <c r="A138" s="87">
        <v>45187</v>
      </c>
      <c r="B138" s="120" t="s">
        <v>1052</v>
      </c>
      <c r="C138" s="75" t="s">
        <v>784</v>
      </c>
      <c r="D138" s="88">
        <v>702770</v>
      </c>
      <c r="G138" s="1"/>
    </row>
    <row r="139" spans="1:7" s="2" customFormat="1" x14ac:dyDescent="0.2">
      <c r="A139" s="87">
        <v>45187</v>
      </c>
      <c r="B139" s="120" t="s">
        <v>1052</v>
      </c>
      <c r="C139" s="75" t="s">
        <v>1552</v>
      </c>
      <c r="D139" s="88">
        <v>986729.07</v>
      </c>
      <c r="G139" s="1"/>
    </row>
    <row r="140" spans="1:7" s="2" customFormat="1" x14ac:dyDescent="0.2">
      <c r="A140" s="87">
        <v>45189</v>
      </c>
      <c r="B140" s="120" t="s">
        <v>1052</v>
      </c>
      <c r="C140" s="75" t="s">
        <v>767</v>
      </c>
      <c r="D140" s="88">
        <v>140000</v>
      </c>
      <c r="G140" s="1"/>
    </row>
    <row r="141" spans="1:7" s="2" customFormat="1" x14ac:dyDescent="0.2">
      <c r="A141" s="87">
        <v>45189</v>
      </c>
      <c r="B141" s="120" t="s">
        <v>1052</v>
      </c>
      <c r="C141" s="75" t="s">
        <v>271</v>
      </c>
      <c r="D141" s="88">
        <v>17256</v>
      </c>
      <c r="G141" s="1"/>
    </row>
    <row r="142" spans="1:7" s="2" customFormat="1" x14ac:dyDescent="0.2">
      <c r="A142" s="87">
        <v>45190</v>
      </c>
      <c r="B142" s="120" t="s">
        <v>1052</v>
      </c>
      <c r="C142" s="75" t="s">
        <v>1573</v>
      </c>
      <c r="D142" s="88">
        <v>6659450</v>
      </c>
      <c r="G142" s="1"/>
    </row>
    <row r="143" spans="1:7" s="2" customFormat="1" x14ac:dyDescent="0.2">
      <c r="A143" s="87">
        <v>45190</v>
      </c>
      <c r="B143" s="120" t="s">
        <v>1052</v>
      </c>
      <c r="C143" s="75" t="s">
        <v>1478</v>
      </c>
      <c r="D143" s="88">
        <v>307522</v>
      </c>
      <c r="G143" s="1"/>
    </row>
    <row r="144" spans="1:7" s="2" customFormat="1" x14ac:dyDescent="0.2">
      <c r="A144" s="87">
        <v>45190</v>
      </c>
      <c r="B144" s="120" t="s">
        <v>1052</v>
      </c>
      <c r="C144" s="75" t="s">
        <v>1478</v>
      </c>
      <c r="D144" s="88">
        <v>3527095</v>
      </c>
      <c r="G144" s="1"/>
    </row>
    <row r="145" spans="1:13" s="2" customFormat="1" x14ac:dyDescent="0.2">
      <c r="A145" s="87">
        <v>45191</v>
      </c>
      <c r="B145" s="120" t="s">
        <v>1052</v>
      </c>
      <c r="C145" s="75" t="s">
        <v>784</v>
      </c>
      <c r="D145" s="88">
        <v>68477</v>
      </c>
      <c r="G145" s="1"/>
    </row>
    <row r="146" spans="1:13" s="2" customFormat="1" x14ac:dyDescent="0.2">
      <c r="A146" s="87">
        <v>45191</v>
      </c>
      <c r="B146" s="120" t="s">
        <v>1052</v>
      </c>
      <c r="C146" s="75" t="s">
        <v>84</v>
      </c>
      <c r="D146" s="88">
        <v>237682</v>
      </c>
      <c r="G146" s="1"/>
    </row>
    <row r="147" spans="1:13" s="2" customFormat="1" x14ac:dyDescent="0.2">
      <c r="A147" s="87">
        <v>45194</v>
      </c>
      <c r="B147" s="120" t="s">
        <v>1052</v>
      </c>
      <c r="C147" s="75" t="s">
        <v>784</v>
      </c>
      <c r="D147" s="88">
        <v>670873</v>
      </c>
      <c r="G147" s="1"/>
    </row>
    <row r="148" spans="1:13" s="2" customFormat="1" x14ac:dyDescent="0.2">
      <c r="A148" s="87">
        <v>45196</v>
      </c>
      <c r="B148" s="120" t="s">
        <v>1052</v>
      </c>
      <c r="C148" s="75" t="s">
        <v>784</v>
      </c>
      <c r="D148" s="88">
        <v>342738</v>
      </c>
      <c r="G148" s="1"/>
    </row>
    <row r="149" spans="1:13" s="2" customFormat="1" x14ac:dyDescent="0.2">
      <c r="A149" s="87">
        <v>45196</v>
      </c>
      <c r="B149" s="120" t="s">
        <v>1052</v>
      </c>
      <c r="C149" s="75" t="s">
        <v>467</v>
      </c>
      <c r="D149" s="88">
        <v>2141833</v>
      </c>
      <c r="G149" s="1"/>
    </row>
    <row r="150" spans="1:13" s="2" customFormat="1" x14ac:dyDescent="0.2">
      <c r="A150" s="87"/>
      <c r="B150" s="74"/>
      <c r="C150" s="75"/>
      <c r="D150" s="51">
        <f>SUM(D112:D149)</f>
        <v>37602208.280000001</v>
      </c>
      <c r="F150" s="2" t="s">
        <v>396</v>
      </c>
      <c r="G150" s="1"/>
    </row>
    <row r="151" spans="1:13" s="2" customFormat="1" x14ac:dyDescent="0.2">
      <c r="A151" s="24"/>
      <c r="B151" s="1"/>
      <c r="C151" s="14"/>
      <c r="D151" s="56"/>
      <c r="E151" s="13"/>
      <c r="G151" s="1"/>
    </row>
    <row r="152" spans="1:13" s="2" customFormat="1" x14ac:dyDescent="0.2">
      <c r="A152" s="24"/>
      <c r="B152" s="1"/>
      <c r="C152" s="218" t="s">
        <v>77</v>
      </c>
      <c r="D152" s="219"/>
      <c r="E152" s="219"/>
      <c r="F152" s="220"/>
      <c r="H152" s="2" t="s">
        <v>396</v>
      </c>
    </row>
    <row r="153" spans="1:13" s="2" customFormat="1" x14ac:dyDescent="0.2">
      <c r="A153" s="24"/>
      <c r="B153" s="1"/>
      <c r="C153" s="50"/>
      <c r="D153" s="57" t="s">
        <v>78</v>
      </c>
      <c r="E153" s="58" t="s">
        <v>79</v>
      </c>
      <c r="F153" s="57" t="s">
        <v>72</v>
      </c>
      <c r="H153" s="2" t="s">
        <v>396</v>
      </c>
    </row>
    <row r="154" spans="1:13" s="2" customFormat="1" x14ac:dyDescent="0.2">
      <c r="A154" s="24"/>
      <c r="B154" s="1"/>
      <c r="C154" s="59" t="str">
        <f>"01-09-2023 to "&amp;TEXT(A5-2,"dd-mm-yyyy")</f>
        <v>01-09-2023 to 26-09-2023</v>
      </c>
      <c r="D154" s="60">
        <v>2144.27</v>
      </c>
      <c r="E154" s="60">
        <v>275.43</v>
      </c>
      <c r="F154" s="61">
        <f>SUM(D154:E154)</f>
        <v>2419.6999999999998</v>
      </c>
    </row>
    <row r="155" spans="1:13" s="2" customFormat="1" x14ac:dyDescent="0.2">
      <c r="A155" s="24"/>
      <c r="B155" s="1"/>
      <c r="C155" s="62" t="str">
        <f>TEXT(A5-1,"dd-mm-yyyy")</f>
        <v>27-09-2023</v>
      </c>
      <c r="D155" s="60">
        <v>173.94</v>
      </c>
      <c r="E155" s="60">
        <v>3.96</v>
      </c>
      <c r="F155" s="61">
        <f>SUM(D155:E155)</f>
        <v>177.9</v>
      </c>
      <c r="G155" s="1"/>
      <c r="H155" s="53"/>
    </row>
    <row r="156" spans="1:13" s="2" customFormat="1" ht="13.5" thickBot="1" x14ac:dyDescent="0.25">
      <c r="A156" s="24"/>
      <c r="B156" s="1"/>
      <c r="C156" s="63" t="str">
        <f>"01-09-2023 to "&amp;TEXT(A5-1,"dd-mm-yyyy")</f>
        <v>01-09-2023 to 27-09-2023</v>
      </c>
      <c r="D156" s="64">
        <f>SUM(D154:D155)</f>
        <v>2318.21</v>
      </c>
      <c r="E156" s="64">
        <f>SUM(E154:E155)</f>
        <v>279.39</v>
      </c>
      <c r="F156" s="64">
        <f>SUM(F154:F155)</f>
        <v>2597.6</v>
      </c>
      <c r="G156" s="1"/>
      <c r="H156" s="53"/>
    </row>
    <row r="157" spans="1:13" s="2" customFormat="1" ht="13.5" thickTop="1" x14ac:dyDescent="0.2">
      <c r="A157" s="24"/>
      <c r="B157" s="1"/>
      <c r="C157" s="62"/>
      <c r="D157" s="65"/>
      <c r="E157" s="66"/>
      <c r="F157" s="67"/>
      <c r="L157" s="1"/>
      <c r="M157" s="1"/>
    </row>
    <row r="158" spans="1:13" s="2" customFormat="1" x14ac:dyDescent="0.2">
      <c r="A158" s="24"/>
      <c r="B158" s="1"/>
      <c r="C158" s="62" t="str">
        <f>"01-04-2023 to " &amp;C155</f>
        <v>01-04-2023 to 27-09-2023</v>
      </c>
      <c r="D158" s="68">
        <f>+D156+24252.69</f>
        <v>26570.899999999998</v>
      </c>
      <c r="E158" s="68">
        <f>+E156+1685.25</f>
        <v>1964.6399999999999</v>
      </c>
      <c r="F158" s="68">
        <f>+F156+25938.15</f>
        <v>28535.75</v>
      </c>
      <c r="G158" s="1"/>
      <c r="L158" s="1"/>
      <c r="M158" s="1"/>
    </row>
    <row r="159" spans="1:13" s="2" customFormat="1" x14ac:dyDescent="0.2">
      <c r="A159" s="24"/>
      <c r="B159" s="1"/>
      <c r="C159" s="52"/>
      <c r="D159" s="85"/>
      <c r="E159" s="53"/>
      <c r="F159" s="53"/>
      <c r="G159" s="1"/>
      <c r="L159" s="1"/>
      <c r="M159" s="1"/>
    </row>
    <row r="160" spans="1:13" s="2" customFormat="1" x14ac:dyDescent="0.2">
      <c r="A160" s="24"/>
      <c r="B160" s="1"/>
      <c r="C160" s="52"/>
      <c r="D160" s="85"/>
      <c r="E160" s="53"/>
      <c r="F160" s="53"/>
      <c r="G160" s="1"/>
      <c r="L160" s="1"/>
      <c r="M160" s="1"/>
    </row>
    <row r="161" spans="1:13" s="2" customFormat="1" x14ac:dyDescent="0.2">
      <c r="A161" s="24"/>
      <c r="B161" s="1"/>
      <c r="C161" s="52"/>
      <c r="D161" s="85"/>
      <c r="E161" s="53"/>
      <c r="F161" s="53"/>
      <c r="G161" s="1"/>
      <c r="L161" s="1"/>
      <c r="M161" s="1"/>
    </row>
    <row r="162" spans="1:13" s="2" customFormat="1" x14ac:dyDescent="0.2">
      <c r="A162" s="24"/>
      <c r="B162" s="1"/>
      <c r="C162" s="52"/>
      <c r="D162" s="85"/>
      <c r="E162" s="53"/>
      <c r="F162" s="53"/>
      <c r="G162" s="1"/>
      <c r="L162" s="1"/>
      <c r="M162" s="1"/>
    </row>
    <row r="163" spans="1:13" s="2" customFormat="1" x14ac:dyDescent="0.2">
      <c r="A163" s="24"/>
      <c r="B163" s="1"/>
      <c r="C163" s="14"/>
      <c r="D163" s="25"/>
      <c r="G163" s="1"/>
      <c r="L163" s="1"/>
      <c r="M163" s="1"/>
    </row>
    <row r="164" spans="1:13" s="2" customFormat="1" x14ac:dyDescent="0.2">
      <c r="A164" s="24"/>
      <c r="B164" s="1"/>
      <c r="C164" s="14"/>
      <c r="D164" s="25"/>
      <c r="G164" s="1"/>
      <c r="L164" s="1"/>
      <c r="M164" s="1"/>
    </row>
    <row r="165" spans="1:13" s="2" customFormat="1" x14ac:dyDescent="0.2">
      <c r="A165" s="24"/>
      <c r="B165" s="1"/>
      <c r="C165" s="14"/>
      <c r="D165" s="25"/>
      <c r="G165" s="1"/>
      <c r="L165" s="1"/>
      <c r="M165" s="1"/>
    </row>
    <row r="166" spans="1:13" s="2" customFormat="1" x14ac:dyDescent="0.2">
      <c r="A166" s="24"/>
      <c r="B166" s="1"/>
      <c r="C166" s="14"/>
      <c r="D166" s="25"/>
      <c r="G166" s="1"/>
      <c r="L166" s="1"/>
      <c r="M166" s="1"/>
    </row>
    <row r="167" spans="1:13" s="2" customFormat="1" x14ac:dyDescent="0.2">
      <c r="A167" s="24"/>
      <c r="B167" s="1"/>
      <c r="C167" s="14"/>
      <c r="D167" s="25"/>
      <c r="G167" s="1"/>
      <c r="L167" s="1"/>
      <c r="M167" s="1"/>
    </row>
    <row r="168" spans="1:13" s="2" customFormat="1" x14ac:dyDescent="0.2">
      <c r="A168" s="24"/>
      <c r="B168" s="1"/>
      <c r="C168" s="14"/>
      <c r="D168" s="25"/>
      <c r="G168" s="1"/>
      <c r="L168" s="1"/>
      <c r="M168" s="1"/>
    </row>
    <row r="169" spans="1:13" s="2" customFormat="1" x14ac:dyDescent="0.2">
      <c r="A169" s="24"/>
      <c r="B169" s="1"/>
      <c r="C169" s="14"/>
      <c r="D169" s="25"/>
      <c r="G169" s="1"/>
      <c r="L169" s="1"/>
      <c r="M169" s="1"/>
    </row>
    <row r="170" spans="1:13" s="2" customFormat="1" x14ac:dyDescent="0.2">
      <c r="A170" s="24"/>
      <c r="B170" s="1"/>
      <c r="C170" s="14"/>
      <c r="D170" s="25"/>
      <c r="G170" s="1"/>
      <c r="L170" s="1"/>
      <c r="M170" s="1"/>
    </row>
    <row r="171" spans="1:13" s="2" customFormat="1" x14ac:dyDescent="0.2">
      <c r="A171" s="24"/>
      <c r="B171" s="1"/>
      <c r="C171" s="14"/>
      <c r="D171" s="25"/>
      <c r="G171" s="1"/>
      <c r="L171" s="1"/>
      <c r="M171" s="1"/>
    </row>
    <row r="172" spans="1:13" s="2" customFormat="1" x14ac:dyDescent="0.2">
      <c r="A172" s="24"/>
      <c r="B172" s="1"/>
      <c r="C172" s="14"/>
      <c r="D172" s="25"/>
      <c r="G172" s="1"/>
      <c r="L172" s="1"/>
      <c r="M172" s="1"/>
    </row>
    <row r="173" spans="1:13" s="2" customFormat="1" x14ac:dyDescent="0.2">
      <c r="A173" s="24"/>
      <c r="B173" s="1"/>
      <c r="C173" s="14"/>
      <c r="D173" s="25"/>
      <c r="G173" s="1"/>
      <c r="L173" s="1"/>
      <c r="M173" s="1"/>
    </row>
    <row r="174" spans="1:13" s="2" customFormat="1" x14ac:dyDescent="0.2">
      <c r="A174" s="24"/>
      <c r="B174" s="1"/>
      <c r="C174" s="14"/>
      <c r="D174" s="25"/>
      <c r="G174" s="1"/>
      <c r="L174" s="1"/>
      <c r="M174" s="1"/>
    </row>
    <row r="175" spans="1:13" s="2" customFormat="1" x14ac:dyDescent="0.2">
      <c r="A175" s="24"/>
      <c r="B175" s="1"/>
      <c r="C175" s="14"/>
      <c r="D175" s="25"/>
      <c r="G175" s="1"/>
      <c r="L175" s="1"/>
      <c r="M175" s="1"/>
    </row>
    <row r="176" spans="1:13" s="2" customFormat="1" x14ac:dyDescent="0.2">
      <c r="A176" s="24"/>
      <c r="B176" s="1"/>
      <c r="C176" s="14"/>
      <c r="D176" s="25"/>
      <c r="G176" s="1"/>
      <c r="L176" s="1"/>
      <c r="M176" s="1"/>
    </row>
    <row r="177" spans="1:14" s="2" customFormat="1" x14ac:dyDescent="0.2">
      <c r="A177" s="24"/>
      <c r="B177" s="1"/>
      <c r="C177" s="14"/>
      <c r="D177" s="25"/>
      <c r="G177" s="1"/>
      <c r="I177" s="1"/>
      <c r="J177" s="1"/>
      <c r="K177" s="1"/>
      <c r="L177" s="1"/>
      <c r="M177" s="1"/>
    </row>
    <row r="178" spans="1:14" s="2" customFormat="1" x14ac:dyDescent="0.2">
      <c r="A178" s="24"/>
      <c r="B178" s="1"/>
      <c r="C178" s="14"/>
      <c r="D178" s="25"/>
      <c r="G178" s="1"/>
    </row>
    <row r="179" spans="1:14" s="2" customFormat="1" x14ac:dyDescent="0.2">
      <c r="A179" s="24"/>
      <c r="B179" s="1"/>
      <c r="C179" s="14"/>
      <c r="D179" s="25"/>
      <c r="G179" s="1"/>
      <c r="I179" s="1"/>
      <c r="J179" s="1"/>
      <c r="K179" s="1"/>
      <c r="L179" s="1"/>
      <c r="M179" s="1"/>
    </row>
    <row r="180" spans="1:14" s="2" customFormat="1" x14ac:dyDescent="0.2">
      <c r="A180" s="24"/>
      <c r="B180" s="1"/>
      <c r="C180" s="14"/>
      <c r="D180" s="25"/>
      <c r="G180" s="54"/>
      <c r="I180" s="1"/>
      <c r="J180" s="1"/>
      <c r="K180" s="1"/>
      <c r="L180" s="1"/>
      <c r="M180" s="1"/>
    </row>
    <row r="181" spans="1:14" s="2" customFormat="1" x14ac:dyDescent="0.2">
      <c r="A181" s="24"/>
      <c r="B181" s="1"/>
      <c r="C181" s="14"/>
      <c r="D181" s="25"/>
      <c r="G181" s="54"/>
      <c r="I181" s="1"/>
      <c r="J181" s="1"/>
      <c r="K181" s="1"/>
      <c r="L181" s="1"/>
      <c r="M181" s="1"/>
    </row>
    <row r="182" spans="1:14" s="2" customFormat="1" x14ac:dyDescent="0.2">
      <c r="A182" s="24"/>
      <c r="B182" s="1"/>
      <c r="C182" s="14"/>
      <c r="D182" s="25"/>
      <c r="G182" s="54"/>
      <c r="I182" s="1"/>
      <c r="J182" s="1"/>
      <c r="K182" s="1"/>
      <c r="L182" s="1"/>
      <c r="M182" s="1"/>
    </row>
    <row r="183" spans="1:14" s="2" customFormat="1" x14ac:dyDescent="0.2">
      <c r="A183" s="24"/>
      <c r="B183" s="1"/>
      <c r="C183" s="14"/>
      <c r="D183" s="25"/>
      <c r="G183" s="54"/>
      <c r="H183" s="2" t="s">
        <v>396</v>
      </c>
      <c r="I183" s="1"/>
      <c r="J183" s="1"/>
      <c r="K183" s="1"/>
      <c r="L183" s="1"/>
      <c r="M183" s="1"/>
      <c r="N183" s="1"/>
    </row>
    <row r="184" spans="1:14" s="2" customFormat="1" x14ac:dyDescent="0.2">
      <c r="A184" s="24"/>
      <c r="B184" s="1"/>
      <c r="C184" s="14"/>
      <c r="D184" s="25"/>
      <c r="G184" s="54"/>
      <c r="H184" s="53"/>
    </row>
    <row r="185" spans="1:14" s="2" customFormat="1" x14ac:dyDescent="0.2">
      <c r="A185" s="24"/>
      <c r="B185" s="1"/>
      <c r="C185" s="14"/>
      <c r="D185" s="25"/>
      <c r="G185" s="54"/>
      <c r="H185" s="53" t="s">
        <v>396</v>
      </c>
      <c r="I185" s="1"/>
      <c r="J185" s="1"/>
      <c r="K185" s="1"/>
      <c r="L185" s="1"/>
      <c r="M185" s="1"/>
      <c r="N185" s="1"/>
    </row>
    <row r="186" spans="1:14" x14ac:dyDescent="0.2">
      <c r="G186" s="54"/>
      <c r="H186" s="53" t="s">
        <v>396</v>
      </c>
      <c r="J186" s="42"/>
    </row>
    <row r="187" spans="1:14" s="2" customFormat="1" x14ac:dyDescent="0.2">
      <c r="A187" s="24"/>
      <c r="B187" s="1"/>
      <c r="C187" s="14"/>
      <c r="D187" s="25"/>
      <c r="G187" s="54"/>
      <c r="H187" s="53"/>
      <c r="I187" s="101"/>
      <c r="J187" s="1"/>
      <c r="K187" s="1"/>
      <c r="L187" s="1"/>
      <c r="M187" s="1"/>
      <c r="N187" s="1"/>
    </row>
    <row r="188" spans="1:14" x14ac:dyDescent="0.2">
      <c r="G188" s="54"/>
      <c r="H188" s="53"/>
    </row>
    <row r="189" spans="1:14" x14ac:dyDescent="0.2">
      <c r="G189" s="54"/>
      <c r="H189" s="53"/>
    </row>
    <row r="190" spans="1:14" x14ac:dyDescent="0.2">
      <c r="G190" s="54"/>
      <c r="H190" s="53"/>
    </row>
  </sheetData>
  <sheetProtection insertRows="0"/>
  <mergeCells count="6">
    <mergeCell ref="C152:F152"/>
    <mergeCell ref="A1:G1"/>
    <mergeCell ref="A3:F3"/>
    <mergeCell ref="A9:F9"/>
    <mergeCell ref="A31:F31"/>
    <mergeCell ref="A110:D110"/>
  </mergeCells>
  <conditionalFormatting sqref="G107:G108">
    <cfRule type="cellIs" dxfId="293" priority="1" operator="lessThan">
      <formula>0</formula>
    </cfRule>
  </conditionalFormatting>
  <conditionalFormatting sqref="C33">
    <cfRule type="duplicateValues" dxfId="292" priority="2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000-000000000000}">
  <sheetPr codeName="Sheet440">
    <pageSetUpPr fitToPage="1"/>
  </sheetPr>
  <dimension ref="A1:N153"/>
  <sheetViews>
    <sheetView topLeftCell="A56" zoomScaleNormal="100" workbookViewId="0">
      <selection activeCell="B76" sqref="B76:B78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3" ht="20.25" customHeight="1" x14ac:dyDescent="0.4">
      <c r="A1" s="212" t="s">
        <v>1609</v>
      </c>
      <c r="B1" s="212"/>
      <c r="C1" s="212"/>
      <c r="D1" s="212"/>
      <c r="E1" s="212"/>
      <c r="F1" s="212"/>
      <c r="G1" s="212"/>
      <c r="H1" s="112"/>
      <c r="I1" s="112"/>
    </row>
    <row r="2" spans="1:13" ht="12.75" customHeight="1" x14ac:dyDescent="0.4">
      <c r="H2" s="112"/>
      <c r="I2" s="112"/>
    </row>
    <row r="3" spans="1:13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3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3" s="2" customFormat="1" ht="14.25" customHeight="1" x14ac:dyDescent="0.4">
      <c r="A5" s="89">
        <v>45198</v>
      </c>
      <c r="B5" s="9" t="s">
        <v>6</v>
      </c>
      <c r="C5" s="10" t="s">
        <v>7</v>
      </c>
      <c r="D5" s="11"/>
      <c r="E5" s="12">
        <v>990639.79000000097</v>
      </c>
      <c r="F5" s="12"/>
      <c r="G5" s="1"/>
      <c r="H5" s="112"/>
      <c r="I5" s="112"/>
    </row>
    <row r="6" spans="1:13" s="2" customFormat="1" ht="12.75" customHeight="1" x14ac:dyDescent="0.4">
      <c r="D6" s="15" t="s">
        <v>8</v>
      </c>
      <c r="E6" s="16">
        <f>SUM(E5:E5)</f>
        <v>990639.79000000097</v>
      </c>
      <c r="F6" s="16">
        <f>F5</f>
        <v>0</v>
      </c>
      <c r="G6" s="1"/>
      <c r="H6" s="112"/>
      <c r="I6" s="112"/>
    </row>
    <row r="7" spans="1:13" s="2" customFormat="1" ht="12.75" customHeight="1" x14ac:dyDescent="0.4">
      <c r="A7" s="17"/>
      <c r="B7" s="18"/>
      <c r="C7" s="19" t="s">
        <v>9</v>
      </c>
      <c r="D7" s="20"/>
      <c r="E7" s="21">
        <f>+E6-F6</f>
        <v>990639.79000000097</v>
      </c>
      <c r="F7" s="22"/>
      <c r="G7" s="23"/>
      <c r="H7" s="112"/>
      <c r="I7" s="112"/>
      <c r="J7" s="13"/>
    </row>
    <row r="8" spans="1:13" ht="12.75" customHeight="1" x14ac:dyDescent="0.4">
      <c r="H8" s="112"/>
      <c r="I8" s="112"/>
    </row>
    <row r="9" spans="1:13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69">
        <v>90000000</v>
      </c>
      <c r="J9" s="169" t="s">
        <v>1508</v>
      </c>
    </row>
    <row r="10" spans="1:13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69">
        <v>87545212.599999994</v>
      </c>
      <c r="J10" s="169" t="s">
        <v>1509</v>
      </c>
      <c r="K10" s="124"/>
    </row>
    <row r="11" spans="1:13" s="2" customFormat="1" ht="14.25" customHeight="1" x14ac:dyDescent="0.2">
      <c r="A11" s="89">
        <v>45198</v>
      </c>
      <c r="B11" s="9" t="s">
        <v>6</v>
      </c>
      <c r="C11" s="10" t="s">
        <v>7</v>
      </c>
      <c r="D11" s="11"/>
      <c r="F11" s="12">
        <v>89694209.580000013</v>
      </c>
      <c r="G11" s="1"/>
      <c r="H11" s="130" t="s">
        <v>396</v>
      </c>
      <c r="I11" s="169">
        <f>+I9-I10</f>
        <v>2454787.400000006</v>
      </c>
      <c r="J11" s="169" t="s">
        <v>712</v>
      </c>
      <c r="K11" s="165" t="s">
        <v>1512</v>
      </c>
    </row>
    <row r="12" spans="1:13" s="2" customFormat="1" ht="14.25" customHeight="1" x14ac:dyDescent="0.2">
      <c r="A12" s="89">
        <v>45198</v>
      </c>
      <c r="B12" s="9" t="s">
        <v>6</v>
      </c>
      <c r="C12" s="76" t="s">
        <v>1611</v>
      </c>
      <c r="D12" s="11" t="s">
        <v>13</v>
      </c>
      <c r="E12" s="2">
        <v>2187780</v>
      </c>
      <c r="F12" s="12"/>
      <c r="G12" s="1"/>
      <c r="H12" s="130"/>
      <c r="I12" s="171"/>
      <c r="J12" s="171"/>
      <c r="K12" s="165"/>
    </row>
    <row r="13" spans="1:13" s="2" customFormat="1" ht="14.25" customHeight="1" x14ac:dyDescent="0.2">
      <c r="A13" s="89">
        <v>45198</v>
      </c>
      <c r="B13" s="9" t="s">
        <v>11</v>
      </c>
      <c r="C13" s="76" t="s">
        <v>1137</v>
      </c>
      <c r="D13" s="11" t="s">
        <v>29</v>
      </c>
      <c r="E13" s="2">
        <f>28728.6-1379.62</f>
        <v>27348.98</v>
      </c>
      <c r="F13" s="12"/>
      <c r="G13" s="1"/>
      <c r="H13" s="130"/>
      <c r="I13" s="171"/>
      <c r="J13" s="171"/>
      <c r="K13" s="165"/>
    </row>
    <row r="14" spans="1:13" s="2" customFormat="1" ht="14.25" customHeight="1" x14ac:dyDescent="0.2">
      <c r="A14" s="89">
        <v>45198</v>
      </c>
      <c r="B14" s="9" t="s">
        <v>11</v>
      </c>
      <c r="C14" s="76" t="s">
        <v>220</v>
      </c>
      <c r="D14" s="11" t="s">
        <v>29</v>
      </c>
      <c r="E14" s="2">
        <v>1317556</v>
      </c>
      <c r="F14" s="31"/>
      <c r="G14" s="1"/>
      <c r="H14" s="130"/>
      <c r="I14" s="171"/>
      <c r="J14" s="171"/>
      <c r="K14" s="165"/>
    </row>
    <row r="15" spans="1:13" s="2" customFormat="1" ht="14.25" customHeight="1" x14ac:dyDescent="0.2">
      <c r="A15" s="89">
        <v>45198</v>
      </c>
      <c r="B15" s="9" t="s">
        <v>11</v>
      </c>
      <c r="C15" s="76" t="s">
        <v>1137</v>
      </c>
      <c r="D15" s="11" t="s">
        <v>29</v>
      </c>
      <c r="F15" s="31">
        <v>45</v>
      </c>
      <c r="G15" s="1"/>
      <c r="H15" s="130"/>
      <c r="I15" s="171"/>
      <c r="J15" s="171"/>
      <c r="K15" s="165"/>
    </row>
    <row r="16" spans="1:13" s="2" customFormat="1" ht="14.25" customHeight="1" x14ac:dyDescent="0.2">
      <c r="D16" s="11" t="s">
        <v>8</v>
      </c>
      <c r="E16" s="16">
        <f>SUM(E11:E15)</f>
        <v>3532684.98</v>
      </c>
      <c r="F16" s="16">
        <f>SUM(F11:F15)</f>
        <v>89694254.580000013</v>
      </c>
      <c r="G16" s="1"/>
      <c r="H16" s="143"/>
      <c r="I16" s="130"/>
      <c r="J16" s="143"/>
      <c r="K16" s="143"/>
      <c r="L16" s="143"/>
      <c r="M16" s="143"/>
    </row>
    <row r="17" spans="1:14" s="2" customFormat="1" ht="14.25" customHeight="1" x14ac:dyDescent="0.4">
      <c r="A17" s="17"/>
      <c r="B17" s="18"/>
      <c r="C17" s="96" t="s">
        <v>9</v>
      </c>
      <c r="D17" s="20"/>
      <c r="E17" s="21">
        <f>+F16-E16</f>
        <v>86161569.600000009</v>
      </c>
      <c r="G17" s="1"/>
      <c r="I17" s="112"/>
      <c r="J17" s="153" t="s">
        <v>779</v>
      </c>
    </row>
    <row r="18" spans="1:14" s="2" customFormat="1" ht="14.25" customHeight="1" x14ac:dyDescent="0.2">
      <c r="A18" s="36"/>
      <c r="B18" s="28" t="s">
        <v>66</v>
      </c>
      <c r="C18" s="43" t="s">
        <v>1458</v>
      </c>
      <c r="D18" s="43"/>
      <c r="E18" s="12">
        <v>30000000</v>
      </c>
      <c r="F18" s="22"/>
      <c r="G18" s="1"/>
      <c r="I18" s="40">
        <v>86161569.599999994</v>
      </c>
      <c r="J18" s="154">
        <f>I18-E17</f>
        <v>0</v>
      </c>
    </row>
    <row r="19" spans="1:14" s="2" customFormat="1" ht="14.25" customHeight="1" x14ac:dyDescent="0.25">
      <c r="A19" s="36"/>
      <c r="B19" s="28"/>
      <c r="C19" s="44" t="s">
        <v>1541</v>
      </c>
      <c r="D19" s="43"/>
      <c r="E19" s="7">
        <f>+E17+E18</f>
        <v>116161569.60000001</v>
      </c>
      <c r="F19" s="22"/>
      <c r="G19" s="1"/>
      <c r="H19" s="13" t="s">
        <v>1582</v>
      </c>
      <c r="I19" s="13" t="s">
        <v>1583</v>
      </c>
    </row>
    <row r="20" spans="1:14" s="2" customFormat="1" ht="14.25" customHeight="1" x14ac:dyDescent="0.25">
      <c r="A20" s="36"/>
      <c r="B20" s="28"/>
      <c r="C20" s="44" t="s">
        <v>1511</v>
      </c>
      <c r="D20" s="43"/>
      <c r="E20" s="38">
        <f>+I11</f>
        <v>2454787.400000006</v>
      </c>
      <c r="F20" s="22"/>
      <c r="G20" s="1"/>
      <c r="H20" s="2">
        <v>17890107</v>
      </c>
      <c r="I20" s="2">
        <v>11007166.390000001</v>
      </c>
      <c r="J20" s="176">
        <f>I20-H20</f>
        <v>-6882940.6099999994</v>
      </c>
    </row>
    <row r="21" spans="1:14" s="2" customFormat="1" ht="14.25" customHeight="1" x14ac:dyDescent="0.2">
      <c r="A21" s="24"/>
      <c r="B21" s="1"/>
      <c r="C21" s="14"/>
      <c r="D21" s="25"/>
      <c r="G21" s="1"/>
      <c r="I21" s="130"/>
      <c r="J21" s="130"/>
    </row>
    <row r="22" spans="1:14" s="2" customFormat="1" x14ac:dyDescent="0.2">
      <c r="A22" s="214" t="s">
        <v>10</v>
      </c>
      <c r="B22" s="214"/>
      <c r="C22" s="214"/>
      <c r="D22" s="214"/>
      <c r="E22" s="214"/>
      <c r="F22" s="214"/>
      <c r="G22" s="1"/>
      <c r="H22" s="159"/>
      <c r="I22" s="160">
        <v>225000000</v>
      </c>
      <c r="J22" s="160" t="s">
        <v>1506</v>
      </c>
      <c r="K22" s="70"/>
    </row>
    <row r="23" spans="1:14" s="2" customFormat="1" x14ac:dyDescent="0.2">
      <c r="A23" s="26" t="s">
        <v>1</v>
      </c>
      <c r="B23" s="27" t="s">
        <v>2</v>
      </c>
      <c r="C23" s="5"/>
      <c r="D23" s="6" t="s">
        <v>3</v>
      </c>
      <c r="E23" s="7" t="s">
        <v>4</v>
      </c>
      <c r="F23" s="7" t="s">
        <v>5</v>
      </c>
      <c r="G23" s="1"/>
      <c r="H23" s="159"/>
      <c r="I23" s="160">
        <v>166519239.31999999</v>
      </c>
      <c r="J23" s="160" t="s">
        <v>1507</v>
      </c>
      <c r="K23" s="70" t="s">
        <v>1512</v>
      </c>
    </row>
    <row r="24" spans="1:14" s="2" customFormat="1" x14ac:dyDescent="0.2">
      <c r="A24" s="89">
        <v>45198</v>
      </c>
      <c r="B24" s="128" t="s">
        <v>11</v>
      </c>
      <c r="C24" s="29" t="s">
        <v>7</v>
      </c>
      <c r="D24" s="25"/>
      <c r="E24" s="31"/>
      <c r="F24" s="2">
        <v>156382549.67000008</v>
      </c>
      <c r="G24" s="23"/>
      <c r="H24" s="159" t="s">
        <v>1505</v>
      </c>
      <c r="I24" s="160">
        <f>+I22-I23</f>
        <v>58480760.680000007</v>
      </c>
      <c r="J24" s="160"/>
      <c r="K24" s="70"/>
    </row>
    <row r="25" spans="1:14" s="2" customFormat="1" x14ac:dyDescent="0.2">
      <c r="A25" s="89">
        <v>45198</v>
      </c>
      <c r="B25" s="128" t="s">
        <v>6</v>
      </c>
      <c r="C25" s="10" t="s">
        <v>1610</v>
      </c>
      <c r="D25" s="11" t="s">
        <v>499</v>
      </c>
      <c r="E25" s="86">
        <v>1165023.58</v>
      </c>
      <c r="F25" s="70"/>
      <c r="G25" s="1"/>
      <c r="N25" s="1"/>
    </row>
    <row r="26" spans="1:14" s="2" customFormat="1" x14ac:dyDescent="0.2">
      <c r="A26" s="89">
        <v>45198</v>
      </c>
      <c r="B26" s="128" t="s">
        <v>6</v>
      </c>
      <c r="C26" s="10" t="s">
        <v>503</v>
      </c>
      <c r="D26" s="11" t="s">
        <v>13</v>
      </c>
      <c r="E26" s="86">
        <v>174448.7</v>
      </c>
      <c r="F26" s="70"/>
      <c r="G26" s="1"/>
      <c r="N26" s="1"/>
    </row>
    <row r="27" spans="1:14" s="2" customFormat="1" x14ac:dyDescent="0.2">
      <c r="A27" s="89">
        <v>45198</v>
      </c>
      <c r="B27" s="128" t="s">
        <v>6</v>
      </c>
      <c r="C27" s="10" t="s">
        <v>24</v>
      </c>
      <c r="D27" s="11" t="s">
        <v>13</v>
      </c>
      <c r="E27" s="86">
        <v>13217</v>
      </c>
      <c r="F27" s="70"/>
      <c r="G27" s="1"/>
      <c r="N27" s="1"/>
    </row>
    <row r="28" spans="1:14" s="2" customFormat="1" x14ac:dyDescent="0.2">
      <c r="A28" s="89">
        <v>45198</v>
      </c>
      <c r="B28" s="128" t="s">
        <v>6</v>
      </c>
      <c r="C28" s="10" t="s">
        <v>1515</v>
      </c>
      <c r="D28" s="11" t="s">
        <v>13</v>
      </c>
      <c r="E28" s="86">
        <v>1890</v>
      </c>
      <c r="F28" s="70"/>
      <c r="G28" s="1"/>
      <c r="N28" s="1"/>
    </row>
    <row r="29" spans="1:14" s="2" customFormat="1" x14ac:dyDescent="0.2">
      <c r="A29" s="89">
        <v>45198</v>
      </c>
      <c r="B29" s="128" t="s">
        <v>6</v>
      </c>
      <c r="C29" s="10" t="s">
        <v>381</v>
      </c>
      <c r="D29" s="11" t="s">
        <v>13</v>
      </c>
      <c r="E29" s="86">
        <v>5697</v>
      </c>
      <c r="F29" s="70"/>
      <c r="G29" s="1"/>
      <c r="N29" s="1"/>
    </row>
    <row r="30" spans="1:14" s="2" customFormat="1" x14ac:dyDescent="0.2">
      <c r="A30" s="89">
        <v>45198</v>
      </c>
      <c r="B30" s="128" t="s">
        <v>6</v>
      </c>
      <c r="C30" s="10" t="s">
        <v>161</v>
      </c>
      <c r="D30" s="11" t="s">
        <v>13</v>
      </c>
      <c r="E30" s="86">
        <v>500000</v>
      </c>
      <c r="F30" s="70"/>
      <c r="G30" s="1"/>
      <c r="N30" s="1"/>
    </row>
    <row r="31" spans="1:14" s="2" customFormat="1" x14ac:dyDescent="0.2">
      <c r="A31" s="89">
        <v>45198</v>
      </c>
      <c r="B31" s="128" t="s">
        <v>6</v>
      </c>
      <c r="C31" s="10" t="s">
        <v>326</v>
      </c>
      <c r="D31" s="11" t="s">
        <v>13</v>
      </c>
      <c r="E31" s="86">
        <v>1854367</v>
      </c>
      <c r="F31" s="70"/>
      <c r="G31" s="1"/>
      <c r="N31" s="1"/>
    </row>
    <row r="32" spans="1:14" s="2" customFormat="1" x14ac:dyDescent="0.2">
      <c r="A32" s="89">
        <v>45198</v>
      </c>
      <c r="B32" s="128" t="s">
        <v>6</v>
      </c>
      <c r="C32" s="10" t="s">
        <v>1612</v>
      </c>
      <c r="D32" s="11" t="s">
        <v>13</v>
      </c>
      <c r="E32" s="86">
        <v>10605</v>
      </c>
      <c r="F32" s="70"/>
      <c r="G32" s="1"/>
      <c r="N32" s="1"/>
    </row>
    <row r="33" spans="1:14" s="2" customFormat="1" x14ac:dyDescent="0.2">
      <c r="A33" s="89">
        <v>45198</v>
      </c>
      <c r="B33" s="128" t="s">
        <v>6</v>
      </c>
      <c r="C33" s="10" t="s">
        <v>614</v>
      </c>
      <c r="D33" s="11" t="s">
        <v>13</v>
      </c>
      <c r="E33" s="86">
        <v>3736651</v>
      </c>
      <c r="F33" s="70"/>
      <c r="G33" s="1"/>
      <c r="N33" s="1"/>
    </row>
    <row r="34" spans="1:14" s="2" customFormat="1" x14ac:dyDescent="0.2">
      <c r="A34" s="89">
        <v>45198</v>
      </c>
      <c r="B34" s="128" t="s">
        <v>6</v>
      </c>
      <c r="C34" s="10" t="s">
        <v>845</v>
      </c>
      <c r="D34" s="11" t="s">
        <v>13</v>
      </c>
      <c r="E34" s="86">
        <v>725492</v>
      </c>
      <c r="F34" s="70"/>
      <c r="G34" s="1"/>
      <c r="N34" s="1"/>
    </row>
    <row r="35" spans="1:14" s="2" customFormat="1" x14ac:dyDescent="0.2">
      <c r="A35" s="89">
        <v>45198</v>
      </c>
      <c r="B35" s="128" t="s">
        <v>6</v>
      </c>
      <c r="C35" s="10" t="s">
        <v>1396</v>
      </c>
      <c r="D35" s="11" t="s">
        <v>13</v>
      </c>
      <c r="E35" s="86">
        <v>396210</v>
      </c>
      <c r="F35" s="70"/>
      <c r="G35" s="1"/>
      <c r="N35" s="1"/>
    </row>
    <row r="36" spans="1:14" s="2" customFormat="1" x14ac:dyDescent="0.2">
      <c r="A36" s="89">
        <v>45198</v>
      </c>
      <c r="B36" s="128" t="s">
        <v>6</v>
      </c>
      <c r="C36" s="10" t="s">
        <v>1613</v>
      </c>
      <c r="D36" s="11" t="s">
        <v>13</v>
      </c>
      <c r="E36" s="86">
        <v>98280</v>
      </c>
      <c r="F36" s="70"/>
      <c r="G36" s="1"/>
      <c r="N36" s="1"/>
    </row>
    <row r="37" spans="1:14" s="2" customFormat="1" x14ac:dyDescent="0.2">
      <c r="A37" s="89">
        <v>45198</v>
      </c>
      <c r="B37" s="128" t="s">
        <v>6</v>
      </c>
      <c r="C37" s="10" t="s">
        <v>1229</v>
      </c>
      <c r="D37" s="11" t="s">
        <v>13</v>
      </c>
      <c r="E37" s="86">
        <v>1008361</v>
      </c>
      <c r="F37" s="70"/>
      <c r="G37" s="1"/>
      <c r="N37" s="1"/>
    </row>
    <row r="38" spans="1:14" s="2" customFormat="1" x14ac:dyDescent="0.2">
      <c r="A38" s="89">
        <v>45198</v>
      </c>
      <c r="B38" s="128" t="s">
        <v>6</v>
      </c>
      <c r="C38" s="10" t="s">
        <v>149</v>
      </c>
      <c r="D38" s="11" t="s">
        <v>13</v>
      </c>
      <c r="E38" s="86">
        <v>2942</v>
      </c>
      <c r="F38" s="70"/>
      <c r="G38" s="1"/>
      <c r="N38" s="1"/>
    </row>
    <row r="39" spans="1:14" s="2" customFormat="1" x14ac:dyDescent="0.2">
      <c r="A39" s="89">
        <v>45198</v>
      </c>
      <c r="B39" s="128" t="s">
        <v>11</v>
      </c>
      <c r="C39" s="10" t="s">
        <v>64</v>
      </c>
      <c r="D39" s="11" t="s">
        <v>29</v>
      </c>
      <c r="E39" s="86"/>
      <c r="F39" s="70">
        <v>34.22</v>
      </c>
      <c r="G39" s="1"/>
      <c r="N39" s="1"/>
    </row>
    <row r="40" spans="1:14" s="2" customFormat="1" x14ac:dyDescent="0.2">
      <c r="A40" s="89">
        <v>45198</v>
      </c>
      <c r="B40" s="128" t="s">
        <v>11</v>
      </c>
      <c r="C40" s="10" t="s">
        <v>57</v>
      </c>
      <c r="D40" s="11" t="s">
        <v>29</v>
      </c>
      <c r="E40" s="86"/>
      <c r="F40" s="70">
        <v>10000000</v>
      </c>
      <c r="G40" s="1"/>
      <c r="N40" s="1"/>
    </row>
    <row r="41" spans="1:14" s="2" customFormat="1" x14ac:dyDescent="0.2">
      <c r="A41" s="89">
        <v>45198</v>
      </c>
      <c r="B41" s="128" t="s">
        <v>11</v>
      </c>
      <c r="C41" s="10" t="s">
        <v>561</v>
      </c>
      <c r="D41" s="11" t="s">
        <v>29</v>
      </c>
      <c r="E41" s="86"/>
      <c r="F41" s="70">
        <v>161137</v>
      </c>
      <c r="G41" s="1"/>
      <c r="N41" s="1"/>
    </row>
    <row r="42" spans="1:14" s="2" customFormat="1" x14ac:dyDescent="0.2">
      <c r="A42" s="89">
        <v>45198</v>
      </c>
      <c r="B42" s="128" t="s">
        <v>11</v>
      </c>
      <c r="C42" s="10" t="s">
        <v>242</v>
      </c>
      <c r="D42" s="11" t="s">
        <v>29</v>
      </c>
      <c r="E42" s="86"/>
      <c r="F42" s="70">
        <v>337055.49</v>
      </c>
      <c r="G42" s="1"/>
      <c r="N42" s="1"/>
    </row>
    <row r="43" spans="1:14" s="2" customFormat="1" x14ac:dyDescent="0.2">
      <c r="A43" s="89">
        <v>45198</v>
      </c>
      <c r="B43" s="128" t="s">
        <v>11</v>
      </c>
      <c r="C43" s="10" t="s">
        <v>211</v>
      </c>
      <c r="D43" s="11" t="s">
        <v>29</v>
      </c>
      <c r="E43" s="86"/>
      <c r="F43" s="70">
        <v>22626.61</v>
      </c>
      <c r="G43" s="1"/>
      <c r="N43" s="1"/>
    </row>
    <row r="44" spans="1:14" s="2" customFormat="1" x14ac:dyDescent="0.2">
      <c r="A44" s="89">
        <v>45198</v>
      </c>
      <c r="B44" s="128" t="s">
        <v>11</v>
      </c>
      <c r="C44" s="10" t="s">
        <v>1491</v>
      </c>
      <c r="D44" s="11" t="s">
        <v>29</v>
      </c>
      <c r="E44" s="86"/>
      <c r="F44" s="70">
        <v>240000</v>
      </c>
      <c r="G44" s="1"/>
      <c r="N44" s="1"/>
    </row>
    <row r="45" spans="1:14" s="2" customFormat="1" x14ac:dyDescent="0.2">
      <c r="A45" s="89">
        <v>45198</v>
      </c>
      <c r="B45" s="128" t="s">
        <v>11</v>
      </c>
      <c r="C45" s="10" t="s">
        <v>1614</v>
      </c>
      <c r="D45" s="11" t="s">
        <v>29</v>
      </c>
      <c r="E45" s="86"/>
      <c r="F45" s="70">
        <v>746080</v>
      </c>
      <c r="G45" s="1"/>
      <c r="N45" s="1"/>
    </row>
    <row r="46" spans="1:14" s="2" customFormat="1" x14ac:dyDescent="0.2">
      <c r="A46" s="89">
        <v>45198</v>
      </c>
      <c r="B46" s="128" t="s">
        <v>11</v>
      </c>
      <c r="C46" s="10" t="s">
        <v>1615</v>
      </c>
      <c r="D46" s="11" t="s">
        <v>29</v>
      </c>
      <c r="E46" s="86"/>
      <c r="F46" s="70">
        <v>1440000</v>
      </c>
      <c r="G46" s="1"/>
      <c r="N46" s="1"/>
    </row>
    <row r="47" spans="1:14" s="2" customFormat="1" x14ac:dyDescent="0.2">
      <c r="A47" s="32"/>
      <c r="B47" s="33"/>
      <c r="C47" s="14"/>
      <c r="D47" s="34"/>
      <c r="E47" s="16">
        <f>SUM(E24:E46)</f>
        <v>9693184.2800000012</v>
      </c>
      <c r="F47" s="16">
        <f>SUM(F24:F46)</f>
        <v>169329482.9900001</v>
      </c>
      <c r="G47" s="1"/>
      <c r="H47" s="1"/>
      <c r="I47" s="38">
        <v>159636298.71000001</v>
      </c>
      <c r="J47" s="2" t="s">
        <v>396</v>
      </c>
      <c r="K47" s="92">
        <f>E48-I47</f>
        <v>0</v>
      </c>
      <c r="N47" s="1"/>
    </row>
    <row r="48" spans="1:14" s="2" customFormat="1" x14ac:dyDescent="0.2">
      <c r="A48" s="36"/>
      <c r="B48" s="28" t="s">
        <v>11</v>
      </c>
      <c r="C48" s="19" t="s">
        <v>65</v>
      </c>
      <c r="D48" s="37"/>
      <c r="E48" s="38">
        <f>F47-E47</f>
        <v>159636298.7100001</v>
      </c>
      <c r="F48" s="22"/>
      <c r="G48" s="1"/>
      <c r="H48" s="1"/>
      <c r="I48" s="70"/>
      <c r="J48" s="70"/>
      <c r="K48" s="70"/>
      <c r="N48" s="1"/>
    </row>
    <row r="49" spans="1:14" s="2" customFormat="1" x14ac:dyDescent="0.2">
      <c r="A49" s="36"/>
      <c r="B49" s="28" t="s">
        <v>66</v>
      </c>
      <c r="C49" s="19" t="s">
        <v>67</v>
      </c>
      <c r="D49" s="37"/>
      <c r="E49" s="38">
        <v>6500000</v>
      </c>
      <c r="F49" s="22"/>
      <c r="G49" s="1"/>
      <c r="H49" s="70"/>
      <c r="I49" s="70"/>
      <c r="J49" s="70"/>
      <c r="K49" s="70"/>
      <c r="N49" s="1"/>
    </row>
    <row r="50" spans="1:14" s="2" customFormat="1" x14ac:dyDescent="0.2">
      <c r="A50" s="36"/>
      <c r="B50" s="28" t="s">
        <v>66</v>
      </c>
      <c r="C50" s="43" t="s">
        <v>1457</v>
      </c>
      <c r="D50" s="43"/>
      <c r="E50" s="12">
        <v>275000000</v>
      </c>
      <c r="F50" s="22"/>
      <c r="G50" s="1"/>
      <c r="H50" s="70"/>
      <c r="I50" s="45">
        <v>3571.63</v>
      </c>
      <c r="J50" s="46"/>
      <c r="K50" s="46"/>
      <c r="N50" s="1"/>
    </row>
    <row r="51" spans="1:14" s="2" customFormat="1" ht="15" x14ac:dyDescent="0.25">
      <c r="A51" s="36"/>
      <c r="B51" s="28"/>
      <c r="C51" s="44" t="s">
        <v>1541</v>
      </c>
      <c r="D51" s="43"/>
      <c r="E51" s="7">
        <f>+E50+E48+E49</f>
        <v>441136298.7100001</v>
      </c>
      <c r="F51" s="22"/>
      <c r="G51" s="1"/>
      <c r="H51" s="103" t="s">
        <v>69</v>
      </c>
      <c r="I51" s="45">
        <v>-213.17</v>
      </c>
      <c r="J51" s="46"/>
      <c r="K51" s="46"/>
      <c r="N51" s="1"/>
    </row>
    <row r="52" spans="1:14" s="2" customFormat="1" ht="15" x14ac:dyDescent="0.25">
      <c r="A52" s="24"/>
      <c r="B52" s="1"/>
      <c r="C52" s="44" t="s">
        <v>1510</v>
      </c>
      <c r="D52" s="25"/>
      <c r="E52" s="156">
        <f>+I24-E49+H20-I20</f>
        <v>58863701.290000007</v>
      </c>
      <c r="G52" s="1"/>
      <c r="H52" s="35" t="s">
        <v>70</v>
      </c>
      <c r="I52" s="45">
        <v>122.99</v>
      </c>
      <c r="J52" s="46">
        <f>+I53-D55</f>
        <v>0</v>
      </c>
      <c r="N52" s="1"/>
    </row>
    <row r="53" spans="1:14" s="124" customFormat="1" ht="12.75" customHeight="1" x14ac:dyDescent="0.2">
      <c r="A53" s="24"/>
      <c r="B53" s="1"/>
      <c r="C53" s="56"/>
      <c r="D53" s="56"/>
      <c r="E53" s="104"/>
      <c r="F53" s="2"/>
      <c r="G53" s="166"/>
      <c r="H53" s="70"/>
      <c r="I53" s="49">
        <f>SUM(I50:I52)</f>
        <v>3481.45</v>
      </c>
      <c r="J53" s="46"/>
      <c r="K53" s="46"/>
    </row>
    <row r="54" spans="1:14" s="124" customFormat="1" ht="12.75" customHeight="1" x14ac:dyDescent="0.2">
      <c r="A54" s="24"/>
      <c r="B54" s="1"/>
      <c r="C54" s="78" t="s">
        <v>575</v>
      </c>
      <c r="D54" s="48" t="s">
        <v>576</v>
      </c>
      <c r="E54" s="104"/>
      <c r="F54" s="2"/>
      <c r="G54" s="168"/>
      <c r="H54" s="167"/>
      <c r="I54" s="167"/>
      <c r="J54" s="168"/>
    </row>
    <row r="55" spans="1:14" s="124" customFormat="1" ht="12.75" customHeight="1" x14ac:dyDescent="0.2">
      <c r="A55" s="24"/>
      <c r="B55" s="1"/>
      <c r="C55" s="47" t="s">
        <v>570</v>
      </c>
      <c r="D55" s="111">
        <v>3481.45</v>
      </c>
      <c r="E55" s="104"/>
      <c r="F55" s="2"/>
      <c r="G55" s="168"/>
      <c r="H55" s="110" t="s">
        <v>581</v>
      </c>
      <c r="I55" s="167"/>
      <c r="J55" s="168"/>
    </row>
    <row r="56" spans="1:14" s="124" customFormat="1" ht="12.75" customHeight="1" x14ac:dyDescent="0.2">
      <c r="A56" s="24"/>
      <c r="B56" s="1"/>
      <c r="C56" s="47" t="s">
        <v>931</v>
      </c>
      <c r="D56" s="111">
        <v>307.26</v>
      </c>
      <c r="E56" s="104"/>
      <c r="F56" s="2"/>
      <c r="G56" s="168"/>
      <c r="H56" s="110" t="s">
        <v>580</v>
      </c>
      <c r="I56" s="167"/>
      <c r="J56" s="168"/>
    </row>
    <row r="57" spans="1:14" s="124" customFormat="1" ht="12.75" customHeight="1" x14ac:dyDescent="0.2">
      <c r="A57" s="24"/>
      <c r="B57" s="1"/>
      <c r="C57" s="47" t="s">
        <v>572</v>
      </c>
      <c r="D57" s="111">
        <f>+D113/100000</f>
        <v>378.20176280000004</v>
      </c>
      <c r="E57" s="104"/>
      <c r="F57" s="2"/>
      <c r="G57" s="166"/>
      <c r="H57" s="90" t="s">
        <v>587</v>
      </c>
      <c r="I57" s="167"/>
      <c r="J57" s="168"/>
    </row>
    <row r="58" spans="1:14" s="2" customFormat="1" x14ac:dyDescent="0.2">
      <c r="A58" s="24"/>
      <c r="B58" s="1"/>
      <c r="C58" s="108" t="s">
        <v>578</v>
      </c>
      <c r="D58" s="48">
        <f>SUM(D55:D57)</f>
        <v>4166.9117628000004</v>
      </c>
      <c r="E58" s="104"/>
      <c r="G58" s="30"/>
      <c r="I58" s="13"/>
      <c r="J58" s="13"/>
    </row>
    <row r="59" spans="1:14" s="70" customFormat="1" x14ac:dyDescent="0.2">
      <c r="A59" s="24"/>
      <c r="B59" s="1"/>
      <c r="C59" s="47"/>
      <c r="D59" s="107"/>
      <c r="E59" s="104"/>
      <c r="F59" s="2"/>
      <c r="G59" s="30"/>
      <c r="H59" s="2"/>
    </row>
    <row r="60" spans="1:14" s="70" customFormat="1" x14ac:dyDescent="0.2">
      <c r="A60" s="24"/>
      <c r="B60" s="1"/>
      <c r="C60" s="47" t="s">
        <v>932</v>
      </c>
      <c r="D60" s="111">
        <v>271.12</v>
      </c>
      <c r="E60" s="104"/>
      <c r="F60" s="2"/>
      <c r="G60" s="30"/>
      <c r="H60" s="110" t="s">
        <v>581</v>
      </c>
    </row>
    <row r="61" spans="1:14" s="70" customFormat="1" x14ac:dyDescent="0.2">
      <c r="A61" s="24"/>
      <c r="B61" s="1"/>
      <c r="C61" s="136" t="s">
        <v>1142</v>
      </c>
      <c r="D61" s="111">
        <v>344.21</v>
      </c>
      <c r="E61" s="104"/>
      <c r="F61" s="2"/>
      <c r="G61" s="30"/>
      <c r="H61" s="110" t="s">
        <v>581</v>
      </c>
    </row>
    <row r="62" spans="1:14" s="70" customFormat="1" x14ac:dyDescent="0.2">
      <c r="A62" s="24"/>
      <c r="B62" s="1"/>
      <c r="C62" s="78" t="s">
        <v>579</v>
      </c>
      <c r="D62" s="109">
        <f>D60+D61</f>
        <v>615.32999999999993</v>
      </c>
      <c r="E62" s="104"/>
      <c r="F62" s="2"/>
      <c r="G62" s="30"/>
    </row>
    <row r="63" spans="1:14" s="70" customFormat="1" x14ac:dyDescent="0.2">
      <c r="A63" s="24"/>
      <c r="B63" s="1"/>
      <c r="C63" s="105"/>
      <c r="D63" s="106"/>
      <c r="E63" s="104"/>
      <c r="F63" s="2"/>
      <c r="G63" s="30"/>
      <c r="I63" s="2"/>
      <c r="J63" s="114" t="s">
        <v>713</v>
      </c>
      <c r="K63" s="2"/>
      <c r="L63" s="2"/>
      <c r="M63" s="2"/>
    </row>
    <row r="64" spans="1:14" s="70" customFormat="1" x14ac:dyDescent="0.2">
      <c r="A64" s="24"/>
      <c r="B64" s="1"/>
      <c r="C64" s="78" t="s">
        <v>577</v>
      </c>
      <c r="D64" s="109">
        <f>D55+D62</f>
        <v>4096.78</v>
      </c>
      <c r="E64" s="104"/>
      <c r="F64" s="2"/>
      <c r="G64" s="30"/>
      <c r="I64" s="113"/>
      <c r="J64" s="113" t="s">
        <v>709</v>
      </c>
      <c r="K64" s="113" t="s">
        <v>710</v>
      </c>
      <c r="L64" s="113" t="s">
        <v>711</v>
      </c>
      <c r="M64" s="113" t="s">
        <v>712</v>
      </c>
    </row>
    <row r="65" spans="1:14" s="70" customFormat="1" x14ac:dyDescent="0.2">
      <c r="A65" s="24"/>
      <c r="B65" s="1"/>
      <c r="C65" s="56"/>
      <c r="D65" s="56"/>
      <c r="E65" s="104"/>
      <c r="F65" s="2"/>
      <c r="G65" s="30"/>
      <c r="I65" s="113" t="s">
        <v>706</v>
      </c>
      <c r="J65" s="115"/>
      <c r="K65" s="115">
        <v>968.99</v>
      </c>
      <c r="L65" s="115">
        <v>968.99</v>
      </c>
      <c r="M65" s="113">
        <f>+J65+L65-K65</f>
        <v>0</v>
      </c>
    </row>
    <row r="66" spans="1:14" s="70" customFormat="1" ht="38.25" x14ac:dyDescent="0.2">
      <c r="A66" s="24"/>
      <c r="B66" s="1"/>
      <c r="C66" s="79" t="str">
        <f>"Particulars ( 01-04-2021 to "&amp;TEXT(A5,"dd-mm-yyyy")&amp;" )"</f>
        <v>Particulars ( 01-04-2021 to 29-09-2023 )</v>
      </c>
      <c r="D66" s="80" t="s">
        <v>73</v>
      </c>
      <c r="E66" s="80" t="s">
        <v>74</v>
      </c>
      <c r="F66" s="81" t="s">
        <v>75</v>
      </c>
      <c r="G66" s="80" t="s">
        <v>76</v>
      </c>
      <c r="I66" s="113" t="s">
        <v>707</v>
      </c>
      <c r="J66" s="115">
        <v>183.1</v>
      </c>
      <c r="K66" s="115">
        <v>3600.48</v>
      </c>
      <c r="L66" s="115">
        <v>3959.09</v>
      </c>
      <c r="M66" s="113">
        <f>+J66+L66-K66</f>
        <v>541.71000000000049</v>
      </c>
    </row>
    <row r="67" spans="1:14" s="70" customFormat="1" x14ac:dyDescent="0.2">
      <c r="A67" s="24"/>
      <c r="B67" s="1"/>
      <c r="C67" s="50" t="s">
        <v>444</v>
      </c>
      <c r="D67" s="55">
        <f>+L65+L66+J66</f>
        <v>5111.18</v>
      </c>
      <c r="E67" s="55">
        <f>+K65+K66</f>
        <v>4569.47</v>
      </c>
      <c r="F67" s="55">
        <f>+D67-E67</f>
        <v>541.71</v>
      </c>
      <c r="G67" s="55">
        <f>1500-F67</f>
        <v>958.29</v>
      </c>
      <c r="I67" s="113" t="s">
        <v>708</v>
      </c>
      <c r="J67" s="115">
        <v>1371.02</v>
      </c>
      <c r="K67" s="115">
        <v>14340.94</v>
      </c>
      <c r="L67" s="115">
        <v>13785.57</v>
      </c>
      <c r="M67" s="113">
        <f>+J67+L67-K67</f>
        <v>815.64999999999964</v>
      </c>
    </row>
    <row r="68" spans="1:14" s="70" customFormat="1" ht="12.75" customHeight="1" x14ac:dyDescent="0.2">
      <c r="A68" s="24"/>
      <c r="B68" s="1"/>
      <c r="C68" s="50" t="s">
        <v>71</v>
      </c>
      <c r="D68" s="55">
        <f>+J67+L67</f>
        <v>15156.59</v>
      </c>
      <c r="E68" s="55">
        <f>+K67</f>
        <v>14340.94</v>
      </c>
      <c r="F68" s="55">
        <f>+D68-E68</f>
        <v>815.64999999999964</v>
      </c>
      <c r="G68" s="55">
        <f>1500+700-F68</f>
        <v>1384.3500000000004</v>
      </c>
      <c r="I68" s="2"/>
      <c r="J68" s="118">
        <f>SUM(J65:J67)</f>
        <v>1554.12</v>
      </c>
      <c r="K68" s="118">
        <f>SUM(K65:K67)</f>
        <v>18910.41</v>
      </c>
      <c r="L68" s="118">
        <f>SUM(L65:L67)</f>
        <v>18713.650000000001</v>
      </c>
      <c r="M68" s="118">
        <f>SUM(M65:M67)</f>
        <v>1357.3600000000001</v>
      </c>
    </row>
    <row r="69" spans="1:14" s="70" customFormat="1" ht="12.75" customHeight="1" x14ac:dyDescent="0.2">
      <c r="A69" s="24"/>
      <c r="B69" s="1"/>
      <c r="C69" s="14"/>
      <c r="D69" s="56"/>
      <c r="E69" s="13"/>
      <c r="F69" s="2"/>
      <c r="G69" s="30"/>
    </row>
    <row r="70" spans="1:14" s="70" customFormat="1" ht="12.75" customHeight="1" x14ac:dyDescent="0.2">
      <c r="A70" s="215" t="s">
        <v>80</v>
      </c>
      <c r="B70" s="216"/>
      <c r="C70" s="216"/>
      <c r="D70" s="217"/>
      <c r="E70" s="69"/>
      <c r="G70" s="30"/>
    </row>
    <row r="71" spans="1:14" s="70" customFormat="1" ht="12.75" customHeight="1" x14ac:dyDescent="0.2">
      <c r="A71" s="71" t="s">
        <v>81</v>
      </c>
      <c r="B71" s="71"/>
      <c r="C71" s="72" t="s">
        <v>82</v>
      </c>
      <c r="D71" s="73" t="s">
        <v>83</v>
      </c>
      <c r="E71" s="69"/>
      <c r="G71" s="30"/>
    </row>
    <row r="72" spans="1:14" s="70" customFormat="1" ht="12.75" customHeight="1" x14ac:dyDescent="0.2">
      <c r="A72" s="87">
        <v>45170</v>
      </c>
      <c r="B72" s="120" t="s">
        <v>1052</v>
      </c>
      <c r="C72" s="75" t="s">
        <v>270</v>
      </c>
      <c r="D72" s="88">
        <v>117174</v>
      </c>
      <c r="E72" s="2"/>
      <c r="F72" s="2"/>
      <c r="G72" s="30"/>
      <c r="H72" s="2"/>
      <c r="I72" s="2"/>
      <c r="J72" s="2"/>
      <c r="K72" s="2"/>
      <c r="L72" s="41"/>
      <c r="M72" s="42"/>
      <c r="N72" s="2"/>
    </row>
    <row r="73" spans="1:14" s="70" customFormat="1" ht="12.75" customHeight="1" x14ac:dyDescent="0.2">
      <c r="A73" s="87">
        <v>45171</v>
      </c>
      <c r="B73" s="120" t="s">
        <v>1052</v>
      </c>
      <c r="C73" s="75" t="s">
        <v>767</v>
      </c>
      <c r="D73" s="88">
        <v>278761</v>
      </c>
      <c r="E73" s="2"/>
      <c r="F73" s="2"/>
      <c r="G73" s="30"/>
      <c r="H73" s="2"/>
      <c r="I73" s="2"/>
      <c r="J73" s="1"/>
      <c r="K73" s="1"/>
      <c r="L73" s="1"/>
      <c r="M73" s="1"/>
      <c r="N73" s="2"/>
    </row>
    <row r="74" spans="1:14" s="70" customFormat="1" ht="12.75" customHeight="1" x14ac:dyDescent="0.2">
      <c r="A74" s="87">
        <v>45171</v>
      </c>
      <c r="B74" s="120" t="s">
        <v>1052</v>
      </c>
      <c r="C74" s="75" t="s">
        <v>201</v>
      </c>
      <c r="D74" s="88">
        <v>3500391.21</v>
      </c>
      <c r="E74" s="2"/>
      <c r="F74" s="2"/>
      <c r="G74" s="30"/>
      <c r="H74" s="2"/>
      <c r="I74" s="2"/>
      <c r="J74" s="2"/>
      <c r="K74" s="2"/>
      <c r="L74" s="13"/>
      <c r="M74" s="69" t="s">
        <v>396</v>
      </c>
      <c r="N74" s="2"/>
    </row>
    <row r="75" spans="1:14" s="2" customFormat="1" ht="12.75" customHeight="1" x14ac:dyDescent="0.2">
      <c r="A75" s="87">
        <v>45173</v>
      </c>
      <c r="B75" s="120" t="s">
        <v>1052</v>
      </c>
      <c r="C75" s="75" t="s">
        <v>1478</v>
      </c>
      <c r="D75" s="88">
        <v>22763</v>
      </c>
      <c r="G75" s="30"/>
      <c r="N75" s="1"/>
    </row>
    <row r="76" spans="1:14" s="2" customFormat="1" ht="12.75" customHeight="1" x14ac:dyDescent="0.2">
      <c r="A76" s="87">
        <v>45173</v>
      </c>
      <c r="B76" s="120" t="s">
        <v>1052</v>
      </c>
      <c r="C76" s="75" t="s">
        <v>1478</v>
      </c>
      <c r="D76" s="88">
        <v>1786258</v>
      </c>
      <c r="G76" s="1"/>
      <c r="M76" s="2" t="s">
        <v>396</v>
      </c>
      <c r="N76" s="1"/>
    </row>
    <row r="77" spans="1:14" s="2" customFormat="1" ht="12.75" customHeight="1" x14ac:dyDescent="0.2">
      <c r="A77" s="87">
        <v>45173</v>
      </c>
      <c r="B77" s="120" t="s">
        <v>1052</v>
      </c>
      <c r="C77" s="75" t="s">
        <v>1478</v>
      </c>
      <c r="D77" s="88">
        <v>1329469</v>
      </c>
      <c r="I77" s="1"/>
      <c r="J77" s="1"/>
      <c r="K77" s="1"/>
    </row>
    <row r="78" spans="1:14" s="2" customFormat="1" ht="12.75" customHeight="1" x14ac:dyDescent="0.2">
      <c r="A78" s="87">
        <v>45175</v>
      </c>
      <c r="B78" s="120" t="s">
        <v>1052</v>
      </c>
      <c r="C78" s="75" t="s">
        <v>784</v>
      </c>
      <c r="D78" s="88">
        <v>673560</v>
      </c>
      <c r="G78" s="1"/>
    </row>
    <row r="79" spans="1:14" s="2" customFormat="1" x14ac:dyDescent="0.2">
      <c r="A79" s="87">
        <v>45175</v>
      </c>
      <c r="B79" s="120" t="s">
        <v>1052</v>
      </c>
      <c r="C79" s="75" t="s">
        <v>784</v>
      </c>
      <c r="D79" s="88">
        <v>700391</v>
      </c>
      <c r="G79" s="1"/>
      <c r="N79" s="2" t="s">
        <v>535</v>
      </c>
    </row>
    <row r="80" spans="1:14" x14ac:dyDescent="0.2">
      <c r="A80" s="87">
        <v>45175</v>
      </c>
      <c r="B80" s="120" t="s">
        <v>1052</v>
      </c>
      <c r="C80" s="75" t="s">
        <v>84</v>
      </c>
      <c r="D80" s="88">
        <v>1000000</v>
      </c>
      <c r="I80" s="2"/>
      <c r="J80" s="2"/>
      <c r="K80" s="2"/>
      <c r="L80" s="2"/>
      <c r="M80" s="2"/>
      <c r="N80" s="2"/>
    </row>
    <row r="81" spans="1:14" x14ac:dyDescent="0.2">
      <c r="A81" s="87">
        <v>45176</v>
      </c>
      <c r="B81" s="120" t="s">
        <v>1052</v>
      </c>
      <c r="C81" s="75" t="s">
        <v>85</v>
      </c>
      <c r="D81" s="88">
        <v>565814</v>
      </c>
      <c r="I81" s="2"/>
      <c r="J81" s="2"/>
      <c r="K81" s="2"/>
      <c r="L81" s="2"/>
      <c r="M81" s="2"/>
      <c r="N81" s="2"/>
    </row>
    <row r="82" spans="1:14" s="2" customFormat="1" x14ac:dyDescent="0.2">
      <c r="A82" s="87">
        <v>45176</v>
      </c>
      <c r="B82" s="120" t="s">
        <v>1052</v>
      </c>
      <c r="C82" s="75" t="s">
        <v>271</v>
      </c>
      <c r="D82" s="88">
        <v>1691421</v>
      </c>
      <c r="G82" s="1"/>
    </row>
    <row r="83" spans="1:14" s="2" customFormat="1" x14ac:dyDescent="0.2">
      <c r="A83" s="87">
        <v>45177</v>
      </c>
      <c r="B83" s="120" t="s">
        <v>1052</v>
      </c>
      <c r="C83" s="75" t="s">
        <v>85</v>
      </c>
      <c r="D83" s="88">
        <v>432581</v>
      </c>
    </row>
    <row r="84" spans="1:14" s="2" customFormat="1" x14ac:dyDescent="0.2">
      <c r="A84" s="87">
        <v>45177</v>
      </c>
      <c r="B84" s="120" t="s">
        <v>1052</v>
      </c>
      <c r="C84" s="75" t="s">
        <v>1521</v>
      </c>
      <c r="D84" s="88">
        <v>1198155</v>
      </c>
    </row>
    <row r="85" spans="1:14" s="2" customFormat="1" x14ac:dyDescent="0.2">
      <c r="A85" s="87">
        <v>45180</v>
      </c>
      <c r="B85" s="120" t="s">
        <v>1052</v>
      </c>
      <c r="C85" s="75" t="s">
        <v>784</v>
      </c>
      <c r="D85" s="88">
        <v>279127</v>
      </c>
    </row>
    <row r="86" spans="1:14" s="2" customFormat="1" x14ac:dyDescent="0.2">
      <c r="A86" s="87">
        <v>45180</v>
      </c>
      <c r="B86" s="120" t="s">
        <v>1052</v>
      </c>
      <c r="C86" s="75" t="s">
        <v>270</v>
      </c>
      <c r="D86" s="88">
        <v>30842</v>
      </c>
    </row>
    <row r="87" spans="1:14" s="2" customFormat="1" x14ac:dyDescent="0.2">
      <c r="A87" s="87">
        <v>45180</v>
      </c>
      <c r="B87" s="120" t="s">
        <v>1052</v>
      </c>
      <c r="C87" s="75" t="s">
        <v>271</v>
      </c>
      <c r="D87" s="88">
        <v>701813</v>
      </c>
      <c r="G87" s="1"/>
    </row>
    <row r="88" spans="1:14" s="2" customFormat="1" x14ac:dyDescent="0.2">
      <c r="A88" s="87">
        <v>45180</v>
      </c>
      <c r="B88" s="120" t="s">
        <v>1052</v>
      </c>
      <c r="C88" s="75" t="s">
        <v>271</v>
      </c>
      <c r="D88" s="88">
        <v>189083</v>
      </c>
      <c r="G88" s="1"/>
    </row>
    <row r="89" spans="1:14" s="2" customFormat="1" x14ac:dyDescent="0.2">
      <c r="A89" s="87">
        <v>45180</v>
      </c>
      <c r="B89" s="120" t="s">
        <v>1052</v>
      </c>
      <c r="C89" s="75" t="s">
        <v>271</v>
      </c>
      <c r="D89" s="88">
        <v>2019</v>
      </c>
      <c r="G89" s="1"/>
    </row>
    <row r="90" spans="1:14" s="2" customFormat="1" x14ac:dyDescent="0.2">
      <c r="A90" s="87">
        <v>45182</v>
      </c>
      <c r="B90" s="120" t="s">
        <v>1052</v>
      </c>
      <c r="C90" s="75" t="s">
        <v>467</v>
      </c>
      <c r="D90" s="88">
        <v>3314639</v>
      </c>
      <c r="G90" s="1"/>
    </row>
    <row r="91" spans="1:14" s="2" customFormat="1" x14ac:dyDescent="0.2">
      <c r="A91" s="87">
        <v>45183</v>
      </c>
      <c r="B91" s="120" t="s">
        <v>1052</v>
      </c>
      <c r="C91" s="75" t="s">
        <v>784</v>
      </c>
      <c r="D91" s="88">
        <v>665398</v>
      </c>
      <c r="G91" s="1"/>
    </row>
    <row r="92" spans="1:14" s="2" customFormat="1" x14ac:dyDescent="0.2">
      <c r="A92" s="87">
        <v>45184</v>
      </c>
      <c r="B92" s="120" t="s">
        <v>1052</v>
      </c>
      <c r="C92" s="75" t="s">
        <v>784</v>
      </c>
      <c r="D92" s="88">
        <v>669733</v>
      </c>
      <c r="G92" s="1"/>
    </row>
    <row r="93" spans="1:14" s="2" customFormat="1" x14ac:dyDescent="0.2">
      <c r="A93" s="87">
        <v>45184</v>
      </c>
      <c r="B93" s="120" t="s">
        <v>1052</v>
      </c>
      <c r="C93" s="75" t="s">
        <v>270</v>
      </c>
      <c r="D93" s="88">
        <v>6923</v>
      </c>
      <c r="G93" s="1"/>
    </row>
    <row r="94" spans="1:14" s="2" customFormat="1" x14ac:dyDescent="0.2">
      <c r="A94" s="87">
        <v>45184</v>
      </c>
      <c r="B94" s="120" t="s">
        <v>1052</v>
      </c>
      <c r="C94" s="75" t="s">
        <v>84</v>
      </c>
      <c r="D94" s="88">
        <v>1092413</v>
      </c>
      <c r="G94" s="1"/>
    </row>
    <row r="95" spans="1:14" s="2" customFormat="1" x14ac:dyDescent="0.2">
      <c r="A95" s="87">
        <v>45184</v>
      </c>
      <c r="B95" s="120" t="s">
        <v>1052</v>
      </c>
      <c r="C95" s="75" t="s">
        <v>270</v>
      </c>
      <c r="D95" s="88">
        <v>273422</v>
      </c>
      <c r="G95" s="1"/>
    </row>
    <row r="96" spans="1:14" s="2" customFormat="1" x14ac:dyDescent="0.2">
      <c r="A96" s="87">
        <v>45185</v>
      </c>
      <c r="B96" s="120" t="s">
        <v>1052</v>
      </c>
      <c r="C96" s="75" t="s">
        <v>85</v>
      </c>
      <c r="D96" s="88">
        <v>389967</v>
      </c>
      <c r="G96" s="1"/>
    </row>
    <row r="97" spans="1:7" s="2" customFormat="1" x14ac:dyDescent="0.2">
      <c r="A97" s="87">
        <v>45185</v>
      </c>
      <c r="B97" s="120" t="s">
        <v>1052</v>
      </c>
      <c r="C97" s="75" t="s">
        <v>87</v>
      </c>
      <c r="D97" s="88">
        <v>887666</v>
      </c>
      <c r="G97" s="1"/>
    </row>
    <row r="98" spans="1:7" s="2" customFormat="1" x14ac:dyDescent="0.2">
      <c r="A98" s="87">
        <v>45187</v>
      </c>
      <c r="B98" s="120" t="s">
        <v>1052</v>
      </c>
      <c r="C98" s="75" t="s">
        <v>784</v>
      </c>
      <c r="D98" s="88">
        <v>702770</v>
      </c>
      <c r="G98" s="1"/>
    </row>
    <row r="99" spans="1:7" s="2" customFormat="1" x14ac:dyDescent="0.2">
      <c r="A99" s="87">
        <v>45187</v>
      </c>
      <c r="B99" s="120" t="s">
        <v>1052</v>
      </c>
      <c r="C99" s="75" t="s">
        <v>1552</v>
      </c>
      <c r="D99" s="88">
        <v>986729.07</v>
      </c>
      <c r="G99" s="1"/>
    </row>
    <row r="100" spans="1:7" s="2" customFormat="1" x14ac:dyDescent="0.2">
      <c r="A100" s="87">
        <v>45189</v>
      </c>
      <c r="B100" s="120" t="s">
        <v>1052</v>
      </c>
      <c r="C100" s="75" t="s">
        <v>767</v>
      </c>
      <c r="D100" s="88">
        <v>140000</v>
      </c>
      <c r="G100" s="1"/>
    </row>
    <row r="101" spans="1:7" s="2" customFormat="1" x14ac:dyDescent="0.2">
      <c r="A101" s="87">
        <v>45189</v>
      </c>
      <c r="B101" s="120" t="s">
        <v>1052</v>
      </c>
      <c r="C101" s="75" t="s">
        <v>271</v>
      </c>
      <c r="D101" s="88">
        <v>17256</v>
      </c>
      <c r="G101" s="1"/>
    </row>
    <row r="102" spans="1:7" s="2" customFormat="1" x14ac:dyDescent="0.2">
      <c r="A102" s="87">
        <v>45190</v>
      </c>
      <c r="B102" s="120" t="s">
        <v>1052</v>
      </c>
      <c r="C102" s="75" t="s">
        <v>1573</v>
      </c>
      <c r="D102" s="88">
        <v>6659450</v>
      </c>
      <c r="G102" s="1"/>
    </row>
    <row r="103" spans="1:7" s="2" customFormat="1" x14ac:dyDescent="0.2">
      <c r="A103" s="87">
        <v>45190</v>
      </c>
      <c r="B103" s="120" t="s">
        <v>1052</v>
      </c>
      <c r="C103" s="75" t="s">
        <v>1478</v>
      </c>
      <c r="D103" s="88">
        <v>307522</v>
      </c>
      <c r="G103" s="1"/>
    </row>
    <row r="104" spans="1:7" s="2" customFormat="1" x14ac:dyDescent="0.2">
      <c r="A104" s="87">
        <v>45190</v>
      </c>
      <c r="B104" s="120" t="s">
        <v>1052</v>
      </c>
      <c r="C104" s="75" t="s">
        <v>1478</v>
      </c>
      <c r="D104" s="88">
        <v>7343</v>
      </c>
      <c r="G104" s="1"/>
    </row>
    <row r="105" spans="1:7" s="2" customFormat="1" x14ac:dyDescent="0.2">
      <c r="A105" s="87">
        <v>45190</v>
      </c>
      <c r="B105" s="120" t="s">
        <v>1052</v>
      </c>
      <c r="C105" s="75" t="s">
        <v>1478</v>
      </c>
      <c r="D105" s="88">
        <v>3527095</v>
      </c>
      <c r="G105" s="1"/>
    </row>
    <row r="106" spans="1:7" s="2" customFormat="1" x14ac:dyDescent="0.2">
      <c r="A106" s="87">
        <v>45191</v>
      </c>
      <c r="B106" s="120" t="s">
        <v>1052</v>
      </c>
      <c r="C106" s="75" t="s">
        <v>784</v>
      </c>
      <c r="D106" s="88">
        <v>68477</v>
      </c>
      <c r="G106" s="1"/>
    </row>
    <row r="107" spans="1:7" s="2" customFormat="1" x14ac:dyDescent="0.2">
      <c r="A107" s="87">
        <v>45191</v>
      </c>
      <c r="B107" s="120" t="s">
        <v>1052</v>
      </c>
      <c r="C107" s="75" t="s">
        <v>84</v>
      </c>
      <c r="D107" s="88">
        <v>237682</v>
      </c>
      <c r="G107" s="1"/>
    </row>
    <row r="108" spans="1:7" s="2" customFormat="1" x14ac:dyDescent="0.2">
      <c r="A108" s="87">
        <v>45194</v>
      </c>
      <c r="B108" s="120" t="s">
        <v>1052</v>
      </c>
      <c r="C108" s="75" t="s">
        <v>784</v>
      </c>
      <c r="D108" s="88">
        <v>670873</v>
      </c>
      <c r="G108" s="1"/>
    </row>
    <row r="109" spans="1:7" s="2" customFormat="1" x14ac:dyDescent="0.2">
      <c r="A109" s="87">
        <v>45196</v>
      </c>
      <c r="B109" s="120" t="s">
        <v>1052</v>
      </c>
      <c r="C109" s="75" t="s">
        <v>784</v>
      </c>
      <c r="D109" s="88">
        <v>342738</v>
      </c>
      <c r="G109" s="1"/>
    </row>
    <row r="110" spans="1:7" s="2" customFormat="1" x14ac:dyDescent="0.2">
      <c r="A110" s="87">
        <v>45196</v>
      </c>
      <c r="B110" s="120" t="s">
        <v>1052</v>
      </c>
      <c r="C110" s="75" t="s">
        <v>467</v>
      </c>
      <c r="D110" s="88">
        <v>2141833</v>
      </c>
      <c r="G110" s="1"/>
    </row>
    <row r="111" spans="1:7" s="2" customFormat="1" x14ac:dyDescent="0.2">
      <c r="A111" s="87">
        <v>45197</v>
      </c>
      <c r="B111" s="120" t="s">
        <v>1052</v>
      </c>
      <c r="C111" s="75" t="s">
        <v>201</v>
      </c>
      <c r="D111" s="88">
        <v>20193</v>
      </c>
      <c r="G111" s="1"/>
    </row>
    <row r="112" spans="1:7" s="2" customFormat="1" x14ac:dyDescent="0.2">
      <c r="A112" s="87">
        <v>45198</v>
      </c>
      <c r="B112" s="120" t="s">
        <v>1052</v>
      </c>
      <c r="C112" s="75" t="s">
        <v>784</v>
      </c>
      <c r="D112" s="88">
        <v>190432</v>
      </c>
      <c r="G112" s="1"/>
    </row>
    <row r="113" spans="1:13" s="2" customFormat="1" x14ac:dyDescent="0.2">
      <c r="A113" s="87"/>
      <c r="B113" s="74"/>
      <c r="C113" s="75"/>
      <c r="D113" s="51">
        <f>SUM(D72:D112)</f>
        <v>37820176.280000001</v>
      </c>
      <c r="F113" s="2" t="s">
        <v>396</v>
      </c>
      <c r="G113" s="1"/>
    </row>
    <row r="114" spans="1:13" s="2" customFormat="1" x14ac:dyDescent="0.2">
      <c r="A114" s="24"/>
      <c r="B114" s="1"/>
      <c r="C114" s="14"/>
      <c r="D114" s="56"/>
      <c r="E114" s="13"/>
      <c r="G114" s="1"/>
    </row>
    <row r="115" spans="1:13" s="2" customFormat="1" x14ac:dyDescent="0.2">
      <c r="A115" s="24"/>
      <c r="B115" s="1"/>
      <c r="C115" s="218" t="s">
        <v>77</v>
      </c>
      <c r="D115" s="219"/>
      <c r="E115" s="219"/>
      <c r="F115" s="220"/>
      <c r="H115" s="2" t="s">
        <v>396</v>
      </c>
    </row>
    <row r="116" spans="1:13" s="2" customFormat="1" x14ac:dyDescent="0.2">
      <c r="A116" s="24"/>
      <c r="B116" s="1"/>
      <c r="C116" s="50"/>
      <c r="D116" s="57" t="s">
        <v>78</v>
      </c>
      <c r="E116" s="58" t="s">
        <v>79</v>
      </c>
      <c r="F116" s="57" t="s">
        <v>72</v>
      </c>
      <c r="H116" s="2" t="s">
        <v>396</v>
      </c>
    </row>
    <row r="117" spans="1:13" s="2" customFormat="1" x14ac:dyDescent="0.2">
      <c r="A117" s="24"/>
      <c r="B117" s="1"/>
      <c r="C117" s="59" t="str">
        <f>"01-09-2023 to "&amp;TEXT(A5-2,"dd-mm-yyyy")</f>
        <v>01-09-2023 to 27-09-2023</v>
      </c>
      <c r="D117" s="60">
        <v>2318.21</v>
      </c>
      <c r="E117" s="60">
        <v>279.39</v>
      </c>
      <c r="F117" s="61">
        <f>SUM(D117:E117)</f>
        <v>2597.6</v>
      </c>
    </row>
    <row r="118" spans="1:13" s="2" customFormat="1" x14ac:dyDescent="0.2">
      <c r="A118" s="24"/>
      <c r="B118" s="1"/>
      <c r="C118" s="62" t="str">
        <f>TEXT(A5-1,"dd-mm-yyyy")</f>
        <v>28-09-2023</v>
      </c>
      <c r="D118" s="60">
        <v>57.19</v>
      </c>
      <c r="E118" s="60">
        <v>22.49</v>
      </c>
      <c r="F118" s="61">
        <f>SUM(D118:E118)</f>
        <v>79.679999999999993</v>
      </c>
      <c r="G118" s="1"/>
      <c r="H118" s="53"/>
    </row>
    <row r="119" spans="1:13" s="2" customFormat="1" ht="13.5" thickBot="1" x14ac:dyDescent="0.25">
      <c r="A119" s="24"/>
      <c r="B119" s="1"/>
      <c r="C119" s="63" t="str">
        <f>"01-09-2023 to "&amp;TEXT(A5-1,"dd-mm-yyyy")</f>
        <v>01-09-2023 to 28-09-2023</v>
      </c>
      <c r="D119" s="64">
        <f>SUM(D117:D118)</f>
        <v>2375.4</v>
      </c>
      <c r="E119" s="64">
        <f>SUM(E117:E118)</f>
        <v>301.88</v>
      </c>
      <c r="F119" s="64">
        <f>SUM(F117:F118)</f>
        <v>2677.2799999999997</v>
      </c>
      <c r="G119" s="1"/>
      <c r="H119" s="53"/>
    </row>
    <row r="120" spans="1:13" s="2" customFormat="1" ht="13.5" thickTop="1" x14ac:dyDescent="0.2">
      <c r="A120" s="24"/>
      <c r="B120" s="1"/>
      <c r="C120" s="62"/>
      <c r="D120" s="65"/>
      <c r="E120" s="66"/>
      <c r="F120" s="67"/>
      <c r="L120" s="1"/>
      <c r="M120" s="1"/>
    </row>
    <row r="121" spans="1:13" s="2" customFormat="1" x14ac:dyDescent="0.2">
      <c r="A121" s="24"/>
      <c r="B121" s="1"/>
      <c r="C121" s="62" t="str">
        <f>"01-04-2023 to " &amp;C118</f>
        <v>01-04-2023 to 28-09-2023</v>
      </c>
      <c r="D121" s="68">
        <f>+D119+24252.69</f>
        <v>26628.09</v>
      </c>
      <c r="E121" s="68">
        <f>+E119+1685.25</f>
        <v>1987.13</v>
      </c>
      <c r="F121" s="68">
        <f>+F119+25938.15</f>
        <v>28615.43</v>
      </c>
      <c r="G121" s="1"/>
      <c r="L121" s="1"/>
      <c r="M121" s="1"/>
    </row>
    <row r="122" spans="1:13" s="2" customFormat="1" x14ac:dyDescent="0.2">
      <c r="A122" s="24"/>
      <c r="B122" s="1"/>
      <c r="C122" s="52"/>
      <c r="D122" s="85"/>
      <c r="E122" s="53"/>
      <c r="F122" s="53"/>
      <c r="G122" s="1"/>
      <c r="L122" s="1"/>
      <c r="M122" s="1"/>
    </row>
    <row r="123" spans="1:13" s="2" customFormat="1" x14ac:dyDescent="0.2">
      <c r="A123" s="24"/>
      <c r="B123" s="1"/>
      <c r="C123" s="52"/>
      <c r="D123" s="85"/>
      <c r="E123" s="53"/>
      <c r="F123" s="53"/>
      <c r="G123" s="1"/>
      <c r="L123" s="1"/>
      <c r="M123" s="1"/>
    </row>
    <row r="124" spans="1:13" s="2" customFormat="1" x14ac:dyDescent="0.2">
      <c r="A124" s="24"/>
      <c r="B124" s="1"/>
      <c r="C124" s="52"/>
      <c r="D124" s="85"/>
      <c r="E124" s="53"/>
      <c r="F124" s="53"/>
      <c r="G124" s="1"/>
      <c r="L124" s="1"/>
      <c r="M124" s="1"/>
    </row>
    <row r="125" spans="1:13" s="2" customFormat="1" x14ac:dyDescent="0.2">
      <c r="A125" s="24"/>
      <c r="B125" s="1"/>
      <c r="C125" s="52"/>
      <c r="D125" s="85"/>
      <c r="E125" s="53"/>
      <c r="F125" s="53"/>
      <c r="G125" s="1"/>
      <c r="L125" s="1"/>
      <c r="M125" s="1"/>
    </row>
    <row r="126" spans="1:13" s="2" customFormat="1" x14ac:dyDescent="0.2">
      <c r="A126" s="24"/>
      <c r="B126" s="1"/>
      <c r="C126" s="14"/>
      <c r="D126" s="25"/>
      <c r="G126" s="1"/>
      <c r="L126" s="1"/>
      <c r="M126" s="1"/>
    </row>
    <row r="127" spans="1:13" s="2" customFormat="1" x14ac:dyDescent="0.2">
      <c r="A127" s="24"/>
      <c r="B127" s="1"/>
      <c r="C127" s="14"/>
      <c r="D127" s="25"/>
      <c r="G127" s="1"/>
      <c r="L127" s="1"/>
      <c r="M127" s="1"/>
    </row>
    <row r="128" spans="1:13" s="2" customFormat="1" x14ac:dyDescent="0.2">
      <c r="A128" s="24"/>
      <c r="B128" s="1"/>
      <c r="C128" s="14"/>
      <c r="D128" s="25"/>
      <c r="G128" s="1"/>
      <c r="L128" s="1"/>
      <c r="M128" s="1"/>
    </row>
    <row r="129" spans="1:13" s="2" customFormat="1" x14ac:dyDescent="0.2">
      <c r="A129" s="24"/>
      <c r="B129" s="1"/>
      <c r="C129" s="14"/>
      <c r="D129" s="25"/>
      <c r="G129" s="1"/>
      <c r="L129" s="1"/>
      <c r="M129" s="1"/>
    </row>
    <row r="130" spans="1:13" s="2" customFormat="1" x14ac:dyDescent="0.2">
      <c r="A130" s="24"/>
      <c r="B130" s="1"/>
      <c r="C130" s="14"/>
      <c r="D130" s="25"/>
      <c r="G130" s="1"/>
      <c r="L130" s="1"/>
      <c r="M130" s="1"/>
    </row>
    <row r="131" spans="1:13" s="2" customFormat="1" x14ac:dyDescent="0.2">
      <c r="A131" s="24"/>
      <c r="B131" s="1"/>
      <c r="C131" s="14"/>
      <c r="D131" s="25"/>
      <c r="G131" s="1"/>
      <c r="L131" s="1"/>
      <c r="M131" s="1"/>
    </row>
    <row r="132" spans="1:13" s="2" customFormat="1" x14ac:dyDescent="0.2">
      <c r="A132" s="24"/>
      <c r="B132" s="1"/>
      <c r="C132" s="14"/>
      <c r="D132" s="25"/>
      <c r="G132" s="1"/>
      <c r="L132" s="1"/>
      <c r="M132" s="1"/>
    </row>
    <row r="133" spans="1:13" s="2" customFormat="1" x14ac:dyDescent="0.2">
      <c r="A133" s="24"/>
      <c r="B133" s="1"/>
      <c r="C133" s="14"/>
      <c r="D133" s="25"/>
      <c r="G133" s="1"/>
      <c r="L133" s="1"/>
      <c r="M133" s="1"/>
    </row>
    <row r="134" spans="1:13" s="2" customFormat="1" x14ac:dyDescent="0.2">
      <c r="A134" s="24"/>
      <c r="B134" s="1"/>
      <c r="C134" s="14"/>
      <c r="D134" s="25"/>
      <c r="G134" s="1"/>
      <c r="L134" s="1"/>
      <c r="M134" s="1"/>
    </row>
    <row r="135" spans="1:13" s="2" customFormat="1" x14ac:dyDescent="0.2">
      <c r="A135" s="24"/>
      <c r="B135" s="1"/>
      <c r="C135" s="14"/>
      <c r="D135" s="25"/>
      <c r="G135" s="1"/>
      <c r="L135" s="1"/>
      <c r="M135" s="1"/>
    </row>
    <row r="136" spans="1:13" s="2" customFormat="1" x14ac:dyDescent="0.2">
      <c r="A136" s="24"/>
      <c r="B136" s="1"/>
      <c r="C136" s="14"/>
      <c r="D136" s="25"/>
      <c r="G136" s="1"/>
      <c r="L136" s="1"/>
      <c r="M136" s="1"/>
    </row>
    <row r="137" spans="1:13" s="2" customFormat="1" x14ac:dyDescent="0.2">
      <c r="A137" s="24"/>
      <c r="B137" s="1"/>
      <c r="C137" s="14"/>
      <c r="D137" s="25"/>
      <c r="G137" s="1"/>
      <c r="L137" s="1"/>
      <c r="M137" s="1"/>
    </row>
    <row r="138" spans="1:13" s="2" customFormat="1" x14ac:dyDescent="0.2">
      <c r="A138" s="24"/>
      <c r="B138" s="1"/>
      <c r="C138" s="14"/>
      <c r="D138" s="25"/>
      <c r="G138" s="1"/>
      <c r="L138" s="1"/>
      <c r="M138" s="1"/>
    </row>
    <row r="139" spans="1:13" s="2" customFormat="1" x14ac:dyDescent="0.2">
      <c r="A139" s="24"/>
      <c r="B139" s="1"/>
      <c r="C139" s="14"/>
      <c r="D139" s="25"/>
      <c r="G139" s="1"/>
      <c r="L139" s="1"/>
      <c r="M139" s="1"/>
    </row>
    <row r="140" spans="1:13" s="2" customFormat="1" x14ac:dyDescent="0.2">
      <c r="A140" s="24"/>
      <c r="B140" s="1"/>
      <c r="C140" s="14"/>
      <c r="D140" s="25"/>
      <c r="G140" s="1"/>
      <c r="I140" s="1"/>
      <c r="J140" s="1"/>
      <c r="K140" s="1"/>
      <c r="L140" s="1"/>
      <c r="M140" s="1"/>
    </row>
    <row r="141" spans="1:13" s="2" customFormat="1" x14ac:dyDescent="0.2">
      <c r="A141" s="24"/>
      <c r="B141" s="1"/>
      <c r="C141" s="14"/>
      <c r="D141" s="25"/>
      <c r="G141" s="1"/>
    </row>
    <row r="142" spans="1:13" s="2" customFormat="1" x14ac:dyDescent="0.2">
      <c r="A142" s="24"/>
      <c r="B142" s="1"/>
      <c r="C142" s="14"/>
      <c r="D142" s="25"/>
      <c r="G142" s="1"/>
      <c r="I142" s="1"/>
      <c r="J142" s="1"/>
      <c r="K142" s="1"/>
      <c r="L142" s="1"/>
      <c r="M142" s="1"/>
    </row>
    <row r="143" spans="1:13" s="2" customFormat="1" x14ac:dyDescent="0.2">
      <c r="A143" s="24"/>
      <c r="B143" s="1"/>
      <c r="C143" s="14"/>
      <c r="D143" s="25"/>
      <c r="G143" s="54"/>
      <c r="I143" s="1"/>
      <c r="J143" s="1"/>
      <c r="K143" s="1"/>
      <c r="L143" s="1"/>
      <c r="M143" s="1"/>
    </row>
    <row r="144" spans="1:13" s="2" customFormat="1" x14ac:dyDescent="0.2">
      <c r="A144" s="24"/>
      <c r="B144" s="1"/>
      <c r="C144" s="14"/>
      <c r="D144" s="25"/>
      <c r="G144" s="54"/>
      <c r="I144" s="1"/>
      <c r="J144" s="1"/>
      <c r="K144" s="1"/>
      <c r="L144" s="1"/>
      <c r="M144" s="1"/>
    </row>
    <row r="145" spans="1:14" s="2" customFormat="1" x14ac:dyDescent="0.2">
      <c r="A145" s="24"/>
      <c r="B145" s="1"/>
      <c r="C145" s="14"/>
      <c r="D145" s="25"/>
      <c r="G145" s="54"/>
      <c r="I145" s="1"/>
      <c r="J145" s="1"/>
      <c r="K145" s="1"/>
      <c r="L145" s="1"/>
      <c r="M145" s="1"/>
    </row>
    <row r="146" spans="1:14" s="2" customFormat="1" x14ac:dyDescent="0.2">
      <c r="A146" s="24"/>
      <c r="B146" s="1"/>
      <c r="C146" s="14"/>
      <c r="D146" s="25"/>
      <c r="G146" s="54"/>
      <c r="H146" s="2" t="s">
        <v>396</v>
      </c>
      <c r="I146" s="1"/>
      <c r="J146" s="1"/>
      <c r="K146" s="1"/>
      <c r="L146" s="1"/>
      <c r="M146" s="1"/>
      <c r="N146" s="1"/>
    </row>
    <row r="147" spans="1:14" s="2" customFormat="1" x14ac:dyDescent="0.2">
      <c r="A147" s="24"/>
      <c r="B147" s="1"/>
      <c r="C147" s="14"/>
      <c r="D147" s="25"/>
      <c r="G147" s="54"/>
      <c r="H147" s="53"/>
    </row>
    <row r="148" spans="1:14" s="2" customFormat="1" x14ac:dyDescent="0.2">
      <c r="A148" s="24"/>
      <c r="B148" s="1"/>
      <c r="C148" s="14"/>
      <c r="D148" s="25"/>
      <c r="G148" s="54"/>
      <c r="H148" s="53" t="s">
        <v>396</v>
      </c>
      <c r="I148" s="1"/>
      <c r="J148" s="1"/>
      <c r="K148" s="1"/>
      <c r="L148" s="1"/>
      <c r="M148" s="1"/>
      <c r="N148" s="1"/>
    </row>
    <row r="149" spans="1:14" x14ac:dyDescent="0.2">
      <c r="G149" s="54"/>
      <c r="H149" s="53" t="s">
        <v>396</v>
      </c>
      <c r="J149" s="42"/>
    </row>
    <row r="150" spans="1:14" s="2" customFormat="1" x14ac:dyDescent="0.2">
      <c r="A150" s="24"/>
      <c r="B150" s="1"/>
      <c r="C150" s="14"/>
      <c r="D150" s="25"/>
      <c r="G150" s="54"/>
      <c r="H150" s="53"/>
      <c r="I150" s="101"/>
      <c r="J150" s="1"/>
      <c r="K150" s="1"/>
      <c r="L150" s="1"/>
      <c r="M150" s="1"/>
      <c r="N150" s="1"/>
    </row>
    <row r="151" spans="1:14" x14ac:dyDescent="0.2">
      <c r="G151" s="54"/>
      <c r="H151" s="53"/>
    </row>
    <row r="152" spans="1:14" x14ac:dyDescent="0.2">
      <c r="G152" s="54"/>
      <c r="H152" s="53"/>
    </row>
    <row r="153" spans="1:14" x14ac:dyDescent="0.2">
      <c r="G153" s="54"/>
      <c r="H153" s="53"/>
    </row>
  </sheetData>
  <sheetProtection insertRows="0"/>
  <mergeCells count="6">
    <mergeCell ref="C115:F115"/>
    <mergeCell ref="A1:G1"/>
    <mergeCell ref="A3:F3"/>
    <mergeCell ref="A9:F9"/>
    <mergeCell ref="A22:F22"/>
    <mergeCell ref="A70:D70"/>
  </mergeCells>
  <conditionalFormatting sqref="G67:G68">
    <cfRule type="cellIs" dxfId="291" priority="1" operator="lessThan">
      <formula>0</formula>
    </cfRule>
  </conditionalFormatting>
  <conditionalFormatting sqref="C24">
    <cfRule type="duplicateValues" dxfId="290" priority="2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100-000000000000}">
  <sheetPr codeName="Sheet441">
    <pageSetUpPr fitToPage="1"/>
  </sheetPr>
  <dimension ref="A1:N164"/>
  <sheetViews>
    <sheetView topLeftCell="B40" zoomScaleNormal="100" workbookViewId="0">
      <selection activeCell="F59" sqref="F59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3" ht="20.25" customHeight="1" x14ac:dyDescent="0.4">
      <c r="A1" s="212" t="s">
        <v>1616</v>
      </c>
      <c r="B1" s="212"/>
      <c r="C1" s="212"/>
      <c r="D1" s="212"/>
      <c r="E1" s="212"/>
      <c r="F1" s="212"/>
      <c r="G1" s="212"/>
      <c r="H1" s="112"/>
      <c r="I1" s="112"/>
    </row>
    <row r="2" spans="1:13" ht="12.75" customHeight="1" x14ac:dyDescent="0.4">
      <c r="H2" s="112"/>
      <c r="I2" s="112"/>
    </row>
    <row r="3" spans="1:13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3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3" s="2" customFormat="1" ht="14.25" customHeight="1" x14ac:dyDescent="0.4">
      <c r="A5" s="89">
        <v>45199</v>
      </c>
      <c r="B5" s="9" t="s">
        <v>6</v>
      </c>
      <c r="C5" s="10" t="s">
        <v>7</v>
      </c>
      <c r="D5" s="11"/>
      <c r="E5" s="12">
        <v>990639.79000000097</v>
      </c>
      <c r="F5" s="12"/>
      <c r="G5" s="1"/>
      <c r="H5" s="112"/>
      <c r="I5" s="112"/>
    </row>
    <row r="6" spans="1:13" s="2" customFormat="1" ht="12.75" customHeight="1" x14ac:dyDescent="0.4">
      <c r="D6" s="15" t="s">
        <v>8</v>
      </c>
      <c r="E6" s="16">
        <f>SUM(E5:E5)</f>
        <v>990639.79000000097</v>
      </c>
      <c r="F6" s="16">
        <f>F5</f>
        <v>0</v>
      </c>
      <c r="G6" s="1"/>
      <c r="H6" s="112"/>
      <c r="I6" s="112"/>
    </row>
    <row r="7" spans="1:13" s="2" customFormat="1" ht="12.75" customHeight="1" x14ac:dyDescent="0.4">
      <c r="A7" s="17"/>
      <c r="B7" s="18"/>
      <c r="C7" s="19" t="s">
        <v>9</v>
      </c>
      <c r="D7" s="20"/>
      <c r="E7" s="21">
        <f>+E6-F6</f>
        <v>990639.79000000097</v>
      </c>
      <c r="F7" s="22"/>
      <c r="G7" s="23"/>
      <c r="H7" s="112"/>
      <c r="I7" s="112"/>
      <c r="J7" s="13"/>
    </row>
    <row r="8" spans="1:13" ht="12.75" customHeight="1" x14ac:dyDescent="0.4">
      <c r="H8" s="112"/>
      <c r="I8" s="112"/>
    </row>
    <row r="9" spans="1:13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69">
        <v>90000000</v>
      </c>
      <c r="J9" s="169" t="s">
        <v>1508</v>
      </c>
    </row>
    <row r="10" spans="1:13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69">
        <v>87477745.980000004</v>
      </c>
      <c r="J10" s="169" t="s">
        <v>1509</v>
      </c>
      <c r="K10" s="124"/>
    </row>
    <row r="11" spans="1:13" s="2" customFormat="1" ht="14.25" customHeight="1" x14ac:dyDescent="0.2">
      <c r="A11" s="89">
        <v>45199</v>
      </c>
      <c r="B11" s="9" t="s">
        <v>6</v>
      </c>
      <c r="C11" s="10" t="s">
        <v>7</v>
      </c>
      <c r="D11" s="11"/>
      <c r="F11" s="12">
        <v>86161569.600000009</v>
      </c>
      <c r="G11" s="1"/>
      <c r="H11" s="130" t="s">
        <v>396</v>
      </c>
      <c r="I11" s="169">
        <f>+I9-I10</f>
        <v>2522254.0199999958</v>
      </c>
      <c r="J11" s="169" t="s">
        <v>712</v>
      </c>
      <c r="K11" s="165" t="s">
        <v>1512</v>
      </c>
    </row>
    <row r="12" spans="1:13" s="2" customFormat="1" ht="14.25" customHeight="1" x14ac:dyDescent="0.2">
      <c r="A12" s="89">
        <v>45199</v>
      </c>
      <c r="B12" s="9" t="s">
        <v>6</v>
      </c>
      <c r="C12" s="76" t="s">
        <v>1137</v>
      </c>
      <c r="D12" s="11" t="s">
        <v>13</v>
      </c>
      <c r="E12" s="2">
        <v>1379.62</v>
      </c>
      <c r="F12" s="12"/>
      <c r="G12" s="1"/>
      <c r="H12" s="130"/>
      <c r="I12" s="171"/>
      <c r="J12" s="171"/>
      <c r="K12" s="165"/>
    </row>
    <row r="13" spans="1:13" s="2" customFormat="1" ht="14.25" customHeight="1" x14ac:dyDescent="0.2">
      <c r="A13" s="89">
        <v>45199</v>
      </c>
      <c r="B13" s="9" t="s">
        <v>11</v>
      </c>
      <c r="C13" s="76" t="s">
        <v>1617</v>
      </c>
      <c r="D13" s="11" t="s">
        <v>29</v>
      </c>
      <c r="F13" s="12">
        <v>998</v>
      </c>
      <c r="G13" s="1"/>
      <c r="H13" s="130"/>
      <c r="I13" s="171"/>
      <c r="J13" s="171"/>
      <c r="K13" s="165"/>
    </row>
    <row r="14" spans="1:13" s="2" customFormat="1" ht="14.25" customHeight="1" x14ac:dyDescent="0.2">
      <c r="A14" s="89">
        <v>45199</v>
      </c>
      <c r="B14" s="9" t="s">
        <v>11</v>
      </c>
      <c r="C14" s="76" t="s">
        <v>48</v>
      </c>
      <c r="D14" s="11" t="s">
        <v>29</v>
      </c>
      <c r="F14" s="31">
        <v>52414</v>
      </c>
      <c r="G14" s="1"/>
      <c r="H14" s="130"/>
      <c r="I14" s="171"/>
      <c r="J14" s="171"/>
      <c r="K14" s="165"/>
    </row>
    <row r="15" spans="1:13" s="2" customFormat="1" ht="14.25" customHeight="1" x14ac:dyDescent="0.2">
      <c r="D15" s="11" t="s">
        <v>8</v>
      </c>
      <c r="E15" s="16">
        <f>SUM(E11:E14)</f>
        <v>1379.62</v>
      </c>
      <c r="F15" s="16">
        <f>SUM(F11:F14)</f>
        <v>86214981.600000009</v>
      </c>
      <c r="G15" s="1"/>
      <c r="H15" s="143"/>
      <c r="I15" s="130"/>
      <c r="J15" s="143"/>
      <c r="K15" s="143"/>
      <c r="L15" s="143"/>
      <c r="M15" s="143"/>
    </row>
    <row r="16" spans="1:13" s="2" customFormat="1" ht="14.25" customHeight="1" x14ac:dyDescent="0.4">
      <c r="A16" s="17"/>
      <c r="B16" s="18"/>
      <c r="C16" s="96" t="s">
        <v>9</v>
      </c>
      <c r="D16" s="20"/>
      <c r="E16" s="21">
        <f>+F15-E15</f>
        <v>86213601.980000004</v>
      </c>
      <c r="G16" s="1"/>
      <c r="I16" s="112"/>
      <c r="J16" s="153" t="s">
        <v>779</v>
      </c>
    </row>
    <row r="17" spans="1:14" s="2" customFormat="1" ht="14.25" customHeight="1" x14ac:dyDescent="0.2">
      <c r="A17" s="36"/>
      <c r="B17" s="28" t="s">
        <v>66</v>
      </c>
      <c r="C17" s="43" t="s">
        <v>1458</v>
      </c>
      <c r="D17" s="43"/>
      <c r="E17" s="12">
        <v>30000000</v>
      </c>
      <c r="F17" s="22"/>
      <c r="G17" s="1"/>
      <c r="I17" s="40">
        <v>86213601.980000004</v>
      </c>
      <c r="J17" s="154">
        <f>I17-E16</f>
        <v>0</v>
      </c>
    </row>
    <row r="18" spans="1:14" s="2" customFormat="1" ht="14.25" customHeight="1" x14ac:dyDescent="0.25">
      <c r="A18" s="36"/>
      <c r="B18" s="28"/>
      <c r="C18" s="44" t="s">
        <v>1541</v>
      </c>
      <c r="D18" s="43"/>
      <c r="E18" s="7">
        <f>+E16+E17</f>
        <v>116213601.98</v>
      </c>
      <c r="F18" s="22"/>
      <c r="G18" s="1"/>
      <c r="H18" s="13" t="s">
        <v>1582</v>
      </c>
      <c r="I18" s="13" t="s">
        <v>1583</v>
      </c>
    </row>
    <row r="19" spans="1:14" s="2" customFormat="1" ht="14.25" customHeight="1" x14ac:dyDescent="0.25">
      <c r="A19" s="36"/>
      <c r="B19" s="28"/>
      <c r="C19" s="44" t="s">
        <v>1511</v>
      </c>
      <c r="D19" s="43"/>
      <c r="E19" s="38">
        <f>+I11</f>
        <v>2522254.0199999958</v>
      </c>
      <c r="F19" s="22"/>
      <c r="G19" s="1"/>
      <c r="H19" s="2">
        <v>17802117</v>
      </c>
      <c r="I19" s="2">
        <v>7372795</v>
      </c>
      <c r="J19" s="176">
        <f>H19-I19</f>
        <v>10429322</v>
      </c>
    </row>
    <row r="20" spans="1:14" s="2" customFormat="1" ht="14.25" customHeight="1" x14ac:dyDescent="0.2">
      <c r="A20" s="24"/>
      <c r="B20" s="1"/>
      <c r="C20" s="14"/>
      <c r="D20" s="25"/>
      <c r="G20" s="1"/>
      <c r="I20" s="130"/>
      <c r="J20" s="130"/>
    </row>
    <row r="21" spans="1:14" s="2" customFormat="1" x14ac:dyDescent="0.2">
      <c r="A21" s="214" t="s">
        <v>10</v>
      </c>
      <c r="B21" s="214"/>
      <c r="C21" s="214"/>
      <c r="D21" s="214"/>
      <c r="E21" s="214"/>
      <c r="F21" s="214"/>
      <c r="G21" s="1"/>
      <c r="H21" s="159"/>
      <c r="I21" s="160">
        <f>225000000-75000000</f>
        <v>150000000</v>
      </c>
      <c r="J21" s="160" t="s">
        <v>1506</v>
      </c>
      <c r="K21" s="70"/>
    </row>
    <row r="22" spans="1:14" s="2" customFormat="1" x14ac:dyDescent="0.2">
      <c r="A22" s="26" t="s">
        <v>1</v>
      </c>
      <c r="B22" s="27" t="s">
        <v>2</v>
      </c>
      <c r="C22" s="5"/>
      <c r="D22" s="6" t="s">
        <v>3</v>
      </c>
      <c r="E22" s="7" t="s">
        <v>4</v>
      </c>
      <c r="F22" s="7" t="s">
        <v>5</v>
      </c>
      <c r="G22" s="1"/>
      <c r="H22" s="159"/>
      <c r="I22" s="160">
        <v>80842248.049999997</v>
      </c>
      <c r="J22" s="160" t="s">
        <v>1507</v>
      </c>
      <c r="K22" s="70" t="s">
        <v>1512</v>
      </c>
    </row>
    <row r="23" spans="1:14" s="2" customFormat="1" x14ac:dyDescent="0.2">
      <c r="A23" s="89">
        <v>45199</v>
      </c>
      <c r="B23" s="128" t="s">
        <v>11</v>
      </c>
      <c r="C23" s="29" t="s">
        <v>7</v>
      </c>
      <c r="D23" s="25"/>
      <c r="E23" s="31"/>
      <c r="F23" s="2">
        <v>159636298.7100001</v>
      </c>
      <c r="G23" s="23"/>
      <c r="H23" s="159" t="s">
        <v>1505</v>
      </c>
      <c r="I23" s="160">
        <f>+I21-I22</f>
        <v>69157751.950000003</v>
      </c>
      <c r="J23" s="160"/>
      <c r="K23" s="70"/>
    </row>
    <row r="24" spans="1:14" s="2" customFormat="1" x14ac:dyDescent="0.2">
      <c r="A24" s="89">
        <v>45199</v>
      </c>
      <c r="B24" s="128" t="s">
        <v>6</v>
      </c>
      <c r="C24" s="10" t="s">
        <v>286</v>
      </c>
      <c r="D24" s="11" t="s">
        <v>13</v>
      </c>
      <c r="E24" s="86">
        <v>1076681</v>
      </c>
      <c r="F24" s="70"/>
      <c r="G24" s="1"/>
      <c r="N24" s="1"/>
    </row>
    <row r="25" spans="1:14" s="2" customFormat="1" x14ac:dyDescent="0.2">
      <c r="A25" s="89">
        <v>45199</v>
      </c>
      <c r="B25" s="128" t="s">
        <v>6</v>
      </c>
      <c r="C25" s="10" t="s">
        <v>122</v>
      </c>
      <c r="D25" s="11" t="s">
        <v>13</v>
      </c>
      <c r="E25" s="86">
        <v>74317</v>
      </c>
      <c r="F25" s="70"/>
      <c r="G25" s="1"/>
      <c r="N25" s="1"/>
    </row>
    <row r="26" spans="1:14" s="2" customFormat="1" x14ac:dyDescent="0.2">
      <c r="A26" s="89">
        <v>45199</v>
      </c>
      <c r="B26" s="128" t="s">
        <v>6</v>
      </c>
      <c r="C26" s="10" t="s">
        <v>264</v>
      </c>
      <c r="D26" s="11" t="s">
        <v>13</v>
      </c>
      <c r="E26" s="86">
        <v>4906478</v>
      </c>
      <c r="F26" s="70"/>
      <c r="G26" s="1"/>
      <c r="N26" s="1"/>
    </row>
    <row r="27" spans="1:14" s="2" customFormat="1" x14ac:dyDescent="0.2">
      <c r="A27" s="89">
        <v>45199</v>
      </c>
      <c r="B27" s="128" t="s">
        <v>6</v>
      </c>
      <c r="C27" s="10" t="s">
        <v>105</v>
      </c>
      <c r="D27" s="11" t="s">
        <v>13</v>
      </c>
      <c r="E27" s="86">
        <v>5245</v>
      </c>
      <c r="F27" s="70"/>
      <c r="G27" s="1"/>
      <c r="N27" s="1"/>
    </row>
    <row r="28" spans="1:14" s="2" customFormat="1" x14ac:dyDescent="0.2">
      <c r="A28" s="89">
        <v>45199</v>
      </c>
      <c r="B28" s="128" t="s">
        <v>6</v>
      </c>
      <c r="C28" s="10" t="s">
        <v>164</v>
      </c>
      <c r="D28" s="11" t="s">
        <v>13</v>
      </c>
      <c r="E28" s="86">
        <v>1000000</v>
      </c>
      <c r="F28" s="70"/>
      <c r="G28" s="1"/>
      <c r="N28" s="1"/>
    </row>
    <row r="29" spans="1:14" s="2" customFormat="1" x14ac:dyDescent="0.2">
      <c r="A29" s="89">
        <v>45199</v>
      </c>
      <c r="B29" s="128" t="s">
        <v>6</v>
      </c>
      <c r="C29" s="10" t="s">
        <v>24</v>
      </c>
      <c r="D29" s="11" t="s">
        <v>13</v>
      </c>
      <c r="E29" s="86">
        <v>9441</v>
      </c>
      <c r="F29" s="70"/>
      <c r="G29" s="1"/>
      <c r="N29" s="1"/>
    </row>
    <row r="30" spans="1:14" s="2" customFormat="1" x14ac:dyDescent="0.2">
      <c r="A30" s="89">
        <v>45199</v>
      </c>
      <c r="B30" s="128" t="s">
        <v>6</v>
      </c>
      <c r="C30" s="10" t="s">
        <v>316</v>
      </c>
      <c r="D30" s="11" t="s">
        <v>13</v>
      </c>
      <c r="E30" s="86">
        <v>2777736</v>
      </c>
      <c r="F30" s="70"/>
      <c r="G30" s="1"/>
      <c r="N30" s="1"/>
    </row>
    <row r="31" spans="1:14" s="2" customFormat="1" x14ac:dyDescent="0.2">
      <c r="A31" s="89">
        <v>45199</v>
      </c>
      <c r="B31" s="128" t="s">
        <v>6</v>
      </c>
      <c r="C31" s="10" t="s">
        <v>15</v>
      </c>
      <c r="D31" s="11" t="s">
        <v>13</v>
      </c>
      <c r="E31" s="86">
        <v>19900.070000000003</v>
      </c>
      <c r="F31" s="70"/>
      <c r="G31" s="1"/>
      <c r="N31" s="1"/>
    </row>
    <row r="32" spans="1:14" s="2" customFormat="1" x14ac:dyDescent="0.2">
      <c r="A32" s="89">
        <v>45199</v>
      </c>
      <c r="B32" s="128" t="s">
        <v>6</v>
      </c>
      <c r="C32" s="10" t="s">
        <v>16</v>
      </c>
      <c r="D32" s="11" t="s">
        <v>13</v>
      </c>
      <c r="E32" s="86">
        <v>95598</v>
      </c>
      <c r="F32" s="70"/>
      <c r="G32" s="1"/>
      <c r="N32" s="1"/>
    </row>
    <row r="33" spans="1:14" s="2" customFormat="1" x14ac:dyDescent="0.2">
      <c r="A33" s="89">
        <v>45199</v>
      </c>
      <c r="B33" s="128" t="s">
        <v>6</v>
      </c>
      <c r="C33" s="10" t="s">
        <v>161</v>
      </c>
      <c r="D33" s="11" t="s">
        <v>13</v>
      </c>
      <c r="E33" s="86">
        <v>624767</v>
      </c>
      <c r="F33" s="70"/>
      <c r="G33" s="1"/>
      <c r="N33" s="1"/>
    </row>
    <row r="34" spans="1:14" s="2" customFormat="1" x14ac:dyDescent="0.2">
      <c r="A34" s="89">
        <v>45199</v>
      </c>
      <c r="B34" s="128" t="s">
        <v>6</v>
      </c>
      <c r="C34" s="10" t="s">
        <v>527</v>
      </c>
      <c r="D34" s="11" t="s">
        <v>13</v>
      </c>
      <c r="E34" s="86">
        <v>3018961</v>
      </c>
      <c r="F34" s="70"/>
      <c r="G34" s="1"/>
      <c r="N34" s="1"/>
    </row>
    <row r="35" spans="1:14" s="2" customFormat="1" x14ac:dyDescent="0.2">
      <c r="A35" s="89">
        <v>45199</v>
      </c>
      <c r="B35" s="128" t="s">
        <v>6</v>
      </c>
      <c r="C35" s="10" t="s">
        <v>1618</v>
      </c>
      <c r="D35" s="11" t="s">
        <v>13</v>
      </c>
      <c r="E35" s="86">
        <v>1254310</v>
      </c>
      <c r="F35" s="70"/>
      <c r="G35" s="1"/>
      <c r="N35" s="1"/>
    </row>
    <row r="36" spans="1:14" s="2" customFormat="1" x14ac:dyDescent="0.2">
      <c r="A36" s="89">
        <v>45199</v>
      </c>
      <c r="B36" s="128" t="s">
        <v>6</v>
      </c>
      <c r="C36" s="10" t="s">
        <v>19</v>
      </c>
      <c r="D36" s="11" t="s">
        <v>13</v>
      </c>
      <c r="E36" s="86">
        <v>1518801</v>
      </c>
      <c r="F36" s="70"/>
      <c r="G36" s="1"/>
      <c r="N36" s="1"/>
    </row>
    <row r="37" spans="1:14" s="2" customFormat="1" x14ac:dyDescent="0.2">
      <c r="A37" s="89">
        <v>45199</v>
      </c>
      <c r="B37" s="128" t="s">
        <v>6</v>
      </c>
      <c r="C37" s="10" t="s">
        <v>111</v>
      </c>
      <c r="D37" s="11" t="s">
        <v>499</v>
      </c>
      <c r="E37" s="86">
        <v>3131125.29</v>
      </c>
      <c r="F37" s="70"/>
      <c r="G37" s="1"/>
      <c r="N37" s="1"/>
    </row>
    <row r="38" spans="1:14" s="2" customFormat="1" x14ac:dyDescent="0.2">
      <c r="A38" s="89">
        <v>45199</v>
      </c>
      <c r="B38" s="128" t="s">
        <v>6</v>
      </c>
      <c r="C38" s="10" t="s">
        <v>156</v>
      </c>
      <c r="D38" s="11" t="s">
        <v>499</v>
      </c>
      <c r="E38" s="86">
        <v>500000</v>
      </c>
      <c r="F38" s="70"/>
      <c r="G38" s="1"/>
      <c r="N38" s="1"/>
    </row>
    <row r="39" spans="1:14" s="2" customFormat="1" x14ac:dyDescent="0.2">
      <c r="A39" s="89">
        <v>45199</v>
      </c>
      <c r="B39" s="128" t="s">
        <v>6</v>
      </c>
      <c r="C39" s="10" t="s">
        <v>1155</v>
      </c>
      <c r="D39" s="11" t="s">
        <v>13</v>
      </c>
      <c r="E39" s="86">
        <v>75000000</v>
      </c>
      <c r="F39" s="70"/>
      <c r="G39" s="1"/>
      <c r="N39" s="1"/>
    </row>
    <row r="40" spans="1:14" s="2" customFormat="1" x14ac:dyDescent="0.2">
      <c r="A40" s="89">
        <v>45199</v>
      </c>
      <c r="B40" s="128" t="s">
        <v>6</v>
      </c>
      <c r="C40" s="10" t="s">
        <v>1331</v>
      </c>
      <c r="D40" s="11" t="s">
        <v>13</v>
      </c>
      <c r="E40" s="86">
        <v>500000</v>
      </c>
      <c r="F40" s="70"/>
      <c r="G40" s="1"/>
      <c r="N40" s="1"/>
    </row>
    <row r="41" spans="1:14" s="2" customFormat="1" x14ac:dyDescent="0.2">
      <c r="A41" s="89">
        <v>45199</v>
      </c>
      <c r="B41" s="128" t="s">
        <v>6</v>
      </c>
      <c r="C41" s="10" t="s">
        <v>760</v>
      </c>
      <c r="D41" s="11" t="s">
        <v>13</v>
      </c>
      <c r="E41" s="86">
        <v>122563.2</v>
      </c>
      <c r="F41" s="70"/>
      <c r="G41" s="1"/>
      <c r="N41" s="1"/>
    </row>
    <row r="42" spans="1:14" s="2" customFormat="1" x14ac:dyDescent="0.2">
      <c r="A42" s="89">
        <v>45199</v>
      </c>
      <c r="B42" s="128" t="s">
        <v>6</v>
      </c>
      <c r="C42" s="10" t="s">
        <v>764</v>
      </c>
      <c r="D42" s="11" t="s">
        <v>13</v>
      </c>
      <c r="E42" s="86">
        <v>136776.1</v>
      </c>
      <c r="F42" s="70"/>
      <c r="G42" s="1"/>
      <c r="N42" s="1"/>
    </row>
    <row r="43" spans="1:14" s="2" customFormat="1" x14ac:dyDescent="0.2">
      <c r="A43" s="89">
        <v>45199</v>
      </c>
      <c r="B43" s="128" t="s">
        <v>6</v>
      </c>
      <c r="C43" s="10" t="s">
        <v>749</v>
      </c>
      <c r="D43" s="11" t="s">
        <v>13</v>
      </c>
      <c r="E43" s="86">
        <v>83797.7</v>
      </c>
      <c r="F43" s="70"/>
      <c r="G43" s="1"/>
      <c r="N43" s="1"/>
    </row>
    <row r="44" spans="1:14" s="2" customFormat="1" x14ac:dyDescent="0.2">
      <c r="A44" s="89">
        <v>45199</v>
      </c>
      <c r="B44" s="128" t="s">
        <v>6</v>
      </c>
      <c r="C44" s="10" t="s">
        <v>1517</v>
      </c>
      <c r="D44" s="11" t="s">
        <v>13</v>
      </c>
      <c r="E44" s="86">
        <v>375000</v>
      </c>
      <c r="F44" s="70"/>
      <c r="G44" s="1"/>
      <c r="N44" s="1"/>
    </row>
    <row r="45" spans="1:14" s="2" customFormat="1" x14ac:dyDescent="0.2">
      <c r="A45" s="89">
        <v>45199</v>
      </c>
      <c r="B45" s="128" t="s">
        <v>6</v>
      </c>
      <c r="C45" s="10" t="s">
        <v>1338</v>
      </c>
      <c r="D45" s="11" t="s">
        <v>13</v>
      </c>
      <c r="E45" s="86">
        <v>164063</v>
      </c>
      <c r="F45" s="70"/>
      <c r="G45" s="1"/>
      <c r="N45" s="1"/>
    </row>
    <row r="46" spans="1:14" s="2" customFormat="1" x14ac:dyDescent="0.2">
      <c r="A46" s="89">
        <v>45199</v>
      </c>
      <c r="B46" s="128" t="s">
        <v>6</v>
      </c>
      <c r="C46" s="10" t="s">
        <v>655</v>
      </c>
      <c r="D46" s="11" t="s">
        <v>13</v>
      </c>
      <c r="E46" s="86">
        <v>8807557</v>
      </c>
      <c r="F46" s="70"/>
      <c r="G46" s="1"/>
      <c r="N46" s="1"/>
    </row>
    <row r="47" spans="1:14" s="2" customFormat="1" x14ac:dyDescent="0.2">
      <c r="A47" s="89">
        <v>45199</v>
      </c>
      <c r="B47" s="128" t="s">
        <v>11</v>
      </c>
      <c r="C47" s="10" t="s">
        <v>64</v>
      </c>
      <c r="D47" s="11" t="s">
        <v>29</v>
      </c>
      <c r="E47" s="86"/>
      <c r="F47" s="70">
        <v>1593</v>
      </c>
      <c r="G47" s="1"/>
      <c r="N47" s="1"/>
    </row>
    <row r="48" spans="1:14" s="2" customFormat="1" x14ac:dyDescent="0.2">
      <c r="A48" s="89">
        <v>45199</v>
      </c>
      <c r="B48" s="128" t="s">
        <v>11</v>
      </c>
      <c r="C48" s="10" t="s">
        <v>733</v>
      </c>
      <c r="D48" s="11" t="s">
        <v>29</v>
      </c>
      <c r="E48" s="86"/>
      <c r="F48" s="70">
        <v>2173836</v>
      </c>
      <c r="G48" s="1"/>
      <c r="N48" s="1"/>
    </row>
    <row r="49" spans="1:14" s="2" customFormat="1" x14ac:dyDescent="0.2">
      <c r="A49" s="89">
        <v>45199</v>
      </c>
      <c r="B49" s="128" t="s">
        <v>11</v>
      </c>
      <c r="C49" s="10" t="s">
        <v>732</v>
      </c>
      <c r="D49" s="11" t="s">
        <v>29</v>
      </c>
      <c r="E49" s="86"/>
      <c r="F49" s="70">
        <v>3260753</v>
      </c>
      <c r="G49" s="1"/>
      <c r="N49" s="1"/>
    </row>
    <row r="50" spans="1:14" s="13" customFormat="1" x14ac:dyDescent="0.2">
      <c r="A50" s="97">
        <v>45199</v>
      </c>
      <c r="B50" s="132" t="s">
        <v>11</v>
      </c>
      <c r="C50" s="121" t="s">
        <v>655</v>
      </c>
      <c r="D50" s="122" t="s">
        <v>258</v>
      </c>
      <c r="E50" s="147"/>
      <c r="F50" s="69">
        <v>10000000</v>
      </c>
      <c r="G50" s="23"/>
      <c r="N50" s="23"/>
    </row>
    <row r="51" spans="1:14" s="2" customFormat="1" x14ac:dyDescent="0.2">
      <c r="A51" s="89">
        <v>45199</v>
      </c>
      <c r="B51" s="128" t="s">
        <v>11</v>
      </c>
      <c r="C51" s="10" t="s">
        <v>1619</v>
      </c>
      <c r="D51" s="11" t="s">
        <v>29</v>
      </c>
      <c r="E51" s="86"/>
      <c r="F51" s="70">
        <v>48569</v>
      </c>
      <c r="G51" s="1"/>
      <c r="N51" s="1"/>
    </row>
    <row r="52" spans="1:14" s="2" customFormat="1" x14ac:dyDescent="0.2">
      <c r="A52" s="89">
        <v>45199</v>
      </c>
      <c r="B52" s="128" t="s">
        <v>11</v>
      </c>
      <c r="C52" s="10" t="s">
        <v>750</v>
      </c>
      <c r="D52" s="11" t="s">
        <v>29</v>
      </c>
      <c r="E52" s="86"/>
      <c r="F52" s="70">
        <v>494993.7</v>
      </c>
      <c r="G52" s="1"/>
      <c r="N52" s="1"/>
    </row>
    <row r="53" spans="1:14" s="2" customFormat="1" x14ac:dyDescent="0.2">
      <c r="A53" s="32"/>
      <c r="B53" s="33"/>
      <c r="C53" s="14"/>
      <c r="D53" s="34"/>
      <c r="E53" s="16">
        <f>SUM(E23:E52)</f>
        <v>105203117.36</v>
      </c>
      <c r="F53" s="16">
        <f>SUM(F23:F52)</f>
        <v>175616043.41000009</v>
      </c>
      <c r="G53" s="1"/>
      <c r="H53" s="1"/>
      <c r="I53" s="38">
        <v>70412926.049999997</v>
      </c>
      <c r="J53" s="2" t="s">
        <v>396</v>
      </c>
      <c r="K53" s="92">
        <f>E54-I53</f>
        <v>0</v>
      </c>
      <c r="N53" s="1"/>
    </row>
    <row r="54" spans="1:14" s="2" customFormat="1" x14ac:dyDescent="0.2">
      <c r="A54" s="36"/>
      <c r="B54" s="28" t="s">
        <v>11</v>
      </c>
      <c r="C54" s="19" t="s">
        <v>65</v>
      </c>
      <c r="D54" s="37"/>
      <c r="E54" s="38">
        <f>F53-E53</f>
        <v>70412926.050000086</v>
      </c>
      <c r="F54" s="22"/>
      <c r="G54" s="1"/>
      <c r="H54" s="1"/>
      <c r="I54" s="70"/>
      <c r="J54" s="70"/>
      <c r="K54" s="70"/>
      <c r="N54" s="1"/>
    </row>
    <row r="55" spans="1:14" s="2" customFormat="1" x14ac:dyDescent="0.2">
      <c r="A55" s="36"/>
      <c r="B55" s="28" t="s">
        <v>66</v>
      </c>
      <c r="C55" s="19" t="s">
        <v>67</v>
      </c>
      <c r="D55" s="37"/>
      <c r="E55" s="38">
        <v>6500000</v>
      </c>
      <c r="F55" s="22"/>
      <c r="G55" s="1"/>
      <c r="H55" s="70"/>
      <c r="I55" s="70"/>
      <c r="J55" s="70"/>
      <c r="K55" s="70"/>
      <c r="N55" s="1"/>
    </row>
    <row r="56" spans="1:14" s="2" customFormat="1" x14ac:dyDescent="0.2">
      <c r="A56" s="36"/>
      <c r="B56" s="28" t="s">
        <v>66</v>
      </c>
      <c r="C56" s="43" t="s">
        <v>1457</v>
      </c>
      <c r="D56" s="43"/>
      <c r="E56" s="12">
        <f>275000000+75000000</f>
        <v>350000000</v>
      </c>
      <c r="F56" s="22"/>
      <c r="G56" s="1"/>
      <c r="H56" s="70"/>
      <c r="I56" s="45">
        <v>3806.51</v>
      </c>
      <c r="J56" s="46"/>
      <c r="K56" s="46"/>
      <c r="N56" s="1"/>
    </row>
    <row r="57" spans="1:14" s="2" customFormat="1" ht="15" x14ac:dyDescent="0.25">
      <c r="A57" s="36"/>
      <c r="B57" s="28"/>
      <c r="C57" s="44" t="s">
        <v>1541</v>
      </c>
      <c r="D57" s="43"/>
      <c r="E57" s="7">
        <f>+E56+E54+E55</f>
        <v>426912926.05000007</v>
      </c>
      <c r="F57" s="22"/>
      <c r="G57" s="1"/>
      <c r="H57" s="103" t="s">
        <v>69</v>
      </c>
      <c r="I57" s="45">
        <v>-313.17</v>
      </c>
      <c r="J57" s="46"/>
      <c r="K57" s="46"/>
      <c r="N57" s="1"/>
    </row>
    <row r="58" spans="1:14" s="2" customFormat="1" ht="15" x14ac:dyDescent="0.25">
      <c r="A58" s="24"/>
      <c r="B58" s="1"/>
      <c r="C58" s="44" t="s">
        <v>1510</v>
      </c>
      <c r="D58" s="25"/>
      <c r="E58" s="156">
        <f>+I23-E55+H19-I19</f>
        <v>73087073.950000003</v>
      </c>
      <c r="G58" s="1"/>
      <c r="H58" s="35" t="s">
        <v>70</v>
      </c>
      <c r="I58" s="45">
        <v>122.99</v>
      </c>
      <c r="J58" s="46">
        <f>+I59-D61</f>
        <v>0</v>
      </c>
      <c r="N58" s="1"/>
    </row>
    <row r="59" spans="1:14" s="124" customFormat="1" ht="12.75" customHeight="1" x14ac:dyDescent="0.2">
      <c r="A59" s="24"/>
      <c r="B59" s="1"/>
      <c r="C59" s="56"/>
      <c r="D59" s="56"/>
      <c r="E59" s="104"/>
      <c r="F59" s="2"/>
      <c r="G59" s="166"/>
      <c r="H59" s="70"/>
      <c r="I59" s="49">
        <f>SUM(I56:I58)</f>
        <v>3616.33</v>
      </c>
      <c r="J59" s="46"/>
      <c r="K59" s="46"/>
    </row>
    <row r="60" spans="1:14" s="124" customFormat="1" ht="12.75" customHeight="1" x14ac:dyDescent="0.2">
      <c r="A60" s="24"/>
      <c r="B60" s="1"/>
      <c r="C60" s="78" t="s">
        <v>575</v>
      </c>
      <c r="D60" s="48" t="s">
        <v>576</v>
      </c>
      <c r="E60" s="104"/>
      <c r="F60" s="2"/>
      <c r="G60" s="168"/>
      <c r="H60" s="167"/>
      <c r="I60" s="167"/>
      <c r="J60" s="168"/>
    </row>
    <row r="61" spans="1:14" s="124" customFormat="1" ht="12.75" customHeight="1" x14ac:dyDescent="0.2">
      <c r="A61" s="24"/>
      <c r="B61" s="1"/>
      <c r="C61" s="47" t="s">
        <v>570</v>
      </c>
      <c r="D61" s="111">
        <v>3616.33</v>
      </c>
      <c r="E61" s="104"/>
      <c r="F61" s="2"/>
      <c r="G61" s="168"/>
      <c r="H61" s="110" t="s">
        <v>581</v>
      </c>
      <c r="I61" s="167"/>
      <c r="J61" s="168"/>
    </row>
    <row r="62" spans="1:14" s="124" customFormat="1" ht="12.75" customHeight="1" x14ac:dyDescent="0.2">
      <c r="A62" s="24"/>
      <c r="B62" s="1"/>
      <c r="C62" s="47" t="s">
        <v>931</v>
      </c>
      <c r="D62" s="111">
        <v>307.26</v>
      </c>
      <c r="E62" s="104"/>
      <c r="F62" s="2"/>
      <c r="G62" s="168"/>
      <c r="H62" s="110" t="s">
        <v>580</v>
      </c>
      <c r="I62" s="167"/>
      <c r="J62" s="168"/>
    </row>
    <row r="63" spans="1:14" s="124" customFormat="1" ht="12.75" customHeight="1" x14ac:dyDescent="0.2">
      <c r="A63" s="24"/>
      <c r="B63" s="1"/>
      <c r="C63" s="47" t="s">
        <v>572</v>
      </c>
      <c r="D63" s="111">
        <f>+D124/100000</f>
        <v>463.55464109999997</v>
      </c>
      <c r="E63" s="104"/>
      <c r="F63" s="2"/>
      <c r="G63" s="166"/>
      <c r="H63" s="90" t="s">
        <v>587</v>
      </c>
      <c r="I63" s="167"/>
      <c r="J63" s="168"/>
    </row>
    <row r="64" spans="1:14" s="2" customFormat="1" x14ac:dyDescent="0.2">
      <c r="A64" s="24"/>
      <c r="B64" s="1"/>
      <c r="C64" s="108" t="s">
        <v>578</v>
      </c>
      <c r="D64" s="48">
        <f>SUM(D61:D63)</f>
        <v>4387.1446410999997</v>
      </c>
      <c r="E64" s="104"/>
      <c r="G64" s="30"/>
      <c r="I64" s="13"/>
      <c r="J64" s="13"/>
    </row>
    <row r="65" spans="1:14" s="70" customFormat="1" x14ac:dyDescent="0.2">
      <c r="A65" s="24"/>
      <c r="B65" s="1"/>
      <c r="C65" s="47"/>
      <c r="D65" s="107"/>
      <c r="E65" s="104"/>
      <c r="F65" s="2"/>
      <c r="G65" s="30"/>
      <c r="H65" s="2"/>
    </row>
    <row r="66" spans="1:14" s="70" customFormat="1" x14ac:dyDescent="0.2">
      <c r="A66" s="24"/>
      <c r="B66" s="1"/>
      <c r="C66" s="47" t="s">
        <v>932</v>
      </c>
      <c r="D66" s="111">
        <v>271.12</v>
      </c>
      <c r="E66" s="104"/>
      <c r="F66" s="2"/>
      <c r="G66" s="30"/>
      <c r="H66" s="110" t="s">
        <v>581</v>
      </c>
    </row>
    <row r="67" spans="1:14" s="70" customFormat="1" x14ac:dyDescent="0.2">
      <c r="A67" s="24"/>
      <c r="B67" s="1"/>
      <c r="C67" s="136" t="s">
        <v>1142</v>
      </c>
      <c r="D67" s="111">
        <v>342.63900000000001</v>
      </c>
      <c r="E67" s="104"/>
      <c r="F67" s="2"/>
      <c r="G67" s="30"/>
      <c r="H67" s="110" t="s">
        <v>581</v>
      </c>
    </row>
    <row r="68" spans="1:14" s="70" customFormat="1" x14ac:dyDescent="0.2">
      <c r="A68" s="24"/>
      <c r="B68" s="1"/>
      <c r="C68" s="78" t="s">
        <v>579</v>
      </c>
      <c r="D68" s="109">
        <f>D66+D67</f>
        <v>613.75900000000001</v>
      </c>
      <c r="E68" s="104"/>
      <c r="F68" s="2"/>
      <c r="G68" s="30"/>
    </row>
    <row r="69" spans="1:14" s="70" customFormat="1" x14ac:dyDescent="0.2">
      <c r="A69" s="24"/>
      <c r="B69" s="1"/>
      <c r="C69" s="105"/>
      <c r="D69" s="106"/>
      <c r="E69" s="104"/>
      <c r="F69" s="2"/>
      <c r="G69" s="30"/>
      <c r="I69" s="2"/>
      <c r="J69" s="114" t="s">
        <v>713</v>
      </c>
      <c r="K69" s="2"/>
      <c r="L69" s="2"/>
      <c r="M69" s="2"/>
    </row>
    <row r="70" spans="1:14" s="70" customFormat="1" x14ac:dyDescent="0.2">
      <c r="A70" s="24"/>
      <c r="B70" s="1"/>
      <c r="C70" s="78" t="s">
        <v>577</v>
      </c>
      <c r="D70" s="109">
        <f>D61+D68</f>
        <v>4230.0889999999999</v>
      </c>
      <c r="E70" s="104"/>
      <c r="F70" s="2"/>
      <c r="G70" s="30"/>
      <c r="I70" s="113"/>
      <c r="J70" s="113" t="s">
        <v>709</v>
      </c>
      <c r="K70" s="113" t="s">
        <v>710</v>
      </c>
      <c r="L70" s="113" t="s">
        <v>711</v>
      </c>
      <c r="M70" s="113" t="s">
        <v>712</v>
      </c>
    </row>
    <row r="71" spans="1:14" s="70" customFormat="1" x14ac:dyDescent="0.2">
      <c r="A71" s="24"/>
      <c r="B71" s="1"/>
      <c r="C71" s="56"/>
      <c r="D71" s="56"/>
      <c r="E71" s="104"/>
      <c r="F71" s="2"/>
      <c r="G71" s="30"/>
      <c r="I71" s="113" t="s">
        <v>706</v>
      </c>
      <c r="J71" s="115"/>
      <c r="K71" s="115">
        <v>968.99</v>
      </c>
      <c r="L71" s="115">
        <v>968.99</v>
      </c>
      <c r="M71" s="113">
        <f>+J71+L71-K71</f>
        <v>0</v>
      </c>
    </row>
    <row r="72" spans="1:14" s="70" customFormat="1" ht="38.25" x14ac:dyDescent="0.2">
      <c r="A72" s="24"/>
      <c r="B72" s="1"/>
      <c r="C72" s="79" t="str">
        <f>"Particulars ( 01-04-2021 to "&amp;TEXT(A5,"dd-mm-yyyy")&amp;" )"</f>
        <v>Particulars ( 01-04-2021 to 30-09-2023 )</v>
      </c>
      <c r="D72" s="80" t="s">
        <v>73</v>
      </c>
      <c r="E72" s="80" t="s">
        <v>74</v>
      </c>
      <c r="F72" s="81" t="s">
        <v>75</v>
      </c>
      <c r="G72" s="80" t="s">
        <v>76</v>
      </c>
      <c r="I72" s="113" t="s">
        <v>707</v>
      </c>
      <c r="J72" s="115">
        <v>183.1</v>
      </c>
      <c r="K72" s="115">
        <v>3600.48</v>
      </c>
      <c r="L72" s="115">
        <v>3959.09</v>
      </c>
      <c r="M72" s="113">
        <f>+J72+L72-K72</f>
        <v>541.71000000000049</v>
      </c>
    </row>
    <row r="73" spans="1:14" s="70" customFormat="1" x14ac:dyDescent="0.2">
      <c r="A73" s="24"/>
      <c r="B73" s="1"/>
      <c r="C73" s="50" t="s">
        <v>444</v>
      </c>
      <c r="D73" s="55">
        <f>+L71+L72+J72</f>
        <v>5111.18</v>
      </c>
      <c r="E73" s="55">
        <f>+K71+K72</f>
        <v>4569.47</v>
      </c>
      <c r="F73" s="55">
        <f>+D73-E73</f>
        <v>541.71</v>
      </c>
      <c r="G73" s="55">
        <f>1500-F73</f>
        <v>958.29</v>
      </c>
      <c r="I73" s="113" t="s">
        <v>708</v>
      </c>
      <c r="J73" s="115">
        <v>1371.02</v>
      </c>
      <c r="K73" s="115">
        <v>14339.03</v>
      </c>
      <c r="L73" s="115">
        <v>13785.57</v>
      </c>
      <c r="M73" s="113">
        <f>+J73+L73-K73</f>
        <v>817.55999999999949</v>
      </c>
    </row>
    <row r="74" spans="1:14" s="70" customFormat="1" ht="12.75" customHeight="1" x14ac:dyDescent="0.2">
      <c r="A74" s="24"/>
      <c r="B74" s="1"/>
      <c r="C74" s="50" t="s">
        <v>71</v>
      </c>
      <c r="D74" s="55">
        <f>+J73+L73</f>
        <v>15156.59</v>
      </c>
      <c r="E74" s="55">
        <f>+K73</f>
        <v>14339.03</v>
      </c>
      <c r="F74" s="55">
        <f>+D74-E74</f>
        <v>817.55999999999949</v>
      </c>
      <c r="G74" s="55">
        <f>1500+700-F74</f>
        <v>1382.4400000000005</v>
      </c>
      <c r="I74" s="2"/>
      <c r="J74" s="118">
        <f>SUM(J71:J73)</f>
        <v>1554.12</v>
      </c>
      <c r="K74" s="118">
        <f>SUM(K71:K73)</f>
        <v>18908.5</v>
      </c>
      <c r="L74" s="118">
        <f>SUM(L71:L73)</f>
        <v>18713.650000000001</v>
      </c>
      <c r="M74" s="118">
        <f>SUM(M71:M73)</f>
        <v>1359.27</v>
      </c>
    </row>
    <row r="75" spans="1:14" s="70" customFormat="1" ht="12.75" customHeight="1" x14ac:dyDescent="0.2">
      <c r="A75" s="24"/>
      <c r="B75" s="1"/>
      <c r="C75" s="14"/>
      <c r="D75" s="56"/>
      <c r="E75" s="13"/>
      <c r="F75" s="2"/>
      <c r="G75" s="30"/>
    </row>
    <row r="76" spans="1:14" s="70" customFormat="1" ht="12.75" customHeight="1" x14ac:dyDescent="0.2">
      <c r="A76" s="215" t="s">
        <v>80</v>
      </c>
      <c r="B76" s="216"/>
      <c r="C76" s="216"/>
      <c r="D76" s="217"/>
      <c r="E76" s="69"/>
      <c r="G76" s="30"/>
    </row>
    <row r="77" spans="1:14" s="70" customFormat="1" ht="12.75" customHeight="1" x14ac:dyDescent="0.2">
      <c r="A77" s="71" t="s">
        <v>81</v>
      </c>
      <c r="B77" s="71"/>
      <c r="C77" s="72" t="s">
        <v>82</v>
      </c>
      <c r="D77" s="73" t="s">
        <v>83</v>
      </c>
      <c r="E77" s="69"/>
      <c r="G77" s="30"/>
    </row>
    <row r="78" spans="1:14" s="70" customFormat="1" ht="12.75" customHeight="1" x14ac:dyDescent="0.2">
      <c r="A78" s="87">
        <v>45170</v>
      </c>
      <c r="B78" s="120" t="s">
        <v>1052</v>
      </c>
      <c r="C78" s="75" t="s">
        <v>270</v>
      </c>
      <c r="D78" s="88">
        <v>117174</v>
      </c>
      <c r="E78" s="2"/>
      <c r="F78" s="2"/>
      <c r="G78" s="30"/>
      <c r="H78" s="2"/>
      <c r="I78" s="2"/>
      <c r="J78" s="2"/>
      <c r="K78" s="2"/>
      <c r="L78" s="41"/>
      <c r="M78" s="42"/>
      <c r="N78" s="2"/>
    </row>
    <row r="79" spans="1:14" s="70" customFormat="1" ht="12.75" customHeight="1" x14ac:dyDescent="0.2">
      <c r="A79" s="87">
        <v>45171</v>
      </c>
      <c r="B79" s="120" t="s">
        <v>1052</v>
      </c>
      <c r="C79" s="75" t="s">
        <v>18</v>
      </c>
      <c r="D79" s="88">
        <v>278761</v>
      </c>
      <c r="E79" s="2"/>
      <c r="F79" s="2"/>
      <c r="G79" s="30"/>
      <c r="H79" s="2"/>
      <c r="I79" s="2"/>
      <c r="J79" s="1"/>
      <c r="K79" s="1"/>
      <c r="L79" s="1"/>
      <c r="M79" s="1"/>
      <c r="N79" s="2"/>
    </row>
    <row r="80" spans="1:14" s="70" customFormat="1" ht="12.75" customHeight="1" x14ac:dyDescent="0.2">
      <c r="A80" s="87">
        <v>45171</v>
      </c>
      <c r="B80" s="120" t="s">
        <v>1052</v>
      </c>
      <c r="C80" s="75" t="s">
        <v>201</v>
      </c>
      <c r="D80" s="88">
        <v>3500391.21</v>
      </c>
      <c r="E80" s="2"/>
      <c r="F80" s="2"/>
      <c r="G80" s="30"/>
      <c r="H80" s="2"/>
      <c r="I80" s="2"/>
      <c r="J80" s="2"/>
      <c r="K80" s="2"/>
      <c r="L80" s="13"/>
      <c r="M80" s="69" t="s">
        <v>396</v>
      </c>
      <c r="N80" s="2"/>
    </row>
    <row r="81" spans="1:14" s="2" customFormat="1" ht="12.75" customHeight="1" x14ac:dyDescent="0.2">
      <c r="A81" s="87">
        <v>45173</v>
      </c>
      <c r="B81" s="120" t="s">
        <v>1052</v>
      </c>
      <c r="C81" s="75" t="s">
        <v>86</v>
      </c>
      <c r="D81" s="88">
        <v>1786258</v>
      </c>
      <c r="G81" s="30"/>
      <c r="N81" s="1"/>
    </row>
    <row r="82" spans="1:14" s="2" customFormat="1" ht="12.75" customHeight="1" x14ac:dyDescent="0.2">
      <c r="A82" s="87">
        <v>45173</v>
      </c>
      <c r="B82" s="120" t="s">
        <v>1052</v>
      </c>
      <c r="C82" s="75" t="s">
        <v>86</v>
      </c>
      <c r="D82" s="88">
        <v>1329469</v>
      </c>
      <c r="G82" s="1"/>
      <c r="M82" s="2" t="s">
        <v>396</v>
      </c>
      <c r="N82" s="1"/>
    </row>
    <row r="83" spans="1:14" s="2" customFormat="1" ht="12.75" customHeight="1" x14ac:dyDescent="0.2">
      <c r="A83" s="87">
        <v>45173</v>
      </c>
      <c r="B83" s="120" t="s">
        <v>1052</v>
      </c>
      <c r="C83" s="75" t="s">
        <v>86</v>
      </c>
      <c r="D83" s="88">
        <v>22763</v>
      </c>
      <c r="I83" s="1"/>
      <c r="J83" s="1"/>
      <c r="K83" s="1"/>
    </row>
    <row r="84" spans="1:14" s="2" customFormat="1" ht="12.75" customHeight="1" x14ac:dyDescent="0.2">
      <c r="A84" s="87">
        <v>45175</v>
      </c>
      <c r="B84" s="120" t="s">
        <v>1052</v>
      </c>
      <c r="C84" s="75" t="s">
        <v>85</v>
      </c>
      <c r="D84" s="88">
        <v>673560</v>
      </c>
      <c r="G84" s="1"/>
    </row>
    <row r="85" spans="1:14" s="2" customFormat="1" x14ac:dyDescent="0.2">
      <c r="A85" s="87">
        <v>45175</v>
      </c>
      <c r="B85" s="120" t="s">
        <v>1052</v>
      </c>
      <c r="C85" s="75" t="s">
        <v>85</v>
      </c>
      <c r="D85" s="88">
        <v>700391</v>
      </c>
      <c r="G85" s="1"/>
      <c r="N85" s="2" t="s">
        <v>535</v>
      </c>
    </row>
    <row r="86" spans="1:14" x14ac:dyDescent="0.2">
      <c r="A86" s="87">
        <v>45175</v>
      </c>
      <c r="B86" s="120" t="s">
        <v>1052</v>
      </c>
      <c r="C86" s="75" t="s">
        <v>84</v>
      </c>
      <c r="D86" s="88">
        <v>1000000</v>
      </c>
      <c r="I86" s="2"/>
      <c r="J86" s="2"/>
      <c r="K86" s="2"/>
      <c r="L86" s="2"/>
      <c r="M86" s="2"/>
      <c r="N86" s="2"/>
    </row>
    <row r="87" spans="1:14" x14ac:dyDescent="0.2">
      <c r="A87" s="87">
        <v>45176</v>
      </c>
      <c r="B87" s="120" t="s">
        <v>1052</v>
      </c>
      <c r="C87" s="75" t="s">
        <v>85</v>
      </c>
      <c r="D87" s="88">
        <v>565814</v>
      </c>
      <c r="I87" s="2"/>
      <c r="J87" s="2"/>
      <c r="K87" s="2"/>
      <c r="L87" s="2"/>
      <c r="M87" s="2"/>
      <c r="N87" s="2"/>
    </row>
    <row r="88" spans="1:14" s="2" customFormat="1" x14ac:dyDescent="0.2">
      <c r="A88" s="87">
        <v>45176</v>
      </c>
      <c r="B88" s="120" t="s">
        <v>1052</v>
      </c>
      <c r="C88" s="75" t="s">
        <v>271</v>
      </c>
      <c r="D88" s="88">
        <v>1691421</v>
      </c>
      <c r="G88" s="1"/>
    </row>
    <row r="89" spans="1:14" s="2" customFormat="1" x14ac:dyDescent="0.2">
      <c r="A89" s="87">
        <v>45177</v>
      </c>
      <c r="B89" s="120" t="s">
        <v>1052</v>
      </c>
      <c r="C89" s="75" t="s">
        <v>85</v>
      </c>
      <c r="D89" s="88">
        <v>432581</v>
      </c>
    </row>
    <row r="90" spans="1:14" s="2" customFormat="1" x14ac:dyDescent="0.2">
      <c r="A90" s="87">
        <v>45177</v>
      </c>
      <c r="B90" s="120" t="s">
        <v>1052</v>
      </c>
      <c r="C90" s="75" t="s">
        <v>87</v>
      </c>
      <c r="D90" s="88">
        <v>1198155</v>
      </c>
    </row>
    <row r="91" spans="1:14" s="2" customFormat="1" x14ac:dyDescent="0.2">
      <c r="A91" s="87">
        <v>45180</v>
      </c>
      <c r="B91" s="120" t="s">
        <v>1052</v>
      </c>
      <c r="C91" s="75" t="s">
        <v>85</v>
      </c>
      <c r="D91" s="88">
        <v>279127</v>
      </c>
    </row>
    <row r="92" spans="1:14" s="2" customFormat="1" x14ac:dyDescent="0.2">
      <c r="A92" s="87">
        <v>45180</v>
      </c>
      <c r="B92" s="120" t="s">
        <v>1052</v>
      </c>
      <c r="C92" s="75" t="s">
        <v>270</v>
      </c>
      <c r="D92" s="88">
        <v>30842</v>
      </c>
    </row>
    <row r="93" spans="1:14" s="2" customFormat="1" x14ac:dyDescent="0.2">
      <c r="A93" s="87">
        <v>45180</v>
      </c>
      <c r="B93" s="120" t="s">
        <v>1052</v>
      </c>
      <c r="C93" s="75" t="s">
        <v>271</v>
      </c>
      <c r="D93" s="88">
        <v>701813</v>
      </c>
      <c r="G93" s="1"/>
    </row>
    <row r="94" spans="1:14" s="2" customFormat="1" x14ac:dyDescent="0.2">
      <c r="A94" s="87">
        <v>45180</v>
      </c>
      <c r="B94" s="120" t="s">
        <v>1052</v>
      </c>
      <c r="C94" s="75" t="s">
        <v>271</v>
      </c>
      <c r="D94" s="88">
        <v>189083</v>
      </c>
      <c r="G94" s="1"/>
    </row>
    <row r="95" spans="1:14" s="2" customFormat="1" x14ac:dyDescent="0.2">
      <c r="A95" s="87">
        <v>45180</v>
      </c>
      <c r="B95" s="120" t="s">
        <v>1052</v>
      </c>
      <c r="C95" s="75" t="s">
        <v>271</v>
      </c>
      <c r="D95" s="88">
        <v>2019</v>
      </c>
      <c r="G95" s="1"/>
    </row>
    <row r="96" spans="1:14" s="2" customFormat="1" x14ac:dyDescent="0.2">
      <c r="A96" s="87">
        <v>45182</v>
      </c>
      <c r="B96" s="120" t="s">
        <v>1052</v>
      </c>
      <c r="C96" s="75" t="s">
        <v>323</v>
      </c>
      <c r="D96" s="88">
        <v>3314639</v>
      </c>
      <c r="G96" s="1"/>
    </row>
    <row r="97" spans="1:7" s="2" customFormat="1" x14ac:dyDescent="0.2">
      <c r="A97" s="87">
        <v>45183</v>
      </c>
      <c r="B97" s="120" t="s">
        <v>1052</v>
      </c>
      <c r="C97" s="75" t="s">
        <v>85</v>
      </c>
      <c r="D97" s="88">
        <v>665398</v>
      </c>
      <c r="G97" s="1"/>
    </row>
    <row r="98" spans="1:7" s="2" customFormat="1" x14ac:dyDescent="0.2">
      <c r="A98" s="87">
        <v>45184</v>
      </c>
      <c r="B98" s="120" t="s">
        <v>1052</v>
      </c>
      <c r="C98" s="75" t="s">
        <v>85</v>
      </c>
      <c r="D98" s="88">
        <v>669733</v>
      </c>
      <c r="G98" s="1"/>
    </row>
    <row r="99" spans="1:7" s="2" customFormat="1" x14ac:dyDescent="0.2">
      <c r="A99" s="87">
        <v>45184</v>
      </c>
      <c r="B99" s="120" t="s">
        <v>1052</v>
      </c>
      <c r="C99" s="75" t="s">
        <v>270</v>
      </c>
      <c r="D99" s="88">
        <v>6923</v>
      </c>
      <c r="G99" s="1"/>
    </row>
    <row r="100" spans="1:7" s="2" customFormat="1" x14ac:dyDescent="0.2">
      <c r="A100" s="87">
        <v>45184</v>
      </c>
      <c r="B100" s="120" t="s">
        <v>1052</v>
      </c>
      <c r="C100" s="75" t="s">
        <v>84</v>
      </c>
      <c r="D100" s="88">
        <v>1092413</v>
      </c>
      <c r="G100" s="1"/>
    </row>
    <row r="101" spans="1:7" s="2" customFormat="1" x14ac:dyDescent="0.2">
      <c r="A101" s="87">
        <v>45184</v>
      </c>
      <c r="B101" s="120" t="s">
        <v>1052</v>
      </c>
      <c r="C101" s="75" t="s">
        <v>270</v>
      </c>
      <c r="D101" s="88">
        <v>273422</v>
      </c>
      <c r="G101" s="1"/>
    </row>
    <row r="102" spans="1:7" s="2" customFormat="1" x14ac:dyDescent="0.2">
      <c r="A102" s="87">
        <v>45185</v>
      </c>
      <c r="B102" s="120" t="s">
        <v>1052</v>
      </c>
      <c r="C102" s="75" t="s">
        <v>85</v>
      </c>
      <c r="D102" s="88">
        <v>389967</v>
      </c>
      <c r="G102" s="1"/>
    </row>
    <row r="103" spans="1:7" s="2" customFormat="1" x14ac:dyDescent="0.2">
      <c r="A103" s="87">
        <v>45185</v>
      </c>
      <c r="B103" s="120" t="s">
        <v>1052</v>
      </c>
      <c r="C103" s="75" t="s">
        <v>87</v>
      </c>
      <c r="D103" s="88">
        <v>887666</v>
      </c>
      <c r="G103" s="1"/>
    </row>
    <row r="104" spans="1:7" s="2" customFormat="1" x14ac:dyDescent="0.2">
      <c r="A104" s="87">
        <v>45187</v>
      </c>
      <c r="B104" s="120" t="s">
        <v>1052</v>
      </c>
      <c r="C104" s="75" t="s">
        <v>85</v>
      </c>
      <c r="D104" s="88">
        <v>702770</v>
      </c>
      <c r="G104" s="1"/>
    </row>
    <row r="105" spans="1:7" s="2" customFormat="1" x14ac:dyDescent="0.2">
      <c r="A105" s="87">
        <v>45187</v>
      </c>
      <c r="B105" s="120" t="s">
        <v>1052</v>
      </c>
      <c r="C105" s="75" t="s">
        <v>88</v>
      </c>
      <c r="D105" s="88">
        <v>986729.07</v>
      </c>
      <c r="G105" s="1"/>
    </row>
    <row r="106" spans="1:7" s="2" customFormat="1" x14ac:dyDescent="0.2">
      <c r="A106" s="87">
        <v>45189</v>
      </c>
      <c r="B106" s="120" t="s">
        <v>1052</v>
      </c>
      <c r="C106" s="75" t="s">
        <v>18</v>
      </c>
      <c r="D106" s="88">
        <v>140000</v>
      </c>
      <c r="G106" s="1"/>
    </row>
    <row r="107" spans="1:7" s="2" customFormat="1" x14ac:dyDescent="0.2">
      <c r="A107" s="87">
        <v>45189</v>
      </c>
      <c r="B107" s="120" t="s">
        <v>1052</v>
      </c>
      <c r="C107" s="75" t="s">
        <v>271</v>
      </c>
      <c r="D107" s="88">
        <v>17256</v>
      </c>
      <c r="G107" s="1"/>
    </row>
    <row r="108" spans="1:7" s="2" customFormat="1" x14ac:dyDescent="0.2">
      <c r="A108" s="87">
        <v>45190</v>
      </c>
      <c r="B108" s="120" t="s">
        <v>1052</v>
      </c>
      <c r="C108" s="75" t="s">
        <v>594</v>
      </c>
      <c r="D108" s="88">
        <v>6659450</v>
      </c>
      <c r="G108" s="1"/>
    </row>
    <row r="109" spans="1:7" s="2" customFormat="1" x14ac:dyDescent="0.2">
      <c r="A109" s="87">
        <v>45190</v>
      </c>
      <c r="B109" s="120" t="s">
        <v>1052</v>
      </c>
      <c r="C109" s="75" t="s">
        <v>86</v>
      </c>
      <c r="D109" s="88">
        <v>3527095</v>
      </c>
      <c r="G109" s="1"/>
    </row>
    <row r="110" spans="1:7" s="2" customFormat="1" x14ac:dyDescent="0.2">
      <c r="A110" s="87">
        <v>45190</v>
      </c>
      <c r="B110" s="120" t="s">
        <v>1052</v>
      </c>
      <c r="C110" s="75" t="s">
        <v>86</v>
      </c>
      <c r="D110" s="88">
        <v>307522</v>
      </c>
      <c r="G110" s="1"/>
    </row>
    <row r="111" spans="1:7" s="2" customFormat="1" x14ac:dyDescent="0.2">
      <c r="A111" s="87">
        <v>45190</v>
      </c>
      <c r="B111" s="120" t="s">
        <v>1052</v>
      </c>
      <c r="C111" s="75" t="s">
        <v>86</v>
      </c>
      <c r="D111" s="88">
        <v>7343</v>
      </c>
      <c r="G111" s="1"/>
    </row>
    <row r="112" spans="1:7" s="2" customFormat="1" x14ac:dyDescent="0.2">
      <c r="A112" s="87">
        <v>45191</v>
      </c>
      <c r="B112" s="120" t="s">
        <v>1052</v>
      </c>
      <c r="C112" s="75" t="s">
        <v>85</v>
      </c>
      <c r="D112" s="88">
        <v>68477</v>
      </c>
      <c r="G112" s="1"/>
    </row>
    <row r="113" spans="1:8" s="2" customFormat="1" x14ac:dyDescent="0.2">
      <c r="A113" s="87">
        <v>45191</v>
      </c>
      <c r="B113" s="120" t="s">
        <v>1052</v>
      </c>
      <c r="C113" s="75" t="s">
        <v>84</v>
      </c>
      <c r="D113" s="88">
        <v>237682</v>
      </c>
      <c r="G113" s="1"/>
    </row>
    <row r="114" spans="1:8" s="2" customFormat="1" x14ac:dyDescent="0.2">
      <c r="A114" s="87">
        <v>45194</v>
      </c>
      <c r="B114" s="120" t="s">
        <v>1052</v>
      </c>
      <c r="C114" s="75" t="s">
        <v>85</v>
      </c>
      <c r="D114" s="88">
        <v>670873</v>
      </c>
      <c r="G114" s="1"/>
    </row>
    <row r="115" spans="1:8" s="2" customFormat="1" x14ac:dyDescent="0.2">
      <c r="A115" s="87">
        <v>45196</v>
      </c>
      <c r="B115" s="120" t="s">
        <v>1052</v>
      </c>
      <c r="C115" s="75" t="s">
        <v>85</v>
      </c>
      <c r="D115" s="88">
        <v>342738</v>
      </c>
      <c r="G115" s="1"/>
    </row>
    <row r="116" spans="1:8" s="2" customFormat="1" x14ac:dyDescent="0.2">
      <c r="A116" s="87">
        <v>45196</v>
      </c>
      <c r="B116" s="120" t="s">
        <v>1052</v>
      </c>
      <c r="C116" s="75" t="s">
        <v>323</v>
      </c>
      <c r="D116" s="88">
        <v>2141833</v>
      </c>
      <c r="G116" s="1"/>
    </row>
    <row r="117" spans="1:8" s="2" customFormat="1" x14ac:dyDescent="0.2">
      <c r="A117" s="87">
        <v>45197</v>
      </c>
      <c r="B117" s="120" t="s">
        <v>1052</v>
      </c>
      <c r="C117" s="75" t="s">
        <v>201</v>
      </c>
      <c r="D117" s="88">
        <v>20193</v>
      </c>
      <c r="G117" s="1"/>
    </row>
    <row r="118" spans="1:8" s="2" customFormat="1" x14ac:dyDescent="0.2">
      <c r="A118" s="87">
        <v>45198</v>
      </c>
      <c r="B118" s="120" t="s">
        <v>1052</v>
      </c>
      <c r="C118" s="75" t="s">
        <v>85</v>
      </c>
      <c r="D118" s="88">
        <v>190432</v>
      </c>
      <c r="G118" s="1"/>
    </row>
    <row r="119" spans="1:8" s="2" customFormat="1" x14ac:dyDescent="0.2">
      <c r="A119" s="87">
        <v>45198</v>
      </c>
      <c r="B119" s="120" t="s">
        <v>1052</v>
      </c>
      <c r="C119" s="75" t="s">
        <v>84</v>
      </c>
      <c r="D119" s="88">
        <v>2044664</v>
      </c>
      <c r="G119" s="1"/>
    </row>
    <row r="120" spans="1:8" s="2" customFormat="1" x14ac:dyDescent="0.2">
      <c r="A120" s="87">
        <v>45198</v>
      </c>
      <c r="B120" s="120" t="s">
        <v>1052</v>
      </c>
      <c r="C120" s="75" t="s">
        <v>86</v>
      </c>
      <c r="D120" s="88">
        <v>2355499</v>
      </c>
      <c r="G120" s="1"/>
    </row>
    <row r="121" spans="1:8" s="2" customFormat="1" x14ac:dyDescent="0.2">
      <c r="A121" s="87">
        <v>45198</v>
      </c>
      <c r="B121" s="120" t="s">
        <v>1052</v>
      </c>
      <c r="C121" s="75" t="s">
        <v>86</v>
      </c>
      <c r="D121" s="88">
        <v>722397</v>
      </c>
      <c r="G121" s="1"/>
    </row>
    <row r="122" spans="1:8" s="2" customFormat="1" x14ac:dyDescent="0.2">
      <c r="A122" s="87">
        <v>45198</v>
      </c>
      <c r="B122" s="120" t="s">
        <v>1052</v>
      </c>
      <c r="C122" s="75" t="s">
        <v>88</v>
      </c>
      <c r="D122" s="88">
        <v>2805629.83</v>
      </c>
      <c r="G122" s="1"/>
    </row>
    <row r="123" spans="1:8" s="2" customFormat="1" x14ac:dyDescent="0.2">
      <c r="A123" s="87">
        <v>45199</v>
      </c>
      <c r="B123" s="120" t="s">
        <v>1052</v>
      </c>
      <c r="C123" s="75" t="s">
        <v>271</v>
      </c>
      <c r="D123" s="88">
        <v>607098</v>
      </c>
      <c r="G123" s="1"/>
    </row>
    <row r="124" spans="1:8" s="2" customFormat="1" x14ac:dyDescent="0.2">
      <c r="A124" s="87"/>
      <c r="B124" s="74"/>
      <c r="C124" s="75"/>
      <c r="D124" s="51">
        <f>SUM(D78:D123)</f>
        <v>46355464.109999999</v>
      </c>
      <c r="F124" s="2" t="s">
        <v>396</v>
      </c>
      <c r="G124" s="1"/>
    </row>
    <row r="125" spans="1:8" s="2" customFormat="1" x14ac:dyDescent="0.2">
      <c r="A125" s="24"/>
      <c r="B125" s="1"/>
      <c r="C125" s="14"/>
      <c r="D125" s="56"/>
      <c r="E125" s="13"/>
      <c r="G125" s="1"/>
    </row>
    <row r="126" spans="1:8" s="2" customFormat="1" x14ac:dyDescent="0.2">
      <c r="A126" s="24"/>
      <c r="B126" s="1"/>
      <c r="C126" s="218" t="s">
        <v>77</v>
      </c>
      <c r="D126" s="219"/>
      <c r="E126" s="219"/>
      <c r="F126" s="220"/>
      <c r="H126" s="2" t="s">
        <v>396</v>
      </c>
    </row>
    <row r="127" spans="1:8" s="2" customFormat="1" x14ac:dyDescent="0.2">
      <c r="A127" s="24"/>
      <c r="B127" s="1"/>
      <c r="C127" s="50"/>
      <c r="D127" s="57" t="s">
        <v>78</v>
      </c>
      <c r="E127" s="58" t="s">
        <v>79</v>
      </c>
      <c r="F127" s="57" t="s">
        <v>72</v>
      </c>
      <c r="H127" s="2" t="s">
        <v>396</v>
      </c>
    </row>
    <row r="128" spans="1:8" s="2" customFormat="1" x14ac:dyDescent="0.2">
      <c r="A128" s="24"/>
      <c r="B128" s="1"/>
      <c r="C128" s="59" t="str">
        <f>"01-09-2023 to "&amp;TEXT(A5-2,"dd-mm-yyyy")</f>
        <v>01-09-2023 to 28-09-2023</v>
      </c>
      <c r="D128" s="60">
        <v>2375.41</v>
      </c>
      <c r="E128" s="60">
        <v>301.88</v>
      </c>
      <c r="F128" s="61">
        <f>SUM(D128:E128)</f>
        <v>2677.29</v>
      </c>
    </row>
    <row r="129" spans="1:13" s="2" customFormat="1" x14ac:dyDescent="0.2">
      <c r="A129" s="24"/>
      <c r="B129" s="1"/>
      <c r="C129" s="62" t="str">
        <f>TEXT(A5-1,"dd-mm-yyyy")</f>
        <v>29-09-2023</v>
      </c>
      <c r="D129" s="60">
        <v>176.28</v>
      </c>
      <c r="E129" s="60">
        <v>14.39</v>
      </c>
      <c r="F129" s="61">
        <f>SUM(D129:E129)</f>
        <v>190.67000000000002</v>
      </c>
      <c r="G129" s="1"/>
      <c r="H129" s="53"/>
    </row>
    <row r="130" spans="1:13" s="2" customFormat="1" ht="13.5" thickBot="1" x14ac:dyDescent="0.25">
      <c r="A130" s="24"/>
      <c r="B130" s="1"/>
      <c r="C130" s="63" t="str">
        <f>"01-09-2023 to "&amp;TEXT(A5-1,"dd-mm-yyyy")</f>
        <v>01-09-2023 to 29-09-2023</v>
      </c>
      <c r="D130" s="64">
        <f>SUM(D128:D129)</f>
        <v>2551.69</v>
      </c>
      <c r="E130" s="64">
        <f>SUM(E128:E129)</f>
        <v>316.27</v>
      </c>
      <c r="F130" s="64">
        <f>SUM(F128:F129)</f>
        <v>2867.96</v>
      </c>
      <c r="G130" s="1"/>
      <c r="H130" s="53"/>
    </row>
    <row r="131" spans="1:13" s="2" customFormat="1" ht="13.5" thickTop="1" x14ac:dyDescent="0.2">
      <c r="A131" s="24"/>
      <c r="B131" s="1"/>
      <c r="C131" s="62"/>
      <c r="D131" s="65"/>
      <c r="E131" s="66"/>
      <c r="F131" s="67"/>
      <c r="L131" s="1"/>
      <c r="M131" s="1"/>
    </row>
    <row r="132" spans="1:13" s="2" customFormat="1" x14ac:dyDescent="0.2">
      <c r="A132" s="24"/>
      <c r="B132" s="1"/>
      <c r="C132" s="62" t="str">
        <f>"01-04-2023 to " &amp;C129</f>
        <v>01-04-2023 to 29-09-2023</v>
      </c>
      <c r="D132" s="68">
        <f>+D130+24252.69</f>
        <v>26804.379999999997</v>
      </c>
      <c r="E132" s="68">
        <f>+E130+1685.25</f>
        <v>2001.52</v>
      </c>
      <c r="F132" s="68">
        <f>+F130+25938.15</f>
        <v>28806.11</v>
      </c>
      <c r="G132" s="1"/>
      <c r="L132" s="1"/>
      <c r="M132" s="1"/>
    </row>
    <row r="133" spans="1:13" s="2" customFormat="1" x14ac:dyDescent="0.2">
      <c r="A133" s="24"/>
      <c r="B133" s="1"/>
      <c r="C133" s="52"/>
      <c r="D133" s="85"/>
      <c r="E133" s="53"/>
      <c r="F133" s="53"/>
      <c r="G133" s="1"/>
      <c r="L133" s="1"/>
      <c r="M133" s="1"/>
    </row>
    <row r="134" spans="1:13" s="2" customFormat="1" x14ac:dyDescent="0.2">
      <c r="A134" s="24"/>
      <c r="B134" s="1"/>
      <c r="C134" s="52"/>
      <c r="D134" s="85"/>
      <c r="E134" s="53"/>
      <c r="F134" s="53"/>
      <c r="G134" s="1"/>
      <c r="L134" s="1"/>
      <c r="M134" s="1"/>
    </row>
    <row r="135" spans="1:13" s="2" customFormat="1" x14ac:dyDescent="0.2">
      <c r="A135" s="24"/>
      <c r="B135" s="1"/>
      <c r="C135" s="52"/>
      <c r="D135" s="85"/>
      <c r="E135" s="53"/>
      <c r="F135" s="53"/>
      <c r="G135" s="1"/>
      <c r="L135" s="1"/>
      <c r="M135" s="1"/>
    </row>
    <row r="136" spans="1:13" s="2" customFormat="1" x14ac:dyDescent="0.2">
      <c r="A136" s="24"/>
      <c r="B136" s="1"/>
      <c r="C136" s="52"/>
      <c r="D136" s="85"/>
      <c r="E136" s="53"/>
      <c r="F136" s="53"/>
      <c r="G136" s="1"/>
      <c r="L136" s="1"/>
      <c r="M136" s="1"/>
    </row>
    <row r="137" spans="1:13" s="2" customFormat="1" x14ac:dyDescent="0.2">
      <c r="A137" s="24"/>
      <c r="B137" s="1"/>
      <c r="C137" s="14"/>
      <c r="D137" s="25"/>
      <c r="G137" s="1"/>
      <c r="L137" s="1"/>
      <c r="M137" s="1"/>
    </row>
    <row r="138" spans="1:13" s="2" customFormat="1" x14ac:dyDescent="0.2">
      <c r="A138" s="24"/>
      <c r="B138" s="1"/>
      <c r="C138" s="14"/>
      <c r="D138" s="25"/>
      <c r="G138" s="1"/>
      <c r="L138" s="1"/>
      <c r="M138" s="1"/>
    </row>
    <row r="139" spans="1:13" s="2" customFormat="1" x14ac:dyDescent="0.2">
      <c r="A139" s="24"/>
      <c r="B139" s="1"/>
      <c r="C139" s="14"/>
      <c r="D139" s="25"/>
      <c r="G139" s="1"/>
      <c r="L139" s="1"/>
      <c r="M139" s="1"/>
    </row>
    <row r="140" spans="1:13" s="2" customFormat="1" x14ac:dyDescent="0.2">
      <c r="A140" s="24"/>
      <c r="B140" s="1"/>
      <c r="C140" s="14"/>
      <c r="D140" s="25"/>
      <c r="G140" s="1"/>
      <c r="L140" s="1"/>
      <c r="M140" s="1"/>
    </row>
    <row r="141" spans="1:13" s="2" customFormat="1" x14ac:dyDescent="0.2">
      <c r="A141" s="24"/>
      <c r="B141" s="1"/>
      <c r="C141" s="14"/>
      <c r="D141" s="25"/>
      <c r="G141" s="1"/>
      <c r="L141" s="1"/>
      <c r="M141" s="1"/>
    </row>
    <row r="142" spans="1:13" s="2" customFormat="1" x14ac:dyDescent="0.2">
      <c r="A142" s="24"/>
      <c r="B142" s="1"/>
      <c r="C142" s="14"/>
      <c r="D142" s="25"/>
      <c r="G142" s="1"/>
      <c r="L142" s="1"/>
      <c r="M142" s="1"/>
    </row>
    <row r="143" spans="1:13" s="2" customFormat="1" x14ac:dyDescent="0.2">
      <c r="A143" s="24"/>
      <c r="B143" s="1"/>
      <c r="C143" s="14"/>
      <c r="D143" s="25"/>
      <c r="G143" s="1"/>
      <c r="L143" s="1"/>
      <c r="M143" s="1"/>
    </row>
    <row r="144" spans="1:13" s="2" customFormat="1" x14ac:dyDescent="0.2">
      <c r="A144" s="24"/>
      <c r="B144" s="1"/>
      <c r="C144" s="14"/>
      <c r="D144" s="25"/>
      <c r="G144" s="1"/>
      <c r="L144" s="1"/>
      <c r="M144" s="1"/>
    </row>
    <row r="145" spans="1:14" s="2" customFormat="1" x14ac:dyDescent="0.2">
      <c r="A145" s="24"/>
      <c r="B145" s="1"/>
      <c r="C145" s="14"/>
      <c r="D145" s="25"/>
      <c r="G145" s="1"/>
      <c r="L145" s="1"/>
      <c r="M145" s="1"/>
    </row>
    <row r="146" spans="1:14" s="2" customFormat="1" x14ac:dyDescent="0.2">
      <c r="A146" s="24"/>
      <c r="B146" s="1"/>
      <c r="C146" s="14"/>
      <c r="D146" s="25"/>
      <c r="G146" s="1"/>
      <c r="L146" s="1"/>
      <c r="M146" s="1"/>
    </row>
    <row r="147" spans="1:14" s="2" customFormat="1" x14ac:dyDescent="0.2">
      <c r="A147" s="24"/>
      <c r="B147" s="1"/>
      <c r="C147" s="14"/>
      <c r="D147" s="25"/>
      <c r="G147" s="1"/>
      <c r="L147" s="1"/>
      <c r="M147" s="1"/>
    </row>
    <row r="148" spans="1:14" s="2" customFormat="1" x14ac:dyDescent="0.2">
      <c r="A148" s="24"/>
      <c r="B148" s="1"/>
      <c r="C148" s="14"/>
      <c r="D148" s="25"/>
      <c r="G148" s="1"/>
      <c r="L148" s="1"/>
      <c r="M148" s="1"/>
    </row>
    <row r="149" spans="1:14" s="2" customFormat="1" x14ac:dyDescent="0.2">
      <c r="A149" s="24"/>
      <c r="B149" s="1"/>
      <c r="C149" s="14"/>
      <c r="D149" s="25"/>
      <c r="G149" s="1"/>
      <c r="L149" s="1"/>
      <c r="M149" s="1"/>
    </row>
    <row r="150" spans="1:14" s="2" customFormat="1" x14ac:dyDescent="0.2">
      <c r="A150" s="24"/>
      <c r="B150" s="1"/>
      <c r="C150" s="14"/>
      <c r="D150" s="25"/>
      <c r="G150" s="1"/>
      <c r="L150" s="1"/>
      <c r="M150" s="1"/>
    </row>
    <row r="151" spans="1:14" s="2" customFormat="1" x14ac:dyDescent="0.2">
      <c r="A151" s="24"/>
      <c r="B151" s="1"/>
      <c r="C151" s="14"/>
      <c r="D151" s="25"/>
      <c r="G151" s="1"/>
      <c r="I151" s="1"/>
      <c r="J151" s="1"/>
      <c r="K151" s="1"/>
      <c r="L151" s="1"/>
      <c r="M151" s="1"/>
    </row>
    <row r="152" spans="1:14" s="2" customFormat="1" x14ac:dyDescent="0.2">
      <c r="A152" s="24"/>
      <c r="B152" s="1"/>
      <c r="C152" s="14"/>
      <c r="D152" s="25"/>
      <c r="G152" s="1"/>
    </row>
    <row r="153" spans="1:14" s="2" customFormat="1" x14ac:dyDescent="0.2">
      <c r="A153" s="24"/>
      <c r="B153" s="1"/>
      <c r="C153" s="14"/>
      <c r="D153" s="25"/>
      <c r="G153" s="1"/>
      <c r="I153" s="1"/>
      <c r="J153" s="1"/>
      <c r="K153" s="1"/>
      <c r="L153" s="1"/>
      <c r="M153" s="1"/>
    </row>
    <row r="154" spans="1:14" s="2" customFormat="1" x14ac:dyDescent="0.2">
      <c r="A154" s="24"/>
      <c r="B154" s="1"/>
      <c r="C154" s="14"/>
      <c r="D154" s="25"/>
      <c r="G154" s="54"/>
      <c r="I154" s="1"/>
      <c r="J154" s="1"/>
      <c r="K154" s="1"/>
      <c r="L154" s="1"/>
      <c r="M154" s="1"/>
    </row>
    <row r="155" spans="1:14" s="2" customFormat="1" x14ac:dyDescent="0.2">
      <c r="A155" s="24"/>
      <c r="B155" s="1"/>
      <c r="C155" s="14"/>
      <c r="D155" s="25"/>
      <c r="G155" s="54"/>
      <c r="I155" s="1"/>
      <c r="J155" s="1"/>
      <c r="K155" s="1"/>
      <c r="L155" s="1"/>
      <c r="M155" s="1"/>
    </row>
    <row r="156" spans="1:14" s="2" customFormat="1" x14ac:dyDescent="0.2">
      <c r="A156" s="24"/>
      <c r="B156" s="1"/>
      <c r="C156" s="14"/>
      <c r="D156" s="25"/>
      <c r="G156" s="54"/>
      <c r="I156" s="1"/>
      <c r="J156" s="1"/>
      <c r="K156" s="1"/>
      <c r="L156" s="1"/>
      <c r="M156" s="1"/>
    </row>
    <row r="157" spans="1:14" s="2" customFormat="1" x14ac:dyDescent="0.2">
      <c r="A157" s="24"/>
      <c r="B157" s="1"/>
      <c r="C157" s="14"/>
      <c r="D157" s="25"/>
      <c r="G157" s="54"/>
      <c r="H157" s="2" t="s">
        <v>396</v>
      </c>
      <c r="I157" s="1"/>
      <c r="J157" s="1"/>
      <c r="K157" s="1"/>
      <c r="L157" s="1"/>
      <c r="M157" s="1"/>
      <c r="N157" s="1"/>
    </row>
    <row r="158" spans="1:14" s="2" customFormat="1" x14ac:dyDescent="0.2">
      <c r="A158" s="24"/>
      <c r="B158" s="1"/>
      <c r="C158" s="14"/>
      <c r="D158" s="25"/>
      <c r="G158" s="54"/>
      <c r="H158" s="53"/>
    </row>
    <row r="159" spans="1:14" s="2" customFormat="1" x14ac:dyDescent="0.2">
      <c r="A159" s="24"/>
      <c r="B159" s="1"/>
      <c r="C159" s="14"/>
      <c r="D159" s="25"/>
      <c r="G159" s="54"/>
      <c r="H159" s="53" t="s">
        <v>396</v>
      </c>
      <c r="I159" s="1"/>
      <c r="J159" s="1"/>
      <c r="K159" s="1"/>
      <c r="L159" s="1"/>
      <c r="M159" s="1"/>
      <c r="N159" s="1"/>
    </row>
    <row r="160" spans="1:14" x14ac:dyDescent="0.2">
      <c r="G160" s="54"/>
      <c r="H160" s="53" t="s">
        <v>396</v>
      </c>
      <c r="J160" s="42"/>
    </row>
    <row r="161" spans="1:14" s="2" customFormat="1" x14ac:dyDescent="0.2">
      <c r="A161" s="24"/>
      <c r="B161" s="1"/>
      <c r="C161" s="14"/>
      <c r="D161" s="25"/>
      <c r="G161" s="54"/>
      <c r="H161" s="53"/>
      <c r="I161" s="101"/>
      <c r="J161" s="1"/>
      <c r="K161" s="1"/>
      <c r="L161" s="1"/>
      <c r="M161" s="1"/>
      <c r="N161" s="1"/>
    </row>
    <row r="162" spans="1:14" x14ac:dyDescent="0.2">
      <c r="G162" s="54"/>
      <c r="H162" s="53"/>
    </row>
    <row r="163" spans="1:14" x14ac:dyDescent="0.2">
      <c r="G163" s="54"/>
      <c r="H163" s="53"/>
    </row>
    <row r="164" spans="1:14" x14ac:dyDescent="0.2">
      <c r="G164" s="54"/>
      <c r="H164" s="53"/>
    </row>
  </sheetData>
  <sheetProtection insertRows="0"/>
  <mergeCells count="6">
    <mergeCell ref="C126:F126"/>
    <mergeCell ref="A1:G1"/>
    <mergeCell ref="A3:F3"/>
    <mergeCell ref="A9:F9"/>
    <mergeCell ref="A21:F21"/>
    <mergeCell ref="A76:D76"/>
  </mergeCells>
  <conditionalFormatting sqref="G73:G74">
    <cfRule type="cellIs" dxfId="289" priority="1" operator="lessThan">
      <formula>0</formula>
    </cfRule>
  </conditionalFormatting>
  <conditionalFormatting sqref="C23">
    <cfRule type="duplicateValues" dxfId="288" priority="2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200-000000000000}">
  <sheetPr codeName="Sheet442">
    <pageSetUpPr fitToPage="1"/>
  </sheetPr>
  <dimension ref="A1:N146"/>
  <sheetViews>
    <sheetView topLeftCell="B76" zoomScaleNormal="100" workbookViewId="0">
      <selection activeCell="E94" sqref="E94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3" ht="20.25" customHeight="1" x14ac:dyDescent="0.4">
      <c r="A1" s="212" t="s">
        <v>1620</v>
      </c>
      <c r="B1" s="212"/>
      <c r="C1" s="212"/>
      <c r="D1" s="212"/>
      <c r="E1" s="212"/>
      <c r="F1" s="212"/>
      <c r="G1" s="212"/>
      <c r="H1" s="112"/>
      <c r="I1" s="112"/>
    </row>
    <row r="2" spans="1:13" ht="12.75" customHeight="1" x14ac:dyDescent="0.4">
      <c r="H2" s="112"/>
      <c r="I2" s="112"/>
    </row>
    <row r="3" spans="1:13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3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3" s="2" customFormat="1" ht="14.25" customHeight="1" x14ac:dyDescent="0.4">
      <c r="A5" s="89">
        <v>45202</v>
      </c>
      <c r="B5" s="9" t="s">
        <v>6</v>
      </c>
      <c r="C5" s="10" t="s">
        <v>7</v>
      </c>
      <c r="D5" s="11"/>
      <c r="E5" s="12">
        <v>990639.79000000097</v>
      </c>
      <c r="F5" s="12"/>
      <c r="G5" s="1"/>
      <c r="H5" s="112"/>
      <c r="I5" s="112"/>
    </row>
    <row r="6" spans="1:13" s="2" customFormat="1" ht="12.75" customHeight="1" x14ac:dyDescent="0.4">
      <c r="D6" s="15" t="s">
        <v>8</v>
      </c>
      <c r="E6" s="16">
        <f>SUM(E5:E5)</f>
        <v>990639.79000000097</v>
      </c>
      <c r="F6" s="16">
        <f>F5</f>
        <v>0</v>
      </c>
      <c r="G6" s="1"/>
      <c r="H6" s="112"/>
      <c r="I6" s="112"/>
    </row>
    <row r="7" spans="1:13" s="2" customFormat="1" ht="12.75" customHeight="1" x14ac:dyDescent="0.4">
      <c r="A7" s="17"/>
      <c r="B7" s="18"/>
      <c r="C7" s="19" t="s">
        <v>9</v>
      </c>
      <c r="D7" s="20"/>
      <c r="E7" s="21">
        <f>+E6-F6</f>
        <v>990639.79000000097</v>
      </c>
      <c r="F7" s="22"/>
      <c r="G7" s="23"/>
      <c r="H7" s="112"/>
      <c r="I7" s="112"/>
      <c r="J7" s="13"/>
    </row>
    <row r="8" spans="1:13" ht="12.75" customHeight="1" x14ac:dyDescent="0.4">
      <c r="H8" s="112"/>
      <c r="I8" s="112"/>
    </row>
    <row r="9" spans="1:13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69">
        <v>90000000</v>
      </c>
      <c r="J9" s="169" t="s">
        <v>1508</v>
      </c>
    </row>
    <row r="10" spans="1:13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69">
        <v>85682096.180000007</v>
      </c>
      <c r="J10" s="169" t="s">
        <v>1509</v>
      </c>
      <c r="K10" s="124"/>
    </row>
    <row r="11" spans="1:13" s="2" customFormat="1" ht="14.25" customHeight="1" x14ac:dyDescent="0.2">
      <c r="A11" s="89">
        <v>45202</v>
      </c>
      <c r="B11" s="9" t="s">
        <v>6</v>
      </c>
      <c r="C11" s="10" t="s">
        <v>7</v>
      </c>
      <c r="D11" s="11"/>
      <c r="F11" s="12">
        <v>86213601.980000004</v>
      </c>
      <c r="G11" s="1"/>
      <c r="H11" s="130" t="s">
        <v>396</v>
      </c>
      <c r="I11" s="169">
        <f>+I9-I10</f>
        <v>4317903.8199999928</v>
      </c>
      <c r="J11" s="169" t="s">
        <v>712</v>
      </c>
      <c r="K11" s="165" t="s">
        <v>1512</v>
      </c>
    </row>
    <row r="12" spans="1:13" s="2" customFormat="1" ht="14.25" customHeight="1" x14ac:dyDescent="0.2">
      <c r="A12" s="89">
        <v>45202</v>
      </c>
      <c r="B12" s="9" t="s">
        <v>6</v>
      </c>
      <c r="C12" s="76" t="s">
        <v>420</v>
      </c>
      <c r="D12" s="11" t="s">
        <v>13</v>
      </c>
      <c r="E12" s="2">
        <v>1255536</v>
      </c>
      <c r="F12" s="12"/>
      <c r="G12" s="1"/>
      <c r="H12" s="130"/>
      <c r="I12" s="171"/>
      <c r="J12" s="171"/>
      <c r="K12" s="165"/>
    </row>
    <row r="13" spans="1:13" s="2" customFormat="1" ht="14.25" customHeight="1" x14ac:dyDescent="0.2">
      <c r="A13" s="89">
        <v>45202</v>
      </c>
      <c r="B13" s="9" t="s">
        <v>6</v>
      </c>
      <c r="C13" s="76" t="s">
        <v>1617</v>
      </c>
      <c r="D13" s="11" t="s">
        <v>499</v>
      </c>
      <c r="E13" s="2">
        <v>998</v>
      </c>
      <c r="F13" s="12"/>
      <c r="G13" s="1"/>
      <c r="H13" s="130"/>
      <c r="I13" s="171"/>
      <c r="J13" s="171"/>
      <c r="K13" s="165"/>
    </row>
    <row r="14" spans="1:13" s="2" customFormat="1" ht="14.25" customHeight="1" x14ac:dyDescent="0.2">
      <c r="A14" s="89">
        <v>45202</v>
      </c>
      <c r="B14" s="9" t="s">
        <v>6</v>
      </c>
      <c r="C14" s="76" t="s">
        <v>48</v>
      </c>
      <c r="D14" s="11" t="s">
        <v>499</v>
      </c>
      <c r="E14" s="2">
        <v>52414</v>
      </c>
      <c r="F14" s="12"/>
      <c r="G14" s="1"/>
      <c r="H14" s="130"/>
      <c r="I14" s="171"/>
      <c r="J14" s="171"/>
      <c r="K14" s="165"/>
    </row>
    <row r="15" spans="1:13" s="2" customFormat="1" ht="14.25" customHeight="1" x14ac:dyDescent="0.2">
      <c r="A15" s="89">
        <v>45202</v>
      </c>
      <c r="B15" s="9" t="s">
        <v>11</v>
      </c>
      <c r="C15" s="76" t="s">
        <v>1460</v>
      </c>
      <c r="D15" s="11" t="s">
        <v>29</v>
      </c>
      <c r="F15" s="12">
        <v>777442.2</v>
      </c>
      <c r="G15" s="1"/>
      <c r="H15" s="130"/>
      <c r="I15" s="171"/>
      <c r="J15" s="171"/>
      <c r="K15" s="165"/>
    </row>
    <row r="16" spans="1:13" s="2" customFormat="1" ht="14.25" customHeight="1" x14ac:dyDescent="0.2">
      <c r="D16" s="11" t="s">
        <v>8</v>
      </c>
      <c r="E16" s="16">
        <f>SUM(E11:E15)</f>
        <v>1308948</v>
      </c>
      <c r="F16" s="16">
        <f>SUM(F11:F15)</f>
        <v>86991044.180000007</v>
      </c>
      <c r="G16" s="1"/>
      <c r="H16" s="143"/>
      <c r="I16" s="130"/>
      <c r="J16" s="143"/>
      <c r="K16" s="143"/>
      <c r="L16" s="143"/>
      <c r="M16" s="143"/>
    </row>
    <row r="17" spans="1:14" s="2" customFormat="1" ht="14.25" customHeight="1" x14ac:dyDescent="0.4">
      <c r="A17" s="17"/>
      <c r="B17" s="18"/>
      <c r="C17" s="96" t="s">
        <v>9</v>
      </c>
      <c r="D17" s="20"/>
      <c r="E17" s="21">
        <f>+F16-E16</f>
        <v>85682096.180000007</v>
      </c>
      <c r="G17" s="1"/>
      <c r="I17" s="112"/>
      <c r="J17" s="153" t="s">
        <v>779</v>
      </c>
    </row>
    <row r="18" spans="1:14" s="2" customFormat="1" ht="14.25" customHeight="1" x14ac:dyDescent="0.2">
      <c r="A18" s="36"/>
      <c r="B18" s="28" t="s">
        <v>66</v>
      </c>
      <c r="C18" s="43" t="s">
        <v>1458</v>
      </c>
      <c r="D18" s="43"/>
      <c r="E18" s="12">
        <v>30000000</v>
      </c>
      <c r="F18" s="22"/>
      <c r="G18" s="1"/>
      <c r="I18" s="40">
        <v>85682096.180000007</v>
      </c>
      <c r="J18" s="154">
        <f>I18-E17</f>
        <v>0</v>
      </c>
    </row>
    <row r="19" spans="1:14" s="2" customFormat="1" ht="14.25" customHeight="1" x14ac:dyDescent="0.25">
      <c r="A19" s="36"/>
      <c r="B19" s="28"/>
      <c r="C19" s="44" t="s">
        <v>1541</v>
      </c>
      <c r="D19" s="43"/>
      <c r="E19" s="7">
        <f>+E17+E18</f>
        <v>115682096.18000001</v>
      </c>
      <c r="F19" s="22"/>
      <c r="G19" s="1"/>
      <c r="H19" s="13" t="s">
        <v>1582</v>
      </c>
      <c r="I19" s="13" t="s">
        <v>1583</v>
      </c>
    </row>
    <row r="20" spans="1:14" s="2" customFormat="1" ht="14.25" customHeight="1" x14ac:dyDescent="0.25">
      <c r="A20" s="36"/>
      <c r="B20" s="28"/>
      <c r="C20" s="44" t="s">
        <v>1511</v>
      </c>
      <c r="D20" s="43"/>
      <c r="E20" s="38">
        <f>+I11</f>
        <v>4317903.8199999928</v>
      </c>
      <c r="F20" s="22"/>
      <c r="G20" s="1"/>
      <c r="H20" s="2">
        <v>12482272</v>
      </c>
      <c r="I20" s="2">
        <v>8335770.5800000001</v>
      </c>
      <c r="J20" s="176">
        <f>H20-I20</f>
        <v>4146501.42</v>
      </c>
    </row>
    <row r="21" spans="1:14" s="2" customFormat="1" ht="14.25" customHeight="1" x14ac:dyDescent="0.2">
      <c r="A21" s="24"/>
      <c r="B21" s="1"/>
      <c r="C21" s="14"/>
      <c r="D21" s="25"/>
      <c r="G21" s="1"/>
      <c r="I21" s="130"/>
      <c r="J21" s="130"/>
    </row>
    <row r="22" spans="1:14" s="2" customFormat="1" x14ac:dyDescent="0.2">
      <c r="A22" s="214" t="s">
        <v>10</v>
      </c>
      <c r="B22" s="214"/>
      <c r="C22" s="214"/>
      <c r="D22" s="214"/>
      <c r="E22" s="214"/>
      <c r="F22" s="214"/>
      <c r="G22" s="1"/>
      <c r="H22" s="159"/>
      <c r="I22" s="160">
        <f>225000000-75000000</f>
        <v>150000000</v>
      </c>
      <c r="J22" s="160" t="s">
        <v>1506</v>
      </c>
      <c r="K22" s="70"/>
    </row>
    <row r="23" spans="1:14" s="2" customFormat="1" x14ac:dyDescent="0.2">
      <c r="A23" s="26" t="s">
        <v>1</v>
      </c>
      <c r="B23" s="27" t="s">
        <v>2</v>
      </c>
      <c r="C23" s="5"/>
      <c r="D23" s="6" t="s">
        <v>3</v>
      </c>
      <c r="E23" s="7" t="s">
        <v>4</v>
      </c>
      <c r="F23" s="7" t="s">
        <v>5</v>
      </c>
      <c r="G23" s="1"/>
      <c r="H23" s="159"/>
      <c r="I23" s="160">
        <v>89496976.670000002</v>
      </c>
      <c r="J23" s="160" t="s">
        <v>1507</v>
      </c>
      <c r="K23" s="70" t="s">
        <v>1512</v>
      </c>
    </row>
    <row r="24" spans="1:14" s="2" customFormat="1" x14ac:dyDescent="0.2">
      <c r="A24" s="89">
        <v>45202</v>
      </c>
      <c r="B24" s="128" t="s">
        <v>11</v>
      </c>
      <c r="C24" s="29" t="s">
        <v>7</v>
      </c>
      <c r="D24" s="25"/>
      <c r="E24" s="31"/>
      <c r="F24" s="2">
        <v>70412926.050000086</v>
      </c>
      <c r="G24" s="23"/>
      <c r="H24" s="159" t="s">
        <v>1505</v>
      </c>
      <c r="I24" s="160">
        <f>+I22-I23</f>
        <v>60503023.329999998</v>
      </c>
      <c r="J24" s="160"/>
      <c r="K24" s="70"/>
    </row>
    <row r="25" spans="1:14" s="2" customFormat="1" x14ac:dyDescent="0.2">
      <c r="A25" s="89">
        <v>45202</v>
      </c>
      <c r="B25" s="128" t="s">
        <v>6</v>
      </c>
      <c r="C25" s="10" t="s">
        <v>1621</v>
      </c>
      <c r="D25" s="11" t="s">
        <v>13</v>
      </c>
      <c r="E25" s="86">
        <v>104329</v>
      </c>
      <c r="F25" s="70"/>
      <c r="G25" s="1"/>
      <c r="N25" s="1"/>
    </row>
    <row r="26" spans="1:14" s="2" customFormat="1" x14ac:dyDescent="0.2">
      <c r="A26" s="89">
        <v>45202</v>
      </c>
      <c r="B26" s="128" t="s">
        <v>6</v>
      </c>
      <c r="C26" s="10" t="s">
        <v>101</v>
      </c>
      <c r="D26" s="11" t="s">
        <v>13</v>
      </c>
      <c r="E26" s="86">
        <v>255332</v>
      </c>
      <c r="F26" s="70"/>
      <c r="G26" s="1"/>
      <c r="N26" s="1"/>
    </row>
    <row r="27" spans="1:14" s="2" customFormat="1" x14ac:dyDescent="0.2">
      <c r="A27" s="89">
        <v>45202</v>
      </c>
      <c r="B27" s="128" t="s">
        <v>6</v>
      </c>
      <c r="C27" s="10" t="s">
        <v>332</v>
      </c>
      <c r="D27" s="11" t="s">
        <v>13</v>
      </c>
      <c r="E27" s="86">
        <v>22658</v>
      </c>
      <c r="F27" s="70"/>
      <c r="G27" s="1"/>
      <c r="N27" s="1"/>
    </row>
    <row r="28" spans="1:14" s="2" customFormat="1" x14ac:dyDescent="0.2">
      <c r="A28" s="89">
        <v>45202</v>
      </c>
      <c r="B28" s="128" t="s">
        <v>6</v>
      </c>
      <c r="C28" s="10" t="s">
        <v>120</v>
      </c>
      <c r="D28" s="11" t="s">
        <v>13</v>
      </c>
      <c r="E28" s="86">
        <v>8602</v>
      </c>
      <c r="F28" s="70"/>
      <c r="G28" s="1"/>
      <c r="N28" s="1"/>
    </row>
    <row r="29" spans="1:14" s="2" customFormat="1" x14ac:dyDescent="0.2">
      <c r="A29" s="89">
        <v>45202</v>
      </c>
      <c r="B29" s="128" t="s">
        <v>6</v>
      </c>
      <c r="C29" s="10" t="s">
        <v>381</v>
      </c>
      <c r="D29" s="11" t="s">
        <v>13</v>
      </c>
      <c r="E29" s="86">
        <v>74542</v>
      </c>
      <c r="F29" s="70"/>
      <c r="G29" s="1"/>
      <c r="N29" s="1"/>
    </row>
    <row r="30" spans="1:14" s="2" customFormat="1" x14ac:dyDescent="0.2">
      <c r="A30" s="89">
        <v>45202</v>
      </c>
      <c r="B30" s="128" t="s">
        <v>6</v>
      </c>
      <c r="C30" s="10" t="s">
        <v>16</v>
      </c>
      <c r="D30" s="11" t="s">
        <v>13</v>
      </c>
      <c r="E30" s="86">
        <v>1717</v>
      </c>
      <c r="F30" s="70"/>
      <c r="G30" s="1"/>
      <c r="N30" s="1"/>
    </row>
    <row r="31" spans="1:14" s="2" customFormat="1" x14ac:dyDescent="0.2">
      <c r="A31" s="89">
        <v>45202</v>
      </c>
      <c r="B31" s="128" t="s">
        <v>6</v>
      </c>
      <c r="C31" s="10" t="s">
        <v>1622</v>
      </c>
      <c r="D31" s="11" t="s">
        <v>13</v>
      </c>
      <c r="E31" s="86">
        <v>5308</v>
      </c>
      <c r="F31" s="70"/>
      <c r="G31" s="1"/>
      <c r="N31" s="1"/>
    </row>
    <row r="32" spans="1:14" s="2" customFormat="1" x14ac:dyDescent="0.2">
      <c r="A32" s="89">
        <v>45202</v>
      </c>
      <c r="B32" s="128" t="s">
        <v>6</v>
      </c>
      <c r="C32" s="10" t="s">
        <v>419</v>
      </c>
      <c r="D32" s="11" t="s">
        <v>13</v>
      </c>
      <c r="E32" s="86">
        <v>368487</v>
      </c>
      <c r="F32" s="70"/>
      <c r="G32" s="1"/>
      <c r="N32" s="1"/>
    </row>
    <row r="33" spans="1:14" s="2" customFormat="1" x14ac:dyDescent="0.2">
      <c r="A33" s="89">
        <v>45202</v>
      </c>
      <c r="B33" s="128" t="s">
        <v>6</v>
      </c>
      <c r="C33" s="10" t="s">
        <v>1327</v>
      </c>
      <c r="D33" s="11" t="s">
        <v>13</v>
      </c>
      <c r="E33" s="86">
        <v>330750</v>
      </c>
      <c r="F33" s="70"/>
      <c r="G33" s="1"/>
      <c r="N33" s="1"/>
    </row>
    <row r="34" spans="1:14" s="2" customFormat="1" x14ac:dyDescent="0.2">
      <c r="A34" s="89">
        <v>45202</v>
      </c>
      <c r="B34" s="128" t="s">
        <v>6</v>
      </c>
      <c r="C34" s="10" t="s">
        <v>655</v>
      </c>
      <c r="D34" s="11" t="s">
        <v>13</v>
      </c>
      <c r="E34" s="86">
        <v>3306228</v>
      </c>
      <c r="F34" s="70"/>
      <c r="G34" s="1"/>
      <c r="N34" s="1"/>
    </row>
    <row r="35" spans="1:14" s="2" customFormat="1" x14ac:dyDescent="0.2">
      <c r="A35" s="89">
        <v>45202</v>
      </c>
      <c r="B35" s="128" t="s">
        <v>6</v>
      </c>
      <c r="C35" s="10" t="s">
        <v>15</v>
      </c>
      <c r="D35" s="11" t="s">
        <v>13</v>
      </c>
      <c r="E35" s="86">
        <v>1385.41</v>
      </c>
      <c r="F35" s="70"/>
      <c r="G35" s="1"/>
      <c r="N35" s="1"/>
    </row>
    <row r="36" spans="1:14" s="2" customFormat="1" x14ac:dyDescent="0.2">
      <c r="A36" s="89">
        <v>45202</v>
      </c>
      <c r="B36" s="128" t="s">
        <v>6</v>
      </c>
      <c r="C36" s="10" t="s">
        <v>318</v>
      </c>
      <c r="D36" s="11" t="s">
        <v>13</v>
      </c>
      <c r="E36" s="86">
        <v>763052</v>
      </c>
      <c r="F36" s="70"/>
      <c r="G36" s="1"/>
      <c r="N36" s="1"/>
    </row>
    <row r="37" spans="1:14" s="2" customFormat="1" x14ac:dyDescent="0.2">
      <c r="A37" s="89">
        <v>45202</v>
      </c>
      <c r="B37" s="128" t="s">
        <v>6</v>
      </c>
      <c r="C37" s="10" t="s">
        <v>1222</v>
      </c>
      <c r="D37" s="11" t="s">
        <v>13</v>
      </c>
      <c r="E37" s="86">
        <v>28166</v>
      </c>
      <c r="F37" s="70"/>
      <c r="G37" s="1"/>
      <c r="N37" s="1"/>
    </row>
    <row r="38" spans="1:14" s="2" customFormat="1" x14ac:dyDescent="0.2">
      <c r="A38" s="89">
        <v>45202</v>
      </c>
      <c r="B38" s="128" t="s">
        <v>6</v>
      </c>
      <c r="C38" s="10" t="s">
        <v>146</v>
      </c>
      <c r="D38" s="11" t="s">
        <v>13</v>
      </c>
      <c r="E38" s="86">
        <v>1058039.54</v>
      </c>
      <c r="F38" s="70"/>
      <c r="G38" s="1"/>
      <c r="N38" s="1"/>
    </row>
    <row r="39" spans="1:14" s="2" customFormat="1" x14ac:dyDescent="0.2">
      <c r="A39" s="89">
        <v>45202</v>
      </c>
      <c r="B39" s="128" t="s">
        <v>6</v>
      </c>
      <c r="C39" s="10" t="s">
        <v>788</v>
      </c>
      <c r="D39" s="11" t="s">
        <v>13</v>
      </c>
      <c r="E39" s="86">
        <v>404969</v>
      </c>
      <c r="F39" s="70"/>
      <c r="G39" s="1"/>
      <c r="N39" s="1"/>
    </row>
    <row r="40" spans="1:14" s="2" customFormat="1" x14ac:dyDescent="0.2">
      <c r="A40" s="89">
        <v>45202</v>
      </c>
      <c r="B40" s="128" t="s">
        <v>6</v>
      </c>
      <c r="C40" s="10" t="s">
        <v>556</v>
      </c>
      <c r="D40" s="11" t="s">
        <v>13</v>
      </c>
      <c r="E40" s="86">
        <v>8505</v>
      </c>
      <c r="F40" s="70"/>
      <c r="G40" s="1"/>
      <c r="N40" s="1"/>
    </row>
    <row r="41" spans="1:14" s="2" customFormat="1" x14ac:dyDescent="0.2">
      <c r="A41" s="89">
        <v>45202</v>
      </c>
      <c r="B41" s="128" t="s">
        <v>6</v>
      </c>
      <c r="C41" s="10" t="s">
        <v>612</v>
      </c>
      <c r="D41" s="11" t="s">
        <v>13</v>
      </c>
      <c r="E41" s="86">
        <v>50375</v>
      </c>
      <c r="F41" s="70"/>
      <c r="G41" s="1"/>
      <c r="N41" s="1"/>
    </row>
    <row r="42" spans="1:14" s="2" customFormat="1" x14ac:dyDescent="0.2">
      <c r="A42" s="89">
        <v>45202</v>
      </c>
      <c r="B42" s="128" t="s">
        <v>6</v>
      </c>
      <c r="C42" s="10" t="s">
        <v>1031</v>
      </c>
      <c r="D42" s="11" t="s">
        <v>13</v>
      </c>
      <c r="E42" s="86">
        <v>4986.3</v>
      </c>
      <c r="F42" s="70"/>
      <c r="G42" s="1"/>
      <c r="N42" s="1"/>
    </row>
    <row r="43" spans="1:14" s="2" customFormat="1" x14ac:dyDescent="0.2">
      <c r="A43" s="89">
        <v>45202</v>
      </c>
      <c r="B43" s="128" t="s">
        <v>11</v>
      </c>
      <c r="C43" s="10" t="s">
        <v>156</v>
      </c>
      <c r="D43" s="11" t="s">
        <v>29</v>
      </c>
      <c r="E43" s="86"/>
      <c r="F43" s="70">
        <v>2.7</v>
      </c>
      <c r="G43" s="1"/>
      <c r="N43" s="1"/>
    </row>
    <row r="44" spans="1:14" s="2" customFormat="1" x14ac:dyDescent="0.2">
      <c r="A44" s="89">
        <v>45202</v>
      </c>
      <c r="B44" s="128" t="s">
        <v>11</v>
      </c>
      <c r="C44" s="10" t="s">
        <v>1031</v>
      </c>
      <c r="D44" s="11" t="s">
        <v>29</v>
      </c>
      <c r="E44" s="86"/>
      <c r="F44" s="70">
        <v>22313.7</v>
      </c>
      <c r="G44" s="1"/>
      <c r="N44" s="1"/>
    </row>
    <row r="45" spans="1:14" s="2" customFormat="1" x14ac:dyDescent="0.2">
      <c r="A45" s="89">
        <v>45202</v>
      </c>
      <c r="B45" s="128" t="s">
        <v>11</v>
      </c>
      <c r="C45" s="10" t="s">
        <v>102</v>
      </c>
      <c r="D45" s="11" t="s">
        <v>29</v>
      </c>
      <c r="E45" s="86"/>
      <c r="F45" s="70">
        <v>3017759.4899999998</v>
      </c>
      <c r="G45" s="1"/>
      <c r="N45" s="1"/>
    </row>
    <row r="46" spans="1:14" s="2" customFormat="1" x14ac:dyDescent="0.2">
      <c r="A46" s="89">
        <v>45202</v>
      </c>
      <c r="B46" s="128" t="s">
        <v>11</v>
      </c>
      <c r="C46" s="10" t="s">
        <v>92</v>
      </c>
      <c r="D46" s="11" t="s">
        <v>29</v>
      </c>
      <c r="E46" s="86"/>
      <c r="F46" s="70">
        <v>16615</v>
      </c>
      <c r="G46" s="1"/>
      <c r="N46" s="1"/>
    </row>
    <row r="47" spans="1:14" s="2" customFormat="1" x14ac:dyDescent="0.2">
      <c r="A47" s="89">
        <v>45202</v>
      </c>
      <c r="B47" s="128" t="s">
        <v>11</v>
      </c>
      <c r="C47" s="10" t="s">
        <v>518</v>
      </c>
      <c r="D47" s="11" t="s">
        <v>29</v>
      </c>
      <c r="E47" s="86"/>
      <c r="F47" s="70">
        <v>20302</v>
      </c>
      <c r="G47" s="1"/>
      <c r="N47" s="1"/>
    </row>
    <row r="48" spans="1:14" s="2" customFormat="1" x14ac:dyDescent="0.2">
      <c r="A48" s="89">
        <v>45202</v>
      </c>
      <c r="B48" s="128" t="s">
        <v>11</v>
      </c>
      <c r="C48" s="10" t="s">
        <v>1403</v>
      </c>
      <c r="D48" s="11" t="s">
        <v>29</v>
      </c>
      <c r="E48" s="86"/>
      <c r="F48" s="70">
        <v>7170747</v>
      </c>
      <c r="G48" s="1"/>
      <c r="N48" s="1"/>
    </row>
    <row r="49" spans="1:14" s="2" customFormat="1" x14ac:dyDescent="0.2">
      <c r="A49" s="89">
        <v>45202</v>
      </c>
      <c r="B49" s="128" t="s">
        <v>11</v>
      </c>
      <c r="C49" s="10" t="s">
        <v>740</v>
      </c>
      <c r="D49" s="11" t="s">
        <v>29</v>
      </c>
      <c r="E49" s="86"/>
      <c r="F49" s="70">
        <v>44098</v>
      </c>
      <c r="G49" s="1"/>
      <c r="N49" s="1"/>
    </row>
    <row r="50" spans="1:14" s="2" customFormat="1" x14ac:dyDescent="0.2">
      <c r="A50" s="89">
        <v>45202</v>
      </c>
      <c r="B50" s="128" t="s">
        <v>11</v>
      </c>
      <c r="C50" s="10" t="s">
        <v>715</v>
      </c>
      <c r="D50" s="11" t="s">
        <v>29</v>
      </c>
      <c r="E50" s="86"/>
      <c r="F50" s="70">
        <v>2899050</v>
      </c>
      <c r="G50" s="1"/>
      <c r="N50" s="1"/>
    </row>
    <row r="51" spans="1:14" s="2" customFormat="1" x14ac:dyDescent="0.2">
      <c r="A51" s="89">
        <v>45202</v>
      </c>
      <c r="B51" s="128" t="s">
        <v>11</v>
      </c>
      <c r="C51" s="10" t="s">
        <v>108</v>
      </c>
      <c r="D51" s="11" t="s">
        <v>29</v>
      </c>
      <c r="E51" s="86"/>
      <c r="F51" s="70">
        <v>297373.87</v>
      </c>
      <c r="G51" s="1"/>
      <c r="N51" s="1"/>
    </row>
    <row r="52" spans="1:14" s="2" customFormat="1" x14ac:dyDescent="0.2">
      <c r="A52" s="89">
        <v>45202</v>
      </c>
      <c r="B52" s="128" t="s">
        <v>11</v>
      </c>
      <c r="C52" s="10" t="s">
        <v>107</v>
      </c>
      <c r="D52" s="11" t="s">
        <v>29</v>
      </c>
      <c r="E52" s="86"/>
      <c r="F52" s="70">
        <v>139213.13</v>
      </c>
      <c r="G52" s="1"/>
      <c r="N52" s="1"/>
    </row>
    <row r="53" spans="1:14" s="2" customFormat="1" x14ac:dyDescent="0.2">
      <c r="A53" s="89">
        <v>45202</v>
      </c>
      <c r="B53" s="128" t="s">
        <v>11</v>
      </c>
      <c r="C53" s="10" t="s">
        <v>111</v>
      </c>
      <c r="D53" s="11" t="s">
        <v>29</v>
      </c>
      <c r="E53" s="86"/>
      <c r="F53" s="70">
        <v>1165023.58</v>
      </c>
      <c r="G53" s="1"/>
      <c r="N53" s="1"/>
    </row>
    <row r="54" spans="1:14" s="2" customFormat="1" x14ac:dyDescent="0.2">
      <c r="A54" s="89">
        <v>45202</v>
      </c>
      <c r="B54" s="128" t="s">
        <v>11</v>
      </c>
      <c r="C54" s="10" t="s">
        <v>937</v>
      </c>
      <c r="D54" s="11" t="s">
        <v>29</v>
      </c>
      <c r="E54" s="86"/>
      <c r="F54" s="70">
        <v>5009</v>
      </c>
      <c r="G54" s="1"/>
      <c r="N54" s="1"/>
    </row>
    <row r="55" spans="1:14" s="2" customFormat="1" x14ac:dyDescent="0.2">
      <c r="A55" s="89">
        <v>45202</v>
      </c>
      <c r="B55" s="128" t="s">
        <v>11</v>
      </c>
      <c r="C55" s="10" t="s">
        <v>95</v>
      </c>
      <c r="D55" s="11" t="s">
        <v>29</v>
      </c>
      <c r="E55" s="86"/>
      <c r="F55" s="70">
        <v>17520</v>
      </c>
      <c r="G55" s="1"/>
      <c r="N55" s="1"/>
    </row>
    <row r="56" spans="1:14" s="2" customFormat="1" x14ac:dyDescent="0.2">
      <c r="A56" s="89">
        <v>45202</v>
      </c>
      <c r="B56" s="128" t="s">
        <v>11</v>
      </c>
      <c r="C56" s="10" t="s">
        <v>649</v>
      </c>
      <c r="D56" s="11" t="s">
        <v>29</v>
      </c>
      <c r="E56" s="86"/>
      <c r="F56" s="70">
        <v>1146873.8400000001</v>
      </c>
      <c r="G56" s="1"/>
      <c r="N56" s="1"/>
    </row>
    <row r="57" spans="1:14" s="2" customFormat="1" x14ac:dyDescent="0.2">
      <c r="A57" s="89">
        <v>45202</v>
      </c>
      <c r="B57" s="128" t="s">
        <v>11</v>
      </c>
      <c r="C57" s="10" t="s">
        <v>194</v>
      </c>
      <c r="D57" s="11" t="s">
        <v>29</v>
      </c>
      <c r="E57" s="86"/>
      <c r="F57" s="70">
        <v>771368</v>
      </c>
      <c r="G57" s="1"/>
      <c r="N57" s="1"/>
    </row>
    <row r="58" spans="1:14" s="2" customFormat="1" x14ac:dyDescent="0.2">
      <c r="A58" s="89">
        <v>45202</v>
      </c>
      <c r="B58" s="128" t="s">
        <v>11</v>
      </c>
      <c r="C58" s="10" t="s">
        <v>849</v>
      </c>
      <c r="D58" s="11" t="s">
        <v>29</v>
      </c>
      <c r="E58" s="86"/>
      <c r="F58" s="70">
        <v>615793</v>
      </c>
      <c r="G58" s="1"/>
      <c r="N58" s="1"/>
    </row>
    <row r="59" spans="1:14" s="2" customFormat="1" x14ac:dyDescent="0.2">
      <c r="A59" s="89">
        <v>45202</v>
      </c>
      <c r="B59" s="128" t="s">
        <v>11</v>
      </c>
      <c r="C59" s="10" t="s">
        <v>790</v>
      </c>
      <c r="D59" s="11" t="s">
        <v>29</v>
      </c>
      <c r="E59" s="86"/>
      <c r="F59" s="70">
        <v>1057619</v>
      </c>
      <c r="G59" s="1"/>
      <c r="N59" s="1"/>
    </row>
    <row r="60" spans="1:14" s="2" customFormat="1" x14ac:dyDescent="0.2">
      <c r="A60" s="89">
        <v>45202</v>
      </c>
      <c r="B60" s="128" t="s">
        <v>11</v>
      </c>
      <c r="C60" s="10" t="s">
        <v>193</v>
      </c>
      <c r="D60" s="11" t="s">
        <v>29</v>
      </c>
      <c r="E60" s="86"/>
      <c r="F60" s="70">
        <v>334974</v>
      </c>
      <c r="G60" s="1"/>
      <c r="N60" s="1"/>
    </row>
    <row r="61" spans="1:14" s="2" customFormat="1" x14ac:dyDescent="0.2">
      <c r="A61" s="89">
        <v>45202</v>
      </c>
      <c r="B61" s="128" t="s">
        <v>11</v>
      </c>
      <c r="C61" s="10" t="s">
        <v>745</v>
      </c>
      <c r="D61" s="11" t="s">
        <v>29</v>
      </c>
      <c r="E61" s="86"/>
      <c r="F61" s="70">
        <v>521146</v>
      </c>
      <c r="G61" s="1"/>
      <c r="N61" s="1"/>
    </row>
    <row r="62" spans="1:14" s="2" customFormat="1" x14ac:dyDescent="0.2">
      <c r="A62" s="89">
        <v>45202</v>
      </c>
      <c r="B62" s="128" t="s">
        <v>11</v>
      </c>
      <c r="C62" s="10" t="s">
        <v>1140</v>
      </c>
      <c r="D62" s="11" t="s">
        <v>29</v>
      </c>
      <c r="E62" s="86"/>
      <c r="F62" s="70">
        <v>284696</v>
      </c>
      <c r="G62" s="1"/>
      <c r="N62" s="1"/>
    </row>
    <row r="63" spans="1:14" s="2" customFormat="1" x14ac:dyDescent="0.2">
      <c r="A63" s="89">
        <v>45202</v>
      </c>
      <c r="B63" s="128" t="s">
        <v>11</v>
      </c>
      <c r="C63" s="10" t="s">
        <v>300</v>
      </c>
      <c r="D63" s="11" t="s">
        <v>29</v>
      </c>
      <c r="E63" s="86"/>
      <c r="F63" s="70">
        <v>131151</v>
      </c>
      <c r="G63" s="1"/>
      <c r="N63" s="1"/>
    </row>
    <row r="64" spans="1:14" s="2" customFormat="1" x14ac:dyDescent="0.2">
      <c r="A64" s="89">
        <v>45202</v>
      </c>
      <c r="B64" s="128" t="s">
        <v>11</v>
      </c>
      <c r="C64" s="10" t="s">
        <v>520</v>
      </c>
      <c r="D64" s="11" t="s">
        <v>29</v>
      </c>
      <c r="E64" s="86"/>
      <c r="F64" s="70">
        <v>443680</v>
      </c>
      <c r="G64" s="1"/>
      <c r="N64" s="1"/>
    </row>
    <row r="65" spans="1:14" s="2" customFormat="1" x14ac:dyDescent="0.2">
      <c r="A65" s="89">
        <v>45202</v>
      </c>
      <c r="B65" s="128" t="s">
        <v>11</v>
      </c>
      <c r="C65" s="10" t="s">
        <v>427</v>
      </c>
      <c r="D65" s="11" t="s">
        <v>29</v>
      </c>
      <c r="E65" s="86"/>
      <c r="F65" s="70">
        <v>183920</v>
      </c>
      <c r="G65" s="1"/>
      <c r="N65" s="1"/>
    </row>
    <row r="66" spans="1:14" s="2" customFormat="1" x14ac:dyDescent="0.2">
      <c r="A66" s="89">
        <v>45202</v>
      </c>
      <c r="B66" s="128" t="s">
        <v>11</v>
      </c>
      <c r="C66" s="10" t="s">
        <v>561</v>
      </c>
      <c r="D66" s="11" t="s">
        <v>29</v>
      </c>
      <c r="E66" s="86"/>
      <c r="F66" s="70">
        <v>161137</v>
      </c>
      <c r="G66" s="1"/>
      <c r="N66" s="1"/>
    </row>
    <row r="67" spans="1:14" s="2" customFormat="1" x14ac:dyDescent="0.2">
      <c r="A67" s="89">
        <v>45202</v>
      </c>
      <c r="B67" s="128" t="s">
        <v>11</v>
      </c>
      <c r="C67" s="10" t="s">
        <v>800</v>
      </c>
      <c r="D67" s="11" t="s">
        <v>29</v>
      </c>
      <c r="E67" s="86"/>
      <c r="F67" s="70">
        <v>9127</v>
      </c>
      <c r="G67" s="1"/>
      <c r="N67" s="1"/>
    </row>
    <row r="68" spans="1:14" s="2" customFormat="1" x14ac:dyDescent="0.2">
      <c r="A68" s="89">
        <v>45202</v>
      </c>
      <c r="B68" s="128" t="s">
        <v>11</v>
      </c>
      <c r="C68" s="10" t="s">
        <v>171</v>
      </c>
      <c r="D68" s="11" t="s">
        <v>29</v>
      </c>
      <c r="E68" s="86"/>
      <c r="F68" s="70">
        <v>5452</v>
      </c>
      <c r="G68" s="1"/>
      <c r="N68" s="1"/>
    </row>
    <row r="69" spans="1:14" s="2" customFormat="1" x14ac:dyDescent="0.2">
      <c r="A69" s="89">
        <v>45202</v>
      </c>
      <c r="B69" s="128" t="s">
        <v>11</v>
      </c>
      <c r="C69" s="10" t="s">
        <v>96</v>
      </c>
      <c r="D69" s="11" t="s">
        <v>29</v>
      </c>
      <c r="E69" s="86"/>
      <c r="F69" s="70">
        <v>6744</v>
      </c>
      <c r="G69" s="1"/>
      <c r="N69" s="1"/>
    </row>
    <row r="70" spans="1:14" s="2" customFormat="1" x14ac:dyDescent="0.2">
      <c r="A70" s="89">
        <v>45202</v>
      </c>
      <c r="B70" s="128" t="s">
        <v>11</v>
      </c>
      <c r="C70" s="10" t="s">
        <v>98</v>
      </c>
      <c r="D70" s="11" t="s">
        <v>29</v>
      </c>
      <c r="E70" s="86"/>
      <c r="F70" s="70">
        <v>5510</v>
      </c>
      <c r="G70" s="1"/>
      <c r="N70" s="1"/>
    </row>
    <row r="71" spans="1:14" s="2" customFormat="1" x14ac:dyDescent="0.2">
      <c r="A71" s="89">
        <v>45202</v>
      </c>
      <c r="B71" s="128" t="s">
        <v>11</v>
      </c>
      <c r="C71" s="10" t="s">
        <v>1502</v>
      </c>
      <c r="D71" s="11" t="s">
        <v>29</v>
      </c>
      <c r="E71" s="86"/>
      <c r="F71" s="70">
        <v>39690</v>
      </c>
      <c r="G71" s="1"/>
      <c r="N71" s="1"/>
    </row>
    <row r="72" spans="1:14" s="2" customFormat="1" x14ac:dyDescent="0.2">
      <c r="A72" s="89">
        <v>45202</v>
      </c>
      <c r="B72" s="128" t="s">
        <v>11</v>
      </c>
      <c r="C72" s="10" t="s">
        <v>1472</v>
      </c>
      <c r="D72" s="11" t="s">
        <v>29</v>
      </c>
      <c r="E72" s="86"/>
      <c r="F72" s="70">
        <v>682314</v>
      </c>
      <c r="G72" s="1"/>
      <c r="N72" s="1"/>
    </row>
    <row r="73" spans="1:14" s="2" customFormat="1" x14ac:dyDescent="0.2">
      <c r="A73" s="89">
        <v>45202</v>
      </c>
      <c r="B73" s="128" t="s">
        <v>11</v>
      </c>
      <c r="C73" s="10" t="s">
        <v>739</v>
      </c>
      <c r="D73" s="11" t="s">
        <v>29</v>
      </c>
      <c r="E73" s="86"/>
      <c r="F73" s="70">
        <v>395491</v>
      </c>
      <c r="G73" s="1"/>
      <c r="N73" s="1"/>
    </row>
    <row r="74" spans="1:14" s="2" customFormat="1" x14ac:dyDescent="0.2">
      <c r="A74" s="89">
        <v>45202</v>
      </c>
      <c r="B74" s="128" t="s">
        <v>11</v>
      </c>
      <c r="C74" s="10" t="s">
        <v>273</v>
      </c>
      <c r="D74" s="11" t="s">
        <v>29</v>
      </c>
      <c r="E74" s="86"/>
      <c r="F74" s="70">
        <v>14829.69</v>
      </c>
      <c r="G74" s="1"/>
      <c r="N74" s="1"/>
    </row>
    <row r="75" spans="1:14" s="2" customFormat="1" x14ac:dyDescent="0.2">
      <c r="A75" s="89">
        <v>45202</v>
      </c>
      <c r="B75" s="128" t="s">
        <v>11</v>
      </c>
      <c r="C75" s="10" t="s">
        <v>167</v>
      </c>
      <c r="D75" s="11" t="s">
        <v>29</v>
      </c>
      <c r="E75" s="86"/>
      <c r="F75" s="70">
        <v>65884</v>
      </c>
      <c r="G75" s="1"/>
      <c r="N75" s="1"/>
    </row>
    <row r="76" spans="1:14" s="2" customFormat="1" x14ac:dyDescent="0.2">
      <c r="A76" s="89">
        <v>45202</v>
      </c>
      <c r="B76" s="128" t="s">
        <v>11</v>
      </c>
      <c r="C76" s="10" t="s">
        <v>170</v>
      </c>
      <c r="D76" s="11" t="s">
        <v>29</v>
      </c>
      <c r="E76" s="86"/>
      <c r="F76" s="70">
        <v>10000</v>
      </c>
      <c r="G76" s="1"/>
      <c r="N76" s="1"/>
    </row>
    <row r="77" spans="1:14" s="2" customFormat="1" x14ac:dyDescent="0.2">
      <c r="A77" s="89">
        <v>45202</v>
      </c>
      <c r="B77" s="128" t="s">
        <v>11</v>
      </c>
      <c r="C77" s="10" t="s">
        <v>169</v>
      </c>
      <c r="D77" s="11" t="s">
        <v>29</v>
      </c>
      <c r="E77" s="86"/>
      <c r="F77" s="70">
        <v>8500</v>
      </c>
      <c r="G77" s="1"/>
      <c r="N77" s="1"/>
    </row>
    <row r="78" spans="1:14" s="2" customFormat="1" x14ac:dyDescent="0.2">
      <c r="A78" s="89">
        <v>45202</v>
      </c>
      <c r="B78" s="128" t="s">
        <v>11</v>
      </c>
      <c r="C78" s="10" t="s">
        <v>168</v>
      </c>
      <c r="D78" s="11" t="s">
        <v>29</v>
      </c>
      <c r="E78" s="86"/>
      <c r="F78" s="70">
        <v>3600</v>
      </c>
      <c r="G78" s="1"/>
      <c r="N78" s="1"/>
    </row>
    <row r="79" spans="1:14" s="2" customFormat="1" x14ac:dyDescent="0.2">
      <c r="A79" s="89">
        <v>45202</v>
      </c>
      <c r="B79" s="128" t="s">
        <v>11</v>
      </c>
      <c r="C79" s="10" t="s">
        <v>64</v>
      </c>
      <c r="D79" s="11" t="s">
        <v>29</v>
      </c>
      <c r="E79" s="86"/>
      <c r="F79" s="70">
        <v>20453.45</v>
      </c>
      <c r="G79" s="1"/>
      <c r="N79" s="1"/>
    </row>
    <row r="80" spans="1:14" s="2" customFormat="1" x14ac:dyDescent="0.2">
      <c r="A80" s="32"/>
      <c r="B80" s="33"/>
      <c r="C80" s="14"/>
      <c r="D80" s="34"/>
      <c r="E80" s="16">
        <f>SUM(E24:E79)</f>
        <v>6797431.25</v>
      </c>
      <c r="F80" s="16">
        <f>SUM(F24:F79)</f>
        <v>92147906.500000089</v>
      </c>
      <c r="G80" s="1"/>
      <c r="H80" s="1"/>
      <c r="I80" s="38">
        <v>85350475.25</v>
      </c>
      <c r="J80" s="2" t="s">
        <v>396</v>
      </c>
      <c r="K80" s="92">
        <f>E81-I80</f>
        <v>0</v>
      </c>
      <c r="N80" s="1"/>
    </row>
    <row r="81" spans="1:14" s="2" customFormat="1" x14ac:dyDescent="0.2">
      <c r="A81" s="36"/>
      <c r="B81" s="28" t="s">
        <v>11</v>
      </c>
      <c r="C81" s="19" t="s">
        <v>65</v>
      </c>
      <c r="D81" s="37"/>
      <c r="E81" s="38">
        <f>F80-E80</f>
        <v>85350475.250000089</v>
      </c>
      <c r="F81" s="22"/>
      <c r="G81" s="1"/>
      <c r="H81" s="1"/>
      <c r="I81" s="70"/>
      <c r="J81" s="70"/>
      <c r="K81" s="70"/>
      <c r="N81" s="1"/>
    </row>
    <row r="82" spans="1:14" s="2" customFormat="1" x14ac:dyDescent="0.2">
      <c r="A82" s="36"/>
      <c r="B82" s="28" t="s">
        <v>66</v>
      </c>
      <c r="C82" s="19" t="s">
        <v>67</v>
      </c>
      <c r="D82" s="37"/>
      <c r="E82" s="38">
        <v>6500000</v>
      </c>
      <c r="F82" s="22"/>
      <c r="G82" s="1"/>
      <c r="H82" s="70"/>
      <c r="I82" s="70"/>
      <c r="J82" s="70"/>
      <c r="K82" s="70"/>
      <c r="N82" s="1"/>
    </row>
    <row r="83" spans="1:14" s="2" customFormat="1" x14ac:dyDescent="0.2">
      <c r="A83" s="36"/>
      <c r="B83" s="28" t="s">
        <v>66</v>
      </c>
      <c r="C83" s="43" t="s">
        <v>1457</v>
      </c>
      <c r="D83" s="43"/>
      <c r="E83" s="12">
        <f>275000000+75000000</f>
        <v>350000000</v>
      </c>
      <c r="F83" s="22"/>
      <c r="G83" s="1"/>
      <c r="H83" s="70"/>
      <c r="I83" s="45">
        <v>76.349999999999994</v>
      </c>
      <c r="J83" s="46"/>
      <c r="K83" s="46"/>
      <c r="N83" s="1"/>
    </row>
    <row r="84" spans="1:14" s="2" customFormat="1" ht="15" x14ac:dyDescent="0.25">
      <c r="A84" s="36"/>
      <c r="B84" s="28"/>
      <c r="C84" s="44" t="s">
        <v>1541</v>
      </c>
      <c r="D84" s="43"/>
      <c r="E84" s="7">
        <f>+E83+E81+E82</f>
        <v>441850475.25000012</v>
      </c>
      <c r="F84" s="22"/>
      <c r="G84" s="1"/>
      <c r="H84" s="103" t="s">
        <v>69</v>
      </c>
      <c r="I84" s="45">
        <v>0</v>
      </c>
      <c r="J84" s="46"/>
      <c r="K84" s="46"/>
      <c r="N84" s="1"/>
    </row>
    <row r="85" spans="1:14" s="2" customFormat="1" ht="15" x14ac:dyDescent="0.25">
      <c r="A85" s="24"/>
      <c r="B85" s="1"/>
      <c r="C85" s="44" t="s">
        <v>1510</v>
      </c>
      <c r="D85" s="25"/>
      <c r="E85" s="156">
        <f>+I24-E82+H20-I20</f>
        <v>58149524.75</v>
      </c>
      <c r="G85" s="1"/>
      <c r="H85" s="35" t="s">
        <v>70</v>
      </c>
      <c r="I85" s="45">
        <v>0</v>
      </c>
      <c r="J85" s="46">
        <v>0</v>
      </c>
      <c r="N85" s="1"/>
    </row>
    <row r="86" spans="1:14" s="124" customFormat="1" ht="12.75" customHeight="1" x14ac:dyDescent="0.2">
      <c r="A86" s="24"/>
      <c r="B86" s="1"/>
      <c r="C86" s="56"/>
      <c r="D86" s="56"/>
      <c r="E86" s="104"/>
      <c r="F86" s="2"/>
      <c r="G86" s="166"/>
      <c r="H86" s="70"/>
      <c r="I86" s="49">
        <f>SUM(I83:I85)</f>
        <v>76.349999999999994</v>
      </c>
      <c r="J86" s="46"/>
      <c r="K86" s="46"/>
    </row>
    <row r="87" spans="1:14" s="124" customFormat="1" ht="12.75" customHeight="1" x14ac:dyDescent="0.2">
      <c r="A87" s="24"/>
      <c r="B87" s="1"/>
      <c r="C87" s="78" t="s">
        <v>575</v>
      </c>
      <c r="D87" s="48" t="s">
        <v>576</v>
      </c>
      <c r="E87" s="104"/>
      <c r="F87" s="2"/>
      <c r="G87" s="168"/>
      <c r="H87" s="167"/>
      <c r="I87" s="167"/>
      <c r="J87" s="168"/>
    </row>
    <row r="88" spans="1:14" s="124" customFormat="1" ht="12.75" customHeight="1" x14ac:dyDescent="0.2">
      <c r="A88" s="24"/>
      <c r="B88" s="1"/>
      <c r="C88" s="47" t="s">
        <v>570</v>
      </c>
      <c r="D88" s="111">
        <v>76.349999999999994</v>
      </c>
      <c r="E88" s="104"/>
      <c r="F88" s="2"/>
      <c r="G88" s="168"/>
      <c r="H88" s="110" t="s">
        <v>581</v>
      </c>
      <c r="I88" s="167"/>
      <c r="J88" s="168"/>
    </row>
    <row r="89" spans="1:14" s="124" customFormat="1" ht="12.75" customHeight="1" x14ac:dyDescent="0.2">
      <c r="A89" s="24"/>
      <c r="B89" s="1"/>
      <c r="C89" s="47" t="s">
        <v>931</v>
      </c>
      <c r="D89" s="111">
        <v>21.33</v>
      </c>
      <c r="E89" s="104"/>
      <c r="F89" s="2"/>
      <c r="G89" s="168"/>
      <c r="H89" s="110" t="s">
        <v>580</v>
      </c>
      <c r="I89" s="167"/>
      <c r="J89" s="168"/>
    </row>
    <row r="90" spans="1:14" s="124" customFormat="1" ht="12.75" customHeight="1" x14ac:dyDescent="0.2">
      <c r="A90" s="24"/>
      <c r="B90" s="1"/>
      <c r="C90" s="47" t="s">
        <v>572</v>
      </c>
      <c r="D90" s="111">
        <f>+D106/100000</f>
        <v>0</v>
      </c>
      <c r="E90" s="104"/>
      <c r="F90" s="2"/>
      <c r="G90" s="166"/>
      <c r="H90" s="90" t="s">
        <v>587</v>
      </c>
      <c r="I90" s="167"/>
      <c r="J90" s="168"/>
    </row>
    <row r="91" spans="1:14" s="2" customFormat="1" x14ac:dyDescent="0.2">
      <c r="A91" s="24"/>
      <c r="B91" s="1"/>
      <c r="C91" s="108" t="s">
        <v>578</v>
      </c>
      <c r="D91" s="48">
        <f>SUM(D88:D90)</f>
        <v>97.679999999999993</v>
      </c>
      <c r="E91" s="104"/>
      <c r="G91" s="30"/>
      <c r="I91" s="13"/>
      <c r="J91" s="13"/>
    </row>
    <row r="92" spans="1:14" s="70" customFormat="1" x14ac:dyDescent="0.2">
      <c r="A92" s="24"/>
      <c r="B92" s="1"/>
      <c r="C92" s="47"/>
      <c r="D92" s="107"/>
      <c r="E92" s="104"/>
      <c r="F92" s="2"/>
      <c r="G92" s="30"/>
      <c r="H92" s="2"/>
    </row>
    <row r="93" spans="1:14" s="70" customFormat="1" x14ac:dyDescent="0.2">
      <c r="A93" s="24"/>
      <c r="B93" s="1"/>
      <c r="C93" s="47" t="s">
        <v>932</v>
      </c>
      <c r="D93" s="111">
        <v>0</v>
      </c>
      <c r="E93" s="104"/>
      <c r="F93" s="2"/>
      <c r="G93" s="30"/>
      <c r="H93" s="110" t="s">
        <v>581</v>
      </c>
    </row>
    <row r="94" spans="1:14" s="70" customFormat="1" x14ac:dyDescent="0.2">
      <c r="A94" s="24"/>
      <c r="B94" s="1"/>
      <c r="C94" s="136" t="s">
        <v>1142</v>
      </c>
      <c r="D94" s="111">
        <v>0</v>
      </c>
      <c r="E94" s="104"/>
      <c r="F94" s="2"/>
      <c r="G94" s="30"/>
      <c r="H94" s="110" t="s">
        <v>581</v>
      </c>
    </row>
    <row r="95" spans="1:14" s="70" customFormat="1" x14ac:dyDescent="0.2">
      <c r="A95" s="24"/>
      <c r="B95" s="1"/>
      <c r="C95" s="78" t="s">
        <v>579</v>
      </c>
      <c r="D95" s="109">
        <f>D93+D94</f>
        <v>0</v>
      </c>
      <c r="E95" s="104"/>
      <c r="F95" s="2"/>
      <c r="G95" s="30"/>
    </row>
    <row r="96" spans="1:14" s="70" customFormat="1" x14ac:dyDescent="0.2">
      <c r="A96" s="24"/>
      <c r="B96" s="1"/>
      <c r="C96" s="105"/>
      <c r="D96" s="106"/>
      <c r="E96" s="104"/>
      <c r="F96" s="2"/>
      <c r="G96" s="30"/>
      <c r="I96" s="2"/>
      <c r="J96" s="114" t="s">
        <v>713</v>
      </c>
      <c r="K96" s="2"/>
      <c r="L96" s="2"/>
      <c r="M96" s="2"/>
    </row>
    <row r="97" spans="1:14" s="70" customFormat="1" x14ac:dyDescent="0.2">
      <c r="A97" s="24"/>
      <c r="B97" s="1"/>
      <c r="C97" s="78" t="s">
        <v>577</v>
      </c>
      <c r="D97" s="109">
        <f>D88+D95</f>
        <v>76.349999999999994</v>
      </c>
      <c r="E97" s="104"/>
      <c r="F97" s="2"/>
      <c r="G97" s="30"/>
      <c r="I97" s="113"/>
      <c r="J97" s="113" t="s">
        <v>709</v>
      </c>
      <c r="K97" s="113" t="s">
        <v>710</v>
      </c>
      <c r="L97" s="113" t="s">
        <v>711</v>
      </c>
      <c r="M97" s="113" t="s">
        <v>712</v>
      </c>
    </row>
    <row r="98" spans="1:14" s="70" customFormat="1" x14ac:dyDescent="0.2">
      <c r="A98" s="24"/>
      <c r="B98" s="1"/>
      <c r="C98" s="56"/>
      <c r="D98" s="56"/>
      <c r="E98" s="104"/>
      <c r="F98" s="2"/>
      <c r="G98" s="30"/>
      <c r="I98" s="113" t="s">
        <v>706</v>
      </c>
      <c r="J98" s="115"/>
      <c r="K98" s="115">
        <v>968.99</v>
      </c>
      <c r="L98" s="115">
        <v>968.99</v>
      </c>
      <c r="M98" s="113">
        <f>+J98+L98-K98</f>
        <v>0</v>
      </c>
    </row>
    <row r="99" spans="1:14" s="70" customFormat="1" ht="38.25" x14ac:dyDescent="0.2">
      <c r="A99" s="24"/>
      <c r="B99" s="1"/>
      <c r="C99" s="79" t="str">
        <f>"Particulars ( 01-04-2021 to "&amp;TEXT(A5,"dd-mm-yyyy")&amp;" )"</f>
        <v>Particulars ( 01-04-2021 to 03-10-2023 )</v>
      </c>
      <c r="D99" s="80" t="s">
        <v>73</v>
      </c>
      <c r="E99" s="80" t="s">
        <v>74</v>
      </c>
      <c r="F99" s="81" t="s">
        <v>75</v>
      </c>
      <c r="G99" s="80" t="s">
        <v>76</v>
      </c>
      <c r="I99" s="113" t="s">
        <v>707</v>
      </c>
      <c r="J99" s="115">
        <v>183.1</v>
      </c>
      <c r="K99" s="115">
        <v>3648.65</v>
      </c>
      <c r="L99" s="115">
        <v>3959.09</v>
      </c>
      <c r="M99" s="113">
        <f>+J99+L99-K99</f>
        <v>493.54000000000042</v>
      </c>
    </row>
    <row r="100" spans="1:14" s="70" customFormat="1" x14ac:dyDescent="0.2">
      <c r="A100" s="24"/>
      <c r="B100" s="1"/>
      <c r="C100" s="50" t="s">
        <v>444</v>
      </c>
      <c r="D100" s="55">
        <f>+L98+L99+J99</f>
        <v>5111.18</v>
      </c>
      <c r="E100" s="55">
        <f>+K98+K99</f>
        <v>4617.6400000000003</v>
      </c>
      <c r="F100" s="55">
        <f>+D100-E100</f>
        <v>493.53999999999996</v>
      </c>
      <c r="G100" s="55">
        <f>1500-F100</f>
        <v>1006.46</v>
      </c>
      <c r="I100" s="113" t="s">
        <v>708</v>
      </c>
      <c r="J100" s="115">
        <v>1371.02</v>
      </c>
      <c r="K100" s="115">
        <v>14431.24</v>
      </c>
      <c r="L100" s="115">
        <v>13789</v>
      </c>
      <c r="M100" s="113">
        <f>+J100+L100-K100</f>
        <v>728.78000000000065</v>
      </c>
    </row>
    <row r="101" spans="1:14" s="70" customFormat="1" ht="12.75" customHeight="1" x14ac:dyDescent="0.2">
      <c r="A101" s="24"/>
      <c r="B101" s="1"/>
      <c r="C101" s="50" t="s">
        <v>71</v>
      </c>
      <c r="D101" s="55">
        <f>+J100+L100</f>
        <v>15160.02</v>
      </c>
      <c r="E101" s="55">
        <f>+K100</f>
        <v>14431.24</v>
      </c>
      <c r="F101" s="55">
        <f>+D101-E101</f>
        <v>728.78000000000065</v>
      </c>
      <c r="G101" s="55">
        <f>1500+700-F101</f>
        <v>1471.2199999999993</v>
      </c>
      <c r="I101" s="2"/>
      <c r="J101" s="118">
        <f>SUM(J98:J100)</f>
        <v>1554.12</v>
      </c>
      <c r="K101" s="118">
        <f>SUM(K98:K100)</f>
        <v>19048.88</v>
      </c>
      <c r="L101" s="118">
        <f>SUM(L98:L100)</f>
        <v>18717.080000000002</v>
      </c>
      <c r="M101" s="118">
        <f>SUM(M98:M100)</f>
        <v>1222.3200000000011</v>
      </c>
    </row>
    <row r="102" spans="1:14" s="70" customFormat="1" ht="12.75" customHeight="1" x14ac:dyDescent="0.2">
      <c r="A102" s="24"/>
      <c r="B102" s="1"/>
      <c r="C102" s="14"/>
      <c r="D102" s="56"/>
      <c r="E102" s="13"/>
      <c r="F102" s="2"/>
      <c r="G102" s="30"/>
    </row>
    <row r="103" spans="1:14" s="70" customFormat="1" ht="12.75" customHeight="1" x14ac:dyDescent="0.2">
      <c r="A103" s="215" t="s">
        <v>80</v>
      </c>
      <c r="B103" s="216"/>
      <c r="C103" s="216"/>
      <c r="D103" s="217"/>
      <c r="E103" s="69"/>
      <c r="G103" s="30"/>
    </row>
    <row r="104" spans="1:14" s="70" customFormat="1" ht="12.75" customHeight="1" x14ac:dyDescent="0.2">
      <c r="A104" s="71" t="s">
        <v>81</v>
      </c>
      <c r="B104" s="71"/>
      <c r="C104" s="72" t="s">
        <v>82</v>
      </c>
      <c r="D104" s="73" t="s">
        <v>83</v>
      </c>
      <c r="E104" s="69"/>
      <c r="G104" s="30"/>
    </row>
    <row r="105" spans="1:14" s="70" customFormat="1" ht="12.75" customHeight="1" x14ac:dyDescent="0.2">
      <c r="A105" s="87"/>
      <c r="B105" s="120"/>
      <c r="C105" s="75"/>
      <c r="D105" s="88"/>
      <c r="E105" s="2"/>
      <c r="F105" s="2"/>
      <c r="G105" s="30"/>
      <c r="H105" s="2"/>
      <c r="I105" s="2"/>
      <c r="J105" s="2"/>
      <c r="K105" s="2"/>
      <c r="L105" s="41"/>
      <c r="M105" s="42"/>
      <c r="N105" s="2"/>
    </row>
    <row r="106" spans="1:14" s="2" customFormat="1" x14ac:dyDescent="0.2">
      <c r="A106" s="87"/>
      <c r="B106" s="74"/>
      <c r="C106" s="75"/>
      <c r="D106" s="51">
        <f>SUM(D105:D105)</f>
        <v>0</v>
      </c>
      <c r="F106" s="2" t="s">
        <v>396</v>
      </c>
      <c r="G106" s="1"/>
    </row>
    <row r="107" spans="1:14" s="2" customFormat="1" x14ac:dyDescent="0.2">
      <c r="A107" s="24"/>
      <c r="B107" s="1"/>
      <c r="C107" s="14"/>
      <c r="D107" s="56"/>
      <c r="E107" s="13"/>
      <c r="G107" s="1"/>
    </row>
    <row r="108" spans="1:14" s="2" customFormat="1" x14ac:dyDescent="0.2">
      <c r="A108" s="24"/>
      <c r="B108" s="1"/>
      <c r="C108" s="218" t="s">
        <v>77</v>
      </c>
      <c r="D108" s="219"/>
      <c r="E108" s="219"/>
      <c r="F108" s="220"/>
      <c r="H108" s="2" t="s">
        <v>396</v>
      </c>
    </row>
    <row r="109" spans="1:14" s="2" customFormat="1" x14ac:dyDescent="0.2">
      <c r="A109" s="24"/>
      <c r="B109" s="1"/>
      <c r="C109" s="50"/>
      <c r="D109" s="57" t="s">
        <v>78</v>
      </c>
      <c r="E109" s="58" t="s">
        <v>79</v>
      </c>
      <c r="F109" s="57" t="s">
        <v>72</v>
      </c>
      <c r="H109" s="2" t="s">
        <v>396</v>
      </c>
    </row>
    <row r="110" spans="1:14" s="2" customFormat="1" x14ac:dyDescent="0.2">
      <c r="A110" s="24"/>
      <c r="B110" s="1"/>
      <c r="C110" s="59" t="str">
        <f>"01-10-2023 to "&amp;TEXT(A5-2,"dd-mm-yyyy")</f>
        <v>01-10-2023 to 01-10-2023</v>
      </c>
      <c r="D110" s="60">
        <v>0</v>
      </c>
      <c r="E110" s="60">
        <v>0.69</v>
      </c>
      <c r="F110" s="61">
        <f>SUM(D110:E110)</f>
        <v>0.69</v>
      </c>
    </row>
    <row r="111" spans="1:14" s="2" customFormat="1" x14ac:dyDescent="0.2">
      <c r="A111" s="24"/>
      <c r="B111" s="1"/>
      <c r="C111" s="62" t="str">
        <f>TEXT(A5-1,"dd-mm-yyyy")</f>
        <v>02-10-2023</v>
      </c>
      <c r="D111" s="60">
        <v>0</v>
      </c>
      <c r="E111" s="60">
        <v>0</v>
      </c>
      <c r="F111" s="61">
        <f>SUM(D111:E111)</f>
        <v>0</v>
      </c>
      <c r="G111" s="1"/>
      <c r="H111" s="53"/>
    </row>
    <row r="112" spans="1:14" s="2" customFormat="1" ht="13.5" thickBot="1" x14ac:dyDescent="0.25">
      <c r="A112" s="24"/>
      <c r="B112" s="1"/>
      <c r="C112" s="63" t="str">
        <f>"01-10-2023 to "&amp;TEXT(A5-1,"dd-mm-yyyy")</f>
        <v>01-10-2023 to 02-10-2023</v>
      </c>
      <c r="D112" s="64">
        <f>SUM(D110:D111)</f>
        <v>0</v>
      </c>
      <c r="E112" s="64">
        <f>SUM(E110:E111)</f>
        <v>0.69</v>
      </c>
      <c r="F112" s="64">
        <f>SUM(F110:F111)</f>
        <v>0.69</v>
      </c>
      <c r="G112" s="1"/>
      <c r="H112" s="53"/>
    </row>
    <row r="113" spans="1:13" s="2" customFormat="1" ht="13.5" thickTop="1" x14ac:dyDescent="0.2">
      <c r="A113" s="24"/>
      <c r="B113" s="1"/>
      <c r="C113" s="62"/>
      <c r="D113" s="65"/>
      <c r="E113" s="66"/>
      <c r="F113" s="67"/>
      <c r="L113" s="1"/>
      <c r="M113" s="1"/>
    </row>
    <row r="114" spans="1:13" s="2" customFormat="1" x14ac:dyDescent="0.2">
      <c r="A114" s="24"/>
      <c r="B114" s="1"/>
      <c r="C114" s="62" t="str">
        <f>"01-04-2023 to " &amp;C111</f>
        <v>01-04-2023 to 02-10-2023</v>
      </c>
      <c r="D114" s="68">
        <f>+D112+27003.42</f>
        <v>27003.42</v>
      </c>
      <c r="E114" s="68">
        <f>+E112+2028.43</f>
        <v>2029.1200000000001</v>
      </c>
      <c r="F114" s="68">
        <f>+F112+29031.85</f>
        <v>29032.539999999997</v>
      </c>
      <c r="G114" s="1"/>
      <c r="L114" s="1"/>
      <c r="M114" s="1"/>
    </row>
    <row r="115" spans="1:13" s="2" customFormat="1" x14ac:dyDescent="0.2">
      <c r="A115" s="24"/>
      <c r="B115" s="1"/>
      <c r="C115" s="52"/>
      <c r="D115" s="85"/>
      <c r="E115" s="53"/>
      <c r="F115" s="53"/>
      <c r="G115" s="1"/>
      <c r="L115" s="1"/>
      <c r="M115" s="1"/>
    </row>
    <row r="116" spans="1:13" s="2" customFormat="1" x14ac:dyDescent="0.2">
      <c r="A116" s="24"/>
      <c r="B116" s="1"/>
      <c r="C116" s="52"/>
      <c r="D116" s="85"/>
      <c r="E116" s="53"/>
      <c r="F116" s="53"/>
      <c r="G116" s="1"/>
      <c r="L116" s="1"/>
      <c r="M116" s="1"/>
    </row>
    <row r="117" spans="1:13" s="2" customFormat="1" x14ac:dyDescent="0.2">
      <c r="A117" s="24"/>
      <c r="B117" s="1"/>
      <c r="C117" s="52"/>
      <c r="D117" s="85"/>
      <c r="E117" s="53"/>
      <c r="F117" s="53"/>
      <c r="G117" s="1"/>
      <c r="L117" s="1"/>
      <c r="M117" s="1"/>
    </row>
    <row r="118" spans="1:13" s="2" customFormat="1" x14ac:dyDescent="0.2">
      <c r="A118" s="24"/>
      <c r="B118" s="1"/>
      <c r="C118" s="52"/>
      <c r="D118" s="85"/>
      <c r="E118" s="53"/>
      <c r="F118" s="53"/>
      <c r="G118" s="1"/>
      <c r="L118" s="1"/>
      <c r="M118" s="1"/>
    </row>
    <row r="119" spans="1:13" s="2" customFormat="1" x14ac:dyDescent="0.2">
      <c r="A119" s="24"/>
      <c r="B119" s="1"/>
      <c r="C119" s="14"/>
      <c r="D119" s="25"/>
      <c r="G119" s="1"/>
      <c r="L119" s="1"/>
      <c r="M119" s="1"/>
    </row>
    <row r="120" spans="1:13" s="2" customFormat="1" x14ac:dyDescent="0.2">
      <c r="A120" s="24"/>
      <c r="B120" s="1"/>
      <c r="C120" s="14"/>
      <c r="D120" s="25"/>
      <c r="G120" s="1"/>
      <c r="L120" s="1"/>
      <c r="M120" s="1"/>
    </row>
    <row r="121" spans="1:13" s="2" customFormat="1" x14ac:dyDescent="0.2">
      <c r="A121" s="24"/>
      <c r="B121" s="1"/>
      <c r="C121" s="14"/>
      <c r="D121" s="25"/>
      <c r="G121" s="1"/>
      <c r="L121" s="1"/>
      <c r="M121" s="1"/>
    </row>
    <row r="122" spans="1:13" s="2" customFormat="1" x14ac:dyDescent="0.2">
      <c r="A122" s="24"/>
      <c r="B122" s="1"/>
      <c r="C122" s="14"/>
      <c r="D122" s="25"/>
      <c r="G122" s="1"/>
      <c r="L122" s="1"/>
      <c r="M122" s="1"/>
    </row>
    <row r="123" spans="1:13" s="2" customFormat="1" x14ac:dyDescent="0.2">
      <c r="A123" s="24"/>
      <c r="B123" s="1"/>
      <c r="C123" s="14"/>
      <c r="D123" s="25"/>
      <c r="G123" s="1"/>
      <c r="L123" s="1"/>
      <c r="M123" s="1"/>
    </row>
    <row r="124" spans="1:13" s="2" customFormat="1" x14ac:dyDescent="0.2">
      <c r="A124" s="24"/>
      <c r="B124" s="1"/>
      <c r="C124" s="14"/>
      <c r="D124" s="25"/>
      <c r="G124" s="1"/>
      <c r="L124" s="1"/>
      <c r="M124" s="1"/>
    </row>
    <row r="125" spans="1:13" s="2" customFormat="1" x14ac:dyDescent="0.2">
      <c r="A125" s="24"/>
      <c r="B125" s="1"/>
      <c r="C125" s="14"/>
      <c r="D125" s="25"/>
      <c r="G125" s="1"/>
      <c r="L125" s="1"/>
      <c r="M125" s="1"/>
    </row>
    <row r="126" spans="1:13" s="2" customFormat="1" x14ac:dyDescent="0.2">
      <c r="A126" s="24"/>
      <c r="B126" s="1"/>
      <c r="C126" s="14"/>
      <c r="D126" s="25"/>
      <c r="G126" s="1"/>
      <c r="L126" s="1"/>
      <c r="M126" s="1"/>
    </row>
    <row r="127" spans="1:13" s="2" customFormat="1" x14ac:dyDescent="0.2">
      <c r="A127" s="24"/>
      <c r="B127" s="1"/>
      <c r="C127" s="14"/>
      <c r="D127" s="25"/>
      <c r="G127" s="1"/>
      <c r="L127" s="1"/>
      <c r="M127" s="1"/>
    </row>
    <row r="128" spans="1:13" s="2" customFormat="1" x14ac:dyDescent="0.2">
      <c r="A128" s="24"/>
      <c r="B128" s="1"/>
      <c r="C128" s="14"/>
      <c r="D128" s="25"/>
      <c r="G128" s="1"/>
      <c r="L128" s="1"/>
      <c r="M128" s="1"/>
    </row>
    <row r="129" spans="1:14" s="2" customFormat="1" x14ac:dyDescent="0.2">
      <c r="A129" s="24"/>
      <c r="B129" s="1"/>
      <c r="C129" s="14"/>
      <c r="D129" s="25"/>
      <c r="G129" s="1"/>
      <c r="L129" s="1"/>
      <c r="M129" s="1"/>
    </row>
    <row r="130" spans="1:14" s="2" customFormat="1" x14ac:dyDescent="0.2">
      <c r="A130" s="24"/>
      <c r="B130" s="1"/>
      <c r="C130" s="14"/>
      <c r="D130" s="25"/>
      <c r="G130" s="1"/>
      <c r="L130" s="1"/>
      <c r="M130" s="1"/>
    </row>
    <row r="131" spans="1:14" s="2" customFormat="1" x14ac:dyDescent="0.2">
      <c r="A131" s="24"/>
      <c r="B131" s="1"/>
      <c r="C131" s="14"/>
      <c r="D131" s="25"/>
      <c r="G131" s="1"/>
      <c r="L131" s="1"/>
      <c r="M131" s="1"/>
    </row>
    <row r="132" spans="1:14" s="2" customFormat="1" x14ac:dyDescent="0.2">
      <c r="A132" s="24"/>
      <c r="B132" s="1"/>
      <c r="C132" s="14"/>
      <c r="D132" s="25"/>
      <c r="G132" s="1"/>
      <c r="L132" s="1"/>
      <c r="M132" s="1"/>
    </row>
    <row r="133" spans="1:14" s="2" customFormat="1" x14ac:dyDescent="0.2">
      <c r="A133" s="24"/>
      <c r="B133" s="1"/>
      <c r="C133" s="14"/>
      <c r="D133" s="25"/>
      <c r="G133" s="1"/>
      <c r="I133" s="1"/>
      <c r="J133" s="1"/>
      <c r="K133" s="1"/>
      <c r="L133" s="1"/>
      <c r="M133" s="1"/>
    </row>
    <row r="134" spans="1:14" s="2" customFormat="1" x14ac:dyDescent="0.2">
      <c r="A134" s="24"/>
      <c r="B134" s="1"/>
      <c r="C134" s="14"/>
      <c r="D134" s="25"/>
      <c r="G134" s="1"/>
    </row>
    <row r="135" spans="1:14" s="2" customFormat="1" x14ac:dyDescent="0.2">
      <c r="A135" s="24"/>
      <c r="B135" s="1"/>
      <c r="C135" s="14"/>
      <c r="D135" s="25"/>
      <c r="G135" s="1"/>
      <c r="I135" s="1"/>
      <c r="J135" s="1"/>
      <c r="K135" s="1"/>
      <c r="L135" s="1"/>
      <c r="M135" s="1"/>
    </row>
    <row r="136" spans="1:14" s="2" customFormat="1" x14ac:dyDescent="0.2">
      <c r="A136" s="24"/>
      <c r="B136" s="1"/>
      <c r="C136" s="14"/>
      <c r="D136" s="25"/>
      <c r="G136" s="54"/>
      <c r="I136" s="1"/>
      <c r="J136" s="1"/>
      <c r="K136" s="1"/>
      <c r="L136" s="1"/>
      <c r="M136" s="1"/>
    </row>
    <row r="137" spans="1:14" s="2" customFormat="1" x14ac:dyDescent="0.2">
      <c r="A137" s="24"/>
      <c r="B137" s="1"/>
      <c r="C137" s="14"/>
      <c r="D137" s="25"/>
      <c r="G137" s="54"/>
      <c r="I137" s="1"/>
      <c r="J137" s="1"/>
      <c r="K137" s="1"/>
      <c r="L137" s="1"/>
      <c r="M137" s="1"/>
    </row>
    <row r="138" spans="1:14" s="2" customFormat="1" x14ac:dyDescent="0.2">
      <c r="A138" s="24"/>
      <c r="B138" s="1"/>
      <c r="C138" s="14"/>
      <c r="D138" s="25"/>
      <c r="G138" s="54"/>
      <c r="I138" s="1"/>
      <c r="J138" s="1"/>
      <c r="K138" s="1"/>
      <c r="L138" s="1"/>
      <c r="M138" s="1"/>
    </row>
    <row r="139" spans="1:14" s="2" customFormat="1" x14ac:dyDescent="0.2">
      <c r="A139" s="24"/>
      <c r="B139" s="1"/>
      <c r="C139" s="14"/>
      <c r="D139" s="25"/>
      <c r="G139" s="54"/>
      <c r="H139" s="2" t="s">
        <v>396</v>
      </c>
      <c r="I139" s="1"/>
      <c r="J139" s="1"/>
      <c r="K139" s="1"/>
      <c r="L139" s="1"/>
      <c r="M139" s="1"/>
      <c r="N139" s="1"/>
    </row>
    <row r="140" spans="1:14" s="2" customFormat="1" x14ac:dyDescent="0.2">
      <c r="A140" s="24"/>
      <c r="B140" s="1"/>
      <c r="C140" s="14"/>
      <c r="D140" s="25"/>
      <c r="G140" s="54"/>
      <c r="H140" s="53"/>
    </row>
    <row r="141" spans="1:14" s="2" customFormat="1" x14ac:dyDescent="0.2">
      <c r="A141" s="24"/>
      <c r="B141" s="1"/>
      <c r="C141" s="14"/>
      <c r="D141" s="25"/>
      <c r="G141" s="54"/>
      <c r="H141" s="53" t="s">
        <v>396</v>
      </c>
      <c r="I141" s="1"/>
      <c r="J141" s="1"/>
      <c r="K141" s="1"/>
      <c r="L141" s="1"/>
      <c r="M141" s="1"/>
      <c r="N141" s="1"/>
    </row>
    <row r="142" spans="1:14" x14ac:dyDescent="0.2">
      <c r="G142" s="54"/>
      <c r="H142" s="53" t="s">
        <v>396</v>
      </c>
      <c r="J142" s="42"/>
    </row>
    <row r="143" spans="1:14" s="2" customFormat="1" x14ac:dyDescent="0.2">
      <c r="A143" s="24"/>
      <c r="B143" s="1"/>
      <c r="C143" s="14"/>
      <c r="D143" s="25"/>
      <c r="G143" s="54"/>
      <c r="H143" s="53"/>
      <c r="I143" s="101"/>
      <c r="J143" s="1"/>
      <c r="K143" s="1"/>
      <c r="L143" s="1"/>
      <c r="M143" s="1"/>
      <c r="N143" s="1"/>
    </row>
    <row r="144" spans="1:14" x14ac:dyDescent="0.2">
      <c r="G144" s="54"/>
      <c r="H144" s="53"/>
    </row>
    <row r="145" spans="7:8" x14ac:dyDescent="0.2">
      <c r="G145" s="54"/>
      <c r="H145" s="53"/>
    </row>
    <row r="146" spans="7:8" x14ac:dyDescent="0.2">
      <c r="G146" s="54"/>
      <c r="H146" s="53"/>
    </row>
  </sheetData>
  <sheetProtection insertRows="0"/>
  <mergeCells count="6">
    <mergeCell ref="C108:F108"/>
    <mergeCell ref="A1:G1"/>
    <mergeCell ref="A3:F3"/>
    <mergeCell ref="A9:F9"/>
    <mergeCell ref="A22:F22"/>
    <mergeCell ref="A103:D103"/>
  </mergeCells>
  <conditionalFormatting sqref="G100:G101">
    <cfRule type="cellIs" dxfId="287" priority="1" operator="lessThan">
      <formula>0</formula>
    </cfRule>
  </conditionalFormatting>
  <conditionalFormatting sqref="C24">
    <cfRule type="duplicateValues" dxfId="286" priority="2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300-000000000000}">
  <sheetPr codeName="Sheet443">
    <pageSetUpPr fitToPage="1"/>
  </sheetPr>
  <dimension ref="A1:N135"/>
  <sheetViews>
    <sheetView topLeftCell="B63" zoomScaleNormal="100" workbookViewId="0">
      <selection activeCell="D77" sqref="D77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3" ht="20.25" customHeight="1" x14ac:dyDescent="0.4">
      <c r="A1" s="212" t="s">
        <v>1623</v>
      </c>
      <c r="B1" s="212"/>
      <c r="C1" s="212"/>
      <c r="D1" s="212"/>
      <c r="E1" s="212"/>
      <c r="F1" s="212"/>
      <c r="G1" s="212"/>
      <c r="H1" s="112"/>
      <c r="I1" s="112"/>
    </row>
    <row r="2" spans="1:13" ht="12.75" customHeight="1" x14ac:dyDescent="0.4">
      <c r="H2" s="112"/>
      <c r="I2" s="112"/>
    </row>
    <row r="3" spans="1:13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3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3" s="2" customFormat="1" ht="14.25" customHeight="1" x14ac:dyDescent="0.4">
      <c r="A5" s="89">
        <v>45203</v>
      </c>
      <c r="B5" s="9" t="s">
        <v>6</v>
      </c>
      <c r="C5" s="10" t="s">
        <v>7</v>
      </c>
      <c r="D5" s="11"/>
      <c r="E5" s="12">
        <v>990639.79000000097</v>
      </c>
      <c r="F5" s="12"/>
      <c r="G5" s="1"/>
      <c r="H5" s="112"/>
      <c r="I5" s="112"/>
    </row>
    <row r="6" spans="1:13" s="2" customFormat="1" ht="12.75" customHeight="1" x14ac:dyDescent="0.4">
      <c r="D6" s="15" t="s">
        <v>8</v>
      </c>
      <c r="E6" s="16">
        <f>SUM(E5:E5)</f>
        <v>990639.79000000097</v>
      </c>
      <c r="F6" s="16">
        <f>F5</f>
        <v>0</v>
      </c>
      <c r="G6" s="1"/>
      <c r="H6" s="112"/>
      <c r="I6" s="112"/>
    </row>
    <row r="7" spans="1:13" s="2" customFormat="1" ht="12.75" customHeight="1" x14ac:dyDescent="0.4">
      <c r="A7" s="17"/>
      <c r="B7" s="18"/>
      <c r="C7" s="19" t="s">
        <v>9</v>
      </c>
      <c r="D7" s="20"/>
      <c r="E7" s="21">
        <f>+E6-F6</f>
        <v>990639.79000000097</v>
      </c>
      <c r="F7" s="22"/>
      <c r="G7" s="23"/>
      <c r="H7" s="112"/>
      <c r="I7" s="112"/>
      <c r="J7" s="13"/>
    </row>
    <row r="8" spans="1:13" ht="12.75" customHeight="1" x14ac:dyDescent="0.4">
      <c r="H8" s="112"/>
      <c r="I8" s="112"/>
    </row>
    <row r="9" spans="1:13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69">
        <v>90000000</v>
      </c>
      <c r="J9" s="169" t="s">
        <v>1508</v>
      </c>
    </row>
    <row r="10" spans="1:13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69">
        <v>81756905.379999995</v>
      </c>
      <c r="J10" s="169" t="s">
        <v>1509</v>
      </c>
      <c r="K10" s="124"/>
    </row>
    <row r="11" spans="1:13" s="2" customFormat="1" ht="14.25" customHeight="1" x14ac:dyDescent="0.2">
      <c r="A11" s="89">
        <v>45203</v>
      </c>
      <c r="B11" s="9" t="s">
        <v>6</v>
      </c>
      <c r="C11" s="10" t="s">
        <v>7</v>
      </c>
      <c r="D11" s="11"/>
      <c r="F11" s="12">
        <v>85682096.180000007</v>
      </c>
      <c r="G11" s="1"/>
      <c r="H11" s="130" t="s">
        <v>396</v>
      </c>
      <c r="I11" s="169">
        <f>+I9-I10</f>
        <v>8243094.6200000048</v>
      </c>
      <c r="J11" s="169" t="s">
        <v>712</v>
      </c>
      <c r="K11" s="165" t="s">
        <v>1512</v>
      </c>
    </row>
    <row r="12" spans="1:13" s="2" customFormat="1" ht="14.25" customHeight="1" x14ac:dyDescent="0.2">
      <c r="A12" s="89">
        <v>45203</v>
      </c>
      <c r="B12" s="9" t="s">
        <v>6</v>
      </c>
      <c r="C12" s="76" t="s">
        <v>1255</v>
      </c>
      <c r="D12" s="11" t="s">
        <v>13</v>
      </c>
      <c r="E12" s="2">
        <v>2500000</v>
      </c>
      <c r="F12" s="12"/>
      <c r="G12" s="1"/>
      <c r="H12" s="130"/>
      <c r="I12" s="171"/>
      <c r="J12" s="171"/>
      <c r="K12" s="165"/>
    </row>
    <row r="13" spans="1:13" s="2" customFormat="1" ht="14.25" customHeight="1" x14ac:dyDescent="0.2">
      <c r="A13" s="89">
        <v>45203</v>
      </c>
      <c r="B13" s="9" t="s">
        <v>6</v>
      </c>
      <c r="C13" s="76" t="s">
        <v>1002</v>
      </c>
      <c r="D13" s="11" t="s">
        <v>13</v>
      </c>
      <c r="E13" s="2">
        <v>1727285.23</v>
      </c>
      <c r="F13" s="12"/>
      <c r="G13" s="1"/>
      <c r="H13" s="130"/>
      <c r="I13" s="171"/>
      <c r="J13" s="171"/>
      <c r="K13" s="165"/>
    </row>
    <row r="14" spans="1:13" s="2" customFormat="1" ht="14.25" customHeight="1" x14ac:dyDescent="0.2">
      <c r="A14" s="89">
        <v>45203</v>
      </c>
      <c r="B14" s="9" t="s">
        <v>11</v>
      </c>
      <c r="C14" s="76" t="s">
        <v>1462</v>
      </c>
      <c r="D14" s="11" t="s">
        <v>29</v>
      </c>
      <c r="F14" s="12">
        <v>219452</v>
      </c>
      <c r="G14" s="1"/>
      <c r="H14" s="130"/>
      <c r="I14" s="171"/>
      <c r="J14" s="171"/>
      <c r="K14" s="165"/>
    </row>
    <row r="15" spans="1:13" s="2" customFormat="1" ht="14.25" customHeight="1" x14ac:dyDescent="0.2">
      <c r="A15" s="89">
        <v>45203</v>
      </c>
      <c r="B15" s="9" t="s">
        <v>11</v>
      </c>
      <c r="C15" s="76" t="s">
        <v>1137</v>
      </c>
      <c r="D15" s="11" t="s">
        <v>29</v>
      </c>
      <c r="F15" s="12">
        <v>82642.429999999993</v>
      </c>
      <c r="G15" s="1"/>
      <c r="H15" s="130"/>
      <c r="I15" s="171"/>
      <c r="J15" s="171"/>
      <c r="K15" s="165"/>
    </row>
    <row r="16" spans="1:13" s="2" customFormat="1" ht="14.25" customHeight="1" x14ac:dyDescent="0.2">
      <c r="D16" s="11" t="s">
        <v>8</v>
      </c>
      <c r="E16" s="16">
        <f>SUM(E11:E15)</f>
        <v>4227285.2300000004</v>
      </c>
      <c r="F16" s="16">
        <f>SUM(F11:F15)</f>
        <v>85984190.610000014</v>
      </c>
      <c r="G16" s="1"/>
      <c r="H16" s="143"/>
      <c r="I16" s="130"/>
      <c r="J16" s="143"/>
      <c r="K16" s="143"/>
      <c r="L16" s="143"/>
      <c r="M16" s="143"/>
    </row>
    <row r="17" spans="1:14" s="2" customFormat="1" ht="14.25" customHeight="1" x14ac:dyDescent="0.4">
      <c r="A17" s="17"/>
      <c r="B17" s="18"/>
      <c r="C17" s="96" t="s">
        <v>9</v>
      </c>
      <c r="D17" s="20"/>
      <c r="E17" s="21">
        <f>+F16-E16</f>
        <v>81756905.38000001</v>
      </c>
      <c r="G17" s="1"/>
      <c r="I17" s="112"/>
      <c r="J17" s="153" t="s">
        <v>779</v>
      </c>
    </row>
    <row r="18" spans="1:14" s="2" customFormat="1" ht="14.25" customHeight="1" x14ac:dyDescent="0.2">
      <c r="A18" s="36"/>
      <c r="B18" s="28" t="s">
        <v>66</v>
      </c>
      <c r="C18" s="43" t="s">
        <v>1458</v>
      </c>
      <c r="D18" s="43"/>
      <c r="E18" s="12">
        <v>30000000</v>
      </c>
      <c r="F18" s="22"/>
      <c r="G18" s="1"/>
      <c r="I18" s="40">
        <v>81756905.379999995</v>
      </c>
      <c r="J18" s="154">
        <f>I18-E17</f>
        <v>0</v>
      </c>
    </row>
    <row r="19" spans="1:14" s="2" customFormat="1" ht="14.25" customHeight="1" x14ac:dyDescent="0.25">
      <c r="A19" s="36"/>
      <c r="B19" s="28"/>
      <c r="C19" s="44" t="s">
        <v>1541</v>
      </c>
      <c r="D19" s="43"/>
      <c r="E19" s="7">
        <f>+E17+E18</f>
        <v>111756905.38000001</v>
      </c>
      <c r="F19" s="22"/>
      <c r="G19" s="1"/>
      <c r="H19" s="13" t="s">
        <v>1582</v>
      </c>
      <c r="I19" s="13" t="s">
        <v>1583</v>
      </c>
    </row>
    <row r="20" spans="1:14" s="2" customFormat="1" ht="14.25" customHeight="1" x14ac:dyDescent="0.25">
      <c r="A20" s="36"/>
      <c r="B20" s="28"/>
      <c r="C20" s="44" t="s">
        <v>1511</v>
      </c>
      <c r="D20" s="43"/>
      <c r="E20" s="38">
        <f>+I11</f>
        <v>8243094.6200000048</v>
      </c>
      <c r="F20" s="22"/>
      <c r="G20" s="1"/>
      <c r="H20" s="2">
        <v>3674715</v>
      </c>
      <c r="I20" s="2">
        <v>2521412.58</v>
      </c>
      <c r="J20" s="176">
        <f>H20-I20</f>
        <v>1153302.42</v>
      </c>
    </row>
    <row r="21" spans="1:14" s="2" customFormat="1" ht="14.25" customHeight="1" x14ac:dyDescent="0.2">
      <c r="A21" s="24"/>
      <c r="B21" s="1"/>
      <c r="C21" s="14"/>
      <c r="D21" s="25"/>
      <c r="G21" s="1"/>
      <c r="I21" s="130"/>
      <c r="J21" s="130"/>
    </row>
    <row r="22" spans="1:14" s="2" customFormat="1" x14ac:dyDescent="0.2">
      <c r="A22" s="214" t="s">
        <v>10</v>
      </c>
      <c r="B22" s="214"/>
      <c r="C22" s="214"/>
      <c r="D22" s="214"/>
      <c r="E22" s="214"/>
      <c r="F22" s="214"/>
      <c r="G22" s="1"/>
      <c r="H22" s="159"/>
      <c r="I22" s="160">
        <f>225000000-75000000</f>
        <v>150000000</v>
      </c>
      <c r="J22" s="160" t="s">
        <v>1506</v>
      </c>
      <c r="K22" s="70"/>
    </row>
    <row r="23" spans="1:14" s="2" customFormat="1" x14ac:dyDescent="0.2">
      <c r="A23" s="26" t="s">
        <v>1</v>
      </c>
      <c r="B23" s="27" t="s">
        <v>2</v>
      </c>
      <c r="C23" s="5"/>
      <c r="D23" s="6" t="s">
        <v>3</v>
      </c>
      <c r="E23" s="7" t="s">
        <v>4</v>
      </c>
      <c r="F23" s="7" t="s">
        <v>5</v>
      </c>
      <c r="G23" s="1"/>
      <c r="H23" s="159"/>
      <c r="I23" s="160">
        <v>90008774.799999997</v>
      </c>
      <c r="J23" s="160" t="s">
        <v>1507</v>
      </c>
      <c r="K23" s="70" t="s">
        <v>1512</v>
      </c>
    </row>
    <row r="24" spans="1:14" s="2" customFormat="1" x14ac:dyDescent="0.2">
      <c r="A24" s="89">
        <v>45203</v>
      </c>
      <c r="B24" s="128" t="s">
        <v>11</v>
      </c>
      <c r="C24" s="29" t="s">
        <v>7</v>
      </c>
      <c r="D24" s="25"/>
      <c r="E24" s="31"/>
      <c r="F24" s="2">
        <v>85350475.250000089</v>
      </c>
      <c r="G24" s="23"/>
      <c r="H24" s="159" t="s">
        <v>1505</v>
      </c>
      <c r="I24" s="160">
        <f>+I22-I23</f>
        <v>59991225.200000003</v>
      </c>
      <c r="J24" s="160"/>
      <c r="K24" s="70"/>
    </row>
    <row r="25" spans="1:14" s="2" customFormat="1" x14ac:dyDescent="0.2">
      <c r="A25" s="89">
        <v>45203</v>
      </c>
      <c r="B25" s="128" t="s">
        <v>6</v>
      </c>
      <c r="C25" s="10" t="s">
        <v>503</v>
      </c>
      <c r="D25" s="11" t="s">
        <v>13</v>
      </c>
      <c r="E25" s="86">
        <v>825118.51</v>
      </c>
      <c r="F25" s="70"/>
      <c r="G25" s="1"/>
      <c r="N25" s="1"/>
    </row>
    <row r="26" spans="1:14" s="2" customFormat="1" x14ac:dyDescent="0.2">
      <c r="A26" s="89">
        <v>45203</v>
      </c>
      <c r="B26" s="128" t="s">
        <v>6</v>
      </c>
      <c r="C26" s="10" t="s">
        <v>1624</v>
      </c>
      <c r="D26" s="11" t="s">
        <v>13</v>
      </c>
      <c r="E26" s="86">
        <v>7088</v>
      </c>
      <c r="F26" s="70"/>
      <c r="G26" s="1"/>
      <c r="N26" s="1"/>
    </row>
    <row r="27" spans="1:14" s="2" customFormat="1" x14ac:dyDescent="0.2">
      <c r="A27" s="89">
        <v>45203</v>
      </c>
      <c r="B27" s="128" t="s">
        <v>6</v>
      </c>
      <c r="C27" s="10" t="s">
        <v>19</v>
      </c>
      <c r="D27" s="11" t="s">
        <v>13</v>
      </c>
      <c r="E27" s="86">
        <v>1165632</v>
      </c>
      <c r="F27" s="70"/>
      <c r="G27" s="1"/>
      <c r="N27" s="1"/>
    </row>
    <row r="28" spans="1:14" s="2" customFormat="1" x14ac:dyDescent="0.2">
      <c r="A28" s="89">
        <v>45203</v>
      </c>
      <c r="B28" s="128" t="s">
        <v>6</v>
      </c>
      <c r="C28" s="10" t="s">
        <v>316</v>
      </c>
      <c r="D28" s="11" t="s">
        <v>13</v>
      </c>
      <c r="E28" s="86">
        <v>279192</v>
      </c>
      <c r="F28" s="70"/>
      <c r="G28" s="1"/>
      <c r="N28" s="1"/>
    </row>
    <row r="29" spans="1:14" s="2" customFormat="1" x14ac:dyDescent="0.2">
      <c r="A29" s="89">
        <v>45203</v>
      </c>
      <c r="B29" s="128" t="s">
        <v>6</v>
      </c>
      <c r="C29" s="10" t="s">
        <v>240</v>
      </c>
      <c r="D29" s="11" t="s">
        <v>13</v>
      </c>
      <c r="E29" s="86">
        <v>13613</v>
      </c>
      <c r="F29" s="70"/>
      <c r="G29" s="1"/>
      <c r="N29" s="1"/>
    </row>
    <row r="30" spans="1:14" s="2" customFormat="1" x14ac:dyDescent="0.2">
      <c r="A30" s="89">
        <v>45203</v>
      </c>
      <c r="B30" s="128" t="s">
        <v>6</v>
      </c>
      <c r="C30" s="10" t="s">
        <v>1625</v>
      </c>
      <c r="D30" s="11" t="s">
        <v>13</v>
      </c>
      <c r="E30" s="86">
        <v>45675</v>
      </c>
      <c r="F30" s="70"/>
      <c r="G30" s="1"/>
      <c r="N30" s="1"/>
    </row>
    <row r="31" spans="1:14" s="2" customFormat="1" x14ac:dyDescent="0.2">
      <c r="A31" s="89">
        <v>45203</v>
      </c>
      <c r="B31" s="128" t="s">
        <v>6</v>
      </c>
      <c r="C31" s="10" t="s">
        <v>465</v>
      </c>
      <c r="D31" s="11" t="s">
        <v>13</v>
      </c>
      <c r="E31" s="86">
        <v>300000</v>
      </c>
      <c r="F31" s="70"/>
      <c r="G31" s="1"/>
      <c r="N31" s="1"/>
    </row>
    <row r="32" spans="1:14" s="2" customFormat="1" x14ac:dyDescent="0.2">
      <c r="A32" s="89">
        <v>45203</v>
      </c>
      <c r="B32" s="128" t="s">
        <v>6</v>
      </c>
      <c r="C32" s="10" t="s">
        <v>1626</v>
      </c>
      <c r="D32" s="11" t="s">
        <v>13</v>
      </c>
      <c r="E32" s="86">
        <v>33654.720000000001</v>
      </c>
      <c r="F32" s="70"/>
      <c r="G32" s="1"/>
      <c r="N32" s="1"/>
    </row>
    <row r="33" spans="1:14" s="2" customFormat="1" x14ac:dyDescent="0.2">
      <c r="A33" s="89">
        <v>45203</v>
      </c>
      <c r="B33" s="128" t="s">
        <v>6</v>
      </c>
      <c r="C33" s="10" t="s">
        <v>1627</v>
      </c>
      <c r="D33" s="11" t="s">
        <v>13</v>
      </c>
      <c r="E33" s="86">
        <v>3191045.64</v>
      </c>
      <c r="F33" s="70"/>
      <c r="G33" s="1"/>
      <c r="N33" s="1"/>
    </row>
    <row r="34" spans="1:14" s="2" customFormat="1" x14ac:dyDescent="0.2">
      <c r="A34" s="89">
        <v>45203</v>
      </c>
      <c r="B34" s="128" t="s">
        <v>6</v>
      </c>
      <c r="C34" s="10" t="s">
        <v>1351</v>
      </c>
      <c r="D34" s="11" t="s">
        <v>13</v>
      </c>
      <c r="E34" s="86">
        <v>42248.69</v>
      </c>
      <c r="F34" s="70"/>
      <c r="G34" s="1"/>
      <c r="N34" s="1"/>
    </row>
    <row r="35" spans="1:14" s="2" customFormat="1" x14ac:dyDescent="0.2">
      <c r="A35" s="89">
        <v>45203</v>
      </c>
      <c r="B35" s="128" t="s">
        <v>6</v>
      </c>
      <c r="C35" s="10" t="s">
        <v>332</v>
      </c>
      <c r="D35" s="11" t="s">
        <v>13</v>
      </c>
      <c r="E35" s="86">
        <v>1110245</v>
      </c>
      <c r="F35" s="70"/>
      <c r="G35" s="1"/>
      <c r="N35" s="1"/>
    </row>
    <row r="36" spans="1:14" s="2" customFormat="1" x14ac:dyDescent="0.2">
      <c r="A36" s="89">
        <v>45203</v>
      </c>
      <c r="B36" s="128" t="s">
        <v>6</v>
      </c>
      <c r="C36" s="10" t="s">
        <v>177</v>
      </c>
      <c r="D36" s="11" t="s">
        <v>13</v>
      </c>
      <c r="E36" s="86">
        <v>421819</v>
      </c>
      <c r="F36" s="70"/>
      <c r="G36" s="1"/>
      <c r="N36" s="1"/>
    </row>
    <row r="37" spans="1:14" s="2" customFormat="1" x14ac:dyDescent="0.2">
      <c r="A37" s="89">
        <v>45203</v>
      </c>
      <c r="B37" s="128" t="s">
        <v>6</v>
      </c>
      <c r="C37" s="10" t="s">
        <v>534</v>
      </c>
      <c r="D37" s="11" t="s">
        <v>13</v>
      </c>
      <c r="E37" s="86">
        <v>474842</v>
      </c>
      <c r="F37" s="70"/>
      <c r="G37" s="1"/>
      <c r="N37" s="1"/>
    </row>
    <row r="38" spans="1:14" s="2" customFormat="1" x14ac:dyDescent="0.2">
      <c r="A38" s="89">
        <v>45203</v>
      </c>
      <c r="B38" s="128" t="s">
        <v>6</v>
      </c>
      <c r="C38" s="10" t="s">
        <v>456</v>
      </c>
      <c r="D38" s="11" t="s">
        <v>13</v>
      </c>
      <c r="E38" s="86">
        <v>500000</v>
      </c>
      <c r="F38" s="70"/>
      <c r="G38" s="1"/>
      <c r="N38" s="1"/>
    </row>
    <row r="39" spans="1:14" s="2" customFormat="1" x14ac:dyDescent="0.2">
      <c r="A39" s="89">
        <v>45203</v>
      </c>
      <c r="B39" s="128" t="s">
        <v>6</v>
      </c>
      <c r="C39" s="10" t="s">
        <v>149</v>
      </c>
      <c r="D39" s="11" t="s">
        <v>13</v>
      </c>
      <c r="E39" s="86">
        <v>22982</v>
      </c>
      <c r="F39" s="70"/>
      <c r="G39" s="1"/>
      <c r="N39" s="1"/>
    </row>
    <row r="40" spans="1:14" s="2" customFormat="1" x14ac:dyDescent="0.2">
      <c r="A40" s="89">
        <v>45203</v>
      </c>
      <c r="B40" s="128" t="s">
        <v>6</v>
      </c>
      <c r="C40" s="10" t="s">
        <v>266</v>
      </c>
      <c r="D40" s="11" t="s">
        <v>13</v>
      </c>
      <c r="E40" s="86">
        <v>400000</v>
      </c>
      <c r="F40" s="70"/>
      <c r="G40" s="1"/>
      <c r="N40" s="1"/>
    </row>
    <row r="41" spans="1:14" s="2" customFormat="1" x14ac:dyDescent="0.2">
      <c r="A41" s="89">
        <v>45203</v>
      </c>
      <c r="B41" s="128" t="s">
        <v>6</v>
      </c>
      <c r="C41" s="10" t="s">
        <v>378</v>
      </c>
      <c r="D41" s="11" t="s">
        <v>13</v>
      </c>
      <c r="E41" s="86">
        <v>822273</v>
      </c>
      <c r="F41" s="70"/>
      <c r="G41" s="1"/>
      <c r="N41" s="1"/>
    </row>
    <row r="42" spans="1:14" s="2" customFormat="1" x14ac:dyDescent="0.2">
      <c r="A42" s="89">
        <v>45203</v>
      </c>
      <c r="B42" s="128" t="s">
        <v>6</v>
      </c>
      <c r="C42" s="10" t="s">
        <v>27</v>
      </c>
      <c r="D42" s="11" t="s">
        <v>13</v>
      </c>
      <c r="E42" s="86">
        <v>730573.21</v>
      </c>
      <c r="F42" s="70"/>
      <c r="G42" s="1"/>
      <c r="N42" s="1"/>
    </row>
    <row r="43" spans="1:14" s="2" customFormat="1" x14ac:dyDescent="0.2">
      <c r="A43" s="89">
        <v>45203</v>
      </c>
      <c r="B43" s="128" t="s">
        <v>6</v>
      </c>
      <c r="C43" s="10" t="s">
        <v>1629</v>
      </c>
      <c r="D43" s="11" t="s">
        <v>13</v>
      </c>
      <c r="E43" s="86">
        <v>4189</v>
      </c>
      <c r="F43" s="70"/>
      <c r="G43" s="1"/>
      <c r="N43" s="1"/>
    </row>
    <row r="44" spans="1:14" s="2" customFormat="1" x14ac:dyDescent="0.2">
      <c r="A44" s="89">
        <v>45203</v>
      </c>
      <c r="B44" s="128" t="s">
        <v>11</v>
      </c>
      <c r="C44" s="10" t="s">
        <v>64</v>
      </c>
      <c r="D44" s="11" t="s">
        <v>29</v>
      </c>
      <c r="E44" s="86"/>
      <c r="F44" s="70">
        <v>40653.169999999991</v>
      </c>
      <c r="G44" s="1"/>
      <c r="N44" s="1"/>
    </row>
    <row r="45" spans="1:14" s="2" customFormat="1" x14ac:dyDescent="0.2">
      <c r="A45" s="89">
        <v>45203</v>
      </c>
      <c r="B45" s="128" t="s">
        <v>11</v>
      </c>
      <c r="C45" s="10" t="s">
        <v>156</v>
      </c>
      <c r="D45" s="11" t="s">
        <v>29</v>
      </c>
      <c r="E45" s="86"/>
      <c r="F45" s="70">
        <v>2.7</v>
      </c>
      <c r="G45" s="1"/>
      <c r="N45" s="1"/>
    </row>
    <row r="46" spans="1:14" s="2" customFormat="1" x14ac:dyDescent="0.2">
      <c r="A46" s="89">
        <v>45203</v>
      </c>
      <c r="B46" s="128" t="s">
        <v>11</v>
      </c>
      <c r="C46" s="10" t="s">
        <v>32</v>
      </c>
      <c r="D46" s="11" t="s">
        <v>29</v>
      </c>
      <c r="E46" s="86"/>
      <c r="F46" s="70">
        <v>1605094</v>
      </c>
      <c r="G46" s="1"/>
      <c r="N46" s="1"/>
    </row>
    <row r="47" spans="1:14" s="2" customFormat="1" x14ac:dyDescent="0.2">
      <c r="A47" s="89">
        <v>45203</v>
      </c>
      <c r="B47" s="128" t="s">
        <v>11</v>
      </c>
      <c r="C47" s="10" t="s">
        <v>1519</v>
      </c>
      <c r="D47" s="11" t="s">
        <v>29</v>
      </c>
      <c r="E47" s="86"/>
      <c r="F47" s="70">
        <v>4000000</v>
      </c>
      <c r="G47" s="1"/>
      <c r="N47" s="1"/>
    </row>
    <row r="48" spans="1:14" s="2" customFormat="1" x14ac:dyDescent="0.2">
      <c r="A48" s="89">
        <v>45203</v>
      </c>
      <c r="B48" s="128" t="s">
        <v>11</v>
      </c>
      <c r="C48" s="10" t="s">
        <v>454</v>
      </c>
      <c r="D48" s="11" t="s">
        <v>29</v>
      </c>
      <c r="E48" s="86"/>
      <c r="F48" s="70">
        <v>4000000</v>
      </c>
      <c r="G48" s="1"/>
      <c r="N48" s="1"/>
    </row>
    <row r="49" spans="1:14" s="2" customFormat="1" x14ac:dyDescent="0.2">
      <c r="A49" s="89">
        <v>45203</v>
      </c>
      <c r="B49" s="128" t="s">
        <v>11</v>
      </c>
      <c r="C49" s="10" t="s">
        <v>284</v>
      </c>
      <c r="D49" s="11" t="s">
        <v>29</v>
      </c>
      <c r="E49" s="86"/>
      <c r="F49" s="70">
        <v>27069</v>
      </c>
      <c r="G49" s="1"/>
      <c r="N49" s="1"/>
    </row>
    <row r="50" spans="1:14" s="2" customFormat="1" x14ac:dyDescent="0.2">
      <c r="A50" s="89">
        <v>45203</v>
      </c>
      <c r="B50" s="128" t="s">
        <v>11</v>
      </c>
      <c r="C50" s="10" t="s">
        <v>1403</v>
      </c>
      <c r="D50" s="11" t="s">
        <v>29</v>
      </c>
      <c r="E50" s="86"/>
      <c r="F50" s="70">
        <v>1329320</v>
      </c>
      <c r="G50" s="1"/>
      <c r="N50" s="1"/>
    </row>
    <row r="51" spans="1:14" s="2" customFormat="1" x14ac:dyDescent="0.2">
      <c r="A51" s="89">
        <v>45203</v>
      </c>
      <c r="B51" s="128" t="s">
        <v>11</v>
      </c>
      <c r="C51" s="10" t="s">
        <v>198</v>
      </c>
      <c r="D51" s="11" t="s">
        <v>29</v>
      </c>
      <c r="E51" s="86"/>
      <c r="F51" s="70">
        <v>750000</v>
      </c>
      <c r="G51" s="1"/>
      <c r="N51" s="1"/>
    </row>
    <row r="52" spans="1:14" s="2" customFormat="1" x14ac:dyDescent="0.2">
      <c r="A52" s="89">
        <v>45203</v>
      </c>
      <c r="B52" s="128" t="s">
        <v>11</v>
      </c>
      <c r="C52" s="10" t="s">
        <v>443</v>
      </c>
      <c r="D52" s="11" t="s">
        <v>29</v>
      </c>
      <c r="E52" s="86"/>
      <c r="F52" s="70">
        <v>750000</v>
      </c>
      <c r="G52" s="1"/>
      <c r="N52" s="1"/>
    </row>
    <row r="53" spans="1:14" s="2" customFormat="1" x14ac:dyDescent="0.2">
      <c r="A53" s="89">
        <v>45203</v>
      </c>
      <c r="B53" s="128" t="s">
        <v>11</v>
      </c>
      <c r="C53" s="10" t="s">
        <v>970</v>
      </c>
      <c r="D53" s="11" t="s">
        <v>29</v>
      </c>
      <c r="E53" s="86"/>
      <c r="F53" s="70">
        <v>6286</v>
      </c>
      <c r="G53" s="1"/>
      <c r="N53" s="1"/>
    </row>
    <row r="54" spans="1:14" s="2" customFormat="1" x14ac:dyDescent="0.2">
      <c r="A54" s="89">
        <v>45203</v>
      </c>
      <c r="B54" s="128" t="s">
        <v>11</v>
      </c>
      <c r="C54" s="10" t="s">
        <v>1628</v>
      </c>
      <c r="D54" s="11" t="s">
        <v>29</v>
      </c>
      <c r="E54" s="86"/>
      <c r="F54" s="70">
        <v>11315</v>
      </c>
      <c r="G54" s="1"/>
      <c r="N54" s="1"/>
    </row>
    <row r="55" spans="1:14" s="2" customFormat="1" x14ac:dyDescent="0.2">
      <c r="A55" s="89">
        <v>45203</v>
      </c>
      <c r="B55" s="128" t="s">
        <v>11</v>
      </c>
      <c r="C55" s="10" t="s">
        <v>339</v>
      </c>
      <c r="D55" s="11" t="s">
        <v>29</v>
      </c>
      <c r="E55" s="86"/>
      <c r="F55" s="70">
        <v>14309.65</v>
      </c>
      <c r="G55" s="1"/>
      <c r="N55" s="1"/>
    </row>
    <row r="56" spans="1:14" s="2" customFormat="1" x14ac:dyDescent="0.2">
      <c r="A56" s="89">
        <v>45203</v>
      </c>
      <c r="B56" s="128" t="s">
        <v>11</v>
      </c>
      <c r="C56" s="10" t="s">
        <v>362</v>
      </c>
      <c r="D56" s="11" t="s">
        <v>29</v>
      </c>
      <c r="E56" s="86"/>
      <c r="F56" s="70">
        <v>11238.38</v>
      </c>
      <c r="G56" s="1"/>
      <c r="N56" s="1"/>
    </row>
    <row r="57" spans="1:14" s="2" customFormat="1" x14ac:dyDescent="0.2">
      <c r="A57" s="89">
        <v>45203</v>
      </c>
      <c r="B57" s="128" t="s">
        <v>11</v>
      </c>
      <c r="C57" s="10" t="s">
        <v>958</v>
      </c>
      <c r="D57" s="11" t="s">
        <v>29</v>
      </c>
      <c r="E57" s="86"/>
      <c r="F57" s="70">
        <v>8260</v>
      </c>
      <c r="G57" s="1"/>
      <c r="N57" s="1"/>
    </row>
    <row r="58" spans="1:14" s="2" customFormat="1" x14ac:dyDescent="0.2">
      <c r="A58" s="89">
        <v>45203</v>
      </c>
      <c r="B58" s="128" t="s">
        <v>11</v>
      </c>
      <c r="C58" s="10" t="s">
        <v>346</v>
      </c>
      <c r="D58" s="11" t="s">
        <v>29</v>
      </c>
      <c r="E58" s="86"/>
      <c r="F58" s="70">
        <v>601924</v>
      </c>
      <c r="G58" s="1"/>
      <c r="N58" s="1"/>
    </row>
    <row r="59" spans="1:14" s="2" customFormat="1" x14ac:dyDescent="0.2">
      <c r="A59" s="89">
        <v>45203</v>
      </c>
      <c r="B59" s="128" t="s">
        <v>11</v>
      </c>
      <c r="C59" s="10" t="s">
        <v>925</v>
      </c>
      <c r="D59" s="11" t="s">
        <v>29</v>
      </c>
      <c r="E59" s="86"/>
      <c r="F59" s="70">
        <v>205634</v>
      </c>
      <c r="G59" s="1"/>
      <c r="N59" s="1"/>
    </row>
    <row r="60" spans="1:14" s="2" customFormat="1" x14ac:dyDescent="0.2">
      <c r="A60" s="89">
        <v>45203</v>
      </c>
      <c r="B60" s="128" t="s">
        <v>11</v>
      </c>
      <c r="C60" s="10" t="s">
        <v>776</v>
      </c>
      <c r="D60" s="11" t="s">
        <v>29</v>
      </c>
      <c r="E60" s="86"/>
      <c r="F60" s="70">
        <v>74576</v>
      </c>
      <c r="G60" s="1"/>
      <c r="N60" s="1"/>
    </row>
    <row r="61" spans="1:14" s="2" customFormat="1" x14ac:dyDescent="0.2">
      <c r="A61" s="89">
        <v>45203</v>
      </c>
      <c r="B61" s="128" t="s">
        <v>11</v>
      </c>
      <c r="C61" s="10" t="s">
        <v>255</v>
      </c>
      <c r="D61" s="11" t="s">
        <v>29</v>
      </c>
      <c r="E61" s="86"/>
      <c r="F61" s="70">
        <v>28409</v>
      </c>
      <c r="G61" s="1"/>
      <c r="N61" s="1"/>
    </row>
    <row r="62" spans="1:14" s="2" customFormat="1" x14ac:dyDescent="0.2">
      <c r="A62" s="89">
        <v>45203</v>
      </c>
      <c r="B62" s="128" t="s">
        <v>11</v>
      </c>
      <c r="C62" s="10" t="s">
        <v>563</v>
      </c>
      <c r="D62" s="11" t="s">
        <v>29</v>
      </c>
      <c r="E62" s="86"/>
      <c r="F62" s="70">
        <v>103698</v>
      </c>
      <c r="G62" s="1"/>
      <c r="N62" s="1"/>
    </row>
    <row r="63" spans="1:14" s="2" customFormat="1" x14ac:dyDescent="0.2">
      <c r="A63" s="89">
        <v>45203</v>
      </c>
      <c r="B63" s="128" t="s">
        <v>11</v>
      </c>
      <c r="C63" s="10" t="s">
        <v>411</v>
      </c>
      <c r="D63" s="11" t="s">
        <v>29</v>
      </c>
      <c r="E63" s="86"/>
      <c r="F63" s="70">
        <v>31152</v>
      </c>
      <c r="G63" s="1"/>
      <c r="N63" s="1"/>
    </row>
    <row r="64" spans="1:14" s="2" customFormat="1" x14ac:dyDescent="0.2">
      <c r="A64" s="89">
        <v>45203</v>
      </c>
      <c r="B64" s="128" t="s">
        <v>11</v>
      </c>
      <c r="C64" s="10" t="s">
        <v>307</v>
      </c>
      <c r="D64" s="11" t="s">
        <v>29</v>
      </c>
      <c r="E64" s="86"/>
      <c r="F64" s="70">
        <v>64192</v>
      </c>
      <c r="G64" s="1"/>
      <c r="N64" s="1"/>
    </row>
    <row r="65" spans="1:14" s="2" customFormat="1" x14ac:dyDescent="0.2">
      <c r="A65" s="89">
        <v>45203</v>
      </c>
      <c r="B65" s="128" t="s">
        <v>11</v>
      </c>
      <c r="C65" s="10" t="s">
        <v>741</v>
      </c>
      <c r="D65" s="11" t="s">
        <v>29</v>
      </c>
      <c r="E65" s="86"/>
      <c r="F65" s="70">
        <v>161636</v>
      </c>
      <c r="G65" s="1"/>
      <c r="N65" s="1"/>
    </row>
    <row r="66" spans="1:14" s="2" customFormat="1" x14ac:dyDescent="0.2">
      <c r="A66" s="89">
        <v>45203</v>
      </c>
      <c r="B66" s="128" t="s">
        <v>11</v>
      </c>
      <c r="C66" s="10" t="s">
        <v>663</v>
      </c>
      <c r="D66" s="11" t="s">
        <v>29</v>
      </c>
      <c r="E66" s="86"/>
      <c r="F66" s="70">
        <v>55440</v>
      </c>
      <c r="G66" s="1"/>
      <c r="N66" s="1"/>
    </row>
    <row r="67" spans="1:14" s="2" customFormat="1" x14ac:dyDescent="0.2">
      <c r="A67" s="89">
        <v>45203</v>
      </c>
      <c r="B67" s="128" t="s">
        <v>11</v>
      </c>
      <c r="C67" s="10" t="s">
        <v>1362</v>
      </c>
      <c r="D67" s="11" t="s">
        <v>29</v>
      </c>
      <c r="E67" s="86"/>
      <c r="F67" s="70">
        <v>7604</v>
      </c>
      <c r="G67" s="1"/>
      <c r="N67" s="1"/>
    </row>
    <row r="68" spans="1:14" s="2" customFormat="1" x14ac:dyDescent="0.2">
      <c r="A68" s="89">
        <v>45203</v>
      </c>
      <c r="B68" s="128" t="s">
        <v>11</v>
      </c>
      <c r="C68" s="10" t="s">
        <v>327</v>
      </c>
      <c r="D68" s="11" t="s">
        <v>29</v>
      </c>
      <c r="E68" s="86"/>
      <c r="F68" s="70">
        <v>7375</v>
      </c>
      <c r="G68" s="1"/>
      <c r="N68" s="1"/>
    </row>
    <row r="69" spans="1:14" s="2" customFormat="1" x14ac:dyDescent="0.2">
      <c r="A69" s="32"/>
      <c r="B69" s="33"/>
      <c r="C69" s="14"/>
      <c r="D69" s="34"/>
      <c r="E69" s="16">
        <f>SUM(E24:E68)</f>
        <v>10390190.77</v>
      </c>
      <c r="F69" s="16">
        <f>SUM(F24:F68)</f>
        <v>99245663.150000095</v>
      </c>
      <c r="G69" s="1"/>
      <c r="H69" s="1"/>
      <c r="I69" s="38">
        <v>88855472.379999995</v>
      </c>
      <c r="J69" s="2" t="s">
        <v>396</v>
      </c>
      <c r="K69" s="92">
        <f>E70-I69</f>
        <v>0</v>
      </c>
      <c r="N69" s="1"/>
    </row>
    <row r="70" spans="1:14" s="2" customFormat="1" x14ac:dyDescent="0.2">
      <c r="A70" s="36"/>
      <c r="B70" s="28" t="s">
        <v>11</v>
      </c>
      <c r="C70" s="19" t="s">
        <v>65</v>
      </c>
      <c r="D70" s="37"/>
      <c r="E70" s="38">
        <f>F69-E69</f>
        <v>88855472.3800001</v>
      </c>
      <c r="F70" s="22"/>
      <c r="G70" s="1"/>
      <c r="H70" s="1"/>
      <c r="I70" s="70"/>
      <c r="J70" s="70"/>
      <c r="K70" s="70"/>
      <c r="N70" s="1"/>
    </row>
    <row r="71" spans="1:14" s="2" customFormat="1" x14ac:dyDescent="0.2">
      <c r="A71" s="36"/>
      <c r="B71" s="28" t="s">
        <v>66</v>
      </c>
      <c r="C71" s="19" t="s">
        <v>67</v>
      </c>
      <c r="D71" s="37"/>
      <c r="E71" s="38">
        <v>6500000</v>
      </c>
      <c r="F71" s="22"/>
      <c r="G71" s="1"/>
      <c r="H71" s="70"/>
      <c r="I71" s="70"/>
      <c r="J71" s="70"/>
      <c r="K71" s="70"/>
      <c r="N71" s="1"/>
    </row>
    <row r="72" spans="1:14" s="2" customFormat="1" x14ac:dyDescent="0.2">
      <c r="A72" s="36"/>
      <c r="B72" s="28" t="s">
        <v>66</v>
      </c>
      <c r="C72" s="43" t="s">
        <v>1457</v>
      </c>
      <c r="D72" s="43"/>
      <c r="E72" s="12">
        <f>275000000+75000000</f>
        <v>350000000</v>
      </c>
      <c r="F72" s="22"/>
      <c r="G72" s="1"/>
      <c r="H72" s="70"/>
      <c r="I72" s="45">
        <v>212.37</v>
      </c>
      <c r="J72" s="46"/>
      <c r="K72" s="46"/>
      <c r="N72" s="1"/>
    </row>
    <row r="73" spans="1:14" s="2" customFormat="1" ht="15" x14ac:dyDescent="0.25">
      <c r="A73" s="36"/>
      <c r="B73" s="28"/>
      <c r="C73" s="44" t="s">
        <v>1541</v>
      </c>
      <c r="D73" s="43"/>
      <c r="E73" s="7">
        <f>+E72+E70+E71</f>
        <v>445355472.38000011</v>
      </c>
      <c r="F73" s="22"/>
      <c r="G73" s="1"/>
      <c r="H73" s="103" t="s">
        <v>69</v>
      </c>
      <c r="I73" s="45">
        <v>-3.81</v>
      </c>
      <c r="J73" s="46"/>
      <c r="K73" s="46"/>
      <c r="N73" s="1"/>
    </row>
    <row r="74" spans="1:14" s="2" customFormat="1" ht="15" x14ac:dyDescent="0.25">
      <c r="A74" s="24"/>
      <c r="B74" s="1"/>
      <c r="C74" s="44" t="s">
        <v>1510</v>
      </c>
      <c r="D74" s="25"/>
      <c r="E74" s="156">
        <f>+I24-E71+H20-I20</f>
        <v>54644527.620000005</v>
      </c>
      <c r="G74" s="1"/>
      <c r="H74" s="35" t="s">
        <v>70</v>
      </c>
      <c r="I74" s="45">
        <v>3.81</v>
      </c>
      <c r="J74" s="46">
        <f>+I75-D77</f>
        <v>136.02000000000001</v>
      </c>
      <c r="N74" s="1"/>
    </row>
    <row r="75" spans="1:14" s="124" customFormat="1" ht="12.75" customHeight="1" x14ac:dyDescent="0.2">
      <c r="A75" s="24"/>
      <c r="B75" s="1"/>
      <c r="C75" s="56"/>
      <c r="D75" s="56"/>
      <c r="E75" s="104"/>
      <c r="F75" s="2"/>
      <c r="G75" s="166"/>
      <c r="H75" s="70"/>
      <c r="I75" s="49">
        <f>SUM(I72:I74)</f>
        <v>212.37</v>
      </c>
      <c r="J75" s="46"/>
      <c r="K75" s="46"/>
    </row>
    <row r="76" spans="1:14" s="124" customFormat="1" ht="12.75" customHeight="1" x14ac:dyDescent="0.2">
      <c r="A76" s="24"/>
      <c r="B76" s="1"/>
      <c r="C76" s="78" t="s">
        <v>575</v>
      </c>
      <c r="D76" s="48" t="s">
        <v>576</v>
      </c>
      <c r="E76" s="104"/>
      <c r="F76" s="2"/>
      <c r="G76" s="168"/>
      <c r="H76" s="167"/>
      <c r="I76" s="167"/>
      <c r="J76" s="168"/>
    </row>
    <row r="77" spans="1:14" s="124" customFormat="1" ht="12.75" customHeight="1" x14ac:dyDescent="0.2">
      <c r="A77" s="24"/>
      <c r="B77" s="1"/>
      <c r="C77" s="47" t="s">
        <v>570</v>
      </c>
      <c r="D77" s="111">
        <v>76.349999999999994</v>
      </c>
      <c r="E77" s="104"/>
      <c r="F77" s="2"/>
      <c r="G77" s="168"/>
      <c r="H77" s="110" t="s">
        <v>581</v>
      </c>
      <c r="I77" s="167"/>
      <c r="J77" s="168"/>
    </row>
    <row r="78" spans="1:14" s="124" customFormat="1" ht="12.75" customHeight="1" x14ac:dyDescent="0.2">
      <c r="A78" s="24"/>
      <c r="B78" s="1"/>
      <c r="C78" s="47" t="s">
        <v>931</v>
      </c>
      <c r="D78" s="111">
        <v>21.33</v>
      </c>
      <c r="E78" s="104"/>
      <c r="F78" s="2"/>
      <c r="G78" s="168"/>
      <c r="H78" s="110" t="s">
        <v>580</v>
      </c>
      <c r="I78" s="167"/>
      <c r="J78" s="168"/>
    </row>
    <row r="79" spans="1:14" s="124" customFormat="1" ht="12.75" customHeight="1" x14ac:dyDescent="0.2">
      <c r="A79" s="24"/>
      <c r="B79" s="1"/>
      <c r="C79" s="47" t="s">
        <v>572</v>
      </c>
      <c r="D79" s="111">
        <f>+D95/100000</f>
        <v>0</v>
      </c>
      <c r="E79" s="104"/>
      <c r="F79" s="2"/>
      <c r="G79" s="166"/>
      <c r="H79" s="90" t="s">
        <v>587</v>
      </c>
      <c r="I79" s="167"/>
      <c r="J79" s="168"/>
    </row>
    <row r="80" spans="1:14" s="2" customFormat="1" x14ac:dyDescent="0.2">
      <c r="A80" s="24"/>
      <c r="B80" s="1"/>
      <c r="C80" s="108" t="s">
        <v>578</v>
      </c>
      <c r="D80" s="48">
        <f>SUM(D77:D79)</f>
        <v>97.679999999999993</v>
      </c>
      <c r="E80" s="104"/>
      <c r="G80" s="30"/>
      <c r="I80" s="13"/>
      <c r="J80" s="13"/>
    </row>
    <row r="81" spans="1:14" s="70" customFormat="1" x14ac:dyDescent="0.2">
      <c r="A81" s="24"/>
      <c r="B81" s="1"/>
      <c r="C81" s="47"/>
      <c r="D81" s="107"/>
      <c r="E81" s="104"/>
      <c r="F81" s="2"/>
      <c r="G81" s="30"/>
      <c r="H81" s="2"/>
    </row>
    <row r="82" spans="1:14" s="70" customFormat="1" x14ac:dyDescent="0.2">
      <c r="A82" s="24"/>
      <c r="B82" s="1"/>
      <c r="C82" s="47" t="s">
        <v>932</v>
      </c>
      <c r="D82" s="111">
        <v>0</v>
      </c>
      <c r="E82" s="104"/>
      <c r="F82" s="2"/>
      <c r="G82" s="30"/>
      <c r="H82" s="110" t="s">
        <v>581</v>
      </c>
    </row>
    <row r="83" spans="1:14" s="70" customFormat="1" x14ac:dyDescent="0.2">
      <c r="A83" s="24"/>
      <c r="B83" s="1"/>
      <c r="C83" s="136" t="s">
        <v>1142</v>
      </c>
      <c r="D83" s="111">
        <v>0</v>
      </c>
      <c r="E83" s="104"/>
      <c r="F83" s="2"/>
      <c r="G83" s="30"/>
      <c r="H83" s="110" t="s">
        <v>581</v>
      </c>
    </row>
    <row r="84" spans="1:14" s="70" customFormat="1" x14ac:dyDescent="0.2">
      <c r="A84" s="24"/>
      <c r="B84" s="1"/>
      <c r="C84" s="78" t="s">
        <v>579</v>
      </c>
      <c r="D84" s="109">
        <f>D82+D83</f>
        <v>0</v>
      </c>
      <c r="E84" s="104"/>
      <c r="F84" s="2"/>
      <c r="G84" s="30"/>
    </row>
    <row r="85" spans="1:14" s="70" customFormat="1" x14ac:dyDescent="0.2">
      <c r="A85" s="24"/>
      <c r="B85" s="1"/>
      <c r="C85" s="105"/>
      <c r="D85" s="106"/>
      <c r="E85" s="104"/>
      <c r="F85" s="2"/>
      <c r="G85" s="30"/>
      <c r="I85" s="2"/>
      <c r="J85" s="114" t="s">
        <v>713</v>
      </c>
      <c r="K85" s="2"/>
      <c r="L85" s="2"/>
      <c r="M85" s="2"/>
    </row>
    <row r="86" spans="1:14" s="70" customFormat="1" x14ac:dyDescent="0.2">
      <c r="A86" s="24"/>
      <c r="B86" s="1"/>
      <c r="C86" s="78" t="s">
        <v>577</v>
      </c>
      <c r="D86" s="109">
        <f>D77+D84</f>
        <v>76.349999999999994</v>
      </c>
      <c r="E86" s="104"/>
      <c r="F86" s="2"/>
      <c r="G86" s="30"/>
      <c r="I86" s="113"/>
      <c r="J86" s="113" t="s">
        <v>709</v>
      </c>
      <c r="K86" s="113" t="s">
        <v>710</v>
      </c>
      <c r="L86" s="113" t="s">
        <v>711</v>
      </c>
      <c r="M86" s="113" t="s">
        <v>712</v>
      </c>
    </row>
    <row r="87" spans="1:14" s="70" customFormat="1" x14ac:dyDescent="0.2">
      <c r="A87" s="24"/>
      <c r="B87" s="1"/>
      <c r="C87" s="56"/>
      <c r="D87" s="56"/>
      <c r="E87" s="104"/>
      <c r="F87" s="2"/>
      <c r="G87" s="30"/>
      <c r="I87" s="113" t="s">
        <v>706</v>
      </c>
      <c r="J87" s="115"/>
      <c r="K87" s="115">
        <v>968.99</v>
      </c>
      <c r="L87" s="115">
        <v>968.99</v>
      </c>
      <c r="M87" s="113">
        <f>+J87+L87-K87</f>
        <v>0</v>
      </c>
    </row>
    <row r="88" spans="1:14" s="70" customFormat="1" ht="38.25" x14ac:dyDescent="0.2">
      <c r="A88" s="24"/>
      <c r="B88" s="1"/>
      <c r="C88" s="79" t="str">
        <f>"Particulars ( 01-04-2021 to "&amp;TEXT(A5,"dd-mm-yyyy")&amp;" )"</f>
        <v>Particulars ( 01-04-2021 to 04-10-2023 )</v>
      </c>
      <c r="D88" s="80" t="s">
        <v>73</v>
      </c>
      <c r="E88" s="80" t="s">
        <v>74</v>
      </c>
      <c r="F88" s="81" t="s">
        <v>75</v>
      </c>
      <c r="G88" s="80" t="s">
        <v>76</v>
      </c>
      <c r="I88" s="113" t="s">
        <v>707</v>
      </c>
      <c r="J88" s="115">
        <v>183.1</v>
      </c>
      <c r="K88" s="115">
        <v>3648.65</v>
      </c>
      <c r="L88" s="115">
        <v>3959.09</v>
      </c>
      <c r="M88" s="113">
        <f>+J88+L88-K88</f>
        <v>493.54000000000042</v>
      </c>
    </row>
    <row r="89" spans="1:14" s="70" customFormat="1" x14ac:dyDescent="0.2">
      <c r="A89" s="24"/>
      <c r="B89" s="1"/>
      <c r="C89" s="50" t="s">
        <v>444</v>
      </c>
      <c r="D89" s="55">
        <f>+L87+L88+J88</f>
        <v>5111.18</v>
      </c>
      <c r="E89" s="55">
        <f>+K87+K88</f>
        <v>4617.6400000000003</v>
      </c>
      <c r="F89" s="55">
        <f>+D89-E89</f>
        <v>493.53999999999996</v>
      </c>
      <c r="G89" s="55">
        <f>1500-F89</f>
        <v>1006.46</v>
      </c>
      <c r="I89" s="113" t="s">
        <v>708</v>
      </c>
      <c r="J89" s="115">
        <v>1371.02</v>
      </c>
      <c r="K89" s="115">
        <v>14431.24</v>
      </c>
      <c r="L89" s="115">
        <v>13796.31</v>
      </c>
      <c r="M89" s="113">
        <f>+J89+L89-K89</f>
        <v>736.09000000000015</v>
      </c>
    </row>
    <row r="90" spans="1:14" s="70" customFormat="1" ht="12.75" customHeight="1" x14ac:dyDescent="0.2">
      <c r="A90" s="24"/>
      <c r="B90" s="1"/>
      <c r="C90" s="50" t="s">
        <v>71</v>
      </c>
      <c r="D90" s="55">
        <f>+J89+L89</f>
        <v>15167.33</v>
      </c>
      <c r="E90" s="55">
        <f>+K89</f>
        <v>14431.24</v>
      </c>
      <c r="F90" s="55">
        <f>+D90-E90</f>
        <v>736.09000000000015</v>
      </c>
      <c r="G90" s="55">
        <f>1500+700-F90</f>
        <v>1463.9099999999999</v>
      </c>
      <c r="I90" s="2"/>
      <c r="J90" s="118">
        <f>SUM(J87:J89)</f>
        <v>1554.12</v>
      </c>
      <c r="K90" s="118">
        <f>SUM(K87:K89)</f>
        <v>19048.88</v>
      </c>
      <c r="L90" s="118">
        <f>SUM(L87:L89)</f>
        <v>18724.39</v>
      </c>
      <c r="M90" s="118">
        <f>SUM(M87:M89)</f>
        <v>1229.6300000000006</v>
      </c>
    </row>
    <row r="91" spans="1:14" s="70" customFormat="1" ht="12.75" customHeight="1" x14ac:dyDescent="0.2">
      <c r="A91" s="24"/>
      <c r="B91" s="1"/>
      <c r="C91" s="14"/>
      <c r="D91" s="56"/>
      <c r="E91" s="13"/>
      <c r="F91" s="2"/>
      <c r="G91" s="30"/>
    </row>
    <row r="92" spans="1:14" s="70" customFormat="1" ht="12.75" customHeight="1" x14ac:dyDescent="0.2">
      <c r="A92" s="215" t="s">
        <v>80</v>
      </c>
      <c r="B92" s="216"/>
      <c r="C92" s="216"/>
      <c r="D92" s="217"/>
      <c r="E92" s="69"/>
      <c r="G92" s="30"/>
    </row>
    <row r="93" spans="1:14" s="70" customFormat="1" ht="12.75" customHeight="1" x14ac:dyDescent="0.2">
      <c r="A93" s="71" t="s">
        <v>81</v>
      </c>
      <c r="B93" s="71"/>
      <c r="C93" s="72" t="s">
        <v>82</v>
      </c>
      <c r="D93" s="73" t="s">
        <v>83</v>
      </c>
      <c r="E93" s="69"/>
      <c r="G93" s="30"/>
    </row>
    <row r="94" spans="1:14" s="70" customFormat="1" ht="12.75" customHeight="1" x14ac:dyDescent="0.2">
      <c r="A94" s="87"/>
      <c r="B94" s="120"/>
      <c r="C94" s="75"/>
      <c r="D94" s="88"/>
      <c r="E94" s="2"/>
      <c r="F94" s="2"/>
      <c r="G94" s="30"/>
      <c r="H94" s="2"/>
      <c r="I94" s="2"/>
      <c r="J94" s="2"/>
      <c r="K94" s="2"/>
      <c r="L94" s="41"/>
      <c r="M94" s="42"/>
      <c r="N94" s="2"/>
    </row>
    <row r="95" spans="1:14" s="2" customFormat="1" x14ac:dyDescent="0.2">
      <c r="A95" s="87"/>
      <c r="B95" s="74"/>
      <c r="C95" s="75"/>
      <c r="D95" s="51">
        <f>SUM(D94:D94)</f>
        <v>0</v>
      </c>
      <c r="F95" s="2" t="s">
        <v>396</v>
      </c>
      <c r="G95" s="1"/>
    </row>
    <row r="96" spans="1:14" s="2" customFormat="1" x14ac:dyDescent="0.2">
      <c r="A96" s="24"/>
      <c r="B96" s="1"/>
      <c r="C96" s="14"/>
      <c r="D96" s="56"/>
      <c r="E96" s="13"/>
      <c r="G96" s="1"/>
    </row>
    <row r="97" spans="1:13" s="2" customFormat="1" x14ac:dyDescent="0.2">
      <c r="A97" s="24"/>
      <c r="B97" s="1"/>
      <c r="C97" s="218" t="s">
        <v>77</v>
      </c>
      <c r="D97" s="219"/>
      <c r="E97" s="219"/>
      <c r="F97" s="220"/>
      <c r="H97" s="2" t="s">
        <v>396</v>
      </c>
    </row>
    <row r="98" spans="1:13" s="2" customFormat="1" x14ac:dyDescent="0.2">
      <c r="A98" s="24"/>
      <c r="B98" s="1"/>
      <c r="C98" s="50"/>
      <c r="D98" s="57" t="s">
        <v>78</v>
      </c>
      <c r="E98" s="58" t="s">
        <v>79</v>
      </c>
      <c r="F98" s="57" t="s">
        <v>72</v>
      </c>
      <c r="H98" s="2" t="s">
        <v>396</v>
      </c>
    </row>
    <row r="99" spans="1:13" s="2" customFormat="1" x14ac:dyDescent="0.2">
      <c r="A99" s="24"/>
      <c r="B99" s="1"/>
      <c r="C99" s="59" t="str">
        <f>"01-10-2023 to "&amp;TEXT(A5-2,"dd-mm-yyyy")</f>
        <v>01-10-2023 to 02-10-2023</v>
      </c>
      <c r="D99" s="60">
        <v>0</v>
      </c>
      <c r="E99" s="60">
        <v>0.69</v>
      </c>
      <c r="F99" s="61">
        <f>SUM(D99:E99)</f>
        <v>0.69</v>
      </c>
    </row>
    <row r="100" spans="1:13" s="2" customFormat="1" x14ac:dyDescent="0.2">
      <c r="A100" s="24"/>
      <c r="B100" s="1"/>
      <c r="C100" s="62" t="str">
        <f>TEXT(A5-1,"dd-mm-yyyy")</f>
        <v>03-10-2023</v>
      </c>
      <c r="D100" s="60">
        <v>69.42</v>
      </c>
      <c r="E100" s="60">
        <v>7.34</v>
      </c>
      <c r="F100" s="61">
        <f>SUM(D100:E100)</f>
        <v>76.760000000000005</v>
      </c>
      <c r="G100" s="1"/>
      <c r="H100" s="53"/>
    </row>
    <row r="101" spans="1:13" s="2" customFormat="1" ht="13.5" thickBot="1" x14ac:dyDescent="0.25">
      <c r="A101" s="24"/>
      <c r="B101" s="1"/>
      <c r="C101" s="63" t="str">
        <f>"01-10-2023 to "&amp;TEXT(A5-1,"dd-mm-yyyy")</f>
        <v>01-10-2023 to 03-10-2023</v>
      </c>
      <c r="D101" s="64">
        <f>SUM(D99:D100)</f>
        <v>69.42</v>
      </c>
      <c r="E101" s="64">
        <f>SUM(E99:E100)</f>
        <v>8.0299999999999994</v>
      </c>
      <c r="F101" s="64">
        <f>SUM(F99:F100)</f>
        <v>77.45</v>
      </c>
      <c r="G101" s="1"/>
      <c r="H101" s="53"/>
    </row>
    <row r="102" spans="1:13" s="2" customFormat="1" ht="13.5" thickTop="1" x14ac:dyDescent="0.2">
      <c r="A102" s="24"/>
      <c r="B102" s="1"/>
      <c r="C102" s="62"/>
      <c r="D102" s="65"/>
      <c r="E102" s="66"/>
      <c r="F102" s="67"/>
      <c r="L102" s="1"/>
      <c r="M102" s="1"/>
    </row>
    <row r="103" spans="1:13" s="2" customFormat="1" x14ac:dyDescent="0.2">
      <c r="A103" s="24"/>
      <c r="B103" s="1"/>
      <c r="C103" s="62" t="str">
        <f>"01-04-2023 to " &amp;C100</f>
        <v>01-04-2023 to 03-10-2023</v>
      </c>
      <c r="D103" s="68">
        <f>+D101+27003.42</f>
        <v>27072.839999999997</v>
      </c>
      <c r="E103" s="68">
        <f>+E101+2028.43</f>
        <v>2036.46</v>
      </c>
      <c r="F103" s="68">
        <f>+F101+29031.85</f>
        <v>29109.3</v>
      </c>
      <c r="G103" s="1"/>
      <c r="L103" s="1"/>
      <c r="M103" s="1"/>
    </row>
    <row r="104" spans="1:13" s="2" customFormat="1" x14ac:dyDescent="0.2">
      <c r="A104" s="24"/>
      <c r="B104" s="1"/>
      <c r="C104" s="52"/>
      <c r="D104" s="85"/>
      <c r="E104" s="53"/>
      <c r="F104" s="53"/>
      <c r="G104" s="1"/>
      <c r="L104" s="1"/>
      <c r="M104" s="1"/>
    </row>
    <row r="105" spans="1:13" s="2" customFormat="1" x14ac:dyDescent="0.2">
      <c r="A105" s="24"/>
      <c r="B105" s="1"/>
      <c r="C105" s="52"/>
      <c r="D105" s="85"/>
      <c r="E105" s="53"/>
      <c r="F105" s="53"/>
      <c r="G105" s="1"/>
      <c r="L105" s="1"/>
      <c r="M105" s="1"/>
    </row>
    <row r="106" spans="1:13" s="2" customFormat="1" x14ac:dyDescent="0.2">
      <c r="A106" s="24"/>
      <c r="B106" s="1"/>
      <c r="C106" s="52"/>
      <c r="D106" s="85"/>
      <c r="E106" s="53"/>
      <c r="F106" s="53"/>
      <c r="G106" s="1"/>
      <c r="L106" s="1"/>
      <c r="M106" s="1"/>
    </row>
    <row r="107" spans="1:13" s="2" customFormat="1" x14ac:dyDescent="0.2">
      <c r="A107" s="24"/>
      <c r="B107" s="1"/>
      <c r="C107" s="52"/>
      <c r="D107" s="85"/>
      <c r="E107" s="53"/>
      <c r="F107" s="53"/>
      <c r="G107" s="1"/>
      <c r="L107" s="1"/>
      <c r="M107" s="1"/>
    </row>
    <row r="108" spans="1:13" s="2" customFormat="1" x14ac:dyDescent="0.2">
      <c r="A108" s="24"/>
      <c r="B108" s="1"/>
      <c r="C108" s="14"/>
      <c r="D108" s="25"/>
      <c r="G108" s="1"/>
      <c r="L108" s="1"/>
      <c r="M108" s="1"/>
    </row>
    <row r="109" spans="1:13" s="2" customFormat="1" x14ac:dyDescent="0.2">
      <c r="A109" s="24"/>
      <c r="B109" s="1"/>
      <c r="C109" s="14"/>
      <c r="D109" s="25"/>
      <c r="G109" s="1"/>
      <c r="L109" s="1"/>
      <c r="M109" s="1"/>
    </row>
    <row r="110" spans="1:13" s="2" customFormat="1" x14ac:dyDescent="0.2">
      <c r="A110" s="24"/>
      <c r="B110" s="1"/>
      <c r="C110" s="14"/>
      <c r="D110" s="25"/>
      <c r="G110" s="1"/>
      <c r="L110" s="1"/>
      <c r="M110" s="1"/>
    </row>
    <row r="111" spans="1:13" s="2" customFormat="1" x14ac:dyDescent="0.2">
      <c r="A111" s="24"/>
      <c r="B111" s="1"/>
      <c r="C111" s="14"/>
      <c r="D111" s="25"/>
      <c r="G111" s="1"/>
      <c r="L111" s="1"/>
      <c r="M111" s="1"/>
    </row>
    <row r="112" spans="1:13" s="2" customFormat="1" x14ac:dyDescent="0.2">
      <c r="A112" s="24"/>
      <c r="B112" s="1"/>
      <c r="C112" s="14"/>
      <c r="D112" s="25"/>
      <c r="G112" s="1"/>
      <c r="L112" s="1"/>
      <c r="M112" s="1"/>
    </row>
    <row r="113" spans="1:14" s="2" customFormat="1" x14ac:dyDescent="0.2">
      <c r="A113" s="24"/>
      <c r="B113" s="1"/>
      <c r="C113" s="14"/>
      <c r="D113" s="25"/>
      <c r="G113" s="1"/>
      <c r="L113" s="1"/>
      <c r="M113" s="1"/>
    </row>
    <row r="114" spans="1:14" s="2" customFormat="1" x14ac:dyDescent="0.2">
      <c r="A114" s="24"/>
      <c r="B114" s="1"/>
      <c r="C114" s="14"/>
      <c r="D114" s="25"/>
      <c r="G114" s="1"/>
      <c r="L114" s="1"/>
      <c r="M114" s="1"/>
    </row>
    <row r="115" spans="1:14" s="2" customFormat="1" x14ac:dyDescent="0.2">
      <c r="A115" s="24"/>
      <c r="B115" s="1"/>
      <c r="C115" s="14"/>
      <c r="D115" s="25"/>
      <c r="G115" s="1"/>
      <c r="L115" s="1"/>
      <c r="M115" s="1"/>
    </row>
    <row r="116" spans="1:14" s="2" customFormat="1" x14ac:dyDescent="0.2">
      <c r="A116" s="24"/>
      <c r="B116" s="1"/>
      <c r="C116" s="14"/>
      <c r="D116" s="25"/>
      <c r="G116" s="1"/>
      <c r="L116" s="1"/>
      <c r="M116" s="1"/>
    </row>
    <row r="117" spans="1:14" s="2" customFormat="1" x14ac:dyDescent="0.2">
      <c r="A117" s="24"/>
      <c r="B117" s="1"/>
      <c r="C117" s="14"/>
      <c r="D117" s="25"/>
      <c r="G117" s="1"/>
      <c r="L117" s="1"/>
      <c r="M117" s="1"/>
    </row>
    <row r="118" spans="1:14" s="2" customFormat="1" x14ac:dyDescent="0.2">
      <c r="A118" s="24"/>
      <c r="B118" s="1"/>
      <c r="C118" s="14"/>
      <c r="D118" s="25"/>
      <c r="G118" s="1"/>
      <c r="L118" s="1"/>
      <c r="M118" s="1"/>
    </row>
    <row r="119" spans="1:14" s="2" customFormat="1" x14ac:dyDescent="0.2">
      <c r="A119" s="24"/>
      <c r="B119" s="1"/>
      <c r="C119" s="14"/>
      <c r="D119" s="25"/>
      <c r="G119" s="1"/>
      <c r="L119" s="1"/>
      <c r="M119" s="1"/>
    </row>
    <row r="120" spans="1:14" s="2" customFormat="1" x14ac:dyDescent="0.2">
      <c r="A120" s="24"/>
      <c r="B120" s="1"/>
      <c r="C120" s="14"/>
      <c r="D120" s="25"/>
      <c r="G120" s="1"/>
      <c r="L120" s="1"/>
      <c r="M120" s="1"/>
    </row>
    <row r="121" spans="1:14" s="2" customFormat="1" x14ac:dyDescent="0.2">
      <c r="A121" s="24"/>
      <c r="B121" s="1"/>
      <c r="C121" s="14"/>
      <c r="D121" s="25"/>
      <c r="G121" s="1"/>
      <c r="L121" s="1"/>
      <c r="M121" s="1"/>
    </row>
    <row r="122" spans="1:14" s="2" customFormat="1" x14ac:dyDescent="0.2">
      <c r="A122" s="24"/>
      <c r="B122" s="1"/>
      <c r="C122" s="14"/>
      <c r="D122" s="25"/>
      <c r="G122" s="1"/>
      <c r="I122" s="1"/>
      <c r="J122" s="1"/>
      <c r="K122" s="1"/>
      <c r="L122" s="1"/>
      <c r="M122" s="1"/>
    </row>
    <row r="123" spans="1:14" s="2" customFormat="1" x14ac:dyDescent="0.2">
      <c r="A123" s="24"/>
      <c r="B123" s="1"/>
      <c r="C123" s="14"/>
      <c r="D123" s="25"/>
      <c r="G123" s="1"/>
    </row>
    <row r="124" spans="1:14" s="2" customFormat="1" x14ac:dyDescent="0.2">
      <c r="A124" s="24"/>
      <c r="B124" s="1"/>
      <c r="C124" s="14"/>
      <c r="D124" s="25"/>
      <c r="G124" s="1"/>
      <c r="I124" s="1"/>
      <c r="J124" s="1"/>
      <c r="K124" s="1"/>
      <c r="L124" s="1"/>
      <c r="M124" s="1"/>
    </row>
    <row r="125" spans="1:14" s="2" customFormat="1" x14ac:dyDescent="0.2">
      <c r="A125" s="24"/>
      <c r="B125" s="1"/>
      <c r="C125" s="14"/>
      <c r="D125" s="25"/>
      <c r="G125" s="54"/>
      <c r="I125" s="1"/>
      <c r="J125" s="1"/>
      <c r="K125" s="1"/>
      <c r="L125" s="1"/>
      <c r="M125" s="1"/>
    </row>
    <row r="126" spans="1:14" s="2" customFormat="1" x14ac:dyDescent="0.2">
      <c r="A126" s="24"/>
      <c r="B126" s="1"/>
      <c r="C126" s="14"/>
      <c r="D126" s="25"/>
      <c r="G126" s="54"/>
      <c r="I126" s="1"/>
      <c r="J126" s="1"/>
      <c r="K126" s="1"/>
      <c r="L126" s="1"/>
      <c r="M126" s="1"/>
    </row>
    <row r="127" spans="1:14" s="2" customFormat="1" x14ac:dyDescent="0.2">
      <c r="A127" s="24"/>
      <c r="B127" s="1"/>
      <c r="C127" s="14"/>
      <c r="D127" s="25"/>
      <c r="G127" s="54"/>
      <c r="I127" s="1"/>
      <c r="J127" s="1"/>
      <c r="K127" s="1"/>
      <c r="L127" s="1"/>
      <c r="M127" s="1"/>
    </row>
    <row r="128" spans="1:14" s="2" customFormat="1" x14ac:dyDescent="0.2">
      <c r="A128" s="24"/>
      <c r="B128" s="1"/>
      <c r="C128" s="14"/>
      <c r="D128" s="25"/>
      <c r="G128" s="54"/>
      <c r="H128" s="2" t="s">
        <v>396</v>
      </c>
      <c r="I128" s="1"/>
      <c r="J128" s="1"/>
      <c r="K128" s="1"/>
      <c r="L128" s="1"/>
      <c r="M128" s="1"/>
      <c r="N128" s="1"/>
    </row>
    <row r="129" spans="1:14" s="2" customFormat="1" x14ac:dyDescent="0.2">
      <c r="A129" s="24"/>
      <c r="B129" s="1"/>
      <c r="C129" s="14"/>
      <c r="D129" s="25"/>
      <c r="G129" s="54"/>
      <c r="H129" s="53"/>
    </row>
    <row r="130" spans="1:14" s="2" customFormat="1" x14ac:dyDescent="0.2">
      <c r="A130" s="24"/>
      <c r="B130" s="1"/>
      <c r="C130" s="14"/>
      <c r="D130" s="25"/>
      <c r="G130" s="54"/>
      <c r="H130" s="53" t="s">
        <v>396</v>
      </c>
      <c r="I130" s="1"/>
      <c r="J130" s="1"/>
      <c r="K130" s="1"/>
      <c r="L130" s="1"/>
      <c r="M130" s="1"/>
      <c r="N130" s="1"/>
    </row>
    <row r="131" spans="1:14" x14ac:dyDescent="0.2">
      <c r="G131" s="54"/>
      <c r="H131" s="53" t="s">
        <v>396</v>
      </c>
      <c r="J131" s="42"/>
    </row>
    <row r="132" spans="1:14" s="2" customFormat="1" x14ac:dyDescent="0.2">
      <c r="A132" s="24"/>
      <c r="B132" s="1"/>
      <c r="C132" s="14"/>
      <c r="D132" s="25"/>
      <c r="G132" s="54"/>
      <c r="H132" s="53"/>
      <c r="I132" s="101"/>
      <c r="J132" s="1"/>
      <c r="K132" s="1"/>
      <c r="L132" s="1"/>
      <c r="M132" s="1"/>
      <c r="N132" s="1"/>
    </row>
    <row r="133" spans="1:14" x14ac:dyDescent="0.2">
      <c r="G133" s="54"/>
      <c r="H133" s="53"/>
    </row>
    <row r="134" spans="1:14" x14ac:dyDescent="0.2">
      <c r="G134" s="54"/>
      <c r="H134" s="53"/>
    </row>
    <row r="135" spans="1:14" x14ac:dyDescent="0.2">
      <c r="G135" s="54"/>
      <c r="H135" s="53"/>
    </row>
  </sheetData>
  <sheetProtection insertRows="0"/>
  <mergeCells count="6">
    <mergeCell ref="C97:F97"/>
    <mergeCell ref="A1:G1"/>
    <mergeCell ref="A3:F3"/>
    <mergeCell ref="A9:F9"/>
    <mergeCell ref="A22:F22"/>
    <mergeCell ref="A92:D92"/>
  </mergeCells>
  <conditionalFormatting sqref="G89:G90">
    <cfRule type="cellIs" dxfId="285" priority="1" operator="lessThan">
      <formula>0</formula>
    </cfRule>
  </conditionalFormatting>
  <conditionalFormatting sqref="C24">
    <cfRule type="duplicateValues" dxfId="284" priority="2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400-000000000000}">
  <sheetPr codeName="Sheet444">
    <pageSetUpPr fitToPage="1"/>
  </sheetPr>
  <dimension ref="A1:N143"/>
  <sheetViews>
    <sheetView topLeftCell="A13" zoomScaleNormal="100" workbookViewId="0">
      <selection activeCell="E47" sqref="E47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1" ht="20.25" customHeight="1" x14ac:dyDescent="0.4">
      <c r="A1" s="212" t="s">
        <v>1630</v>
      </c>
      <c r="B1" s="212"/>
      <c r="C1" s="212"/>
      <c r="D1" s="212"/>
      <c r="E1" s="212"/>
      <c r="F1" s="212"/>
      <c r="G1" s="212"/>
      <c r="H1" s="112"/>
      <c r="I1" s="112"/>
    </row>
    <row r="2" spans="1:11" ht="12.75" customHeight="1" x14ac:dyDescent="0.4">
      <c r="H2" s="112"/>
      <c r="I2" s="112"/>
    </row>
    <row r="3" spans="1:11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1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1" s="2" customFormat="1" ht="14.25" customHeight="1" x14ac:dyDescent="0.4">
      <c r="A5" s="89">
        <v>45204</v>
      </c>
      <c r="B5" s="9" t="s">
        <v>6</v>
      </c>
      <c r="C5" s="10" t="s">
        <v>7</v>
      </c>
      <c r="D5" s="11"/>
      <c r="E5" s="12">
        <v>990639.79000000097</v>
      </c>
      <c r="F5" s="12"/>
      <c r="G5" s="1"/>
      <c r="H5" s="112"/>
      <c r="I5" s="112"/>
    </row>
    <row r="6" spans="1:11" s="2" customFormat="1" ht="14.25" customHeight="1" x14ac:dyDescent="0.4">
      <c r="A6" s="89">
        <v>45204</v>
      </c>
      <c r="B6" s="9" t="s">
        <v>6</v>
      </c>
      <c r="C6" s="10" t="s">
        <v>1631</v>
      </c>
      <c r="D6" s="11" t="s">
        <v>13</v>
      </c>
      <c r="E6" s="12">
        <v>2500000</v>
      </c>
      <c r="F6" s="12"/>
      <c r="G6" s="1"/>
      <c r="H6" s="112"/>
      <c r="I6" s="112"/>
    </row>
    <row r="7" spans="1:11" s="2" customFormat="1" ht="12.75" customHeight="1" x14ac:dyDescent="0.4">
      <c r="D7" s="15" t="s">
        <v>8</v>
      </c>
      <c r="E7" s="16">
        <f>SUM(E5:E6)</f>
        <v>3490639.790000001</v>
      </c>
      <c r="F7" s="16">
        <f>F5</f>
        <v>0</v>
      </c>
      <c r="G7" s="1"/>
      <c r="H7" s="112"/>
      <c r="I7" s="112"/>
    </row>
    <row r="8" spans="1:11" s="2" customFormat="1" ht="12.75" customHeight="1" x14ac:dyDescent="0.4">
      <c r="A8" s="17"/>
      <c r="B8" s="18"/>
      <c r="C8" s="19" t="s">
        <v>9</v>
      </c>
      <c r="D8" s="20"/>
      <c r="E8" s="21">
        <f>+E7-F7</f>
        <v>3490639.790000001</v>
      </c>
      <c r="F8" s="22"/>
      <c r="G8" s="23"/>
      <c r="H8" s="112"/>
      <c r="I8" s="112"/>
      <c r="J8" s="13"/>
    </row>
    <row r="9" spans="1:11" ht="12.75" customHeight="1" x14ac:dyDescent="0.4">
      <c r="H9" s="112"/>
      <c r="I9" s="112"/>
    </row>
    <row r="10" spans="1:11" ht="18" customHeight="1" x14ac:dyDescent="0.4">
      <c r="A10" s="213" t="s">
        <v>1037</v>
      </c>
      <c r="B10" s="213"/>
      <c r="C10" s="213"/>
      <c r="D10" s="213"/>
      <c r="E10" s="213"/>
      <c r="F10" s="213"/>
      <c r="H10" s="112"/>
      <c r="I10" s="169">
        <v>90000000</v>
      </c>
      <c r="J10" s="169" t="s">
        <v>1508</v>
      </c>
    </row>
    <row r="11" spans="1:11" ht="12.75" customHeight="1" x14ac:dyDescent="0.4">
      <c r="A11" s="3" t="s">
        <v>1</v>
      </c>
      <c r="B11" s="4" t="s">
        <v>2</v>
      </c>
      <c r="C11" s="5"/>
      <c r="D11" s="6" t="s">
        <v>3</v>
      </c>
      <c r="E11" s="7" t="s">
        <v>4</v>
      </c>
      <c r="F11" s="7" t="s">
        <v>5</v>
      </c>
      <c r="H11" s="112"/>
      <c r="I11" s="169">
        <v>89442024.670000002</v>
      </c>
      <c r="J11" s="169" t="s">
        <v>1509</v>
      </c>
      <c r="K11" s="124"/>
    </row>
    <row r="12" spans="1:11" s="2" customFormat="1" ht="14.25" customHeight="1" x14ac:dyDescent="0.2">
      <c r="A12" s="89">
        <v>45204</v>
      </c>
      <c r="B12" s="9" t="s">
        <v>6</v>
      </c>
      <c r="C12" s="10" t="s">
        <v>7</v>
      </c>
      <c r="D12" s="11"/>
      <c r="F12" s="12">
        <v>81756905.38000001</v>
      </c>
      <c r="G12" s="1"/>
      <c r="H12" s="130" t="s">
        <v>396</v>
      </c>
      <c r="I12" s="169">
        <f>+I10-I11</f>
        <v>557975.32999999821</v>
      </c>
      <c r="J12" s="169" t="s">
        <v>712</v>
      </c>
      <c r="K12" s="165" t="s">
        <v>1512</v>
      </c>
    </row>
    <row r="13" spans="1:11" s="2" customFormat="1" ht="14.25" customHeight="1" x14ac:dyDescent="0.2">
      <c r="A13" s="89">
        <v>45204</v>
      </c>
      <c r="B13" s="9" t="s">
        <v>6</v>
      </c>
      <c r="C13" s="76" t="s">
        <v>1002</v>
      </c>
      <c r="D13" s="11" t="s">
        <v>13</v>
      </c>
      <c r="E13" s="2">
        <v>1472913.09</v>
      </c>
      <c r="F13" s="12"/>
      <c r="G13" s="1"/>
      <c r="H13" s="130"/>
      <c r="I13" s="171"/>
      <c r="J13" s="171"/>
      <c r="K13" s="165"/>
    </row>
    <row r="14" spans="1:11" s="2" customFormat="1" ht="14.25" customHeight="1" x14ac:dyDescent="0.2">
      <c r="A14" s="89">
        <v>45204</v>
      </c>
      <c r="B14" s="9" t="s">
        <v>6</v>
      </c>
      <c r="C14" s="76" t="s">
        <v>298</v>
      </c>
      <c r="D14" s="11" t="s">
        <v>13</v>
      </c>
      <c r="E14" s="2">
        <v>335216.24</v>
      </c>
      <c r="F14" s="12"/>
      <c r="G14" s="1"/>
      <c r="H14" s="130"/>
      <c r="I14" s="171"/>
      <c r="J14" s="171"/>
      <c r="K14" s="165"/>
    </row>
    <row r="15" spans="1:11" s="2" customFormat="1" ht="14.25" customHeight="1" x14ac:dyDescent="0.2">
      <c r="A15" s="89">
        <v>45204</v>
      </c>
      <c r="B15" s="9" t="s">
        <v>6</v>
      </c>
      <c r="C15" s="76" t="s">
        <v>220</v>
      </c>
      <c r="D15" s="11" t="s">
        <v>13</v>
      </c>
      <c r="E15" s="2">
        <v>154573</v>
      </c>
      <c r="F15" s="12"/>
      <c r="G15" s="1"/>
      <c r="H15" s="130"/>
      <c r="I15" s="171"/>
      <c r="J15" s="171"/>
      <c r="K15" s="165"/>
    </row>
    <row r="16" spans="1:11" s="2" customFormat="1" ht="14.25" customHeight="1" x14ac:dyDescent="0.2">
      <c r="A16" s="89">
        <v>45204</v>
      </c>
      <c r="B16" s="9" t="s">
        <v>11</v>
      </c>
      <c r="C16" s="76" t="s">
        <v>1137</v>
      </c>
      <c r="D16" s="11" t="s">
        <v>29</v>
      </c>
      <c r="F16" s="12">
        <v>53609.619999999995</v>
      </c>
      <c r="G16" s="1"/>
      <c r="H16" s="130"/>
      <c r="I16" s="171"/>
      <c r="J16" s="171"/>
      <c r="K16" s="165"/>
    </row>
    <row r="17" spans="1:14" s="2" customFormat="1" ht="14.25" customHeight="1" x14ac:dyDescent="0.2">
      <c r="A17" s="89">
        <v>45204</v>
      </c>
      <c r="B17" s="9" t="s">
        <v>11</v>
      </c>
      <c r="C17" s="76" t="s">
        <v>1403</v>
      </c>
      <c r="D17" s="11" t="s">
        <v>29</v>
      </c>
      <c r="F17" s="12">
        <v>6406450</v>
      </c>
      <c r="G17" s="1"/>
      <c r="H17" s="130"/>
      <c r="I17" s="171"/>
      <c r="J17" s="171"/>
      <c r="K17" s="165"/>
    </row>
    <row r="18" spans="1:14" s="2" customFormat="1" ht="14.25" customHeight="1" x14ac:dyDescent="0.2">
      <c r="A18" s="89">
        <v>45204</v>
      </c>
      <c r="B18" s="9" t="s">
        <v>11</v>
      </c>
      <c r="C18" s="76" t="s">
        <v>186</v>
      </c>
      <c r="D18" s="11" t="s">
        <v>29</v>
      </c>
      <c r="F18" s="12">
        <v>454085</v>
      </c>
      <c r="G18" s="1"/>
      <c r="H18" s="130"/>
      <c r="I18" s="171"/>
      <c r="J18" s="171"/>
      <c r="K18" s="165"/>
    </row>
    <row r="19" spans="1:14" s="2" customFormat="1" ht="14.25" customHeight="1" x14ac:dyDescent="0.2">
      <c r="A19" s="89">
        <v>45204</v>
      </c>
      <c r="B19" s="9" t="s">
        <v>11</v>
      </c>
      <c r="C19" s="76" t="s">
        <v>207</v>
      </c>
      <c r="D19" s="11" t="s">
        <v>29</v>
      </c>
      <c r="F19" s="12">
        <v>104104</v>
      </c>
      <c r="G19" s="1"/>
      <c r="H19" s="130"/>
      <c r="I19" s="171"/>
      <c r="J19" s="171"/>
      <c r="K19" s="165"/>
    </row>
    <row r="20" spans="1:14" s="2" customFormat="1" ht="14.25" customHeight="1" x14ac:dyDescent="0.2">
      <c r="A20" s="89">
        <v>45204</v>
      </c>
      <c r="B20" s="9" t="s">
        <v>11</v>
      </c>
      <c r="C20" s="76" t="s">
        <v>1219</v>
      </c>
      <c r="D20" s="11" t="s">
        <v>29</v>
      </c>
      <c r="F20" s="12">
        <v>1000000</v>
      </c>
      <c r="G20" s="1"/>
      <c r="H20" s="130"/>
      <c r="I20" s="171"/>
      <c r="J20" s="171"/>
      <c r="K20" s="165"/>
    </row>
    <row r="21" spans="1:14" s="2" customFormat="1" ht="14.25" customHeight="1" x14ac:dyDescent="0.2">
      <c r="A21" s="89">
        <v>45204</v>
      </c>
      <c r="B21" s="9" t="s">
        <v>11</v>
      </c>
      <c r="C21" s="76" t="s">
        <v>1562</v>
      </c>
      <c r="D21" s="11" t="s">
        <v>29</v>
      </c>
      <c r="F21" s="12">
        <v>1475000</v>
      </c>
      <c r="G21" s="1"/>
      <c r="H21" s="130"/>
      <c r="I21" s="171"/>
      <c r="J21" s="171"/>
      <c r="K21" s="165"/>
    </row>
    <row r="22" spans="1:14" s="2" customFormat="1" ht="14.25" customHeight="1" x14ac:dyDescent="0.2">
      <c r="D22" s="11" t="s">
        <v>8</v>
      </c>
      <c r="E22" s="16">
        <f>SUM(E12:E21)</f>
        <v>1962702.33</v>
      </c>
      <c r="F22" s="16">
        <f>SUM(F12:F21)</f>
        <v>91250154.000000015</v>
      </c>
      <c r="G22" s="1"/>
      <c r="H22" s="143"/>
      <c r="I22" s="130"/>
      <c r="J22" s="143"/>
      <c r="K22" s="143"/>
      <c r="L22" s="143"/>
      <c r="M22" s="143"/>
    </row>
    <row r="23" spans="1:14" s="2" customFormat="1" ht="14.25" customHeight="1" x14ac:dyDescent="0.4">
      <c r="A23" s="17"/>
      <c r="B23" s="18"/>
      <c r="C23" s="96" t="s">
        <v>9</v>
      </c>
      <c r="D23" s="20"/>
      <c r="E23" s="21">
        <f>+F22-E22</f>
        <v>89287451.670000017</v>
      </c>
      <c r="G23" s="1"/>
      <c r="I23" s="112"/>
      <c r="J23" s="153" t="s">
        <v>779</v>
      </c>
    </row>
    <row r="24" spans="1:14" s="2" customFormat="1" ht="14.25" customHeight="1" x14ac:dyDescent="0.2">
      <c r="A24" s="36"/>
      <c r="B24" s="28" t="s">
        <v>66</v>
      </c>
      <c r="C24" s="43" t="s">
        <v>1458</v>
      </c>
      <c r="D24" s="43"/>
      <c r="E24" s="12">
        <v>30000000</v>
      </c>
      <c r="F24" s="22"/>
      <c r="G24" s="1"/>
      <c r="I24" s="40">
        <v>89287451.670000002</v>
      </c>
      <c r="J24" s="154">
        <f>I24-E23</f>
        <v>0</v>
      </c>
    </row>
    <row r="25" spans="1:14" s="2" customFormat="1" ht="14.25" customHeight="1" x14ac:dyDescent="0.25">
      <c r="A25" s="36"/>
      <c r="B25" s="28"/>
      <c r="C25" s="44" t="s">
        <v>1541</v>
      </c>
      <c r="D25" s="43"/>
      <c r="E25" s="7">
        <f>+E23+E24</f>
        <v>119287451.67000002</v>
      </c>
      <c r="F25" s="22"/>
      <c r="G25" s="1"/>
      <c r="H25" s="13" t="s">
        <v>1582</v>
      </c>
      <c r="I25" s="13" t="s">
        <v>1583</v>
      </c>
    </row>
    <row r="26" spans="1:14" s="2" customFormat="1" ht="14.25" customHeight="1" x14ac:dyDescent="0.25">
      <c r="A26" s="36"/>
      <c r="B26" s="28"/>
      <c r="C26" s="44" t="s">
        <v>1511</v>
      </c>
      <c r="D26" s="43"/>
      <c r="E26" s="38">
        <f>+I12</f>
        <v>557975.32999999821</v>
      </c>
      <c r="F26" s="22"/>
      <c r="G26" s="1"/>
      <c r="H26" s="2">
        <v>612748</v>
      </c>
      <c r="I26" s="2">
        <v>8510296.5800000001</v>
      </c>
      <c r="J26" s="176">
        <f>H26-I26</f>
        <v>-7897548.5800000001</v>
      </c>
    </row>
    <row r="27" spans="1:14" s="2" customFormat="1" ht="14.25" customHeight="1" x14ac:dyDescent="0.2">
      <c r="A27" s="24"/>
      <c r="B27" s="1"/>
      <c r="C27" s="14"/>
      <c r="D27" s="25"/>
      <c r="G27" s="1"/>
      <c r="I27" s="130"/>
      <c r="J27" s="130"/>
    </row>
    <row r="28" spans="1:14" s="2" customFormat="1" x14ac:dyDescent="0.2">
      <c r="A28" s="214" t="s">
        <v>10</v>
      </c>
      <c r="B28" s="214"/>
      <c r="C28" s="214"/>
      <c r="D28" s="214"/>
      <c r="E28" s="214"/>
      <c r="F28" s="214"/>
      <c r="G28" s="1"/>
      <c r="H28" s="159"/>
      <c r="I28" s="160">
        <f>225000000-75000000</f>
        <v>150000000</v>
      </c>
      <c r="J28" s="160" t="s">
        <v>1506</v>
      </c>
      <c r="K28" s="70"/>
    </row>
    <row r="29" spans="1:14" s="2" customFormat="1" x14ac:dyDescent="0.2">
      <c r="A29" s="26" t="s">
        <v>1</v>
      </c>
      <c r="B29" s="27" t="s">
        <v>2</v>
      </c>
      <c r="C29" s="5"/>
      <c r="D29" s="6" t="s">
        <v>3</v>
      </c>
      <c r="E29" s="7" t="s">
        <v>4</v>
      </c>
      <c r="F29" s="7" t="s">
        <v>5</v>
      </c>
      <c r="G29" s="1"/>
      <c r="H29" s="159"/>
      <c r="I29" s="160">
        <v>90856413.730000004</v>
      </c>
      <c r="J29" s="160" t="s">
        <v>1507</v>
      </c>
      <c r="K29" s="70" t="s">
        <v>1512</v>
      </c>
    </row>
    <row r="30" spans="1:14" s="2" customFormat="1" x14ac:dyDescent="0.2">
      <c r="A30" s="89">
        <v>45204</v>
      </c>
      <c r="B30" s="128" t="s">
        <v>11</v>
      </c>
      <c r="C30" s="29" t="s">
        <v>7</v>
      </c>
      <c r="D30" s="25"/>
      <c r="E30" s="31"/>
      <c r="F30" s="2">
        <v>88855472.3800001</v>
      </c>
      <c r="G30" s="23"/>
      <c r="H30" s="159" t="s">
        <v>1505</v>
      </c>
      <c r="I30" s="160">
        <f>+I28-I29</f>
        <v>59143586.269999996</v>
      </c>
      <c r="J30" s="160"/>
      <c r="K30" s="70"/>
    </row>
    <row r="31" spans="1:14" s="2" customFormat="1" x14ac:dyDescent="0.2">
      <c r="A31" s="89">
        <v>45204</v>
      </c>
      <c r="B31" s="128" t="s">
        <v>6</v>
      </c>
      <c r="C31" s="10" t="s">
        <v>748</v>
      </c>
      <c r="D31" s="11" t="s">
        <v>13</v>
      </c>
      <c r="E31" s="86">
        <v>981497.2</v>
      </c>
      <c r="F31" s="70"/>
      <c r="G31" s="1"/>
      <c r="N31" s="1"/>
    </row>
    <row r="32" spans="1:14" s="2" customFormat="1" x14ac:dyDescent="0.2">
      <c r="A32" s="89">
        <v>45204</v>
      </c>
      <c r="B32" s="128" t="s">
        <v>6</v>
      </c>
      <c r="C32" s="10" t="s">
        <v>755</v>
      </c>
      <c r="D32" s="11" t="s">
        <v>13</v>
      </c>
      <c r="E32" s="86">
        <v>1306021.69</v>
      </c>
      <c r="F32" s="70"/>
      <c r="G32" s="1"/>
      <c r="N32" s="1"/>
    </row>
    <row r="33" spans="1:14" s="2" customFormat="1" x14ac:dyDescent="0.2">
      <c r="A33" s="89">
        <v>45204</v>
      </c>
      <c r="B33" s="128" t="s">
        <v>6</v>
      </c>
      <c r="C33" s="10" t="s">
        <v>749</v>
      </c>
      <c r="D33" s="11" t="s">
        <v>13</v>
      </c>
      <c r="E33" s="86">
        <v>6763565.4699999997</v>
      </c>
      <c r="F33" s="70"/>
      <c r="G33" s="1"/>
      <c r="N33" s="1"/>
    </row>
    <row r="34" spans="1:14" s="2" customFormat="1" x14ac:dyDescent="0.2">
      <c r="A34" s="89">
        <v>45204</v>
      </c>
      <c r="B34" s="128" t="s">
        <v>6</v>
      </c>
      <c r="C34" s="10" t="s">
        <v>764</v>
      </c>
      <c r="D34" s="11" t="s">
        <v>13</v>
      </c>
      <c r="E34" s="86">
        <v>4055080.04</v>
      </c>
      <c r="F34" s="70"/>
      <c r="G34" s="1"/>
      <c r="N34" s="1"/>
    </row>
    <row r="35" spans="1:14" s="2" customFormat="1" x14ac:dyDescent="0.2">
      <c r="A35" s="89">
        <v>45204</v>
      </c>
      <c r="B35" s="128" t="s">
        <v>6</v>
      </c>
      <c r="C35" s="10" t="s">
        <v>759</v>
      </c>
      <c r="D35" s="11" t="s">
        <v>13</v>
      </c>
      <c r="E35" s="86">
        <v>2103258.67</v>
      </c>
      <c r="F35" s="70"/>
      <c r="G35" s="1"/>
      <c r="N35" s="1"/>
    </row>
    <row r="36" spans="1:14" s="2" customFormat="1" x14ac:dyDescent="0.2">
      <c r="A36" s="89">
        <v>45204</v>
      </c>
      <c r="B36" s="128" t="s">
        <v>6</v>
      </c>
      <c r="C36" s="10" t="s">
        <v>1540</v>
      </c>
      <c r="D36" s="11" t="s">
        <v>13</v>
      </c>
      <c r="E36" s="86">
        <v>1887797</v>
      </c>
      <c r="F36" s="70"/>
      <c r="G36" s="1"/>
      <c r="N36" s="1"/>
    </row>
    <row r="37" spans="1:14" s="2" customFormat="1" x14ac:dyDescent="0.2">
      <c r="A37" s="89">
        <v>45204</v>
      </c>
      <c r="B37" s="128" t="s">
        <v>6</v>
      </c>
      <c r="C37" s="10" t="s">
        <v>1137</v>
      </c>
      <c r="D37" s="11" t="s">
        <v>13</v>
      </c>
      <c r="E37" s="86">
        <v>2062.4</v>
      </c>
      <c r="F37" s="70"/>
      <c r="G37" s="1"/>
      <c r="N37" s="1"/>
    </row>
    <row r="38" spans="1:14" s="2" customFormat="1" x14ac:dyDescent="0.2">
      <c r="A38" s="89">
        <v>45204</v>
      </c>
      <c r="B38" s="128" t="s">
        <v>6</v>
      </c>
      <c r="C38" s="10" t="s">
        <v>121</v>
      </c>
      <c r="D38" s="11" t="s">
        <v>13</v>
      </c>
      <c r="E38" s="86">
        <v>500000</v>
      </c>
      <c r="F38" s="70"/>
      <c r="G38" s="1"/>
      <c r="N38" s="1"/>
    </row>
    <row r="39" spans="1:14" s="2" customFormat="1" x14ac:dyDescent="0.2">
      <c r="A39" s="89">
        <v>45204</v>
      </c>
      <c r="B39" s="128" t="s">
        <v>6</v>
      </c>
      <c r="C39" s="10" t="s">
        <v>1632</v>
      </c>
      <c r="D39" s="11" t="s">
        <v>13</v>
      </c>
      <c r="E39" s="86">
        <v>16538</v>
      </c>
      <c r="F39" s="70"/>
      <c r="G39" s="1"/>
      <c r="N39" s="1"/>
    </row>
    <row r="40" spans="1:14" s="2" customFormat="1" x14ac:dyDescent="0.2">
      <c r="A40" s="89">
        <v>45204</v>
      </c>
      <c r="B40" s="128" t="s">
        <v>6</v>
      </c>
      <c r="C40" s="10" t="s">
        <v>599</v>
      </c>
      <c r="D40" s="11" t="s">
        <v>13</v>
      </c>
      <c r="E40" s="86">
        <v>72119</v>
      </c>
      <c r="F40" s="70"/>
      <c r="G40" s="1"/>
      <c r="N40" s="1"/>
    </row>
    <row r="41" spans="1:14" s="2" customFormat="1" x14ac:dyDescent="0.2">
      <c r="A41" s="89">
        <v>45204</v>
      </c>
      <c r="B41" s="128" t="s">
        <v>6</v>
      </c>
      <c r="C41" s="10" t="s">
        <v>1633</v>
      </c>
      <c r="D41" s="11" t="s">
        <v>13</v>
      </c>
      <c r="E41" s="86">
        <v>262395</v>
      </c>
      <c r="F41" s="70"/>
      <c r="G41" s="1"/>
      <c r="N41" s="1"/>
    </row>
    <row r="42" spans="1:14" s="2" customFormat="1" x14ac:dyDescent="0.2">
      <c r="A42" s="89">
        <v>45204</v>
      </c>
      <c r="B42" s="128" t="s">
        <v>6</v>
      </c>
      <c r="C42" s="10" t="s">
        <v>160</v>
      </c>
      <c r="D42" s="11" t="s">
        <v>13</v>
      </c>
      <c r="E42" s="86">
        <v>60681</v>
      </c>
      <c r="F42" s="70"/>
      <c r="G42" s="1"/>
      <c r="N42" s="1"/>
    </row>
    <row r="43" spans="1:14" s="2" customFormat="1" x14ac:dyDescent="0.2">
      <c r="A43" s="89">
        <v>45204</v>
      </c>
      <c r="B43" s="128" t="s">
        <v>6</v>
      </c>
      <c r="C43" s="10" t="s">
        <v>1634</v>
      </c>
      <c r="D43" s="11" t="s">
        <v>13</v>
      </c>
      <c r="E43" s="86">
        <v>289672</v>
      </c>
      <c r="F43" s="70"/>
      <c r="G43" s="1"/>
      <c r="N43" s="1"/>
    </row>
    <row r="44" spans="1:14" s="2" customFormat="1" x14ac:dyDescent="0.2">
      <c r="A44" s="89">
        <v>45204</v>
      </c>
      <c r="B44" s="128" t="s">
        <v>6</v>
      </c>
      <c r="C44" s="10" t="s">
        <v>1635</v>
      </c>
      <c r="D44" s="11" t="s">
        <v>13</v>
      </c>
      <c r="E44" s="86">
        <v>2611378</v>
      </c>
      <c r="F44" s="70"/>
      <c r="G44" s="1"/>
      <c r="N44" s="1"/>
    </row>
    <row r="45" spans="1:14" s="2" customFormat="1" x14ac:dyDescent="0.2">
      <c r="A45" s="89">
        <v>45204</v>
      </c>
      <c r="B45" s="128" t="s">
        <v>6</v>
      </c>
      <c r="C45" s="10" t="s">
        <v>1331</v>
      </c>
      <c r="D45" s="11" t="s">
        <v>13</v>
      </c>
      <c r="E45" s="86">
        <v>289336</v>
      </c>
      <c r="F45" s="70"/>
      <c r="G45" s="1"/>
      <c r="N45" s="1"/>
    </row>
    <row r="46" spans="1:14" s="2" customFormat="1" x14ac:dyDescent="0.2">
      <c r="A46" s="89">
        <v>45204</v>
      </c>
      <c r="B46" s="128" t="s">
        <v>6</v>
      </c>
      <c r="C46" s="10" t="s">
        <v>1636</v>
      </c>
      <c r="D46" s="11" t="s">
        <v>13</v>
      </c>
      <c r="E46" s="86">
        <v>906</v>
      </c>
      <c r="F46" s="70"/>
      <c r="G46" s="1"/>
      <c r="N46" s="1"/>
    </row>
    <row r="47" spans="1:14" s="2" customFormat="1" x14ac:dyDescent="0.2">
      <c r="A47" s="89">
        <v>45204</v>
      </c>
      <c r="B47" s="128" t="s">
        <v>6</v>
      </c>
      <c r="C47" s="10" t="s">
        <v>1637</v>
      </c>
      <c r="D47" s="11" t="s">
        <v>13</v>
      </c>
      <c r="E47" s="86">
        <v>3675</v>
      </c>
      <c r="F47" s="70"/>
      <c r="G47" s="1"/>
      <c r="N47" s="1"/>
    </row>
    <row r="48" spans="1:14" s="2" customFormat="1" x14ac:dyDescent="0.2">
      <c r="A48" s="89">
        <v>45204</v>
      </c>
      <c r="B48" s="128" t="s">
        <v>11</v>
      </c>
      <c r="C48" s="10" t="s">
        <v>64</v>
      </c>
      <c r="D48" s="11" t="s">
        <v>29</v>
      </c>
      <c r="E48" s="86"/>
      <c r="F48" s="70">
        <v>7382.08</v>
      </c>
      <c r="G48" s="1"/>
      <c r="N48" s="1"/>
    </row>
    <row r="49" spans="1:14" s="13" customFormat="1" x14ac:dyDescent="0.2">
      <c r="A49" s="97">
        <v>45204</v>
      </c>
      <c r="B49" s="132" t="s">
        <v>11</v>
      </c>
      <c r="C49" s="121" t="s">
        <v>655</v>
      </c>
      <c r="D49" s="122" t="s">
        <v>258</v>
      </c>
      <c r="E49" s="147"/>
      <c r="F49" s="69">
        <v>12113785</v>
      </c>
      <c r="G49" s="23"/>
      <c r="N49" s="23"/>
    </row>
    <row r="50" spans="1:14" s="2" customFormat="1" x14ac:dyDescent="0.2">
      <c r="A50" s="89">
        <v>45204</v>
      </c>
      <c r="B50" s="128" t="s">
        <v>11</v>
      </c>
      <c r="C50" s="10" t="s">
        <v>156</v>
      </c>
      <c r="D50" s="11" t="s">
        <v>29</v>
      </c>
      <c r="E50" s="86"/>
      <c r="F50" s="70">
        <v>2.52</v>
      </c>
      <c r="G50" s="1"/>
      <c r="N50" s="1"/>
    </row>
    <row r="51" spans="1:14" s="2" customFormat="1" x14ac:dyDescent="0.2">
      <c r="A51" s="89">
        <v>45204</v>
      </c>
      <c r="B51" s="128" t="s">
        <v>11</v>
      </c>
      <c r="C51" s="10" t="s">
        <v>183</v>
      </c>
      <c r="D51" s="11" t="s">
        <v>29</v>
      </c>
      <c r="E51" s="86"/>
      <c r="F51" s="70">
        <v>20623</v>
      </c>
      <c r="G51" s="1"/>
      <c r="N51" s="1"/>
    </row>
    <row r="52" spans="1:14" s="2" customFormat="1" x14ac:dyDescent="0.2">
      <c r="A52" s="89">
        <v>45204</v>
      </c>
      <c r="B52" s="128" t="s">
        <v>11</v>
      </c>
      <c r="C52" s="10" t="s">
        <v>109</v>
      </c>
      <c r="D52" s="11" t="s">
        <v>29</v>
      </c>
      <c r="E52" s="86"/>
      <c r="F52" s="70">
        <v>1701389</v>
      </c>
      <c r="G52" s="1"/>
      <c r="N52" s="1"/>
    </row>
    <row r="53" spans="1:14" s="2" customFormat="1" x14ac:dyDescent="0.2">
      <c r="A53" s="89">
        <v>45204</v>
      </c>
      <c r="B53" s="128" t="s">
        <v>11</v>
      </c>
      <c r="C53" s="10" t="s">
        <v>1403</v>
      </c>
      <c r="D53" s="11" t="s">
        <v>29</v>
      </c>
      <c r="E53" s="86"/>
      <c r="F53" s="70">
        <v>2718070</v>
      </c>
      <c r="G53" s="1"/>
      <c r="N53" s="1"/>
    </row>
    <row r="54" spans="1:14" s="2" customFormat="1" x14ac:dyDescent="0.2">
      <c r="A54" s="89">
        <v>45204</v>
      </c>
      <c r="B54" s="128" t="s">
        <v>11</v>
      </c>
      <c r="C54" s="10" t="s">
        <v>602</v>
      </c>
      <c r="D54" s="11" t="s">
        <v>29</v>
      </c>
      <c r="E54" s="86"/>
      <c r="F54" s="70">
        <v>6422.8</v>
      </c>
      <c r="G54" s="1"/>
      <c r="N54" s="1"/>
    </row>
    <row r="55" spans="1:14" s="2" customFormat="1" x14ac:dyDescent="0.2">
      <c r="A55" s="89">
        <v>45204</v>
      </c>
      <c r="B55" s="128" t="s">
        <v>11</v>
      </c>
      <c r="C55" s="10" t="s">
        <v>95</v>
      </c>
      <c r="D55" s="11" t="s">
        <v>29</v>
      </c>
      <c r="E55" s="86"/>
      <c r="F55" s="70">
        <v>29700</v>
      </c>
      <c r="G55" s="1"/>
      <c r="N55" s="1"/>
    </row>
    <row r="56" spans="1:14" s="2" customFormat="1" x14ac:dyDescent="0.2">
      <c r="A56" s="89">
        <v>45204</v>
      </c>
      <c r="B56" s="128" t="s">
        <v>11</v>
      </c>
      <c r="C56" s="10" t="s">
        <v>523</v>
      </c>
      <c r="D56" s="11" t="s">
        <v>29</v>
      </c>
      <c r="E56" s="86"/>
      <c r="F56" s="70">
        <v>49560</v>
      </c>
      <c r="G56" s="1"/>
      <c r="N56" s="1"/>
    </row>
    <row r="57" spans="1:14" s="2" customFormat="1" x14ac:dyDescent="0.2">
      <c r="A57" s="89">
        <v>45204</v>
      </c>
      <c r="B57" s="128" t="s">
        <v>11</v>
      </c>
      <c r="C57" s="10" t="s">
        <v>184</v>
      </c>
      <c r="D57" s="11" t="s">
        <v>29</v>
      </c>
      <c r="E57" s="86"/>
      <c r="F57" s="70">
        <v>53856</v>
      </c>
      <c r="G57" s="1"/>
      <c r="N57" s="1"/>
    </row>
    <row r="58" spans="1:14" s="2" customFormat="1" x14ac:dyDescent="0.2">
      <c r="A58" s="89">
        <v>45204</v>
      </c>
      <c r="B58" s="128" t="s">
        <v>11</v>
      </c>
      <c r="C58" s="10" t="s">
        <v>185</v>
      </c>
      <c r="D58" s="11" t="s">
        <v>29</v>
      </c>
      <c r="E58" s="86"/>
      <c r="F58" s="70">
        <v>976468</v>
      </c>
      <c r="G58" s="1"/>
      <c r="N58" s="1"/>
    </row>
    <row r="59" spans="1:14" s="2" customFormat="1" x14ac:dyDescent="0.2">
      <c r="A59" s="89">
        <v>45204</v>
      </c>
      <c r="B59" s="128" t="s">
        <v>11</v>
      </c>
      <c r="C59" s="10" t="s">
        <v>187</v>
      </c>
      <c r="D59" s="11" t="s">
        <v>29</v>
      </c>
      <c r="E59" s="86"/>
      <c r="F59" s="70">
        <v>1265101</v>
      </c>
      <c r="G59" s="1"/>
      <c r="N59" s="1"/>
    </row>
    <row r="60" spans="1:14" s="2" customFormat="1" x14ac:dyDescent="0.2">
      <c r="A60" s="89">
        <v>45204</v>
      </c>
      <c r="B60" s="128" t="s">
        <v>11</v>
      </c>
      <c r="C60" s="10" t="s">
        <v>188</v>
      </c>
      <c r="D60" s="11" t="s">
        <v>29</v>
      </c>
      <c r="E60" s="86"/>
      <c r="F60" s="70">
        <v>163587</v>
      </c>
      <c r="G60" s="1"/>
      <c r="N60" s="1"/>
    </row>
    <row r="61" spans="1:14" s="2" customFormat="1" x14ac:dyDescent="0.2">
      <c r="A61" s="89">
        <v>45204</v>
      </c>
      <c r="B61" s="128" t="s">
        <v>11</v>
      </c>
      <c r="C61" s="10" t="s">
        <v>630</v>
      </c>
      <c r="D61" s="11" t="s">
        <v>29</v>
      </c>
      <c r="E61" s="86"/>
      <c r="F61" s="70">
        <v>22500</v>
      </c>
      <c r="G61" s="1"/>
      <c r="N61" s="1"/>
    </row>
    <row r="62" spans="1:14" s="2" customFormat="1" x14ac:dyDescent="0.2">
      <c r="A62" s="89">
        <v>45204</v>
      </c>
      <c r="B62" s="128" t="s">
        <v>11</v>
      </c>
      <c r="C62" s="10" t="s">
        <v>190</v>
      </c>
      <c r="D62" s="11" t="s">
        <v>29</v>
      </c>
      <c r="E62" s="86"/>
      <c r="F62" s="70">
        <v>1523243</v>
      </c>
      <c r="G62" s="1"/>
      <c r="N62" s="1"/>
    </row>
    <row r="63" spans="1:14" s="2" customFormat="1" x14ac:dyDescent="0.2">
      <c r="A63" s="89">
        <v>45204</v>
      </c>
      <c r="B63" s="128" t="s">
        <v>11</v>
      </c>
      <c r="C63" s="10" t="s">
        <v>191</v>
      </c>
      <c r="D63" s="11" t="s">
        <v>29</v>
      </c>
      <c r="E63" s="86"/>
      <c r="F63" s="70">
        <v>196552</v>
      </c>
      <c r="G63" s="1"/>
      <c r="N63" s="1"/>
    </row>
    <row r="64" spans="1:14" s="2" customFormat="1" x14ac:dyDescent="0.2">
      <c r="A64" s="89">
        <v>45204</v>
      </c>
      <c r="B64" s="128" t="s">
        <v>11</v>
      </c>
      <c r="C64" s="10" t="s">
        <v>588</v>
      </c>
      <c r="D64" s="11" t="s">
        <v>29</v>
      </c>
      <c r="E64" s="86"/>
      <c r="F64" s="70">
        <v>174874</v>
      </c>
      <c r="G64" s="1"/>
      <c r="N64" s="1"/>
    </row>
    <row r="65" spans="1:14" s="2" customFormat="1" x14ac:dyDescent="0.2">
      <c r="A65" s="89">
        <v>45204</v>
      </c>
      <c r="B65" s="128" t="s">
        <v>11</v>
      </c>
      <c r="C65" s="10" t="s">
        <v>206</v>
      </c>
      <c r="D65" s="11" t="s">
        <v>29</v>
      </c>
      <c r="E65" s="86"/>
      <c r="F65" s="70">
        <v>798616</v>
      </c>
      <c r="G65" s="1"/>
      <c r="N65" s="1"/>
    </row>
    <row r="66" spans="1:14" s="2" customFormat="1" x14ac:dyDescent="0.2">
      <c r="A66" s="89">
        <v>45204</v>
      </c>
      <c r="B66" s="128" t="s">
        <v>11</v>
      </c>
      <c r="C66" s="10" t="s">
        <v>192</v>
      </c>
      <c r="D66" s="11" t="s">
        <v>29</v>
      </c>
      <c r="E66" s="86"/>
      <c r="F66" s="70">
        <v>597521</v>
      </c>
      <c r="G66" s="1"/>
      <c r="N66" s="1"/>
    </row>
    <row r="67" spans="1:14" s="2" customFormat="1" x14ac:dyDescent="0.2">
      <c r="A67" s="89">
        <v>45204</v>
      </c>
      <c r="B67" s="128" t="s">
        <v>11</v>
      </c>
      <c r="C67" s="10" t="s">
        <v>804</v>
      </c>
      <c r="D67" s="11" t="s">
        <v>29</v>
      </c>
      <c r="E67" s="86"/>
      <c r="F67" s="70">
        <v>397583</v>
      </c>
      <c r="G67" s="1"/>
      <c r="N67" s="1"/>
    </row>
    <row r="68" spans="1:14" s="2" customFormat="1" x14ac:dyDescent="0.2">
      <c r="A68" s="89">
        <v>45204</v>
      </c>
      <c r="B68" s="128" t="s">
        <v>11</v>
      </c>
      <c r="C68" s="10" t="s">
        <v>664</v>
      </c>
      <c r="D68" s="11" t="s">
        <v>29</v>
      </c>
      <c r="E68" s="86"/>
      <c r="F68" s="70">
        <v>30383</v>
      </c>
      <c r="G68" s="1"/>
      <c r="N68" s="1"/>
    </row>
    <row r="69" spans="1:14" s="2" customFormat="1" x14ac:dyDescent="0.2">
      <c r="A69" s="89">
        <v>45204</v>
      </c>
      <c r="B69" s="128" t="s">
        <v>11</v>
      </c>
      <c r="C69" s="10" t="s">
        <v>387</v>
      </c>
      <c r="D69" s="11" t="s">
        <v>29</v>
      </c>
      <c r="E69" s="86"/>
      <c r="F69" s="70">
        <v>26086</v>
      </c>
      <c r="G69" s="1"/>
      <c r="N69" s="1"/>
    </row>
    <row r="70" spans="1:14" s="2" customFormat="1" x14ac:dyDescent="0.2">
      <c r="A70" s="89">
        <v>45204</v>
      </c>
      <c r="B70" s="128" t="s">
        <v>11</v>
      </c>
      <c r="C70" s="10" t="s">
        <v>789</v>
      </c>
      <c r="D70" s="11" t="s">
        <v>29</v>
      </c>
      <c r="E70" s="86"/>
      <c r="F70" s="70">
        <v>638019</v>
      </c>
      <c r="G70" s="1"/>
      <c r="N70" s="1"/>
    </row>
    <row r="71" spans="1:14" s="2" customFormat="1" x14ac:dyDescent="0.2">
      <c r="A71" s="89">
        <v>45204</v>
      </c>
      <c r="B71" s="128" t="s">
        <v>11</v>
      </c>
      <c r="C71" s="10" t="s">
        <v>1472</v>
      </c>
      <c r="D71" s="11" t="s">
        <v>29</v>
      </c>
      <c r="E71" s="86"/>
      <c r="F71" s="70">
        <v>1059931</v>
      </c>
      <c r="G71" s="1"/>
      <c r="N71" s="1"/>
    </row>
    <row r="72" spans="1:14" s="2" customFormat="1" x14ac:dyDescent="0.2">
      <c r="A72" s="89">
        <v>45204</v>
      </c>
      <c r="B72" s="128" t="s">
        <v>11</v>
      </c>
      <c r="C72" s="10" t="s">
        <v>123</v>
      </c>
      <c r="D72" s="11" t="s">
        <v>29</v>
      </c>
      <c r="E72" s="86"/>
      <c r="F72" s="70">
        <v>3033218</v>
      </c>
      <c r="G72" s="1"/>
      <c r="N72" s="1"/>
    </row>
    <row r="73" spans="1:14" s="2" customFormat="1" x14ac:dyDescent="0.2">
      <c r="A73" s="89">
        <v>45204</v>
      </c>
      <c r="B73" s="128" t="s">
        <v>11</v>
      </c>
      <c r="C73" s="10" t="s">
        <v>402</v>
      </c>
      <c r="D73" s="11" t="s">
        <v>29</v>
      </c>
      <c r="E73" s="86"/>
      <c r="F73" s="70">
        <v>2500000</v>
      </c>
      <c r="G73" s="1"/>
      <c r="N73" s="1"/>
    </row>
    <row r="74" spans="1:14" s="2" customFormat="1" x14ac:dyDescent="0.2">
      <c r="A74" s="89">
        <v>45204</v>
      </c>
      <c r="B74" s="128" t="s">
        <v>11</v>
      </c>
      <c r="C74" s="10" t="s">
        <v>525</v>
      </c>
      <c r="D74" s="11" t="s">
        <v>29</v>
      </c>
      <c r="E74" s="86"/>
      <c r="F74" s="70">
        <v>1000000</v>
      </c>
      <c r="G74" s="1"/>
      <c r="N74" s="1"/>
    </row>
    <row r="75" spans="1:14" s="2" customFormat="1" x14ac:dyDescent="0.2">
      <c r="A75" s="32"/>
      <c r="B75" s="33"/>
      <c r="C75" s="14"/>
      <c r="D75" s="34"/>
      <c r="E75" s="16">
        <f>SUM(E30:E74)</f>
        <v>21205982.469999999</v>
      </c>
      <c r="F75" s="16">
        <f>SUM(F30:F74)</f>
        <v>119959944.78000009</v>
      </c>
      <c r="G75" s="1"/>
      <c r="H75" s="1"/>
      <c r="I75" s="38">
        <v>98753962.310000002</v>
      </c>
      <c r="J75" s="2" t="s">
        <v>396</v>
      </c>
      <c r="K75" s="92">
        <f>E76-I75</f>
        <v>0</v>
      </c>
      <c r="N75" s="1"/>
    </row>
    <row r="76" spans="1:14" s="2" customFormat="1" x14ac:dyDescent="0.2">
      <c r="A76" s="36"/>
      <c r="B76" s="28" t="s">
        <v>11</v>
      </c>
      <c r="C76" s="19" t="s">
        <v>65</v>
      </c>
      <c r="D76" s="37"/>
      <c r="E76" s="38">
        <f>F75-E75</f>
        <v>98753962.310000092</v>
      </c>
      <c r="F76" s="22"/>
      <c r="G76" s="1"/>
      <c r="H76" s="1"/>
      <c r="I76" s="70"/>
      <c r="J76" s="70"/>
      <c r="K76" s="70"/>
      <c r="N76" s="1"/>
    </row>
    <row r="77" spans="1:14" s="2" customFormat="1" x14ac:dyDescent="0.2">
      <c r="A77" s="36"/>
      <c r="B77" s="28" t="s">
        <v>66</v>
      </c>
      <c r="C77" s="19" t="s">
        <v>67</v>
      </c>
      <c r="D77" s="37"/>
      <c r="E77" s="38">
        <v>6500000</v>
      </c>
      <c r="F77" s="22"/>
      <c r="G77" s="1"/>
      <c r="H77" s="70"/>
      <c r="I77" s="70"/>
      <c r="J77" s="70"/>
      <c r="K77" s="70"/>
      <c r="N77" s="1"/>
    </row>
    <row r="78" spans="1:14" s="2" customFormat="1" x14ac:dyDescent="0.2">
      <c r="A78" s="36"/>
      <c r="B78" s="28" t="s">
        <v>66</v>
      </c>
      <c r="C78" s="43" t="s">
        <v>1457</v>
      </c>
      <c r="D78" s="43"/>
      <c r="E78" s="12">
        <f>275000000+75000000</f>
        <v>350000000</v>
      </c>
      <c r="F78" s="22"/>
      <c r="G78" s="1"/>
      <c r="H78" s="70"/>
      <c r="I78" s="45">
        <v>291.95999999999998</v>
      </c>
      <c r="J78" s="46"/>
      <c r="K78" s="46"/>
      <c r="N78" s="1"/>
    </row>
    <row r="79" spans="1:14" s="2" customFormat="1" ht="15" x14ac:dyDescent="0.25">
      <c r="A79" s="36"/>
      <c r="B79" s="28"/>
      <c r="C79" s="44" t="s">
        <v>1541</v>
      </c>
      <c r="D79" s="43"/>
      <c r="E79" s="7">
        <f>+E78+E76+E77</f>
        <v>455253962.31000006</v>
      </c>
      <c r="F79" s="22"/>
      <c r="G79" s="1"/>
      <c r="H79" s="103" t="s">
        <v>69</v>
      </c>
      <c r="I79" s="45">
        <v>-139.69999999999999</v>
      </c>
      <c r="J79" s="46"/>
      <c r="K79" s="46"/>
      <c r="N79" s="1"/>
    </row>
    <row r="80" spans="1:14" s="2" customFormat="1" ht="15" x14ac:dyDescent="0.25">
      <c r="A80" s="24"/>
      <c r="B80" s="1"/>
      <c r="C80" s="44" t="s">
        <v>1510</v>
      </c>
      <c r="D80" s="25"/>
      <c r="E80" s="156">
        <f>+I30-E77+H26-I26</f>
        <v>44746037.689999998</v>
      </c>
      <c r="G80" s="1"/>
      <c r="H80" s="35" t="s">
        <v>70</v>
      </c>
      <c r="I80" s="45">
        <v>16.940000000000001</v>
      </c>
      <c r="J80" s="46">
        <f>+I81-D83</f>
        <v>0</v>
      </c>
      <c r="N80" s="1"/>
    </row>
    <row r="81" spans="1:13" s="124" customFormat="1" ht="12.75" customHeight="1" x14ac:dyDescent="0.2">
      <c r="A81" s="24"/>
      <c r="B81" s="1"/>
      <c r="C81" s="56"/>
      <c r="D81" s="56"/>
      <c r="E81" s="104"/>
      <c r="F81" s="2"/>
      <c r="G81" s="166"/>
      <c r="H81" s="70"/>
      <c r="I81" s="49">
        <f>SUM(I78:I80)</f>
        <v>169.2</v>
      </c>
      <c r="J81" s="46"/>
      <c r="K81" s="46"/>
    </row>
    <row r="82" spans="1:13" s="124" customFormat="1" ht="12.75" customHeight="1" x14ac:dyDescent="0.2">
      <c r="A82" s="24"/>
      <c r="B82" s="1"/>
      <c r="C82" s="78" t="s">
        <v>575</v>
      </c>
      <c r="D82" s="48" t="s">
        <v>576</v>
      </c>
      <c r="E82" s="104"/>
      <c r="F82" s="2"/>
      <c r="G82" s="168"/>
      <c r="H82" s="167"/>
      <c r="I82" s="167"/>
      <c r="J82" s="168"/>
    </row>
    <row r="83" spans="1:13" s="124" customFormat="1" ht="12.75" customHeight="1" x14ac:dyDescent="0.2">
      <c r="A83" s="24"/>
      <c r="B83" s="1"/>
      <c r="C83" s="47" t="s">
        <v>570</v>
      </c>
      <c r="D83" s="111">
        <v>169.2</v>
      </c>
      <c r="E83" s="104"/>
      <c r="F83" s="2"/>
      <c r="G83" s="168"/>
      <c r="H83" s="110" t="s">
        <v>581</v>
      </c>
      <c r="I83" s="167"/>
      <c r="J83" s="168"/>
    </row>
    <row r="84" spans="1:13" s="124" customFormat="1" ht="12.75" customHeight="1" x14ac:dyDescent="0.2">
      <c r="A84" s="24"/>
      <c r="B84" s="1"/>
      <c r="C84" s="47" t="s">
        <v>931</v>
      </c>
      <c r="D84" s="111">
        <v>53.1</v>
      </c>
      <c r="E84" s="104"/>
      <c r="F84" s="2"/>
      <c r="G84" s="168"/>
      <c r="H84" s="110" t="s">
        <v>580</v>
      </c>
      <c r="I84" s="167"/>
      <c r="J84" s="168"/>
    </row>
    <row r="85" spans="1:13" s="124" customFormat="1" ht="12.75" customHeight="1" x14ac:dyDescent="0.2">
      <c r="A85" s="24"/>
      <c r="B85" s="1"/>
      <c r="C85" s="47" t="s">
        <v>572</v>
      </c>
      <c r="D85" s="111">
        <f>+D103/100000</f>
        <v>12.129324299999999</v>
      </c>
      <c r="E85" s="104"/>
      <c r="F85" s="2"/>
      <c r="G85" s="166"/>
      <c r="H85" s="90" t="s">
        <v>587</v>
      </c>
      <c r="I85" s="167"/>
      <c r="J85" s="168"/>
    </row>
    <row r="86" spans="1:13" s="2" customFormat="1" x14ac:dyDescent="0.2">
      <c r="A86" s="24"/>
      <c r="B86" s="1"/>
      <c r="C86" s="108" t="s">
        <v>578</v>
      </c>
      <c r="D86" s="48">
        <f>SUM(D83:D85)</f>
        <v>234.42932429999999</v>
      </c>
      <c r="E86" s="104"/>
      <c r="G86" s="30"/>
      <c r="I86" s="13"/>
      <c r="J86" s="13"/>
    </row>
    <row r="87" spans="1:13" s="70" customFormat="1" x14ac:dyDescent="0.2">
      <c r="A87" s="24"/>
      <c r="B87" s="1"/>
      <c r="C87" s="47"/>
      <c r="D87" s="107"/>
      <c r="E87" s="104"/>
      <c r="F87" s="2"/>
      <c r="G87" s="30"/>
      <c r="H87" s="2"/>
    </row>
    <row r="88" spans="1:13" s="70" customFormat="1" x14ac:dyDescent="0.2">
      <c r="A88" s="24"/>
      <c r="B88" s="1"/>
      <c r="C88" s="47" t="s">
        <v>932</v>
      </c>
      <c r="D88" s="111">
        <v>0</v>
      </c>
      <c r="E88" s="104"/>
      <c r="F88" s="2"/>
      <c r="G88" s="30"/>
      <c r="H88" s="110" t="s">
        <v>581</v>
      </c>
    </row>
    <row r="89" spans="1:13" s="70" customFormat="1" x14ac:dyDescent="0.2">
      <c r="A89" s="24"/>
      <c r="B89" s="1"/>
      <c r="C89" s="136" t="s">
        <v>1142</v>
      </c>
      <c r="D89" s="111">
        <f>56.31+163.06</f>
        <v>219.37</v>
      </c>
      <c r="E89" s="104"/>
      <c r="F89" s="2"/>
      <c r="G89" s="30"/>
      <c r="H89" s="110" t="s">
        <v>581</v>
      </c>
    </row>
    <row r="90" spans="1:13" s="70" customFormat="1" x14ac:dyDescent="0.2">
      <c r="A90" s="24"/>
      <c r="B90" s="1"/>
      <c r="C90" s="78" t="s">
        <v>579</v>
      </c>
      <c r="D90" s="109">
        <f>D88+D89</f>
        <v>219.37</v>
      </c>
      <c r="E90" s="104"/>
      <c r="F90" s="2"/>
      <c r="G90" s="30"/>
    </row>
    <row r="91" spans="1:13" s="70" customFormat="1" x14ac:dyDescent="0.2">
      <c r="A91" s="24"/>
      <c r="B91" s="1"/>
      <c r="C91" s="105"/>
      <c r="D91" s="106"/>
      <c r="E91" s="104"/>
      <c r="F91" s="2"/>
      <c r="G91" s="30"/>
      <c r="I91" s="2"/>
      <c r="J91" s="114" t="s">
        <v>713</v>
      </c>
      <c r="K91" s="2"/>
      <c r="L91" s="2"/>
      <c r="M91" s="2"/>
    </row>
    <row r="92" spans="1:13" s="70" customFormat="1" x14ac:dyDescent="0.2">
      <c r="A92" s="24"/>
      <c r="B92" s="1"/>
      <c r="C92" s="78" t="s">
        <v>577</v>
      </c>
      <c r="D92" s="109">
        <f>D83+D90</f>
        <v>388.57</v>
      </c>
      <c r="E92" s="104"/>
      <c r="F92" s="2"/>
      <c r="G92" s="30"/>
      <c r="I92" s="113"/>
      <c r="J92" s="113" t="s">
        <v>709</v>
      </c>
      <c r="K92" s="113" t="s">
        <v>710</v>
      </c>
      <c r="L92" s="113" t="s">
        <v>711</v>
      </c>
      <c r="M92" s="113" t="s">
        <v>712</v>
      </c>
    </row>
    <row r="93" spans="1:13" s="70" customFormat="1" x14ac:dyDescent="0.2">
      <c r="A93" s="24"/>
      <c r="B93" s="1"/>
      <c r="C93" s="56"/>
      <c r="D93" s="56"/>
      <c r="E93" s="104"/>
      <c r="F93" s="2"/>
      <c r="G93" s="30"/>
      <c r="I93" s="113" t="s">
        <v>706</v>
      </c>
      <c r="J93" s="115"/>
      <c r="K93" s="115">
        <v>968.99</v>
      </c>
      <c r="L93" s="115">
        <v>968.99</v>
      </c>
      <c r="M93" s="113">
        <f>+J93+L93-K93</f>
        <v>0</v>
      </c>
    </row>
    <row r="94" spans="1:13" s="70" customFormat="1" ht="38.25" x14ac:dyDescent="0.2">
      <c r="A94" s="24"/>
      <c r="B94" s="1"/>
      <c r="C94" s="79" t="str">
        <f>"Particulars ( 01-04-2021 to "&amp;TEXT(A5,"dd-mm-yyyy")&amp;" )"</f>
        <v>Particulars ( 01-04-2021 to 05-10-2023 )</v>
      </c>
      <c r="D94" s="80" t="s">
        <v>73</v>
      </c>
      <c r="E94" s="80" t="s">
        <v>74</v>
      </c>
      <c r="F94" s="81" t="s">
        <v>75</v>
      </c>
      <c r="G94" s="80" t="s">
        <v>76</v>
      </c>
      <c r="I94" s="113" t="s">
        <v>707</v>
      </c>
      <c r="J94" s="115">
        <v>183.1</v>
      </c>
      <c r="K94" s="115">
        <v>3680.41</v>
      </c>
      <c r="L94" s="115">
        <v>3959.09</v>
      </c>
      <c r="M94" s="113">
        <f>+J94+L94-K94</f>
        <v>461.78000000000065</v>
      </c>
    </row>
    <row r="95" spans="1:13" s="70" customFormat="1" x14ac:dyDescent="0.2">
      <c r="A95" s="24"/>
      <c r="B95" s="1"/>
      <c r="C95" s="50" t="s">
        <v>444</v>
      </c>
      <c r="D95" s="55">
        <f>+L93+L94+J94</f>
        <v>5111.18</v>
      </c>
      <c r="E95" s="55">
        <f>+K93+K94</f>
        <v>4649.3999999999996</v>
      </c>
      <c r="F95" s="55">
        <f>+D95-E95</f>
        <v>461.78000000000065</v>
      </c>
      <c r="G95" s="55">
        <f>1500-F95</f>
        <v>1038.2199999999993</v>
      </c>
      <c r="I95" s="113" t="s">
        <v>708</v>
      </c>
      <c r="J95" s="115">
        <v>1371.02</v>
      </c>
      <c r="K95" s="115">
        <v>14443.37</v>
      </c>
      <c r="L95" s="115">
        <v>14008.37</v>
      </c>
      <c r="M95" s="113">
        <f>+J95+L95-K95</f>
        <v>936.02000000000044</v>
      </c>
    </row>
    <row r="96" spans="1:13" s="70" customFormat="1" ht="12.75" customHeight="1" x14ac:dyDescent="0.2">
      <c r="A96" s="24"/>
      <c r="B96" s="1"/>
      <c r="C96" s="50" t="s">
        <v>71</v>
      </c>
      <c r="D96" s="55">
        <f>+J95+L95</f>
        <v>15379.390000000001</v>
      </c>
      <c r="E96" s="55">
        <f>+K95</f>
        <v>14443.37</v>
      </c>
      <c r="F96" s="55">
        <f>+D96-E96</f>
        <v>936.02000000000044</v>
      </c>
      <c r="G96" s="55">
        <f>1500+700-F96</f>
        <v>1263.9799999999996</v>
      </c>
      <c r="I96" s="2"/>
      <c r="J96" s="118">
        <f>SUM(J93:J95)</f>
        <v>1554.12</v>
      </c>
      <c r="K96" s="118">
        <f>SUM(K93:K95)</f>
        <v>19092.77</v>
      </c>
      <c r="L96" s="118">
        <f>SUM(L93:L95)</f>
        <v>18936.45</v>
      </c>
      <c r="M96" s="118">
        <f>SUM(M93:M95)</f>
        <v>1397.8000000000011</v>
      </c>
    </row>
    <row r="97" spans="1:14" s="70" customFormat="1" ht="12.75" customHeight="1" x14ac:dyDescent="0.2">
      <c r="A97" s="24"/>
      <c r="B97" s="1"/>
      <c r="C97" s="14"/>
      <c r="D97" s="56"/>
      <c r="E97" s="13"/>
      <c r="F97" s="2"/>
      <c r="G97" s="30"/>
    </row>
    <row r="98" spans="1:14" s="70" customFormat="1" ht="12.75" customHeight="1" x14ac:dyDescent="0.2">
      <c r="A98" s="215" t="s">
        <v>80</v>
      </c>
      <c r="B98" s="216"/>
      <c r="C98" s="216"/>
      <c r="D98" s="217"/>
      <c r="E98" s="69"/>
      <c r="G98" s="30"/>
    </row>
    <row r="99" spans="1:14" s="70" customFormat="1" ht="12.75" customHeight="1" x14ac:dyDescent="0.2">
      <c r="A99" s="71" t="s">
        <v>81</v>
      </c>
      <c r="B99" s="71"/>
      <c r="C99" s="72" t="s">
        <v>82</v>
      </c>
      <c r="D99" s="73" t="s">
        <v>83</v>
      </c>
      <c r="E99" s="69"/>
      <c r="G99" s="30"/>
    </row>
    <row r="100" spans="1:14" s="70" customFormat="1" ht="12.75" customHeight="1" x14ac:dyDescent="0.2">
      <c r="A100" s="87">
        <v>45203</v>
      </c>
      <c r="B100" s="120" t="s">
        <v>1052</v>
      </c>
      <c r="C100" s="75" t="s">
        <v>18</v>
      </c>
      <c r="D100" s="88">
        <v>193358.43</v>
      </c>
      <c r="E100" s="2"/>
      <c r="F100" s="2"/>
      <c r="G100" s="30"/>
      <c r="H100" s="2"/>
      <c r="I100" s="2"/>
      <c r="J100" s="2"/>
      <c r="K100" s="2"/>
      <c r="L100" s="41"/>
      <c r="M100" s="42"/>
      <c r="N100" s="2"/>
    </row>
    <row r="101" spans="1:14" s="70" customFormat="1" ht="12.75" customHeight="1" x14ac:dyDescent="0.2">
      <c r="A101" s="87">
        <v>45203</v>
      </c>
      <c r="B101" s="120" t="s">
        <v>1052</v>
      </c>
      <c r="C101" s="75" t="s">
        <v>270</v>
      </c>
      <c r="D101" s="88">
        <v>254277</v>
      </c>
      <c r="E101" s="2"/>
      <c r="F101" s="2"/>
      <c r="G101" s="30"/>
      <c r="H101" s="2"/>
      <c r="I101" s="2"/>
      <c r="J101" s="2"/>
      <c r="K101" s="2"/>
      <c r="L101" s="41"/>
      <c r="M101" s="42"/>
      <c r="N101" s="2"/>
    </row>
    <row r="102" spans="1:14" s="70" customFormat="1" ht="12.75" customHeight="1" x14ac:dyDescent="0.2">
      <c r="A102" s="87">
        <v>45204</v>
      </c>
      <c r="B102" s="120" t="s">
        <v>1052</v>
      </c>
      <c r="C102" s="75" t="s">
        <v>85</v>
      </c>
      <c r="D102" s="88">
        <v>765297</v>
      </c>
      <c r="E102" s="2"/>
      <c r="F102" s="2"/>
      <c r="G102" s="30"/>
      <c r="H102" s="2"/>
      <c r="I102" s="2"/>
      <c r="J102" s="2"/>
      <c r="K102" s="2"/>
      <c r="L102" s="41"/>
      <c r="M102" s="42"/>
      <c r="N102" s="2"/>
    </row>
    <row r="103" spans="1:14" s="2" customFormat="1" x14ac:dyDescent="0.2">
      <c r="A103" s="87"/>
      <c r="B103" s="74"/>
      <c r="C103" s="75"/>
      <c r="D103" s="51">
        <f>SUM(D100:D102)</f>
        <v>1212932.43</v>
      </c>
      <c r="F103" s="2" t="s">
        <v>396</v>
      </c>
      <c r="G103" s="1"/>
    </row>
    <row r="104" spans="1:14" s="2" customFormat="1" x14ac:dyDescent="0.2">
      <c r="A104" s="24"/>
      <c r="B104" s="1"/>
      <c r="C104" s="14"/>
      <c r="D104" s="56"/>
      <c r="E104" s="13"/>
      <c r="G104" s="1"/>
    </row>
    <row r="105" spans="1:14" s="2" customFormat="1" x14ac:dyDescent="0.2">
      <c r="A105" s="24"/>
      <c r="B105" s="1"/>
      <c r="C105" s="218" t="s">
        <v>77</v>
      </c>
      <c r="D105" s="219"/>
      <c r="E105" s="219"/>
      <c r="F105" s="220"/>
      <c r="H105" s="2" t="s">
        <v>396</v>
      </c>
    </row>
    <row r="106" spans="1:14" s="2" customFormat="1" x14ac:dyDescent="0.2">
      <c r="A106" s="24"/>
      <c r="B106" s="1"/>
      <c r="C106" s="50"/>
      <c r="D106" s="57" t="s">
        <v>78</v>
      </c>
      <c r="E106" s="58" t="s">
        <v>79</v>
      </c>
      <c r="F106" s="57" t="s">
        <v>72</v>
      </c>
      <c r="H106" s="2" t="s">
        <v>396</v>
      </c>
    </row>
    <row r="107" spans="1:14" s="2" customFormat="1" x14ac:dyDescent="0.2">
      <c r="A107" s="24"/>
      <c r="B107" s="1"/>
      <c r="C107" s="59" t="str">
        <f>"01-10-2023 to "&amp;TEXT(A5-2,"dd-mm-yyyy")</f>
        <v>01-10-2023 to 03-10-2023</v>
      </c>
      <c r="D107" s="60">
        <v>69.42</v>
      </c>
      <c r="E107" s="60">
        <v>8.02</v>
      </c>
      <c r="F107" s="61">
        <f>SUM(D107:E107)</f>
        <v>77.44</v>
      </c>
    </row>
    <row r="108" spans="1:14" s="2" customFormat="1" x14ac:dyDescent="0.2">
      <c r="A108" s="24"/>
      <c r="B108" s="1"/>
      <c r="C108" s="62" t="str">
        <f>TEXT(A5-1,"dd-mm-yyyy")</f>
        <v>04-10-2023</v>
      </c>
      <c r="D108" s="60">
        <v>81.93</v>
      </c>
      <c r="E108" s="60">
        <v>15.19</v>
      </c>
      <c r="F108" s="61">
        <f>SUM(D108:E108)</f>
        <v>97.12</v>
      </c>
      <c r="G108" s="1"/>
      <c r="H108" s="53"/>
    </row>
    <row r="109" spans="1:14" s="2" customFormat="1" ht="13.5" thickBot="1" x14ac:dyDescent="0.25">
      <c r="A109" s="24"/>
      <c r="B109" s="1"/>
      <c r="C109" s="63" t="str">
        <f>"01-10-2023 to "&amp;TEXT(A5-1,"dd-mm-yyyy")</f>
        <v>01-10-2023 to 04-10-2023</v>
      </c>
      <c r="D109" s="64">
        <f>SUM(D107:D108)</f>
        <v>151.35000000000002</v>
      </c>
      <c r="E109" s="64">
        <f>SUM(E107:E108)</f>
        <v>23.21</v>
      </c>
      <c r="F109" s="64">
        <f>SUM(F107:F108)</f>
        <v>174.56</v>
      </c>
      <c r="G109" s="1"/>
      <c r="H109" s="53"/>
    </row>
    <row r="110" spans="1:14" s="2" customFormat="1" ht="13.5" thickTop="1" x14ac:dyDescent="0.2">
      <c r="A110" s="24"/>
      <c r="B110" s="1"/>
      <c r="C110" s="62"/>
      <c r="D110" s="65"/>
      <c r="E110" s="66"/>
      <c r="F110" s="67"/>
      <c r="L110" s="1"/>
      <c r="M110" s="1"/>
    </row>
    <row r="111" spans="1:14" s="2" customFormat="1" x14ac:dyDescent="0.2">
      <c r="A111" s="24"/>
      <c r="B111" s="1"/>
      <c r="C111" s="62" t="str">
        <f>"01-04-2023 to " &amp;C108</f>
        <v>01-04-2023 to 04-10-2023</v>
      </c>
      <c r="D111" s="68">
        <f>+D109+27003.42</f>
        <v>27154.769999999997</v>
      </c>
      <c r="E111" s="68">
        <f>+E109+2028.43</f>
        <v>2051.64</v>
      </c>
      <c r="F111" s="68">
        <f>+F109+29031.85</f>
        <v>29206.41</v>
      </c>
      <c r="G111" s="1"/>
      <c r="L111" s="1"/>
      <c r="M111" s="1"/>
    </row>
    <row r="112" spans="1:14" s="2" customFormat="1" x14ac:dyDescent="0.2">
      <c r="A112" s="24"/>
      <c r="B112" s="1"/>
      <c r="C112" s="52"/>
      <c r="D112" s="85"/>
      <c r="E112" s="53"/>
      <c r="F112" s="53"/>
      <c r="G112" s="1"/>
      <c r="L112" s="1"/>
      <c r="M112" s="1"/>
    </row>
    <row r="113" spans="1:13" s="2" customFormat="1" x14ac:dyDescent="0.2">
      <c r="A113" s="24"/>
      <c r="B113" s="1"/>
      <c r="C113" s="52"/>
      <c r="D113" s="85"/>
      <c r="E113" s="53"/>
      <c r="F113" s="53"/>
      <c r="G113" s="1"/>
      <c r="L113" s="1"/>
      <c r="M113" s="1"/>
    </row>
    <row r="114" spans="1:13" s="2" customFormat="1" x14ac:dyDescent="0.2">
      <c r="A114" s="24"/>
      <c r="B114" s="1"/>
      <c r="C114" s="52"/>
      <c r="D114" s="85"/>
      <c r="E114" s="53"/>
      <c r="F114" s="53"/>
      <c r="G114" s="1"/>
      <c r="L114" s="1"/>
      <c r="M114" s="1"/>
    </row>
    <row r="115" spans="1:13" s="2" customFormat="1" x14ac:dyDescent="0.2">
      <c r="A115" s="24"/>
      <c r="B115" s="1"/>
      <c r="C115" s="52"/>
      <c r="D115" s="85"/>
      <c r="E115" s="53"/>
      <c r="F115" s="53"/>
      <c r="G115" s="1"/>
      <c r="L115" s="1"/>
      <c r="M115" s="1"/>
    </row>
    <row r="116" spans="1:13" s="2" customFormat="1" x14ac:dyDescent="0.2">
      <c r="A116" s="24"/>
      <c r="B116" s="1"/>
      <c r="C116" s="14"/>
      <c r="D116" s="25"/>
      <c r="G116" s="1"/>
      <c r="L116" s="1"/>
      <c r="M116" s="1"/>
    </row>
    <row r="117" spans="1:13" s="2" customFormat="1" x14ac:dyDescent="0.2">
      <c r="A117" s="24"/>
      <c r="B117" s="1"/>
      <c r="C117" s="14"/>
      <c r="D117" s="25"/>
      <c r="G117" s="1"/>
      <c r="L117" s="1"/>
      <c r="M117" s="1"/>
    </row>
    <row r="118" spans="1:13" s="2" customFormat="1" x14ac:dyDescent="0.2">
      <c r="A118" s="24"/>
      <c r="B118" s="1"/>
      <c r="C118" s="14"/>
      <c r="D118" s="25"/>
      <c r="G118" s="1"/>
      <c r="L118" s="1"/>
      <c r="M118" s="1"/>
    </row>
    <row r="119" spans="1:13" s="2" customFormat="1" x14ac:dyDescent="0.2">
      <c r="A119" s="24"/>
      <c r="B119" s="1"/>
      <c r="C119" s="14"/>
      <c r="D119" s="25"/>
      <c r="G119" s="1"/>
      <c r="L119" s="1"/>
      <c r="M119" s="1"/>
    </row>
    <row r="120" spans="1:13" s="2" customFormat="1" x14ac:dyDescent="0.2">
      <c r="A120" s="24"/>
      <c r="B120" s="1"/>
      <c r="C120" s="14"/>
      <c r="D120" s="25"/>
      <c r="G120" s="1"/>
      <c r="L120" s="1"/>
      <c r="M120" s="1"/>
    </row>
    <row r="121" spans="1:13" s="2" customFormat="1" x14ac:dyDescent="0.2">
      <c r="A121" s="24"/>
      <c r="B121" s="1"/>
      <c r="C121" s="14"/>
      <c r="D121" s="25"/>
      <c r="G121" s="1"/>
      <c r="L121" s="1"/>
      <c r="M121" s="1"/>
    </row>
    <row r="122" spans="1:13" s="2" customFormat="1" x14ac:dyDescent="0.2">
      <c r="A122" s="24"/>
      <c r="B122" s="1"/>
      <c r="C122" s="14"/>
      <c r="D122" s="25"/>
      <c r="G122" s="1"/>
      <c r="L122" s="1"/>
      <c r="M122" s="1"/>
    </row>
    <row r="123" spans="1:13" s="2" customFormat="1" x14ac:dyDescent="0.2">
      <c r="A123" s="24"/>
      <c r="B123" s="1"/>
      <c r="C123" s="14"/>
      <c r="D123" s="25"/>
      <c r="G123" s="1"/>
      <c r="L123" s="1"/>
      <c r="M123" s="1"/>
    </row>
    <row r="124" spans="1:13" s="2" customFormat="1" x14ac:dyDescent="0.2">
      <c r="A124" s="24"/>
      <c r="B124" s="1"/>
      <c r="C124" s="14"/>
      <c r="D124" s="25"/>
      <c r="G124" s="1"/>
      <c r="L124" s="1"/>
      <c r="M124" s="1"/>
    </row>
    <row r="125" spans="1:13" s="2" customFormat="1" x14ac:dyDescent="0.2">
      <c r="A125" s="24"/>
      <c r="B125" s="1"/>
      <c r="C125" s="14"/>
      <c r="D125" s="25"/>
      <c r="G125" s="1"/>
      <c r="L125" s="1"/>
      <c r="M125" s="1"/>
    </row>
    <row r="126" spans="1:13" s="2" customFormat="1" x14ac:dyDescent="0.2">
      <c r="A126" s="24"/>
      <c r="B126" s="1"/>
      <c r="C126" s="14"/>
      <c r="D126" s="25"/>
      <c r="G126" s="1"/>
      <c r="L126" s="1"/>
      <c r="M126" s="1"/>
    </row>
    <row r="127" spans="1:13" s="2" customFormat="1" x14ac:dyDescent="0.2">
      <c r="A127" s="24"/>
      <c r="B127" s="1"/>
      <c r="C127" s="14"/>
      <c r="D127" s="25"/>
      <c r="G127" s="1"/>
      <c r="L127" s="1"/>
      <c r="M127" s="1"/>
    </row>
    <row r="128" spans="1:13" s="2" customFormat="1" x14ac:dyDescent="0.2">
      <c r="A128" s="24"/>
      <c r="B128" s="1"/>
      <c r="C128" s="14"/>
      <c r="D128" s="25"/>
      <c r="G128" s="1"/>
      <c r="L128" s="1"/>
      <c r="M128" s="1"/>
    </row>
    <row r="129" spans="1:14" s="2" customFormat="1" x14ac:dyDescent="0.2">
      <c r="A129" s="24"/>
      <c r="B129" s="1"/>
      <c r="C129" s="14"/>
      <c r="D129" s="25"/>
      <c r="G129" s="1"/>
      <c r="L129" s="1"/>
      <c r="M129" s="1"/>
    </row>
    <row r="130" spans="1:14" s="2" customFormat="1" x14ac:dyDescent="0.2">
      <c r="A130" s="24"/>
      <c r="B130" s="1"/>
      <c r="C130" s="14"/>
      <c r="D130" s="25"/>
      <c r="G130" s="1"/>
      <c r="I130" s="1"/>
      <c r="J130" s="1"/>
      <c r="K130" s="1"/>
      <c r="L130" s="1"/>
      <c r="M130" s="1"/>
    </row>
    <row r="131" spans="1:14" s="2" customFormat="1" x14ac:dyDescent="0.2">
      <c r="A131" s="24"/>
      <c r="B131" s="1"/>
      <c r="C131" s="14"/>
      <c r="D131" s="25"/>
      <c r="G131" s="1"/>
    </row>
    <row r="132" spans="1:14" s="2" customFormat="1" x14ac:dyDescent="0.2">
      <c r="A132" s="24"/>
      <c r="B132" s="1"/>
      <c r="C132" s="14"/>
      <c r="D132" s="25"/>
      <c r="G132" s="1"/>
      <c r="I132" s="1"/>
      <c r="J132" s="1"/>
      <c r="K132" s="1"/>
      <c r="L132" s="1"/>
      <c r="M132" s="1"/>
    </row>
    <row r="133" spans="1:14" s="2" customFormat="1" x14ac:dyDescent="0.2">
      <c r="A133" s="24"/>
      <c r="B133" s="1"/>
      <c r="C133" s="14"/>
      <c r="D133" s="25"/>
      <c r="G133" s="54"/>
      <c r="I133" s="1"/>
      <c r="J133" s="1"/>
      <c r="K133" s="1"/>
      <c r="L133" s="1"/>
      <c r="M133" s="1"/>
    </row>
    <row r="134" spans="1:14" s="2" customFormat="1" x14ac:dyDescent="0.2">
      <c r="A134" s="24"/>
      <c r="B134" s="1"/>
      <c r="C134" s="14"/>
      <c r="D134" s="25"/>
      <c r="G134" s="54"/>
      <c r="I134" s="1"/>
      <c r="J134" s="1"/>
      <c r="K134" s="1"/>
      <c r="L134" s="1"/>
      <c r="M134" s="1"/>
    </row>
    <row r="135" spans="1:14" s="2" customFormat="1" x14ac:dyDescent="0.2">
      <c r="A135" s="24"/>
      <c r="B135" s="1"/>
      <c r="C135" s="14"/>
      <c r="D135" s="25"/>
      <c r="G135" s="54"/>
      <c r="I135" s="1"/>
      <c r="J135" s="1"/>
      <c r="K135" s="1"/>
      <c r="L135" s="1"/>
      <c r="M135" s="1"/>
    </row>
    <row r="136" spans="1:14" s="2" customFormat="1" x14ac:dyDescent="0.2">
      <c r="A136" s="24"/>
      <c r="B136" s="1"/>
      <c r="C136" s="14"/>
      <c r="D136" s="25"/>
      <c r="G136" s="54"/>
      <c r="H136" s="2" t="s">
        <v>396</v>
      </c>
      <c r="I136" s="1"/>
      <c r="J136" s="1"/>
      <c r="K136" s="1"/>
      <c r="L136" s="1"/>
      <c r="M136" s="1"/>
      <c r="N136" s="1"/>
    </row>
    <row r="137" spans="1:14" s="2" customFormat="1" x14ac:dyDescent="0.2">
      <c r="A137" s="24"/>
      <c r="B137" s="1"/>
      <c r="C137" s="14"/>
      <c r="D137" s="25"/>
      <c r="G137" s="54"/>
      <c r="H137" s="53"/>
    </row>
    <row r="138" spans="1:14" s="2" customFormat="1" x14ac:dyDescent="0.2">
      <c r="A138" s="24"/>
      <c r="B138" s="1"/>
      <c r="C138" s="14"/>
      <c r="D138" s="25"/>
      <c r="G138" s="54"/>
      <c r="H138" s="53" t="s">
        <v>396</v>
      </c>
      <c r="I138" s="1"/>
      <c r="J138" s="1"/>
      <c r="K138" s="1"/>
      <c r="L138" s="1"/>
      <c r="M138" s="1"/>
      <c r="N138" s="1"/>
    </row>
    <row r="139" spans="1:14" x14ac:dyDescent="0.2">
      <c r="G139" s="54"/>
      <c r="H139" s="53" t="s">
        <v>396</v>
      </c>
      <c r="J139" s="42"/>
    </row>
    <row r="140" spans="1:14" s="2" customFormat="1" x14ac:dyDescent="0.2">
      <c r="A140" s="24"/>
      <c r="B140" s="1"/>
      <c r="C140" s="14"/>
      <c r="D140" s="25"/>
      <c r="G140" s="54"/>
      <c r="H140" s="53"/>
      <c r="I140" s="101"/>
      <c r="J140" s="1"/>
      <c r="K140" s="1"/>
      <c r="L140" s="1"/>
      <c r="M140" s="1"/>
      <c r="N140" s="1"/>
    </row>
    <row r="141" spans="1:14" x14ac:dyDescent="0.2">
      <c r="G141" s="54"/>
      <c r="H141" s="53"/>
    </row>
    <row r="142" spans="1:14" x14ac:dyDescent="0.2">
      <c r="G142" s="54"/>
      <c r="H142" s="53"/>
    </row>
    <row r="143" spans="1:14" x14ac:dyDescent="0.2">
      <c r="G143" s="54"/>
      <c r="H143" s="53"/>
    </row>
  </sheetData>
  <sheetProtection insertRows="0"/>
  <mergeCells count="6">
    <mergeCell ref="C105:F105"/>
    <mergeCell ref="A1:G1"/>
    <mergeCell ref="A3:F3"/>
    <mergeCell ref="A10:F10"/>
    <mergeCell ref="A28:F28"/>
    <mergeCell ref="A98:D98"/>
  </mergeCells>
  <conditionalFormatting sqref="G95:G96">
    <cfRule type="cellIs" dxfId="283" priority="1" operator="lessThan">
      <formula>0</formula>
    </cfRule>
  </conditionalFormatting>
  <conditionalFormatting sqref="C30">
    <cfRule type="duplicateValues" dxfId="282" priority="2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500-000000000000}">
  <sheetPr codeName="Sheet445">
    <pageSetUpPr fitToPage="1"/>
  </sheetPr>
  <dimension ref="A1:N125"/>
  <sheetViews>
    <sheetView topLeftCell="A13" zoomScaleNormal="100" workbookViewId="0">
      <selection activeCell="E41" sqref="E41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1" ht="20.25" customHeight="1" x14ac:dyDescent="0.4">
      <c r="A1" s="212" t="s">
        <v>1638</v>
      </c>
      <c r="B1" s="212"/>
      <c r="C1" s="212"/>
      <c r="D1" s="212"/>
      <c r="E1" s="212"/>
      <c r="F1" s="212"/>
      <c r="G1" s="212"/>
      <c r="H1" s="112"/>
      <c r="I1" s="112"/>
    </row>
    <row r="2" spans="1:11" ht="12.75" customHeight="1" x14ac:dyDescent="0.4">
      <c r="H2" s="112"/>
      <c r="I2" s="112"/>
    </row>
    <row r="3" spans="1:11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1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1" s="2" customFormat="1" ht="14.25" customHeight="1" x14ac:dyDescent="0.4">
      <c r="A5" s="89">
        <v>45205</v>
      </c>
      <c r="B5" s="9" t="s">
        <v>6</v>
      </c>
      <c r="C5" s="10" t="s">
        <v>7</v>
      </c>
      <c r="D5" s="11"/>
      <c r="E5" s="12">
        <v>3490639.790000001</v>
      </c>
      <c r="F5" s="12"/>
      <c r="G5" s="1"/>
      <c r="H5" s="112"/>
      <c r="I5" s="112"/>
    </row>
    <row r="6" spans="1:11" s="2" customFormat="1" ht="12.75" customHeight="1" x14ac:dyDescent="0.4">
      <c r="D6" s="15" t="s">
        <v>8</v>
      </c>
      <c r="E6" s="16">
        <f>SUM(E5:E5)</f>
        <v>3490639.790000001</v>
      </c>
      <c r="F6" s="16">
        <f>F5</f>
        <v>0</v>
      </c>
      <c r="G6" s="1"/>
      <c r="H6" s="112"/>
      <c r="I6" s="112"/>
    </row>
    <row r="7" spans="1:11" s="2" customFormat="1" ht="12.75" customHeight="1" x14ac:dyDescent="0.4">
      <c r="A7" s="17"/>
      <c r="B7" s="18"/>
      <c r="C7" s="19" t="s">
        <v>9</v>
      </c>
      <c r="D7" s="20"/>
      <c r="E7" s="21">
        <f>+E6-F6</f>
        <v>3490639.790000001</v>
      </c>
      <c r="F7" s="22"/>
      <c r="G7" s="23"/>
      <c r="H7" s="112"/>
      <c r="I7" s="112"/>
      <c r="J7" s="13"/>
    </row>
    <row r="8" spans="1:11" ht="12.75" customHeight="1" x14ac:dyDescent="0.4">
      <c r="H8" s="112"/>
      <c r="I8" s="112"/>
    </row>
    <row r="9" spans="1:11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69">
        <v>90000000</v>
      </c>
      <c r="J9" s="169" t="s">
        <v>1508</v>
      </c>
    </row>
    <row r="10" spans="1:11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69">
        <v>89541552.019999996</v>
      </c>
      <c r="J10" s="169" t="s">
        <v>1509</v>
      </c>
      <c r="K10" s="124"/>
    </row>
    <row r="11" spans="1:11" s="2" customFormat="1" ht="14.25" customHeight="1" x14ac:dyDescent="0.2">
      <c r="A11" s="89">
        <v>45205</v>
      </c>
      <c r="B11" s="9" t="s">
        <v>6</v>
      </c>
      <c r="C11" s="10" t="s">
        <v>7</v>
      </c>
      <c r="D11" s="11"/>
      <c r="F11" s="12">
        <v>89287451.670000017</v>
      </c>
      <c r="G11" s="1"/>
      <c r="H11" s="130" t="s">
        <v>396</v>
      </c>
      <c r="I11" s="169">
        <f>+I9-I10</f>
        <v>458447.98000000417</v>
      </c>
      <c r="J11" s="169" t="s">
        <v>712</v>
      </c>
      <c r="K11" s="165" t="s">
        <v>1512</v>
      </c>
    </row>
    <row r="12" spans="1:11" s="2" customFormat="1" ht="14.25" customHeight="1" x14ac:dyDescent="0.2">
      <c r="A12" s="89">
        <v>45205</v>
      </c>
      <c r="B12" s="9" t="s">
        <v>6</v>
      </c>
      <c r="C12" s="76" t="s">
        <v>1137</v>
      </c>
      <c r="D12" s="11" t="s">
        <v>13</v>
      </c>
      <c r="E12" s="2">
        <v>26550.65</v>
      </c>
      <c r="F12" s="12"/>
      <c r="G12" s="1"/>
      <c r="H12" s="130"/>
      <c r="I12" s="171"/>
      <c r="J12" s="171"/>
      <c r="K12" s="165"/>
    </row>
    <row r="13" spans="1:11" s="2" customFormat="1" ht="14.25" customHeight="1" x14ac:dyDescent="0.2">
      <c r="A13" s="89">
        <v>45205</v>
      </c>
      <c r="B13" s="9" t="s">
        <v>11</v>
      </c>
      <c r="C13" s="76" t="s">
        <v>1137</v>
      </c>
      <c r="D13" s="11" t="s">
        <v>29</v>
      </c>
      <c r="F13" s="12">
        <v>135</v>
      </c>
      <c r="G13" s="1"/>
      <c r="H13" s="130"/>
      <c r="I13" s="171"/>
      <c r="J13" s="171"/>
      <c r="K13" s="165"/>
    </row>
    <row r="14" spans="1:11" s="2" customFormat="1" ht="14.25" customHeight="1" x14ac:dyDescent="0.2">
      <c r="A14" s="89">
        <v>45205</v>
      </c>
      <c r="B14" s="9" t="s">
        <v>11</v>
      </c>
      <c r="C14" s="76" t="s">
        <v>1639</v>
      </c>
      <c r="D14" s="11" t="s">
        <v>29</v>
      </c>
      <c r="F14" s="12">
        <v>31750</v>
      </c>
      <c r="G14" s="1"/>
      <c r="H14" s="130"/>
      <c r="I14" s="171"/>
      <c r="J14" s="171"/>
      <c r="K14" s="165"/>
    </row>
    <row r="15" spans="1:11" s="2" customFormat="1" ht="14.25" customHeight="1" x14ac:dyDescent="0.2">
      <c r="A15" s="89">
        <v>45205</v>
      </c>
      <c r="B15" s="9" t="s">
        <v>11</v>
      </c>
      <c r="C15" s="76" t="s">
        <v>221</v>
      </c>
      <c r="D15" s="11" t="s">
        <v>29</v>
      </c>
      <c r="F15" s="12">
        <v>1850</v>
      </c>
      <c r="G15" s="1"/>
      <c r="H15" s="130"/>
      <c r="I15" s="171"/>
      <c r="J15" s="171"/>
      <c r="K15" s="165"/>
    </row>
    <row r="16" spans="1:11" s="2" customFormat="1" ht="14.25" customHeight="1" x14ac:dyDescent="0.2">
      <c r="A16" s="89">
        <v>45205</v>
      </c>
      <c r="B16" s="9" t="s">
        <v>11</v>
      </c>
      <c r="C16" s="76" t="s">
        <v>222</v>
      </c>
      <c r="D16" s="11" t="s">
        <v>29</v>
      </c>
      <c r="F16" s="12">
        <v>1000</v>
      </c>
      <c r="G16" s="1"/>
      <c r="H16" s="130"/>
      <c r="I16" s="171"/>
      <c r="J16" s="171"/>
      <c r="K16" s="165"/>
    </row>
    <row r="17" spans="1:13" s="2" customFormat="1" ht="14.25" customHeight="1" x14ac:dyDescent="0.2">
      <c r="A17" s="89">
        <v>45205</v>
      </c>
      <c r="B17" s="9" t="s">
        <v>11</v>
      </c>
      <c r="C17" s="76" t="s">
        <v>196</v>
      </c>
      <c r="D17" s="11" t="s">
        <v>29</v>
      </c>
      <c r="F17" s="12">
        <v>62764</v>
      </c>
      <c r="G17" s="1"/>
      <c r="H17" s="130"/>
      <c r="I17" s="171"/>
      <c r="J17" s="171"/>
      <c r="K17" s="165"/>
    </row>
    <row r="18" spans="1:13" s="2" customFormat="1" ht="14.25" customHeight="1" x14ac:dyDescent="0.2">
      <c r="A18" s="89">
        <v>45205</v>
      </c>
      <c r="B18" s="9" t="s">
        <v>11</v>
      </c>
      <c r="C18" s="76" t="s">
        <v>1640</v>
      </c>
      <c r="D18" s="11" t="s">
        <v>29</v>
      </c>
      <c r="F18" s="12">
        <v>11000</v>
      </c>
      <c r="G18" s="1"/>
      <c r="H18" s="130"/>
      <c r="I18" s="171"/>
      <c r="J18" s="171"/>
      <c r="K18" s="165"/>
    </row>
    <row r="19" spans="1:13" s="2" customFormat="1" ht="14.25" customHeight="1" x14ac:dyDescent="0.2">
      <c r="A19" s="89">
        <v>45205</v>
      </c>
      <c r="B19" s="9" t="s">
        <v>11</v>
      </c>
      <c r="C19" s="76" t="s">
        <v>1641</v>
      </c>
      <c r="D19" s="11" t="s">
        <v>29</v>
      </c>
      <c r="F19" s="12">
        <v>18231</v>
      </c>
      <c r="G19" s="1"/>
      <c r="H19" s="130"/>
      <c r="I19" s="171"/>
      <c r="J19" s="171"/>
      <c r="K19" s="165"/>
    </row>
    <row r="20" spans="1:13" s="2" customFormat="1" ht="14.25" customHeight="1" x14ac:dyDescent="0.2">
      <c r="A20" s="89">
        <v>45205</v>
      </c>
      <c r="B20" s="9" t="s">
        <v>11</v>
      </c>
      <c r="C20" s="76" t="s">
        <v>34</v>
      </c>
      <c r="D20" s="11" t="s">
        <v>29</v>
      </c>
      <c r="F20" s="12">
        <v>35000</v>
      </c>
      <c r="G20" s="1"/>
      <c r="H20" s="130"/>
      <c r="I20" s="171"/>
      <c r="J20" s="171"/>
      <c r="K20" s="165"/>
    </row>
    <row r="21" spans="1:13" s="2" customFormat="1" ht="14.25" customHeight="1" x14ac:dyDescent="0.2">
      <c r="A21" s="89">
        <v>45205</v>
      </c>
      <c r="B21" s="9" t="s">
        <v>11</v>
      </c>
      <c r="C21" s="76" t="s">
        <v>1642</v>
      </c>
      <c r="D21" s="11" t="s">
        <v>29</v>
      </c>
      <c r="F21" s="12">
        <v>48380</v>
      </c>
      <c r="G21" s="1"/>
      <c r="H21" s="130"/>
      <c r="I21" s="171"/>
      <c r="J21" s="171"/>
      <c r="K21" s="165"/>
    </row>
    <row r="22" spans="1:13" s="2" customFormat="1" ht="14.25" customHeight="1" x14ac:dyDescent="0.2">
      <c r="A22" s="89">
        <v>45205</v>
      </c>
      <c r="B22" s="9" t="s">
        <v>11</v>
      </c>
      <c r="C22" s="76" t="s">
        <v>1643</v>
      </c>
      <c r="D22" s="11" t="s">
        <v>29</v>
      </c>
      <c r="F22" s="12">
        <v>45430</v>
      </c>
      <c r="G22" s="1"/>
      <c r="H22" s="130"/>
      <c r="I22" s="171"/>
      <c r="J22" s="171"/>
      <c r="K22" s="165"/>
    </row>
    <row r="23" spans="1:13" s="2" customFormat="1" ht="14.25" customHeight="1" x14ac:dyDescent="0.2">
      <c r="A23" s="89">
        <v>45205</v>
      </c>
      <c r="B23" s="9" t="s">
        <v>11</v>
      </c>
      <c r="C23" s="76" t="s">
        <v>345</v>
      </c>
      <c r="D23" s="11" t="s">
        <v>29</v>
      </c>
      <c r="F23" s="12">
        <v>25111</v>
      </c>
      <c r="G23" s="1"/>
      <c r="H23" s="130"/>
      <c r="I23" s="171"/>
      <c r="J23" s="171"/>
      <c r="K23" s="165"/>
    </row>
    <row r="24" spans="1:13" s="2" customFormat="1" ht="14.25" customHeight="1" x14ac:dyDescent="0.2">
      <c r="D24" s="11" t="s">
        <v>8</v>
      </c>
      <c r="E24" s="16">
        <f>SUM(E11:E23)</f>
        <v>26550.65</v>
      </c>
      <c r="F24" s="16">
        <f>SUM(F11:F23)</f>
        <v>89568102.670000017</v>
      </c>
      <c r="G24" s="1"/>
      <c r="H24" s="143"/>
      <c r="I24" s="130"/>
      <c r="J24" s="143"/>
      <c r="K24" s="143"/>
      <c r="L24" s="143"/>
      <c r="M24" s="143"/>
    </row>
    <row r="25" spans="1:13" s="2" customFormat="1" ht="14.25" customHeight="1" x14ac:dyDescent="0.4">
      <c r="A25" s="17"/>
      <c r="B25" s="18"/>
      <c r="C25" s="96" t="s">
        <v>9</v>
      </c>
      <c r="D25" s="20"/>
      <c r="E25" s="21">
        <f>+F24-E24</f>
        <v>89541552.020000011</v>
      </c>
      <c r="G25" s="1"/>
      <c r="I25" s="112"/>
      <c r="J25" s="153" t="s">
        <v>779</v>
      </c>
    </row>
    <row r="26" spans="1:13" s="2" customFormat="1" ht="14.25" customHeight="1" x14ac:dyDescent="0.2">
      <c r="A26" s="36"/>
      <c r="B26" s="28" t="s">
        <v>66</v>
      </c>
      <c r="C26" s="43" t="s">
        <v>1458</v>
      </c>
      <c r="D26" s="43"/>
      <c r="E26" s="12">
        <v>30000000</v>
      </c>
      <c r="F26" s="22"/>
      <c r="G26" s="1"/>
      <c r="I26" s="40">
        <v>89541552.019999996</v>
      </c>
      <c r="J26" s="154">
        <f>I26-E25</f>
        <v>0</v>
      </c>
    </row>
    <row r="27" spans="1:13" s="2" customFormat="1" ht="14.25" customHeight="1" x14ac:dyDescent="0.25">
      <c r="A27" s="36"/>
      <c r="B27" s="28"/>
      <c r="C27" s="44" t="s">
        <v>1541</v>
      </c>
      <c r="D27" s="43"/>
      <c r="E27" s="7">
        <f>+E25+E26</f>
        <v>119541552.02000001</v>
      </c>
      <c r="F27" s="22"/>
      <c r="G27" s="1"/>
      <c r="H27" s="13" t="s">
        <v>1582</v>
      </c>
      <c r="I27" s="13" t="s">
        <v>1583</v>
      </c>
    </row>
    <row r="28" spans="1:13" s="2" customFormat="1" ht="14.25" customHeight="1" x14ac:dyDescent="0.25">
      <c r="A28" s="36"/>
      <c r="B28" s="28"/>
      <c r="C28" s="44" t="s">
        <v>1511</v>
      </c>
      <c r="D28" s="43"/>
      <c r="E28" s="38">
        <f>+I11</f>
        <v>458447.98000000417</v>
      </c>
      <c r="F28" s="22"/>
      <c r="G28" s="1"/>
      <c r="H28" s="2">
        <v>350353</v>
      </c>
      <c r="I28" s="2">
        <v>6952662.5800000001</v>
      </c>
      <c r="J28" s="176">
        <f>H28-I28</f>
        <v>-6602309.5800000001</v>
      </c>
    </row>
    <row r="29" spans="1:13" s="2" customFormat="1" ht="14.25" customHeight="1" x14ac:dyDescent="0.2">
      <c r="A29" s="24"/>
      <c r="B29" s="1"/>
      <c r="C29" s="14"/>
      <c r="D29" s="25"/>
      <c r="G29" s="1"/>
      <c r="I29" s="130"/>
      <c r="J29" s="130"/>
    </row>
    <row r="30" spans="1:13" s="2" customFormat="1" x14ac:dyDescent="0.2">
      <c r="A30" s="214" t="s">
        <v>10</v>
      </c>
      <c r="B30" s="214"/>
      <c r="C30" s="214"/>
      <c r="D30" s="214"/>
      <c r="E30" s="214"/>
      <c r="F30" s="214"/>
      <c r="G30" s="1"/>
      <c r="H30" s="159"/>
      <c r="I30" s="160">
        <f>225000000-75000000</f>
        <v>150000000</v>
      </c>
      <c r="J30" s="160" t="s">
        <v>1506</v>
      </c>
      <c r="K30" s="70"/>
    </row>
    <row r="31" spans="1:13" s="2" customFormat="1" x14ac:dyDescent="0.2">
      <c r="A31" s="26" t="s">
        <v>1</v>
      </c>
      <c r="B31" s="27" t="s">
        <v>2</v>
      </c>
      <c r="C31" s="5"/>
      <c r="D31" s="6" t="s">
        <v>3</v>
      </c>
      <c r="E31" s="7" t="s">
        <v>4</v>
      </c>
      <c r="F31" s="7" t="s">
        <v>5</v>
      </c>
      <c r="G31" s="1"/>
      <c r="H31" s="159"/>
      <c r="I31" s="160">
        <v>115430082.76000001</v>
      </c>
      <c r="J31" s="160" t="s">
        <v>1507</v>
      </c>
      <c r="K31" s="70" t="s">
        <v>1512</v>
      </c>
    </row>
    <row r="32" spans="1:13" s="2" customFormat="1" x14ac:dyDescent="0.2">
      <c r="A32" s="89">
        <v>45205</v>
      </c>
      <c r="B32" s="128" t="s">
        <v>11</v>
      </c>
      <c r="C32" s="29" t="s">
        <v>7</v>
      </c>
      <c r="D32" s="25"/>
      <c r="E32" s="31"/>
      <c r="F32" s="2">
        <v>98753962.310000092</v>
      </c>
      <c r="G32" s="23"/>
      <c r="H32" s="159" t="s">
        <v>1505</v>
      </c>
      <c r="I32" s="160">
        <f>+I30-I31</f>
        <v>34569917.239999995</v>
      </c>
      <c r="J32" s="160"/>
      <c r="K32" s="70"/>
    </row>
    <row r="33" spans="1:14" s="2" customFormat="1" x14ac:dyDescent="0.2">
      <c r="A33" s="89">
        <v>45205</v>
      </c>
      <c r="B33" s="128" t="s">
        <v>6</v>
      </c>
      <c r="C33" s="10" t="s">
        <v>120</v>
      </c>
      <c r="D33" s="11" t="s">
        <v>13</v>
      </c>
      <c r="E33" s="86">
        <v>606383</v>
      </c>
      <c r="F33" s="70"/>
      <c r="G33" s="1"/>
      <c r="N33" s="1"/>
    </row>
    <row r="34" spans="1:14" s="2" customFormat="1" x14ac:dyDescent="0.2">
      <c r="A34" s="89">
        <v>45205</v>
      </c>
      <c r="B34" s="128" t="s">
        <v>6</v>
      </c>
      <c r="C34" s="10" t="s">
        <v>178</v>
      </c>
      <c r="D34" s="11" t="s">
        <v>13</v>
      </c>
      <c r="E34" s="86">
        <v>1000000</v>
      </c>
      <c r="F34" s="70"/>
      <c r="G34" s="1"/>
      <c r="N34" s="1"/>
    </row>
    <row r="35" spans="1:14" s="2" customFormat="1" x14ac:dyDescent="0.2">
      <c r="A35" s="89">
        <v>45205</v>
      </c>
      <c r="B35" s="128" t="s">
        <v>6</v>
      </c>
      <c r="C35" s="10" t="s">
        <v>264</v>
      </c>
      <c r="D35" s="11" t="s">
        <v>13</v>
      </c>
      <c r="E35" s="86">
        <v>2309475</v>
      </c>
      <c r="F35" s="70"/>
      <c r="G35" s="1"/>
      <c r="N35" s="1"/>
    </row>
    <row r="36" spans="1:14" s="2" customFormat="1" x14ac:dyDescent="0.2">
      <c r="A36" s="89">
        <v>45205</v>
      </c>
      <c r="B36" s="128" t="s">
        <v>6</v>
      </c>
      <c r="C36" s="10" t="s">
        <v>19</v>
      </c>
      <c r="D36" s="11" t="s">
        <v>13</v>
      </c>
      <c r="E36" s="86">
        <v>116439</v>
      </c>
      <c r="F36" s="70"/>
      <c r="G36" s="1"/>
      <c r="N36" s="1"/>
    </row>
    <row r="37" spans="1:14" s="2" customFormat="1" x14ac:dyDescent="0.2">
      <c r="A37" s="89">
        <v>45205</v>
      </c>
      <c r="B37" s="128" t="s">
        <v>6</v>
      </c>
      <c r="C37" s="10" t="s">
        <v>316</v>
      </c>
      <c r="D37" s="11" t="s">
        <v>13</v>
      </c>
      <c r="E37" s="86">
        <v>531455</v>
      </c>
      <c r="F37" s="70"/>
      <c r="G37" s="1"/>
      <c r="N37" s="1"/>
    </row>
    <row r="38" spans="1:14" s="2" customFormat="1" x14ac:dyDescent="0.2">
      <c r="A38" s="89">
        <v>45205</v>
      </c>
      <c r="B38" s="128" t="s">
        <v>6</v>
      </c>
      <c r="C38" s="10" t="s">
        <v>992</v>
      </c>
      <c r="D38" s="11" t="s">
        <v>13</v>
      </c>
      <c r="E38" s="86">
        <v>134930</v>
      </c>
      <c r="F38" s="70"/>
      <c r="G38" s="1"/>
      <c r="N38" s="1"/>
    </row>
    <row r="39" spans="1:14" s="2" customFormat="1" x14ac:dyDescent="0.2">
      <c r="A39" s="89">
        <v>45205</v>
      </c>
      <c r="B39" s="128" t="s">
        <v>6</v>
      </c>
      <c r="C39" s="10" t="s">
        <v>656</v>
      </c>
      <c r="D39" s="11" t="s">
        <v>13</v>
      </c>
      <c r="E39" s="86">
        <v>269341</v>
      </c>
      <c r="F39" s="70"/>
      <c r="G39" s="1"/>
      <c r="N39" s="1"/>
    </row>
    <row r="40" spans="1:14" s="2" customFormat="1" x14ac:dyDescent="0.2">
      <c r="A40" s="89">
        <v>45205</v>
      </c>
      <c r="B40" s="128" t="s">
        <v>6</v>
      </c>
      <c r="C40" s="10" t="s">
        <v>1411</v>
      </c>
      <c r="D40" s="11" t="s">
        <v>13</v>
      </c>
      <c r="E40" s="86">
        <v>30000</v>
      </c>
      <c r="F40" s="70"/>
      <c r="G40" s="1"/>
      <c r="N40" s="1"/>
    </row>
    <row r="41" spans="1:14" s="2" customFormat="1" x14ac:dyDescent="0.2">
      <c r="A41" s="89">
        <v>45205</v>
      </c>
      <c r="B41" s="128" t="s">
        <v>6</v>
      </c>
      <c r="C41" s="10" t="s">
        <v>515</v>
      </c>
      <c r="D41" s="11" t="s">
        <v>13</v>
      </c>
      <c r="E41" s="86">
        <v>4566</v>
      </c>
      <c r="F41" s="70"/>
      <c r="G41" s="1"/>
      <c r="N41" s="1"/>
    </row>
    <row r="42" spans="1:14" s="2" customFormat="1" x14ac:dyDescent="0.2">
      <c r="A42" s="89">
        <v>45205</v>
      </c>
      <c r="B42" s="128" t="s">
        <v>11</v>
      </c>
      <c r="C42" s="10" t="s">
        <v>64</v>
      </c>
      <c r="D42" s="11" t="s">
        <v>29</v>
      </c>
      <c r="E42" s="86"/>
      <c r="F42" s="70">
        <v>10708.65</v>
      </c>
      <c r="G42" s="1"/>
      <c r="N42" s="1"/>
    </row>
    <row r="43" spans="1:14" s="2" customFormat="1" x14ac:dyDescent="0.2">
      <c r="A43" s="89">
        <v>45205</v>
      </c>
      <c r="B43" s="128" t="s">
        <v>11</v>
      </c>
      <c r="C43" s="10" t="s">
        <v>199</v>
      </c>
      <c r="D43" s="11" t="s">
        <v>29</v>
      </c>
      <c r="E43" s="86"/>
      <c r="F43" s="70">
        <v>1176631</v>
      </c>
      <c r="G43" s="1"/>
      <c r="N43" s="1"/>
    </row>
    <row r="44" spans="1:14" s="2" customFormat="1" x14ac:dyDescent="0.2">
      <c r="A44" s="89">
        <v>45205</v>
      </c>
      <c r="B44" s="128" t="s">
        <v>11</v>
      </c>
      <c r="C44" s="10" t="s">
        <v>1403</v>
      </c>
      <c r="D44" s="11" t="s">
        <v>29</v>
      </c>
      <c r="E44" s="86"/>
      <c r="F44" s="70">
        <v>1133424</v>
      </c>
      <c r="G44" s="1"/>
      <c r="N44" s="1"/>
    </row>
    <row r="45" spans="1:14" s="2" customFormat="1" x14ac:dyDescent="0.2">
      <c r="A45" s="89">
        <v>45205</v>
      </c>
      <c r="B45" s="128" t="s">
        <v>11</v>
      </c>
      <c r="C45" s="10" t="s">
        <v>1502</v>
      </c>
      <c r="D45" s="11" t="s">
        <v>29</v>
      </c>
      <c r="E45" s="86"/>
      <c r="F45" s="70">
        <v>310803</v>
      </c>
      <c r="G45" s="1"/>
      <c r="N45" s="1"/>
    </row>
    <row r="46" spans="1:14" s="2" customFormat="1" x14ac:dyDescent="0.2">
      <c r="A46" s="89">
        <v>45205</v>
      </c>
      <c r="B46" s="128" t="s">
        <v>11</v>
      </c>
      <c r="C46" s="10" t="s">
        <v>1363</v>
      </c>
      <c r="D46" s="11" t="s">
        <v>29</v>
      </c>
      <c r="E46" s="86"/>
      <c r="F46" s="70">
        <v>3623448</v>
      </c>
      <c r="G46" s="1"/>
      <c r="N46" s="1"/>
    </row>
    <row r="47" spans="1:14" s="2" customFormat="1" x14ac:dyDescent="0.2">
      <c r="A47" s="89">
        <v>45205</v>
      </c>
      <c r="B47" s="128" t="s">
        <v>11</v>
      </c>
      <c r="C47" s="10" t="s">
        <v>279</v>
      </c>
      <c r="D47" s="11" t="s">
        <v>29</v>
      </c>
      <c r="E47" s="86"/>
      <c r="F47" s="70">
        <v>3382611</v>
      </c>
      <c r="G47" s="1"/>
      <c r="N47" s="1"/>
    </row>
    <row r="48" spans="1:14" s="2" customFormat="1" x14ac:dyDescent="0.2">
      <c r="A48" s="89">
        <v>45205</v>
      </c>
      <c r="B48" s="128" t="s">
        <v>11</v>
      </c>
      <c r="C48" s="10" t="s">
        <v>33</v>
      </c>
      <c r="D48" s="11" t="s">
        <v>29</v>
      </c>
      <c r="E48" s="86"/>
      <c r="F48" s="70">
        <v>2884171</v>
      </c>
      <c r="G48" s="1"/>
      <c r="N48" s="1"/>
    </row>
    <row r="49" spans="1:14" s="2" customFormat="1" x14ac:dyDescent="0.2">
      <c r="A49" s="89">
        <v>45205</v>
      </c>
      <c r="B49" s="128" t="s">
        <v>11</v>
      </c>
      <c r="C49" s="10" t="s">
        <v>127</v>
      </c>
      <c r="D49" s="11" t="s">
        <v>29</v>
      </c>
      <c r="E49" s="86"/>
      <c r="F49" s="70">
        <v>9286500</v>
      </c>
      <c r="G49" s="1"/>
      <c r="N49" s="1"/>
    </row>
    <row r="50" spans="1:14" s="2" customFormat="1" x14ac:dyDescent="0.2">
      <c r="A50" s="89">
        <v>45205</v>
      </c>
      <c r="B50" s="128" t="s">
        <v>11</v>
      </c>
      <c r="C50" s="10" t="s">
        <v>181</v>
      </c>
      <c r="D50" s="11" t="s">
        <v>29</v>
      </c>
      <c r="E50" s="86"/>
      <c r="F50" s="70">
        <v>48600</v>
      </c>
      <c r="G50" s="1"/>
      <c r="N50" s="1"/>
    </row>
    <row r="51" spans="1:14" s="13" customFormat="1" x14ac:dyDescent="0.2">
      <c r="A51" s="89">
        <v>45205</v>
      </c>
      <c r="B51" s="128" t="s">
        <v>11</v>
      </c>
      <c r="C51" s="10" t="s">
        <v>561</v>
      </c>
      <c r="D51" s="11" t="s">
        <v>29</v>
      </c>
      <c r="E51" s="86"/>
      <c r="F51" s="70">
        <v>322273</v>
      </c>
      <c r="G51" s="23"/>
      <c r="N51" s="23"/>
    </row>
    <row r="52" spans="1:14" s="2" customFormat="1" x14ac:dyDescent="0.2">
      <c r="A52" s="89">
        <v>45205</v>
      </c>
      <c r="B52" s="128" t="s">
        <v>11</v>
      </c>
      <c r="C52" s="10" t="s">
        <v>189</v>
      </c>
      <c r="D52" s="11" t="s">
        <v>29</v>
      </c>
      <c r="E52" s="86"/>
      <c r="F52" s="70">
        <v>465913</v>
      </c>
      <c r="G52" s="1"/>
      <c r="N52" s="1"/>
    </row>
    <row r="53" spans="1:14" s="2" customFormat="1" x14ac:dyDescent="0.2">
      <c r="A53" s="89">
        <v>45205</v>
      </c>
      <c r="B53" s="128" t="s">
        <v>11</v>
      </c>
      <c r="C53" s="10" t="s">
        <v>367</v>
      </c>
      <c r="D53" s="11" t="s">
        <v>29</v>
      </c>
      <c r="E53" s="86"/>
      <c r="F53" s="70">
        <v>57168.639999999999</v>
      </c>
      <c r="G53" s="1"/>
      <c r="N53" s="1"/>
    </row>
    <row r="54" spans="1:14" s="2" customFormat="1" x14ac:dyDescent="0.2">
      <c r="A54" s="89">
        <v>45205</v>
      </c>
      <c r="B54" s="128" t="s">
        <v>11</v>
      </c>
      <c r="C54" s="10" t="s">
        <v>620</v>
      </c>
      <c r="D54" s="11" t="s">
        <v>29</v>
      </c>
      <c r="E54" s="86"/>
      <c r="F54" s="70">
        <v>5000</v>
      </c>
      <c r="G54" s="1"/>
      <c r="N54" s="1"/>
    </row>
    <row r="55" spans="1:14" s="2" customFormat="1" x14ac:dyDescent="0.2">
      <c r="A55" s="89">
        <v>45205</v>
      </c>
      <c r="B55" s="128" t="s">
        <v>11</v>
      </c>
      <c r="C55" s="10" t="s">
        <v>223</v>
      </c>
      <c r="D55" s="11" t="s">
        <v>29</v>
      </c>
      <c r="E55" s="86"/>
      <c r="F55" s="70">
        <v>5499103</v>
      </c>
      <c r="G55" s="1"/>
      <c r="N55" s="1"/>
    </row>
    <row r="56" spans="1:14" s="2" customFormat="1" x14ac:dyDescent="0.2">
      <c r="A56" s="89">
        <v>45205</v>
      </c>
      <c r="B56" s="128" t="s">
        <v>11</v>
      </c>
      <c r="C56" s="10" t="s">
        <v>16</v>
      </c>
      <c r="D56" s="11" t="s">
        <v>29</v>
      </c>
      <c r="E56" s="86"/>
      <c r="F56" s="70">
        <v>74664.740000000005</v>
      </c>
      <c r="G56" s="1"/>
      <c r="N56" s="1"/>
    </row>
    <row r="57" spans="1:14" s="2" customFormat="1" x14ac:dyDescent="0.2">
      <c r="A57" s="32"/>
      <c r="B57" s="33"/>
      <c r="C57" s="14"/>
      <c r="D57" s="34"/>
      <c r="E57" s="16">
        <f>SUM(E32:E56)</f>
        <v>5002589</v>
      </c>
      <c r="F57" s="16">
        <f>SUM(F32:F56)</f>
        <v>127034981.34000009</v>
      </c>
      <c r="G57" s="1"/>
      <c r="H57" s="1"/>
      <c r="I57" s="38">
        <v>122032392.34</v>
      </c>
      <c r="J57" s="2" t="s">
        <v>396</v>
      </c>
      <c r="K57" s="92">
        <f>E58-I57</f>
        <v>0</v>
      </c>
      <c r="N57" s="1"/>
    </row>
    <row r="58" spans="1:14" s="2" customFormat="1" x14ac:dyDescent="0.2">
      <c r="A58" s="36"/>
      <c r="B58" s="28" t="s">
        <v>11</v>
      </c>
      <c r="C58" s="19" t="s">
        <v>65</v>
      </c>
      <c r="D58" s="37"/>
      <c r="E58" s="38">
        <f>F57-E57</f>
        <v>122032392.34000009</v>
      </c>
      <c r="F58" s="22"/>
      <c r="G58" s="1"/>
      <c r="H58" s="1"/>
      <c r="I58" s="70"/>
      <c r="J58" s="70"/>
      <c r="K58" s="70"/>
      <c r="N58" s="1"/>
    </row>
    <row r="59" spans="1:14" s="2" customFormat="1" x14ac:dyDescent="0.2">
      <c r="A59" s="36"/>
      <c r="B59" s="28" t="s">
        <v>66</v>
      </c>
      <c r="C59" s="19" t="s">
        <v>67</v>
      </c>
      <c r="D59" s="37"/>
      <c r="E59" s="38">
        <v>6500000</v>
      </c>
      <c r="F59" s="22"/>
      <c r="G59" s="1"/>
      <c r="H59" s="70"/>
      <c r="I59" s="70"/>
      <c r="J59" s="70"/>
      <c r="K59" s="70"/>
      <c r="N59" s="1"/>
    </row>
    <row r="60" spans="1:14" s="2" customFormat="1" x14ac:dyDescent="0.2">
      <c r="A60" s="36"/>
      <c r="B60" s="28" t="s">
        <v>66</v>
      </c>
      <c r="C60" s="43" t="s">
        <v>1457</v>
      </c>
      <c r="D60" s="43"/>
      <c r="E60" s="12">
        <f>275000000+75000000</f>
        <v>350000000</v>
      </c>
      <c r="F60" s="22"/>
      <c r="G60" s="1"/>
      <c r="H60" s="70"/>
      <c r="I60" s="45">
        <v>336.67</v>
      </c>
      <c r="J60" s="46"/>
      <c r="K60" s="46"/>
      <c r="N60" s="1"/>
    </row>
    <row r="61" spans="1:14" s="2" customFormat="1" ht="15" x14ac:dyDescent="0.25">
      <c r="A61" s="36"/>
      <c r="B61" s="28"/>
      <c r="C61" s="44" t="s">
        <v>1541</v>
      </c>
      <c r="D61" s="43"/>
      <c r="E61" s="7">
        <f>+E60+E58+E59</f>
        <v>478532392.34000009</v>
      </c>
      <c r="F61" s="22"/>
      <c r="G61" s="1"/>
      <c r="H61" s="103" t="s">
        <v>69</v>
      </c>
      <c r="I61" s="45">
        <v>-140.44999999999999</v>
      </c>
      <c r="J61" s="46"/>
      <c r="K61" s="46"/>
      <c r="N61" s="1"/>
    </row>
    <row r="62" spans="1:14" s="2" customFormat="1" ht="15" x14ac:dyDescent="0.25">
      <c r="A62" s="24"/>
      <c r="B62" s="1"/>
      <c r="C62" s="44" t="s">
        <v>1510</v>
      </c>
      <c r="D62" s="25"/>
      <c r="E62" s="156">
        <f>+I32-E59+H28-I28</f>
        <v>21467607.659999996</v>
      </c>
      <c r="G62" s="1"/>
      <c r="H62" s="35" t="s">
        <v>70</v>
      </c>
      <c r="I62" s="45">
        <v>16.940000000000001</v>
      </c>
      <c r="J62" s="46">
        <f>+I63-D65</f>
        <v>0</v>
      </c>
      <c r="N62" s="1"/>
    </row>
    <row r="63" spans="1:14" s="124" customFormat="1" ht="12.75" customHeight="1" x14ac:dyDescent="0.2">
      <c r="A63" s="24"/>
      <c r="B63" s="1"/>
      <c r="C63" s="56"/>
      <c r="D63" s="56"/>
      <c r="E63" s="104"/>
      <c r="F63" s="2"/>
      <c r="G63" s="166"/>
      <c r="H63" s="70"/>
      <c r="I63" s="49">
        <f>SUM(I60:I62)</f>
        <v>213.16000000000003</v>
      </c>
      <c r="J63" s="46"/>
      <c r="K63" s="46"/>
    </row>
    <row r="64" spans="1:14" s="124" customFormat="1" ht="12.75" customHeight="1" x14ac:dyDescent="0.2">
      <c r="A64" s="24"/>
      <c r="B64" s="1"/>
      <c r="C64" s="78" t="s">
        <v>575</v>
      </c>
      <c r="D64" s="48" t="s">
        <v>576</v>
      </c>
      <c r="E64" s="104"/>
      <c r="F64" s="2"/>
      <c r="G64" s="168"/>
      <c r="H64" s="167"/>
      <c r="I64" s="167"/>
      <c r="J64" s="168"/>
    </row>
    <row r="65" spans="1:13" s="124" customFormat="1" ht="12.75" customHeight="1" x14ac:dyDescent="0.2">
      <c r="A65" s="24"/>
      <c r="B65" s="1"/>
      <c r="C65" s="47" t="s">
        <v>570</v>
      </c>
      <c r="D65" s="111">
        <v>213.16</v>
      </c>
      <c r="E65" s="104"/>
      <c r="F65" s="2"/>
      <c r="G65" s="168"/>
      <c r="H65" s="110" t="s">
        <v>581</v>
      </c>
      <c r="I65" s="167"/>
      <c r="J65" s="168"/>
    </row>
    <row r="66" spans="1:13" s="124" customFormat="1" ht="12.75" customHeight="1" x14ac:dyDescent="0.2">
      <c r="A66" s="24"/>
      <c r="B66" s="1"/>
      <c r="C66" s="47" t="s">
        <v>931</v>
      </c>
      <c r="D66" s="111">
        <v>53.1</v>
      </c>
      <c r="E66" s="104"/>
      <c r="F66" s="2"/>
      <c r="G66" s="168"/>
      <c r="H66" s="110" t="s">
        <v>580</v>
      </c>
      <c r="I66" s="167"/>
      <c r="J66" s="168"/>
    </row>
    <row r="67" spans="1:13" s="124" customFormat="1" ht="12.75" customHeight="1" x14ac:dyDescent="0.2">
      <c r="A67" s="24"/>
      <c r="B67" s="1"/>
      <c r="C67" s="47" t="s">
        <v>572</v>
      </c>
      <c r="D67" s="111">
        <f>+D85/100000</f>
        <v>12.129324299999999</v>
      </c>
      <c r="E67" s="104"/>
      <c r="F67" s="2"/>
      <c r="G67" s="166"/>
      <c r="H67" s="90" t="s">
        <v>587</v>
      </c>
      <c r="I67" s="167"/>
      <c r="J67" s="168"/>
    </row>
    <row r="68" spans="1:13" s="2" customFormat="1" x14ac:dyDescent="0.2">
      <c r="A68" s="24"/>
      <c r="B68" s="1"/>
      <c r="C68" s="108" t="s">
        <v>578</v>
      </c>
      <c r="D68" s="48">
        <f>SUM(D65:D67)</f>
        <v>278.3893243</v>
      </c>
      <c r="E68" s="104"/>
      <c r="G68" s="30"/>
      <c r="I68" s="13"/>
      <c r="J68" s="13"/>
    </row>
    <row r="69" spans="1:13" s="70" customFormat="1" x14ac:dyDescent="0.2">
      <c r="A69" s="24"/>
      <c r="B69" s="1"/>
      <c r="C69" s="47"/>
      <c r="D69" s="107"/>
      <c r="E69" s="104"/>
      <c r="F69" s="2"/>
      <c r="G69" s="30"/>
      <c r="H69" s="2"/>
    </row>
    <row r="70" spans="1:13" s="70" customFormat="1" x14ac:dyDescent="0.2">
      <c r="A70" s="24"/>
      <c r="B70" s="1"/>
      <c r="C70" s="47" t="s">
        <v>932</v>
      </c>
      <c r="D70" s="111">
        <v>0</v>
      </c>
      <c r="E70" s="104"/>
      <c r="F70" s="2"/>
      <c r="G70" s="30"/>
      <c r="H70" s="110" t="s">
        <v>581</v>
      </c>
    </row>
    <row r="71" spans="1:13" s="70" customFormat="1" x14ac:dyDescent="0.2">
      <c r="A71" s="24"/>
      <c r="B71" s="1"/>
      <c r="C71" s="136" t="s">
        <v>1142</v>
      </c>
      <c r="D71" s="111">
        <f>56.31+163.06</f>
        <v>219.37</v>
      </c>
      <c r="E71" s="104"/>
      <c r="F71" s="2"/>
      <c r="G71" s="30"/>
      <c r="H71" s="110" t="s">
        <v>581</v>
      </c>
    </row>
    <row r="72" spans="1:13" s="70" customFormat="1" x14ac:dyDescent="0.2">
      <c r="A72" s="24"/>
      <c r="B72" s="1"/>
      <c r="C72" s="78" t="s">
        <v>579</v>
      </c>
      <c r="D72" s="109">
        <f>D70+D71</f>
        <v>219.37</v>
      </c>
      <c r="E72" s="104"/>
      <c r="F72" s="2"/>
      <c r="G72" s="30"/>
    </row>
    <row r="73" spans="1:13" s="70" customFormat="1" x14ac:dyDescent="0.2">
      <c r="A73" s="24"/>
      <c r="B73" s="1"/>
      <c r="C73" s="105"/>
      <c r="D73" s="106"/>
      <c r="E73" s="104"/>
      <c r="F73" s="2"/>
      <c r="G73" s="30"/>
      <c r="I73" s="2"/>
      <c r="J73" s="114" t="s">
        <v>713</v>
      </c>
      <c r="K73" s="2"/>
      <c r="L73" s="2"/>
      <c r="M73" s="2"/>
    </row>
    <row r="74" spans="1:13" s="70" customFormat="1" x14ac:dyDescent="0.2">
      <c r="A74" s="24"/>
      <c r="B74" s="1"/>
      <c r="C74" s="78" t="s">
        <v>577</v>
      </c>
      <c r="D74" s="109">
        <f>D65+D72</f>
        <v>432.53</v>
      </c>
      <c r="E74" s="104"/>
      <c r="F74" s="2"/>
      <c r="G74" s="30"/>
      <c r="I74" s="113"/>
      <c r="J74" s="113" t="s">
        <v>709</v>
      </c>
      <c r="K74" s="113" t="s">
        <v>710</v>
      </c>
      <c r="L74" s="113" t="s">
        <v>711</v>
      </c>
      <c r="M74" s="113" t="s">
        <v>712</v>
      </c>
    </row>
    <row r="75" spans="1:13" s="70" customFormat="1" x14ac:dyDescent="0.2">
      <c r="A75" s="24"/>
      <c r="B75" s="1"/>
      <c r="C75" s="56"/>
      <c r="D75" s="56"/>
      <c r="E75" s="104"/>
      <c r="F75" s="2"/>
      <c r="G75" s="30"/>
      <c r="I75" s="113" t="s">
        <v>706</v>
      </c>
      <c r="J75" s="115"/>
      <c r="K75" s="115">
        <v>968.99</v>
      </c>
      <c r="L75" s="115">
        <v>968.99</v>
      </c>
      <c r="M75" s="113">
        <f>+J75+L75-K75</f>
        <v>0</v>
      </c>
    </row>
    <row r="76" spans="1:13" s="70" customFormat="1" ht="38.25" x14ac:dyDescent="0.2">
      <c r="A76" s="24"/>
      <c r="B76" s="1"/>
      <c r="C76" s="79" t="str">
        <f>"Particulars ( 01-04-2021 to "&amp;TEXT(A5,"dd-mm-yyyy")&amp;" )"</f>
        <v>Particulars ( 01-04-2021 to 06-10-2023 )</v>
      </c>
      <c r="D76" s="80" t="s">
        <v>73</v>
      </c>
      <c r="E76" s="80" t="s">
        <v>74</v>
      </c>
      <c r="F76" s="81" t="s">
        <v>75</v>
      </c>
      <c r="G76" s="80" t="s">
        <v>76</v>
      </c>
      <c r="I76" s="113" t="s">
        <v>707</v>
      </c>
      <c r="J76" s="115">
        <v>183.1</v>
      </c>
      <c r="K76" s="115">
        <v>3680.41</v>
      </c>
      <c r="L76" s="115">
        <v>3959.09</v>
      </c>
      <c r="M76" s="113">
        <f>+J76+L76-K76</f>
        <v>461.78000000000065</v>
      </c>
    </row>
    <row r="77" spans="1:13" s="70" customFormat="1" x14ac:dyDescent="0.2">
      <c r="A77" s="24"/>
      <c r="B77" s="1"/>
      <c r="C77" s="50" t="s">
        <v>444</v>
      </c>
      <c r="D77" s="55">
        <f>+L75+L76+J76</f>
        <v>5111.18</v>
      </c>
      <c r="E77" s="55">
        <f>+K75+K76</f>
        <v>4649.3999999999996</v>
      </c>
      <c r="F77" s="55">
        <f>+D77-E77</f>
        <v>461.78000000000065</v>
      </c>
      <c r="G77" s="55">
        <f>1500-F77</f>
        <v>1038.2199999999993</v>
      </c>
      <c r="I77" s="113" t="s">
        <v>708</v>
      </c>
      <c r="J77" s="115">
        <v>1371.02</v>
      </c>
      <c r="K77" s="115">
        <v>14443.37</v>
      </c>
      <c r="L77" s="115">
        <v>14008.37</v>
      </c>
      <c r="M77" s="113">
        <f>+J77+L77-K77</f>
        <v>936.02000000000044</v>
      </c>
    </row>
    <row r="78" spans="1:13" s="70" customFormat="1" ht="12.75" customHeight="1" x14ac:dyDescent="0.2">
      <c r="A78" s="24"/>
      <c r="B78" s="1"/>
      <c r="C78" s="50" t="s">
        <v>71</v>
      </c>
      <c r="D78" s="55">
        <f>+J77+L77</f>
        <v>15379.390000000001</v>
      </c>
      <c r="E78" s="55">
        <f>+K77</f>
        <v>14443.37</v>
      </c>
      <c r="F78" s="55">
        <f>+D78-E78</f>
        <v>936.02000000000044</v>
      </c>
      <c r="G78" s="55">
        <f>1500+700-F78</f>
        <v>1263.9799999999996</v>
      </c>
      <c r="I78" s="2"/>
      <c r="J78" s="118">
        <f>SUM(J75:J77)</f>
        <v>1554.12</v>
      </c>
      <c r="K78" s="118">
        <f>SUM(K75:K77)</f>
        <v>19092.77</v>
      </c>
      <c r="L78" s="118">
        <f>SUM(L75:L77)</f>
        <v>18936.45</v>
      </c>
      <c r="M78" s="118">
        <f>SUM(M75:M77)</f>
        <v>1397.8000000000011</v>
      </c>
    </row>
    <row r="79" spans="1:13" s="70" customFormat="1" ht="12.75" customHeight="1" x14ac:dyDescent="0.2">
      <c r="A79" s="24"/>
      <c r="B79" s="1"/>
      <c r="C79" s="14"/>
      <c r="D79" s="56"/>
      <c r="E79" s="13"/>
      <c r="F79" s="2"/>
      <c r="G79" s="30"/>
    </row>
    <row r="80" spans="1:13" s="70" customFormat="1" ht="12.75" customHeight="1" x14ac:dyDescent="0.2">
      <c r="A80" s="215" t="s">
        <v>80</v>
      </c>
      <c r="B80" s="216"/>
      <c r="C80" s="216"/>
      <c r="D80" s="217"/>
      <c r="E80" s="69"/>
      <c r="G80" s="30"/>
    </row>
    <row r="81" spans="1:14" s="70" customFormat="1" ht="12.75" customHeight="1" x14ac:dyDescent="0.2">
      <c r="A81" s="71" t="s">
        <v>81</v>
      </c>
      <c r="B81" s="71"/>
      <c r="C81" s="72" t="s">
        <v>82</v>
      </c>
      <c r="D81" s="73" t="s">
        <v>83</v>
      </c>
      <c r="E81" s="69"/>
      <c r="G81" s="30"/>
    </row>
    <row r="82" spans="1:14" s="70" customFormat="1" ht="12.75" customHeight="1" x14ac:dyDescent="0.2">
      <c r="A82" s="87">
        <v>45203</v>
      </c>
      <c r="B82" s="120" t="s">
        <v>1052</v>
      </c>
      <c r="C82" s="75" t="s">
        <v>18</v>
      </c>
      <c r="D82" s="88">
        <v>193358.43</v>
      </c>
      <c r="E82" s="2"/>
      <c r="F82" s="2"/>
      <c r="G82" s="30"/>
      <c r="H82" s="2"/>
      <c r="I82" s="2"/>
      <c r="J82" s="2"/>
      <c r="K82" s="2"/>
      <c r="L82" s="41"/>
      <c r="M82" s="42"/>
      <c r="N82" s="2"/>
    </row>
    <row r="83" spans="1:14" s="70" customFormat="1" ht="12.75" customHeight="1" x14ac:dyDescent="0.2">
      <c r="A83" s="87">
        <v>45203</v>
      </c>
      <c r="B83" s="120" t="s">
        <v>1052</v>
      </c>
      <c r="C83" s="75" t="s">
        <v>270</v>
      </c>
      <c r="D83" s="88">
        <v>254277</v>
      </c>
      <c r="E83" s="2"/>
      <c r="F83" s="2"/>
      <c r="G83" s="30"/>
      <c r="H83" s="2"/>
      <c r="I83" s="2"/>
      <c r="J83" s="2"/>
      <c r="K83" s="2"/>
      <c r="L83" s="41"/>
      <c r="M83" s="42"/>
      <c r="N83" s="2"/>
    </row>
    <row r="84" spans="1:14" s="70" customFormat="1" ht="12.75" customHeight="1" x14ac:dyDescent="0.2">
      <c r="A84" s="87">
        <v>45204</v>
      </c>
      <c r="B84" s="120" t="s">
        <v>1052</v>
      </c>
      <c r="C84" s="75" t="s">
        <v>85</v>
      </c>
      <c r="D84" s="88">
        <v>765297</v>
      </c>
      <c r="E84" s="2"/>
      <c r="F84" s="2"/>
      <c r="G84" s="30"/>
      <c r="H84" s="2"/>
      <c r="I84" s="2"/>
      <c r="J84" s="2"/>
      <c r="K84" s="2"/>
      <c r="L84" s="41"/>
      <c r="M84" s="42"/>
      <c r="N84" s="2"/>
    </row>
    <row r="85" spans="1:14" s="2" customFormat="1" x14ac:dyDescent="0.2">
      <c r="A85" s="87"/>
      <c r="B85" s="74"/>
      <c r="C85" s="75"/>
      <c r="D85" s="51">
        <f>SUM(D82:D84)</f>
        <v>1212932.43</v>
      </c>
      <c r="F85" s="2" t="s">
        <v>396</v>
      </c>
      <c r="G85" s="1"/>
    </row>
    <row r="86" spans="1:14" s="2" customFormat="1" x14ac:dyDescent="0.2">
      <c r="A86" s="24"/>
      <c r="B86" s="1"/>
      <c r="C86" s="14"/>
      <c r="D86" s="56"/>
      <c r="E86" s="13"/>
      <c r="G86" s="1"/>
    </row>
    <row r="87" spans="1:14" s="2" customFormat="1" x14ac:dyDescent="0.2">
      <c r="A87" s="24"/>
      <c r="B87" s="1"/>
      <c r="C87" s="218" t="s">
        <v>77</v>
      </c>
      <c r="D87" s="219"/>
      <c r="E87" s="219"/>
      <c r="F87" s="220"/>
      <c r="H87" s="2" t="s">
        <v>396</v>
      </c>
    </row>
    <row r="88" spans="1:14" s="2" customFormat="1" x14ac:dyDescent="0.2">
      <c r="A88" s="24"/>
      <c r="B88" s="1"/>
      <c r="C88" s="50"/>
      <c r="D88" s="57" t="s">
        <v>78</v>
      </c>
      <c r="E88" s="58" t="s">
        <v>79</v>
      </c>
      <c r="F88" s="57" t="s">
        <v>72</v>
      </c>
      <c r="H88" s="2" t="s">
        <v>396</v>
      </c>
    </row>
    <row r="89" spans="1:14" s="2" customFormat="1" x14ac:dyDescent="0.2">
      <c r="A89" s="24"/>
      <c r="B89" s="1"/>
      <c r="C89" s="59" t="str">
        <f>"01-10-2023 to "&amp;TEXT(A5-2,"dd-mm-yyyy")</f>
        <v>01-10-2023 to 04-10-2023</v>
      </c>
      <c r="D89" s="60">
        <v>151.35</v>
      </c>
      <c r="E89" s="60">
        <v>23.22</v>
      </c>
      <c r="F89" s="61">
        <f>SUM(D89:E89)</f>
        <v>174.57</v>
      </c>
    </row>
    <row r="90" spans="1:14" s="2" customFormat="1" x14ac:dyDescent="0.2">
      <c r="A90" s="24"/>
      <c r="B90" s="1"/>
      <c r="C90" s="62" t="str">
        <f>TEXT(A5-1,"dd-mm-yyyy")</f>
        <v>05-10-2023</v>
      </c>
      <c r="D90" s="60">
        <v>119.22</v>
      </c>
      <c r="E90" s="60">
        <v>21.56</v>
      </c>
      <c r="F90" s="61">
        <f>SUM(D90:E90)</f>
        <v>140.78</v>
      </c>
      <c r="G90" s="1"/>
      <c r="H90" s="53"/>
    </row>
    <row r="91" spans="1:14" s="2" customFormat="1" ht="13.5" thickBot="1" x14ac:dyDescent="0.25">
      <c r="A91" s="24"/>
      <c r="B91" s="1"/>
      <c r="C91" s="63" t="str">
        <f>"01-10-2023 to "&amp;TEXT(A5-1,"dd-mm-yyyy")</f>
        <v>01-10-2023 to 05-10-2023</v>
      </c>
      <c r="D91" s="64">
        <f>SUM(D89:D90)</f>
        <v>270.57</v>
      </c>
      <c r="E91" s="64">
        <f>SUM(E89:E90)</f>
        <v>44.78</v>
      </c>
      <c r="F91" s="64">
        <f>SUM(F89:F90)</f>
        <v>315.35000000000002</v>
      </c>
      <c r="G91" s="1"/>
      <c r="H91" s="53"/>
    </row>
    <row r="92" spans="1:14" s="2" customFormat="1" ht="13.5" thickTop="1" x14ac:dyDescent="0.2">
      <c r="A92" s="24"/>
      <c r="B92" s="1"/>
      <c r="C92" s="62"/>
      <c r="D92" s="65"/>
      <c r="E92" s="66"/>
      <c r="F92" s="67"/>
      <c r="L92" s="1"/>
      <c r="M92" s="1"/>
    </row>
    <row r="93" spans="1:14" s="2" customFormat="1" x14ac:dyDescent="0.2">
      <c r="A93" s="24"/>
      <c r="B93" s="1"/>
      <c r="C93" s="62" t="str">
        <f>"01-04-2023 to " &amp;C90</f>
        <v>01-04-2023 to 05-10-2023</v>
      </c>
      <c r="D93" s="68">
        <f>+D91+27003.42</f>
        <v>27273.989999999998</v>
      </c>
      <c r="E93" s="68">
        <f>+E91+2028.43</f>
        <v>2073.21</v>
      </c>
      <c r="F93" s="68">
        <f>+F91+29031.85</f>
        <v>29347.199999999997</v>
      </c>
      <c r="G93" s="1"/>
      <c r="L93" s="1"/>
      <c r="M93" s="1"/>
    </row>
    <row r="94" spans="1:14" s="2" customFormat="1" x14ac:dyDescent="0.2">
      <c r="A94" s="24"/>
      <c r="B94" s="1"/>
      <c r="C94" s="52"/>
      <c r="D94" s="85"/>
      <c r="E94" s="53"/>
      <c r="F94" s="53"/>
      <c r="G94" s="1"/>
      <c r="L94" s="1"/>
      <c r="M94" s="1"/>
    </row>
    <row r="95" spans="1:14" s="2" customFormat="1" x14ac:dyDescent="0.2">
      <c r="A95" s="24"/>
      <c r="B95" s="1"/>
      <c r="C95" s="52"/>
      <c r="D95" s="85"/>
      <c r="E95" s="53"/>
      <c r="F95" s="53"/>
      <c r="G95" s="1"/>
      <c r="L95" s="1"/>
      <c r="M95" s="1"/>
    </row>
    <row r="96" spans="1:14" s="2" customFormat="1" x14ac:dyDescent="0.2">
      <c r="A96" s="24"/>
      <c r="B96" s="1"/>
      <c r="C96" s="52"/>
      <c r="D96" s="85"/>
      <c r="E96" s="53"/>
      <c r="F96" s="53"/>
      <c r="G96" s="1"/>
      <c r="L96" s="1"/>
      <c r="M96" s="1"/>
    </row>
    <row r="97" spans="1:13" s="2" customFormat="1" x14ac:dyDescent="0.2">
      <c r="A97" s="24"/>
      <c r="B97" s="1"/>
      <c r="C97" s="52"/>
      <c r="D97" s="85"/>
      <c r="E97" s="53"/>
      <c r="F97" s="53"/>
      <c r="G97" s="1"/>
      <c r="L97" s="1"/>
      <c r="M97" s="1"/>
    </row>
    <row r="98" spans="1:13" s="2" customFormat="1" x14ac:dyDescent="0.2">
      <c r="A98" s="24"/>
      <c r="B98" s="1"/>
      <c r="C98" s="14"/>
      <c r="D98" s="25"/>
      <c r="G98" s="1"/>
      <c r="L98" s="1"/>
      <c r="M98" s="1"/>
    </row>
    <row r="99" spans="1:13" s="2" customFormat="1" x14ac:dyDescent="0.2">
      <c r="A99" s="24"/>
      <c r="B99" s="1"/>
      <c r="C99" s="14"/>
      <c r="D99" s="25"/>
      <c r="G99" s="1"/>
      <c r="L99" s="1"/>
      <c r="M99" s="1"/>
    </row>
    <row r="100" spans="1:13" s="2" customFormat="1" x14ac:dyDescent="0.2">
      <c r="A100" s="24"/>
      <c r="B100" s="1"/>
      <c r="C100" s="14"/>
      <c r="D100" s="25"/>
      <c r="G100" s="1"/>
      <c r="L100" s="1"/>
      <c r="M100" s="1"/>
    </row>
    <row r="101" spans="1:13" s="2" customFormat="1" x14ac:dyDescent="0.2">
      <c r="A101" s="24"/>
      <c r="B101" s="1"/>
      <c r="C101" s="14"/>
      <c r="D101" s="25"/>
      <c r="G101" s="1"/>
      <c r="L101" s="1"/>
      <c r="M101" s="1"/>
    </row>
    <row r="102" spans="1:13" s="2" customFormat="1" x14ac:dyDescent="0.2">
      <c r="A102" s="24"/>
      <c r="B102" s="1"/>
      <c r="C102" s="14"/>
      <c r="D102" s="25"/>
      <c r="G102" s="1"/>
      <c r="L102" s="1"/>
      <c r="M102" s="1"/>
    </row>
    <row r="103" spans="1:13" s="2" customFormat="1" x14ac:dyDescent="0.2">
      <c r="A103" s="24"/>
      <c r="B103" s="1"/>
      <c r="C103" s="14"/>
      <c r="D103" s="25"/>
      <c r="G103" s="1"/>
      <c r="L103" s="1"/>
      <c r="M103" s="1"/>
    </row>
    <row r="104" spans="1:13" s="2" customFormat="1" x14ac:dyDescent="0.2">
      <c r="A104" s="24"/>
      <c r="B104" s="1"/>
      <c r="C104" s="14"/>
      <c r="D104" s="25"/>
      <c r="G104" s="1"/>
      <c r="L104" s="1"/>
      <c r="M104" s="1"/>
    </row>
    <row r="105" spans="1:13" s="2" customFormat="1" x14ac:dyDescent="0.2">
      <c r="A105" s="24"/>
      <c r="B105" s="1"/>
      <c r="C105" s="14"/>
      <c r="D105" s="25"/>
      <c r="G105" s="1"/>
      <c r="L105" s="1"/>
      <c r="M105" s="1"/>
    </row>
    <row r="106" spans="1:13" s="2" customFormat="1" x14ac:dyDescent="0.2">
      <c r="A106" s="24"/>
      <c r="B106" s="1"/>
      <c r="C106" s="14"/>
      <c r="D106" s="25"/>
      <c r="G106" s="1"/>
      <c r="L106" s="1"/>
      <c r="M106" s="1"/>
    </row>
    <row r="107" spans="1:13" s="2" customFormat="1" x14ac:dyDescent="0.2">
      <c r="A107" s="24"/>
      <c r="B107" s="1"/>
      <c r="C107" s="14"/>
      <c r="D107" s="25"/>
      <c r="G107" s="1"/>
      <c r="L107" s="1"/>
      <c r="M107" s="1"/>
    </row>
    <row r="108" spans="1:13" s="2" customFormat="1" x14ac:dyDescent="0.2">
      <c r="A108" s="24"/>
      <c r="B108" s="1"/>
      <c r="C108" s="14"/>
      <c r="D108" s="25"/>
      <c r="G108" s="1"/>
      <c r="L108" s="1"/>
      <c r="M108" s="1"/>
    </row>
    <row r="109" spans="1:13" s="2" customFormat="1" x14ac:dyDescent="0.2">
      <c r="A109" s="24"/>
      <c r="B109" s="1"/>
      <c r="C109" s="14"/>
      <c r="D109" s="25"/>
      <c r="G109" s="1"/>
      <c r="L109" s="1"/>
      <c r="M109" s="1"/>
    </row>
    <row r="110" spans="1:13" s="2" customFormat="1" x14ac:dyDescent="0.2">
      <c r="A110" s="24"/>
      <c r="B110" s="1"/>
      <c r="C110" s="14"/>
      <c r="D110" s="25"/>
      <c r="G110" s="1"/>
      <c r="L110" s="1"/>
      <c r="M110" s="1"/>
    </row>
    <row r="111" spans="1:13" s="2" customFormat="1" x14ac:dyDescent="0.2">
      <c r="A111" s="24"/>
      <c r="B111" s="1"/>
      <c r="C111" s="14"/>
      <c r="D111" s="25"/>
      <c r="G111" s="1"/>
      <c r="L111" s="1"/>
      <c r="M111" s="1"/>
    </row>
    <row r="112" spans="1:13" s="2" customFormat="1" x14ac:dyDescent="0.2">
      <c r="A112" s="24"/>
      <c r="B112" s="1"/>
      <c r="C112" s="14"/>
      <c r="D112" s="25"/>
      <c r="G112" s="1"/>
      <c r="I112" s="1"/>
      <c r="J112" s="1"/>
      <c r="K112" s="1"/>
      <c r="L112" s="1"/>
      <c r="M112" s="1"/>
    </row>
    <row r="113" spans="1:14" s="2" customFormat="1" x14ac:dyDescent="0.2">
      <c r="A113" s="24"/>
      <c r="B113" s="1"/>
      <c r="C113" s="14"/>
      <c r="D113" s="25"/>
      <c r="G113" s="1"/>
    </row>
    <row r="114" spans="1:14" s="2" customFormat="1" x14ac:dyDescent="0.2">
      <c r="A114" s="24"/>
      <c r="B114" s="1"/>
      <c r="C114" s="14"/>
      <c r="D114" s="25"/>
      <c r="G114" s="1"/>
      <c r="I114" s="1"/>
      <c r="J114" s="1"/>
      <c r="K114" s="1"/>
      <c r="L114" s="1"/>
      <c r="M114" s="1"/>
    </row>
    <row r="115" spans="1:14" s="2" customFormat="1" x14ac:dyDescent="0.2">
      <c r="A115" s="24"/>
      <c r="B115" s="1"/>
      <c r="C115" s="14"/>
      <c r="D115" s="25"/>
      <c r="G115" s="54"/>
      <c r="I115" s="1"/>
      <c r="J115" s="1"/>
      <c r="K115" s="1"/>
      <c r="L115" s="1"/>
      <c r="M115" s="1"/>
    </row>
    <row r="116" spans="1:14" s="2" customFormat="1" x14ac:dyDescent="0.2">
      <c r="A116" s="24"/>
      <c r="B116" s="1"/>
      <c r="C116" s="14"/>
      <c r="D116" s="25"/>
      <c r="G116" s="54"/>
      <c r="I116" s="1"/>
      <c r="J116" s="1"/>
      <c r="K116" s="1"/>
      <c r="L116" s="1"/>
      <c r="M116" s="1"/>
    </row>
    <row r="117" spans="1:14" s="2" customFormat="1" x14ac:dyDescent="0.2">
      <c r="A117" s="24"/>
      <c r="B117" s="1"/>
      <c r="C117" s="14"/>
      <c r="D117" s="25"/>
      <c r="G117" s="54"/>
      <c r="I117" s="1"/>
      <c r="J117" s="1"/>
      <c r="K117" s="1"/>
      <c r="L117" s="1"/>
      <c r="M117" s="1"/>
    </row>
    <row r="118" spans="1:14" s="2" customFormat="1" x14ac:dyDescent="0.2">
      <c r="A118" s="24"/>
      <c r="B118" s="1"/>
      <c r="C118" s="14"/>
      <c r="D118" s="25"/>
      <c r="G118" s="54"/>
      <c r="H118" s="2" t="s">
        <v>396</v>
      </c>
      <c r="I118" s="1"/>
      <c r="J118" s="1"/>
      <c r="K118" s="1"/>
      <c r="L118" s="1"/>
      <c r="M118" s="1"/>
      <c r="N118" s="1"/>
    </row>
    <row r="119" spans="1:14" s="2" customFormat="1" x14ac:dyDescent="0.2">
      <c r="A119" s="24"/>
      <c r="B119" s="1"/>
      <c r="C119" s="14"/>
      <c r="D119" s="25"/>
      <c r="G119" s="54"/>
      <c r="H119" s="53"/>
    </row>
    <row r="120" spans="1:14" s="2" customFormat="1" x14ac:dyDescent="0.2">
      <c r="A120" s="24"/>
      <c r="B120" s="1"/>
      <c r="C120" s="14"/>
      <c r="D120" s="25"/>
      <c r="G120" s="54"/>
      <c r="H120" s="53" t="s">
        <v>396</v>
      </c>
      <c r="I120" s="1"/>
      <c r="J120" s="1"/>
      <c r="K120" s="1"/>
      <c r="L120" s="1"/>
      <c r="M120" s="1"/>
      <c r="N120" s="1"/>
    </row>
    <row r="121" spans="1:14" x14ac:dyDescent="0.2">
      <c r="G121" s="54"/>
      <c r="H121" s="53" t="s">
        <v>396</v>
      </c>
      <c r="J121" s="42"/>
    </row>
    <row r="122" spans="1:14" s="2" customFormat="1" x14ac:dyDescent="0.2">
      <c r="A122" s="24"/>
      <c r="B122" s="1"/>
      <c r="C122" s="14"/>
      <c r="D122" s="25"/>
      <c r="G122" s="54"/>
      <c r="H122" s="53"/>
      <c r="I122" s="101"/>
      <c r="J122" s="1"/>
      <c r="K122" s="1"/>
      <c r="L122" s="1"/>
      <c r="M122" s="1"/>
      <c r="N122" s="1"/>
    </row>
    <row r="123" spans="1:14" x14ac:dyDescent="0.2">
      <c r="G123" s="54"/>
      <c r="H123" s="53"/>
    </row>
    <row r="124" spans="1:14" x14ac:dyDescent="0.2">
      <c r="G124" s="54"/>
      <c r="H124" s="53"/>
    </row>
    <row r="125" spans="1:14" x14ac:dyDescent="0.2">
      <c r="G125" s="54"/>
      <c r="H125" s="53"/>
    </row>
  </sheetData>
  <sheetProtection insertRows="0"/>
  <mergeCells count="6">
    <mergeCell ref="C87:F87"/>
    <mergeCell ref="A1:G1"/>
    <mergeCell ref="A3:F3"/>
    <mergeCell ref="A9:F9"/>
    <mergeCell ref="A30:F30"/>
    <mergeCell ref="A80:D80"/>
  </mergeCells>
  <conditionalFormatting sqref="G77:G78">
    <cfRule type="cellIs" dxfId="281" priority="1" operator="lessThan">
      <formula>0</formula>
    </cfRule>
  </conditionalFormatting>
  <conditionalFormatting sqref="C32">
    <cfRule type="duplicateValues" dxfId="280" priority="2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600-000000000000}">
  <sheetPr codeName="Sheet446">
    <pageSetUpPr fitToPage="1"/>
  </sheetPr>
  <dimension ref="A1:N128"/>
  <sheetViews>
    <sheetView topLeftCell="A34" zoomScaleNormal="100" workbookViewId="0">
      <selection activeCell="C48" sqref="C48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1" ht="20.25" customHeight="1" x14ac:dyDescent="0.4">
      <c r="A1" s="212" t="s">
        <v>1644</v>
      </c>
      <c r="B1" s="212"/>
      <c r="C1" s="212"/>
      <c r="D1" s="212"/>
      <c r="E1" s="212"/>
      <c r="F1" s="212"/>
      <c r="G1" s="212"/>
      <c r="H1" s="112"/>
      <c r="I1" s="112"/>
    </row>
    <row r="2" spans="1:11" ht="12.75" customHeight="1" x14ac:dyDescent="0.4">
      <c r="H2" s="112"/>
      <c r="I2" s="112"/>
    </row>
    <row r="3" spans="1:11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1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1" s="2" customFormat="1" ht="14.25" customHeight="1" x14ac:dyDescent="0.4">
      <c r="A5" s="89">
        <v>45206</v>
      </c>
      <c r="B5" s="9" t="s">
        <v>6</v>
      </c>
      <c r="C5" s="10" t="s">
        <v>7</v>
      </c>
      <c r="D5" s="11"/>
      <c r="E5" s="12">
        <v>3490639.790000001</v>
      </c>
      <c r="F5" s="12"/>
      <c r="G5" s="1"/>
      <c r="H5" s="112"/>
      <c r="I5" s="112"/>
    </row>
    <row r="6" spans="1:11" s="2" customFormat="1" ht="14.25" customHeight="1" x14ac:dyDescent="0.4">
      <c r="A6" s="89">
        <v>45206</v>
      </c>
      <c r="B6" s="9" t="s">
        <v>11</v>
      </c>
      <c r="C6" s="10" t="s">
        <v>380</v>
      </c>
      <c r="D6" s="11" t="s">
        <v>29</v>
      </c>
      <c r="E6" s="12"/>
      <c r="F6" s="12">
        <v>2801078</v>
      </c>
      <c r="G6" s="1"/>
      <c r="H6" s="112"/>
      <c r="I6" s="112"/>
    </row>
    <row r="7" spans="1:11" s="2" customFormat="1" ht="12.75" customHeight="1" x14ac:dyDescent="0.4">
      <c r="D7" s="15" t="s">
        <v>8</v>
      </c>
      <c r="E7" s="16">
        <f>SUM(E5:E5)</f>
        <v>3490639.790000001</v>
      </c>
      <c r="F7" s="16">
        <f>SUM(F6)</f>
        <v>2801078</v>
      </c>
      <c r="G7" s="1"/>
      <c r="H7" s="112"/>
      <c r="I7" s="112"/>
    </row>
    <row r="8" spans="1:11" s="2" customFormat="1" ht="12.75" customHeight="1" x14ac:dyDescent="0.4">
      <c r="A8" s="17"/>
      <c r="B8" s="18"/>
      <c r="C8" s="19" t="s">
        <v>9</v>
      </c>
      <c r="D8" s="20"/>
      <c r="E8" s="21">
        <f>+E7-F7</f>
        <v>689561.79000000097</v>
      </c>
      <c r="F8" s="22"/>
      <c r="G8" s="23"/>
      <c r="H8" s="112"/>
      <c r="I8" s="112"/>
      <c r="J8" s="13"/>
    </row>
    <row r="9" spans="1:11" ht="12.75" customHeight="1" x14ac:dyDescent="0.4">
      <c r="H9" s="112"/>
      <c r="I9" s="112"/>
    </row>
    <row r="10" spans="1:11" ht="18" customHeight="1" x14ac:dyDescent="0.4">
      <c r="A10" s="213" t="s">
        <v>1037</v>
      </c>
      <c r="B10" s="213"/>
      <c r="C10" s="213"/>
      <c r="D10" s="213"/>
      <c r="E10" s="213"/>
      <c r="F10" s="213"/>
      <c r="H10" s="112"/>
      <c r="I10" s="169">
        <v>90000000</v>
      </c>
      <c r="J10" s="169" t="s">
        <v>1508</v>
      </c>
    </row>
    <row r="11" spans="1:11" ht="12.75" customHeight="1" x14ac:dyDescent="0.4">
      <c r="A11" s="3" t="s">
        <v>1</v>
      </c>
      <c r="B11" s="4" t="s">
        <v>2</v>
      </c>
      <c r="C11" s="5"/>
      <c r="D11" s="6" t="s">
        <v>3</v>
      </c>
      <c r="E11" s="7" t="s">
        <v>4</v>
      </c>
      <c r="F11" s="7" t="s">
        <v>5</v>
      </c>
      <c r="H11" s="112"/>
      <c r="I11" s="169">
        <v>88347655.170000002</v>
      </c>
      <c r="J11" s="169" t="s">
        <v>1509</v>
      </c>
      <c r="K11" s="124"/>
    </row>
    <row r="12" spans="1:11" s="2" customFormat="1" ht="14.25" customHeight="1" x14ac:dyDescent="0.2">
      <c r="A12" s="89">
        <v>45206</v>
      </c>
      <c r="B12" s="9" t="s">
        <v>6</v>
      </c>
      <c r="C12" s="10" t="s">
        <v>7</v>
      </c>
      <c r="D12" s="11"/>
      <c r="F12" s="12">
        <v>89541552.020000011</v>
      </c>
      <c r="G12" s="1"/>
      <c r="H12" s="130" t="s">
        <v>396</v>
      </c>
      <c r="I12" s="169">
        <f>+I10-I11</f>
        <v>1652344.8299999982</v>
      </c>
      <c r="J12" s="169" t="s">
        <v>712</v>
      </c>
      <c r="K12" s="165" t="s">
        <v>1512</v>
      </c>
    </row>
    <row r="13" spans="1:11" s="2" customFormat="1" ht="14.25" customHeight="1" x14ac:dyDescent="0.2">
      <c r="A13" s="89">
        <v>45206</v>
      </c>
      <c r="B13" s="9" t="s">
        <v>6</v>
      </c>
      <c r="C13" s="76" t="s">
        <v>21</v>
      </c>
      <c r="D13" s="11" t="s">
        <v>13</v>
      </c>
      <c r="E13" s="2">
        <v>200000</v>
      </c>
      <c r="F13" s="12"/>
      <c r="G13" s="1"/>
      <c r="H13" s="130"/>
      <c r="I13" s="171"/>
      <c r="J13" s="171"/>
      <c r="K13" s="165"/>
    </row>
    <row r="14" spans="1:11" s="2" customFormat="1" ht="14.25" customHeight="1" x14ac:dyDescent="0.2">
      <c r="A14" s="89">
        <v>45206</v>
      </c>
      <c r="B14" s="9" t="s">
        <v>11</v>
      </c>
      <c r="C14" s="76" t="s">
        <v>1002</v>
      </c>
      <c r="D14" s="11" t="s">
        <v>13</v>
      </c>
      <c r="E14" s="2">
        <v>9407548.1999999993</v>
      </c>
      <c r="F14" s="12"/>
      <c r="G14" s="1"/>
      <c r="H14" s="130"/>
      <c r="I14" s="171"/>
      <c r="J14" s="171"/>
      <c r="K14" s="165"/>
    </row>
    <row r="15" spans="1:11" s="2" customFormat="1" ht="14.25" customHeight="1" x14ac:dyDescent="0.2">
      <c r="A15" s="89">
        <v>45206</v>
      </c>
      <c r="B15" s="9" t="s">
        <v>11</v>
      </c>
      <c r="C15" s="76" t="s">
        <v>1137</v>
      </c>
      <c r="D15" s="11" t="s">
        <v>29</v>
      </c>
      <c r="F15" s="12">
        <v>165220.35</v>
      </c>
      <c r="G15" s="1"/>
      <c r="H15" s="130"/>
      <c r="I15" s="171"/>
      <c r="J15" s="171"/>
      <c r="K15" s="165"/>
    </row>
    <row r="16" spans="1:11" s="2" customFormat="1" ht="14.25" customHeight="1" x14ac:dyDescent="0.2">
      <c r="A16" s="89">
        <v>45206</v>
      </c>
      <c r="B16" s="9" t="s">
        <v>11</v>
      </c>
      <c r="C16" s="76" t="s">
        <v>1279</v>
      </c>
      <c r="D16" s="11" t="s">
        <v>29</v>
      </c>
      <c r="F16" s="12">
        <v>11600</v>
      </c>
      <c r="G16" s="1"/>
      <c r="H16" s="130"/>
      <c r="I16" s="171"/>
      <c r="J16" s="171"/>
      <c r="K16" s="165"/>
    </row>
    <row r="17" spans="1:13" s="2" customFormat="1" ht="14.25" customHeight="1" x14ac:dyDescent="0.2">
      <c r="A17" s="89">
        <v>45206</v>
      </c>
      <c r="B17" s="9" t="s">
        <v>11</v>
      </c>
      <c r="C17" s="76" t="s">
        <v>1363</v>
      </c>
      <c r="D17" s="11" t="s">
        <v>29</v>
      </c>
      <c r="F17" s="12">
        <v>3094682</v>
      </c>
      <c r="G17" s="1"/>
      <c r="H17" s="130"/>
      <c r="I17" s="171"/>
      <c r="J17" s="171"/>
      <c r="K17" s="165"/>
    </row>
    <row r="18" spans="1:13" s="2" customFormat="1" ht="14.25" customHeight="1" x14ac:dyDescent="0.2">
      <c r="A18" s="89">
        <v>45206</v>
      </c>
      <c r="B18" s="9" t="s">
        <v>11</v>
      </c>
      <c r="C18" s="76" t="s">
        <v>592</v>
      </c>
      <c r="D18" s="11" t="s">
        <v>29</v>
      </c>
      <c r="F18" s="12">
        <v>620969</v>
      </c>
      <c r="G18" s="1"/>
      <c r="H18" s="130"/>
      <c r="I18" s="171"/>
      <c r="J18" s="171"/>
      <c r="K18" s="165"/>
    </row>
    <row r="19" spans="1:13" s="2" customFormat="1" ht="14.25" customHeight="1" x14ac:dyDescent="0.2">
      <c r="A19" s="89">
        <v>45206</v>
      </c>
      <c r="B19" s="9" t="s">
        <v>11</v>
      </c>
      <c r="C19" s="76" t="s">
        <v>1046</v>
      </c>
      <c r="D19" s="11" t="s">
        <v>29</v>
      </c>
      <c r="F19" s="12">
        <v>189669</v>
      </c>
      <c r="G19" s="1"/>
      <c r="H19" s="130"/>
      <c r="I19" s="171"/>
      <c r="J19" s="171"/>
      <c r="K19" s="165"/>
    </row>
    <row r="20" spans="1:13" s="2" customFormat="1" ht="14.25" customHeight="1" x14ac:dyDescent="0.2">
      <c r="A20" s="89">
        <v>45206</v>
      </c>
      <c r="B20" s="9" t="s">
        <v>11</v>
      </c>
      <c r="C20" s="76" t="s">
        <v>1047</v>
      </c>
      <c r="D20" s="11" t="s">
        <v>29</v>
      </c>
      <c r="F20" s="12">
        <v>188569</v>
      </c>
      <c r="G20" s="1"/>
      <c r="H20" s="130"/>
      <c r="I20" s="171"/>
      <c r="J20" s="171"/>
      <c r="K20" s="165"/>
    </row>
    <row r="21" spans="1:13" s="2" customFormat="1" ht="14.25" customHeight="1" x14ac:dyDescent="0.2">
      <c r="A21" s="89">
        <v>45206</v>
      </c>
      <c r="B21" s="9" t="s">
        <v>11</v>
      </c>
      <c r="C21" s="76" t="s">
        <v>486</v>
      </c>
      <c r="D21" s="11" t="s">
        <v>29</v>
      </c>
      <c r="F21" s="12">
        <v>1000000</v>
      </c>
      <c r="G21" s="1"/>
      <c r="H21" s="130"/>
      <c r="I21" s="171"/>
      <c r="J21" s="171"/>
      <c r="K21" s="165"/>
    </row>
    <row r="22" spans="1:13" s="2" customFormat="1" ht="14.25" customHeight="1" x14ac:dyDescent="0.2">
      <c r="A22" s="89">
        <v>45206</v>
      </c>
      <c r="B22" s="9" t="s">
        <v>11</v>
      </c>
      <c r="C22" s="76" t="s">
        <v>591</v>
      </c>
      <c r="D22" s="11" t="s">
        <v>29</v>
      </c>
      <c r="F22" s="12">
        <v>493069</v>
      </c>
      <c r="G22" s="1"/>
      <c r="H22" s="130"/>
      <c r="I22" s="171"/>
      <c r="J22" s="171"/>
      <c r="K22" s="165"/>
    </row>
    <row r="23" spans="1:13" s="2" customFormat="1" ht="14.25" customHeight="1" x14ac:dyDescent="0.2">
      <c r="A23" s="89">
        <v>45206</v>
      </c>
      <c r="B23" s="9" t="s">
        <v>11</v>
      </c>
      <c r="C23" s="76" t="s">
        <v>1303</v>
      </c>
      <c r="D23" s="11" t="s">
        <v>29</v>
      </c>
      <c r="F23" s="12">
        <v>338169</v>
      </c>
      <c r="G23" s="1"/>
      <c r="H23" s="130"/>
      <c r="I23" s="171"/>
      <c r="J23" s="171"/>
      <c r="K23" s="165"/>
    </row>
    <row r="24" spans="1:13" s="2" customFormat="1" ht="14.25" customHeight="1" x14ac:dyDescent="0.2">
      <c r="A24" s="89">
        <v>45206</v>
      </c>
      <c r="B24" s="9" t="s">
        <v>11</v>
      </c>
      <c r="C24" s="76" t="s">
        <v>1304</v>
      </c>
      <c r="D24" s="11" t="s">
        <v>29</v>
      </c>
      <c r="F24" s="12">
        <v>603669</v>
      </c>
      <c r="G24" s="1"/>
      <c r="H24" s="130"/>
      <c r="I24" s="171"/>
      <c r="J24" s="171"/>
      <c r="K24" s="165"/>
    </row>
    <row r="25" spans="1:13" s="2" customFormat="1" ht="14.25" customHeight="1" x14ac:dyDescent="0.2">
      <c r="A25" s="89">
        <v>45206</v>
      </c>
      <c r="B25" s="9" t="s">
        <v>11</v>
      </c>
      <c r="C25" s="76" t="s">
        <v>1305</v>
      </c>
      <c r="D25" s="11" t="s">
        <v>29</v>
      </c>
      <c r="F25" s="12">
        <v>307239</v>
      </c>
      <c r="G25" s="1"/>
      <c r="H25" s="130"/>
      <c r="I25" s="171"/>
      <c r="J25" s="171"/>
      <c r="K25" s="165"/>
    </row>
    <row r="26" spans="1:13" s="2" customFormat="1" ht="14.25" customHeight="1" x14ac:dyDescent="0.2">
      <c r="A26" s="89">
        <v>45206</v>
      </c>
      <c r="B26" s="9" t="s">
        <v>11</v>
      </c>
      <c r="C26" s="76" t="s">
        <v>330</v>
      </c>
      <c r="D26" s="11" t="s">
        <v>29</v>
      </c>
      <c r="F26" s="12">
        <v>1000000</v>
      </c>
      <c r="G26" s="1"/>
      <c r="H26" s="130"/>
      <c r="I26" s="171"/>
      <c r="J26" s="171"/>
      <c r="K26" s="165"/>
    </row>
    <row r="27" spans="1:13" s="2" customFormat="1" ht="14.25" customHeight="1" x14ac:dyDescent="0.2">
      <c r="A27" s="89">
        <v>45206</v>
      </c>
      <c r="B27" s="9" t="s">
        <v>11</v>
      </c>
      <c r="C27" s="76" t="s">
        <v>923</v>
      </c>
      <c r="D27" s="11" t="s">
        <v>29</v>
      </c>
      <c r="F27" s="12">
        <v>300000</v>
      </c>
      <c r="G27" s="1"/>
      <c r="H27" s="130"/>
      <c r="I27" s="171"/>
      <c r="J27" s="171"/>
      <c r="K27" s="165"/>
    </row>
    <row r="28" spans="1:13" s="2" customFormat="1" ht="14.25" customHeight="1" x14ac:dyDescent="0.2">
      <c r="A28" s="89">
        <v>45206</v>
      </c>
      <c r="B28" s="9" t="s">
        <v>11</v>
      </c>
      <c r="C28" s="76" t="s">
        <v>476</v>
      </c>
      <c r="D28" s="11" t="s">
        <v>29</v>
      </c>
      <c r="F28" s="12">
        <v>7524</v>
      </c>
      <c r="G28" s="1"/>
      <c r="H28" s="130"/>
      <c r="I28" s="171"/>
      <c r="J28" s="171"/>
      <c r="K28" s="165"/>
    </row>
    <row r="29" spans="1:13" s="2" customFormat="1" ht="14.25" customHeight="1" x14ac:dyDescent="0.2">
      <c r="A29" s="89">
        <v>45206</v>
      </c>
      <c r="B29" s="9" t="s">
        <v>11</v>
      </c>
      <c r="C29" s="76" t="s">
        <v>826</v>
      </c>
      <c r="D29" s="11" t="s">
        <v>29</v>
      </c>
      <c r="F29" s="12">
        <v>18000</v>
      </c>
      <c r="G29" s="1"/>
      <c r="H29" s="130"/>
      <c r="I29" s="171"/>
      <c r="J29" s="171"/>
      <c r="K29" s="165"/>
    </row>
    <row r="30" spans="1:13" s="2" customFormat="1" ht="14.25" customHeight="1" x14ac:dyDescent="0.2">
      <c r="A30" s="89">
        <v>45206</v>
      </c>
      <c r="B30" s="9" t="s">
        <v>11</v>
      </c>
      <c r="C30" s="76" t="s">
        <v>382</v>
      </c>
      <c r="D30" s="11" t="s">
        <v>29</v>
      </c>
      <c r="F30" s="12">
        <v>75272</v>
      </c>
      <c r="G30" s="1"/>
      <c r="H30" s="130"/>
      <c r="I30" s="171"/>
      <c r="J30" s="171"/>
      <c r="K30" s="165"/>
    </row>
    <row r="31" spans="1:13" s="2" customFormat="1" ht="14.25" customHeight="1" x14ac:dyDescent="0.2">
      <c r="D31" s="11" t="s">
        <v>8</v>
      </c>
      <c r="E31" s="16">
        <f>SUM(E12:E30)</f>
        <v>9607548.1999999993</v>
      </c>
      <c r="F31" s="16">
        <f>SUM(F12:F30)</f>
        <v>97955203.370000005</v>
      </c>
      <c r="G31" s="1"/>
      <c r="H31" s="143"/>
      <c r="I31" s="130"/>
      <c r="J31" s="143"/>
      <c r="K31" s="143"/>
      <c r="L31" s="143"/>
      <c r="M31" s="143"/>
    </row>
    <row r="32" spans="1:13" s="2" customFormat="1" ht="14.25" customHeight="1" x14ac:dyDescent="0.4">
      <c r="A32" s="17"/>
      <c r="B32" s="18"/>
      <c r="C32" s="96" t="s">
        <v>9</v>
      </c>
      <c r="D32" s="20"/>
      <c r="E32" s="21">
        <f>+F31-E31</f>
        <v>88347655.170000002</v>
      </c>
      <c r="G32" s="1"/>
      <c r="I32" s="112"/>
      <c r="J32" s="153" t="s">
        <v>779</v>
      </c>
    </row>
    <row r="33" spans="1:14" s="2" customFormat="1" ht="14.25" customHeight="1" x14ac:dyDescent="0.2">
      <c r="A33" s="36"/>
      <c r="B33" s="28" t="s">
        <v>66</v>
      </c>
      <c r="C33" s="43" t="s">
        <v>1458</v>
      </c>
      <c r="D33" s="43"/>
      <c r="E33" s="12">
        <v>30000000</v>
      </c>
      <c r="F33" s="22"/>
      <c r="G33" s="1"/>
      <c r="I33" s="40">
        <v>88347655.170000002</v>
      </c>
      <c r="J33" s="154">
        <f>I33-E32</f>
        <v>0</v>
      </c>
    </row>
    <row r="34" spans="1:14" s="2" customFormat="1" ht="14.25" customHeight="1" x14ac:dyDescent="0.25">
      <c r="A34" s="36"/>
      <c r="B34" s="28"/>
      <c r="C34" s="44" t="s">
        <v>1541</v>
      </c>
      <c r="D34" s="43"/>
      <c r="E34" s="7">
        <f>+E32+E33</f>
        <v>118347655.17</v>
      </c>
      <c r="F34" s="22"/>
      <c r="G34" s="1"/>
      <c r="H34" s="13" t="s">
        <v>1582</v>
      </c>
      <c r="I34" s="13" t="s">
        <v>1583</v>
      </c>
    </row>
    <row r="35" spans="1:14" s="2" customFormat="1" ht="14.25" customHeight="1" x14ac:dyDescent="0.25">
      <c r="A35" s="36"/>
      <c r="B35" s="28"/>
      <c r="C35" s="44" t="s">
        <v>1511</v>
      </c>
      <c r="D35" s="43"/>
      <c r="E35" s="38">
        <f>+I12</f>
        <v>1652344.8299999982</v>
      </c>
      <c r="F35" s="22"/>
      <c r="G35" s="1"/>
      <c r="H35" s="2">
        <v>1260</v>
      </c>
      <c r="I35" s="2">
        <v>1883142.58</v>
      </c>
      <c r="J35" s="176">
        <f>H35-I35</f>
        <v>-1881882.58</v>
      </c>
    </row>
    <row r="36" spans="1:14" s="2" customFormat="1" ht="14.25" customHeight="1" x14ac:dyDescent="0.2">
      <c r="A36" s="24"/>
      <c r="B36" s="1"/>
      <c r="C36" s="14"/>
      <c r="D36" s="25"/>
      <c r="G36" s="1"/>
      <c r="I36" s="130"/>
      <c r="J36" s="130"/>
    </row>
    <row r="37" spans="1:14" s="2" customFormat="1" x14ac:dyDescent="0.2">
      <c r="A37" s="214" t="s">
        <v>10</v>
      </c>
      <c r="B37" s="214"/>
      <c r="C37" s="214"/>
      <c r="D37" s="214"/>
      <c r="E37" s="214"/>
      <c r="F37" s="214"/>
      <c r="G37" s="1"/>
      <c r="H37" s="159"/>
      <c r="I37" s="160">
        <f>225000000-75000000-50000000</f>
        <v>100000000</v>
      </c>
      <c r="J37" s="160" t="s">
        <v>1506</v>
      </c>
      <c r="K37" s="70"/>
    </row>
    <row r="38" spans="1:14" s="2" customFormat="1" x14ac:dyDescent="0.2">
      <c r="A38" s="26" t="s">
        <v>1</v>
      </c>
      <c r="B38" s="27" t="s">
        <v>2</v>
      </c>
      <c r="C38" s="5"/>
      <c r="D38" s="6" t="s">
        <v>3</v>
      </c>
      <c r="E38" s="7" t="s">
        <v>4</v>
      </c>
      <c r="F38" s="7" t="s">
        <v>5</v>
      </c>
      <c r="G38" s="1"/>
      <c r="H38" s="159"/>
      <c r="I38" s="160">
        <v>65286046.420000002</v>
      </c>
      <c r="J38" s="160" t="s">
        <v>1507</v>
      </c>
      <c r="K38" s="70" t="s">
        <v>1512</v>
      </c>
    </row>
    <row r="39" spans="1:14" s="2" customFormat="1" x14ac:dyDescent="0.2">
      <c r="A39" s="89">
        <v>45206</v>
      </c>
      <c r="B39" s="128" t="s">
        <v>11</v>
      </c>
      <c r="C39" s="29" t="s">
        <v>7</v>
      </c>
      <c r="D39" s="25"/>
      <c r="E39" s="31"/>
      <c r="F39" s="2">
        <v>122032392.34000009</v>
      </c>
      <c r="G39" s="23"/>
      <c r="H39" s="159" t="s">
        <v>1505</v>
      </c>
      <c r="I39" s="160">
        <f>+I37-I38</f>
        <v>34713953.579999998</v>
      </c>
      <c r="J39" s="160"/>
      <c r="K39" s="70"/>
    </row>
    <row r="40" spans="1:14" s="2" customFormat="1" x14ac:dyDescent="0.2">
      <c r="A40" s="89">
        <v>45206</v>
      </c>
      <c r="B40" s="128" t="s">
        <v>6</v>
      </c>
      <c r="C40" s="10" t="s">
        <v>19</v>
      </c>
      <c r="D40" s="11" t="s">
        <v>13</v>
      </c>
      <c r="E40" s="86">
        <v>956301</v>
      </c>
      <c r="F40" s="70"/>
      <c r="G40" s="1"/>
      <c r="N40" s="1"/>
    </row>
    <row r="41" spans="1:14" s="2" customFormat="1" x14ac:dyDescent="0.2">
      <c r="A41" s="89">
        <v>45206</v>
      </c>
      <c r="B41" s="128" t="s">
        <v>6</v>
      </c>
      <c r="C41" s="10" t="s">
        <v>1645</v>
      </c>
      <c r="D41" s="11" t="s">
        <v>13</v>
      </c>
      <c r="E41" s="86">
        <v>1854564</v>
      </c>
      <c r="F41" s="70"/>
      <c r="G41" s="1"/>
      <c r="N41" s="1"/>
    </row>
    <row r="42" spans="1:14" s="2" customFormat="1" x14ac:dyDescent="0.2">
      <c r="A42" s="89">
        <v>45206</v>
      </c>
      <c r="B42" s="128" t="s">
        <v>6</v>
      </c>
      <c r="C42" s="10" t="s">
        <v>237</v>
      </c>
      <c r="D42" s="11" t="s">
        <v>13</v>
      </c>
      <c r="E42" s="86">
        <v>792349</v>
      </c>
      <c r="F42" s="70"/>
      <c r="G42" s="1"/>
      <c r="N42" s="1"/>
    </row>
    <row r="43" spans="1:14" s="2" customFormat="1" x14ac:dyDescent="0.2">
      <c r="A43" s="89">
        <v>45206</v>
      </c>
      <c r="B43" s="128" t="s">
        <v>6</v>
      </c>
      <c r="C43" s="10" t="s">
        <v>223</v>
      </c>
      <c r="D43" s="11" t="s">
        <v>13</v>
      </c>
      <c r="E43" s="86">
        <v>650</v>
      </c>
      <c r="F43" s="70"/>
      <c r="G43" s="1"/>
      <c r="N43" s="1"/>
    </row>
    <row r="44" spans="1:14" s="2" customFormat="1" x14ac:dyDescent="0.2">
      <c r="A44" s="89">
        <v>45206</v>
      </c>
      <c r="B44" s="128" t="s">
        <v>6</v>
      </c>
      <c r="C44" s="10" t="s">
        <v>474</v>
      </c>
      <c r="D44" s="11" t="s">
        <v>13</v>
      </c>
      <c r="E44" s="86">
        <v>227137</v>
      </c>
      <c r="F44" s="70"/>
      <c r="G44" s="1"/>
      <c r="N44" s="1"/>
    </row>
    <row r="45" spans="1:14" s="2" customFormat="1" x14ac:dyDescent="0.2">
      <c r="A45" s="89">
        <v>45206</v>
      </c>
      <c r="B45" s="128" t="s">
        <v>6</v>
      </c>
      <c r="C45" s="10" t="s">
        <v>366</v>
      </c>
      <c r="D45" s="11" t="s">
        <v>13</v>
      </c>
      <c r="E45" s="86">
        <v>8014763</v>
      </c>
      <c r="F45" s="70"/>
      <c r="G45" s="1"/>
      <c r="N45" s="1"/>
    </row>
    <row r="46" spans="1:14" s="2" customFormat="1" x14ac:dyDescent="0.2">
      <c r="A46" s="89">
        <v>45206</v>
      </c>
      <c r="B46" s="128" t="s">
        <v>6</v>
      </c>
      <c r="C46" s="10" t="s">
        <v>761</v>
      </c>
      <c r="D46" s="11" t="s">
        <v>13</v>
      </c>
      <c r="E46" s="86">
        <v>969851</v>
      </c>
      <c r="F46" s="70"/>
      <c r="G46" s="1"/>
      <c r="N46" s="1"/>
    </row>
    <row r="47" spans="1:14" s="2" customFormat="1" x14ac:dyDescent="0.2">
      <c r="A47" s="89">
        <v>45206</v>
      </c>
      <c r="B47" s="128" t="s">
        <v>6</v>
      </c>
      <c r="C47" s="10" t="s">
        <v>1155</v>
      </c>
      <c r="D47" s="11" t="s">
        <v>13</v>
      </c>
      <c r="E47" s="86">
        <v>50000000</v>
      </c>
      <c r="F47" s="70"/>
      <c r="G47" s="1"/>
      <c r="N47" s="1"/>
    </row>
    <row r="48" spans="1:14" s="2" customFormat="1" x14ac:dyDescent="0.2">
      <c r="A48" s="89">
        <v>45206</v>
      </c>
      <c r="B48" s="128" t="s">
        <v>6</v>
      </c>
      <c r="C48" s="10" t="s">
        <v>1265</v>
      </c>
      <c r="D48" s="11" t="s">
        <v>13</v>
      </c>
      <c r="E48" s="86">
        <v>1260</v>
      </c>
      <c r="F48" s="70"/>
      <c r="G48" s="1"/>
      <c r="N48" s="1"/>
    </row>
    <row r="49" spans="1:14" s="2" customFormat="1" x14ac:dyDescent="0.2">
      <c r="A49" s="89">
        <v>45206</v>
      </c>
      <c r="B49" s="128" t="s">
        <v>6</v>
      </c>
      <c r="C49" s="10" t="s">
        <v>332</v>
      </c>
      <c r="D49" s="11" t="s">
        <v>13</v>
      </c>
      <c r="E49" s="86">
        <v>6189</v>
      </c>
      <c r="F49" s="70"/>
      <c r="G49" s="1"/>
      <c r="N49" s="1"/>
    </row>
    <row r="50" spans="1:14" s="2" customFormat="1" x14ac:dyDescent="0.2">
      <c r="A50" s="89">
        <v>45206</v>
      </c>
      <c r="B50" s="128" t="s">
        <v>6</v>
      </c>
      <c r="C50" s="10" t="s">
        <v>325</v>
      </c>
      <c r="D50" s="11" t="s">
        <v>13</v>
      </c>
      <c r="E50" s="86">
        <v>2835</v>
      </c>
      <c r="F50" s="70"/>
      <c r="G50" s="1"/>
      <c r="N50" s="1"/>
    </row>
    <row r="51" spans="1:14" s="2" customFormat="1" x14ac:dyDescent="0.2">
      <c r="A51" s="89">
        <v>45206</v>
      </c>
      <c r="B51" s="128" t="s">
        <v>6</v>
      </c>
      <c r="C51" s="10" t="s">
        <v>364</v>
      </c>
      <c r="D51" s="11" t="s">
        <v>13</v>
      </c>
      <c r="E51" s="86">
        <v>430563</v>
      </c>
      <c r="F51" s="70"/>
      <c r="G51" s="1"/>
      <c r="N51" s="1"/>
    </row>
    <row r="52" spans="1:14" s="2" customFormat="1" x14ac:dyDescent="0.2">
      <c r="A52" s="89">
        <v>45206</v>
      </c>
      <c r="B52" s="128" t="s">
        <v>6</v>
      </c>
      <c r="C52" s="10" t="s">
        <v>15</v>
      </c>
      <c r="D52" s="11" t="s">
        <v>13</v>
      </c>
      <c r="E52" s="86">
        <v>2217.62</v>
      </c>
      <c r="F52" s="70"/>
      <c r="G52" s="1"/>
      <c r="N52" s="1"/>
    </row>
    <row r="53" spans="1:14" s="2" customFormat="1" x14ac:dyDescent="0.2">
      <c r="A53" s="89">
        <v>45206</v>
      </c>
      <c r="B53" s="128" t="s">
        <v>6</v>
      </c>
      <c r="C53" s="10" t="s">
        <v>1403</v>
      </c>
      <c r="D53" s="11" t="s">
        <v>258</v>
      </c>
      <c r="E53" s="86">
        <v>2462744</v>
      </c>
      <c r="F53" s="70"/>
      <c r="G53" s="1"/>
      <c r="N53" s="1"/>
    </row>
    <row r="54" spans="1:14" s="2" customFormat="1" x14ac:dyDescent="0.2">
      <c r="A54" s="89">
        <v>45206</v>
      </c>
      <c r="B54" s="128" t="s">
        <v>11</v>
      </c>
      <c r="C54" s="10" t="s">
        <v>64</v>
      </c>
      <c r="D54" s="11" t="s">
        <v>29</v>
      </c>
      <c r="E54" s="86"/>
      <c r="F54" s="70">
        <v>10336.799999999999</v>
      </c>
      <c r="G54" s="1"/>
      <c r="N54" s="1"/>
    </row>
    <row r="55" spans="1:14" s="2" customFormat="1" x14ac:dyDescent="0.2">
      <c r="A55" s="89">
        <v>45206</v>
      </c>
      <c r="B55" s="128" t="s">
        <v>11</v>
      </c>
      <c r="C55" s="10" t="s">
        <v>199</v>
      </c>
      <c r="D55" s="11" t="s">
        <v>29</v>
      </c>
      <c r="E55" s="86"/>
      <c r="F55" s="70">
        <v>705498</v>
      </c>
      <c r="G55" s="1"/>
      <c r="N55" s="1"/>
    </row>
    <row r="56" spans="1:14" s="2" customFormat="1" x14ac:dyDescent="0.2">
      <c r="A56" s="89">
        <v>45206</v>
      </c>
      <c r="B56" s="128" t="s">
        <v>11</v>
      </c>
      <c r="C56" s="10" t="s">
        <v>156</v>
      </c>
      <c r="D56" s="11" t="s">
        <v>29</v>
      </c>
      <c r="E56" s="86"/>
      <c r="F56" s="70">
        <v>234.82</v>
      </c>
      <c r="G56" s="1"/>
      <c r="N56" s="1"/>
    </row>
    <row r="57" spans="1:14" s="2" customFormat="1" x14ac:dyDescent="0.2">
      <c r="A57" s="89">
        <v>45206</v>
      </c>
      <c r="B57" s="128" t="s">
        <v>11</v>
      </c>
      <c r="C57" s="10" t="s">
        <v>1597</v>
      </c>
      <c r="D57" s="11" t="s">
        <v>29</v>
      </c>
      <c r="E57" s="86"/>
      <c r="F57" s="70">
        <v>133269.66</v>
      </c>
      <c r="G57" s="1"/>
      <c r="N57" s="1"/>
    </row>
    <row r="58" spans="1:14" s="13" customFormat="1" x14ac:dyDescent="0.2">
      <c r="A58" s="89">
        <v>45206</v>
      </c>
      <c r="B58" s="128" t="s">
        <v>11</v>
      </c>
      <c r="C58" s="10" t="s">
        <v>57</v>
      </c>
      <c r="D58" s="11" t="s">
        <v>29</v>
      </c>
      <c r="E58" s="86"/>
      <c r="F58" s="70">
        <v>10000000</v>
      </c>
      <c r="G58" s="23"/>
      <c r="N58" s="23"/>
    </row>
    <row r="59" spans="1:14" s="2" customFormat="1" x14ac:dyDescent="0.2">
      <c r="A59" s="89">
        <v>45206</v>
      </c>
      <c r="B59" s="128" t="s">
        <v>11</v>
      </c>
      <c r="C59" s="10" t="s">
        <v>250</v>
      </c>
      <c r="D59" s="11" t="s">
        <v>29</v>
      </c>
      <c r="E59" s="86"/>
      <c r="F59" s="70">
        <v>7621</v>
      </c>
      <c r="G59" s="1"/>
      <c r="N59" s="1"/>
    </row>
    <row r="60" spans="1:14" s="2" customFormat="1" x14ac:dyDescent="0.2">
      <c r="A60" s="32"/>
      <c r="B60" s="33"/>
      <c r="C60" s="14"/>
      <c r="D60" s="34"/>
      <c r="E60" s="16">
        <f>SUM(E39:E59)</f>
        <v>65721423.619999997</v>
      </c>
      <c r="F60" s="16">
        <f>SUM(F39:F59)</f>
        <v>132889352.62000008</v>
      </c>
      <c r="G60" s="1"/>
      <c r="H60" s="1"/>
      <c r="I60" s="38">
        <v>67167929</v>
      </c>
      <c r="J60" s="2" t="s">
        <v>396</v>
      </c>
      <c r="K60" s="92">
        <f>E61-I60</f>
        <v>0</v>
      </c>
      <c r="N60" s="1"/>
    </row>
    <row r="61" spans="1:14" s="2" customFormat="1" x14ac:dyDescent="0.2">
      <c r="A61" s="36"/>
      <c r="B61" s="28" t="s">
        <v>11</v>
      </c>
      <c r="C61" s="19" t="s">
        <v>65</v>
      </c>
      <c r="D61" s="37"/>
      <c r="E61" s="38">
        <f>F60-E60</f>
        <v>67167929.000000089</v>
      </c>
      <c r="F61" s="22"/>
      <c r="G61" s="1"/>
      <c r="H61" s="1"/>
      <c r="I61" s="70"/>
      <c r="J61" s="70"/>
      <c r="K61" s="70"/>
      <c r="N61" s="1"/>
    </row>
    <row r="62" spans="1:14" s="2" customFormat="1" x14ac:dyDescent="0.2">
      <c r="A62" s="36"/>
      <c r="B62" s="28" t="s">
        <v>66</v>
      </c>
      <c r="C62" s="19" t="s">
        <v>67</v>
      </c>
      <c r="D62" s="37"/>
      <c r="E62" s="38">
        <v>6500000</v>
      </c>
      <c r="F62" s="22"/>
      <c r="G62" s="1"/>
      <c r="H62" s="70"/>
      <c r="I62" s="70"/>
      <c r="J62" s="70"/>
      <c r="K62" s="70"/>
      <c r="N62" s="1"/>
    </row>
    <row r="63" spans="1:14" s="2" customFormat="1" x14ac:dyDescent="0.2">
      <c r="A63" s="36"/>
      <c r="B63" s="28" t="s">
        <v>66</v>
      </c>
      <c r="C63" s="43" t="s">
        <v>1457</v>
      </c>
      <c r="D63" s="43"/>
      <c r="E63" s="12">
        <f>275000000+75000000+50000000</f>
        <v>400000000</v>
      </c>
      <c r="F63" s="22"/>
      <c r="G63" s="1"/>
      <c r="H63" s="70"/>
      <c r="I63" s="45">
        <v>565.29999999999995</v>
      </c>
      <c r="J63" s="46"/>
      <c r="K63" s="46"/>
      <c r="N63" s="1"/>
    </row>
    <row r="64" spans="1:14" s="2" customFormat="1" ht="15" x14ac:dyDescent="0.25">
      <c r="A64" s="36"/>
      <c r="B64" s="28"/>
      <c r="C64" s="44" t="s">
        <v>1541</v>
      </c>
      <c r="D64" s="43"/>
      <c r="E64" s="7">
        <f>+E63+E61+E62</f>
        <v>473667929.00000012</v>
      </c>
      <c r="F64" s="22"/>
      <c r="G64" s="1"/>
      <c r="H64" s="103" t="s">
        <v>69</v>
      </c>
      <c r="I64" s="45">
        <v>-141.96</v>
      </c>
      <c r="J64" s="46"/>
      <c r="K64" s="46"/>
      <c r="N64" s="1"/>
    </row>
    <row r="65" spans="1:14" s="2" customFormat="1" ht="15" x14ac:dyDescent="0.25">
      <c r="A65" s="24"/>
      <c r="B65" s="1"/>
      <c r="C65" s="44" t="s">
        <v>1510</v>
      </c>
      <c r="D65" s="25"/>
      <c r="E65" s="156">
        <f>+I39-E62+H35-I35</f>
        <v>26332071</v>
      </c>
      <c r="G65" s="1"/>
      <c r="H65" s="35" t="s">
        <v>70</v>
      </c>
      <c r="I65" s="45">
        <v>16.940000000000001</v>
      </c>
      <c r="J65" s="46">
        <f>+I66-D68</f>
        <v>0</v>
      </c>
      <c r="N65" s="1"/>
    </row>
    <row r="66" spans="1:14" s="124" customFormat="1" ht="12.75" customHeight="1" x14ac:dyDescent="0.2">
      <c r="A66" s="24"/>
      <c r="B66" s="1"/>
      <c r="C66" s="56"/>
      <c r="D66" s="56"/>
      <c r="E66" s="104"/>
      <c r="F66" s="2"/>
      <c r="G66" s="166"/>
      <c r="H66" s="70"/>
      <c r="I66" s="49">
        <f>SUM(I63:I65)</f>
        <v>440.27999999999992</v>
      </c>
      <c r="J66" s="46"/>
      <c r="K66" s="46"/>
    </row>
    <row r="67" spans="1:14" s="124" customFormat="1" ht="12.75" customHeight="1" x14ac:dyDescent="0.2">
      <c r="A67" s="24"/>
      <c r="B67" s="1"/>
      <c r="C67" s="78" t="s">
        <v>575</v>
      </c>
      <c r="D67" s="48" t="s">
        <v>576</v>
      </c>
      <c r="E67" s="104"/>
      <c r="F67" s="2"/>
      <c r="G67" s="168"/>
      <c r="H67" s="167"/>
      <c r="I67" s="167"/>
      <c r="J67" s="168"/>
    </row>
    <row r="68" spans="1:14" s="124" customFormat="1" ht="12.75" customHeight="1" x14ac:dyDescent="0.2">
      <c r="A68" s="24"/>
      <c r="B68" s="1"/>
      <c r="C68" s="47" t="s">
        <v>570</v>
      </c>
      <c r="D68" s="111">
        <v>440.28</v>
      </c>
      <c r="E68" s="104"/>
      <c r="F68" s="2"/>
      <c r="G68" s="168"/>
      <c r="H68" s="110" t="s">
        <v>581</v>
      </c>
      <c r="I68" s="167"/>
      <c r="J68" s="168"/>
    </row>
    <row r="69" spans="1:14" s="124" customFormat="1" ht="12.75" customHeight="1" x14ac:dyDescent="0.2">
      <c r="A69" s="24"/>
      <c r="B69" s="1"/>
      <c r="C69" s="47" t="s">
        <v>931</v>
      </c>
      <c r="D69" s="111">
        <v>87.25</v>
      </c>
      <c r="E69" s="104"/>
      <c r="F69" s="2"/>
      <c r="G69" s="168"/>
      <c r="H69" s="110" t="s">
        <v>580</v>
      </c>
      <c r="I69" s="167"/>
      <c r="J69" s="168"/>
    </row>
    <row r="70" spans="1:14" s="124" customFormat="1" ht="12.75" customHeight="1" x14ac:dyDescent="0.2">
      <c r="A70" s="24"/>
      <c r="B70" s="1"/>
      <c r="C70" s="47" t="s">
        <v>572</v>
      </c>
      <c r="D70" s="111">
        <f>+D88/100000</f>
        <v>12.129324299999999</v>
      </c>
      <c r="E70" s="104"/>
      <c r="F70" s="2"/>
      <c r="G70" s="166"/>
      <c r="H70" s="90" t="s">
        <v>587</v>
      </c>
      <c r="I70" s="167"/>
      <c r="J70" s="168"/>
    </row>
    <row r="71" spans="1:14" s="2" customFormat="1" x14ac:dyDescent="0.2">
      <c r="A71" s="24"/>
      <c r="B71" s="1"/>
      <c r="C71" s="108" t="s">
        <v>578</v>
      </c>
      <c r="D71" s="48">
        <f>SUM(D68:D70)</f>
        <v>539.65932429999998</v>
      </c>
      <c r="E71" s="104"/>
      <c r="G71" s="30"/>
      <c r="I71" s="13"/>
      <c r="J71" s="13"/>
    </row>
    <row r="72" spans="1:14" s="70" customFormat="1" x14ac:dyDescent="0.2">
      <c r="A72" s="24"/>
      <c r="B72" s="1"/>
      <c r="C72" s="47"/>
      <c r="D72" s="107"/>
      <c r="E72" s="104"/>
      <c r="F72" s="2"/>
      <c r="G72" s="30"/>
      <c r="H72" s="2"/>
    </row>
    <row r="73" spans="1:14" s="70" customFormat="1" x14ac:dyDescent="0.2">
      <c r="A73" s="24"/>
      <c r="B73" s="1"/>
      <c r="C73" s="47" t="s">
        <v>932</v>
      </c>
      <c r="D73" s="111">
        <v>0</v>
      </c>
      <c r="E73" s="104"/>
      <c r="F73" s="2"/>
      <c r="G73" s="30"/>
      <c r="H73" s="110" t="s">
        <v>581</v>
      </c>
    </row>
    <row r="74" spans="1:14" s="70" customFormat="1" x14ac:dyDescent="0.2">
      <c r="A74" s="24"/>
      <c r="B74" s="1"/>
      <c r="C74" s="136" t="s">
        <v>1142</v>
      </c>
      <c r="D74" s="111">
        <f>56.31+163.06</f>
        <v>219.37</v>
      </c>
      <c r="E74" s="104"/>
      <c r="F74" s="2"/>
      <c r="G74" s="30"/>
      <c r="H74" s="110" t="s">
        <v>581</v>
      </c>
    </row>
    <row r="75" spans="1:14" s="70" customFormat="1" x14ac:dyDescent="0.2">
      <c r="A75" s="24"/>
      <c r="B75" s="1"/>
      <c r="C75" s="78" t="s">
        <v>579</v>
      </c>
      <c r="D75" s="109">
        <f>D73+D74</f>
        <v>219.37</v>
      </c>
      <c r="E75" s="104"/>
      <c r="F75" s="2"/>
      <c r="G75" s="30"/>
    </row>
    <row r="76" spans="1:14" s="70" customFormat="1" x14ac:dyDescent="0.2">
      <c r="A76" s="24"/>
      <c r="B76" s="1"/>
      <c r="C76" s="105"/>
      <c r="D76" s="106"/>
      <c r="E76" s="104"/>
      <c r="F76" s="2"/>
      <c r="G76" s="30"/>
      <c r="I76" s="2"/>
      <c r="J76" s="114" t="s">
        <v>713</v>
      </c>
      <c r="K76" s="2"/>
      <c r="L76" s="2"/>
      <c r="M76" s="2"/>
    </row>
    <row r="77" spans="1:14" s="70" customFormat="1" x14ac:dyDescent="0.2">
      <c r="A77" s="24"/>
      <c r="B77" s="1"/>
      <c r="C77" s="78" t="s">
        <v>577</v>
      </c>
      <c r="D77" s="109">
        <f>D68+D75</f>
        <v>659.65</v>
      </c>
      <c r="E77" s="104"/>
      <c r="F77" s="2"/>
      <c r="G77" s="30"/>
      <c r="I77" s="113"/>
      <c r="J77" s="113" t="s">
        <v>709</v>
      </c>
      <c r="K77" s="113" t="s">
        <v>710</v>
      </c>
      <c r="L77" s="113" t="s">
        <v>711</v>
      </c>
      <c r="M77" s="113" t="s">
        <v>712</v>
      </c>
    </row>
    <row r="78" spans="1:14" s="70" customFormat="1" x14ac:dyDescent="0.2">
      <c r="A78" s="24"/>
      <c r="B78" s="1"/>
      <c r="C78" s="56"/>
      <c r="D78" s="56"/>
      <c r="E78" s="104"/>
      <c r="F78" s="2"/>
      <c r="G78" s="30"/>
      <c r="I78" s="113" t="s">
        <v>706</v>
      </c>
      <c r="J78" s="115"/>
      <c r="K78" s="115">
        <v>968.99</v>
      </c>
      <c r="L78" s="115">
        <v>968.99</v>
      </c>
      <c r="M78" s="113">
        <f>+J78+L78-K78</f>
        <v>0</v>
      </c>
    </row>
    <row r="79" spans="1:14" s="70" customFormat="1" ht="38.25" x14ac:dyDescent="0.2">
      <c r="A79" s="24"/>
      <c r="B79" s="1"/>
      <c r="C79" s="79" t="str">
        <f>"Particulars ( 01-04-2021 to "&amp;TEXT(A5,"dd-mm-yyyy")&amp;" )"</f>
        <v>Particulars ( 01-04-2021 to 07-10-2023 )</v>
      </c>
      <c r="D79" s="80" t="s">
        <v>73</v>
      </c>
      <c r="E79" s="80" t="s">
        <v>74</v>
      </c>
      <c r="F79" s="81" t="s">
        <v>75</v>
      </c>
      <c r="G79" s="80" t="s">
        <v>76</v>
      </c>
      <c r="I79" s="113" t="s">
        <v>707</v>
      </c>
      <c r="J79" s="115">
        <v>183.1</v>
      </c>
      <c r="K79" s="115">
        <v>3714.56</v>
      </c>
      <c r="L79" s="115">
        <v>3959.09</v>
      </c>
      <c r="M79" s="113">
        <f>+J79+L79-K79</f>
        <v>427.63000000000056</v>
      </c>
    </row>
    <row r="80" spans="1:14" s="70" customFormat="1" x14ac:dyDescent="0.2">
      <c r="A80" s="24"/>
      <c r="B80" s="1"/>
      <c r="C80" s="50" t="s">
        <v>444</v>
      </c>
      <c r="D80" s="55">
        <f>+L78+L79+J79</f>
        <v>5111.18</v>
      </c>
      <c r="E80" s="55">
        <f>+K78+K79</f>
        <v>4683.55</v>
      </c>
      <c r="F80" s="55">
        <f>+D80-E80</f>
        <v>427.63000000000011</v>
      </c>
      <c r="G80" s="55">
        <f>1500-F80</f>
        <v>1072.3699999999999</v>
      </c>
      <c r="I80" s="113" t="s">
        <v>708</v>
      </c>
      <c r="J80" s="115">
        <v>1371.02</v>
      </c>
      <c r="K80" s="115">
        <v>14443.37</v>
      </c>
      <c r="L80" s="115">
        <v>14008.37</v>
      </c>
      <c r="M80" s="113">
        <f>+J80+L80-K80</f>
        <v>936.02000000000044</v>
      </c>
    </row>
    <row r="81" spans="1:14" s="70" customFormat="1" ht="12.75" customHeight="1" x14ac:dyDescent="0.2">
      <c r="A81" s="24"/>
      <c r="B81" s="1"/>
      <c r="C81" s="50" t="s">
        <v>71</v>
      </c>
      <c r="D81" s="55">
        <f>+J80+L80</f>
        <v>15379.390000000001</v>
      </c>
      <c r="E81" s="55">
        <f>+K80</f>
        <v>14443.37</v>
      </c>
      <c r="F81" s="55">
        <f>+D81-E81</f>
        <v>936.02000000000044</v>
      </c>
      <c r="G81" s="55">
        <f>1500+700-F81</f>
        <v>1263.9799999999996</v>
      </c>
      <c r="I81" s="2"/>
      <c r="J81" s="118">
        <f>SUM(J78:J80)</f>
        <v>1554.12</v>
      </c>
      <c r="K81" s="118">
        <f>SUM(K78:K80)</f>
        <v>19126.920000000002</v>
      </c>
      <c r="L81" s="118">
        <f>SUM(L78:L80)</f>
        <v>18936.45</v>
      </c>
      <c r="M81" s="118">
        <f>SUM(M78:M80)</f>
        <v>1363.650000000001</v>
      </c>
    </row>
    <row r="82" spans="1:14" s="70" customFormat="1" ht="12.75" customHeight="1" x14ac:dyDescent="0.2">
      <c r="A82" s="24"/>
      <c r="B82" s="1"/>
      <c r="C82" s="14"/>
      <c r="D82" s="56"/>
      <c r="E82" s="13"/>
      <c r="F82" s="2"/>
      <c r="G82" s="30"/>
    </row>
    <row r="83" spans="1:14" s="70" customFormat="1" ht="12.75" customHeight="1" x14ac:dyDescent="0.2">
      <c r="A83" s="215" t="s">
        <v>80</v>
      </c>
      <c r="B83" s="216"/>
      <c r="C83" s="216"/>
      <c r="D83" s="217"/>
      <c r="E83" s="69"/>
      <c r="G83" s="30"/>
    </row>
    <row r="84" spans="1:14" s="70" customFormat="1" ht="12.75" customHeight="1" x14ac:dyDescent="0.2">
      <c r="A84" s="71" t="s">
        <v>81</v>
      </c>
      <c r="B84" s="71"/>
      <c r="C84" s="72" t="s">
        <v>82</v>
      </c>
      <c r="D84" s="73" t="s">
        <v>83</v>
      </c>
      <c r="E84" s="69"/>
      <c r="G84" s="30"/>
    </row>
    <row r="85" spans="1:14" s="70" customFormat="1" ht="12.75" customHeight="1" x14ac:dyDescent="0.2">
      <c r="A85" s="87">
        <v>45203</v>
      </c>
      <c r="B85" s="120" t="s">
        <v>1052</v>
      </c>
      <c r="C85" s="75" t="s">
        <v>18</v>
      </c>
      <c r="D85" s="88">
        <v>193358.43</v>
      </c>
      <c r="E85" s="2"/>
      <c r="F85" s="2"/>
      <c r="G85" s="30"/>
      <c r="H85" s="2"/>
      <c r="I85" s="2"/>
      <c r="J85" s="2"/>
      <c r="K85" s="2"/>
      <c r="L85" s="41"/>
      <c r="M85" s="42"/>
      <c r="N85" s="2"/>
    </row>
    <row r="86" spans="1:14" s="70" customFormat="1" ht="12.75" customHeight="1" x14ac:dyDescent="0.2">
      <c r="A86" s="87">
        <v>45203</v>
      </c>
      <c r="B86" s="120" t="s">
        <v>1052</v>
      </c>
      <c r="C86" s="75" t="s">
        <v>270</v>
      </c>
      <c r="D86" s="88">
        <v>254277</v>
      </c>
      <c r="E86" s="2"/>
      <c r="F86" s="2"/>
      <c r="G86" s="30"/>
      <c r="H86" s="2"/>
      <c r="I86" s="2"/>
      <c r="J86" s="2"/>
      <c r="K86" s="2"/>
      <c r="L86" s="41"/>
      <c r="M86" s="42"/>
      <c r="N86" s="2"/>
    </row>
    <row r="87" spans="1:14" s="70" customFormat="1" ht="12.75" customHeight="1" x14ac:dyDescent="0.2">
      <c r="A87" s="87">
        <v>45204</v>
      </c>
      <c r="B87" s="120" t="s">
        <v>1052</v>
      </c>
      <c r="C87" s="75" t="s">
        <v>85</v>
      </c>
      <c r="D87" s="88">
        <v>765297</v>
      </c>
      <c r="E87" s="2"/>
      <c r="F87" s="2"/>
      <c r="G87" s="30"/>
      <c r="H87" s="2"/>
      <c r="I87" s="2"/>
      <c r="J87" s="2"/>
      <c r="K87" s="2"/>
      <c r="L87" s="41"/>
      <c r="M87" s="42"/>
      <c r="N87" s="2"/>
    </row>
    <row r="88" spans="1:14" s="2" customFormat="1" x14ac:dyDescent="0.2">
      <c r="A88" s="87"/>
      <c r="B88" s="74"/>
      <c r="C88" s="75"/>
      <c r="D88" s="51">
        <f>SUM(D85:D87)</f>
        <v>1212932.43</v>
      </c>
      <c r="F88" s="2" t="s">
        <v>396</v>
      </c>
      <c r="G88" s="1"/>
    </row>
    <row r="89" spans="1:14" s="2" customFormat="1" x14ac:dyDescent="0.2">
      <c r="A89" s="24"/>
      <c r="B89" s="1"/>
      <c r="C89" s="14"/>
      <c r="D89" s="56"/>
      <c r="E89" s="13"/>
      <c r="G89" s="1"/>
    </row>
    <row r="90" spans="1:14" s="2" customFormat="1" x14ac:dyDescent="0.2">
      <c r="A90" s="24"/>
      <c r="B90" s="1"/>
      <c r="C90" s="218" t="s">
        <v>77</v>
      </c>
      <c r="D90" s="219"/>
      <c r="E90" s="219"/>
      <c r="F90" s="220"/>
      <c r="H90" s="2" t="s">
        <v>396</v>
      </c>
    </row>
    <row r="91" spans="1:14" s="2" customFormat="1" x14ac:dyDescent="0.2">
      <c r="A91" s="24"/>
      <c r="B91" s="1"/>
      <c r="C91" s="50"/>
      <c r="D91" s="57" t="s">
        <v>78</v>
      </c>
      <c r="E91" s="58" t="s">
        <v>79</v>
      </c>
      <c r="F91" s="57" t="s">
        <v>72</v>
      </c>
      <c r="H91" s="2" t="s">
        <v>396</v>
      </c>
    </row>
    <row r="92" spans="1:14" s="2" customFormat="1" x14ac:dyDescent="0.2">
      <c r="A92" s="24"/>
      <c r="B92" s="1"/>
      <c r="C92" s="59" t="str">
        <f>"01-10-2023 to "&amp;TEXT(A5-2,"dd-mm-yyyy")</f>
        <v>01-10-2023 to 05-10-2023</v>
      </c>
      <c r="D92" s="60">
        <v>270.56</v>
      </c>
      <c r="E92" s="60">
        <v>44.78</v>
      </c>
      <c r="F92" s="61">
        <f>SUM(D92:E92)</f>
        <v>315.34000000000003</v>
      </c>
    </row>
    <row r="93" spans="1:14" s="2" customFormat="1" x14ac:dyDescent="0.2">
      <c r="A93" s="24"/>
      <c r="B93" s="1"/>
      <c r="C93" s="62" t="str">
        <f>TEXT(A5-1,"dd-mm-yyyy")</f>
        <v>06-10-2023</v>
      </c>
      <c r="D93" s="60">
        <v>90.56</v>
      </c>
      <c r="E93" s="60">
        <v>14.11</v>
      </c>
      <c r="F93" s="61">
        <f>SUM(D93:E93)</f>
        <v>104.67</v>
      </c>
      <c r="G93" s="1"/>
      <c r="H93" s="53"/>
    </row>
    <row r="94" spans="1:14" s="2" customFormat="1" ht="13.5" thickBot="1" x14ac:dyDescent="0.25">
      <c r="A94" s="24"/>
      <c r="B94" s="1"/>
      <c r="C94" s="63" t="str">
        <f>"01-10-2023 to "&amp;TEXT(A5-1,"dd-mm-yyyy")</f>
        <v>01-10-2023 to 06-10-2023</v>
      </c>
      <c r="D94" s="64">
        <f>SUM(D92:D93)</f>
        <v>361.12</v>
      </c>
      <c r="E94" s="64">
        <f>SUM(E92:E93)</f>
        <v>58.89</v>
      </c>
      <c r="F94" s="64">
        <f>SUM(F92:F93)</f>
        <v>420.01000000000005</v>
      </c>
      <c r="G94" s="1"/>
      <c r="H94" s="53"/>
    </row>
    <row r="95" spans="1:14" s="2" customFormat="1" ht="13.5" thickTop="1" x14ac:dyDescent="0.2">
      <c r="A95" s="24"/>
      <c r="B95" s="1"/>
      <c r="C95" s="62"/>
      <c r="D95" s="65"/>
      <c r="E95" s="66"/>
      <c r="F95" s="67"/>
      <c r="L95" s="1"/>
      <c r="M95" s="1"/>
    </row>
    <row r="96" spans="1:14" s="2" customFormat="1" x14ac:dyDescent="0.2">
      <c r="A96" s="24"/>
      <c r="B96" s="1"/>
      <c r="C96" s="62" t="str">
        <f>"01-04-2023 to " &amp;C93</f>
        <v>01-04-2023 to 06-10-2023</v>
      </c>
      <c r="D96" s="68">
        <f>+D94+27003.42</f>
        <v>27364.539999999997</v>
      </c>
      <c r="E96" s="68">
        <f>+E94+2028.43</f>
        <v>2087.3200000000002</v>
      </c>
      <c r="F96" s="68">
        <f>+F94+29031.85</f>
        <v>29451.859999999997</v>
      </c>
      <c r="G96" s="1"/>
      <c r="L96" s="1"/>
      <c r="M96" s="1"/>
    </row>
    <row r="97" spans="1:13" s="2" customFormat="1" x14ac:dyDescent="0.2">
      <c r="A97" s="24"/>
      <c r="B97" s="1"/>
      <c r="C97" s="52"/>
      <c r="D97" s="85"/>
      <c r="E97" s="53"/>
      <c r="F97" s="53"/>
      <c r="G97" s="1"/>
      <c r="L97" s="1"/>
      <c r="M97" s="1"/>
    </row>
    <row r="98" spans="1:13" s="2" customFormat="1" x14ac:dyDescent="0.2">
      <c r="A98" s="24"/>
      <c r="B98" s="1"/>
      <c r="C98" s="52"/>
      <c r="D98" s="85"/>
      <c r="E98" s="53"/>
      <c r="F98" s="53"/>
      <c r="G98" s="1"/>
      <c r="L98" s="1"/>
      <c r="M98" s="1"/>
    </row>
    <row r="99" spans="1:13" s="2" customFormat="1" x14ac:dyDescent="0.2">
      <c r="A99" s="24"/>
      <c r="B99" s="1"/>
      <c r="C99" s="52"/>
      <c r="D99" s="85"/>
      <c r="E99" s="53"/>
      <c r="F99" s="53"/>
      <c r="G99" s="1"/>
      <c r="L99" s="1"/>
      <c r="M99" s="1"/>
    </row>
    <row r="100" spans="1:13" s="2" customFormat="1" x14ac:dyDescent="0.2">
      <c r="A100" s="24"/>
      <c r="B100" s="1"/>
      <c r="C100" s="52"/>
      <c r="D100" s="85"/>
      <c r="E100" s="53"/>
      <c r="F100" s="53"/>
      <c r="G100" s="1"/>
      <c r="L100" s="1"/>
      <c r="M100" s="1"/>
    </row>
    <row r="101" spans="1:13" s="2" customFormat="1" x14ac:dyDescent="0.2">
      <c r="A101" s="24"/>
      <c r="B101" s="1"/>
      <c r="C101" s="14"/>
      <c r="D101" s="25"/>
      <c r="G101" s="1"/>
      <c r="L101" s="1"/>
      <c r="M101" s="1"/>
    </row>
    <row r="102" spans="1:13" s="2" customFormat="1" x14ac:dyDescent="0.2">
      <c r="A102" s="24"/>
      <c r="B102" s="1"/>
      <c r="C102" s="14"/>
      <c r="D102" s="25"/>
      <c r="G102" s="1"/>
      <c r="L102" s="1"/>
      <c r="M102" s="1"/>
    </row>
    <row r="103" spans="1:13" s="2" customFormat="1" x14ac:dyDescent="0.2">
      <c r="A103" s="24"/>
      <c r="B103" s="1"/>
      <c r="C103" s="14"/>
      <c r="D103" s="25"/>
      <c r="G103" s="1"/>
      <c r="L103" s="1"/>
      <c r="M103" s="1"/>
    </row>
    <row r="104" spans="1:13" s="2" customFormat="1" x14ac:dyDescent="0.2">
      <c r="A104" s="24"/>
      <c r="B104" s="1"/>
      <c r="C104" s="14"/>
      <c r="D104" s="25"/>
      <c r="G104" s="1"/>
      <c r="L104" s="1"/>
      <c r="M104" s="1"/>
    </row>
    <row r="105" spans="1:13" s="2" customFormat="1" x14ac:dyDescent="0.2">
      <c r="A105" s="24"/>
      <c r="B105" s="1"/>
      <c r="C105" s="14"/>
      <c r="D105" s="25"/>
      <c r="G105" s="1"/>
      <c r="L105" s="1"/>
      <c r="M105" s="1"/>
    </row>
    <row r="106" spans="1:13" s="2" customFormat="1" x14ac:dyDescent="0.2">
      <c r="A106" s="24"/>
      <c r="B106" s="1"/>
      <c r="C106" s="14"/>
      <c r="D106" s="25"/>
      <c r="G106" s="1"/>
      <c r="L106" s="1"/>
      <c r="M106" s="1"/>
    </row>
    <row r="107" spans="1:13" s="2" customFormat="1" x14ac:dyDescent="0.2">
      <c r="A107" s="24"/>
      <c r="B107" s="1"/>
      <c r="C107" s="14"/>
      <c r="D107" s="25"/>
      <c r="G107" s="1"/>
      <c r="L107" s="1"/>
      <c r="M107" s="1"/>
    </row>
    <row r="108" spans="1:13" s="2" customFormat="1" x14ac:dyDescent="0.2">
      <c r="A108" s="24"/>
      <c r="B108" s="1"/>
      <c r="C108" s="14"/>
      <c r="D108" s="25"/>
      <c r="G108" s="1"/>
      <c r="L108" s="1"/>
      <c r="M108" s="1"/>
    </row>
    <row r="109" spans="1:13" s="2" customFormat="1" x14ac:dyDescent="0.2">
      <c r="A109" s="24"/>
      <c r="B109" s="1"/>
      <c r="C109" s="14"/>
      <c r="D109" s="25"/>
      <c r="G109" s="1"/>
      <c r="L109" s="1"/>
      <c r="M109" s="1"/>
    </row>
    <row r="110" spans="1:13" s="2" customFormat="1" x14ac:dyDescent="0.2">
      <c r="A110" s="24"/>
      <c r="B110" s="1"/>
      <c r="C110" s="14"/>
      <c r="D110" s="25"/>
      <c r="G110" s="1"/>
      <c r="L110" s="1"/>
      <c r="M110" s="1"/>
    </row>
    <row r="111" spans="1:13" s="2" customFormat="1" x14ac:dyDescent="0.2">
      <c r="A111" s="24"/>
      <c r="B111" s="1"/>
      <c r="C111" s="14"/>
      <c r="D111" s="25"/>
      <c r="G111" s="1"/>
      <c r="L111" s="1"/>
      <c r="M111" s="1"/>
    </row>
    <row r="112" spans="1:13" s="2" customFormat="1" x14ac:dyDescent="0.2">
      <c r="A112" s="24"/>
      <c r="B112" s="1"/>
      <c r="C112" s="14"/>
      <c r="D112" s="25"/>
      <c r="G112" s="1"/>
      <c r="L112" s="1"/>
      <c r="M112" s="1"/>
    </row>
    <row r="113" spans="1:14" s="2" customFormat="1" x14ac:dyDescent="0.2">
      <c r="A113" s="24"/>
      <c r="B113" s="1"/>
      <c r="C113" s="14"/>
      <c r="D113" s="25"/>
      <c r="G113" s="1"/>
      <c r="L113" s="1"/>
      <c r="M113" s="1"/>
    </row>
    <row r="114" spans="1:14" s="2" customFormat="1" x14ac:dyDescent="0.2">
      <c r="A114" s="24"/>
      <c r="B114" s="1"/>
      <c r="C114" s="14"/>
      <c r="D114" s="25"/>
      <c r="G114" s="1"/>
      <c r="L114" s="1"/>
      <c r="M114" s="1"/>
    </row>
    <row r="115" spans="1:14" s="2" customFormat="1" x14ac:dyDescent="0.2">
      <c r="A115" s="24"/>
      <c r="B115" s="1"/>
      <c r="C115" s="14"/>
      <c r="D115" s="25"/>
      <c r="G115" s="1"/>
      <c r="I115" s="1"/>
      <c r="J115" s="1"/>
      <c r="K115" s="1"/>
      <c r="L115" s="1"/>
      <c r="M115" s="1"/>
    </row>
    <row r="116" spans="1:14" s="2" customFormat="1" x14ac:dyDescent="0.2">
      <c r="A116" s="24"/>
      <c r="B116" s="1"/>
      <c r="C116" s="14"/>
      <c r="D116" s="25"/>
      <c r="G116" s="1"/>
    </row>
    <row r="117" spans="1:14" s="2" customFormat="1" x14ac:dyDescent="0.2">
      <c r="A117" s="24"/>
      <c r="B117" s="1"/>
      <c r="C117" s="14"/>
      <c r="D117" s="25"/>
      <c r="G117" s="1"/>
      <c r="I117" s="1"/>
      <c r="J117" s="1"/>
      <c r="K117" s="1"/>
      <c r="L117" s="1"/>
      <c r="M117" s="1"/>
    </row>
    <row r="118" spans="1:14" s="2" customFormat="1" x14ac:dyDescent="0.2">
      <c r="A118" s="24"/>
      <c r="B118" s="1"/>
      <c r="C118" s="14"/>
      <c r="D118" s="25"/>
      <c r="G118" s="54"/>
      <c r="I118" s="1"/>
      <c r="J118" s="1"/>
      <c r="K118" s="1"/>
      <c r="L118" s="1"/>
      <c r="M118" s="1"/>
    </row>
    <row r="119" spans="1:14" s="2" customFormat="1" x14ac:dyDescent="0.2">
      <c r="A119" s="24"/>
      <c r="B119" s="1"/>
      <c r="C119" s="14"/>
      <c r="D119" s="25"/>
      <c r="G119" s="54"/>
      <c r="I119" s="1"/>
      <c r="J119" s="1"/>
      <c r="K119" s="1"/>
      <c r="L119" s="1"/>
      <c r="M119" s="1"/>
    </row>
    <row r="120" spans="1:14" s="2" customFormat="1" x14ac:dyDescent="0.2">
      <c r="A120" s="24"/>
      <c r="B120" s="1"/>
      <c r="C120" s="14"/>
      <c r="D120" s="25"/>
      <c r="G120" s="54"/>
      <c r="I120" s="1"/>
      <c r="J120" s="1"/>
      <c r="K120" s="1"/>
      <c r="L120" s="1"/>
      <c r="M120" s="1"/>
    </row>
    <row r="121" spans="1:14" s="2" customFormat="1" x14ac:dyDescent="0.2">
      <c r="A121" s="24"/>
      <c r="B121" s="1"/>
      <c r="C121" s="14"/>
      <c r="D121" s="25"/>
      <c r="G121" s="54"/>
      <c r="H121" s="2" t="s">
        <v>396</v>
      </c>
      <c r="I121" s="1"/>
      <c r="J121" s="1"/>
      <c r="K121" s="1"/>
      <c r="L121" s="1"/>
      <c r="M121" s="1"/>
      <c r="N121" s="1"/>
    </row>
    <row r="122" spans="1:14" s="2" customFormat="1" x14ac:dyDescent="0.2">
      <c r="A122" s="24"/>
      <c r="B122" s="1"/>
      <c r="C122" s="14"/>
      <c r="D122" s="25"/>
      <c r="G122" s="54"/>
      <c r="H122" s="53"/>
    </row>
    <row r="123" spans="1:14" s="2" customFormat="1" x14ac:dyDescent="0.2">
      <c r="A123" s="24"/>
      <c r="B123" s="1"/>
      <c r="C123" s="14"/>
      <c r="D123" s="25"/>
      <c r="G123" s="54"/>
      <c r="H123" s="53" t="s">
        <v>396</v>
      </c>
      <c r="I123" s="1"/>
      <c r="J123" s="1"/>
      <c r="K123" s="1"/>
      <c r="L123" s="1"/>
      <c r="M123" s="1"/>
      <c r="N123" s="1"/>
    </row>
    <row r="124" spans="1:14" x14ac:dyDescent="0.2">
      <c r="G124" s="54"/>
      <c r="H124" s="53" t="s">
        <v>396</v>
      </c>
      <c r="J124" s="42"/>
    </row>
    <row r="125" spans="1:14" s="2" customFormat="1" x14ac:dyDescent="0.2">
      <c r="A125" s="24"/>
      <c r="B125" s="1"/>
      <c r="C125" s="14"/>
      <c r="D125" s="25"/>
      <c r="G125" s="54"/>
      <c r="H125" s="53"/>
      <c r="I125" s="101"/>
      <c r="J125" s="1"/>
      <c r="K125" s="1"/>
      <c r="L125" s="1"/>
      <c r="M125" s="1"/>
      <c r="N125" s="1"/>
    </row>
    <row r="126" spans="1:14" x14ac:dyDescent="0.2">
      <c r="G126" s="54"/>
      <c r="H126" s="53"/>
    </row>
    <row r="127" spans="1:14" x14ac:dyDescent="0.2">
      <c r="G127" s="54"/>
      <c r="H127" s="53"/>
    </row>
    <row r="128" spans="1:14" x14ac:dyDescent="0.2">
      <c r="G128" s="54"/>
      <c r="H128" s="53"/>
    </row>
  </sheetData>
  <sheetProtection insertRows="0"/>
  <mergeCells count="6">
    <mergeCell ref="C90:F90"/>
    <mergeCell ref="A1:G1"/>
    <mergeCell ref="A3:F3"/>
    <mergeCell ref="A10:F10"/>
    <mergeCell ref="A37:F37"/>
    <mergeCell ref="A83:D83"/>
  </mergeCells>
  <conditionalFormatting sqref="G80:G81">
    <cfRule type="cellIs" dxfId="279" priority="1" operator="lessThan">
      <formula>0</formula>
    </cfRule>
  </conditionalFormatting>
  <conditionalFormatting sqref="C39">
    <cfRule type="duplicateValues" dxfId="278" priority="2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700-000000000000}">
  <sheetPr codeName="Sheet447">
    <pageSetUpPr fitToPage="1"/>
  </sheetPr>
  <dimension ref="A1:N158"/>
  <sheetViews>
    <sheetView zoomScaleNormal="100" workbookViewId="0">
      <selection sqref="A1:G1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1" ht="20.25" customHeight="1" x14ac:dyDescent="0.4">
      <c r="A1" s="212" t="s">
        <v>1646</v>
      </c>
      <c r="B1" s="212"/>
      <c r="C1" s="212"/>
      <c r="D1" s="212"/>
      <c r="E1" s="212"/>
      <c r="F1" s="212"/>
      <c r="G1" s="212"/>
      <c r="H1" s="112"/>
      <c r="I1" s="112"/>
    </row>
    <row r="2" spans="1:11" ht="12.75" customHeight="1" x14ac:dyDescent="0.4">
      <c r="H2" s="112"/>
      <c r="I2" s="112"/>
    </row>
    <row r="3" spans="1:11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1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1" s="2" customFormat="1" ht="14.25" customHeight="1" x14ac:dyDescent="0.4">
      <c r="A5" s="89">
        <v>45208</v>
      </c>
      <c r="B5" s="9" t="s">
        <v>6</v>
      </c>
      <c r="C5" s="10" t="s">
        <v>7</v>
      </c>
      <c r="D5" s="11"/>
      <c r="E5" s="12">
        <v>689561.79000000097</v>
      </c>
      <c r="F5" s="12"/>
      <c r="G5" s="1"/>
      <c r="H5" s="112"/>
      <c r="I5" s="112"/>
    </row>
    <row r="6" spans="1:11" s="2" customFormat="1" ht="14.25" customHeight="1" x14ac:dyDescent="0.4">
      <c r="A6" s="89">
        <v>45208</v>
      </c>
      <c r="B6" s="9" t="s">
        <v>11</v>
      </c>
      <c r="C6" s="10" t="s">
        <v>380</v>
      </c>
      <c r="D6" s="11" t="s">
        <v>29</v>
      </c>
      <c r="E6" s="12"/>
      <c r="F6" s="12">
        <v>232860</v>
      </c>
      <c r="G6" s="1"/>
      <c r="H6" s="112"/>
      <c r="I6" s="112"/>
    </row>
    <row r="7" spans="1:11" s="2" customFormat="1" ht="12.75" customHeight="1" x14ac:dyDescent="0.4">
      <c r="D7" s="15" t="s">
        <v>8</v>
      </c>
      <c r="E7" s="16">
        <f>SUM(E5:E5)</f>
        <v>689561.79000000097</v>
      </c>
      <c r="F7" s="16">
        <f>SUM(F6)</f>
        <v>232860</v>
      </c>
      <c r="G7" s="1"/>
      <c r="H7" s="112"/>
      <c r="I7" s="112"/>
    </row>
    <row r="8" spans="1:11" s="2" customFormat="1" ht="12.75" customHeight="1" x14ac:dyDescent="0.4">
      <c r="A8" s="17"/>
      <c r="B8" s="18"/>
      <c r="C8" s="19" t="s">
        <v>9</v>
      </c>
      <c r="D8" s="20"/>
      <c r="E8" s="21">
        <f>+E7-F7</f>
        <v>456701.79000000097</v>
      </c>
      <c r="F8" s="22"/>
      <c r="G8" s="23"/>
      <c r="H8" s="112"/>
      <c r="I8" s="112"/>
      <c r="J8" s="13"/>
    </row>
    <row r="9" spans="1:11" ht="12.75" customHeight="1" x14ac:dyDescent="0.4">
      <c r="H9" s="112"/>
      <c r="I9" s="112"/>
    </row>
    <row r="10" spans="1:11" ht="18" customHeight="1" x14ac:dyDescent="0.4">
      <c r="A10" s="213" t="s">
        <v>1037</v>
      </c>
      <c r="B10" s="213"/>
      <c r="C10" s="213"/>
      <c r="D10" s="213"/>
      <c r="E10" s="213"/>
      <c r="F10" s="213"/>
      <c r="H10" s="112"/>
      <c r="I10" s="169">
        <v>90000000</v>
      </c>
      <c r="J10" s="169" t="s">
        <v>1508</v>
      </c>
    </row>
    <row r="11" spans="1:11" ht="12.75" customHeight="1" x14ac:dyDescent="0.4">
      <c r="A11" s="3" t="s">
        <v>1</v>
      </c>
      <c r="B11" s="4" t="s">
        <v>2</v>
      </c>
      <c r="C11" s="5"/>
      <c r="D11" s="6" t="s">
        <v>3</v>
      </c>
      <c r="E11" s="7" t="s">
        <v>4</v>
      </c>
      <c r="F11" s="7" t="s">
        <v>5</v>
      </c>
      <c r="H11" s="112"/>
      <c r="I11" s="169">
        <f>88648029.17-1155903</f>
        <v>87492126.170000002</v>
      </c>
      <c r="J11" s="169" t="s">
        <v>1509</v>
      </c>
      <c r="K11" s="124"/>
    </row>
    <row r="12" spans="1:11" s="2" customFormat="1" ht="14.25" customHeight="1" x14ac:dyDescent="0.2">
      <c r="A12" s="89">
        <v>45208</v>
      </c>
      <c r="B12" s="9" t="s">
        <v>6</v>
      </c>
      <c r="C12" s="10" t="s">
        <v>7</v>
      </c>
      <c r="D12" s="11"/>
      <c r="F12" s="12">
        <v>88347655.170000002</v>
      </c>
      <c r="G12" s="1"/>
      <c r="H12" s="130" t="s">
        <v>396</v>
      </c>
      <c r="I12" s="169">
        <f>+I10-I11</f>
        <v>2507873.8299999982</v>
      </c>
      <c r="J12" s="169" t="s">
        <v>712</v>
      </c>
      <c r="K12" s="165" t="s">
        <v>1512</v>
      </c>
    </row>
    <row r="13" spans="1:11" s="2" customFormat="1" ht="14.25" customHeight="1" x14ac:dyDescent="0.2">
      <c r="A13" s="89">
        <v>45208</v>
      </c>
      <c r="B13" s="9" t="s">
        <v>6</v>
      </c>
      <c r="C13" s="76" t="s">
        <v>234</v>
      </c>
      <c r="D13" s="11" t="s">
        <v>13</v>
      </c>
      <c r="E13" s="2">
        <v>79585</v>
      </c>
      <c r="F13" s="12"/>
      <c r="G13" s="1"/>
      <c r="H13" s="130"/>
      <c r="I13" s="171"/>
      <c r="J13" s="171"/>
      <c r="K13" s="165"/>
    </row>
    <row r="14" spans="1:11" s="2" customFormat="1" ht="14.25" customHeight="1" x14ac:dyDescent="0.2">
      <c r="A14" s="89">
        <v>45208</v>
      </c>
      <c r="B14" s="9" t="s">
        <v>6</v>
      </c>
      <c r="C14" s="76" t="s">
        <v>1647</v>
      </c>
      <c r="D14" s="11" t="s">
        <v>13</v>
      </c>
      <c r="E14" s="2">
        <v>1518655</v>
      </c>
      <c r="F14" s="12"/>
      <c r="G14" s="1"/>
      <c r="H14" s="130"/>
      <c r="I14" s="171"/>
      <c r="J14" s="171"/>
      <c r="K14" s="165"/>
    </row>
    <row r="15" spans="1:11" s="2" customFormat="1" ht="14.25" customHeight="1" x14ac:dyDescent="0.2">
      <c r="A15" s="89">
        <v>45208</v>
      </c>
      <c r="B15" s="9" t="s">
        <v>11</v>
      </c>
      <c r="C15" s="76" t="s">
        <v>1137</v>
      </c>
      <c r="D15" s="11" t="s">
        <v>29</v>
      </c>
      <c r="F15" s="12">
        <v>45</v>
      </c>
      <c r="G15" s="1"/>
      <c r="H15" s="130"/>
      <c r="I15" s="171"/>
      <c r="J15" s="171"/>
      <c r="K15" s="165"/>
    </row>
    <row r="16" spans="1:11" s="2" customFormat="1" ht="14.25" customHeight="1" x14ac:dyDescent="0.2">
      <c r="A16" s="89">
        <v>45208</v>
      </c>
      <c r="B16" s="9" t="s">
        <v>11</v>
      </c>
      <c r="C16" s="76" t="s">
        <v>1648</v>
      </c>
      <c r="D16" s="11" t="s">
        <v>29</v>
      </c>
      <c r="F16" s="12">
        <v>294000</v>
      </c>
      <c r="G16" s="1"/>
      <c r="H16" s="130"/>
      <c r="I16" s="171"/>
      <c r="J16" s="171"/>
      <c r="K16" s="165"/>
    </row>
    <row r="17" spans="1:14" s="2" customFormat="1" ht="14.25" customHeight="1" x14ac:dyDescent="0.2">
      <c r="A17" s="89">
        <v>45208</v>
      </c>
      <c r="B17" s="9" t="s">
        <v>11</v>
      </c>
      <c r="C17" s="76" t="s">
        <v>235</v>
      </c>
      <c r="D17" s="11" t="s">
        <v>29</v>
      </c>
      <c r="F17" s="12">
        <v>6329</v>
      </c>
      <c r="G17" s="1"/>
      <c r="H17" s="130"/>
      <c r="I17" s="171"/>
      <c r="J17" s="171"/>
      <c r="K17" s="165"/>
    </row>
    <row r="18" spans="1:14" s="2" customFormat="1" ht="14.25" customHeight="1" x14ac:dyDescent="0.2">
      <c r="A18" s="89">
        <v>45208</v>
      </c>
      <c r="B18" s="9" t="s">
        <v>11</v>
      </c>
      <c r="C18" s="76" t="s">
        <v>1228</v>
      </c>
      <c r="D18" s="11" t="s">
        <v>29</v>
      </c>
      <c r="F18" s="12">
        <v>1000000</v>
      </c>
      <c r="G18" s="1"/>
      <c r="H18" s="130"/>
      <c r="I18" s="171"/>
      <c r="J18" s="171"/>
      <c r="K18" s="165"/>
    </row>
    <row r="19" spans="1:14" s="2" customFormat="1" ht="14.25" customHeight="1" x14ac:dyDescent="0.2">
      <c r="A19" s="89">
        <v>45208</v>
      </c>
      <c r="B19" s="9" t="s">
        <v>11</v>
      </c>
      <c r="C19" s="76" t="s">
        <v>131</v>
      </c>
      <c r="D19" s="11" t="s">
        <v>29</v>
      </c>
      <c r="F19" s="12">
        <v>35307</v>
      </c>
      <c r="G19" s="1"/>
      <c r="H19" s="130"/>
      <c r="I19" s="171"/>
      <c r="J19" s="171"/>
      <c r="K19" s="165"/>
    </row>
    <row r="20" spans="1:14" s="2" customFormat="1" ht="14.25" customHeight="1" x14ac:dyDescent="0.2">
      <c r="A20" s="89">
        <v>45208</v>
      </c>
      <c r="B20" s="9" t="s">
        <v>11</v>
      </c>
      <c r="C20" s="76" t="s">
        <v>1619</v>
      </c>
      <c r="D20" s="11" t="s">
        <v>29</v>
      </c>
      <c r="F20" s="12">
        <v>120596</v>
      </c>
      <c r="G20" s="1"/>
      <c r="H20" s="130"/>
      <c r="I20" s="171"/>
      <c r="J20" s="171"/>
      <c r="K20" s="165"/>
    </row>
    <row r="21" spans="1:14" s="2" customFormat="1" ht="14.25" customHeight="1" x14ac:dyDescent="0.2">
      <c r="D21" s="11" t="s">
        <v>8</v>
      </c>
      <c r="E21" s="16">
        <f>SUM(E12:E20)</f>
        <v>1598240</v>
      </c>
      <c r="F21" s="16">
        <f>SUM(F12:F20)</f>
        <v>89803932.170000002</v>
      </c>
      <c r="G21" s="1"/>
      <c r="H21" s="143"/>
      <c r="I21" s="130"/>
      <c r="J21" s="143"/>
      <c r="K21" s="143"/>
      <c r="L21" s="143"/>
      <c r="M21" s="143"/>
    </row>
    <row r="22" spans="1:14" s="2" customFormat="1" ht="14.25" customHeight="1" x14ac:dyDescent="0.4">
      <c r="A22" s="17"/>
      <c r="B22" s="18"/>
      <c r="C22" s="96" t="s">
        <v>9</v>
      </c>
      <c r="D22" s="20"/>
      <c r="E22" s="21">
        <f>+F21-E21</f>
        <v>88205692.170000002</v>
      </c>
      <c r="G22" s="1"/>
      <c r="I22" s="112"/>
      <c r="J22" s="153" t="s">
        <v>779</v>
      </c>
    </row>
    <row r="23" spans="1:14" s="2" customFormat="1" ht="14.25" customHeight="1" x14ac:dyDescent="0.2">
      <c r="A23" s="36"/>
      <c r="B23" s="28" t="s">
        <v>66</v>
      </c>
      <c r="C23" s="43" t="s">
        <v>1458</v>
      </c>
      <c r="D23" s="43"/>
      <c r="E23" s="12">
        <v>30000000</v>
      </c>
      <c r="F23" s="22"/>
      <c r="G23" s="1"/>
      <c r="I23" s="40">
        <v>88205692.170000002</v>
      </c>
      <c r="J23" s="154">
        <f>I23-E22</f>
        <v>0</v>
      </c>
    </row>
    <row r="24" spans="1:14" s="2" customFormat="1" ht="14.25" customHeight="1" x14ac:dyDescent="0.25">
      <c r="A24" s="36"/>
      <c r="B24" s="28"/>
      <c r="C24" s="44" t="s">
        <v>1541</v>
      </c>
      <c r="D24" s="43"/>
      <c r="E24" s="7">
        <f>+E22+E23</f>
        <v>118205692.17</v>
      </c>
      <c r="F24" s="22"/>
      <c r="G24" s="1"/>
      <c r="H24" s="13" t="s">
        <v>1582</v>
      </c>
      <c r="I24" s="13" t="s">
        <v>1583</v>
      </c>
    </row>
    <row r="25" spans="1:14" s="2" customFormat="1" ht="14.25" customHeight="1" x14ac:dyDescent="0.25">
      <c r="A25" s="36"/>
      <c r="B25" s="28"/>
      <c r="C25" s="44" t="s">
        <v>1511</v>
      </c>
      <c r="D25" s="43"/>
      <c r="E25" s="38">
        <f>+I12</f>
        <v>2507873.8299999982</v>
      </c>
      <c r="F25" s="22"/>
      <c r="G25" s="1"/>
      <c r="H25" s="2">
        <v>8248467.7999999998</v>
      </c>
      <c r="I25" s="2">
        <v>5021923.58</v>
      </c>
      <c r="J25" s="176">
        <f>H25-I25</f>
        <v>3226544.2199999997</v>
      </c>
    </row>
    <row r="26" spans="1:14" s="2" customFormat="1" ht="14.25" customHeight="1" x14ac:dyDescent="0.2">
      <c r="A26" s="24"/>
      <c r="B26" s="1"/>
      <c r="C26" s="14"/>
      <c r="D26" s="25"/>
      <c r="G26" s="1"/>
      <c r="I26" s="130"/>
      <c r="J26" s="130"/>
    </row>
    <row r="27" spans="1:14" s="2" customFormat="1" x14ac:dyDescent="0.2">
      <c r="A27" s="214" t="s">
        <v>10</v>
      </c>
      <c r="B27" s="214"/>
      <c r="C27" s="214"/>
      <c r="D27" s="214"/>
      <c r="E27" s="214"/>
      <c r="F27" s="214"/>
      <c r="G27" s="1"/>
      <c r="H27" s="159"/>
      <c r="I27" s="160">
        <f>225000000-75000000-50000000</f>
        <v>100000000</v>
      </c>
      <c r="J27" s="160" t="s">
        <v>1506</v>
      </c>
      <c r="K27" s="70"/>
    </row>
    <row r="28" spans="1:14" s="2" customFormat="1" x14ac:dyDescent="0.2">
      <c r="A28" s="26" t="s">
        <v>1</v>
      </c>
      <c r="B28" s="27" t="s">
        <v>2</v>
      </c>
      <c r="C28" s="5"/>
      <c r="D28" s="6" t="s">
        <v>3</v>
      </c>
      <c r="E28" s="7" t="s">
        <v>4</v>
      </c>
      <c r="F28" s="7" t="s">
        <v>5</v>
      </c>
      <c r="G28" s="1"/>
      <c r="H28" s="159"/>
      <c r="I28" s="160">
        <v>77951820.180000007</v>
      </c>
      <c r="J28" s="160" t="s">
        <v>1507</v>
      </c>
      <c r="K28" s="70" t="s">
        <v>1512</v>
      </c>
    </row>
    <row r="29" spans="1:14" s="2" customFormat="1" x14ac:dyDescent="0.2">
      <c r="A29" s="89">
        <v>45208</v>
      </c>
      <c r="B29" s="128" t="s">
        <v>11</v>
      </c>
      <c r="C29" s="29" t="s">
        <v>7</v>
      </c>
      <c r="D29" s="25"/>
      <c r="E29" s="31"/>
      <c r="F29" s="2">
        <v>67167929.000000089</v>
      </c>
      <c r="G29" s="23"/>
      <c r="H29" s="159" t="s">
        <v>1505</v>
      </c>
      <c r="I29" s="160">
        <f>+I27-I28</f>
        <v>22048179.819999993</v>
      </c>
      <c r="J29" s="160"/>
      <c r="K29" s="70"/>
    </row>
    <row r="30" spans="1:14" s="2" customFormat="1" x14ac:dyDescent="0.2">
      <c r="A30" s="89">
        <v>45208</v>
      </c>
      <c r="B30" s="128" t="s">
        <v>6</v>
      </c>
      <c r="C30" s="10" t="s">
        <v>557</v>
      </c>
      <c r="D30" s="11" t="s">
        <v>13</v>
      </c>
      <c r="E30" s="86">
        <v>88095</v>
      </c>
      <c r="F30" s="70"/>
      <c r="G30" s="1"/>
      <c r="N30" s="1"/>
    </row>
    <row r="31" spans="1:14" s="2" customFormat="1" x14ac:dyDescent="0.2">
      <c r="A31" s="89">
        <v>45208</v>
      </c>
      <c r="B31" s="128" t="s">
        <v>6</v>
      </c>
      <c r="C31" s="10" t="s">
        <v>149</v>
      </c>
      <c r="D31" s="11" t="s">
        <v>13</v>
      </c>
      <c r="E31" s="86">
        <v>62622</v>
      </c>
      <c r="F31" s="70"/>
      <c r="G31" s="1"/>
      <c r="N31" s="1"/>
    </row>
    <row r="32" spans="1:14" s="2" customFormat="1" x14ac:dyDescent="0.2">
      <c r="A32" s="89">
        <v>45208</v>
      </c>
      <c r="B32" s="128" t="s">
        <v>6</v>
      </c>
      <c r="C32" s="10" t="s">
        <v>62</v>
      </c>
      <c r="D32" s="11" t="s">
        <v>13</v>
      </c>
      <c r="E32" s="86">
        <v>10000</v>
      </c>
      <c r="F32" s="70"/>
      <c r="G32" s="1"/>
      <c r="N32" s="1"/>
    </row>
    <row r="33" spans="1:14" s="2" customFormat="1" x14ac:dyDescent="0.2">
      <c r="A33" s="89">
        <v>45208</v>
      </c>
      <c r="B33" s="128" t="s">
        <v>6</v>
      </c>
      <c r="C33" s="10" t="s">
        <v>19</v>
      </c>
      <c r="D33" s="11" t="s">
        <v>13</v>
      </c>
      <c r="E33" s="86">
        <v>59007</v>
      </c>
      <c r="F33" s="70"/>
      <c r="G33" s="1"/>
      <c r="N33" s="1"/>
    </row>
    <row r="34" spans="1:14" s="2" customFormat="1" x14ac:dyDescent="0.2">
      <c r="A34" s="89">
        <v>45208</v>
      </c>
      <c r="B34" s="128" t="s">
        <v>6</v>
      </c>
      <c r="C34" s="10" t="s">
        <v>332</v>
      </c>
      <c r="D34" s="11" t="s">
        <v>13</v>
      </c>
      <c r="E34" s="86">
        <v>13217</v>
      </c>
      <c r="F34" s="70"/>
      <c r="G34" s="1"/>
      <c r="N34" s="1"/>
    </row>
    <row r="35" spans="1:14" s="2" customFormat="1" x14ac:dyDescent="0.2">
      <c r="A35" s="89">
        <v>45208</v>
      </c>
      <c r="B35" s="128" t="s">
        <v>6</v>
      </c>
      <c r="C35" s="10" t="s">
        <v>1652</v>
      </c>
      <c r="D35" s="11" t="s">
        <v>13</v>
      </c>
      <c r="E35" s="86">
        <v>147745</v>
      </c>
      <c r="F35" s="70"/>
      <c r="G35" s="1"/>
      <c r="N35" s="1"/>
    </row>
    <row r="36" spans="1:14" s="2" customFormat="1" x14ac:dyDescent="0.2">
      <c r="A36" s="89">
        <v>45208</v>
      </c>
      <c r="B36" s="128" t="s">
        <v>6</v>
      </c>
      <c r="C36" s="10" t="s">
        <v>164</v>
      </c>
      <c r="D36" s="11" t="s">
        <v>13</v>
      </c>
      <c r="E36" s="86">
        <v>1000000</v>
      </c>
      <c r="F36" s="70"/>
      <c r="G36" s="1"/>
      <c r="N36" s="1"/>
    </row>
    <row r="37" spans="1:14" s="2" customFormat="1" x14ac:dyDescent="0.2">
      <c r="A37" s="89">
        <v>45208</v>
      </c>
      <c r="B37" s="128" t="s">
        <v>6</v>
      </c>
      <c r="C37" s="10" t="s">
        <v>456</v>
      </c>
      <c r="D37" s="11" t="s">
        <v>13</v>
      </c>
      <c r="E37" s="86">
        <v>168000</v>
      </c>
      <c r="F37" s="70"/>
      <c r="G37" s="1"/>
      <c r="N37" s="1"/>
    </row>
    <row r="38" spans="1:14" s="2" customFormat="1" x14ac:dyDescent="0.2">
      <c r="A38" s="89">
        <v>45208</v>
      </c>
      <c r="B38" s="128" t="s">
        <v>6</v>
      </c>
      <c r="C38" s="10" t="s">
        <v>614</v>
      </c>
      <c r="D38" s="11" t="s">
        <v>13</v>
      </c>
      <c r="E38" s="86">
        <v>911500</v>
      </c>
      <c r="F38" s="70"/>
      <c r="G38" s="1"/>
      <c r="N38" s="1"/>
    </row>
    <row r="39" spans="1:14" s="2" customFormat="1" x14ac:dyDescent="0.2">
      <c r="A39" s="89">
        <v>45208</v>
      </c>
      <c r="B39" s="128" t="s">
        <v>6</v>
      </c>
      <c r="C39" s="10" t="s">
        <v>1649</v>
      </c>
      <c r="D39" s="11" t="s">
        <v>13</v>
      </c>
      <c r="E39" s="86">
        <v>255292</v>
      </c>
      <c r="F39" s="70"/>
      <c r="G39" s="1"/>
      <c r="N39" s="1"/>
    </row>
    <row r="40" spans="1:14" s="2" customFormat="1" x14ac:dyDescent="0.2">
      <c r="A40" s="89">
        <v>45208</v>
      </c>
      <c r="B40" s="128" t="s">
        <v>6</v>
      </c>
      <c r="C40" s="10" t="s">
        <v>1334</v>
      </c>
      <c r="D40" s="11" t="s">
        <v>13</v>
      </c>
      <c r="E40" s="86">
        <v>1260</v>
      </c>
      <c r="F40" s="70"/>
      <c r="G40" s="1"/>
      <c r="N40" s="1"/>
    </row>
    <row r="41" spans="1:14" s="2" customFormat="1" x14ac:dyDescent="0.2">
      <c r="A41" s="89">
        <v>45208</v>
      </c>
      <c r="B41" s="128" t="s">
        <v>6</v>
      </c>
      <c r="C41" s="10" t="s">
        <v>1230</v>
      </c>
      <c r="D41" s="11" t="s">
        <v>13</v>
      </c>
      <c r="E41" s="86">
        <v>8400</v>
      </c>
      <c r="F41" s="70"/>
      <c r="G41" s="1"/>
      <c r="N41" s="1"/>
    </row>
    <row r="42" spans="1:14" s="2" customFormat="1" x14ac:dyDescent="0.2">
      <c r="A42" s="89">
        <v>45208</v>
      </c>
      <c r="B42" s="128" t="s">
        <v>6</v>
      </c>
      <c r="C42" s="10" t="s">
        <v>1471</v>
      </c>
      <c r="D42" s="11" t="s">
        <v>13</v>
      </c>
      <c r="E42" s="86">
        <v>2050284</v>
      </c>
      <c r="F42" s="70"/>
      <c r="G42" s="1"/>
      <c r="N42" s="1"/>
    </row>
    <row r="43" spans="1:14" s="2" customFormat="1" x14ac:dyDescent="0.2">
      <c r="A43" s="89">
        <v>45208</v>
      </c>
      <c r="B43" s="128" t="s">
        <v>6</v>
      </c>
      <c r="C43" s="10" t="s">
        <v>1396</v>
      </c>
      <c r="D43" s="11" t="s">
        <v>13</v>
      </c>
      <c r="E43" s="86">
        <v>676785</v>
      </c>
      <c r="F43" s="70"/>
      <c r="G43" s="1"/>
      <c r="N43" s="1"/>
    </row>
    <row r="44" spans="1:14" s="2" customFormat="1" x14ac:dyDescent="0.2">
      <c r="A44" s="89">
        <v>45208</v>
      </c>
      <c r="B44" s="128" t="s">
        <v>6</v>
      </c>
      <c r="C44" s="10" t="s">
        <v>993</v>
      </c>
      <c r="D44" s="11" t="s">
        <v>13</v>
      </c>
      <c r="E44" s="86">
        <v>1208</v>
      </c>
      <c r="F44" s="70"/>
      <c r="G44" s="1"/>
      <c r="N44" s="1"/>
    </row>
    <row r="45" spans="1:14" s="2" customFormat="1" x14ac:dyDescent="0.2">
      <c r="A45" s="89">
        <v>45208</v>
      </c>
      <c r="B45" s="128" t="s">
        <v>6</v>
      </c>
      <c r="C45" s="10" t="s">
        <v>1370</v>
      </c>
      <c r="D45" s="11" t="s">
        <v>13</v>
      </c>
      <c r="E45" s="86">
        <v>4304967</v>
      </c>
      <c r="F45" s="70"/>
      <c r="G45" s="1"/>
      <c r="N45" s="1"/>
    </row>
    <row r="46" spans="1:14" s="2" customFormat="1" x14ac:dyDescent="0.2">
      <c r="A46" s="89">
        <v>45208</v>
      </c>
      <c r="B46" s="128" t="s">
        <v>6</v>
      </c>
      <c r="C46" s="10" t="s">
        <v>1430</v>
      </c>
      <c r="D46" s="11" t="s">
        <v>13</v>
      </c>
      <c r="E46" s="86">
        <v>10605</v>
      </c>
      <c r="F46" s="70"/>
      <c r="G46" s="1"/>
      <c r="N46" s="1"/>
    </row>
    <row r="47" spans="1:14" s="2" customFormat="1" x14ac:dyDescent="0.2">
      <c r="A47" s="89">
        <v>45208</v>
      </c>
      <c r="B47" s="128" t="s">
        <v>6</v>
      </c>
      <c r="C47" s="10" t="s">
        <v>633</v>
      </c>
      <c r="D47" s="11" t="s">
        <v>13</v>
      </c>
      <c r="E47" s="86">
        <v>2098</v>
      </c>
      <c r="F47" s="70"/>
      <c r="G47" s="1"/>
      <c r="N47" s="1"/>
    </row>
    <row r="48" spans="1:14" s="2" customFormat="1" x14ac:dyDescent="0.2">
      <c r="A48" s="89">
        <v>45208</v>
      </c>
      <c r="B48" s="128" t="s">
        <v>6</v>
      </c>
      <c r="C48" s="10" t="s">
        <v>141</v>
      </c>
      <c r="D48" s="11" t="s">
        <v>13</v>
      </c>
      <c r="E48" s="86">
        <v>19925.8</v>
      </c>
      <c r="F48" s="70"/>
      <c r="G48" s="1"/>
      <c r="N48" s="1"/>
    </row>
    <row r="49" spans="1:14" s="2" customFormat="1" x14ac:dyDescent="0.2">
      <c r="A49" s="89">
        <v>45208</v>
      </c>
      <c r="B49" s="128" t="s">
        <v>6</v>
      </c>
      <c r="C49" s="10" t="s">
        <v>556</v>
      </c>
      <c r="D49" s="11" t="s">
        <v>13</v>
      </c>
      <c r="E49" s="86">
        <v>4883</v>
      </c>
      <c r="F49" s="70"/>
      <c r="G49" s="1"/>
      <c r="N49" s="1"/>
    </row>
    <row r="50" spans="1:14" s="2" customFormat="1" x14ac:dyDescent="0.2">
      <c r="A50" s="89">
        <v>45208</v>
      </c>
      <c r="B50" s="128" t="s">
        <v>6</v>
      </c>
      <c r="C50" s="10" t="s">
        <v>238</v>
      </c>
      <c r="D50" s="11" t="s">
        <v>13</v>
      </c>
      <c r="E50" s="86">
        <v>650000</v>
      </c>
      <c r="F50" s="70"/>
      <c r="G50" s="1"/>
      <c r="N50" s="1"/>
    </row>
    <row r="51" spans="1:14" s="2" customFormat="1" x14ac:dyDescent="0.2">
      <c r="A51" s="89">
        <v>45208</v>
      </c>
      <c r="B51" s="128" t="s">
        <v>6</v>
      </c>
      <c r="C51" s="10" t="s">
        <v>27</v>
      </c>
      <c r="D51" s="11" t="s">
        <v>13</v>
      </c>
      <c r="E51" s="86">
        <v>211605.2</v>
      </c>
      <c r="F51" s="70"/>
      <c r="G51" s="1"/>
      <c r="N51" s="1"/>
    </row>
    <row r="52" spans="1:14" s="2" customFormat="1" x14ac:dyDescent="0.2">
      <c r="A52" s="89">
        <v>45208</v>
      </c>
      <c r="B52" s="128" t="s">
        <v>6</v>
      </c>
      <c r="C52" s="10" t="s">
        <v>15</v>
      </c>
      <c r="D52" s="11" t="s">
        <v>13</v>
      </c>
      <c r="E52" s="86">
        <v>22025.51</v>
      </c>
      <c r="F52" s="70"/>
      <c r="G52" s="1"/>
      <c r="N52" s="1"/>
    </row>
    <row r="53" spans="1:14" s="2" customFormat="1" x14ac:dyDescent="0.2">
      <c r="A53" s="89">
        <v>45208</v>
      </c>
      <c r="B53" s="128" t="s">
        <v>6</v>
      </c>
      <c r="C53" s="10" t="s">
        <v>179</v>
      </c>
      <c r="D53" s="11" t="s">
        <v>13</v>
      </c>
      <c r="E53" s="86">
        <v>200000</v>
      </c>
      <c r="F53" s="70"/>
      <c r="G53" s="1"/>
      <c r="N53" s="1"/>
    </row>
    <row r="54" spans="1:14" s="2" customFormat="1" x14ac:dyDescent="0.2">
      <c r="A54" s="89">
        <v>45208</v>
      </c>
      <c r="B54" s="128" t="s">
        <v>6</v>
      </c>
      <c r="C54" s="10" t="s">
        <v>331</v>
      </c>
      <c r="D54" s="11" t="s">
        <v>13</v>
      </c>
      <c r="E54" s="86">
        <v>106450</v>
      </c>
      <c r="F54" s="70"/>
      <c r="G54" s="1"/>
      <c r="N54" s="1"/>
    </row>
    <row r="55" spans="1:14" s="2" customFormat="1" x14ac:dyDescent="0.2">
      <c r="A55" s="89">
        <v>45208</v>
      </c>
      <c r="B55" s="128" t="s">
        <v>6</v>
      </c>
      <c r="C55" s="10" t="s">
        <v>266</v>
      </c>
      <c r="D55" s="11" t="s">
        <v>13</v>
      </c>
      <c r="E55" s="86">
        <v>266357</v>
      </c>
      <c r="F55" s="70"/>
      <c r="G55" s="1"/>
      <c r="N55" s="1"/>
    </row>
    <row r="56" spans="1:14" s="2" customFormat="1" x14ac:dyDescent="0.2">
      <c r="A56" s="89">
        <v>45208</v>
      </c>
      <c r="B56" s="128" t="s">
        <v>6</v>
      </c>
      <c r="C56" s="10" t="s">
        <v>146</v>
      </c>
      <c r="D56" s="11" t="s">
        <v>13</v>
      </c>
      <c r="E56" s="86">
        <v>89895.72</v>
      </c>
      <c r="F56" s="70"/>
      <c r="G56" s="1"/>
      <c r="N56" s="1"/>
    </row>
    <row r="57" spans="1:14" s="2" customFormat="1" x14ac:dyDescent="0.2">
      <c r="A57" s="89">
        <v>45208</v>
      </c>
      <c r="B57" s="128" t="s">
        <v>6</v>
      </c>
      <c r="C57" s="10" t="s">
        <v>391</v>
      </c>
      <c r="D57" s="11" t="s">
        <v>13</v>
      </c>
      <c r="E57" s="86">
        <v>48195</v>
      </c>
      <c r="F57" s="70"/>
      <c r="G57" s="1"/>
      <c r="N57" s="1"/>
    </row>
    <row r="58" spans="1:14" s="2" customFormat="1" x14ac:dyDescent="0.2">
      <c r="A58" s="89">
        <v>45208</v>
      </c>
      <c r="B58" s="128" t="s">
        <v>6</v>
      </c>
      <c r="C58" s="10" t="s">
        <v>727</v>
      </c>
      <c r="D58" s="11" t="s">
        <v>13</v>
      </c>
      <c r="E58" s="86">
        <v>125000</v>
      </c>
      <c r="F58" s="70"/>
      <c r="G58" s="1"/>
      <c r="N58" s="1"/>
    </row>
    <row r="59" spans="1:14" s="2" customFormat="1" x14ac:dyDescent="0.2">
      <c r="A59" s="89">
        <v>45208</v>
      </c>
      <c r="B59" s="128" t="s">
        <v>6</v>
      </c>
      <c r="C59" s="10" t="s">
        <v>165</v>
      </c>
      <c r="D59" s="11" t="s">
        <v>13</v>
      </c>
      <c r="E59" s="86">
        <v>4221</v>
      </c>
      <c r="F59" s="70"/>
      <c r="G59" s="1"/>
      <c r="N59" s="1"/>
    </row>
    <row r="60" spans="1:14" s="2" customFormat="1" x14ac:dyDescent="0.2">
      <c r="A60" s="89">
        <v>45208</v>
      </c>
      <c r="B60" s="128" t="s">
        <v>11</v>
      </c>
      <c r="C60" s="10" t="s">
        <v>1403</v>
      </c>
      <c r="D60" s="11" t="s">
        <v>29</v>
      </c>
      <c r="E60" s="86"/>
      <c r="F60" s="70">
        <v>6289653</v>
      </c>
      <c r="G60" s="1"/>
      <c r="N60" s="1"/>
    </row>
    <row r="61" spans="1:14" s="2" customFormat="1" x14ac:dyDescent="0.2">
      <c r="A61" s="89">
        <v>45208</v>
      </c>
      <c r="B61" s="128" t="s">
        <v>11</v>
      </c>
      <c r="C61" s="10" t="s">
        <v>194</v>
      </c>
      <c r="D61" s="11" t="s">
        <v>29</v>
      </c>
      <c r="E61" s="86"/>
      <c r="F61" s="70">
        <v>1117131</v>
      </c>
      <c r="G61" s="1"/>
      <c r="N61" s="1"/>
    </row>
    <row r="62" spans="1:14" s="2" customFormat="1" x14ac:dyDescent="0.2">
      <c r="A62" s="89">
        <v>45208</v>
      </c>
      <c r="B62" s="128" t="s">
        <v>11</v>
      </c>
      <c r="C62" s="10" t="s">
        <v>790</v>
      </c>
      <c r="D62" s="11" t="s">
        <v>29</v>
      </c>
      <c r="E62" s="86"/>
      <c r="F62" s="70">
        <v>942114</v>
      </c>
      <c r="G62" s="1"/>
      <c r="N62" s="1"/>
    </row>
    <row r="63" spans="1:14" s="2" customFormat="1" x14ac:dyDescent="0.2">
      <c r="A63" s="89">
        <v>45208</v>
      </c>
      <c r="B63" s="128" t="s">
        <v>11</v>
      </c>
      <c r="C63" s="10" t="s">
        <v>849</v>
      </c>
      <c r="D63" s="11" t="s">
        <v>29</v>
      </c>
      <c r="E63" s="86"/>
      <c r="F63" s="70">
        <v>272877</v>
      </c>
      <c r="G63" s="1"/>
      <c r="N63" s="1"/>
    </row>
    <row r="64" spans="1:14" s="2" customFormat="1" x14ac:dyDescent="0.2">
      <c r="A64" s="89">
        <v>45208</v>
      </c>
      <c r="B64" s="128" t="s">
        <v>11</v>
      </c>
      <c r="C64" s="10" t="s">
        <v>745</v>
      </c>
      <c r="D64" s="11" t="s">
        <v>29</v>
      </c>
      <c r="E64" s="86"/>
      <c r="F64" s="70">
        <v>569304</v>
      </c>
      <c r="G64" s="1"/>
      <c r="N64" s="1"/>
    </row>
    <row r="65" spans="1:14" s="2" customFormat="1" x14ac:dyDescent="0.2">
      <c r="A65" s="89">
        <v>45208</v>
      </c>
      <c r="B65" s="128" t="s">
        <v>11</v>
      </c>
      <c r="C65" s="10" t="s">
        <v>1140</v>
      </c>
      <c r="D65" s="11" t="s">
        <v>29</v>
      </c>
      <c r="E65" s="86"/>
      <c r="F65" s="70">
        <v>362400</v>
      </c>
      <c r="G65" s="1"/>
      <c r="N65" s="1"/>
    </row>
    <row r="66" spans="1:14" s="2" customFormat="1" x14ac:dyDescent="0.2">
      <c r="A66" s="89">
        <v>45208</v>
      </c>
      <c r="B66" s="128" t="s">
        <v>11</v>
      </c>
      <c r="C66" s="10" t="s">
        <v>193</v>
      </c>
      <c r="D66" s="11" t="s">
        <v>29</v>
      </c>
      <c r="E66" s="86"/>
      <c r="F66" s="70">
        <v>466628</v>
      </c>
      <c r="G66" s="1"/>
      <c r="N66" s="1"/>
    </row>
    <row r="67" spans="1:14" s="2" customFormat="1" x14ac:dyDescent="0.2">
      <c r="A67" s="89">
        <v>45208</v>
      </c>
      <c r="B67" s="128" t="s">
        <v>11</v>
      </c>
      <c r="C67" s="10" t="s">
        <v>520</v>
      </c>
      <c r="D67" s="11" t="s">
        <v>29</v>
      </c>
      <c r="E67" s="86"/>
      <c r="F67" s="70">
        <v>446414</v>
      </c>
      <c r="G67" s="1"/>
      <c r="N67" s="1"/>
    </row>
    <row r="68" spans="1:14" s="2" customFormat="1" x14ac:dyDescent="0.2">
      <c r="A68" s="89">
        <v>45208</v>
      </c>
      <c r="B68" s="128" t="s">
        <v>11</v>
      </c>
      <c r="C68" s="10" t="s">
        <v>1650</v>
      </c>
      <c r="D68" s="11" t="s">
        <v>29</v>
      </c>
      <c r="E68" s="86"/>
      <c r="F68" s="70">
        <v>72000</v>
      </c>
      <c r="G68" s="1"/>
      <c r="N68" s="1"/>
    </row>
    <row r="69" spans="1:14" s="2" customFormat="1" x14ac:dyDescent="0.2">
      <c r="A69" s="89">
        <v>45208</v>
      </c>
      <c r="B69" s="128" t="s">
        <v>11</v>
      </c>
      <c r="C69" s="10" t="s">
        <v>300</v>
      </c>
      <c r="D69" s="11" t="s">
        <v>29</v>
      </c>
      <c r="E69" s="86"/>
      <c r="F69" s="70">
        <v>90871</v>
      </c>
      <c r="G69" s="1"/>
      <c r="N69" s="1"/>
    </row>
    <row r="70" spans="1:14" s="2" customFormat="1" x14ac:dyDescent="0.2">
      <c r="A70" s="89">
        <v>45208</v>
      </c>
      <c r="B70" s="128" t="s">
        <v>11</v>
      </c>
      <c r="C70" s="10" t="s">
        <v>125</v>
      </c>
      <c r="D70" s="11" t="s">
        <v>29</v>
      </c>
      <c r="E70" s="86"/>
      <c r="F70" s="70">
        <v>17370</v>
      </c>
      <c r="G70" s="1"/>
      <c r="N70" s="1"/>
    </row>
    <row r="71" spans="1:14" s="2" customFormat="1" x14ac:dyDescent="0.2">
      <c r="A71" s="89">
        <v>45208</v>
      </c>
      <c r="B71" s="128" t="s">
        <v>11</v>
      </c>
      <c r="C71" s="10" t="s">
        <v>1651</v>
      </c>
      <c r="D71" s="11" t="s">
        <v>29</v>
      </c>
      <c r="E71" s="86"/>
      <c r="F71" s="70">
        <v>1390837</v>
      </c>
      <c r="G71" s="1"/>
      <c r="N71" s="1"/>
    </row>
    <row r="72" spans="1:14" s="2" customFormat="1" x14ac:dyDescent="0.2">
      <c r="A72" s="89">
        <v>45208</v>
      </c>
      <c r="B72" s="128" t="s">
        <v>11</v>
      </c>
      <c r="C72" s="10" t="s">
        <v>696</v>
      </c>
      <c r="D72" s="11" t="s">
        <v>29</v>
      </c>
      <c r="E72" s="86"/>
      <c r="F72" s="70">
        <v>1461634</v>
      </c>
      <c r="G72" s="1"/>
      <c r="N72" s="1"/>
    </row>
    <row r="73" spans="1:14" s="2" customFormat="1" x14ac:dyDescent="0.2">
      <c r="A73" s="89">
        <v>45208</v>
      </c>
      <c r="B73" s="128" t="s">
        <v>11</v>
      </c>
      <c r="C73" s="10" t="s">
        <v>394</v>
      </c>
      <c r="D73" s="11" t="s">
        <v>29</v>
      </c>
      <c r="E73" s="86"/>
      <c r="F73" s="70">
        <v>357540</v>
      </c>
      <c r="G73" s="1"/>
      <c r="N73" s="1"/>
    </row>
    <row r="74" spans="1:14" s="2" customFormat="1" x14ac:dyDescent="0.2">
      <c r="A74" s="89">
        <v>45208</v>
      </c>
      <c r="B74" s="128" t="s">
        <v>11</v>
      </c>
      <c r="C74" s="10" t="s">
        <v>701</v>
      </c>
      <c r="D74" s="11" t="s">
        <v>29</v>
      </c>
      <c r="E74" s="86"/>
      <c r="F74" s="70">
        <v>139830</v>
      </c>
      <c r="G74" s="1"/>
      <c r="N74" s="1"/>
    </row>
    <row r="75" spans="1:14" s="2" customFormat="1" x14ac:dyDescent="0.2">
      <c r="A75" s="89">
        <v>45208</v>
      </c>
      <c r="B75" s="128" t="s">
        <v>11</v>
      </c>
      <c r="C75" s="10" t="s">
        <v>301</v>
      </c>
      <c r="D75" s="11" t="s">
        <v>29</v>
      </c>
      <c r="E75" s="86"/>
      <c r="F75" s="70">
        <v>1550095</v>
      </c>
      <c r="G75" s="1"/>
      <c r="N75" s="1"/>
    </row>
    <row r="76" spans="1:14" s="2" customFormat="1" x14ac:dyDescent="0.2">
      <c r="A76" s="89">
        <v>45208</v>
      </c>
      <c r="B76" s="128" t="s">
        <v>11</v>
      </c>
      <c r="C76" s="10" t="s">
        <v>110</v>
      </c>
      <c r="D76" s="11" t="s">
        <v>29</v>
      </c>
      <c r="E76" s="86"/>
      <c r="F76" s="70">
        <v>701125.38</v>
      </c>
      <c r="G76" s="1"/>
      <c r="N76" s="1"/>
    </row>
    <row r="77" spans="1:14" s="2" customFormat="1" x14ac:dyDescent="0.2">
      <c r="A77" s="89">
        <v>45208</v>
      </c>
      <c r="B77" s="128" t="s">
        <v>11</v>
      </c>
      <c r="C77" s="10" t="s">
        <v>109</v>
      </c>
      <c r="D77" s="11" t="s">
        <v>29</v>
      </c>
      <c r="E77" s="86"/>
      <c r="F77" s="70">
        <v>38437</v>
      </c>
      <c r="G77" s="1"/>
      <c r="N77" s="1"/>
    </row>
    <row r="78" spans="1:14" s="2" customFormat="1" x14ac:dyDescent="0.2">
      <c r="A78" s="89">
        <v>45208</v>
      </c>
      <c r="B78" s="128" t="s">
        <v>11</v>
      </c>
      <c r="C78" s="10" t="s">
        <v>729</v>
      </c>
      <c r="D78" s="11" t="s">
        <v>29</v>
      </c>
      <c r="E78" s="86"/>
      <c r="F78" s="70">
        <v>13471.55</v>
      </c>
      <c r="G78" s="1"/>
      <c r="N78" s="1"/>
    </row>
    <row r="79" spans="1:14" s="2" customFormat="1" x14ac:dyDescent="0.2">
      <c r="A79" s="89">
        <v>45208</v>
      </c>
      <c r="B79" s="128" t="s">
        <v>11</v>
      </c>
      <c r="C79" s="10" t="s">
        <v>823</v>
      </c>
      <c r="D79" s="11" t="s">
        <v>29</v>
      </c>
      <c r="E79" s="86"/>
      <c r="F79" s="70">
        <v>22143</v>
      </c>
      <c r="G79" s="1"/>
      <c r="N79" s="1"/>
    </row>
    <row r="80" spans="1:14" s="2" customFormat="1" x14ac:dyDescent="0.2">
      <c r="A80" s="89">
        <v>45208</v>
      </c>
      <c r="B80" s="128" t="s">
        <v>11</v>
      </c>
      <c r="C80" s="10" t="s">
        <v>232</v>
      </c>
      <c r="D80" s="11" t="s">
        <v>29</v>
      </c>
      <c r="E80" s="86"/>
      <c r="F80" s="70">
        <v>12417</v>
      </c>
      <c r="G80" s="1"/>
      <c r="N80" s="1"/>
    </row>
    <row r="81" spans="1:14" s="2" customFormat="1" x14ac:dyDescent="0.2">
      <c r="A81" s="89">
        <v>45208</v>
      </c>
      <c r="B81" s="128" t="s">
        <v>11</v>
      </c>
      <c r="C81" s="10" t="s">
        <v>937</v>
      </c>
      <c r="D81" s="11" t="s">
        <v>29</v>
      </c>
      <c r="E81" s="86"/>
      <c r="F81" s="70">
        <v>4428</v>
      </c>
      <c r="G81" s="1"/>
      <c r="N81" s="1"/>
    </row>
    <row r="82" spans="1:14" s="2" customFormat="1" x14ac:dyDescent="0.2">
      <c r="A82" s="89">
        <v>45208</v>
      </c>
      <c r="B82" s="128" t="s">
        <v>11</v>
      </c>
      <c r="C82" s="10" t="s">
        <v>242</v>
      </c>
      <c r="D82" s="11" t="s">
        <v>29</v>
      </c>
      <c r="E82" s="86"/>
      <c r="F82" s="70">
        <v>1537170</v>
      </c>
      <c r="G82" s="1"/>
      <c r="N82" s="1"/>
    </row>
    <row r="83" spans="1:14" s="2" customFormat="1" x14ac:dyDescent="0.2">
      <c r="A83" s="89">
        <v>45208</v>
      </c>
      <c r="B83" s="128" t="s">
        <v>11</v>
      </c>
      <c r="C83" s="10" t="s">
        <v>410</v>
      </c>
      <c r="D83" s="11" t="s">
        <v>29</v>
      </c>
      <c r="E83" s="86"/>
      <c r="F83" s="70">
        <v>74576</v>
      </c>
      <c r="G83" s="1"/>
      <c r="N83" s="1"/>
    </row>
    <row r="84" spans="1:14" s="2" customFormat="1" x14ac:dyDescent="0.2">
      <c r="A84" s="89">
        <v>45208</v>
      </c>
      <c r="B84" s="128" t="s">
        <v>11</v>
      </c>
      <c r="C84" s="10" t="s">
        <v>254</v>
      </c>
      <c r="D84" s="11" t="s">
        <v>29</v>
      </c>
      <c r="E84" s="86"/>
      <c r="F84" s="70">
        <v>190737</v>
      </c>
      <c r="G84" s="1"/>
      <c r="N84" s="1"/>
    </row>
    <row r="85" spans="1:14" s="2" customFormat="1" x14ac:dyDescent="0.2">
      <c r="A85" s="89">
        <v>45208</v>
      </c>
      <c r="B85" s="128" t="s">
        <v>11</v>
      </c>
      <c r="C85" s="10" t="s">
        <v>253</v>
      </c>
      <c r="D85" s="11" t="s">
        <v>29</v>
      </c>
      <c r="E85" s="86"/>
      <c r="F85" s="70">
        <v>217120</v>
      </c>
      <c r="G85" s="1"/>
      <c r="N85" s="1"/>
    </row>
    <row r="86" spans="1:14" s="2" customFormat="1" x14ac:dyDescent="0.2">
      <c r="A86" s="89">
        <v>45208</v>
      </c>
      <c r="B86" s="128" t="s">
        <v>11</v>
      </c>
      <c r="C86" s="10" t="s">
        <v>1141</v>
      </c>
      <c r="D86" s="11" t="s">
        <v>29</v>
      </c>
      <c r="E86" s="86"/>
      <c r="F86" s="70">
        <v>317420</v>
      </c>
      <c r="G86" s="1"/>
      <c r="N86" s="1"/>
    </row>
    <row r="87" spans="1:14" s="2" customFormat="1" x14ac:dyDescent="0.2">
      <c r="A87" s="89">
        <v>45208</v>
      </c>
      <c r="B87" s="128" t="s">
        <v>11</v>
      </c>
      <c r="C87" s="10" t="s">
        <v>372</v>
      </c>
      <c r="D87" s="11" t="s">
        <v>29</v>
      </c>
      <c r="E87" s="86"/>
      <c r="F87" s="70">
        <v>291240</v>
      </c>
      <c r="G87" s="1"/>
      <c r="N87" s="1"/>
    </row>
    <row r="88" spans="1:14" s="2" customFormat="1" x14ac:dyDescent="0.2">
      <c r="A88" s="89">
        <v>45208</v>
      </c>
      <c r="B88" s="128" t="s">
        <v>11</v>
      </c>
      <c r="C88" s="10" t="s">
        <v>294</v>
      </c>
      <c r="D88" s="11" t="s">
        <v>29</v>
      </c>
      <c r="E88" s="86"/>
      <c r="F88" s="70">
        <v>89208</v>
      </c>
      <c r="G88" s="1"/>
      <c r="N88" s="1"/>
    </row>
    <row r="89" spans="1:14" s="2" customFormat="1" x14ac:dyDescent="0.2">
      <c r="A89" s="89">
        <v>45208</v>
      </c>
      <c r="B89" s="128" t="s">
        <v>11</v>
      </c>
      <c r="C89" s="10" t="s">
        <v>292</v>
      </c>
      <c r="D89" s="11" t="s">
        <v>29</v>
      </c>
      <c r="E89" s="86"/>
      <c r="F89" s="70">
        <v>20799.259999999998</v>
      </c>
      <c r="G89" s="1"/>
      <c r="N89" s="1"/>
    </row>
    <row r="90" spans="1:14" s="2" customFormat="1" x14ac:dyDescent="0.2">
      <c r="A90" s="32"/>
      <c r="B90" s="33"/>
      <c r="C90" s="14"/>
      <c r="D90" s="34"/>
      <c r="E90" s="16">
        <f>SUM(E29:E89)</f>
        <v>11519643.23</v>
      </c>
      <c r="F90" s="16">
        <f>SUM(F29:F89)</f>
        <v>86244919.190000087</v>
      </c>
      <c r="G90" s="1"/>
      <c r="H90" s="1"/>
      <c r="I90" s="38">
        <v>74725275.959999993</v>
      </c>
      <c r="J90" s="2" t="s">
        <v>396</v>
      </c>
      <c r="K90" s="92">
        <f>E91-I90</f>
        <v>0</v>
      </c>
      <c r="N90" s="1"/>
    </row>
    <row r="91" spans="1:14" s="2" customFormat="1" x14ac:dyDescent="0.2">
      <c r="A91" s="36"/>
      <c r="B91" s="28" t="s">
        <v>11</v>
      </c>
      <c r="C91" s="19" t="s">
        <v>65</v>
      </c>
      <c r="D91" s="37"/>
      <c r="E91" s="38">
        <f>F90-E90</f>
        <v>74725275.960000083</v>
      </c>
      <c r="F91" s="22"/>
      <c r="G91" s="1"/>
      <c r="H91" s="1"/>
      <c r="I91" s="70"/>
      <c r="J91" s="70"/>
      <c r="K91" s="70"/>
      <c r="N91" s="1"/>
    </row>
    <row r="92" spans="1:14" s="2" customFormat="1" x14ac:dyDescent="0.2">
      <c r="A92" s="36"/>
      <c r="B92" s="28" t="s">
        <v>66</v>
      </c>
      <c r="C92" s="19" t="s">
        <v>67</v>
      </c>
      <c r="D92" s="37"/>
      <c r="E92" s="38">
        <v>6500000</v>
      </c>
      <c r="F92" s="22"/>
      <c r="G92" s="1"/>
      <c r="H92" s="70"/>
      <c r="I92" s="70"/>
      <c r="J92" s="70"/>
      <c r="K92" s="70"/>
      <c r="N92" s="1"/>
    </row>
    <row r="93" spans="1:14" s="2" customFormat="1" x14ac:dyDescent="0.2">
      <c r="A93" s="36"/>
      <c r="B93" s="28" t="s">
        <v>66</v>
      </c>
      <c r="C93" s="43" t="s">
        <v>1457</v>
      </c>
      <c r="D93" s="43"/>
      <c r="E93" s="12">
        <f>275000000+75000000+50000000</f>
        <v>400000000</v>
      </c>
      <c r="F93" s="22"/>
      <c r="G93" s="1"/>
      <c r="H93" s="70"/>
      <c r="I93" s="45">
        <v>706.74</v>
      </c>
      <c r="J93" s="46"/>
      <c r="K93" s="46"/>
      <c r="N93" s="1"/>
    </row>
    <row r="94" spans="1:14" s="2" customFormat="1" ht="15" x14ac:dyDescent="0.25">
      <c r="A94" s="36"/>
      <c r="B94" s="28"/>
      <c r="C94" s="44" t="s">
        <v>1541</v>
      </c>
      <c r="D94" s="43"/>
      <c r="E94" s="7">
        <f>+E93+E91+E92</f>
        <v>481225275.9600001</v>
      </c>
      <c r="F94" s="22"/>
      <c r="G94" s="1"/>
      <c r="H94" s="103" t="s">
        <v>69</v>
      </c>
      <c r="I94" s="45">
        <v>-141.96</v>
      </c>
      <c r="J94" s="46"/>
      <c r="K94" s="46"/>
      <c r="N94" s="1"/>
    </row>
    <row r="95" spans="1:14" s="2" customFormat="1" ht="15" x14ac:dyDescent="0.25">
      <c r="A95" s="24"/>
      <c r="B95" s="1"/>
      <c r="C95" s="44" t="s">
        <v>1510</v>
      </c>
      <c r="D95" s="25"/>
      <c r="E95" s="156">
        <f>+I29-E92+H25-I25</f>
        <v>18774724.039999992</v>
      </c>
      <c r="G95" s="1"/>
      <c r="H95" s="35" t="s">
        <v>70</v>
      </c>
      <c r="I95" s="45">
        <v>16.940000000000001</v>
      </c>
      <c r="J95" s="46">
        <f>+I96-D98</f>
        <v>0</v>
      </c>
      <c r="N95" s="1"/>
    </row>
    <row r="96" spans="1:14" s="124" customFormat="1" ht="12.75" customHeight="1" x14ac:dyDescent="0.2">
      <c r="A96" s="24"/>
      <c r="B96" s="1"/>
      <c r="C96" s="56"/>
      <c r="D96" s="56"/>
      <c r="E96" s="104"/>
      <c r="F96" s="2"/>
      <c r="G96" s="166"/>
      <c r="H96" s="70"/>
      <c r="I96" s="49">
        <f>SUM(I93:I95)</f>
        <v>581.72</v>
      </c>
      <c r="J96" s="46"/>
      <c r="K96" s="46"/>
    </row>
    <row r="97" spans="1:13" s="124" customFormat="1" ht="12.75" customHeight="1" x14ac:dyDescent="0.2">
      <c r="A97" s="24"/>
      <c r="B97" s="1"/>
      <c r="C97" s="78" t="s">
        <v>575</v>
      </c>
      <c r="D97" s="48" t="s">
        <v>576</v>
      </c>
      <c r="E97" s="104"/>
      <c r="F97" s="2"/>
      <c r="G97" s="168"/>
      <c r="H97" s="167"/>
      <c r="I97" s="167"/>
      <c r="J97" s="168"/>
    </row>
    <row r="98" spans="1:13" s="124" customFormat="1" ht="12.75" customHeight="1" x14ac:dyDescent="0.2">
      <c r="A98" s="24"/>
      <c r="B98" s="1"/>
      <c r="C98" s="47" t="s">
        <v>570</v>
      </c>
      <c r="D98" s="111">
        <v>581.72</v>
      </c>
      <c r="E98" s="104"/>
      <c r="F98" s="2"/>
      <c r="G98" s="168"/>
      <c r="H98" s="110" t="s">
        <v>581</v>
      </c>
      <c r="I98" s="167"/>
      <c r="J98" s="168"/>
    </row>
    <row r="99" spans="1:13" s="124" customFormat="1" ht="12.75" customHeight="1" x14ac:dyDescent="0.2">
      <c r="A99" s="24"/>
      <c r="B99" s="1"/>
      <c r="C99" s="47" t="s">
        <v>931</v>
      </c>
      <c r="D99" s="111">
        <v>87.25</v>
      </c>
      <c r="E99" s="104"/>
      <c r="F99" s="2"/>
      <c r="G99" s="168"/>
      <c r="H99" s="110" t="s">
        <v>580</v>
      </c>
      <c r="I99" s="167"/>
      <c r="J99" s="168"/>
    </row>
    <row r="100" spans="1:13" s="124" customFormat="1" ht="12.75" customHeight="1" x14ac:dyDescent="0.2">
      <c r="A100" s="24"/>
      <c r="B100" s="1"/>
      <c r="C100" s="47" t="s">
        <v>572</v>
      </c>
      <c r="D100" s="111">
        <f>+D118/100000</f>
        <v>12.129324299999999</v>
      </c>
      <c r="E100" s="104"/>
      <c r="F100" s="2"/>
      <c r="G100" s="166"/>
      <c r="H100" s="90" t="s">
        <v>587</v>
      </c>
      <c r="I100" s="167"/>
      <c r="J100" s="168"/>
    </row>
    <row r="101" spans="1:13" s="2" customFormat="1" x14ac:dyDescent="0.2">
      <c r="A101" s="24"/>
      <c r="B101" s="1"/>
      <c r="C101" s="108" t="s">
        <v>578</v>
      </c>
      <c r="D101" s="48">
        <f>SUM(D98:D100)</f>
        <v>681.09932430000003</v>
      </c>
      <c r="E101" s="104"/>
      <c r="G101" s="30"/>
      <c r="I101" s="13"/>
      <c r="J101" s="13"/>
    </row>
    <row r="102" spans="1:13" s="70" customFormat="1" x14ac:dyDescent="0.2">
      <c r="A102" s="24"/>
      <c r="B102" s="1"/>
      <c r="C102" s="47"/>
      <c r="D102" s="107"/>
      <c r="E102" s="104"/>
      <c r="F102" s="2"/>
      <c r="G102" s="30"/>
      <c r="H102" s="2"/>
    </row>
    <row r="103" spans="1:13" s="70" customFormat="1" x14ac:dyDescent="0.2">
      <c r="A103" s="24"/>
      <c r="B103" s="1"/>
      <c r="C103" s="47" t="s">
        <v>932</v>
      </c>
      <c r="D103" s="111">
        <v>0</v>
      </c>
      <c r="E103" s="104"/>
      <c r="F103" s="2"/>
      <c r="G103" s="30"/>
      <c r="H103" s="110" t="s">
        <v>581</v>
      </c>
    </row>
    <row r="104" spans="1:13" s="70" customFormat="1" x14ac:dyDescent="0.2">
      <c r="A104" s="24"/>
      <c r="B104" s="1"/>
      <c r="C104" s="136" t="s">
        <v>1142</v>
      </c>
      <c r="D104" s="111">
        <v>221.48</v>
      </c>
      <c r="E104" s="104"/>
      <c r="F104" s="2"/>
      <c r="G104" s="30"/>
      <c r="H104" s="110" t="s">
        <v>581</v>
      </c>
    </row>
    <row r="105" spans="1:13" s="70" customFormat="1" x14ac:dyDescent="0.2">
      <c r="A105" s="24"/>
      <c r="B105" s="1"/>
      <c r="C105" s="78" t="s">
        <v>579</v>
      </c>
      <c r="D105" s="109">
        <f>D103+D104</f>
        <v>221.48</v>
      </c>
      <c r="E105" s="104"/>
      <c r="F105" s="2"/>
      <c r="G105" s="30"/>
    </row>
    <row r="106" spans="1:13" s="70" customFormat="1" x14ac:dyDescent="0.2">
      <c r="A106" s="24"/>
      <c r="B106" s="1"/>
      <c r="C106" s="105"/>
      <c r="D106" s="106"/>
      <c r="E106" s="104"/>
      <c r="F106" s="2"/>
      <c r="G106" s="30"/>
      <c r="I106" s="2"/>
      <c r="J106" s="114" t="s">
        <v>713</v>
      </c>
      <c r="K106" s="2"/>
      <c r="L106" s="2"/>
      <c r="M106" s="2"/>
    </row>
    <row r="107" spans="1:13" s="70" customFormat="1" x14ac:dyDescent="0.2">
      <c r="A107" s="24"/>
      <c r="B107" s="1"/>
      <c r="C107" s="78" t="s">
        <v>577</v>
      </c>
      <c r="D107" s="109">
        <f>D98+D105</f>
        <v>803.2</v>
      </c>
      <c r="E107" s="104"/>
      <c r="F107" s="2"/>
      <c r="G107" s="30"/>
      <c r="I107" s="113"/>
      <c r="J107" s="113" t="s">
        <v>709</v>
      </c>
      <c r="K107" s="113" t="s">
        <v>710</v>
      </c>
      <c r="L107" s="113" t="s">
        <v>711</v>
      </c>
      <c r="M107" s="113" t="s">
        <v>712</v>
      </c>
    </row>
    <row r="108" spans="1:13" s="70" customFormat="1" x14ac:dyDescent="0.2">
      <c r="A108" s="24"/>
      <c r="B108" s="1"/>
      <c r="C108" s="56"/>
      <c r="D108" s="56"/>
      <c r="E108" s="104"/>
      <c r="F108" s="2"/>
      <c r="G108" s="30"/>
      <c r="I108" s="113" t="s">
        <v>706</v>
      </c>
      <c r="J108" s="115"/>
      <c r="K108" s="115">
        <v>968.99</v>
      </c>
      <c r="L108" s="115">
        <v>968.99</v>
      </c>
      <c r="M108" s="113">
        <f>+J108+L108-K108</f>
        <v>0</v>
      </c>
    </row>
    <row r="109" spans="1:13" s="70" customFormat="1" ht="38.25" x14ac:dyDescent="0.2">
      <c r="A109" s="24"/>
      <c r="B109" s="1"/>
      <c r="C109" s="79" t="str">
        <f>"Particulars ( 01-04-2021 to "&amp;TEXT(A5,"dd-mm-yyyy")&amp;" )"</f>
        <v>Particulars ( 01-04-2021 to 09-10-2023 )</v>
      </c>
      <c r="D109" s="80" t="s">
        <v>73</v>
      </c>
      <c r="E109" s="80" t="s">
        <v>74</v>
      </c>
      <c r="F109" s="81" t="s">
        <v>75</v>
      </c>
      <c r="G109" s="80" t="s">
        <v>76</v>
      </c>
      <c r="I109" s="113" t="s">
        <v>707</v>
      </c>
      <c r="J109" s="115">
        <v>183.1</v>
      </c>
      <c r="K109" s="115">
        <v>3714.56</v>
      </c>
      <c r="L109" s="115">
        <v>3959.09</v>
      </c>
      <c r="M109" s="113">
        <f>+J109+L109-K109</f>
        <v>427.63000000000056</v>
      </c>
    </row>
    <row r="110" spans="1:13" s="70" customFormat="1" x14ac:dyDescent="0.2">
      <c r="A110" s="24"/>
      <c r="B110" s="1"/>
      <c r="C110" s="50" t="s">
        <v>444</v>
      </c>
      <c r="D110" s="55">
        <f>+L108+L109+J109</f>
        <v>5111.18</v>
      </c>
      <c r="E110" s="55">
        <f>+K108+K109</f>
        <v>4683.55</v>
      </c>
      <c r="F110" s="55">
        <f>+D110-E110</f>
        <v>427.63000000000011</v>
      </c>
      <c r="G110" s="55">
        <f>1500-F110</f>
        <v>1072.3699999999999</v>
      </c>
      <c r="I110" s="113" t="s">
        <v>708</v>
      </c>
      <c r="J110" s="115">
        <v>1371.02</v>
      </c>
      <c r="K110" s="115">
        <v>14449.04</v>
      </c>
      <c r="L110" s="115">
        <v>14010.48</v>
      </c>
      <c r="M110" s="113">
        <f>+J110+L110-K110</f>
        <v>932.45999999999913</v>
      </c>
    </row>
    <row r="111" spans="1:13" s="70" customFormat="1" ht="12.75" customHeight="1" x14ac:dyDescent="0.2">
      <c r="A111" s="24"/>
      <c r="B111" s="1"/>
      <c r="C111" s="50" t="s">
        <v>71</v>
      </c>
      <c r="D111" s="55">
        <f>+J110+L110</f>
        <v>15381.5</v>
      </c>
      <c r="E111" s="55">
        <f>+K110</f>
        <v>14449.04</v>
      </c>
      <c r="F111" s="55">
        <f>+D111-E111</f>
        <v>932.45999999999913</v>
      </c>
      <c r="G111" s="55">
        <f>1500+700-F111</f>
        <v>1267.5400000000009</v>
      </c>
      <c r="I111" s="2"/>
      <c r="J111" s="118">
        <f>SUM(J108:J110)</f>
        <v>1554.12</v>
      </c>
      <c r="K111" s="118">
        <f>SUM(K108:K110)</f>
        <v>19132.59</v>
      </c>
      <c r="L111" s="118">
        <f>SUM(L108:L110)</f>
        <v>18938.559999999998</v>
      </c>
      <c r="M111" s="118">
        <f>SUM(M108:M110)</f>
        <v>1360.0899999999997</v>
      </c>
    </row>
    <row r="112" spans="1:13" s="70" customFormat="1" ht="12.75" customHeight="1" x14ac:dyDescent="0.2">
      <c r="A112" s="24"/>
      <c r="B112" s="1"/>
      <c r="C112" s="14"/>
      <c r="D112" s="56"/>
      <c r="E112" s="13"/>
      <c r="F112" s="2"/>
      <c r="G112" s="30"/>
    </row>
    <row r="113" spans="1:14" s="70" customFormat="1" ht="12.75" customHeight="1" x14ac:dyDescent="0.2">
      <c r="A113" s="215" t="s">
        <v>80</v>
      </c>
      <c r="B113" s="216"/>
      <c r="C113" s="216"/>
      <c r="D113" s="217"/>
      <c r="E113" s="69"/>
      <c r="G113" s="30"/>
    </row>
    <row r="114" spans="1:14" s="70" customFormat="1" ht="12.75" customHeight="1" x14ac:dyDescent="0.2">
      <c r="A114" s="71" t="s">
        <v>81</v>
      </c>
      <c r="B114" s="71"/>
      <c r="C114" s="72" t="s">
        <v>82</v>
      </c>
      <c r="D114" s="73" t="s">
        <v>83</v>
      </c>
      <c r="E114" s="69"/>
      <c r="G114" s="30"/>
    </row>
    <row r="115" spans="1:14" s="70" customFormat="1" ht="12.75" customHeight="1" x14ac:dyDescent="0.2">
      <c r="A115" s="87">
        <v>45203</v>
      </c>
      <c r="B115" s="120" t="s">
        <v>1052</v>
      </c>
      <c r="C115" s="75" t="s">
        <v>18</v>
      </c>
      <c r="D115" s="88">
        <v>193358.43</v>
      </c>
      <c r="E115" s="2"/>
      <c r="F115" s="2"/>
      <c r="G115" s="30"/>
      <c r="H115" s="2"/>
      <c r="I115" s="2"/>
      <c r="J115" s="2"/>
      <c r="K115" s="2"/>
      <c r="L115" s="41"/>
      <c r="M115" s="42"/>
      <c r="N115" s="2"/>
    </row>
    <row r="116" spans="1:14" s="70" customFormat="1" ht="12.75" customHeight="1" x14ac:dyDescent="0.2">
      <c r="A116" s="87">
        <v>45203</v>
      </c>
      <c r="B116" s="120" t="s">
        <v>1052</v>
      </c>
      <c r="C116" s="75" t="s">
        <v>270</v>
      </c>
      <c r="D116" s="88">
        <v>254277</v>
      </c>
      <c r="E116" s="2"/>
      <c r="F116" s="2"/>
      <c r="G116" s="30"/>
      <c r="H116" s="2"/>
      <c r="I116" s="2"/>
      <c r="J116" s="2"/>
      <c r="K116" s="2"/>
      <c r="L116" s="41"/>
      <c r="M116" s="42"/>
      <c r="N116" s="2"/>
    </row>
    <row r="117" spans="1:14" s="70" customFormat="1" ht="12.75" customHeight="1" x14ac:dyDescent="0.2">
      <c r="A117" s="87">
        <v>45204</v>
      </c>
      <c r="B117" s="120" t="s">
        <v>1052</v>
      </c>
      <c r="C117" s="75" t="s">
        <v>85</v>
      </c>
      <c r="D117" s="88">
        <v>765297</v>
      </c>
      <c r="E117" s="2"/>
      <c r="F117" s="2"/>
      <c r="G117" s="30"/>
      <c r="H117" s="2"/>
      <c r="I117" s="2"/>
      <c r="J117" s="2"/>
      <c r="K117" s="2"/>
      <c r="L117" s="41"/>
      <c r="M117" s="42"/>
      <c r="N117" s="2"/>
    </row>
    <row r="118" spans="1:14" s="2" customFormat="1" x14ac:dyDescent="0.2">
      <c r="A118" s="87"/>
      <c r="B118" s="74"/>
      <c r="C118" s="75"/>
      <c r="D118" s="51">
        <f>SUM(D115:D117)</f>
        <v>1212932.43</v>
      </c>
      <c r="F118" s="2" t="s">
        <v>396</v>
      </c>
      <c r="G118" s="1"/>
    </row>
    <row r="119" spans="1:14" s="2" customFormat="1" x14ac:dyDescent="0.2">
      <c r="A119" s="24"/>
      <c r="B119" s="1"/>
      <c r="C119" s="14"/>
      <c r="D119" s="56"/>
      <c r="E119" s="13"/>
      <c r="G119" s="1"/>
    </row>
    <row r="120" spans="1:14" s="2" customFormat="1" x14ac:dyDescent="0.2">
      <c r="A120" s="24"/>
      <c r="B120" s="1"/>
      <c r="C120" s="218" t="s">
        <v>77</v>
      </c>
      <c r="D120" s="219"/>
      <c r="E120" s="219"/>
      <c r="F120" s="220"/>
      <c r="H120" s="2" t="s">
        <v>396</v>
      </c>
    </row>
    <row r="121" spans="1:14" s="2" customFormat="1" x14ac:dyDescent="0.2">
      <c r="A121" s="24"/>
      <c r="B121" s="1"/>
      <c r="C121" s="50"/>
      <c r="D121" s="57" t="s">
        <v>78</v>
      </c>
      <c r="E121" s="58" t="s">
        <v>79</v>
      </c>
      <c r="F121" s="57" t="s">
        <v>72</v>
      </c>
      <c r="H121" s="2" t="s">
        <v>396</v>
      </c>
    </row>
    <row r="122" spans="1:14" s="2" customFormat="1" x14ac:dyDescent="0.2">
      <c r="A122" s="24"/>
      <c r="B122" s="1"/>
      <c r="C122" s="59" t="str">
        <f>"01-10-2023 to "&amp;TEXT(A5-2,"dd-mm-yyyy")</f>
        <v>01-10-2023 to 07-10-2023</v>
      </c>
      <c r="D122" s="60">
        <v>448.68</v>
      </c>
      <c r="E122" s="60">
        <v>84.4</v>
      </c>
      <c r="F122" s="61">
        <f>SUM(D122:E122)</f>
        <v>533.08000000000004</v>
      </c>
    </row>
    <row r="123" spans="1:14" s="2" customFormat="1" x14ac:dyDescent="0.2">
      <c r="A123" s="24"/>
      <c r="B123" s="1"/>
      <c r="C123" s="62" t="str">
        <f>TEXT(A5-1,"dd-mm-yyyy")</f>
        <v>08-10-2023</v>
      </c>
      <c r="D123" s="60">
        <v>0</v>
      </c>
      <c r="E123" s="60">
        <v>7.8</v>
      </c>
      <c r="F123" s="61">
        <f>SUM(D123:E123)</f>
        <v>7.8</v>
      </c>
      <c r="G123" s="1"/>
      <c r="H123" s="53"/>
    </row>
    <row r="124" spans="1:14" s="2" customFormat="1" ht="13.5" thickBot="1" x14ac:dyDescent="0.25">
      <c r="A124" s="24"/>
      <c r="B124" s="1"/>
      <c r="C124" s="63" t="str">
        <f>"01-10-2023 to "&amp;TEXT(A5-1,"dd-mm-yyyy")</f>
        <v>01-10-2023 to 08-10-2023</v>
      </c>
      <c r="D124" s="64">
        <f>SUM(D122:D123)</f>
        <v>448.68</v>
      </c>
      <c r="E124" s="64">
        <f>SUM(E122:E123)</f>
        <v>92.2</v>
      </c>
      <c r="F124" s="64">
        <f>SUM(F122:F123)</f>
        <v>540.88</v>
      </c>
      <c r="G124" s="1"/>
      <c r="H124" s="53"/>
    </row>
    <row r="125" spans="1:14" s="2" customFormat="1" ht="13.5" thickTop="1" x14ac:dyDescent="0.2">
      <c r="A125" s="24"/>
      <c r="B125" s="1"/>
      <c r="C125" s="62"/>
      <c r="D125" s="65"/>
      <c r="E125" s="66"/>
      <c r="F125" s="67"/>
      <c r="L125" s="1"/>
      <c r="M125" s="1"/>
    </row>
    <row r="126" spans="1:14" s="2" customFormat="1" x14ac:dyDescent="0.2">
      <c r="A126" s="24"/>
      <c r="B126" s="1"/>
      <c r="C126" s="62" t="str">
        <f>"01-04-2023 to " &amp;C123</f>
        <v>01-04-2023 to 08-10-2023</v>
      </c>
      <c r="D126" s="68">
        <f>+D124+27003.42</f>
        <v>27452.1</v>
      </c>
      <c r="E126" s="68">
        <f>+E124+2028.43</f>
        <v>2120.63</v>
      </c>
      <c r="F126" s="68">
        <f>+F124+29031.85</f>
        <v>29572.73</v>
      </c>
      <c r="G126" s="1"/>
      <c r="L126" s="1"/>
      <c r="M126" s="1"/>
    </row>
    <row r="127" spans="1:14" s="2" customFormat="1" x14ac:dyDescent="0.2">
      <c r="A127" s="24"/>
      <c r="B127" s="1"/>
      <c r="C127" s="52"/>
      <c r="D127" s="85"/>
      <c r="E127" s="53"/>
      <c r="F127" s="53"/>
      <c r="G127" s="1"/>
      <c r="L127" s="1"/>
      <c r="M127" s="1"/>
    </row>
    <row r="128" spans="1:14" s="2" customFormat="1" x14ac:dyDescent="0.2">
      <c r="A128" s="24"/>
      <c r="B128" s="1"/>
      <c r="C128" s="52"/>
      <c r="D128" s="85"/>
      <c r="E128" s="53"/>
      <c r="F128" s="53"/>
      <c r="G128" s="1"/>
      <c r="L128" s="1"/>
      <c r="M128" s="1"/>
    </row>
    <row r="129" spans="1:13" s="2" customFormat="1" x14ac:dyDescent="0.2">
      <c r="A129" s="24"/>
      <c r="B129" s="1"/>
      <c r="C129" s="52"/>
      <c r="D129" s="85"/>
      <c r="E129" s="53"/>
      <c r="F129" s="53"/>
      <c r="G129" s="1"/>
      <c r="L129" s="1"/>
      <c r="M129" s="1"/>
    </row>
    <row r="130" spans="1:13" s="2" customFormat="1" x14ac:dyDescent="0.2">
      <c r="A130" s="24"/>
      <c r="B130" s="1"/>
      <c r="C130" s="52"/>
      <c r="D130" s="85"/>
      <c r="E130" s="53"/>
      <c r="F130" s="53"/>
      <c r="G130" s="1"/>
      <c r="L130" s="1"/>
      <c r="M130" s="1"/>
    </row>
    <row r="131" spans="1:13" s="2" customFormat="1" x14ac:dyDescent="0.2">
      <c r="A131" s="24"/>
      <c r="B131" s="1"/>
      <c r="C131" s="14"/>
      <c r="D131" s="25"/>
      <c r="G131" s="1"/>
      <c r="L131" s="1"/>
      <c r="M131" s="1"/>
    </row>
    <row r="132" spans="1:13" s="2" customFormat="1" x14ac:dyDescent="0.2">
      <c r="A132" s="24"/>
      <c r="B132" s="1"/>
      <c r="C132" s="14"/>
      <c r="D132" s="25"/>
      <c r="G132" s="1"/>
      <c r="L132" s="1"/>
      <c r="M132" s="1"/>
    </row>
    <row r="133" spans="1:13" s="2" customFormat="1" x14ac:dyDescent="0.2">
      <c r="A133" s="24"/>
      <c r="B133" s="1"/>
      <c r="C133" s="14"/>
      <c r="D133" s="25"/>
      <c r="G133" s="1"/>
      <c r="L133" s="1"/>
      <c r="M133" s="1"/>
    </row>
    <row r="134" spans="1:13" s="2" customFormat="1" x14ac:dyDescent="0.2">
      <c r="A134" s="24"/>
      <c r="B134" s="1"/>
      <c r="C134" s="14"/>
      <c r="D134" s="25"/>
      <c r="G134" s="1"/>
      <c r="L134" s="1"/>
      <c r="M134" s="1"/>
    </row>
    <row r="135" spans="1:13" s="2" customFormat="1" x14ac:dyDescent="0.2">
      <c r="A135" s="24"/>
      <c r="B135" s="1"/>
      <c r="C135" s="14"/>
      <c r="D135" s="25"/>
      <c r="G135" s="1"/>
      <c r="L135" s="1"/>
      <c r="M135" s="1"/>
    </row>
    <row r="136" spans="1:13" s="2" customFormat="1" x14ac:dyDescent="0.2">
      <c r="A136" s="24"/>
      <c r="B136" s="1"/>
      <c r="C136" s="14"/>
      <c r="D136" s="25"/>
      <c r="G136" s="1"/>
      <c r="L136" s="1"/>
      <c r="M136" s="1"/>
    </row>
    <row r="137" spans="1:13" s="2" customFormat="1" x14ac:dyDescent="0.2">
      <c r="A137" s="24"/>
      <c r="B137" s="1"/>
      <c r="C137" s="14"/>
      <c r="D137" s="25"/>
      <c r="G137" s="1"/>
      <c r="L137" s="1"/>
      <c r="M137" s="1"/>
    </row>
    <row r="138" spans="1:13" s="2" customFormat="1" x14ac:dyDescent="0.2">
      <c r="A138" s="24"/>
      <c r="B138" s="1"/>
      <c r="C138" s="14"/>
      <c r="D138" s="25"/>
      <c r="G138" s="1"/>
      <c r="L138" s="1"/>
      <c r="M138" s="1"/>
    </row>
    <row r="139" spans="1:13" s="2" customFormat="1" x14ac:dyDescent="0.2">
      <c r="A139" s="24"/>
      <c r="B139" s="1"/>
      <c r="C139" s="14"/>
      <c r="D139" s="25"/>
      <c r="G139" s="1"/>
      <c r="L139" s="1"/>
      <c r="M139" s="1"/>
    </row>
    <row r="140" spans="1:13" s="2" customFormat="1" x14ac:dyDescent="0.2">
      <c r="A140" s="24"/>
      <c r="B140" s="1"/>
      <c r="C140" s="14"/>
      <c r="D140" s="25"/>
      <c r="G140" s="1"/>
      <c r="L140" s="1"/>
      <c r="M140" s="1"/>
    </row>
    <row r="141" spans="1:13" s="2" customFormat="1" x14ac:dyDescent="0.2">
      <c r="A141" s="24"/>
      <c r="B141" s="1"/>
      <c r="C141" s="14"/>
      <c r="D141" s="25"/>
      <c r="G141" s="1"/>
      <c r="L141" s="1"/>
      <c r="M141" s="1"/>
    </row>
    <row r="142" spans="1:13" s="2" customFormat="1" x14ac:dyDescent="0.2">
      <c r="A142" s="24"/>
      <c r="B142" s="1"/>
      <c r="C142" s="14"/>
      <c r="D142" s="25"/>
      <c r="G142" s="1"/>
      <c r="L142" s="1"/>
      <c r="M142" s="1"/>
    </row>
    <row r="143" spans="1:13" s="2" customFormat="1" x14ac:dyDescent="0.2">
      <c r="A143" s="24"/>
      <c r="B143" s="1"/>
      <c r="C143" s="14"/>
      <c r="D143" s="25"/>
      <c r="G143" s="1"/>
      <c r="L143" s="1"/>
      <c r="M143" s="1"/>
    </row>
    <row r="144" spans="1:13" s="2" customFormat="1" x14ac:dyDescent="0.2">
      <c r="A144" s="24"/>
      <c r="B144" s="1"/>
      <c r="C144" s="14"/>
      <c r="D144" s="25"/>
      <c r="G144" s="1"/>
      <c r="L144" s="1"/>
      <c r="M144" s="1"/>
    </row>
    <row r="145" spans="1:14" s="2" customFormat="1" x14ac:dyDescent="0.2">
      <c r="A145" s="24"/>
      <c r="B145" s="1"/>
      <c r="C145" s="14"/>
      <c r="D145" s="25"/>
      <c r="G145" s="1"/>
      <c r="I145" s="1"/>
      <c r="J145" s="1"/>
      <c r="K145" s="1"/>
      <c r="L145" s="1"/>
      <c r="M145" s="1"/>
    </row>
    <row r="146" spans="1:14" s="2" customFormat="1" x14ac:dyDescent="0.2">
      <c r="A146" s="24"/>
      <c r="B146" s="1"/>
      <c r="C146" s="14"/>
      <c r="D146" s="25"/>
      <c r="G146" s="1"/>
    </row>
    <row r="147" spans="1:14" s="2" customFormat="1" x14ac:dyDescent="0.2">
      <c r="A147" s="24"/>
      <c r="B147" s="1"/>
      <c r="C147" s="14"/>
      <c r="D147" s="25"/>
      <c r="G147" s="1"/>
      <c r="I147" s="1"/>
      <c r="J147" s="1"/>
      <c r="K147" s="1"/>
      <c r="L147" s="1"/>
      <c r="M147" s="1"/>
    </row>
    <row r="148" spans="1:14" s="2" customFormat="1" x14ac:dyDescent="0.2">
      <c r="A148" s="24"/>
      <c r="B148" s="1"/>
      <c r="C148" s="14"/>
      <c r="D148" s="25"/>
      <c r="G148" s="54"/>
      <c r="I148" s="1"/>
      <c r="J148" s="1"/>
      <c r="K148" s="1"/>
      <c r="L148" s="1"/>
      <c r="M148" s="1"/>
    </row>
    <row r="149" spans="1:14" s="2" customFormat="1" x14ac:dyDescent="0.2">
      <c r="A149" s="24"/>
      <c r="B149" s="1"/>
      <c r="C149" s="14"/>
      <c r="D149" s="25"/>
      <c r="G149" s="54"/>
      <c r="I149" s="1"/>
      <c r="J149" s="1"/>
      <c r="K149" s="1"/>
      <c r="L149" s="1"/>
      <c r="M149" s="1"/>
    </row>
    <row r="150" spans="1:14" s="2" customFormat="1" x14ac:dyDescent="0.2">
      <c r="A150" s="24"/>
      <c r="B150" s="1"/>
      <c r="C150" s="14"/>
      <c r="D150" s="25"/>
      <c r="G150" s="54"/>
      <c r="I150" s="1"/>
      <c r="J150" s="1"/>
      <c r="K150" s="1"/>
      <c r="L150" s="1"/>
      <c r="M150" s="1"/>
    </row>
    <row r="151" spans="1:14" s="2" customFormat="1" x14ac:dyDescent="0.2">
      <c r="A151" s="24"/>
      <c r="B151" s="1"/>
      <c r="C151" s="14"/>
      <c r="D151" s="25"/>
      <c r="G151" s="54"/>
      <c r="H151" s="2" t="s">
        <v>396</v>
      </c>
      <c r="I151" s="1"/>
      <c r="J151" s="1"/>
      <c r="K151" s="1"/>
      <c r="L151" s="1"/>
      <c r="M151" s="1"/>
      <c r="N151" s="1"/>
    </row>
    <row r="152" spans="1:14" s="2" customFormat="1" x14ac:dyDescent="0.2">
      <c r="A152" s="24"/>
      <c r="B152" s="1"/>
      <c r="C152" s="14"/>
      <c r="D152" s="25"/>
      <c r="G152" s="54"/>
      <c r="H152" s="53"/>
    </row>
    <row r="153" spans="1:14" s="2" customFormat="1" x14ac:dyDescent="0.2">
      <c r="A153" s="24"/>
      <c r="B153" s="1"/>
      <c r="C153" s="14"/>
      <c r="D153" s="25"/>
      <c r="G153" s="54"/>
      <c r="H153" s="53" t="s">
        <v>396</v>
      </c>
      <c r="I153" s="1"/>
      <c r="J153" s="1"/>
      <c r="K153" s="1"/>
      <c r="L153" s="1"/>
      <c r="M153" s="1"/>
      <c r="N153" s="1"/>
    </row>
    <row r="154" spans="1:14" x14ac:dyDescent="0.2">
      <c r="G154" s="54"/>
      <c r="H154" s="53" t="s">
        <v>396</v>
      </c>
      <c r="J154" s="42"/>
    </row>
    <row r="155" spans="1:14" s="2" customFormat="1" x14ac:dyDescent="0.2">
      <c r="A155" s="24"/>
      <c r="B155" s="1"/>
      <c r="C155" s="14"/>
      <c r="D155" s="25"/>
      <c r="G155" s="54"/>
      <c r="H155" s="53"/>
      <c r="I155" s="101"/>
      <c r="J155" s="1"/>
      <c r="K155" s="1"/>
      <c r="L155" s="1"/>
      <c r="M155" s="1"/>
      <c r="N155" s="1"/>
    </row>
    <row r="156" spans="1:14" x14ac:dyDescent="0.2">
      <c r="G156" s="54"/>
      <c r="H156" s="53"/>
    </row>
    <row r="157" spans="1:14" x14ac:dyDescent="0.2">
      <c r="G157" s="54"/>
      <c r="H157" s="53"/>
    </row>
    <row r="158" spans="1:14" x14ac:dyDescent="0.2">
      <c r="G158" s="54"/>
      <c r="H158" s="53"/>
    </row>
  </sheetData>
  <sheetProtection insertRows="0"/>
  <mergeCells count="6">
    <mergeCell ref="C120:F120"/>
    <mergeCell ref="A1:G1"/>
    <mergeCell ref="A3:F3"/>
    <mergeCell ref="A10:F10"/>
    <mergeCell ref="A27:F27"/>
    <mergeCell ref="A113:D113"/>
  </mergeCells>
  <conditionalFormatting sqref="G110:G111">
    <cfRule type="cellIs" dxfId="277" priority="1" operator="lessThan">
      <formula>0</formula>
    </cfRule>
  </conditionalFormatting>
  <conditionalFormatting sqref="C29">
    <cfRule type="duplicateValues" dxfId="276" priority="2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800-000000000000}">
  <sheetPr codeName="Sheet448">
    <pageSetUpPr fitToPage="1"/>
  </sheetPr>
  <dimension ref="A1:N123"/>
  <sheetViews>
    <sheetView topLeftCell="B25" zoomScaleNormal="100" workbookViewId="0">
      <selection activeCell="E36" sqref="E36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3" ht="20.25" customHeight="1" x14ac:dyDescent="0.4">
      <c r="A1" s="212" t="s">
        <v>1653</v>
      </c>
      <c r="B1" s="212"/>
      <c r="C1" s="212"/>
      <c r="D1" s="212"/>
      <c r="E1" s="212"/>
      <c r="F1" s="212"/>
      <c r="G1" s="212"/>
      <c r="H1" s="112"/>
      <c r="I1" s="112"/>
    </row>
    <row r="2" spans="1:13" ht="12.75" customHeight="1" x14ac:dyDescent="0.4">
      <c r="H2" s="112"/>
      <c r="I2" s="112"/>
    </row>
    <row r="3" spans="1:13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3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3" s="2" customFormat="1" ht="14.25" customHeight="1" x14ac:dyDescent="0.4">
      <c r="A5" s="89">
        <v>45209</v>
      </c>
      <c r="B5" s="9" t="s">
        <v>6</v>
      </c>
      <c r="C5" s="10" t="s">
        <v>7</v>
      </c>
      <c r="D5" s="11"/>
      <c r="E5" s="12">
        <v>456701.79000000097</v>
      </c>
      <c r="F5" s="12"/>
      <c r="G5" s="1"/>
      <c r="H5" s="112"/>
      <c r="I5" s="112"/>
    </row>
    <row r="6" spans="1:13" s="2" customFormat="1" ht="12.75" customHeight="1" x14ac:dyDescent="0.4">
      <c r="D6" s="15" t="s">
        <v>8</v>
      </c>
      <c r="E6" s="16">
        <f>SUM(E5:E5)</f>
        <v>456701.79000000097</v>
      </c>
      <c r="F6" s="16">
        <f>F5</f>
        <v>0</v>
      </c>
      <c r="G6" s="1"/>
      <c r="H6" s="112"/>
      <c r="I6" s="112"/>
    </row>
    <row r="7" spans="1:13" s="2" customFormat="1" ht="12.75" customHeight="1" x14ac:dyDescent="0.4">
      <c r="A7" s="17"/>
      <c r="B7" s="18"/>
      <c r="C7" s="19" t="s">
        <v>9</v>
      </c>
      <c r="D7" s="20"/>
      <c r="E7" s="21">
        <f>+E6-F6</f>
        <v>456701.79000000097</v>
      </c>
      <c r="F7" s="22"/>
      <c r="G7" s="23"/>
      <c r="H7" s="112"/>
      <c r="I7" s="112"/>
      <c r="J7" s="13"/>
    </row>
    <row r="8" spans="1:13" ht="12.75" customHeight="1" x14ac:dyDescent="0.4">
      <c r="H8" s="112"/>
      <c r="I8" s="112"/>
    </row>
    <row r="9" spans="1:13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69">
        <v>90000000</v>
      </c>
      <c r="J9" s="169" t="s">
        <v>1508</v>
      </c>
    </row>
    <row r="10" spans="1:13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69">
        <v>88118093.170000002</v>
      </c>
      <c r="J10" s="169" t="s">
        <v>1509</v>
      </c>
      <c r="K10" s="124"/>
    </row>
    <row r="11" spans="1:13" s="2" customFormat="1" ht="14.25" customHeight="1" x14ac:dyDescent="0.2">
      <c r="A11" s="89">
        <v>45209</v>
      </c>
      <c r="B11" s="9" t="s">
        <v>6</v>
      </c>
      <c r="C11" s="10" t="s">
        <v>7</v>
      </c>
      <c r="D11" s="11"/>
      <c r="F11" s="12">
        <v>88205692.170000002</v>
      </c>
      <c r="G11" s="1"/>
      <c r="H11" s="130" t="s">
        <v>396</v>
      </c>
      <c r="I11" s="169">
        <f>+I9-I10</f>
        <v>1881906.8299999982</v>
      </c>
      <c r="J11" s="169" t="s">
        <v>712</v>
      </c>
      <c r="K11" s="165" t="s">
        <v>1512</v>
      </c>
    </row>
    <row r="12" spans="1:13" s="2" customFormat="1" ht="14.25" customHeight="1" x14ac:dyDescent="0.2">
      <c r="A12" s="89">
        <v>45209</v>
      </c>
      <c r="B12" s="9" t="s">
        <v>6</v>
      </c>
      <c r="C12" s="76" t="s">
        <v>158</v>
      </c>
      <c r="D12" s="11" t="s">
        <v>13</v>
      </c>
      <c r="E12" s="2">
        <v>49799</v>
      </c>
      <c r="F12" s="12"/>
      <c r="G12" s="1"/>
      <c r="H12" s="130"/>
      <c r="I12" s="171"/>
      <c r="J12" s="171"/>
      <c r="K12" s="165"/>
    </row>
    <row r="13" spans="1:13" s="2" customFormat="1" ht="14.25" customHeight="1" x14ac:dyDescent="0.2">
      <c r="A13" s="89">
        <v>45209</v>
      </c>
      <c r="B13" s="9" t="s">
        <v>6</v>
      </c>
      <c r="C13" s="76" t="s">
        <v>173</v>
      </c>
      <c r="D13" s="11" t="s">
        <v>13</v>
      </c>
      <c r="E13" s="2">
        <v>37800</v>
      </c>
      <c r="F13" s="12"/>
      <c r="G13" s="1"/>
      <c r="H13" s="130"/>
      <c r="I13" s="171"/>
      <c r="J13" s="171"/>
      <c r="K13" s="165"/>
    </row>
    <row r="14" spans="1:13" s="2" customFormat="1" ht="14.25" customHeight="1" x14ac:dyDescent="0.2">
      <c r="D14" s="11" t="s">
        <v>8</v>
      </c>
      <c r="E14" s="16">
        <f>SUM(E11:E13)</f>
        <v>87599</v>
      </c>
      <c r="F14" s="16">
        <f>SUM(F11:F13)</f>
        <v>88205692.170000002</v>
      </c>
      <c r="G14" s="1"/>
      <c r="H14" s="143"/>
      <c r="I14" s="130"/>
      <c r="J14" s="143"/>
      <c r="K14" s="143"/>
      <c r="L14" s="143"/>
      <c r="M14" s="143"/>
    </row>
    <row r="15" spans="1:13" s="2" customFormat="1" ht="14.25" customHeight="1" x14ac:dyDescent="0.4">
      <c r="A15" s="17"/>
      <c r="B15" s="18"/>
      <c r="C15" s="96" t="s">
        <v>9</v>
      </c>
      <c r="D15" s="20"/>
      <c r="E15" s="21">
        <f>+F14-E14</f>
        <v>88118093.170000002</v>
      </c>
      <c r="G15" s="1"/>
      <c r="I15" s="112"/>
      <c r="J15" s="153" t="s">
        <v>779</v>
      </c>
    </row>
    <row r="16" spans="1:13" s="2" customFormat="1" ht="14.25" customHeight="1" x14ac:dyDescent="0.2">
      <c r="A16" s="36"/>
      <c r="B16" s="28" t="s">
        <v>66</v>
      </c>
      <c r="C16" s="43" t="s">
        <v>1458</v>
      </c>
      <c r="D16" s="43"/>
      <c r="E16" s="12">
        <v>30000000</v>
      </c>
      <c r="F16" s="22"/>
      <c r="G16" s="1"/>
      <c r="I16" s="40">
        <v>88118093.170000002</v>
      </c>
      <c r="J16" s="154">
        <f>I16-E15</f>
        <v>0</v>
      </c>
    </row>
    <row r="17" spans="1:14" s="2" customFormat="1" ht="14.25" customHeight="1" x14ac:dyDescent="0.25">
      <c r="A17" s="36"/>
      <c r="B17" s="28"/>
      <c r="C17" s="44" t="s">
        <v>1541</v>
      </c>
      <c r="D17" s="43"/>
      <c r="E17" s="7">
        <f>+E15+E16</f>
        <v>118118093.17</v>
      </c>
      <c r="F17" s="22"/>
      <c r="G17" s="1"/>
      <c r="H17" s="13" t="s">
        <v>1582</v>
      </c>
      <c r="I17" s="13" t="s">
        <v>1583</v>
      </c>
    </row>
    <row r="18" spans="1:14" s="2" customFormat="1" ht="14.25" customHeight="1" x14ac:dyDescent="0.25">
      <c r="A18" s="36"/>
      <c r="B18" s="28"/>
      <c r="C18" s="44" t="s">
        <v>1511</v>
      </c>
      <c r="D18" s="43"/>
      <c r="E18" s="38">
        <f>+I11</f>
        <v>1881906.8299999982</v>
      </c>
      <c r="F18" s="22"/>
      <c r="G18" s="1"/>
      <c r="H18" s="2">
        <v>11858949.800000001</v>
      </c>
      <c r="I18" s="2">
        <v>3494103.58</v>
      </c>
      <c r="J18" s="176">
        <f>H18-I18</f>
        <v>8364846.2200000007</v>
      </c>
    </row>
    <row r="19" spans="1:14" s="2" customFormat="1" ht="14.25" customHeight="1" x14ac:dyDescent="0.2">
      <c r="A19" s="24"/>
      <c r="B19" s="1"/>
      <c r="C19" s="14"/>
      <c r="D19" s="25"/>
      <c r="G19" s="1"/>
      <c r="I19" s="130"/>
      <c r="J19" s="130"/>
    </row>
    <row r="20" spans="1:14" s="2" customFormat="1" x14ac:dyDescent="0.2">
      <c r="A20" s="214" t="s">
        <v>10</v>
      </c>
      <c r="B20" s="214"/>
      <c r="C20" s="214"/>
      <c r="D20" s="214"/>
      <c r="E20" s="214"/>
      <c r="F20" s="214"/>
      <c r="G20" s="1"/>
      <c r="H20" s="159"/>
      <c r="I20" s="160">
        <f>225000000-75000000-50000000</f>
        <v>100000000</v>
      </c>
      <c r="J20" s="160" t="s">
        <v>1506</v>
      </c>
      <c r="K20" s="70"/>
    </row>
    <row r="21" spans="1:14" s="2" customFormat="1" x14ac:dyDescent="0.2">
      <c r="A21" s="26" t="s">
        <v>1</v>
      </c>
      <c r="B21" s="27" t="s">
        <v>2</v>
      </c>
      <c r="C21" s="5"/>
      <c r="D21" s="6" t="s">
        <v>3</v>
      </c>
      <c r="E21" s="7" t="s">
        <v>4</v>
      </c>
      <c r="F21" s="7" t="s">
        <v>5</v>
      </c>
      <c r="G21" s="1"/>
      <c r="H21" s="159"/>
      <c r="I21" s="160">
        <v>81415745.689999998</v>
      </c>
      <c r="J21" s="160" t="s">
        <v>1507</v>
      </c>
      <c r="K21" s="70" t="s">
        <v>1512</v>
      </c>
    </row>
    <row r="22" spans="1:14" s="2" customFormat="1" x14ac:dyDescent="0.2">
      <c r="A22" s="89">
        <v>45209</v>
      </c>
      <c r="B22" s="128" t="s">
        <v>11</v>
      </c>
      <c r="C22" s="29" t="s">
        <v>7</v>
      </c>
      <c r="D22" s="25"/>
      <c r="E22" s="31"/>
      <c r="F22" s="2">
        <v>74725275.960000083</v>
      </c>
      <c r="G22" s="23"/>
      <c r="H22" s="159" t="s">
        <v>1505</v>
      </c>
      <c r="I22" s="160">
        <f>+I20-I21</f>
        <v>18584254.310000002</v>
      </c>
      <c r="J22" s="160"/>
      <c r="K22" s="70"/>
    </row>
    <row r="23" spans="1:14" s="2" customFormat="1" x14ac:dyDescent="0.2">
      <c r="A23" s="89">
        <v>45209</v>
      </c>
      <c r="B23" s="128" t="s">
        <v>6</v>
      </c>
      <c r="C23" s="10" t="s">
        <v>174</v>
      </c>
      <c r="D23" s="11" t="s">
        <v>13</v>
      </c>
      <c r="E23" s="86">
        <v>397702</v>
      </c>
      <c r="F23" s="70"/>
      <c r="G23" s="1"/>
      <c r="N23" s="1"/>
    </row>
    <row r="24" spans="1:14" s="2" customFormat="1" x14ac:dyDescent="0.2">
      <c r="A24" s="89">
        <v>45209</v>
      </c>
      <c r="B24" s="128" t="s">
        <v>6</v>
      </c>
      <c r="C24" s="10" t="s">
        <v>1654</v>
      </c>
      <c r="D24" s="11" t="s">
        <v>13</v>
      </c>
      <c r="E24" s="86">
        <v>164388</v>
      </c>
      <c r="F24" s="70"/>
      <c r="G24" s="1"/>
      <c r="N24" s="1"/>
    </row>
    <row r="25" spans="1:14" s="2" customFormat="1" x14ac:dyDescent="0.2">
      <c r="A25" s="89">
        <v>45209</v>
      </c>
      <c r="B25" s="128" t="s">
        <v>6</v>
      </c>
      <c r="C25" s="10" t="s">
        <v>19</v>
      </c>
      <c r="D25" s="11" t="s">
        <v>13</v>
      </c>
      <c r="E25" s="86">
        <v>38745</v>
      </c>
      <c r="F25" s="70"/>
      <c r="G25" s="1"/>
      <c r="N25" s="1"/>
    </row>
    <row r="26" spans="1:14" s="2" customFormat="1" x14ac:dyDescent="0.2">
      <c r="A26" s="89">
        <v>45209</v>
      </c>
      <c r="B26" s="128" t="s">
        <v>6</v>
      </c>
      <c r="C26" s="10" t="s">
        <v>120</v>
      </c>
      <c r="D26" s="11" t="s">
        <v>13</v>
      </c>
      <c r="E26" s="86">
        <v>107892</v>
      </c>
      <c r="F26" s="70"/>
      <c r="G26" s="1"/>
      <c r="N26" s="1"/>
    </row>
    <row r="27" spans="1:14" s="2" customFormat="1" x14ac:dyDescent="0.2">
      <c r="A27" s="89">
        <v>45209</v>
      </c>
      <c r="B27" s="128" t="s">
        <v>6</v>
      </c>
      <c r="C27" s="10" t="s">
        <v>516</v>
      </c>
      <c r="D27" s="11" t="s">
        <v>13</v>
      </c>
      <c r="E27" s="86">
        <v>73930</v>
      </c>
      <c r="F27" s="70"/>
      <c r="G27" s="1"/>
      <c r="N27" s="1"/>
    </row>
    <row r="28" spans="1:14" s="2" customFormat="1" x14ac:dyDescent="0.2">
      <c r="A28" s="89">
        <v>45209</v>
      </c>
      <c r="B28" s="128" t="s">
        <v>6</v>
      </c>
      <c r="C28" s="10" t="s">
        <v>1416</v>
      </c>
      <c r="D28" s="11" t="s">
        <v>13</v>
      </c>
      <c r="E28" s="86">
        <v>299949</v>
      </c>
      <c r="F28" s="70"/>
      <c r="G28" s="1"/>
      <c r="N28" s="1"/>
    </row>
    <row r="29" spans="1:14" s="2" customFormat="1" x14ac:dyDescent="0.2">
      <c r="A29" s="89">
        <v>45209</v>
      </c>
      <c r="B29" s="128" t="s">
        <v>6</v>
      </c>
      <c r="C29" s="10" t="s">
        <v>390</v>
      </c>
      <c r="D29" s="11" t="s">
        <v>13</v>
      </c>
      <c r="E29" s="86">
        <v>3308328</v>
      </c>
      <c r="F29" s="70"/>
      <c r="G29" s="1"/>
      <c r="N29" s="1"/>
    </row>
    <row r="30" spans="1:14" s="2" customFormat="1" x14ac:dyDescent="0.2">
      <c r="A30" s="89">
        <v>45209</v>
      </c>
      <c r="B30" s="128" t="s">
        <v>6</v>
      </c>
      <c r="C30" s="10" t="s">
        <v>16</v>
      </c>
      <c r="D30" s="11" t="s">
        <v>13</v>
      </c>
      <c r="E30" s="86">
        <v>7080</v>
      </c>
      <c r="F30" s="70"/>
      <c r="G30" s="1"/>
      <c r="N30" s="1"/>
    </row>
    <row r="31" spans="1:14" s="2" customFormat="1" x14ac:dyDescent="0.2">
      <c r="A31" s="89">
        <v>45209</v>
      </c>
      <c r="B31" s="128" t="s">
        <v>6</v>
      </c>
      <c r="C31" s="10" t="s">
        <v>1656</v>
      </c>
      <c r="D31" s="11" t="s">
        <v>13</v>
      </c>
      <c r="E31" s="86">
        <v>91494</v>
      </c>
      <c r="F31" s="70"/>
      <c r="G31" s="1"/>
      <c r="N31" s="1"/>
    </row>
    <row r="32" spans="1:14" s="2" customFormat="1" x14ac:dyDescent="0.2">
      <c r="A32" s="89">
        <v>45209</v>
      </c>
      <c r="B32" s="128" t="s">
        <v>6</v>
      </c>
      <c r="C32" s="10" t="s">
        <v>927</v>
      </c>
      <c r="D32" s="11" t="s">
        <v>13</v>
      </c>
      <c r="E32" s="86">
        <v>104475</v>
      </c>
      <c r="F32" s="70"/>
      <c r="G32" s="1"/>
      <c r="N32" s="1"/>
    </row>
    <row r="33" spans="1:14" s="2" customFormat="1" x14ac:dyDescent="0.2">
      <c r="A33" s="89">
        <v>45209</v>
      </c>
      <c r="B33" s="128" t="s">
        <v>6</v>
      </c>
      <c r="C33" s="10" t="s">
        <v>1427</v>
      </c>
      <c r="D33" s="11" t="s">
        <v>13</v>
      </c>
      <c r="E33" s="86">
        <v>2205</v>
      </c>
      <c r="F33" s="70"/>
      <c r="G33" s="1"/>
      <c r="N33" s="1"/>
    </row>
    <row r="34" spans="1:14" s="2" customFormat="1" x14ac:dyDescent="0.2">
      <c r="A34" s="89">
        <v>45209</v>
      </c>
      <c r="B34" s="128" t="s">
        <v>6</v>
      </c>
      <c r="C34" s="10" t="s">
        <v>15</v>
      </c>
      <c r="D34" s="11" t="s">
        <v>13</v>
      </c>
      <c r="E34" s="86">
        <v>1693.4299999999998</v>
      </c>
      <c r="F34" s="70"/>
      <c r="G34" s="1"/>
      <c r="N34" s="1"/>
    </row>
    <row r="35" spans="1:14" s="2" customFormat="1" x14ac:dyDescent="0.2">
      <c r="A35" s="89">
        <v>45209</v>
      </c>
      <c r="B35" s="128" t="s">
        <v>6</v>
      </c>
      <c r="C35" s="10" t="s">
        <v>764</v>
      </c>
      <c r="D35" s="11" t="s">
        <v>13</v>
      </c>
      <c r="E35" s="86">
        <v>5521546.6100000003</v>
      </c>
      <c r="F35" s="70"/>
      <c r="G35" s="1"/>
      <c r="N35" s="1"/>
    </row>
    <row r="36" spans="1:14" s="2" customFormat="1" x14ac:dyDescent="0.2">
      <c r="A36" s="89">
        <v>45209</v>
      </c>
      <c r="B36" s="128" t="s">
        <v>6</v>
      </c>
      <c r="C36" s="10" t="s">
        <v>1419</v>
      </c>
      <c r="D36" s="11" t="s">
        <v>13</v>
      </c>
      <c r="E36" s="86">
        <v>87475</v>
      </c>
      <c r="F36" s="70"/>
      <c r="G36" s="1"/>
      <c r="N36" s="1"/>
    </row>
    <row r="37" spans="1:14" s="2" customFormat="1" x14ac:dyDescent="0.2">
      <c r="A37" s="89">
        <v>45209</v>
      </c>
      <c r="B37" s="128" t="s">
        <v>11</v>
      </c>
      <c r="C37" s="10" t="s">
        <v>64</v>
      </c>
      <c r="D37" s="11" t="s">
        <v>29</v>
      </c>
      <c r="E37" s="86"/>
      <c r="F37" s="70">
        <v>13586.84</v>
      </c>
      <c r="G37" s="1"/>
      <c r="N37" s="1"/>
    </row>
    <row r="38" spans="1:14" s="2" customFormat="1" x14ac:dyDescent="0.2">
      <c r="A38" s="89">
        <v>45209</v>
      </c>
      <c r="B38" s="128" t="s">
        <v>11</v>
      </c>
      <c r="C38" s="10" t="s">
        <v>216</v>
      </c>
      <c r="D38" s="11" t="s">
        <v>29</v>
      </c>
      <c r="E38" s="86"/>
      <c r="F38" s="70">
        <v>201889</v>
      </c>
      <c r="G38" s="1"/>
      <c r="N38" s="1"/>
    </row>
    <row r="39" spans="1:14" s="2" customFormat="1" x14ac:dyDescent="0.2">
      <c r="A39" s="89">
        <v>45209</v>
      </c>
      <c r="B39" s="128" t="s">
        <v>11</v>
      </c>
      <c r="C39" s="10" t="s">
        <v>218</v>
      </c>
      <c r="D39" s="11" t="s">
        <v>29</v>
      </c>
      <c r="E39" s="86"/>
      <c r="F39" s="70">
        <v>53355</v>
      </c>
      <c r="G39" s="1"/>
      <c r="N39" s="1"/>
    </row>
    <row r="40" spans="1:14" s="2" customFormat="1" x14ac:dyDescent="0.2">
      <c r="A40" s="89">
        <v>45209</v>
      </c>
      <c r="B40" s="128" t="s">
        <v>11</v>
      </c>
      <c r="C40" s="10" t="s">
        <v>1403</v>
      </c>
      <c r="D40" s="11" t="s">
        <v>29</v>
      </c>
      <c r="E40" s="86"/>
      <c r="F40" s="70">
        <v>2316459</v>
      </c>
      <c r="G40" s="1"/>
      <c r="N40" s="1"/>
    </row>
    <row r="41" spans="1:14" s="2" customFormat="1" x14ac:dyDescent="0.2">
      <c r="A41" s="89">
        <v>45209</v>
      </c>
      <c r="B41" s="128" t="s">
        <v>11</v>
      </c>
      <c r="C41" s="10" t="s">
        <v>217</v>
      </c>
      <c r="D41" s="11" t="s">
        <v>29</v>
      </c>
      <c r="E41" s="86"/>
      <c r="F41" s="70">
        <v>51995</v>
      </c>
      <c r="G41" s="1"/>
      <c r="N41" s="1"/>
    </row>
    <row r="42" spans="1:14" s="2" customFormat="1" x14ac:dyDescent="0.2">
      <c r="A42" s="89">
        <v>45209</v>
      </c>
      <c r="B42" s="128" t="s">
        <v>11</v>
      </c>
      <c r="C42" s="10" t="s">
        <v>242</v>
      </c>
      <c r="D42" s="11" t="s">
        <v>29</v>
      </c>
      <c r="E42" s="86"/>
      <c r="F42" s="70">
        <v>400000</v>
      </c>
      <c r="G42" s="1"/>
      <c r="N42" s="1"/>
    </row>
    <row r="43" spans="1:14" s="2" customFormat="1" x14ac:dyDescent="0.2">
      <c r="A43" s="89">
        <v>45209</v>
      </c>
      <c r="B43" s="128" t="s">
        <v>11</v>
      </c>
      <c r="C43" s="10" t="s">
        <v>118</v>
      </c>
      <c r="D43" s="11" t="s">
        <v>29</v>
      </c>
      <c r="E43" s="86"/>
      <c r="F43" s="70">
        <v>400000</v>
      </c>
      <c r="G43" s="1"/>
      <c r="N43" s="1"/>
    </row>
    <row r="44" spans="1:14" s="2" customFormat="1" x14ac:dyDescent="0.2">
      <c r="A44" s="89">
        <v>45209</v>
      </c>
      <c r="B44" s="128" t="s">
        <v>11</v>
      </c>
      <c r="C44" s="10" t="s">
        <v>438</v>
      </c>
      <c r="D44" s="11" t="s">
        <v>29</v>
      </c>
      <c r="E44" s="86"/>
      <c r="F44" s="70">
        <v>10832</v>
      </c>
      <c r="G44" s="1"/>
      <c r="N44" s="1"/>
    </row>
    <row r="45" spans="1:14" s="2" customFormat="1" x14ac:dyDescent="0.2">
      <c r="A45" s="89">
        <v>45209</v>
      </c>
      <c r="B45" s="128" t="s">
        <v>11</v>
      </c>
      <c r="C45" s="10" t="s">
        <v>290</v>
      </c>
      <c r="D45" s="11" t="s">
        <v>29</v>
      </c>
      <c r="E45" s="86"/>
      <c r="F45" s="70">
        <v>12330</v>
      </c>
      <c r="G45" s="1"/>
      <c r="N45" s="1"/>
    </row>
    <row r="46" spans="1:14" s="2" customFormat="1" x14ac:dyDescent="0.2">
      <c r="A46" s="89">
        <v>45209</v>
      </c>
      <c r="B46" s="128" t="s">
        <v>11</v>
      </c>
      <c r="C46" s="10" t="s">
        <v>585</v>
      </c>
      <c r="D46" s="11" t="s">
        <v>29</v>
      </c>
      <c r="E46" s="86"/>
      <c r="F46" s="70">
        <v>36370</v>
      </c>
      <c r="G46" s="1"/>
      <c r="N46" s="1"/>
    </row>
    <row r="47" spans="1:14" s="2" customFormat="1" x14ac:dyDescent="0.2">
      <c r="A47" s="89">
        <v>45209</v>
      </c>
      <c r="B47" s="128" t="s">
        <v>11</v>
      </c>
      <c r="C47" s="10" t="s">
        <v>723</v>
      </c>
      <c r="D47" s="11" t="s">
        <v>29</v>
      </c>
      <c r="E47" s="86"/>
      <c r="F47" s="70">
        <v>3004292.37</v>
      </c>
      <c r="G47" s="1"/>
      <c r="N47" s="1"/>
    </row>
    <row r="48" spans="1:14" s="2" customFormat="1" x14ac:dyDescent="0.2">
      <c r="A48" s="89">
        <v>45209</v>
      </c>
      <c r="B48" s="128" t="s">
        <v>11</v>
      </c>
      <c r="C48" s="10" t="s">
        <v>107</v>
      </c>
      <c r="D48" s="11" t="s">
        <v>29</v>
      </c>
      <c r="E48" s="86"/>
      <c r="F48" s="70">
        <v>274205.34000000003</v>
      </c>
      <c r="G48" s="1"/>
      <c r="N48" s="1"/>
    </row>
    <row r="49" spans="1:14" s="2" customFormat="1" x14ac:dyDescent="0.2">
      <c r="A49" s="89">
        <v>45209</v>
      </c>
      <c r="B49" s="128" t="s">
        <v>11</v>
      </c>
      <c r="C49" s="10" t="s">
        <v>1181</v>
      </c>
      <c r="D49" s="11" t="s">
        <v>29</v>
      </c>
      <c r="E49" s="86"/>
      <c r="F49" s="70">
        <v>55480</v>
      </c>
      <c r="G49" s="1"/>
      <c r="N49" s="1"/>
    </row>
    <row r="50" spans="1:14" s="2" customFormat="1" x14ac:dyDescent="0.2">
      <c r="A50" s="89">
        <v>45209</v>
      </c>
      <c r="B50" s="128" t="s">
        <v>11</v>
      </c>
      <c r="C50" s="10" t="s">
        <v>616</v>
      </c>
      <c r="D50" s="11" t="s">
        <v>29</v>
      </c>
      <c r="E50" s="86"/>
      <c r="F50" s="70">
        <v>83888</v>
      </c>
      <c r="G50" s="1"/>
      <c r="N50" s="1"/>
    </row>
    <row r="51" spans="1:14" s="2" customFormat="1" x14ac:dyDescent="0.2">
      <c r="A51" s="89">
        <v>45209</v>
      </c>
      <c r="B51" s="128" t="s">
        <v>11</v>
      </c>
      <c r="C51" s="10" t="s">
        <v>363</v>
      </c>
      <c r="D51" s="11" t="s">
        <v>29</v>
      </c>
      <c r="E51" s="86"/>
      <c r="F51" s="70">
        <v>41110</v>
      </c>
      <c r="G51" s="1"/>
      <c r="N51" s="1"/>
    </row>
    <row r="52" spans="1:14" s="2" customFormat="1" x14ac:dyDescent="0.2">
      <c r="A52" s="89">
        <v>45209</v>
      </c>
      <c r="B52" s="128" t="s">
        <v>11</v>
      </c>
      <c r="C52" s="10" t="s">
        <v>1655</v>
      </c>
      <c r="D52" s="11" t="s">
        <v>29</v>
      </c>
      <c r="E52" s="86"/>
      <c r="F52" s="70">
        <v>25000</v>
      </c>
      <c r="G52" s="1"/>
      <c r="N52" s="1"/>
    </row>
    <row r="53" spans="1:14" s="2" customFormat="1" x14ac:dyDescent="0.2">
      <c r="A53" s="89">
        <v>45209</v>
      </c>
      <c r="B53" s="128" t="s">
        <v>11</v>
      </c>
      <c r="C53" s="10" t="s">
        <v>147</v>
      </c>
      <c r="D53" s="11" t="s">
        <v>29</v>
      </c>
      <c r="E53" s="86"/>
      <c r="F53" s="70">
        <v>1551734</v>
      </c>
      <c r="G53" s="1"/>
      <c r="N53" s="1"/>
    </row>
    <row r="54" spans="1:14" s="2" customFormat="1" x14ac:dyDescent="0.2">
      <c r="A54" s="32"/>
      <c r="B54" s="33"/>
      <c r="C54" s="14"/>
      <c r="D54" s="34"/>
      <c r="E54" s="16">
        <f>SUM(E22:E53)</f>
        <v>10206903.039999999</v>
      </c>
      <c r="F54" s="16">
        <f>SUM(F22:F53)</f>
        <v>83257802.510000095</v>
      </c>
      <c r="G54" s="1"/>
      <c r="H54" s="1"/>
      <c r="I54" s="38">
        <v>73050899.469999999</v>
      </c>
      <c r="J54" s="2" t="s">
        <v>396</v>
      </c>
      <c r="K54" s="92">
        <f>E55-I54</f>
        <v>0</v>
      </c>
      <c r="N54" s="1"/>
    </row>
    <row r="55" spans="1:14" s="2" customFormat="1" x14ac:dyDescent="0.2">
      <c r="A55" s="36"/>
      <c r="B55" s="28" t="s">
        <v>11</v>
      </c>
      <c r="C55" s="19" t="s">
        <v>65</v>
      </c>
      <c r="D55" s="37"/>
      <c r="E55" s="38">
        <f>F54-E54</f>
        <v>73050899.470000088</v>
      </c>
      <c r="F55" s="22"/>
      <c r="G55" s="1"/>
      <c r="H55" s="1"/>
      <c r="I55" s="70"/>
      <c r="J55" s="70"/>
      <c r="K55" s="70"/>
      <c r="N55" s="1"/>
    </row>
    <row r="56" spans="1:14" s="2" customFormat="1" x14ac:dyDescent="0.2">
      <c r="A56" s="36"/>
      <c r="B56" s="28" t="s">
        <v>66</v>
      </c>
      <c r="C56" s="19" t="s">
        <v>67</v>
      </c>
      <c r="D56" s="37"/>
      <c r="E56" s="38">
        <v>6500000</v>
      </c>
      <c r="F56" s="22"/>
      <c r="G56" s="1"/>
      <c r="H56" s="70"/>
      <c r="I56" s="70"/>
      <c r="J56" s="70"/>
      <c r="K56" s="70"/>
      <c r="N56" s="1"/>
    </row>
    <row r="57" spans="1:14" s="2" customFormat="1" x14ac:dyDescent="0.2">
      <c r="A57" s="36"/>
      <c r="B57" s="28" t="s">
        <v>66</v>
      </c>
      <c r="C57" s="43" t="s">
        <v>1457</v>
      </c>
      <c r="D57" s="43"/>
      <c r="E57" s="12">
        <f>275000000+75000000+50000000</f>
        <v>400000000</v>
      </c>
      <c r="F57" s="22"/>
      <c r="G57" s="1"/>
      <c r="H57" s="70"/>
      <c r="I57" s="45">
        <v>789</v>
      </c>
      <c r="J57" s="46"/>
      <c r="K57" s="46"/>
      <c r="N57" s="1"/>
    </row>
    <row r="58" spans="1:14" s="2" customFormat="1" ht="15" x14ac:dyDescent="0.25">
      <c r="A58" s="36"/>
      <c r="B58" s="28"/>
      <c r="C58" s="44" t="s">
        <v>1541</v>
      </c>
      <c r="D58" s="43"/>
      <c r="E58" s="7">
        <f>+E57+E55+E56</f>
        <v>479550899.47000009</v>
      </c>
      <c r="F58" s="22"/>
      <c r="G58" s="1"/>
      <c r="H58" s="103" t="s">
        <v>69</v>
      </c>
      <c r="I58" s="45">
        <v>-147.26</v>
      </c>
      <c r="J58" s="46"/>
      <c r="K58" s="46"/>
      <c r="N58" s="1"/>
    </row>
    <row r="59" spans="1:14" s="2" customFormat="1" ht="15" x14ac:dyDescent="0.25">
      <c r="A59" s="24"/>
      <c r="B59" s="1"/>
      <c r="C59" s="44" t="s">
        <v>1510</v>
      </c>
      <c r="D59" s="25"/>
      <c r="E59" s="156">
        <f>+I22-E56+H18-I18</f>
        <v>20449100.530000001</v>
      </c>
      <c r="G59" s="1"/>
      <c r="H59" s="35" t="s">
        <v>70</v>
      </c>
      <c r="I59" s="45">
        <v>16.940000000000001</v>
      </c>
      <c r="J59" s="46">
        <f>+I60-D62</f>
        <v>0</v>
      </c>
      <c r="N59" s="1"/>
    </row>
    <row r="60" spans="1:14" s="124" customFormat="1" ht="12.75" customHeight="1" x14ac:dyDescent="0.2">
      <c r="A60" s="24"/>
      <c r="B60" s="1"/>
      <c r="C60" s="56"/>
      <c r="D60" s="56"/>
      <c r="E60" s="104"/>
      <c r="F60" s="2"/>
      <c r="G60" s="166"/>
      <c r="H60" s="70"/>
      <c r="I60" s="49">
        <f>SUM(I57:I59)</f>
        <v>658.68000000000006</v>
      </c>
      <c r="J60" s="46"/>
      <c r="K60" s="46"/>
    </row>
    <row r="61" spans="1:14" s="124" customFormat="1" ht="12.75" customHeight="1" x14ac:dyDescent="0.2">
      <c r="A61" s="24"/>
      <c r="B61" s="1"/>
      <c r="C61" s="78" t="s">
        <v>575</v>
      </c>
      <c r="D61" s="48" t="s">
        <v>576</v>
      </c>
      <c r="E61" s="104"/>
      <c r="F61" s="2"/>
      <c r="G61" s="168"/>
      <c r="H61" s="167"/>
      <c r="I61" s="167"/>
      <c r="J61" s="168"/>
    </row>
    <row r="62" spans="1:14" s="124" customFormat="1" ht="12.75" customHeight="1" x14ac:dyDescent="0.2">
      <c r="A62" s="24"/>
      <c r="B62" s="1"/>
      <c r="C62" s="47" t="s">
        <v>570</v>
      </c>
      <c r="D62" s="111">
        <v>658.68</v>
      </c>
      <c r="E62" s="104"/>
      <c r="F62" s="2"/>
      <c r="G62" s="168"/>
      <c r="H62" s="110" t="s">
        <v>581</v>
      </c>
      <c r="I62" s="167"/>
      <c r="J62" s="168"/>
    </row>
    <row r="63" spans="1:14" s="124" customFormat="1" ht="12.75" customHeight="1" x14ac:dyDescent="0.2">
      <c r="A63" s="24"/>
      <c r="B63" s="1"/>
      <c r="C63" s="47" t="s">
        <v>931</v>
      </c>
      <c r="D63" s="111">
        <v>87.25</v>
      </c>
      <c r="E63" s="104"/>
      <c r="F63" s="2"/>
      <c r="G63" s="168"/>
      <c r="H63" s="110" t="s">
        <v>580</v>
      </c>
      <c r="I63" s="167"/>
      <c r="J63" s="168"/>
    </row>
    <row r="64" spans="1:14" s="124" customFormat="1" ht="12.75" customHeight="1" x14ac:dyDescent="0.2">
      <c r="A64" s="24"/>
      <c r="B64" s="1"/>
      <c r="C64" s="47" t="s">
        <v>572</v>
      </c>
      <c r="D64" s="111">
        <f>+D83/100000</f>
        <v>34.745904299999999</v>
      </c>
      <c r="E64" s="104"/>
      <c r="F64" s="2"/>
      <c r="G64" s="166"/>
      <c r="H64" s="90" t="s">
        <v>587</v>
      </c>
      <c r="I64" s="167"/>
      <c r="J64" s="168"/>
    </row>
    <row r="65" spans="1:14" s="2" customFormat="1" x14ac:dyDescent="0.2">
      <c r="A65" s="24"/>
      <c r="B65" s="1"/>
      <c r="C65" s="108" t="s">
        <v>578</v>
      </c>
      <c r="D65" s="48">
        <f>SUM(D62:D64)</f>
        <v>780.67590429999996</v>
      </c>
      <c r="E65" s="104"/>
      <c r="G65" s="30"/>
      <c r="I65" s="13"/>
      <c r="J65" s="13"/>
    </row>
    <row r="66" spans="1:14" s="70" customFormat="1" x14ac:dyDescent="0.2">
      <c r="A66" s="24"/>
      <c r="B66" s="1"/>
      <c r="C66" s="47"/>
      <c r="D66" s="107"/>
      <c r="E66" s="104"/>
      <c r="F66" s="2"/>
      <c r="G66" s="30"/>
      <c r="H66" s="2"/>
    </row>
    <row r="67" spans="1:14" s="70" customFormat="1" x14ac:dyDescent="0.2">
      <c r="A67" s="24"/>
      <c r="B67" s="1"/>
      <c r="C67" s="47" t="s">
        <v>932</v>
      </c>
      <c r="D67" s="111">
        <v>0</v>
      </c>
      <c r="E67" s="104"/>
      <c r="F67" s="2"/>
      <c r="G67" s="30"/>
      <c r="H67" s="110" t="s">
        <v>581</v>
      </c>
    </row>
    <row r="68" spans="1:14" s="70" customFormat="1" x14ac:dyDescent="0.2">
      <c r="A68" s="24"/>
      <c r="B68" s="1"/>
      <c r="C68" s="136" t="s">
        <v>1142</v>
      </c>
      <c r="D68" s="111">
        <f>221.68+56.31</f>
        <v>277.99</v>
      </c>
      <c r="E68" s="104"/>
      <c r="F68" s="2"/>
      <c r="G68" s="30"/>
      <c r="H68" s="110" t="s">
        <v>581</v>
      </c>
    </row>
    <row r="69" spans="1:14" s="70" customFormat="1" x14ac:dyDescent="0.2">
      <c r="A69" s="24"/>
      <c r="B69" s="1"/>
      <c r="C69" s="78" t="s">
        <v>579</v>
      </c>
      <c r="D69" s="109">
        <f>D67+D68</f>
        <v>277.99</v>
      </c>
      <c r="E69" s="104"/>
      <c r="F69" s="2"/>
      <c r="G69" s="30"/>
    </row>
    <row r="70" spans="1:14" s="70" customFormat="1" x14ac:dyDescent="0.2">
      <c r="A70" s="24"/>
      <c r="B70" s="1"/>
      <c r="C70" s="105"/>
      <c r="D70" s="106"/>
      <c r="E70" s="104"/>
      <c r="F70" s="2"/>
      <c r="G70" s="30"/>
      <c r="I70" s="2"/>
      <c r="J70" s="114" t="s">
        <v>713</v>
      </c>
      <c r="K70" s="2"/>
      <c r="L70" s="2"/>
      <c r="M70" s="2"/>
    </row>
    <row r="71" spans="1:14" s="70" customFormat="1" x14ac:dyDescent="0.2">
      <c r="A71" s="24"/>
      <c r="B71" s="1"/>
      <c r="C71" s="78" t="s">
        <v>577</v>
      </c>
      <c r="D71" s="109">
        <f>D62+D69</f>
        <v>936.67</v>
      </c>
      <c r="E71" s="104"/>
      <c r="F71" s="2"/>
      <c r="G71" s="30"/>
      <c r="I71" s="113"/>
      <c r="J71" s="113" t="s">
        <v>709</v>
      </c>
      <c r="K71" s="113" t="s">
        <v>710</v>
      </c>
      <c r="L71" s="113" t="s">
        <v>711</v>
      </c>
      <c r="M71" s="113" t="s">
        <v>712</v>
      </c>
    </row>
    <row r="72" spans="1:14" s="70" customFormat="1" x14ac:dyDescent="0.2">
      <c r="A72" s="24"/>
      <c r="B72" s="1"/>
      <c r="C72" s="56"/>
      <c r="D72" s="56"/>
      <c r="E72" s="104"/>
      <c r="F72" s="2"/>
      <c r="G72" s="30"/>
      <c r="I72" s="113" t="s">
        <v>706</v>
      </c>
      <c r="J72" s="115"/>
      <c r="K72" s="115">
        <v>968.99</v>
      </c>
      <c r="L72" s="115">
        <v>968.99</v>
      </c>
      <c r="M72" s="113">
        <f>+J72+L72-K72</f>
        <v>0</v>
      </c>
    </row>
    <row r="73" spans="1:14" s="70" customFormat="1" ht="38.25" x14ac:dyDescent="0.2">
      <c r="A73" s="24"/>
      <c r="B73" s="1"/>
      <c r="C73" s="79" t="str">
        <f>"Particulars ( 01-04-2021 to "&amp;TEXT(A5,"dd-mm-yyyy")&amp;" )"</f>
        <v>Particulars ( 01-04-2021 to 10-10-2023 )</v>
      </c>
      <c r="D73" s="80" t="s">
        <v>73</v>
      </c>
      <c r="E73" s="80" t="s">
        <v>74</v>
      </c>
      <c r="F73" s="81" t="s">
        <v>75</v>
      </c>
      <c r="G73" s="80" t="s">
        <v>76</v>
      </c>
      <c r="I73" s="113" t="s">
        <v>707</v>
      </c>
      <c r="J73" s="115">
        <v>183.1</v>
      </c>
      <c r="K73" s="115">
        <v>3714.56</v>
      </c>
      <c r="L73" s="115">
        <v>3959.09</v>
      </c>
      <c r="M73" s="113">
        <f>+J73+L73-K73</f>
        <v>427.63000000000056</v>
      </c>
    </row>
    <row r="74" spans="1:14" s="70" customFormat="1" x14ac:dyDescent="0.2">
      <c r="A74" s="24"/>
      <c r="B74" s="1"/>
      <c r="C74" s="50" t="s">
        <v>444</v>
      </c>
      <c r="D74" s="55">
        <f>+L72+L73+J73</f>
        <v>5111.18</v>
      </c>
      <c r="E74" s="55">
        <f>+K72+K73</f>
        <v>4683.55</v>
      </c>
      <c r="F74" s="55">
        <f>+D74-E74</f>
        <v>427.63000000000011</v>
      </c>
      <c r="G74" s="55">
        <f>1500-F74</f>
        <v>1072.3699999999999</v>
      </c>
      <c r="I74" s="113" t="s">
        <v>708</v>
      </c>
      <c r="J74" s="115">
        <v>1371.02</v>
      </c>
      <c r="K74" s="115">
        <v>14473.75</v>
      </c>
      <c r="L74" s="115">
        <v>14066.99</v>
      </c>
      <c r="M74" s="113">
        <f>+J74+L74-K74</f>
        <v>964.26000000000022</v>
      </c>
    </row>
    <row r="75" spans="1:14" s="70" customFormat="1" ht="12.75" customHeight="1" x14ac:dyDescent="0.2">
      <c r="A75" s="24"/>
      <c r="B75" s="1"/>
      <c r="C75" s="50" t="s">
        <v>71</v>
      </c>
      <c r="D75" s="55">
        <f>+J74+L74</f>
        <v>15438.01</v>
      </c>
      <c r="E75" s="55">
        <f>+K74</f>
        <v>14473.75</v>
      </c>
      <c r="F75" s="55">
        <f>+D75-E75</f>
        <v>964.26000000000022</v>
      </c>
      <c r="G75" s="55">
        <f>1500+700-F75</f>
        <v>1235.7399999999998</v>
      </c>
      <c r="I75" s="2"/>
      <c r="J75" s="118">
        <f>SUM(J72:J74)</f>
        <v>1554.12</v>
      </c>
      <c r="K75" s="118">
        <f>SUM(K72:K74)</f>
        <v>19157.3</v>
      </c>
      <c r="L75" s="118">
        <f>SUM(L72:L74)</f>
        <v>18995.07</v>
      </c>
      <c r="M75" s="118">
        <f>SUM(M72:M74)</f>
        <v>1391.8900000000008</v>
      </c>
    </row>
    <row r="76" spans="1:14" s="70" customFormat="1" ht="12.75" customHeight="1" x14ac:dyDescent="0.2">
      <c r="A76" s="24"/>
      <c r="B76" s="1"/>
      <c r="C76" s="14"/>
      <c r="D76" s="56"/>
      <c r="E76" s="13"/>
      <c r="F76" s="2"/>
      <c r="G76" s="30"/>
    </row>
    <row r="77" spans="1:14" s="70" customFormat="1" ht="12.75" customHeight="1" x14ac:dyDescent="0.2">
      <c r="A77" s="215" t="s">
        <v>80</v>
      </c>
      <c r="B77" s="216"/>
      <c r="C77" s="216"/>
      <c r="D77" s="217"/>
      <c r="E77" s="69"/>
      <c r="G77" s="30"/>
    </row>
    <row r="78" spans="1:14" s="70" customFormat="1" ht="12.75" customHeight="1" x14ac:dyDescent="0.2">
      <c r="A78" s="71" t="s">
        <v>81</v>
      </c>
      <c r="B78" s="71"/>
      <c r="C78" s="72" t="s">
        <v>82</v>
      </c>
      <c r="D78" s="73" t="s">
        <v>83</v>
      </c>
      <c r="E78" s="69"/>
      <c r="G78" s="30"/>
    </row>
    <row r="79" spans="1:14" s="70" customFormat="1" ht="12.75" customHeight="1" x14ac:dyDescent="0.2">
      <c r="A79" s="87">
        <v>45203</v>
      </c>
      <c r="B79" s="120" t="s">
        <v>1052</v>
      </c>
      <c r="C79" s="75" t="s">
        <v>18</v>
      </c>
      <c r="D79" s="88">
        <v>193358.43</v>
      </c>
      <c r="E79" s="2"/>
      <c r="F79" s="2"/>
      <c r="G79" s="30"/>
      <c r="H79" s="2"/>
      <c r="I79" s="2"/>
      <c r="J79" s="2"/>
      <c r="K79" s="2"/>
      <c r="L79" s="41"/>
      <c r="M79" s="42"/>
      <c r="N79" s="2"/>
    </row>
    <row r="80" spans="1:14" s="70" customFormat="1" ht="12.75" customHeight="1" x14ac:dyDescent="0.2">
      <c r="A80" s="87">
        <v>45203</v>
      </c>
      <c r="B80" s="120" t="s">
        <v>1052</v>
      </c>
      <c r="C80" s="75" t="s">
        <v>270</v>
      </c>
      <c r="D80" s="88">
        <v>254277</v>
      </c>
      <c r="E80" s="2"/>
      <c r="F80" s="2"/>
      <c r="G80" s="30"/>
      <c r="H80" s="2"/>
      <c r="I80" s="2"/>
      <c r="J80" s="2"/>
      <c r="K80" s="2"/>
      <c r="L80" s="41"/>
      <c r="M80" s="42"/>
      <c r="N80" s="2"/>
    </row>
    <row r="81" spans="1:14" s="70" customFormat="1" ht="12.75" customHeight="1" x14ac:dyDescent="0.2">
      <c r="A81" s="87">
        <v>45204</v>
      </c>
      <c r="B81" s="120" t="s">
        <v>1052</v>
      </c>
      <c r="C81" s="75" t="s">
        <v>85</v>
      </c>
      <c r="D81" s="88">
        <v>765297</v>
      </c>
      <c r="E81" s="2"/>
      <c r="F81" s="2"/>
      <c r="G81" s="30"/>
      <c r="H81" s="2"/>
      <c r="I81" s="2"/>
      <c r="J81" s="2"/>
      <c r="K81" s="2"/>
      <c r="L81" s="41"/>
      <c r="M81" s="42"/>
      <c r="N81" s="2"/>
    </row>
    <row r="82" spans="1:14" s="70" customFormat="1" ht="12.75" customHeight="1" x14ac:dyDescent="0.2">
      <c r="A82" s="87">
        <v>45209</v>
      </c>
      <c r="B82" s="120" t="s">
        <v>1052</v>
      </c>
      <c r="C82" s="75" t="s">
        <v>606</v>
      </c>
      <c r="D82" s="88">
        <v>2261658</v>
      </c>
      <c r="E82" s="2"/>
      <c r="F82" s="2"/>
      <c r="G82" s="30"/>
      <c r="H82" s="2"/>
      <c r="I82" s="2"/>
      <c r="J82" s="2"/>
      <c r="K82" s="2"/>
      <c r="L82" s="41"/>
      <c r="M82" s="42"/>
      <c r="N82" s="2"/>
    </row>
    <row r="83" spans="1:14" s="2" customFormat="1" x14ac:dyDescent="0.2">
      <c r="A83" s="87"/>
      <c r="B83" s="74"/>
      <c r="C83" s="75"/>
      <c r="D83" s="51">
        <f>SUM(D79:D82)</f>
        <v>3474590.4299999997</v>
      </c>
      <c r="F83" s="2" t="s">
        <v>396</v>
      </c>
      <c r="G83" s="1"/>
    </row>
    <row r="84" spans="1:14" s="2" customFormat="1" x14ac:dyDescent="0.2">
      <c r="A84" s="24"/>
      <c r="B84" s="1"/>
      <c r="C84" s="14"/>
      <c r="D84" s="56"/>
      <c r="E84" s="13"/>
      <c r="G84" s="1"/>
    </row>
    <row r="85" spans="1:14" s="2" customFormat="1" x14ac:dyDescent="0.2">
      <c r="A85" s="24"/>
      <c r="B85" s="1"/>
      <c r="C85" s="218" t="s">
        <v>77</v>
      </c>
      <c r="D85" s="219"/>
      <c r="E85" s="219"/>
      <c r="F85" s="220"/>
      <c r="H85" s="2" t="s">
        <v>396</v>
      </c>
    </row>
    <row r="86" spans="1:14" s="2" customFormat="1" x14ac:dyDescent="0.2">
      <c r="A86" s="24"/>
      <c r="B86" s="1"/>
      <c r="C86" s="50"/>
      <c r="D86" s="57" t="s">
        <v>78</v>
      </c>
      <c r="E86" s="58" t="s">
        <v>79</v>
      </c>
      <c r="F86" s="57" t="s">
        <v>72</v>
      </c>
      <c r="H86" s="2" t="s">
        <v>396</v>
      </c>
    </row>
    <row r="87" spans="1:14" s="2" customFormat="1" x14ac:dyDescent="0.2">
      <c r="A87" s="24"/>
      <c r="B87" s="1"/>
      <c r="C87" s="59" t="str">
        <f>"01-10-2023 to "&amp;TEXT(A5-2,"dd-mm-yyyy")</f>
        <v>01-10-2023 to 08-10-2023</v>
      </c>
      <c r="D87" s="60">
        <v>448.68</v>
      </c>
      <c r="E87" s="60">
        <v>92.2</v>
      </c>
      <c r="F87" s="61">
        <f>SUM(D87:E87)</f>
        <v>540.88</v>
      </c>
    </row>
    <row r="88" spans="1:14" s="2" customFormat="1" x14ac:dyDescent="0.2">
      <c r="A88" s="24"/>
      <c r="B88" s="1"/>
      <c r="C88" s="62" t="str">
        <f>TEXT(A5-1,"dd-mm-yyyy")</f>
        <v>09-10-2023</v>
      </c>
      <c r="D88" s="60">
        <v>75.14</v>
      </c>
      <c r="E88" s="60">
        <v>21.61</v>
      </c>
      <c r="F88" s="61">
        <f>SUM(D88:E88)</f>
        <v>96.75</v>
      </c>
      <c r="G88" s="1"/>
      <c r="H88" s="53"/>
    </row>
    <row r="89" spans="1:14" s="2" customFormat="1" ht="13.5" thickBot="1" x14ac:dyDescent="0.25">
      <c r="A89" s="24"/>
      <c r="B89" s="1"/>
      <c r="C89" s="63" t="str">
        <f>"01-10-2023 to "&amp;TEXT(A5-1,"dd-mm-yyyy")</f>
        <v>01-10-2023 to 09-10-2023</v>
      </c>
      <c r="D89" s="64">
        <f>SUM(D87:D88)</f>
        <v>523.82000000000005</v>
      </c>
      <c r="E89" s="64">
        <f>SUM(E87:E88)</f>
        <v>113.81</v>
      </c>
      <c r="F89" s="64">
        <f>SUM(F87:F88)</f>
        <v>637.63</v>
      </c>
      <c r="G89" s="1"/>
      <c r="H89" s="53"/>
    </row>
    <row r="90" spans="1:14" s="2" customFormat="1" ht="13.5" thickTop="1" x14ac:dyDescent="0.2">
      <c r="A90" s="24"/>
      <c r="B90" s="1"/>
      <c r="C90" s="62"/>
      <c r="D90" s="65"/>
      <c r="E90" s="66"/>
      <c r="F90" s="67"/>
      <c r="L90" s="1"/>
      <c r="M90" s="1"/>
    </row>
    <row r="91" spans="1:14" s="2" customFormat="1" x14ac:dyDescent="0.2">
      <c r="A91" s="24"/>
      <c r="B91" s="1"/>
      <c r="C91" s="62" t="str">
        <f>"01-04-2023 to " &amp;C88</f>
        <v>01-04-2023 to 09-10-2023</v>
      </c>
      <c r="D91" s="68">
        <f>+D89+27003.42</f>
        <v>27527.239999999998</v>
      </c>
      <c r="E91" s="68">
        <f>+E89+2028.43</f>
        <v>2142.2400000000002</v>
      </c>
      <c r="F91" s="68">
        <f>+F89+29031.85</f>
        <v>29669.48</v>
      </c>
      <c r="G91" s="1"/>
      <c r="L91" s="1"/>
      <c r="M91" s="1"/>
    </row>
    <row r="92" spans="1:14" s="2" customFormat="1" x14ac:dyDescent="0.2">
      <c r="A92" s="24"/>
      <c r="B92" s="1"/>
      <c r="C92" s="52"/>
      <c r="D92" s="85"/>
      <c r="E92" s="53"/>
      <c r="F92" s="53"/>
      <c r="G92" s="1"/>
      <c r="L92" s="1"/>
      <c r="M92" s="1"/>
    </row>
    <row r="93" spans="1:14" s="2" customFormat="1" x14ac:dyDescent="0.2">
      <c r="A93" s="24"/>
      <c r="B93" s="1"/>
      <c r="C93" s="52"/>
      <c r="D93" s="85"/>
      <c r="E93" s="53"/>
      <c r="F93" s="53"/>
      <c r="G93" s="1"/>
      <c r="L93" s="1"/>
      <c r="M93" s="1"/>
    </row>
    <row r="94" spans="1:14" s="2" customFormat="1" x14ac:dyDescent="0.2">
      <c r="A94" s="24"/>
      <c r="B94" s="1"/>
      <c r="C94" s="52"/>
      <c r="D94" s="85"/>
      <c r="E94" s="53"/>
      <c r="F94" s="53"/>
      <c r="G94" s="1"/>
      <c r="L94" s="1"/>
      <c r="M94" s="1"/>
    </row>
    <row r="95" spans="1:14" s="2" customFormat="1" x14ac:dyDescent="0.2">
      <c r="A95" s="24"/>
      <c r="B95" s="1"/>
      <c r="C95" s="52"/>
      <c r="D95" s="85"/>
      <c r="E95" s="53"/>
      <c r="F95" s="53"/>
      <c r="G95" s="1"/>
      <c r="L95" s="1"/>
      <c r="M95" s="1"/>
    </row>
    <row r="96" spans="1:14" s="2" customFormat="1" x14ac:dyDescent="0.2">
      <c r="A96" s="24"/>
      <c r="B96" s="1"/>
      <c r="C96" s="14"/>
      <c r="D96" s="25"/>
      <c r="G96" s="1"/>
      <c r="L96" s="1"/>
      <c r="M96" s="1"/>
    </row>
    <row r="97" spans="1:13" s="2" customFormat="1" x14ac:dyDescent="0.2">
      <c r="A97" s="24"/>
      <c r="B97" s="1"/>
      <c r="C97" s="14"/>
      <c r="D97" s="25"/>
      <c r="G97" s="1"/>
      <c r="L97" s="1"/>
      <c r="M97" s="1"/>
    </row>
    <row r="98" spans="1:13" s="2" customFormat="1" x14ac:dyDescent="0.2">
      <c r="A98" s="24"/>
      <c r="B98" s="1"/>
      <c r="C98" s="14"/>
      <c r="D98" s="25"/>
      <c r="G98" s="1"/>
      <c r="L98" s="1"/>
      <c r="M98" s="1"/>
    </row>
    <row r="99" spans="1:13" s="2" customFormat="1" x14ac:dyDescent="0.2">
      <c r="A99" s="24"/>
      <c r="B99" s="1"/>
      <c r="C99" s="14"/>
      <c r="D99" s="25"/>
      <c r="G99" s="1"/>
      <c r="L99" s="1"/>
      <c r="M99" s="1"/>
    </row>
    <row r="100" spans="1:13" s="2" customFormat="1" x14ac:dyDescent="0.2">
      <c r="A100" s="24"/>
      <c r="B100" s="1"/>
      <c r="C100" s="14"/>
      <c r="D100" s="25"/>
      <c r="G100" s="1"/>
      <c r="L100" s="1"/>
      <c r="M100" s="1"/>
    </row>
    <row r="101" spans="1:13" s="2" customFormat="1" x14ac:dyDescent="0.2">
      <c r="A101" s="24"/>
      <c r="B101" s="1"/>
      <c r="C101" s="14"/>
      <c r="D101" s="25"/>
      <c r="G101" s="1"/>
      <c r="L101" s="1"/>
      <c r="M101" s="1"/>
    </row>
    <row r="102" spans="1:13" s="2" customFormat="1" x14ac:dyDescent="0.2">
      <c r="A102" s="24"/>
      <c r="B102" s="1"/>
      <c r="C102" s="14"/>
      <c r="D102" s="25"/>
      <c r="G102" s="1"/>
      <c r="L102" s="1"/>
      <c r="M102" s="1"/>
    </row>
    <row r="103" spans="1:13" s="2" customFormat="1" x14ac:dyDescent="0.2">
      <c r="A103" s="24"/>
      <c r="B103" s="1"/>
      <c r="C103" s="14"/>
      <c r="D103" s="25"/>
      <c r="G103" s="1"/>
      <c r="L103" s="1"/>
      <c r="M103" s="1"/>
    </row>
    <row r="104" spans="1:13" s="2" customFormat="1" x14ac:dyDescent="0.2">
      <c r="A104" s="24"/>
      <c r="B104" s="1"/>
      <c r="C104" s="14"/>
      <c r="D104" s="25"/>
      <c r="G104" s="1"/>
      <c r="L104" s="1"/>
      <c r="M104" s="1"/>
    </row>
    <row r="105" spans="1:13" s="2" customFormat="1" x14ac:dyDescent="0.2">
      <c r="A105" s="24"/>
      <c r="B105" s="1"/>
      <c r="C105" s="14"/>
      <c r="D105" s="25"/>
      <c r="G105" s="1"/>
      <c r="L105" s="1"/>
      <c r="M105" s="1"/>
    </row>
    <row r="106" spans="1:13" s="2" customFormat="1" x14ac:dyDescent="0.2">
      <c r="A106" s="24"/>
      <c r="B106" s="1"/>
      <c r="C106" s="14"/>
      <c r="D106" s="25"/>
      <c r="G106" s="1"/>
      <c r="L106" s="1"/>
      <c r="M106" s="1"/>
    </row>
    <row r="107" spans="1:13" s="2" customFormat="1" x14ac:dyDescent="0.2">
      <c r="A107" s="24"/>
      <c r="B107" s="1"/>
      <c r="C107" s="14"/>
      <c r="D107" s="25"/>
      <c r="G107" s="1"/>
      <c r="L107" s="1"/>
      <c r="M107" s="1"/>
    </row>
    <row r="108" spans="1:13" s="2" customFormat="1" x14ac:dyDescent="0.2">
      <c r="A108" s="24"/>
      <c r="B108" s="1"/>
      <c r="C108" s="14"/>
      <c r="D108" s="25"/>
      <c r="G108" s="1"/>
      <c r="L108" s="1"/>
      <c r="M108" s="1"/>
    </row>
    <row r="109" spans="1:13" s="2" customFormat="1" x14ac:dyDescent="0.2">
      <c r="A109" s="24"/>
      <c r="B109" s="1"/>
      <c r="C109" s="14"/>
      <c r="D109" s="25"/>
      <c r="G109" s="1"/>
      <c r="L109" s="1"/>
      <c r="M109" s="1"/>
    </row>
    <row r="110" spans="1:13" s="2" customFormat="1" x14ac:dyDescent="0.2">
      <c r="A110" s="24"/>
      <c r="B110" s="1"/>
      <c r="C110" s="14"/>
      <c r="D110" s="25"/>
      <c r="G110" s="1"/>
      <c r="I110" s="1"/>
      <c r="J110" s="1"/>
      <c r="K110" s="1"/>
      <c r="L110" s="1"/>
      <c r="M110" s="1"/>
    </row>
    <row r="111" spans="1:13" s="2" customFormat="1" x14ac:dyDescent="0.2">
      <c r="A111" s="24"/>
      <c r="B111" s="1"/>
      <c r="C111" s="14"/>
      <c r="D111" s="25"/>
      <c r="G111" s="1"/>
    </row>
    <row r="112" spans="1:13" s="2" customFormat="1" x14ac:dyDescent="0.2">
      <c r="A112" s="24"/>
      <c r="B112" s="1"/>
      <c r="C112" s="14"/>
      <c r="D112" s="25"/>
      <c r="G112" s="1"/>
      <c r="I112" s="1"/>
      <c r="J112" s="1"/>
      <c r="K112" s="1"/>
      <c r="L112" s="1"/>
      <c r="M112" s="1"/>
    </row>
    <row r="113" spans="1:14" s="2" customFormat="1" x14ac:dyDescent="0.2">
      <c r="A113" s="24"/>
      <c r="B113" s="1"/>
      <c r="C113" s="14"/>
      <c r="D113" s="25"/>
      <c r="G113" s="54"/>
      <c r="I113" s="1"/>
      <c r="J113" s="1"/>
      <c r="K113" s="1"/>
      <c r="L113" s="1"/>
      <c r="M113" s="1"/>
    </row>
    <row r="114" spans="1:14" s="2" customFormat="1" x14ac:dyDescent="0.2">
      <c r="A114" s="24"/>
      <c r="B114" s="1"/>
      <c r="C114" s="14"/>
      <c r="D114" s="25"/>
      <c r="G114" s="54"/>
      <c r="I114" s="1"/>
      <c r="J114" s="1"/>
      <c r="K114" s="1"/>
      <c r="L114" s="1"/>
      <c r="M114" s="1"/>
    </row>
    <row r="115" spans="1:14" s="2" customFormat="1" x14ac:dyDescent="0.2">
      <c r="A115" s="24"/>
      <c r="B115" s="1"/>
      <c r="C115" s="14"/>
      <c r="D115" s="25"/>
      <c r="G115" s="54"/>
      <c r="I115" s="1"/>
      <c r="J115" s="1"/>
      <c r="K115" s="1"/>
      <c r="L115" s="1"/>
      <c r="M115" s="1"/>
    </row>
    <row r="116" spans="1:14" s="2" customFormat="1" x14ac:dyDescent="0.2">
      <c r="A116" s="24"/>
      <c r="B116" s="1"/>
      <c r="C116" s="14"/>
      <c r="D116" s="25"/>
      <c r="G116" s="54"/>
      <c r="H116" s="2" t="s">
        <v>396</v>
      </c>
      <c r="I116" s="1"/>
      <c r="J116" s="1"/>
      <c r="K116" s="1"/>
      <c r="L116" s="1"/>
      <c r="M116" s="1"/>
      <c r="N116" s="1"/>
    </row>
    <row r="117" spans="1:14" s="2" customFormat="1" x14ac:dyDescent="0.2">
      <c r="A117" s="24"/>
      <c r="B117" s="1"/>
      <c r="C117" s="14"/>
      <c r="D117" s="25"/>
      <c r="G117" s="54"/>
      <c r="H117" s="53"/>
    </row>
    <row r="118" spans="1:14" s="2" customFormat="1" x14ac:dyDescent="0.2">
      <c r="A118" s="24"/>
      <c r="B118" s="1"/>
      <c r="C118" s="14"/>
      <c r="D118" s="25"/>
      <c r="G118" s="54"/>
      <c r="H118" s="53" t="s">
        <v>396</v>
      </c>
      <c r="I118" s="1"/>
      <c r="J118" s="1"/>
      <c r="K118" s="1"/>
      <c r="L118" s="1"/>
      <c r="M118" s="1"/>
      <c r="N118" s="1"/>
    </row>
    <row r="119" spans="1:14" x14ac:dyDescent="0.2">
      <c r="G119" s="54"/>
      <c r="H119" s="53" t="s">
        <v>396</v>
      </c>
      <c r="J119" s="42"/>
    </row>
    <row r="120" spans="1:14" s="2" customFormat="1" x14ac:dyDescent="0.2">
      <c r="A120" s="24"/>
      <c r="B120" s="1"/>
      <c r="C120" s="14"/>
      <c r="D120" s="25"/>
      <c r="G120" s="54"/>
      <c r="H120" s="53"/>
      <c r="I120" s="101"/>
      <c r="J120" s="1"/>
      <c r="K120" s="1"/>
      <c r="L120" s="1"/>
      <c r="M120" s="1"/>
      <c r="N120" s="1"/>
    </row>
    <row r="121" spans="1:14" x14ac:dyDescent="0.2">
      <c r="G121" s="54"/>
      <c r="H121" s="53"/>
    </row>
    <row r="122" spans="1:14" x14ac:dyDescent="0.2">
      <c r="G122" s="54"/>
      <c r="H122" s="53"/>
    </row>
    <row r="123" spans="1:14" x14ac:dyDescent="0.2">
      <c r="G123" s="54"/>
      <c r="H123" s="53"/>
    </row>
  </sheetData>
  <sheetProtection insertRows="0"/>
  <mergeCells count="6">
    <mergeCell ref="C85:F85"/>
    <mergeCell ref="A1:G1"/>
    <mergeCell ref="A3:F3"/>
    <mergeCell ref="A9:F9"/>
    <mergeCell ref="A20:F20"/>
    <mergeCell ref="A77:D77"/>
  </mergeCells>
  <conditionalFormatting sqref="G74:G75">
    <cfRule type="cellIs" dxfId="275" priority="1" operator="lessThan">
      <formula>0</formula>
    </cfRule>
  </conditionalFormatting>
  <conditionalFormatting sqref="C22">
    <cfRule type="duplicateValues" dxfId="274" priority="2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900-000000000000}">
  <sheetPr codeName="Sheet449">
    <pageSetUpPr fitToPage="1"/>
  </sheetPr>
  <dimension ref="A1:N152"/>
  <sheetViews>
    <sheetView topLeftCell="A49" zoomScaleNormal="100" workbookViewId="0">
      <selection activeCell="E52" sqref="E52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1" ht="20.25" customHeight="1" x14ac:dyDescent="0.4">
      <c r="A1" s="212" t="s">
        <v>1657</v>
      </c>
      <c r="B1" s="212"/>
      <c r="C1" s="212"/>
      <c r="D1" s="212"/>
      <c r="E1" s="212"/>
      <c r="F1" s="212"/>
      <c r="G1" s="212"/>
      <c r="H1" s="112"/>
      <c r="I1" s="112"/>
    </row>
    <row r="2" spans="1:11" ht="12.75" customHeight="1" x14ac:dyDescent="0.4">
      <c r="H2" s="112"/>
      <c r="I2" s="112"/>
    </row>
    <row r="3" spans="1:11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1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1" s="2" customFormat="1" ht="14.25" customHeight="1" x14ac:dyDescent="0.4">
      <c r="A5" s="89">
        <v>45210</v>
      </c>
      <c r="B5" s="9" t="s">
        <v>6</v>
      </c>
      <c r="C5" s="10" t="s">
        <v>7</v>
      </c>
      <c r="D5" s="11"/>
      <c r="E5" s="12">
        <v>456701.79000000097</v>
      </c>
      <c r="F5" s="12"/>
      <c r="G5" s="1"/>
      <c r="H5" s="112"/>
      <c r="I5" s="112"/>
    </row>
    <row r="6" spans="1:11" s="2" customFormat="1" ht="12.75" customHeight="1" x14ac:dyDescent="0.4">
      <c r="D6" s="15" t="s">
        <v>8</v>
      </c>
      <c r="E6" s="16">
        <f>SUM(E5:E5)</f>
        <v>456701.79000000097</v>
      </c>
      <c r="F6" s="16">
        <f>F5</f>
        <v>0</v>
      </c>
      <c r="G6" s="1"/>
      <c r="H6" s="112"/>
      <c r="I6" s="112"/>
    </row>
    <row r="7" spans="1:11" s="2" customFormat="1" ht="12.75" customHeight="1" x14ac:dyDescent="0.4">
      <c r="A7" s="17"/>
      <c r="B7" s="18"/>
      <c r="C7" s="19" t="s">
        <v>9</v>
      </c>
      <c r="D7" s="20"/>
      <c r="E7" s="21">
        <f>+E6-F6</f>
        <v>456701.79000000097</v>
      </c>
      <c r="F7" s="22"/>
      <c r="G7" s="23"/>
      <c r="H7" s="112"/>
      <c r="I7" s="112"/>
      <c r="J7" s="13"/>
    </row>
    <row r="8" spans="1:11" ht="12.75" customHeight="1" x14ac:dyDescent="0.4">
      <c r="H8" s="112"/>
      <c r="I8" s="112"/>
    </row>
    <row r="9" spans="1:11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69">
        <v>90000000</v>
      </c>
      <c r="J9" s="169" t="s">
        <v>1508</v>
      </c>
    </row>
    <row r="10" spans="1:11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69">
        <v>88868612.75</v>
      </c>
      <c r="J10" s="169" t="s">
        <v>1509</v>
      </c>
      <c r="K10" s="124"/>
    </row>
    <row r="11" spans="1:11" s="2" customFormat="1" ht="14.25" customHeight="1" x14ac:dyDescent="0.2">
      <c r="A11" s="89">
        <v>45210</v>
      </c>
      <c r="B11" s="9" t="s">
        <v>6</v>
      </c>
      <c r="C11" s="10" t="s">
        <v>7</v>
      </c>
      <c r="D11" s="11"/>
      <c r="F11" s="12">
        <v>88118093.170000002</v>
      </c>
      <c r="G11" s="1"/>
      <c r="H11" s="130" t="s">
        <v>396</v>
      </c>
      <c r="I11" s="169">
        <f>+I9-I10</f>
        <v>1131387.25</v>
      </c>
      <c r="J11" s="169" t="s">
        <v>712</v>
      </c>
      <c r="K11" s="165" t="s">
        <v>1512</v>
      </c>
    </row>
    <row r="12" spans="1:11" s="2" customFormat="1" ht="14.25" customHeight="1" x14ac:dyDescent="0.2">
      <c r="A12" s="89">
        <v>45210</v>
      </c>
      <c r="B12" s="9" t="s">
        <v>6</v>
      </c>
      <c r="C12" s="76" t="s">
        <v>1137</v>
      </c>
      <c r="D12" s="11" t="s">
        <v>29</v>
      </c>
      <c r="E12" s="2">
        <v>67752.899999999994</v>
      </c>
      <c r="F12" s="12"/>
      <c r="G12" s="1"/>
      <c r="H12" s="130"/>
      <c r="I12" s="169"/>
      <c r="J12" s="169"/>
      <c r="K12" s="165"/>
    </row>
    <row r="13" spans="1:11" s="2" customFormat="1" ht="14.25" customHeight="1" x14ac:dyDescent="0.2">
      <c r="A13" s="89">
        <v>45210</v>
      </c>
      <c r="B13" s="9" t="s">
        <v>11</v>
      </c>
      <c r="C13" s="76" t="s">
        <v>1658</v>
      </c>
      <c r="D13" s="11" t="s">
        <v>29</v>
      </c>
      <c r="F13" s="12">
        <v>125600</v>
      </c>
      <c r="G13" s="1"/>
      <c r="H13" s="130"/>
      <c r="I13" s="171"/>
      <c r="J13" s="171"/>
      <c r="K13" s="165"/>
    </row>
    <row r="14" spans="1:11" s="2" customFormat="1" ht="14.25" customHeight="1" x14ac:dyDescent="0.2">
      <c r="A14" s="89">
        <v>45210</v>
      </c>
      <c r="B14" s="9" t="s">
        <v>11</v>
      </c>
      <c r="C14" s="76" t="s">
        <v>1659</v>
      </c>
      <c r="D14" s="11" t="s">
        <v>29</v>
      </c>
      <c r="F14" s="12">
        <v>38680</v>
      </c>
      <c r="G14" s="1"/>
      <c r="H14" s="130"/>
      <c r="I14" s="171"/>
      <c r="J14" s="171"/>
      <c r="K14" s="165"/>
    </row>
    <row r="15" spans="1:11" s="2" customFormat="1" ht="14.25" customHeight="1" x14ac:dyDescent="0.2">
      <c r="A15" s="89">
        <v>45210</v>
      </c>
      <c r="B15" s="9" t="s">
        <v>11</v>
      </c>
      <c r="C15" s="76" t="s">
        <v>34</v>
      </c>
      <c r="D15" s="11" t="s">
        <v>29</v>
      </c>
      <c r="F15" s="12">
        <v>200000</v>
      </c>
      <c r="G15" s="1"/>
      <c r="H15" s="130"/>
      <c r="I15" s="171"/>
      <c r="J15" s="171"/>
      <c r="K15" s="165"/>
    </row>
    <row r="16" spans="1:11" s="2" customFormat="1" ht="14.25" customHeight="1" x14ac:dyDescent="0.2">
      <c r="A16" s="89">
        <v>45210</v>
      </c>
      <c r="B16" s="9" t="s">
        <v>11</v>
      </c>
      <c r="C16" s="76" t="s">
        <v>623</v>
      </c>
      <c r="D16" s="11" t="s">
        <v>29</v>
      </c>
      <c r="F16" s="12">
        <v>142725</v>
      </c>
      <c r="G16" s="1"/>
      <c r="H16" s="130"/>
      <c r="I16" s="171"/>
      <c r="J16" s="171"/>
      <c r="K16" s="165"/>
    </row>
    <row r="17" spans="1:13" s="2" customFormat="1" ht="14.25" customHeight="1" x14ac:dyDescent="0.2">
      <c r="A17" s="89">
        <v>45210</v>
      </c>
      <c r="B17" s="9" t="s">
        <v>11</v>
      </c>
      <c r="C17" s="76" t="s">
        <v>1660</v>
      </c>
      <c r="D17" s="11" t="s">
        <v>29</v>
      </c>
      <c r="F17" s="12">
        <v>17615</v>
      </c>
      <c r="G17" s="1"/>
      <c r="H17" s="130"/>
      <c r="I17" s="171"/>
      <c r="J17" s="171"/>
      <c r="K17" s="165"/>
    </row>
    <row r="18" spans="1:13" s="2" customFormat="1" ht="14.25" customHeight="1" x14ac:dyDescent="0.2">
      <c r="A18" s="89">
        <v>45210</v>
      </c>
      <c r="B18" s="9" t="s">
        <v>11</v>
      </c>
      <c r="C18" s="76" t="s">
        <v>494</v>
      </c>
      <c r="D18" s="11" t="s">
        <v>29</v>
      </c>
      <c r="F18" s="12">
        <v>30917.52</v>
      </c>
      <c r="G18" s="1"/>
      <c r="H18" s="130"/>
      <c r="I18" s="171"/>
      <c r="J18" s="171"/>
      <c r="K18" s="165"/>
    </row>
    <row r="19" spans="1:13" s="2" customFormat="1" ht="14.25" customHeight="1" x14ac:dyDescent="0.2">
      <c r="A19" s="89">
        <v>45210</v>
      </c>
      <c r="B19" s="9" t="s">
        <v>11</v>
      </c>
      <c r="C19" s="76" t="s">
        <v>195</v>
      </c>
      <c r="D19" s="11" t="s">
        <v>29</v>
      </c>
      <c r="F19" s="12">
        <v>4630</v>
      </c>
      <c r="G19" s="1"/>
      <c r="H19" s="130"/>
      <c r="I19" s="171"/>
      <c r="J19" s="171"/>
      <c r="K19" s="165"/>
    </row>
    <row r="20" spans="1:13" s="2" customFormat="1" ht="14.25" customHeight="1" x14ac:dyDescent="0.2">
      <c r="A20" s="89">
        <v>45210</v>
      </c>
      <c r="B20" s="9" t="s">
        <v>11</v>
      </c>
      <c r="C20" s="76" t="s">
        <v>124</v>
      </c>
      <c r="D20" s="11" t="s">
        <v>29</v>
      </c>
      <c r="F20" s="12">
        <v>1600</v>
      </c>
      <c r="G20" s="1"/>
      <c r="H20" s="130"/>
      <c r="I20" s="171"/>
      <c r="J20" s="171"/>
      <c r="K20" s="165"/>
    </row>
    <row r="21" spans="1:13" s="2" customFormat="1" ht="14.25" customHeight="1" x14ac:dyDescent="0.2">
      <c r="A21" s="89">
        <v>45210</v>
      </c>
      <c r="B21" s="9" t="s">
        <v>11</v>
      </c>
      <c r="C21" s="76" t="s">
        <v>1661</v>
      </c>
      <c r="D21" s="11" t="s">
        <v>29</v>
      </c>
      <c r="F21" s="12">
        <v>52650</v>
      </c>
      <c r="G21" s="1"/>
      <c r="H21" s="130"/>
      <c r="I21" s="171"/>
      <c r="J21" s="171"/>
      <c r="K21" s="165"/>
    </row>
    <row r="22" spans="1:13" s="2" customFormat="1" ht="14.25" customHeight="1" x14ac:dyDescent="0.2">
      <c r="A22" s="89">
        <v>45210</v>
      </c>
      <c r="B22" s="9" t="s">
        <v>11</v>
      </c>
      <c r="C22" s="76" t="s">
        <v>1662</v>
      </c>
      <c r="D22" s="11" t="s">
        <v>29</v>
      </c>
      <c r="F22" s="12">
        <v>29000</v>
      </c>
      <c r="G22" s="1"/>
      <c r="H22" s="130"/>
      <c r="I22" s="171"/>
      <c r="J22" s="171"/>
      <c r="K22" s="165"/>
    </row>
    <row r="23" spans="1:13" s="2" customFormat="1" ht="14.25" customHeight="1" x14ac:dyDescent="0.2">
      <c r="A23" s="89">
        <v>45210</v>
      </c>
      <c r="B23" s="9" t="s">
        <v>11</v>
      </c>
      <c r="C23" s="76" t="s">
        <v>1619</v>
      </c>
      <c r="D23" s="11" t="s">
        <v>29</v>
      </c>
      <c r="F23" s="12">
        <v>52859</v>
      </c>
      <c r="G23" s="1"/>
      <c r="H23" s="130"/>
      <c r="I23" s="171"/>
      <c r="J23" s="171"/>
      <c r="K23" s="165"/>
    </row>
    <row r="24" spans="1:13" s="2" customFormat="1" ht="14.25" customHeight="1" x14ac:dyDescent="0.2">
      <c r="A24" s="89">
        <v>45210</v>
      </c>
      <c r="B24" s="9" t="s">
        <v>11</v>
      </c>
      <c r="C24" s="76" t="s">
        <v>1216</v>
      </c>
      <c r="D24" s="11" t="s">
        <v>29</v>
      </c>
      <c r="F24" s="12">
        <v>38745</v>
      </c>
      <c r="G24" s="1"/>
      <c r="H24" s="130"/>
      <c r="I24" s="171"/>
      <c r="J24" s="171"/>
      <c r="K24" s="165"/>
    </row>
    <row r="25" spans="1:13" s="2" customFormat="1" ht="14.25" customHeight="1" x14ac:dyDescent="0.2">
      <c r="A25" s="89">
        <v>45210</v>
      </c>
      <c r="B25" s="9" t="s">
        <v>11</v>
      </c>
      <c r="C25" s="76" t="s">
        <v>62</v>
      </c>
      <c r="D25" s="11" t="s">
        <v>29</v>
      </c>
      <c r="F25" s="12">
        <v>40000</v>
      </c>
      <c r="G25" s="1"/>
      <c r="H25" s="130"/>
      <c r="I25" s="171"/>
      <c r="J25" s="171"/>
      <c r="K25" s="165"/>
    </row>
    <row r="26" spans="1:13" s="2" customFormat="1" ht="14.25" customHeight="1" x14ac:dyDescent="0.2">
      <c r="A26" s="89">
        <v>45210</v>
      </c>
      <c r="B26" s="9" t="s">
        <v>11</v>
      </c>
      <c r="C26" s="76" t="s">
        <v>1663</v>
      </c>
      <c r="D26" s="11" t="s">
        <v>29</v>
      </c>
      <c r="F26" s="12">
        <v>39943</v>
      </c>
      <c r="G26" s="1"/>
      <c r="H26" s="130"/>
      <c r="I26" s="171"/>
      <c r="J26" s="171"/>
      <c r="K26" s="165"/>
    </row>
    <row r="27" spans="1:13" s="2" customFormat="1" ht="14.25" customHeight="1" x14ac:dyDescent="0.2">
      <c r="A27" s="89">
        <v>45210</v>
      </c>
      <c r="B27" s="9" t="s">
        <v>11</v>
      </c>
      <c r="C27" s="76" t="s">
        <v>1137</v>
      </c>
      <c r="D27" s="11" t="s">
        <v>29</v>
      </c>
      <c r="F27" s="12">
        <v>3307.96</v>
      </c>
      <c r="G27" s="1"/>
      <c r="H27" s="130"/>
      <c r="I27" s="171"/>
      <c r="J27" s="171"/>
      <c r="K27" s="165"/>
    </row>
    <row r="28" spans="1:13" s="2" customFormat="1" ht="14.25" customHeight="1" x14ac:dyDescent="0.2">
      <c r="D28" s="11" t="s">
        <v>8</v>
      </c>
      <c r="E28" s="16">
        <f>SUM(E11:E27)</f>
        <v>67752.899999999994</v>
      </c>
      <c r="F28" s="16">
        <f>SUM(F11:F27)</f>
        <v>88936365.649999991</v>
      </c>
      <c r="G28" s="1"/>
      <c r="H28" s="143"/>
      <c r="I28" s="130"/>
      <c r="J28" s="143"/>
      <c r="K28" s="143"/>
      <c r="L28" s="143"/>
      <c r="M28" s="143"/>
    </row>
    <row r="29" spans="1:13" s="2" customFormat="1" ht="14.25" customHeight="1" x14ac:dyDescent="0.4">
      <c r="A29" s="17"/>
      <c r="B29" s="18"/>
      <c r="C29" s="96" t="s">
        <v>9</v>
      </c>
      <c r="D29" s="20"/>
      <c r="E29" s="21">
        <f>+F28-E28</f>
        <v>88868612.749999985</v>
      </c>
      <c r="G29" s="1"/>
      <c r="I29" s="112"/>
      <c r="J29" s="153" t="s">
        <v>779</v>
      </c>
    </row>
    <row r="30" spans="1:13" s="2" customFormat="1" ht="14.25" customHeight="1" x14ac:dyDescent="0.2">
      <c r="A30" s="36"/>
      <c r="B30" s="28" t="s">
        <v>66</v>
      </c>
      <c r="C30" s="43" t="s">
        <v>1458</v>
      </c>
      <c r="D30" s="43"/>
      <c r="E30" s="12">
        <v>30000000</v>
      </c>
      <c r="F30" s="22"/>
      <c r="G30" s="1"/>
      <c r="I30" s="40">
        <v>88868612.75</v>
      </c>
      <c r="J30" s="154">
        <f>I30-E29</f>
        <v>0</v>
      </c>
    </row>
    <row r="31" spans="1:13" s="2" customFormat="1" ht="14.25" customHeight="1" x14ac:dyDescent="0.25">
      <c r="A31" s="36"/>
      <c r="B31" s="28"/>
      <c r="C31" s="44" t="s">
        <v>1541</v>
      </c>
      <c r="D31" s="43"/>
      <c r="E31" s="7">
        <f>+E29+E30</f>
        <v>118868612.74999999</v>
      </c>
      <c r="F31" s="22"/>
      <c r="G31" s="1"/>
      <c r="H31" s="13" t="s">
        <v>1582</v>
      </c>
      <c r="I31" s="13" t="s">
        <v>1583</v>
      </c>
    </row>
    <row r="32" spans="1:13" s="2" customFormat="1" ht="14.25" customHeight="1" x14ac:dyDescent="0.25">
      <c r="A32" s="36"/>
      <c r="B32" s="28"/>
      <c r="C32" s="44" t="s">
        <v>1511</v>
      </c>
      <c r="D32" s="43"/>
      <c r="E32" s="38">
        <f>+I11</f>
        <v>1131387.25</v>
      </c>
      <c r="F32" s="22"/>
      <c r="G32" s="1"/>
      <c r="H32" s="2">
        <v>27722</v>
      </c>
      <c r="I32" s="2">
        <v>3461427.58</v>
      </c>
      <c r="J32" s="176">
        <f>H32-I32</f>
        <v>-3433705.58</v>
      </c>
    </row>
    <row r="33" spans="1:14" s="2" customFormat="1" ht="14.25" customHeight="1" x14ac:dyDescent="0.2">
      <c r="A33" s="24"/>
      <c r="B33" s="1"/>
      <c r="C33" s="14"/>
      <c r="D33" s="25"/>
      <c r="G33" s="1"/>
      <c r="I33" s="130"/>
      <c r="J33" s="130"/>
    </row>
    <row r="34" spans="1:14" s="2" customFormat="1" x14ac:dyDescent="0.2">
      <c r="A34" s="214" t="s">
        <v>10</v>
      </c>
      <c r="B34" s="214"/>
      <c r="C34" s="214"/>
      <c r="D34" s="214"/>
      <c r="E34" s="214"/>
      <c r="F34" s="214"/>
      <c r="G34" s="1"/>
      <c r="H34" s="159"/>
      <c r="I34" s="160">
        <f>225000000-75000000-50000000</f>
        <v>100000000</v>
      </c>
      <c r="J34" s="160" t="s">
        <v>1506</v>
      </c>
      <c r="K34" s="70"/>
    </row>
    <row r="35" spans="1:14" s="2" customFormat="1" x14ac:dyDescent="0.2">
      <c r="A35" s="26" t="s">
        <v>1</v>
      </c>
      <c r="B35" s="27" t="s">
        <v>2</v>
      </c>
      <c r="C35" s="5"/>
      <c r="D35" s="6" t="s">
        <v>3</v>
      </c>
      <c r="E35" s="7" t="s">
        <v>4</v>
      </c>
      <c r="F35" s="7" t="s">
        <v>5</v>
      </c>
      <c r="G35" s="1"/>
      <c r="H35" s="159"/>
      <c r="I35" s="160">
        <v>84574703.909999996</v>
      </c>
      <c r="J35" s="160" t="s">
        <v>1507</v>
      </c>
      <c r="K35" s="70" t="s">
        <v>1512</v>
      </c>
    </row>
    <row r="36" spans="1:14" s="2" customFormat="1" x14ac:dyDescent="0.2">
      <c r="A36" s="89">
        <v>45210</v>
      </c>
      <c r="B36" s="128" t="s">
        <v>11</v>
      </c>
      <c r="C36" s="29" t="s">
        <v>7</v>
      </c>
      <c r="D36" s="25"/>
      <c r="E36" s="31"/>
      <c r="F36" s="2">
        <v>73050899.470000088</v>
      </c>
      <c r="G36" s="23"/>
      <c r="H36" s="159" t="s">
        <v>1505</v>
      </c>
      <c r="I36" s="160">
        <f>+I34-I35</f>
        <v>15425296.090000004</v>
      </c>
      <c r="J36" s="160"/>
      <c r="K36" s="70"/>
    </row>
    <row r="37" spans="1:14" s="2" customFormat="1" x14ac:dyDescent="0.2">
      <c r="A37" s="89">
        <v>45210</v>
      </c>
      <c r="B37" s="128" t="s">
        <v>6</v>
      </c>
      <c r="C37" s="10" t="s">
        <v>788</v>
      </c>
      <c r="D37" s="11" t="s">
        <v>13</v>
      </c>
      <c r="E37" s="86">
        <v>21735</v>
      </c>
      <c r="F37" s="70"/>
      <c r="G37" s="1"/>
      <c r="N37" s="1"/>
    </row>
    <row r="38" spans="1:14" s="2" customFormat="1" x14ac:dyDescent="0.2">
      <c r="A38" s="89">
        <v>45210</v>
      </c>
      <c r="B38" s="128" t="s">
        <v>6</v>
      </c>
      <c r="C38" s="10" t="s">
        <v>237</v>
      </c>
      <c r="D38" s="11" t="s">
        <v>13</v>
      </c>
      <c r="E38" s="86">
        <v>299273</v>
      </c>
      <c r="F38" s="70"/>
      <c r="G38" s="1"/>
      <c r="N38" s="1"/>
    </row>
    <row r="39" spans="1:14" s="2" customFormat="1" x14ac:dyDescent="0.2">
      <c r="A39" s="89">
        <v>45210</v>
      </c>
      <c r="B39" s="128" t="s">
        <v>6</v>
      </c>
      <c r="C39" s="10" t="s">
        <v>683</v>
      </c>
      <c r="D39" s="11" t="s">
        <v>13</v>
      </c>
      <c r="E39" s="86">
        <v>690763.5</v>
      </c>
      <c r="F39" s="70"/>
      <c r="G39" s="1"/>
      <c r="N39" s="1"/>
    </row>
    <row r="40" spans="1:14" s="2" customFormat="1" x14ac:dyDescent="0.2">
      <c r="A40" s="89">
        <v>45210</v>
      </c>
      <c r="B40" s="128" t="s">
        <v>6</v>
      </c>
      <c r="C40" s="10" t="s">
        <v>332</v>
      </c>
      <c r="D40" s="11" t="s">
        <v>13</v>
      </c>
      <c r="E40" s="86">
        <v>742560</v>
      </c>
      <c r="F40" s="70"/>
      <c r="G40" s="1"/>
      <c r="N40" s="1"/>
    </row>
    <row r="41" spans="1:14" s="2" customFormat="1" x14ac:dyDescent="0.2">
      <c r="A41" s="89">
        <v>45210</v>
      </c>
      <c r="B41" s="128" t="s">
        <v>6</v>
      </c>
      <c r="C41" s="10" t="s">
        <v>656</v>
      </c>
      <c r="D41" s="11" t="s">
        <v>13</v>
      </c>
      <c r="E41" s="86">
        <v>263038</v>
      </c>
      <c r="F41" s="70"/>
      <c r="G41" s="1"/>
      <c r="N41" s="1"/>
    </row>
    <row r="42" spans="1:14" s="2" customFormat="1" x14ac:dyDescent="0.2">
      <c r="A42" s="89">
        <v>45210</v>
      </c>
      <c r="B42" s="128" t="s">
        <v>6</v>
      </c>
      <c r="C42" s="10" t="s">
        <v>640</v>
      </c>
      <c r="D42" s="11" t="s">
        <v>13</v>
      </c>
      <c r="E42" s="86">
        <v>303634</v>
      </c>
      <c r="F42" s="70"/>
      <c r="G42" s="1"/>
      <c r="N42" s="1"/>
    </row>
    <row r="43" spans="1:14" s="2" customFormat="1" x14ac:dyDescent="0.2">
      <c r="A43" s="89">
        <v>45210</v>
      </c>
      <c r="B43" s="128" t="s">
        <v>6</v>
      </c>
      <c r="C43" s="10" t="s">
        <v>1327</v>
      </c>
      <c r="D43" s="11" t="s">
        <v>13</v>
      </c>
      <c r="E43" s="86">
        <v>10038</v>
      </c>
      <c r="F43" s="70"/>
      <c r="G43" s="1"/>
      <c r="N43" s="1"/>
    </row>
    <row r="44" spans="1:14" s="2" customFormat="1" x14ac:dyDescent="0.2">
      <c r="A44" s="89">
        <v>45210</v>
      </c>
      <c r="B44" s="128" t="s">
        <v>6</v>
      </c>
      <c r="C44" s="10" t="s">
        <v>1135</v>
      </c>
      <c r="D44" s="11" t="s">
        <v>13</v>
      </c>
      <c r="E44" s="86">
        <v>18375</v>
      </c>
      <c r="F44" s="70"/>
      <c r="G44" s="1"/>
      <c r="N44" s="1"/>
    </row>
    <row r="45" spans="1:14" s="2" customFormat="1" x14ac:dyDescent="0.2">
      <c r="A45" s="89">
        <v>45210</v>
      </c>
      <c r="B45" s="128" t="s">
        <v>6</v>
      </c>
      <c r="C45" s="10" t="s">
        <v>1549</v>
      </c>
      <c r="D45" s="11" t="s">
        <v>13</v>
      </c>
      <c r="E45" s="86">
        <v>5882</v>
      </c>
      <c r="F45" s="70"/>
      <c r="G45" s="1"/>
      <c r="N45" s="1"/>
    </row>
    <row r="46" spans="1:14" s="2" customFormat="1" x14ac:dyDescent="0.2">
      <c r="A46" s="89">
        <v>45210</v>
      </c>
      <c r="B46" s="128" t="s">
        <v>6</v>
      </c>
      <c r="C46" s="10" t="s">
        <v>149</v>
      </c>
      <c r="D46" s="11" t="s">
        <v>13</v>
      </c>
      <c r="E46" s="86">
        <v>18308</v>
      </c>
      <c r="F46" s="70"/>
      <c r="G46" s="1"/>
      <c r="N46" s="1"/>
    </row>
    <row r="47" spans="1:14" s="2" customFormat="1" x14ac:dyDescent="0.2">
      <c r="A47" s="89">
        <v>45210</v>
      </c>
      <c r="B47" s="128" t="s">
        <v>6</v>
      </c>
      <c r="C47" s="10" t="s">
        <v>785</v>
      </c>
      <c r="D47" s="11" t="s">
        <v>13</v>
      </c>
      <c r="E47" s="86">
        <v>387105</v>
      </c>
      <c r="F47" s="70"/>
      <c r="G47" s="1"/>
      <c r="N47" s="1"/>
    </row>
    <row r="48" spans="1:14" s="2" customFormat="1" x14ac:dyDescent="0.2">
      <c r="A48" s="89">
        <v>45210</v>
      </c>
      <c r="B48" s="128" t="s">
        <v>6</v>
      </c>
      <c r="C48" s="10" t="s">
        <v>389</v>
      </c>
      <c r="D48" s="11" t="s">
        <v>13</v>
      </c>
      <c r="E48" s="86">
        <v>894241.11</v>
      </c>
      <c r="F48" s="70"/>
      <c r="G48" s="1"/>
      <c r="N48" s="1"/>
    </row>
    <row r="49" spans="1:14" s="2" customFormat="1" x14ac:dyDescent="0.2">
      <c r="A49" s="89">
        <v>45210</v>
      </c>
      <c r="B49" s="128" t="s">
        <v>6</v>
      </c>
      <c r="C49" s="10" t="s">
        <v>560</v>
      </c>
      <c r="D49" s="11" t="s">
        <v>13</v>
      </c>
      <c r="E49" s="86">
        <v>16031.68</v>
      </c>
      <c r="F49" s="70"/>
      <c r="G49" s="1"/>
      <c r="N49" s="1"/>
    </row>
    <row r="50" spans="1:14" s="2" customFormat="1" x14ac:dyDescent="0.2">
      <c r="A50" s="89">
        <v>45210</v>
      </c>
      <c r="B50" s="128" t="s">
        <v>6</v>
      </c>
      <c r="C50" s="10" t="s">
        <v>1274</v>
      </c>
      <c r="D50" s="11" t="s">
        <v>13</v>
      </c>
      <c r="E50" s="86">
        <v>380427</v>
      </c>
      <c r="F50" s="70"/>
      <c r="G50" s="1"/>
      <c r="N50" s="1"/>
    </row>
    <row r="51" spans="1:14" s="2" customFormat="1" x14ac:dyDescent="0.2">
      <c r="A51" s="89">
        <v>45210</v>
      </c>
      <c r="B51" s="128" t="s">
        <v>6</v>
      </c>
      <c r="C51" s="10" t="s">
        <v>27</v>
      </c>
      <c r="D51" s="11" t="s">
        <v>13</v>
      </c>
      <c r="E51" s="86">
        <v>3861144.9699999997</v>
      </c>
      <c r="F51" s="70"/>
      <c r="G51" s="1"/>
      <c r="N51" s="1"/>
    </row>
    <row r="52" spans="1:14" s="2" customFormat="1" x14ac:dyDescent="0.2">
      <c r="A52" s="89">
        <v>45210</v>
      </c>
      <c r="B52" s="128" t="s">
        <v>6</v>
      </c>
      <c r="C52" s="10" t="s">
        <v>15</v>
      </c>
      <c r="D52" s="11" t="s">
        <v>13</v>
      </c>
      <c r="E52" s="86">
        <v>12605.32</v>
      </c>
      <c r="F52" s="70"/>
      <c r="G52" s="1"/>
      <c r="N52" s="1"/>
    </row>
    <row r="53" spans="1:14" s="13" customFormat="1" x14ac:dyDescent="0.2">
      <c r="A53" s="97">
        <v>45210</v>
      </c>
      <c r="B53" s="132" t="s">
        <v>11</v>
      </c>
      <c r="C53" s="121" t="s">
        <v>1396</v>
      </c>
      <c r="D53" s="122" t="s">
        <v>258</v>
      </c>
      <c r="E53" s="147"/>
      <c r="F53" s="69">
        <v>453296</v>
      </c>
      <c r="G53" s="23"/>
      <c r="N53" s="23"/>
    </row>
    <row r="54" spans="1:14" s="2" customFormat="1" x14ac:dyDescent="0.2">
      <c r="A54" s="89">
        <v>45210</v>
      </c>
      <c r="B54" s="128" t="s">
        <v>11</v>
      </c>
      <c r="C54" s="10" t="s">
        <v>27</v>
      </c>
      <c r="D54" s="11" t="s">
        <v>29</v>
      </c>
      <c r="E54" s="86"/>
      <c r="F54" s="70">
        <v>331763.40000000002</v>
      </c>
      <c r="G54" s="1"/>
      <c r="N54" s="1"/>
    </row>
    <row r="55" spans="1:14" s="2" customFormat="1" x14ac:dyDescent="0.2">
      <c r="A55" s="89">
        <v>45210</v>
      </c>
      <c r="B55" s="128" t="s">
        <v>11</v>
      </c>
      <c r="C55" s="10" t="s">
        <v>64</v>
      </c>
      <c r="D55" s="11" t="s">
        <v>29</v>
      </c>
      <c r="E55" s="86"/>
      <c r="F55" s="70">
        <v>16172.419999999998</v>
      </c>
      <c r="G55" s="1"/>
      <c r="N55" s="1"/>
    </row>
    <row r="56" spans="1:14" s="2" customFormat="1" x14ac:dyDescent="0.2">
      <c r="A56" s="89">
        <v>45210</v>
      </c>
      <c r="B56" s="128" t="s">
        <v>11</v>
      </c>
      <c r="C56" s="10" t="s">
        <v>117</v>
      </c>
      <c r="D56" s="11" t="s">
        <v>29</v>
      </c>
      <c r="E56" s="86"/>
      <c r="F56" s="70">
        <v>87228</v>
      </c>
      <c r="G56" s="1"/>
      <c r="N56" s="1"/>
    </row>
    <row r="57" spans="1:14" s="2" customFormat="1" x14ac:dyDescent="0.2">
      <c r="A57" s="89">
        <v>45210</v>
      </c>
      <c r="B57" s="128" t="s">
        <v>11</v>
      </c>
      <c r="C57" s="10" t="s">
        <v>1403</v>
      </c>
      <c r="D57" s="11" t="s">
        <v>29</v>
      </c>
      <c r="E57" s="86"/>
      <c r="F57" s="70">
        <v>2283783</v>
      </c>
      <c r="G57" s="1"/>
      <c r="N57" s="1"/>
    </row>
    <row r="58" spans="1:14" s="2" customFormat="1" x14ac:dyDescent="0.2">
      <c r="A58" s="89">
        <v>45210</v>
      </c>
      <c r="B58" s="128" t="s">
        <v>11</v>
      </c>
      <c r="C58" s="10" t="s">
        <v>134</v>
      </c>
      <c r="D58" s="11" t="s">
        <v>29</v>
      </c>
      <c r="E58" s="86"/>
      <c r="F58" s="70">
        <v>2150000</v>
      </c>
      <c r="G58" s="1"/>
      <c r="N58" s="1"/>
    </row>
    <row r="59" spans="1:14" s="2" customFormat="1" x14ac:dyDescent="0.2">
      <c r="A59" s="89">
        <v>45210</v>
      </c>
      <c r="B59" s="128" t="s">
        <v>11</v>
      </c>
      <c r="C59" s="10" t="s">
        <v>25</v>
      </c>
      <c r="D59" s="11" t="s">
        <v>29</v>
      </c>
      <c r="E59" s="86"/>
      <c r="F59" s="70">
        <v>1000000</v>
      </c>
      <c r="G59" s="1"/>
      <c r="N59" s="1"/>
    </row>
    <row r="60" spans="1:14" s="2" customFormat="1" x14ac:dyDescent="0.2">
      <c r="A60" s="89">
        <v>45210</v>
      </c>
      <c r="B60" s="128" t="s">
        <v>11</v>
      </c>
      <c r="C60" s="10" t="s">
        <v>319</v>
      </c>
      <c r="D60" s="11" t="s">
        <v>29</v>
      </c>
      <c r="E60" s="86"/>
      <c r="F60" s="70">
        <v>310019.76</v>
      </c>
      <c r="G60" s="1"/>
      <c r="N60" s="1"/>
    </row>
    <row r="61" spans="1:14" s="2" customFormat="1" x14ac:dyDescent="0.2">
      <c r="A61" s="89">
        <v>45210</v>
      </c>
      <c r="B61" s="128" t="s">
        <v>11</v>
      </c>
      <c r="C61" s="10" t="s">
        <v>44</v>
      </c>
      <c r="D61" s="11" t="s">
        <v>29</v>
      </c>
      <c r="E61" s="86"/>
      <c r="F61" s="70">
        <v>502839</v>
      </c>
      <c r="G61" s="1"/>
      <c r="N61" s="1"/>
    </row>
    <row r="62" spans="1:14" s="2" customFormat="1" x14ac:dyDescent="0.2">
      <c r="A62" s="89">
        <v>45210</v>
      </c>
      <c r="B62" s="128" t="s">
        <v>11</v>
      </c>
      <c r="C62" s="10" t="s">
        <v>35</v>
      </c>
      <c r="D62" s="11" t="s">
        <v>29</v>
      </c>
      <c r="E62" s="86"/>
      <c r="F62" s="70">
        <v>62408.2</v>
      </c>
      <c r="G62" s="1"/>
      <c r="N62" s="1"/>
    </row>
    <row r="63" spans="1:14" s="2" customFormat="1" x14ac:dyDescent="0.2">
      <c r="A63" s="89">
        <v>45210</v>
      </c>
      <c r="B63" s="128" t="s">
        <v>11</v>
      </c>
      <c r="C63" s="10" t="s">
        <v>46</v>
      </c>
      <c r="D63" s="11" t="s">
        <v>29</v>
      </c>
      <c r="E63" s="86"/>
      <c r="F63" s="70">
        <v>120232</v>
      </c>
      <c r="G63" s="1"/>
      <c r="N63" s="1"/>
    </row>
    <row r="64" spans="1:14" s="2" customFormat="1" x14ac:dyDescent="0.2">
      <c r="A64" s="89">
        <v>45210</v>
      </c>
      <c r="B64" s="128" t="s">
        <v>11</v>
      </c>
      <c r="C64" s="10" t="s">
        <v>115</v>
      </c>
      <c r="D64" s="11" t="s">
        <v>29</v>
      </c>
      <c r="E64" s="86"/>
      <c r="F64" s="70">
        <v>140344.48000000001</v>
      </c>
      <c r="G64" s="1"/>
      <c r="N64" s="1"/>
    </row>
    <row r="65" spans="1:14" s="2" customFormat="1" x14ac:dyDescent="0.2">
      <c r="A65" s="89">
        <v>45210</v>
      </c>
      <c r="B65" s="128" t="s">
        <v>11</v>
      </c>
      <c r="C65" s="10" t="s">
        <v>657</v>
      </c>
      <c r="D65" s="11" t="s">
        <v>29</v>
      </c>
      <c r="E65" s="86"/>
      <c r="F65" s="70">
        <v>107970</v>
      </c>
      <c r="G65" s="1"/>
      <c r="N65" s="1"/>
    </row>
    <row r="66" spans="1:14" s="2" customFormat="1" x14ac:dyDescent="0.2">
      <c r="A66" s="89">
        <v>45210</v>
      </c>
      <c r="B66" s="128" t="s">
        <v>11</v>
      </c>
      <c r="C66" s="10" t="s">
        <v>1269</v>
      </c>
      <c r="D66" s="11" t="s">
        <v>29</v>
      </c>
      <c r="E66" s="86"/>
      <c r="F66" s="70">
        <v>398596</v>
      </c>
      <c r="G66" s="1"/>
      <c r="N66" s="1"/>
    </row>
    <row r="67" spans="1:14" s="2" customFormat="1" x14ac:dyDescent="0.2">
      <c r="A67" s="89">
        <v>45210</v>
      </c>
      <c r="B67" s="128" t="s">
        <v>11</v>
      </c>
      <c r="C67" s="10" t="s">
        <v>251</v>
      </c>
      <c r="D67" s="11" t="s">
        <v>29</v>
      </c>
      <c r="E67" s="86"/>
      <c r="F67" s="70">
        <v>119053.74</v>
      </c>
      <c r="G67" s="1"/>
      <c r="N67" s="1"/>
    </row>
    <row r="68" spans="1:14" s="2" customFormat="1" x14ac:dyDescent="0.2">
      <c r="A68" s="89">
        <v>45210</v>
      </c>
      <c r="B68" s="128" t="s">
        <v>11</v>
      </c>
      <c r="C68" s="10" t="s">
        <v>278</v>
      </c>
      <c r="D68" s="11" t="s">
        <v>29</v>
      </c>
      <c r="E68" s="86"/>
      <c r="F68" s="70">
        <v>62888</v>
      </c>
      <c r="G68" s="1"/>
      <c r="N68" s="1"/>
    </row>
    <row r="69" spans="1:14" s="2" customFormat="1" x14ac:dyDescent="0.2">
      <c r="A69" s="89">
        <v>45210</v>
      </c>
      <c r="B69" s="128" t="s">
        <v>11</v>
      </c>
      <c r="C69" s="10" t="s">
        <v>228</v>
      </c>
      <c r="D69" s="11" t="s">
        <v>29</v>
      </c>
      <c r="E69" s="86"/>
      <c r="F69" s="70">
        <v>95618</v>
      </c>
      <c r="G69" s="1"/>
      <c r="N69" s="1"/>
    </row>
    <row r="70" spans="1:14" s="2" customFormat="1" x14ac:dyDescent="0.2">
      <c r="A70" s="89">
        <v>45210</v>
      </c>
      <c r="B70" s="128" t="s">
        <v>11</v>
      </c>
      <c r="C70" s="10" t="s">
        <v>1664</v>
      </c>
      <c r="D70" s="11" t="s">
        <v>29</v>
      </c>
      <c r="E70" s="86"/>
      <c r="F70" s="70">
        <v>963144</v>
      </c>
      <c r="G70" s="1"/>
      <c r="N70" s="1"/>
    </row>
    <row r="71" spans="1:14" s="2" customFormat="1" x14ac:dyDescent="0.2">
      <c r="A71" s="89">
        <v>45210</v>
      </c>
      <c r="B71" s="128" t="s">
        <v>11</v>
      </c>
      <c r="C71" s="10" t="s">
        <v>885</v>
      </c>
      <c r="D71" s="11" t="s">
        <v>29</v>
      </c>
      <c r="E71" s="86"/>
      <c r="F71" s="70">
        <v>9450</v>
      </c>
      <c r="G71" s="1"/>
      <c r="N71" s="1"/>
    </row>
    <row r="72" spans="1:14" s="2" customFormat="1" x14ac:dyDescent="0.2">
      <c r="A72" s="89">
        <v>45210</v>
      </c>
      <c r="B72" s="128" t="s">
        <v>11</v>
      </c>
      <c r="C72" s="10" t="s">
        <v>719</v>
      </c>
      <c r="D72" s="11" t="s">
        <v>29</v>
      </c>
      <c r="E72" s="86"/>
      <c r="F72" s="70">
        <v>22755</v>
      </c>
      <c r="G72" s="1"/>
      <c r="N72" s="1"/>
    </row>
    <row r="73" spans="1:14" s="2" customFormat="1" x14ac:dyDescent="0.2">
      <c r="A73" s="89">
        <v>45210</v>
      </c>
      <c r="B73" s="128" t="s">
        <v>11</v>
      </c>
      <c r="C73" s="10" t="s">
        <v>1590</v>
      </c>
      <c r="D73" s="11" t="s">
        <v>29</v>
      </c>
      <c r="E73" s="86"/>
      <c r="F73" s="70">
        <v>16500</v>
      </c>
      <c r="G73" s="1"/>
      <c r="N73" s="1"/>
    </row>
    <row r="74" spans="1:14" s="2" customFormat="1" x14ac:dyDescent="0.2">
      <c r="A74" s="89">
        <v>45210</v>
      </c>
      <c r="B74" s="128" t="s">
        <v>11</v>
      </c>
      <c r="C74" s="10" t="s">
        <v>886</v>
      </c>
      <c r="D74" s="11" t="s">
        <v>29</v>
      </c>
      <c r="E74" s="86"/>
      <c r="F74" s="70">
        <v>2842</v>
      </c>
      <c r="G74" s="1"/>
      <c r="N74" s="1"/>
    </row>
    <row r="75" spans="1:14" s="2" customFormat="1" x14ac:dyDescent="0.2">
      <c r="A75" s="89">
        <v>45210</v>
      </c>
      <c r="B75" s="128" t="s">
        <v>11</v>
      </c>
      <c r="C75" s="10" t="s">
        <v>1600</v>
      </c>
      <c r="D75" s="11" t="s">
        <v>29</v>
      </c>
      <c r="E75" s="86"/>
      <c r="F75" s="70">
        <v>6436700</v>
      </c>
      <c r="G75" s="1"/>
      <c r="N75" s="1"/>
    </row>
    <row r="76" spans="1:14" s="2" customFormat="1" x14ac:dyDescent="0.2">
      <c r="A76" s="89">
        <v>45210</v>
      </c>
      <c r="B76" s="128" t="s">
        <v>11</v>
      </c>
      <c r="C76" s="10" t="s">
        <v>1665</v>
      </c>
      <c r="D76" s="11" t="s">
        <v>29</v>
      </c>
      <c r="E76" s="86"/>
      <c r="F76" s="70">
        <v>29869</v>
      </c>
      <c r="G76" s="1"/>
      <c r="N76" s="1"/>
    </row>
    <row r="77" spans="1:14" s="2" customFormat="1" x14ac:dyDescent="0.2">
      <c r="A77" s="89">
        <v>45210</v>
      </c>
      <c r="B77" s="128" t="s">
        <v>11</v>
      </c>
      <c r="C77" s="10" t="s">
        <v>698</v>
      </c>
      <c r="D77" s="11" t="s">
        <v>29</v>
      </c>
      <c r="E77" s="86"/>
      <c r="F77" s="70">
        <v>7980</v>
      </c>
      <c r="G77" s="1"/>
      <c r="N77" s="1"/>
    </row>
    <row r="78" spans="1:14" s="2" customFormat="1" x14ac:dyDescent="0.2">
      <c r="A78" s="89">
        <v>45210</v>
      </c>
      <c r="B78" s="128" t="s">
        <v>11</v>
      </c>
      <c r="C78" s="10" t="s">
        <v>57</v>
      </c>
      <c r="D78" s="11" t="s">
        <v>29</v>
      </c>
      <c r="E78" s="86"/>
      <c r="F78" s="70">
        <v>5000000</v>
      </c>
      <c r="G78" s="1"/>
      <c r="N78" s="1"/>
    </row>
    <row r="79" spans="1:14" s="2" customFormat="1" x14ac:dyDescent="0.2">
      <c r="A79" s="89">
        <v>45210</v>
      </c>
      <c r="B79" s="128" t="s">
        <v>11</v>
      </c>
      <c r="C79" s="10" t="s">
        <v>147</v>
      </c>
      <c r="D79" s="11" t="s">
        <v>29</v>
      </c>
      <c r="E79" s="86"/>
      <c r="F79" s="70">
        <v>2107714</v>
      </c>
      <c r="G79" s="1"/>
      <c r="N79" s="1"/>
    </row>
    <row r="80" spans="1:14" s="2" customFormat="1" x14ac:dyDescent="0.2">
      <c r="A80" s="89">
        <v>45210</v>
      </c>
      <c r="B80" s="128" t="s">
        <v>11</v>
      </c>
      <c r="C80" s="10" t="s">
        <v>302</v>
      </c>
      <c r="D80" s="11" t="s">
        <v>29</v>
      </c>
      <c r="E80" s="86"/>
      <c r="F80" s="70">
        <v>3892</v>
      </c>
      <c r="G80" s="1"/>
      <c r="N80" s="1"/>
    </row>
    <row r="81" spans="1:14" s="2" customFormat="1" x14ac:dyDescent="0.2">
      <c r="A81" s="89">
        <v>45210</v>
      </c>
      <c r="B81" s="128" t="s">
        <v>11</v>
      </c>
      <c r="C81" s="10" t="s">
        <v>1597</v>
      </c>
      <c r="D81" s="11" t="s">
        <v>29</v>
      </c>
      <c r="E81" s="86"/>
      <c r="F81" s="70">
        <v>33374.32</v>
      </c>
      <c r="G81" s="1"/>
      <c r="N81" s="1"/>
    </row>
    <row r="82" spans="1:14" s="2" customFormat="1" x14ac:dyDescent="0.2">
      <c r="A82" s="89">
        <v>45210</v>
      </c>
      <c r="B82" s="128" t="s">
        <v>11</v>
      </c>
      <c r="C82" s="10" t="s">
        <v>15</v>
      </c>
      <c r="D82" s="11" t="s">
        <v>29</v>
      </c>
      <c r="E82" s="86"/>
      <c r="F82" s="70">
        <v>6239.28</v>
      </c>
      <c r="G82" s="1"/>
      <c r="N82" s="1"/>
    </row>
    <row r="83" spans="1:14" s="2" customFormat="1" x14ac:dyDescent="0.2">
      <c r="A83" s="32"/>
      <c r="B83" s="33"/>
      <c r="C83" s="14"/>
      <c r="D83" s="34"/>
      <c r="E83" s="16">
        <f>SUM(E36:E82)</f>
        <v>7925161.5800000001</v>
      </c>
      <c r="F83" s="16">
        <f>SUM(F36:F82)</f>
        <v>95933571.070000097</v>
      </c>
      <c r="G83" s="1"/>
      <c r="H83" s="1"/>
      <c r="I83" s="38">
        <v>88008409.489999995</v>
      </c>
      <c r="J83" s="2" t="s">
        <v>396</v>
      </c>
      <c r="K83" s="92">
        <f>E84-I83</f>
        <v>0</v>
      </c>
      <c r="N83" s="1"/>
    </row>
    <row r="84" spans="1:14" s="2" customFormat="1" x14ac:dyDescent="0.2">
      <c r="A84" s="36"/>
      <c r="B84" s="28" t="s">
        <v>11</v>
      </c>
      <c r="C84" s="19" t="s">
        <v>65</v>
      </c>
      <c r="D84" s="37"/>
      <c r="E84" s="38">
        <f>F83-E83</f>
        <v>88008409.490000099</v>
      </c>
      <c r="F84" s="22"/>
      <c r="G84" s="1"/>
      <c r="H84" s="1"/>
      <c r="I84" s="70"/>
      <c r="J84" s="70"/>
      <c r="K84" s="70"/>
      <c r="N84" s="1"/>
    </row>
    <row r="85" spans="1:14" s="2" customFormat="1" x14ac:dyDescent="0.2">
      <c r="A85" s="36"/>
      <c r="B85" s="28" t="s">
        <v>66</v>
      </c>
      <c r="C85" s="19" t="s">
        <v>67</v>
      </c>
      <c r="D85" s="37"/>
      <c r="E85" s="38">
        <v>6500000</v>
      </c>
      <c r="F85" s="22"/>
      <c r="G85" s="1"/>
      <c r="H85" s="70"/>
      <c r="I85" s="70"/>
      <c r="J85" s="70"/>
      <c r="K85" s="70"/>
      <c r="N85" s="1"/>
    </row>
    <row r="86" spans="1:14" s="2" customFormat="1" x14ac:dyDescent="0.2">
      <c r="A86" s="36"/>
      <c r="B86" s="28" t="s">
        <v>66</v>
      </c>
      <c r="C86" s="43" t="s">
        <v>1457</v>
      </c>
      <c r="D86" s="43"/>
      <c r="E86" s="12">
        <f>275000000+75000000+50000000</f>
        <v>400000000</v>
      </c>
      <c r="F86" s="22"/>
      <c r="G86" s="1"/>
      <c r="H86" s="70"/>
      <c r="I86" s="45">
        <v>828.6</v>
      </c>
      <c r="J86" s="46"/>
      <c r="K86" s="46"/>
      <c r="N86" s="1"/>
    </row>
    <row r="87" spans="1:14" s="2" customFormat="1" ht="15" x14ac:dyDescent="0.25">
      <c r="A87" s="36"/>
      <c r="B87" s="28"/>
      <c r="C87" s="44" t="s">
        <v>1541</v>
      </c>
      <c r="D87" s="43"/>
      <c r="E87" s="7">
        <f>+E86+E84+E85</f>
        <v>494508409.49000013</v>
      </c>
      <c r="F87" s="22"/>
      <c r="G87" s="1"/>
      <c r="H87" s="103" t="s">
        <v>69</v>
      </c>
      <c r="I87" s="45">
        <v>-168.67</v>
      </c>
      <c r="J87" s="46"/>
      <c r="K87" s="46"/>
      <c r="N87" s="1"/>
    </row>
    <row r="88" spans="1:14" s="2" customFormat="1" ht="15" x14ac:dyDescent="0.25">
      <c r="A88" s="24"/>
      <c r="B88" s="1"/>
      <c r="C88" s="44" t="s">
        <v>1510</v>
      </c>
      <c r="D88" s="25"/>
      <c r="E88" s="156">
        <f>+I36-E85+H32-I32</f>
        <v>5491590.5100000035</v>
      </c>
      <c r="G88" s="1"/>
      <c r="H88" s="35" t="s">
        <v>70</v>
      </c>
      <c r="I88" s="45">
        <v>36.590000000000003</v>
      </c>
      <c r="J88" s="46">
        <f>+I89-D91</f>
        <v>0</v>
      </c>
      <c r="N88" s="1"/>
    </row>
    <row r="89" spans="1:14" s="124" customFormat="1" ht="12.75" customHeight="1" x14ac:dyDescent="0.2">
      <c r="A89" s="24"/>
      <c r="B89" s="1"/>
      <c r="C89" s="56"/>
      <c r="D89" s="56"/>
      <c r="E89" s="104"/>
      <c r="F89" s="2"/>
      <c r="G89" s="166"/>
      <c r="H89" s="70"/>
      <c r="I89" s="49">
        <f>SUM(I86:I88)</f>
        <v>696.5200000000001</v>
      </c>
      <c r="J89" s="46"/>
      <c r="K89" s="46"/>
    </row>
    <row r="90" spans="1:14" s="124" customFormat="1" ht="12.75" customHeight="1" x14ac:dyDescent="0.2">
      <c r="A90" s="24"/>
      <c r="B90" s="1"/>
      <c r="C90" s="78" t="s">
        <v>575</v>
      </c>
      <c r="D90" s="48" t="s">
        <v>576</v>
      </c>
      <c r="E90" s="104"/>
      <c r="F90" s="2"/>
      <c r="G90" s="168"/>
      <c r="H90" s="167"/>
      <c r="I90" s="167"/>
      <c r="J90" s="168"/>
    </row>
    <row r="91" spans="1:14" s="124" customFormat="1" ht="12.75" customHeight="1" x14ac:dyDescent="0.2">
      <c r="A91" s="24"/>
      <c r="B91" s="1"/>
      <c r="C91" s="47" t="s">
        <v>570</v>
      </c>
      <c r="D91" s="111">
        <v>696.52</v>
      </c>
      <c r="E91" s="104"/>
      <c r="F91" s="2"/>
      <c r="G91" s="168"/>
      <c r="H91" s="110" t="s">
        <v>581</v>
      </c>
      <c r="I91" s="167"/>
      <c r="J91" s="168"/>
    </row>
    <row r="92" spans="1:14" s="124" customFormat="1" ht="12.75" customHeight="1" x14ac:dyDescent="0.2">
      <c r="A92" s="24"/>
      <c r="B92" s="1"/>
      <c r="C92" s="47" t="s">
        <v>931</v>
      </c>
      <c r="D92" s="111">
        <v>113.33</v>
      </c>
      <c r="E92" s="104"/>
      <c r="F92" s="2"/>
      <c r="G92" s="168"/>
      <c r="H92" s="110" t="s">
        <v>580</v>
      </c>
      <c r="I92" s="167"/>
      <c r="J92" s="168"/>
    </row>
    <row r="93" spans="1:14" s="124" customFormat="1" ht="12.75" customHeight="1" x14ac:dyDescent="0.2">
      <c r="A93" s="24"/>
      <c r="B93" s="1"/>
      <c r="C93" s="47" t="s">
        <v>572</v>
      </c>
      <c r="D93" s="111">
        <f>+D112/100000</f>
        <v>34.745904299999999</v>
      </c>
      <c r="E93" s="104"/>
      <c r="F93" s="2"/>
      <c r="G93" s="166"/>
      <c r="H93" s="90" t="s">
        <v>587</v>
      </c>
      <c r="I93" s="167"/>
      <c r="J93" s="168"/>
    </row>
    <row r="94" spans="1:14" s="2" customFormat="1" x14ac:dyDescent="0.2">
      <c r="A94" s="24"/>
      <c r="B94" s="1"/>
      <c r="C94" s="108" t="s">
        <v>578</v>
      </c>
      <c r="D94" s="48">
        <f>SUM(D91:D93)</f>
        <v>844.59590430000003</v>
      </c>
      <c r="E94" s="104"/>
      <c r="G94" s="30"/>
      <c r="I94" s="13"/>
      <c r="J94" s="13"/>
    </row>
    <row r="95" spans="1:14" s="70" customFormat="1" x14ac:dyDescent="0.2">
      <c r="A95" s="24"/>
      <c r="B95" s="1"/>
      <c r="C95" s="47"/>
      <c r="D95" s="107"/>
      <c r="E95" s="104"/>
      <c r="F95" s="2"/>
      <c r="G95" s="30"/>
      <c r="H95" s="2"/>
    </row>
    <row r="96" spans="1:14" s="70" customFormat="1" x14ac:dyDescent="0.2">
      <c r="A96" s="24"/>
      <c r="B96" s="1"/>
      <c r="C96" s="47" t="s">
        <v>932</v>
      </c>
      <c r="D96" s="111">
        <v>3.87</v>
      </c>
      <c r="E96" s="104"/>
      <c r="F96" s="2"/>
      <c r="G96" s="30"/>
      <c r="H96" s="110" t="s">
        <v>581</v>
      </c>
    </row>
    <row r="97" spans="1:14" s="70" customFormat="1" x14ac:dyDescent="0.2">
      <c r="A97" s="24"/>
      <c r="B97" s="1"/>
      <c r="C97" s="136" t="s">
        <v>1142</v>
      </c>
      <c r="D97" s="111">
        <v>313.27999999999997</v>
      </c>
      <c r="E97" s="104"/>
      <c r="F97" s="2"/>
      <c r="G97" s="30"/>
      <c r="H97" s="110" t="s">
        <v>581</v>
      </c>
    </row>
    <row r="98" spans="1:14" s="70" customFormat="1" x14ac:dyDescent="0.2">
      <c r="A98" s="24"/>
      <c r="B98" s="1"/>
      <c r="C98" s="78" t="s">
        <v>579</v>
      </c>
      <c r="D98" s="109">
        <f>D96+D97</f>
        <v>317.14999999999998</v>
      </c>
      <c r="E98" s="104"/>
      <c r="F98" s="2"/>
      <c r="G98" s="30"/>
    </row>
    <row r="99" spans="1:14" s="70" customFormat="1" x14ac:dyDescent="0.2">
      <c r="A99" s="24"/>
      <c r="B99" s="1"/>
      <c r="C99" s="105"/>
      <c r="D99" s="106"/>
      <c r="E99" s="104"/>
      <c r="F99" s="2"/>
      <c r="G99" s="30"/>
      <c r="I99" s="2"/>
      <c r="J99" s="114" t="s">
        <v>713</v>
      </c>
      <c r="K99" s="2"/>
      <c r="L99" s="2"/>
      <c r="M99" s="2"/>
    </row>
    <row r="100" spans="1:14" s="70" customFormat="1" x14ac:dyDescent="0.2">
      <c r="A100" s="24"/>
      <c r="B100" s="1"/>
      <c r="C100" s="78" t="s">
        <v>577</v>
      </c>
      <c r="D100" s="109">
        <f>D91+D98</f>
        <v>1013.67</v>
      </c>
      <c r="E100" s="104"/>
      <c r="F100" s="2"/>
      <c r="G100" s="30"/>
      <c r="I100" s="113"/>
      <c r="J100" s="113" t="s">
        <v>709</v>
      </c>
      <c r="K100" s="113" t="s">
        <v>710</v>
      </c>
      <c r="L100" s="113" t="s">
        <v>711</v>
      </c>
      <c r="M100" s="113" t="s">
        <v>712</v>
      </c>
    </row>
    <row r="101" spans="1:14" s="70" customFormat="1" x14ac:dyDescent="0.2">
      <c r="A101" s="24"/>
      <c r="B101" s="1"/>
      <c r="C101" s="56"/>
      <c r="D101" s="56"/>
      <c r="E101" s="104"/>
      <c r="F101" s="2"/>
      <c r="G101" s="30"/>
      <c r="I101" s="113" t="s">
        <v>706</v>
      </c>
      <c r="J101" s="115"/>
      <c r="K101" s="115">
        <v>968.99</v>
      </c>
      <c r="L101" s="115">
        <v>968.99</v>
      </c>
      <c r="M101" s="113">
        <f>+J101+L101-K101</f>
        <v>0</v>
      </c>
    </row>
    <row r="102" spans="1:14" s="70" customFormat="1" ht="38.25" x14ac:dyDescent="0.2">
      <c r="A102" s="24"/>
      <c r="B102" s="1"/>
      <c r="C102" s="79" t="str">
        <f>"Particulars ( 01-04-2021 to "&amp;TEXT(A5,"dd-mm-yyyy")&amp;" )"</f>
        <v>Particulars ( 01-04-2021 to 11-10-2023 )</v>
      </c>
      <c r="D102" s="80" t="s">
        <v>73</v>
      </c>
      <c r="E102" s="80" t="s">
        <v>74</v>
      </c>
      <c r="F102" s="81" t="s">
        <v>75</v>
      </c>
      <c r="G102" s="80" t="s">
        <v>76</v>
      </c>
      <c r="I102" s="113" t="s">
        <v>707</v>
      </c>
      <c r="J102" s="115">
        <v>183.1</v>
      </c>
      <c r="K102" s="115">
        <v>3740.64</v>
      </c>
      <c r="L102" s="115">
        <v>3962.69</v>
      </c>
      <c r="M102" s="113">
        <f>+J102+L102-K102</f>
        <v>405.15000000000009</v>
      </c>
    </row>
    <row r="103" spans="1:14" s="70" customFormat="1" x14ac:dyDescent="0.2">
      <c r="A103" s="24"/>
      <c r="B103" s="1"/>
      <c r="C103" s="50" t="s">
        <v>444</v>
      </c>
      <c r="D103" s="55">
        <f>+L101+L102+J102</f>
        <v>5114.7800000000007</v>
      </c>
      <c r="E103" s="55">
        <f>+K101+K102</f>
        <v>4709.63</v>
      </c>
      <c r="F103" s="55">
        <f>+D103-E103</f>
        <v>405.15000000000055</v>
      </c>
      <c r="G103" s="55">
        <f>1500-F103</f>
        <v>1094.8499999999995</v>
      </c>
      <c r="I103" s="113" t="s">
        <v>708</v>
      </c>
      <c r="J103" s="115">
        <v>1371.02</v>
      </c>
      <c r="K103" s="115">
        <v>14475.01</v>
      </c>
      <c r="L103" s="115">
        <v>14105.6</v>
      </c>
      <c r="M103" s="113">
        <f>+J103+L103-K103</f>
        <v>1001.6100000000006</v>
      </c>
    </row>
    <row r="104" spans="1:14" s="70" customFormat="1" ht="12.75" customHeight="1" x14ac:dyDescent="0.2">
      <c r="A104" s="24"/>
      <c r="B104" s="1"/>
      <c r="C104" s="50" t="s">
        <v>71</v>
      </c>
      <c r="D104" s="55">
        <f>+J103+L103</f>
        <v>15476.62</v>
      </c>
      <c r="E104" s="55">
        <f>+K103</f>
        <v>14475.01</v>
      </c>
      <c r="F104" s="55">
        <f>+D104-E104</f>
        <v>1001.6100000000006</v>
      </c>
      <c r="G104" s="55">
        <f>1500+700-F104</f>
        <v>1198.3899999999994</v>
      </c>
      <c r="I104" s="2"/>
      <c r="J104" s="118">
        <f>SUM(J101:J103)</f>
        <v>1554.12</v>
      </c>
      <c r="K104" s="118">
        <f>SUM(K101:K103)</f>
        <v>19184.64</v>
      </c>
      <c r="L104" s="118">
        <f>SUM(L101:L103)</f>
        <v>19037.28</v>
      </c>
      <c r="M104" s="118">
        <f>SUM(M101:M103)</f>
        <v>1406.7600000000007</v>
      </c>
    </row>
    <row r="105" spans="1:14" s="70" customFormat="1" ht="12.75" customHeight="1" x14ac:dyDescent="0.2">
      <c r="A105" s="24"/>
      <c r="B105" s="1"/>
      <c r="C105" s="14"/>
      <c r="D105" s="56"/>
      <c r="E105" s="13"/>
      <c r="F105" s="2"/>
      <c r="G105" s="30"/>
    </row>
    <row r="106" spans="1:14" s="70" customFormat="1" ht="12.75" customHeight="1" x14ac:dyDescent="0.2">
      <c r="A106" s="215" t="s">
        <v>80</v>
      </c>
      <c r="B106" s="216"/>
      <c r="C106" s="216"/>
      <c r="D106" s="217"/>
      <c r="E106" s="69"/>
      <c r="G106" s="30"/>
    </row>
    <row r="107" spans="1:14" s="70" customFormat="1" ht="12.75" customHeight="1" x14ac:dyDescent="0.2">
      <c r="A107" s="71" t="s">
        <v>81</v>
      </c>
      <c r="B107" s="71"/>
      <c r="C107" s="72" t="s">
        <v>82</v>
      </c>
      <c r="D107" s="73" t="s">
        <v>83</v>
      </c>
      <c r="E107" s="69"/>
      <c r="G107" s="30"/>
    </row>
    <row r="108" spans="1:14" s="70" customFormat="1" ht="12.75" customHeight="1" x14ac:dyDescent="0.2">
      <c r="A108" s="87">
        <v>45203</v>
      </c>
      <c r="B108" s="120" t="s">
        <v>1052</v>
      </c>
      <c r="C108" s="75" t="s">
        <v>18</v>
      </c>
      <c r="D108" s="88">
        <v>193358.43</v>
      </c>
      <c r="E108" s="2"/>
      <c r="F108" s="2"/>
      <c r="G108" s="30"/>
      <c r="H108" s="2"/>
      <c r="I108" s="2"/>
      <c r="J108" s="2"/>
      <c r="K108" s="2"/>
      <c r="L108" s="41"/>
      <c r="M108" s="42"/>
      <c r="N108" s="2"/>
    </row>
    <row r="109" spans="1:14" s="70" customFormat="1" ht="12.75" customHeight="1" x14ac:dyDescent="0.2">
      <c r="A109" s="87">
        <v>45203</v>
      </c>
      <c r="B109" s="120" t="s">
        <v>1052</v>
      </c>
      <c r="C109" s="75" t="s">
        <v>270</v>
      </c>
      <c r="D109" s="88">
        <v>254277</v>
      </c>
      <c r="E109" s="2"/>
      <c r="F109" s="2"/>
      <c r="G109" s="30"/>
      <c r="H109" s="2"/>
      <c r="I109" s="2"/>
      <c r="J109" s="2"/>
      <c r="K109" s="2"/>
      <c r="L109" s="41"/>
      <c r="M109" s="42"/>
      <c r="N109" s="2"/>
    </row>
    <row r="110" spans="1:14" s="70" customFormat="1" ht="12.75" customHeight="1" x14ac:dyDescent="0.2">
      <c r="A110" s="87">
        <v>45204</v>
      </c>
      <c r="B110" s="120" t="s">
        <v>1052</v>
      </c>
      <c r="C110" s="75" t="s">
        <v>85</v>
      </c>
      <c r="D110" s="88">
        <v>765297</v>
      </c>
      <c r="E110" s="2"/>
      <c r="F110" s="2"/>
      <c r="G110" s="30"/>
      <c r="H110" s="2"/>
      <c r="I110" s="2"/>
      <c r="J110" s="2"/>
      <c r="K110" s="2"/>
      <c r="L110" s="41"/>
      <c r="M110" s="42"/>
      <c r="N110" s="2"/>
    </row>
    <row r="111" spans="1:14" s="70" customFormat="1" ht="12.75" customHeight="1" x14ac:dyDescent="0.2">
      <c r="A111" s="87">
        <v>45209</v>
      </c>
      <c r="B111" s="120" t="s">
        <v>1052</v>
      </c>
      <c r="C111" s="75" t="s">
        <v>606</v>
      </c>
      <c r="D111" s="88">
        <v>2261658</v>
      </c>
      <c r="E111" s="2"/>
      <c r="F111" s="2"/>
      <c r="G111" s="30"/>
      <c r="H111" s="2"/>
      <c r="I111" s="2"/>
      <c r="J111" s="2"/>
      <c r="K111" s="2"/>
      <c r="L111" s="41"/>
      <c r="M111" s="42"/>
      <c r="N111" s="2"/>
    </row>
    <row r="112" spans="1:14" s="2" customFormat="1" x14ac:dyDescent="0.2">
      <c r="A112" s="87"/>
      <c r="B112" s="74"/>
      <c r="C112" s="75"/>
      <c r="D112" s="51">
        <f>SUM(D108:D111)</f>
        <v>3474590.4299999997</v>
      </c>
      <c r="F112" s="2" t="s">
        <v>396</v>
      </c>
      <c r="G112" s="1"/>
    </row>
    <row r="113" spans="1:13" s="2" customFormat="1" x14ac:dyDescent="0.2">
      <c r="A113" s="24"/>
      <c r="B113" s="1"/>
      <c r="C113" s="14"/>
      <c r="D113" s="56"/>
      <c r="E113" s="13"/>
      <c r="G113" s="1"/>
    </row>
    <row r="114" spans="1:13" s="2" customFormat="1" x14ac:dyDescent="0.2">
      <c r="A114" s="24"/>
      <c r="B114" s="1"/>
      <c r="C114" s="218" t="s">
        <v>77</v>
      </c>
      <c r="D114" s="219"/>
      <c r="E114" s="219"/>
      <c r="F114" s="220"/>
      <c r="H114" s="2" t="s">
        <v>396</v>
      </c>
    </row>
    <row r="115" spans="1:13" s="2" customFormat="1" x14ac:dyDescent="0.2">
      <c r="A115" s="24"/>
      <c r="B115" s="1"/>
      <c r="C115" s="50"/>
      <c r="D115" s="57" t="s">
        <v>78</v>
      </c>
      <c r="E115" s="58" t="s">
        <v>79</v>
      </c>
      <c r="F115" s="57" t="s">
        <v>72</v>
      </c>
      <c r="H115" s="2" t="s">
        <v>396</v>
      </c>
    </row>
    <row r="116" spans="1:13" s="2" customFormat="1" x14ac:dyDescent="0.2">
      <c r="A116" s="24"/>
      <c r="B116" s="1"/>
      <c r="C116" s="59" t="str">
        <f>"01-10-2023 to "&amp;TEXT(A5-2,"dd-mm-yyyy")</f>
        <v>01-10-2023 to 09-10-2023</v>
      </c>
      <c r="D116" s="60">
        <v>523.82000000000005</v>
      </c>
      <c r="E116" s="60">
        <v>113.82</v>
      </c>
      <c r="F116" s="61">
        <f>SUM(D116:E116)</f>
        <v>637.6400000000001</v>
      </c>
    </row>
    <row r="117" spans="1:13" s="2" customFormat="1" x14ac:dyDescent="0.2">
      <c r="A117" s="24"/>
      <c r="B117" s="1"/>
      <c r="C117" s="62" t="str">
        <f>TEXT(A5-1,"dd-mm-yyyy")</f>
        <v>10-10-2023</v>
      </c>
      <c r="D117" s="60">
        <v>102.3</v>
      </c>
      <c r="E117" s="60">
        <v>18.05</v>
      </c>
      <c r="F117" s="61">
        <f>SUM(D117:E117)</f>
        <v>120.35</v>
      </c>
      <c r="G117" s="1"/>
      <c r="H117" s="53"/>
    </row>
    <row r="118" spans="1:13" s="2" customFormat="1" ht="13.5" thickBot="1" x14ac:dyDescent="0.25">
      <c r="A118" s="24"/>
      <c r="B118" s="1"/>
      <c r="C118" s="63" t="str">
        <f>"01-10-2023 to "&amp;TEXT(A5-1,"dd-mm-yyyy")</f>
        <v>01-10-2023 to 10-10-2023</v>
      </c>
      <c r="D118" s="64">
        <f>SUM(D116:D117)</f>
        <v>626.12</v>
      </c>
      <c r="E118" s="64">
        <f>SUM(E116:E117)</f>
        <v>131.87</v>
      </c>
      <c r="F118" s="64">
        <f>SUM(F116:F117)</f>
        <v>757.99000000000012</v>
      </c>
      <c r="G118" s="1"/>
      <c r="H118" s="53"/>
    </row>
    <row r="119" spans="1:13" s="2" customFormat="1" ht="13.5" thickTop="1" x14ac:dyDescent="0.2">
      <c r="A119" s="24"/>
      <c r="B119" s="1"/>
      <c r="C119" s="62"/>
      <c r="D119" s="65"/>
      <c r="E119" s="66"/>
      <c r="F119" s="67"/>
      <c r="L119" s="1"/>
      <c r="M119" s="1"/>
    </row>
    <row r="120" spans="1:13" s="2" customFormat="1" x14ac:dyDescent="0.2">
      <c r="A120" s="24"/>
      <c r="B120" s="1"/>
      <c r="C120" s="62" t="str">
        <f>"01-04-2023 to " &amp;C117</f>
        <v>01-04-2023 to 10-10-2023</v>
      </c>
      <c r="D120" s="68">
        <f>+D118+27003.42</f>
        <v>27629.539999999997</v>
      </c>
      <c r="E120" s="68">
        <f>+E118+2028.43</f>
        <v>2160.3000000000002</v>
      </c>
      <c r="F120" s="68">
        <f>+F118+29031.85</f>
        <v>29789.84</v>
      </c>
      <c r="G120" s="1"/>
      <c r="L120" s="1"/>
      <c r="M120" s="1"/>
    </row>
    <row r="121" spans="1:13" s="2" customFormat="1" x14ac:dyDescent="0.2">
      <c r="A121" s="24"/>
      <c r="B121" s="1"/>
      <c r="C121" s="52"/>
      <c r="D121" s="85"/>
      <c r="E121" s="53"/>
      <c r="F121" s="53"/>
      <c r="G121" s="1"/>
      <c r="L121" s="1"/>
      <c r="M121" s="1"/>
    </row>
    <row r="122" spans="1:13" s="2" customFormat="1" x14ac:dyDescent="0.2">
      <c r="A122" s="24"/>
      <c r="B122" s="1"/>
      <c r="C122" s="52"/>
      <c r="D122" s="85"/>
      <c r="E122" s="53"/>
      <c r="F122" s="53"/>
      <c r="G122" s="1"/>
      <c r="L122" s="1"/>
      <c r="M122" s="1"/>
    </row>
    <row r="123" spans="1:13" s="2" customFormat="1" x14ac:dyDescent="0.2">
      <c r="A123" s="24"/>
      <c r="B123" s="1"/>
      <c r="C123" s="52"/>
      <c r="D123" s="85"/>
      <c r="E123" s="53"/>
      <c r="F123" s="53"/>
      <c r="G123" s="1"/>
      <c r="L123" s="1"/>
      <c r="M123" s="1"/>
    </row>
    <row r="124" spans="1:13" s="2" customFormat="1" x14ac:dyDescent="0.2">
      <c r="A124" s="24"/>
      <c r="B124" s="1"/>
      <c r="C124" s="52"/>
      <c r="D124" s="85"/>
      <c r="E124" s="53"/>
      <c r="F124" s="53"/>
      <c r="G124" s="1"/>
      <c r="L124" s="1"/>
      <c r="M124" s="1"/>
    </row>
    <row r="125" spans="1:13" s="2" customFormat="1" x14ac:dyDescent="0.2">
      <c r="A125" s="24"/>
      <c r="B125" s="1"/>
      <c r="C125" s="14"/>
      <c r="D125" s="25"/>
      <c r="G125" s="1"/>
      <c r="L125" s="1"/>
      <c r="M125" s="1"/>
    </row>
    <row r="126" spans="1:13" s="2" customFormat="1" x14ac:dyDescent="0.2">
      <c r="A126" s="24"/>
      <c r="B126" s="1"/>
      <c r="C126" s="14"/>
      <c r="D126" s="25"/>
      <c r="G126" s="1"/>
      <c r="L126" s="1"/>
      <c r="M126" s="1"/>
    </row>
    <row r="127" spans="1:13" s="2" customFormat="1" x14ac:dyDescent="0.2">
      <c r="A127" s="24"/>
      <c r="B127" s="1"/>
      <c r="C127" s="14"/>
      <c r="D127" s="25"/>
      <c r="G127" s="1"/>
      <c r="L127" s="1"/>
      <c r="M127" s="1"/>
    </row>
    <row r="128" spans="1:13" s="2" customFormat="1" x14ac:dyDescent="0.2">
      <c r="A128" s="24"/>
      <c r="B128" s="1"/>
      <c r="C128" s="14"/>
      <c r="D128" s="25"/>
      <c r="G128" s="1"/>
      <c r="L128" s="1"/>
      <c r="M128" s="1"/>
    </row>
    <row r="129" spans="1:13" s="2" customFormat="1" x14ac:dyDescent="0.2">
      <c r="A129" s="24"/>
      <c r="B129" s="1"/>
      <c r="C129" s="14"/>
      <c r="D129" s="25"/>
      <c r="G129" s="1"/>
      <c r="L129" s="1"/>
      <c r="M129" s="1"/>
    </row>
    <row r="130" spans="1:13" s="2" customFormat="1" x14ac:dyDescent="0.2">
      <c r="A130" s="24"/>
      <c r="B130" s="1"/>
      <c r="C130" s="14"/>
      <c r="D130" s="25"/>
      <c r="G130" s="1"/>
      <c r="L130" s="1"/>
      <c r="M130" s="1"/>
    </row>
    <row r="131" spans="1:13" s="2" customFormat="1" x14ac:dyDescent="0.2">
      <c r="A131" s="24"/>
      <c r="B131" s="1"/>
      <c r="C131" s="14"/>
      <c r="D131" s="25"/>
      <c r="G131" s="1"/>
      <c r="L131" s="1"/>
      <c r="M131" s="1"/>
    </row>
    <row r="132" spans="1:13" s="2" customFormat="1" x14ac:dyDescent="0.2">
      <c r="A132" s="24"/>
      <c r="B132" s="1"/>
      <c r="C132" s="14"/>
      <c r="D132" s="25"/>
      <c r="G132" s="1"/>
      <c r="L132" s="1"/>
      <c r="M132" s="1"/>
    </row>
    <row r="133" spans="1:13" s="2" customFormat="1" x14ac:dyDescent="0.2">
      <c r="A133" s="24"/>
      <c r="B133" s="1"/>
      <c r="C133" s="14"/>
      <c r="D133" s="25"/>
      <c r="G133" s="1"/>
      <c r="L133" s="1"/>
      <c r="M133" s="1"/>
    </row>
    <row r="134" spans="1:13" s="2" customFormat="1" x14ac:dyDescent="0.2">
      <c r="A134" s="24"/>
      <c r="B134" s="1"/>
      <c r="C134" s="14"/>
      <c r="D134" s="25"/>
      <c r="G134" s="1"/>
      <c r="L134" s="1"/>
      <c r="M134" s="1"/>
    </row>
    <row r="135" spans="1:13" s="2" customFormat="1" x14ac:dyDescent="0.2">
      <c r="A135" s="24"/>
      <c r="B135" s="1"/>
      <c r="C135" s="14"/>
      <c r="D135" s="25"/>
      <c r="G135" s="1"/>
      <c r="L135" s="1"/>
      <c r="M135" s="1"/>
    </row>
    <row r="136" spans="1:13" s="2" customFormat="1" x14ac:dyDescent="0.2">
      <c r="A136" s="24"/>
      <c r="B136" s="1"/>
      <c r="C136" s="14"/>
      <c r="D136" s="25"/>
      <c r="G136" s="1"/>
      <c r="L136" s="1"/>
      <c r="M136" s="1"/>
    </row>
    <row r="137" spans="1:13" s="2" customFormat="1" x14ac:dyDescent="0.2">
      <c r="A137" s="24"/>
      <c r="B137" s="1"/>
      <c r="C137" s="14"/>
      <c r="D137" s="25"/>
      <c r="G137" s="1"/>
      <c r="L137" s="1"/>
      <c r="M137" s="1"/>
    </row>
    <row r="138" spans="1:13" s="2" customFormat="1" x14ac:dyDescent="0.2">
      <c r="A138" s="24"/>
      <c r="B138" s="1"/>
      <c r="C138" s="14"/>
      <c r="D138" s="25"/>
      <c r="G138" s="1"/>
      <c r="L138" s="1"/>
      <c r="M138" s="1"/>
    </row>
    <row r="139" spans="1:13" s="2" customFormat="1" x14ac:dyDescent="0.2">
      <c r="A139" s="24"/>
      <c r="B139" s="1"/>
      <c r="C139" s="14"/>
      <c r="D139" s="25"/>
      <c r="G139" s="1"/>
      <c r="I139" s="1"/>
      <c r="J139" s="1"/>
      <c r="K139" s="1"/>
      <c r="L139" s="1"/>
      <c r="M139" s="1"/>
    </row>
    <row r="140" spans="1:13" s="2" customFormat="1" x14ac:dyDescent="0.2">
      <c r="A140" s="24"/>
      <c r="B140" s="1"/>
      <c r="C140" s="14"/>
      <c r="D140" s="25"/>
      <c r="G140" s="1"/>
    </row>
    <row r="141" spans="1:13" s="2" customFormat="1" x14ac:dyDescent="0.2">
      <c r="A141" s="24"/>
      <c r="B141" s="1"/>
      <c r="C141" s="14"/>
      <c r="D141" s="25"/>
      <c r="G141" s="1"/>
      <c r="I141" s="1"/>
      <c r="J141" s="1"/>
      <c r="K141" s="1"/>
      <c r="L141" s="1"/>
      <c r="M141" s="1"/>
    </row>
    <row r="142" spans="1:13" s="2" customFormat="1" x14ac:dyDescent="0.2">
      <c r="A142" s="24"/>
      <c r="B142" s="1"/>
      <c r="C142" s="14"/>
      <c r="D142" s="25"/>
      <c r="G142" s="54"/>
      <c r="I142" s="1"/>
      <c r="J142" s="1"/>
      <c r="K142" s="1"/>
      <c r="L142" s="1"/>
      <c r="M142" s="1"/>
    </row>
    <row r="143" spans="1:13" s="2" customFormat="1" x14ac:dyDescent="0.2">
      <c r="A143" s="24"/>
      <c r="B143" s="1"/>
      <c r="C143" s="14"/>
      <c r="D143" s="25"/>
      <c r="G143" s="54"/>
      <c r="I143" s="1"/>
      <c r="J143" s="1"/>
      <c r="K143" s="1"/>
      <c r="L143" s="1"/>
      <c r="M143" s="1"/>
    </row>
    <row r="144" spans="1:13" s="2" customFormat="1" x14ac:dyDescent="0.2">
      <c r="A144" s="24"/>
      <c r="B144" s="1"/>
      <c r="C144" s="14"/>
      <c r="D144" s="25"/>
      <c r="G144" s="54"/>
      <c r="I144" s="1"/>
      <c r="J144" s="1"/>
      <c r="K144" s="1"/>
      <c r="L144" s="1"/>
      <c r="M144" s="1"/>
    </row>
    <row r="145" spans="1:14" s="2" customFormat="1" x14ac:dyDescent="0.2">
      <c r="A145" s="24"/>
      <c r="B145" s="1"/>
      <c r="C145" s="14"/>
      <c r="D145" s="25"/>
      <c r="G145" s="54"/>
      <c r="H145" s="2" t="s">
        <v>396</v>
      </c>
      <c r="I145" s="1"/>
      <c r="J145" s="1"/>
      <c r="K145" s="1"/>
      <c r="L145" s="1"/>
      <c r="M145" s="1"/>
      <c r="N145" s="1"/>
    </row>
    <row r="146" spans="1:14" s="2" customFormat="1" x14ac:dyDescent="0.2">
      <c r="A146" s="24"/>
      <c r="B146" s="1"/>
      <c r="C146" s="14"/>
      <c r="D146" s="25"/>
      <c r="G146" s="54"/>
      <c r="H146" s="53"/>
    </row>
    <row r="147" spans="1:14" s="2" customFormat="1" x14ac:dyDescent="0.2">
      <c r="A147" s="24"/>
      <c r="B147" s="1"/>
      <c r="C147" s="14"/>
      <c r="D147" s="25"/>
      <c r="G147" s="54"/>
      <c r="H147" s="53" t="s">
        <v>396</v>
      </c>
      <c r="I147" s="1"/>
      <c r="J147" s="1"/>
      <c r="K147" s="1"/>
      <c r="L147" s="1"/>
      <c r="M147" s="1"/>
      <c r="N147" s="1"/>
    </row>
    <row r="148" spans="1:14" x14ac:dyDescent="0.2">
      <c r="G148" s="54"/>
      <c r="H148" s="53" t="s">
        <v>396</v>
      </c>
      <c r="J148" s="42"/>
    </row>
    <row r="149" spans="1:14" s="2" customFormat="1" x14ac:dyDescent="0.2">
      <c r="A149" s="24"/>
      <c r="B149" s="1"/>
      <c r="C149" s="14"/>
      <c r="D149" s="25"/>
      <c r="G149" s="54"/>
      <c r="H149" s="53"/>
      <c r="I149" s="101"/>
      <c r="J149" s="1"/>
      <c r="K149" s="1"/>
      <c r="L149" s="1"/>
      <c r="M149" s="1"/>
      <c r="N149" s="1"/>
    </row>
    <row r="150" spans="1:14" x14ac:dyDescent="0.2">
      <c r="G150" s="54"/>
      <c r="H150" s="53"/>
    </row>
    <row r="151" spans="1:14" x14ac:dyDescent="0.2">
      <c r="G151" s="54"/>
      <c r="H151" s="53"/>
    </row>
    <row r="152" spans="1:14" x14ac:dyDescent="0.2">
      <c r="G152" s="54"/>
      <c r="H152" s="53"/>
    </row>
  </sheetData>
  <sheetProtection insertRows="0"/>
  <mergeCells count="6">
    <mergeCell ref="C114:F114"/>
    <mergeCell ref="A1:G1"/>
    <mergeCell ref="A3:F3"/>
    <mergeCell ref="A9:F9"/>
    <mergeCell ref="A34:F34"/>
    <mergeCell ref="A106:D106"/>
  </mergeCells>
  <conditionalFormatting sqref="G103:G104">
    <cfRule type="cellIs" dxfId="273" priority="1" operator="lessThan">
      <formula>0</formula>
    </cfRule>
  </conditionalFormatting>
  <conditionalFormatting sqref="C36">
    <cfRule type="duplicateValues" dxfId="272" priority="2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A00-000000000000}">
  <sheetPr codeName="Sheet450">
    <pageSetUpPr fitToPage="1"/>
  </sheetPr>
  <dimension ref="A1:N136"/>
  <sheetViews>
    <sheetView topLeftCell="A24" zoomScaleNormal="100" workbookViewId="0">
      <selection activeCell="E50" sqref="E50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1" ht="20.25" customHeight="1" x14ac:dyDescent="0.4">
      <c r="A1" s="212" t="s">
        <v>1666</v>
      </c>
      <c r="B1" s="212"/>
      <c r="C1" s="212"/>
      <c r="D1" s="212"/>
      <c r="E1" s="212"/>
      <c r="F1" s="212"/>
      <c r="G1" s="212"/>
      <c r="H1" s="112"/>
      <c r="I1" s="112"/>
    </row>
    <row r="2" spans="1:11" ht="12.75" customHeight="1" x14ac:dyDescent="0.4">
      <c r="H2" s="112"/>
      <c r="I2" s="112"/>
    </row>
    <row r="3" spans="1:11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1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1" s="2" customFormat="1" ht="14.25" customHeight="1" x14ac:dyDescent="0.4">
      <c r="A5" s="89">
        <v>45211</v>
      </c>
      <c r="B5" s="9" t="s">
        <v>6</v>
      </c>
      <c r="C5" s="10" t="s">
        <v>7</v>
      </c>
      <c r="D5" s="11"/>
      <c r="E5" s="12">
        <v>456701.79000000097</v>
      </c>
      <c r="F5" s="12"/>
      <c r="G5" s="1"/>
      <c r="H5" s="112"/>
      <c r="I5" s="112"/>
    </row>
    <row r="6" spans="1:11" s="2" customFormat="1" ht="14.25" customHeight="1" x14ac:dyDescent="0.4">
      <c r="A6" s="89">
        <v>45211</v>
      </c>
      <c r="B6" s="9" t="s">
        <v>6</v>
      </c>
      <c r="C6" s="10" t="s">
        <v>683</v>
      </c>
      <c r="D6" s="11" t="s">
        <v>13</v>
      </c>
      <c r="E6" s="12">
        <v>8207270.5599999996</v>
      </c>
      <c r="F6" s="12"/>
      <c r="G6" s="1"/>
      <c r="H6" s="112"/>
      <c r="I6" s="112"/>
    </row>
    <row r="7" spans="1:11" s="2" customFormat="1" ht="14.25" customHeight="1" x14ac:dyDescent="0.4">
      <c r="A7" s="89">
        <v>45211</v>
      </c>
      <c r="B7" s="9" t="s">
        <v>11</v>
      </c>
      <c r="C7" s="10" t="s">
        <v>400</v>
      </c>
      <c r="D7" s="11" t="s">
        <v>29</v>
      </c>
      <c r="E7" s="12"/>
      <c r="F7" s="12">
        <v>8000000</v>
      </c>
      <c r="G7" s="1"/>
      <c r="H7" s="112"/>
      <c r="I7" s="112"/>
    </row>
    <row r="8" spans="1:11" s="2" customFormat="1" ht="14.25" customHeight="1" x14ac:dyDescent="0.4">
      <c r="A8" s="89">
        <v>45211</v>
      </c>
      <c r="B8" s="9" t="s">
        <v>11</v>
      </c>
      <c r="C8" s="10" t="s">
        <v>156</v>
      </c>
      <c r="D8" s="11" t="s">
        <v>29</v>
      </c>
      <c r="E8" s="12"/>
      <c r="F8" s="12">
        <v>115.64</v>
      </c>
      <c r="G8" s="1"/>
      <c r="H8" s="112"/>
      <c r="I8" s="112"/>
    </row>
    <row r="9" spans="1:11" s="2" customFormat="1" ht="12.75" customHeight="1" x14ac:dyDescent="0.4">
      <c r="D9" s="15" t="s">
        <v>8</v>
      </c>
      <c r="E9" s="16">
        <f>SUM(E5:E8)</f>
        <v>8663972.3500000015</v>
      </c>
      <c r="F9" s="16">
        <f>SUM(F7:F8)</f>
        <v>8000115.6399999997</v>
      </c>
      <c r="G9" s="1"/>
      <c r="H9" s="112"/>
      <c r="I9" s="112"/>
    </row>
    <row r="10" spans="1:11" s="2" customFormat="1" ht="12.75" customHeight="1" x14ac:dyDescent="0.4">
      <c r="A10" s="17"/>
      <c r="B10" s="18"/>
      <c r="C10" s="19" t="s">
        <v>9</v>
      </c>
      <c r="D10" s="20"/>
      <c r="E10" s="21">
        <f>+E9-F9</f>
        <v>663856.71000000183</v>
      </c>
      <c r="F10" s="22"/>
      <c r="G10" s="23"/>
      <c r="H10" s="112"/>
      <c r="I10" s="112"/>
      <c r="J10" s="13"/>
    </row>
    <row r="11" spans="1:11" ht="12.75" customHeight="1" x14ac:dyDescent="0.4">
      <c r="H11" s="112"/>
      <c r="I11" s="112"/>
    </row>
    <row r="12" spans="1:11" ht="18" customHeight="1" x14ac:dyDescent="0.4">
      <c r="A12" s="213" t="s">
        <v>1037</v>
      </c>
      <c r="B12" s="213"/>
      <c r="C12" s="213"/>
      <c r="D12" s="213"/>
      <c r="E12" s="213"/>
      <c r="F12" s="213"/>
      <c r="H12" s="112"/>
      <c r="I12" s="169">
        <v>90000000</v>
      </c>
      <c r="J12" s="169" t="s">
        <v>1508</v>
      </c>
    </row>
    <row r="13" spans="1:11" ht="12.75" customHeight="1" x14ac:dyDescent="0.4">
      <c r="A13" s="3" t="s">
        <v>1</v>
      </c>
      <c r="B13" s="4" t="s">
        <v>2</v>
      </c>
      <c r="C13" s="5"/>
      <c r="D13" s="6" t="s">
        <v>3</v>
      </c>
      <c r="E13" s="7" t="s">
        <v>4</v>
      </c>
      <c r="F13" s="7" t="s">
        <v>5</v>
      </c>
      <c r="H13" s="112"/>
      <c r="I13" s="169">
        <v>86108572.140000001</v>
      </c>
      <c r="J13" s="169" t="s">
        <v>1509</v>
      </c>
      <c r="K13" s="124"/>
    </row>
    <row r="14" spans="1:11" s="2" customFormat="1" ht="14.25" customHeight="1" x14ac:dyDescent="0.2">
      <c r="A14" s="89">
        <v>45211</v>
      </c>
      <c r="B14" s="9" t="s">
        <v>6</v>
      </c>
      <c r="C14" s="10" t="s">
        <v>7</v>
      </c>
      <c r="D14" s="11"/>
      <c r="F14" s="12">
        <v>88868612.749999985</v>
      </c>
      <c r="G14" s="1"/>
      <c r="H14" s="130" t="s">
        <v>396</v>
      </c>
      <c r="I14" s="169">
        <f>+I12-I13</f>
        <v>3891427.8599999994</v>
      </c>
      <c r="J14" s="169" t="s">
        <v>712</v>
      </c>
      <c r="K14" s="165" t="s">
        <v>1512</v>
      </c>
    </row>
    <row r="15" spans="1:11" s="2" customFormat="1" ht="14.25" customHeight="1" x14ac:dyDescent="0.2">
      <c r="A15" s="89">
        <v>45211</v>
      </c>
      <c r="B15" s="9" t="s">
        <v>6</v>
      </c>
      <c r="C15" s="76" t="s">
        <v>1002</v>
      </c>
      <c r="D15" s="11" t="s">
        <v>13</v>
      </c>
      <c r="E15" s="2">
        <v>5680022</v>
      </c>
      <c r="F15" s="12"/>
      <c r="G15" s="1"/>
      <c r="H15" s="130"/>
      <c r="I15" s="169"/>
      <c r="J15" s="169"/>
      <c r="K15" s="165"/>
    </row>
    <row r="16" spans="1:11" s="2" customFormat="1" ht="14.25" customHeight="1" x14ac:dyDescent="0.2">
      <c r="A16" s="89">
        <v>45211</v>
      </c>
      <c r="B16" s="9" t="s">
        <v>11</v>
      </c>
      <c r="C16" s="76" t="s">
        <v>1137</v>
      </c>
      <c r="D16" s="11" t="s">
        <v>29</v>
      </c>
      <c r="F16" s="12">
        <v>10194.39</v>
      </c>
      <c r="G16" s="1"/>
      <c r="H16" s="130"/>
      <c r="I16" s="171"/>
      <c r="J16" s="171"/>
      <c r="K16" s="165"/>
    </row>
    <row r="17" spans="1:14" s="2" customFormat="1" ht="14.25" customHeight="1" x14ac:dyDescent="0.2">
      <c r="A17" s="89">
        <v>45211</v>
      </c>
      <c r="B17" s="9" t="s">
        <v>11</v>
      </c>
      <c r="C17" s="76" t="s">
        <v>1363</v>
      </c>
      <c r="D17" s="11" t="s">
        <v>29</v>
      </c>
      <c r="F17" s="12">
        <v>2864002</v>
      </c>
      <c r="G17" s="1"/>
      <c r="H17" s="130"/>
      <c r="I17" s="171"/>
      <c r="J17" s="171"/>
      <c r="K17" s="165"/>
    </row>
    <row r="18" spans="1:14" s="2" customFormat="1" ht="14.25" customHeight="1" x14ac:dyDescent="0.2">
      <c r="A18" s="89">
        <v>45211</v>
      </c>
      <c r="B18" s="9" t="s">
        <v>11</v>
      </c>
      <c r="C18" s="76" t="s">
        <v>1418</v>
      </c>
      <c r="D18" s="11" t="s">
        <v>29</v>
      </c>
      <c r="F18" s="12">
        <v>8025</v>
      </c>
      <c r="G18" s="1"/>
      <c r="H18" s="130"/>
      <c r="I18" s="171"/>
      <c r="J18" s="171"/>
      <c r="K18" s="165"/>
    </row>
    <row r="19" spans="1:14" s="2" customFormat="1" ht="14.25" customHeight="1" x14ac:dyDescent="0.2">
      <c r="A19" s="89">
        <v>45211</v>
      </c>
      <c r="B19" s="9" t="s">
        <v>11</v>
      </c>
      <c r="C19" s="76" t="s">
        <v>1068</v>
      </c>
      <c r="D19" s="11" t="s">
        <v>29</v>
      </c>
      <c r="F19" s="12">
        <v>37760</v>
      </c>
      <c r="G19" s="1"/>
      <c r="H19" s="130"/>
      <c r="I19" s="171"/>
      <c r="J19" s="171"/>
      <c r="K19" s="165"/>
    </row>
    <row r="20" spans="1:14" s="2" customFormat="1" ht="14.25" customHeight="1" x14ac:dyDescent="0.2">
      <c r="D20" s="11" t="s">
        <v>8</v>
      </c>
      <c r="E20" s="16">
        <f>SUM(E14:E19)</f>
        <v>5680022</v>
      </c>
      <c r="F20" s="16">
        <f>SUM(F14:F19)</f>
        <v>91788594.139999986</v>
      </c>
      <c r="G20" s="1"/>
      <c r="H20" s="143"/>
      <c r="I20" s="130"/>
      <c r="J20" s="143"/>
      <c r="K20" s="143"/>
      <c r="L20" s="143"/>
      <c r="M20" s="143"/>
    </row>
    <row r="21" spans="1:14" s="2" customFormat="1" ht="14.25" customHeight="1" x14ac:dyDescent="0.4">
      <c r="A21" s="17"/>
      <c r="B21" s="18"/>
      <c r="C21" s="96" t="s">
        <v>9</v>
      </c>
      <c r="D21" s="20"/>
      <c r="E21" s="21">
        <f>+F20-E20</f>
        <v>86108572.139999986</v>
      </c>
      <c r="G21" s="1"/>
      <c r="I21" s="112"/>
      <c r="J21" s="153" t="s">
        <v>779</v>
      </c>
    </row>
    <row r="22" spans="1:14" s="2" customFormat="1" ht="14.25" customHeight="1" x14ac:dyDescent="0.2">
      <c r="A22" s="36"/>
      <c r="B22" s="28" t="s">
        <v>66</v>
      </c>
      <c r="C22" s="43" t="s">
        <v>1458</v>
      </c>
      <c r="D22" s="43"/>
      <c r="E22" s="12">
        <v>30000000</v>
      </c>
      <c r="F22" s="22"/>
      <c r="G22" s="1"/>
      <c r="I22" s="40">
        <v>86108572.140000001</v>
      </c>
      <c r="J22" s="154">
        <f>I22-E21</f>
        <v>0</v>
      </c>
    </row>
    <row r="23" spans="1:14" s="2" customFormat="1" ht="14.25" customHeight="1" x14ac:dyDescent="0.25">
      <c r="A23" s="36"/>
      <c r="B23" s="28"/>
      <c r="C23" s="44" t="s">
        <v>1541</v>
      </c>
      <c r="D23" s="43"/>
      <c r="E23" s="7">
        <f>+E21+E22</f>
        <v>116108572.13999999</v>
      </c>
      <c r="F23" s="22"/>
      <c r="G23" s="1"/>
      <c r="H23" s="13" t="s">
        <v>1582</v>
      </c>
      <c r="I23" s="13" t="s">
        <v>1583</v>
      </c>
    </row>
    <row r="24" spans="1:14" s="2" customFormat="1" ht="14.25" customHeight="1" x14ac:dyDescent="0.25">
      <c r="A24" s="36"/>
      <c r="B24" s="28"/>
      <c r="C24" s="44" t="s">
        <v>1511</v>
      </c>
      <c r="D24" s="43"/>
      <c r="E24" s="38">
        <f>+I14</f>
        <v>3891427.8599999994</v>
      </c>
      <c r="F24" s="22"/>
      <c r="G24" s="1"/>
      <c r="H24" s="2">
        <v>3950283.58</v>
      </c>
      <c r="I24" s="2">
        <v>3918071</v>
      </c>
      <c r="J24" s="176">
        <f>H24-I24</f>
        <v>32212.580000000075</v>
      </c>
    </row>
    <row r="25" spans="1:14" s="2" customFormat="1" ht="14.25" customHeight="1" x14ac:dyDescent="0.2">
      <c r="A25" s="24"/>
      <c r="B25" s="1"/>
      <c r="C25" s="14"/>
      <c r="D25" s="25"/>
      <c r="G25" s="1"/>
      <c r="I25" s="130"/>
      <c r="J25" s="130"/>
    </row>
    <row r="26" spans="1:14" s="2" customFormat="1" x14ac:dyDescent="0.2">
      <c r="A26" s="214" t="s">
        <v>10</v>
      </c>
      <c r="B26" s="214"/>
      <c r="C26" s="214"/>
      <c r="D26" s="214"/>
      <c r="E26" s="214"/>
      <c r="F26" s="214"/>
      <c r="G26" s="1"/>
      <c r="H26" s="159"/>
      <c r="I26" s="160">
        <f>225000000-75000000-50000000</f>
        <v>100000000</v>
      </c>
      <c r="J26" s="160" t="s">
        <v>1506</v>
      </c>
      <c r="K26" s="70"/>
    </row>
    <row r="27" spans="1:14" s="2" customFormat="1" x14ac:dyDescent="0.2">
      <c r="A27" s="26" t="s">
        <v>1</v>
      </c>
      <c r="B27" s="27" t="s">
        <v>2</v>
      </c>
      <c r="C27" s="5"/>
      <c r="D27" s="6" t="s">
        <v>3</v>
      </c>
      <c r="E27" s="7" t="s">
        <v>4</v>
      </c>
      <c r="F27" s="7" t="s">
        <v>5</v>
      </c>
      <c r="G27" s="1"/>
      <c r="H27" s="159"/>
      <c r="I27" s="160">
        <v>80782689.099999994</v>
      </c>
      <c r="J27" s="160" t="s">
        <v>1507</v>
      </c>
      <c r="K27" s="70" t="s">
        <v>1512</v>
      </c>
    </row>
    <row r="28" spans="1:14" s="2" customFormat="1" x14ac:dyDescent="0.2">
      <c r="A28" s="89">
        <v>45211</v>
      </c>
      <c r="B28" s="128" t="s">
        <v>11</v>
      </c>
      <c r="C28" s="29" t="s">
        <v>7</v>
      </c>
      <c r="D28" s="25"/>
      <c r="E28" s="31"/>
      <c r="F28" s="2">
        <v>88008409.490000099</v>
      </c>
      <c r="G28" s="23"/>
      <c r="H28" s="159" t="s">
        <v>1505</v>
      </c>
      <c r="I28" s="160">
        <f>+I26-I27</f>
        <v>19217310.900000006</v>
      </c>
      <c r="J28" s="160"/>
      <c r="K28" s="70"/>
    </row>
    <row r="29" spans="1:14" s="2" customFormat="1" x14ac:dyDescent="0.2">
      <c r="A29" s="89">
        <v>45211</v>
      </c>
      <c r="B29" s="128" t="s">
        <v>6</v>
      </c>
      <c r="C29" s="10" t="s">
        <v>1274</v>
      </c>
      <c r="D29" s="11" t="s">
        <v>13</v>
      </c>
      <c r="E29" s="86">
        <f>46843+318624</f>
        <v>365467</v>
      </c>
      <c r="F29" s="70"/>
      <c r="G29" s="1"/>
      <c r="N29" s="1"/>
    </row>
    <row r="30" spans="1:14" s="2" customFormat="1" x14ac:dyDescent="0.2">
      <c r="A30" s="89">
        <v>45211</v>
      </c>
      <c r="B30" s="128" t="s">
        <v>6</v>
      </c>
      <c r="C30" s="10" t="s">
        <v>785</v>
      </c>
      <c r="D30" s="11" t="s">
        <v>13</v>
      </c>
      <c r="E30" s="86">
        <v>5689071</v>
      </c>
      <c r="F30" s="70"/>
      <c r="G30" s="1"/>
      <c r="N30" s="1"/>
    </row>
    <row r="31" spans="1:14" s="2" customFormat="1" x14ac:dyDescent="0.2">
      <c r="A31" s="89">
        <v>45211</v>
      </c>
      <c r="B31" s="128" t="s">
        <v>6</v>
      </c>
      <c r="C31" s="10" t="s">
        <v>1527</v>
      </c>
      <c r="D31" s="11" t="s">
        <v>13</v>
      </c>
      <c r="E31" s="86">
        <v>1102141</v>
      </c>
      <c r="F31" s="70"/>
      <c r="G31" s="1"/>
      <c r="N31" s="1"/>
    </row>
    <row r="32" spans="1:14" s="2" customFormat="1" x14ac:dyDescent="0.2">
      <c r="A32" s="89">
        <v>45211</v>
      </c>
      <c r="B32" s="128" t="s">
        <v>6</v>
      </c>
      <c r="C32" s="10" t="s">
        <v>819</v>
      </c>
      <c r="D32" s="11" t="s">
        <v>13</v>
      </c>
      <c r="E32" s="86">
        <v>420000</v>
      </c>
      <c r="F32" s="70"/>
      <c r="G32" s="1"/>
      <c r="N32" s="1"/>
    </row>
    <row r="33" spans="1:14" s="2" customFormat="1" x14ac:dyDescent="0.2">
      <c r="A33" s="89">
        <v>45211</v>
      </c>
      <c r="B33" s="128" t="s">
        <v>6</v>
      </c>
      <c r="C33" s="10" t="s">
        <v>1667</v>
      </c>
      <c r="D33" s="11" t="s">
        <v>13</v>
      </c>
      <c r="E33" s="86">
        <v>1154245.6500000001</v>
      </c>
      <c r="F33" s="70"/>
      <c r="G33" s="1"/>
      <c r="N33" s="1"/>
    </row>
    <row r="34" spans="1:14" s="2" customFormat="1" x14ac:dyDescent="0.2">
      <c r="A34" s="89">
        <v>45211</v>
      </c>
      <c r="B34" s="128" t="s">
        <v>6</v>
      </c>
      <c r="C34" s="10" t="s">
        <v>1668</v>
      </c>
      <c r="D34" s="11" t="s">
        <v>13</v>
      </c>
      <c r="E34" s="86">
        <v>1207965</v>
      </c>
      <c r="F34" s="70"/>
      <c r="G34" s="1"/>
      <c r="N34" s="1"/>
    </row>
    <row r="35" spans="1:14" s="2" customFormat="1" x14ac:dyDescent="0.2">
      <c r="A35" s="89">
        <v>45211</v>
      </c>
      <c r="B35" s="128" t="s">
        <v>6</v>
      </c>
      <c r="C35" s="10" t="s">
        <v>146</v>
      </c>
      <c r="D35" s="11" t="s">
        <v>13</v>
      </c>
      <c r="E35" s="86">
        <v>170940.04</v>
      </c>
      <c r="F35" s="70"/>
      <c r="G35" s="1"/>
      <c r="N35" s="1"/>
    </row>
    <row r="36" spans="1:14" s="2" customFormat="1" x14ac:dyDescent="0.2">
      <c r="A36" s="89">
        <v>45211</v>
      </c>
      <c r="B36" s="128" t="s">
        <v>6</v>
      </c>
      <c r="C36" s="10" t="s">
        <v>381</v>
      </c>
      <c r="D36" s="11" t="s">
        <v>13</v>
      </c>
      <c r="E36" s="86">
        <v>63905</v>
      </c>
      <c r="F36" s="70"/>
      <c r="G36" s="1"/>
      <c r="N36" s="1"/>
    </row>
    <row r="37" spans="1:14" s="2" customFormat="1" x14ac:dyDescent="0.2">
      <c r="A37" s="89">
        <v>45211</v>
      </c>
      <c r="B37" s="128" t="s">
        <v>6</v>
      </c>
      <c r="C37" s="10" t="s">
        <v>120</v>
      </c>
      <c r="D37" s="11" t="s">
        <v>13</v>
      </c>
      <c r="E37" s="86">
        <v>207511</v>
      </c>
      <c r="F37" s="70"/>
      <c r="G37" s="1"/>
      <c r="N37" s="1"/>
    </row>
    <row r="38" spans="1:14" s="2" customFormat="1" x14ac:dyDescent="0.2">
      <c r="A38" s="89">
        <v>45211</v>
      </c>
      <c r="B38" s="128" t="s">
        <v>6</v>
      </c>
      <c r="C38" s="10" t="s">
        <v>1137</v>
      </c>
      <c r="D38" s="11" t="s">
        <v>13</v>
      </c>
      <c r="E38" s="86">
        <v>2338.61</v>
      </c>
      <c r="F38" s="70"/>
      <c r="G38" s="1"/>
      <c r="N38" s="1"/>
    </row>
    <row r="39" spans="1:14" s="2" customFormat="1" x14ac:dyDescent="0.2">
      <c r="A39" s="89">
        <v>45211</v>
      </c>
      <c r="B39" s="128" t="s">
        <v>6</v>
      </c>
      <c r="C39" s="10" t="s">
        <v>34</v>
      </c>
      <c r="D39" s="11" t="s">
        <v>13</v>
      </c>
      <c r="E39" s="86">
        <v>10000</v>
      </c>
      <c r="F39" s="70"/>
      <c r="G39" s="1"/>
      <c r="N39" s="1"/>
    </row>
    <row r="40" spans="1:14" s="2" customFormat="1" x14ac:dyDescent="0.2">
      <c r="A40" s="89">
        <v>45211</v>
      </c>
      <c r="B40" s="128" t="s">
        <v>6</v>
      </c>
      <c r="C40" s="10" t="s">
        <v>564</v>
      </c>
      <c r="D40" s="11" t="s">
        <v>13</v>
      </c>
      <c r="E40" s="86">
        <v>209527.42</v>
      </c>
      <c r="F40" s="70"/>
      <c r="G40" s="1"/>
      <c r="N40" s="1"/>
    </row>
    <row r="41" spans="1:14" s="2" customFormat="1" x14ac:dyDescent="0.2">
      <c r="A41" s="89">
        <v>45211</v>
      </c>
      <c r="B41" s="128" t="s">
        <v>6</v>
      </c>
      <c r="C41" s="10" t="s">
        <v>1365</v>
      </c>
      <c r="D41" s="11" t="s">
        <v>13</v>
      </c>
      <c r="E41" s="86">
        <v>500000</v>
      </c>
      <c r="F41" s="70"/>
      <c r="G41" s="1"/>
      <c r="N41" s="1"/>
    </row>
    <row r="42" spans="1:14" s="2" customFormat="1" x14ac:dyDescent="0.2">
      <c r="A42" s="89">
        <v>45211</v>
      </c>
      <c r="B42" s="128" t="s">
        <v>6</v>
      </c>
      <c r="C42" s="10" t="s">
        <v>93</v>
      </c>
      <c r="D42" s="11" t="s">
        <v>13</v>
      </c>
      <c r="E42" s="86">
        <v>3048346</v>
      </c>
      <c r="F42" s="70"/>
      <c r="G42" s="1"/>
      <c r="N42" s="1"/>
    </row>
    <row r="43" spans="1:14" s="2" customFormat="1" x14ac:dyDescent="0.2">
      <c r="A43" s="89">
        <v>45211</v>
      </c>
      <c r="B43" s="128" t="s">
        <v>6</v>
      </c>
      <c r="C43" s="10" t="s">
        <v>694</v>
      </c>
      <c r="D43" s="11" t="s">
        <v>13</v>
      </c>
      <c r="E43" s="86">
        <v>300000</v>
      </c>
      <c r="F43" s="70"/>
      <c r="G43" s="1"/>
      <c r="N43" s="1"/>
    </row>
    <row r="44" spans="1:14" s="2" customFormat="1" x14ac:dyDescent="0.2">
      <c r="A44" s="89">
        <v>45211</v>
      </c>
      <c r="B44" s="128" t="s">
        <v>6</v>
      </c>
      <c r="C44" s="10" t="s">
        <v>402</v>
      </c>
      <c r="D44" s="11" t="s">
        <v>13</v>
      </c>
      <c r="E44" s="86">
        <v>8000000</v>
      </c>
      <c r="F44" s="70"/>
      <c r="G44" s="1"/>
      <c r="N44" s="1"/>
    </row>
    <row r="45" spans="1:14" s="2" customFormat="1" x14ac:dyDescent="0.2">
      <c r="A45" s="89">
        <v>45211</v>
      </c>
      <c r="B45" s="128" t="s">
        <v>6</v>
      </c>
      <c r="C45" s="10" t="s">
        <v>219</v>
      </c>
      <c r="D45" s="11" t="s">
        <v>13</v>
      </c>
      <c r="E45" s="86">
        <v>1646796</v>
      </c>
      <c r="F45" s="70"/>
      <c r="G45" s="1"/>
      <c r="N45" s="1"/>
    </row>
    <row r="46" spans="1:14" s="2" customFormat="1" x14ac:dyDescent="0.2">
      <c r="A46" s="89">
        <v>45211</v>
      </c>
      <c r="B46" s="128" t="s">
        <v>6</v>
      </c>
      <c r="C46" s="10" t="s">
        <v>503</v>
      </c>
      <c r="D46" s="11" t="s">
        <v>13</v>
      </c>
      <c r="E46" s="86">
        <v>66420.58</v>
      </c>
      <c r="F46" s="70"/>
      <c r="G46" s="1"/>
      <c r="N46" s="1"/>
    </row>
    <row r="47" spans="1:14" s="2" customFormat="1" x14ac:dyDescent="0.2">
      <c r="A47" s="89">
        <v>45211</v>
      </c>
      <c r="B47" s="128" t="s">
        <v>6</v>
      </c>
      <c r="C47" s="10" t="s">
        <v>149</v>
      </c>
      <c r="D47" s="11" t="s">
        <v>13</v>
      </c>
      <c r="E47" s="86">
        <v>2943</v>
      </c>
      <c r="F47" s="70"/>
      <c r="G47" s="1"/>
      <c r="N47" s="1"/>
    </row>
    <row r="48" spans="1:14" s="2" customFormat="1" x14ac:dyDescent="0.2">
      <c r="A48" s="89">
        <v>45211</v>
      </c>
      <c r="B48" s="128" t="s">
        <v>6</v>
      </c>
      <c r="C48" s="10" t="s">
        <v>1204</v>
      </c>
      <c r="D48" s="11" t="s">
        <v>13</v>
      </c>
      <c r="E48" s="86">
        <v>120520</v>
      </c>
      <c r="F48" s="70"/>
      <c r="G48" s="1"/>
      <c r="N48" s="1"/>
    </row>
    <row r="49" spans="1:14" s="2" customFormat="1" x14ac:dyDescent="0.2">
      <c r="A49" s="89">
        <v>45211</v>
      </c>
      <c r="B49" s="128" t="s">
        <v>6</v>
      </c>
      <c r="C49" s="10" t="s">
        <v>1419</v>
      </c>
      <c r="D49" s="11" t="s">
        <v>13</v>
      </c>
      <c r="E49" s="86">
        <v>44068</v>
      </c>
      <c r="F49" s="70"/>
      <c r="G49" s="1"/>
      <c r="N49" s="1"/>
    </row>
    <row r="50" spans="1:14" s="2" customFormat="1" x14ac:dyDescent="0.2">
      <c r="A50" s="89">
        <v>45211</v>
      </c>
      <c r="B50" s="128" t="s">
        <v>11</v>
      </c>
      <c r="C50" s="10" t="s">
        <v>15</v>
      </c>
      <c r="D50" s="11" t="s">
        <v>29</v>
      </c>
      <c r="E50" s="86"/>
      <c r="F50" s="70">
        <v>105424.51000000001</v>
      </c>
      <c r="G50" s="1"/>
      <c r="N50" s="1"/>
    </row>
    <row r="51" spans="1:14" s="2" customFormat="1" x14ac:dyDescent="0.2">
      <c r="A51" s="89">
        <v>45211</v>
      </c>
      <c r="B51" s="128" t="s">
        <v>11</v>
      </c>
      <c r="C51" s="10" t="s">
        <v>64</v>
      </c>
      <c r="D51" s="11" t="s">
        <v>29</v>
      </c>
      <c r="E51" s="86"/>
      <c r="F51" s="70">
        <v>14677.689999999999</v>
      </c>
      <c r="G51" s="1"/>
      <c r="N51" s="1"/>
    </row>
    <row r="52" spans="1:14" s="2" customFormat="1" x14ac:dyDescent="0.2">
      <c r="A52" s="89">
        <v>45211</v>
      </c>
      <c r="B52" s="128" t="s">
        <v>11</v>
      </c>
      <c r="C52" s="10" t="s">
        <v>199</v>
      </c>
      <c r="D52" s="11" t="s">
        <v>29</v>
      </c>
      <c r="E52" s="86"/>
      <c r="F52" s="70">
        <v>632795</v>
      </c>
      <c r="G52" s="1"/>
      <c r="N52" s="1"/>
    </row>
    <row r="53" spans="1:14" s="2" customFormat="1" x14ac:dyDescent="0.2">
      <c r="A53" s="89">
        <v>45211</v>
      </c>
      <c r="B53" s="128" t="s">
        <v>11</v>
      </c>
      <c r="C53" s="10" t="s">
        <v>1403</v>
      </c>
      <c r="D53" s="11" t="s">
        <v>29</v>
      </c>
      <c r="E53" s="86"/>
      <c r="F53" s="70">
        <v>2186306</v>
      </c>
      <c r="G53" s="1"/>
      <c r="N53" s="1"/>
    </row>
    <row r="54" spans="1:14" s="2" customFormat="1" x14ac:dyDescent="0.2">
      <c r="A54" s="89">
        <v>45211</v>
      </c>
      <c r="B54" s="128" t="s">
        <v>11</v>
      </c>
      <c r="C54" s="10" t="s">
        <v>1472</v>
      </c>
      <c r="D54" s="11" t="s">
        <v>29</v>
      </c>
      <c r="E54" s="86"/>
      <c r="F54" s="70">
        <v>1093970</v>
      </c>
      <c r="G54" s="1"/>
      <c r="N54" s="1"/>
    </row>
    <row r="55" spans="1:14" s="2" customFormat="1" x14ac:dyDescent="0.2">
      <c r="A55" s="89">
        <v>45211</v>
      </c>
      <c r="B55" s="128" t="s">
        <v>11</v>
      </c>
      <c r="C55" s="10" t="s">
        <v>339</v>
      </c>
      <c r="D55" s="11" t="s">
        <v>29</v>
      </c>
      <c r="E55" s="86"/>
      <c r="F55" s="70">
        <v>72732.13</v>
      </c>
      <c r="G55" s="1"/>
      <c r="N55" s="1"/>
    </row>
    <row r="56" spans="1:14" s="2" customFormat="1" x14ac:dyDescent="0.2">
      <c r="A56" s="89">
        <v>45211</v>
      </c>
      <c r="B56" s="128" t="s">
        <v>11</v>
      </c>
      <c r="C56" s="10" t="s">
        <v>800</v>
      </c>
      <c r="D56" s="11" t="s">
        <v>29</v>
      </c>
      <c r="E56" s="86"/>
      <c r="F56" s="70">
        <v>5480</v>
      </c>
      <c r="G56" s="1"/>
      <c r="N56" s="1"/>
    </row>
    <row r="57" spans="1:14" s="2" customFormat="1" x14ac:dyDescent="0.2">
      <c r="A57" s="89">
        <v>45211</v>
      </c>
      <c r="B57" s="128" t="s">
        <v>11</v>
      </c>
      <c r="C57" s="10" t="s">
        <v>130</v>
      </c>
      <c r="D57" s="11" t="s">
        <v>29</v>
      </c>
      <c r="E57" s="86"/>
      <c r="F57" s="70">
        <v>36218</v>
      </c>
      <c r="G57" s="1"/>
      <c r="N57" s="1"/>
    </row>
    <row r="58" spans="1:14" s="2" customFormat="1" x14ac:dyDescent="0.2">
      <c r="A58" s="89">
        <v>45211</v>
      </c>
      <c r="B58" s="128" t="s">
        <v>11</v>
      </c>
      <c r="C58" s="10" t="s">
        <v>870</v>
      </c>
      <c r="D58" s="11" t="s">
        <v>29</v>
      </c>
      <c r="E58" s="86"/>
      <c r="F58" s="70">
        <v>12545</v>
      </c>
      <c r="G58" s="1"/>
      <c r="N58" s="1"/>
    </row>
    <row r="59" spans="1:14" s="2" customFormat="1" x14ac:dyDescent="0.2">
      <c r="A59" s="89">
        <v>45211</v>
      </c>
      <c r="B59" s="128" t="s">
        <v>11</v>
      </c>
      <c r="C59" s="10" t="s">
        <v>603</v>
      </c>
      <c r="D59" s="11" t="s">
        <v>29</v>
      </c>
      <c r="E59" s="86"/>
      <c r="F59" s="70">
        <v>26564</v>
      </c>
      <c r="G59" s="1"/>
      <c r="N59" s="1"/>
    </row>
    <row r="60" spans="1:14" s="2" customFormat="1" x14ac:dyDescent="0.2">
      <c r="A60" s="89">
        <v>45211</v>
      </c>
      <c r="B60" s="128" t="s">
        <v>11</v>
      </c>
      <c r="C60" s="10" t="s">
        <v>96</v>
      </c>
      <c r="D60" s="11" t="s">
        <v>29</v>
      </c>
      <c r="E60" s="86"/>
      <c r="F60" s="70">
        <v>5804</v>
      </c>
      <c r="G60" s="1"/>
      <c r="N60" s="1"/>
    </row>
    <row r="61" spans="1:14" s="2" customFormat="1" x14ac:dyDescent="0.2">
      <c r="A61" s="89">
        <v>45211</v>
      </c>
      <c r="B61" s="128" t="s">
        <v>11</v>
      </c>
      <c r="C61" s="10" t="s">
        <v>57</v>
      </c>
      <c r="D61" s="11" t="s">
        <v>29</v>
      </c>
      <c r="E61" s="86"/>
      <c r="F61" s="70">
        <v>10000000</v>
      </c>
      <c r="G61" s="1"/>
      <c r="N61" s="1"/>
    </row>
    <row r="62" spans="1:14" s="2" customFormat="1" x14ac:dyDescent="0.2">
      <c r="A62" s="89">
        <v>45211</v>
      </c>
      <c r="B62" s="128" t="s">
        <v>11</v>
      </c>
      <c r="C62" s="10" t="s">
        <v>138</v>
      </c>
      <c r="D62" s="11" t="s">
        <v>29</v>
      </c>
      <c r="E62" s="86"/>
      <c r="F62" s="70">
        <v>1788656</v>
      </c>
      <c r="G62" s="1"/>
      <c r="N62" s="1"/>
    </row>
    <row r="63" spans="1:14" s="2" customFormat="1" x14ac:dyDescent="0.2">
      <c r="A63" s="89">
        <v>45211</v>
      </c>
      <c r="B63" s="128" t="s">
        <v>11</v>
      </c>
      <c r="C63" s="10" t="s">
        <v>365</v>
      </c>
      <c r="D63" s="11" t="s">
        <v>29</v>
      </c>
      <c r="E63" s="86"/>
      <c r="F63" s="70">
        <v>348100</v>
      </c>
      <c r="G63" s="1"/>
      <c r="N63" s="1"/>
    </row>
    <row r="64" spans="1:14" s="2" customFormat="1" x14ac:dyDescent="0.2">
      <c r="A64" s="89">
        <v>45211</v>
      </c>
      <c r="B64" s="128" t="s">
        <v>11</v>
      </c>
      <c r="C64" s="10" t="s">
        <v>97</v>
      </c>
      <c r="D64" s="11" t="s">
        <v>29</v>
      </c>
      <c r="E64" s="86"/>
      <c r="F64" s="70">
        <v>600000</v>
      </c>
      <c r="G64" s="1"/>
      <c r="N64" s="1"/>
    </row>
    <row r="65" spans="1:14" s="2" customFormat="1" x14ac:dyDescent="0.2">
      <c r="A65" s="89">
        <v>45211</v>
      </c>
      <c r="B65" s="128" t="s">
        <v>11</v>
      </c>
      <c r="C65" s="10" t="s">
        <v>62</v>
      </c>
      <c r="D65" s="11" t="s">
        <v>29</v>
      </c>
      <c r="E65" s="86"/>
      <c r="F65" s="70">
        <v>50000</v>
      </c>
      <c r="G65" s="1"/>
      <c r="N65" s="1"/>
    </row>
    <row r="66" spans="1:14" s="2" customFormat="1" x14ac:dyDescent="0.2">
      <c r="A66" s="89">
        <v>45211</v>
      </c>
      <c r="B66" s="128" t="s">
        <v>11</v>
      </c>
      <c r="C66" s="10" t="s">
        <v>129</v>
      </c>
      <c r="D66" s="11" t="s">
        <v>29</v>
      </c>
      <c r="E66" s="86"/>
      <c r="F66" s="70">
        <v>95000</v>
      </c>
      <c r="G66" s="1"/>
      <c r="N66" s="1"/>
    </row>
    <row r="67" spans="1:14" s="2" customFormat="1" x14ac:dyDescent="0.2">
      <c r="A67" s="32"/>
      <c r="B67" s="33"/>
      <c r="C67" s="14"/>
      <c r="D67" s="34"/>
      <c r="E67" s="16">
        <f>SUM(E28:E66)</f>
        <v>24332205.299999997</v>
      </c>
      <c r="F67" s="16">
        <f>SUM(F28:F66)</f>
        <v>105082681.8200001</v>
      </c>
      <c r="G67" s="1"/>
      <c r="H67" s="1"/>
      <c r="I67" s="38">
        <v>80750476.519999996</v>
      </c>
      <c r="J67" s="2" t="s">
        <v>396</v>
      </c>
      <c r="K67" s="92">
        <f>E68-I67</f>
        <v>0</v>
      </c>
      <c r="N67" s="1"/>
    </row>
    <row r="68" spans="1:14" s="2" customFormat="1" x14ac:dyDescent="0.2">
      <c r="A68" s="36"/>
      <c r="B68" s="28" t="s">
        <v>11</v>
      </c>
      <c r="C68" s="19" t="s">
        <v>65</v>
      </c>
      <c r="D68" s="37"/>
      <c r="E68" s="38">
        <f>F67-E67</f>
        <v>80750476.5200001</v>
      </c>
      <c r="F68" s="22"/>
      <c r="G68" s="1"/>
      <c r="H68" s="1"/>
      <c r="I68" s="70"/>
      <c r="J68" s="70"/>
      <c r="K68" s="70"/>
      <c r="N68" s="1"/>
    </row>
    <row r="69" spans="1:14" s="2" customFormat="1" x14ac:dyDescent="0.2">
      <c r="A69" s="36"/>
      <c r="B69" s="28" t="s">
        <v>66</v>
      </c>
      <c r="C69" s="19" t="s">
        <v>67</v>
      </c>
      <c r="D69" s="37"/>
      <c r="E69" s="38">
        <v>6500000</v>
      </c>
      <c r="F69" s="22"/>
      <c r="G69" s="1"/>
      <c r="H69" s="70"/>
      <c r="I69" s="70"/>
      <c r="J69" s="70"/>
      <c r="K69" s="70"/>
      <c r="N69" s="1"/>
    </row>
    <row r="70" spans="1:14" s="2" customFormat="1" x14ac:dyDescent="0.2">
      <c r="A70" s="36"/>
      <c r="B70" s="28" t="s">
        <v>66</v>
      </c>
      <c r="C70" s="43" t="s">
        <v>1457</v>
      </c>
      <c r="D70" s="43"/>
      <c r="E70" s="12">
        <f>275000000+75000000+50000000</f>
        <v>400000000</v>
      </c>
      <c r="F70" s="22"/>
      <c r="G70" s="1"/>
      <c r="H70" s="70"/>
      <c r="I70" s="45">
        <v>1060.49</v>
      </c>
      <c r="J70" s="46"/>
      <c r="K70" s="46"/>
      <c r="N70" s="1"/>
    </row>
    <row r="71" spans="1:14" s="2" customFormat="1" ht="15" x14ac:dyDescent="0.25">
      <c r="A71" s="36"/>
      <c r="B71" s="28"/>
      <c r="C71" s="44" t="s">
        <v>1541</v>
      </c>
      <c r="D71" s="43"/>
      <c r="E71" s="7">
        <f>+E70+E68+E69</f>
        <v>487250476.5200001</v>
      </c>
      <c r="F71" s="22"/>
      <c r="G71" s="1"/>
      <c r="H71" s="103" t="s">
        <v>69</v>
      </c>
      <c r="I71" s="45">
        <v>-168.67</v>
      </c>
      <c r="J71" s="46"/>
      <c r="K71" s="46"/>
      <c r="N71" s="1"/>
    </row>
    <row r="72" spans="1:14" s="2" customFormat="1" ht="15" x14ac:dyDescent="0.25">
      <c r="A72" s="24"/>
      <c r="B72" s="1"/>
      <c r="C72" s="44" t="s">
        <v>1510</v>
      </c>
      <c r="D72" s="25"/>
      <c r="E72" s="156">
        <f>+I28-E69+H24-I24</f>
        <v>12749523.480000006</v>
      </c>
      <c r="G72" s="1"/>
      <c r="H72" s="35" t="s">
        <v>70</v>
      </c>
      <c r="I72" s="45">
        <v>36.590000000000003</v>
      </c>
      <c r="J72" s="46">
        <f>+I73-D75</f>
        <v>0</v>
      </c>
      <c r="N72" s="1"/>
    </row>
    <row r="73" spans="1:14" s="124" customFormat="1" ht="12.75" customHeight="1" x14ac:dyDescent="0.2">
      <c r="A73" s="24"/>
      <c r="B73" s="1"/>
      <c r="C73" s="56"/>
      <c r="D73" s="56"/>
      <c r="E73" s="104"/>
      <c r="F73" s="2"/>
      <c r="G73" s="166"/>
      <c r="H73" s="70"/>
      <c r="I73" s="49">
        <f>SUM(I70:I72)</f>
        <v>928.41000000000008</v>
      </c>
      <c r="J73" s="46"/>
      <c r="K73" s="46"/>
    </row>
    <row r="74" spans="1:14" s="124" customFormat="1" ht="12.75" customHeight="1" x14ac:dyDescent="0.2">
      <c r="A74" s="24"/>
      <c r="B74" s="1"/>
      <c r="C74" s="78" t="s">
        <v>575</v>
      </c>
      <c r="D74" s="48" t="s">
        <v>576</v>
      </c>
      <c r="E74" s="104"/>
      <c r="F74" s="2"/>
      <c r="G74" s="168"/>
      <c r="H74" s="167"/>
      <c r="I74" s="167"/>
      <c r="J74" s="168"/>
    </row>
    <row r="75" spans="1:14" s="124" customFormat="1" ht="12.75" customHeight="1" x14ac:dyDescent="0.2">
      <c r="A75" s="24"/>
      <c r="B75" s="1"/>
      <c r="C75" s="47" t="s">
        <v>570</v>
      </c>
      <c r="D75" s="111">
        <v>928.41</v>
      </c>
      <c r="E75" s="104"/>
      <c r="F75" s="2"/>
      <c r="G75" s="168"/>
      <c r="H75" s="110" t="s">
        <v>581</v>
      </c>
      <c r="I75" s="167"/>
      <c r="J75" s="168"/>
    </row>
    <row r="76" spans="1:14" s="124" customFormat="1" ht="12.75" customHeight="1" x14ac:dyDescent="0.2">
      <c r="A76" s="24"/>
      <c r="B76" s="1"/>
      <c r="C76" s="47" t="s">
        <v>931</v>
      </c>
      <c r="D76" s="111">
        <v>149.35</v>
      </c>
      <c r="E76" s="104"/>
      <c r="F76" s="2"/>
      <c r="G76" s="168"/>
      <c r="H76" s="110" t="s">
        <v>580</v>
      </c>
      <c r="I76" s="167"/>
      <c r="J76" s="168"/>
    </row>
    <row r="77" spans="1:14" s="124" customFormat="1" ht="12.75" customHeight="1" x14ac:dyDescent="0.2">
      <c r="A77" s="24"/>
      <c r="B77" s="1"/>
      <c r="C77" s="47" t="s">
        <v>572</v>
      </c>
      <c r="D77" s="111">
        <f>+D96/100000</f>
        <v>34.745904299999999</v>
      </c>
      <c r="E77" s="104"/>
      <c r="F77" s="2"/>
      <c r="G77" s="166"/>
      <c r="H77" s="90" t="s">
        <v>587</v>
      </c>
      <c r="I77" s="167"/>
      <c r="J77" s="168"/>
    </row>
    <row r="78" spans="1:14" s="2" customFormat="1" x14ac:dyDescent="0.2">
      <c r="A78" s="24"/>
      <c r="B78" s="1"/>
      <c r="C78" s="108" t="s">
        <v>578</v>
      </c>
      <c r="D78" s="48">
        <f>SUM(D75:D77)</f>
        <v>1112.5059042999999</v>
      </c>
      <c r="E78" s="104"/>
      <c r="G78" s="30"/>
      <c r="I78" s="13"/>
      <c r="J78" s="13"/>
    </row>
    <row r="79" spans="1:14" s="70" customFormat="1" x14ac:dyDescent="0.2">
      <c r="A79" s="24"/>
      <c r="B79" s="1"/>
      <c r="C79" s="47"/>
      <c r="D79" s="107"/>
      <c r="E79" s="104"/>
      <c r="F79" s="2"/>
      <c r="G79" s="30"/>
      <c r="H79" s="2"/>
    </row>
    <row r="80" spans="1:14" s="70" customFormat="1" x14ac:dyDescent="0.2">
      <c r="A80" s="24"/>
      <c r="B80" s="1"/>
      <c r="C80" s="47" t="s">
        <v>932</v>
      </c>
      <c r="D80" s="111">
        <v>71.790000000000006</v>
      </c>
      <c r="E80" s="104"/>
      <c r="F80" s="2"/>
      <c r="G80" s="30"/>
      <c r="H80" s="110" t="s">
        <v>581</v>
      </c>
    </row>
    <row r="81" spans="1:14" s="70" customFormat="1" x14ac:dyDescent="0.2">
      <c r="A81" s="24"/>
      <c r="B81" s="1"/>
      <c r="C81" s="136" t="s">
        <v>1142</v>
      </c>
      <c r="D81" s="111">
        <v>314.17</v>
      </c>
      <c r="E81" s="104"/>
      <c r="F81" s="2"/>
      <c r="G81" s="30"/>
      <c r="H81" s="110" t="s">
        <v>581</v>
      </c>
    </row>
    <row r="82" spans="1:14" s="70" customFormat="1" x14ac:dyDescent="0.2">
      <c r="A82" s="24"/>
      <c r="B82" s="1"/>
      <c r="C82" s="78" t="s">
        <v>579</v>
      </c>
      <c r="D82" s="109">
        <f>D80+D81</f>
        <v>385.96000000000004</v>
      </c>
      <c r="E82" s="104"/>
      <c r="F82" s="2"/>
      <c r="G82" s="30"/>
    </row>
    <row r="83" spans="1:14" s="70" customFormat="1" x14ac:dyDescent="0.2">
      <c r="A83" s="24"/>
      <c r="B83" s="1"/>
      <c r="C83" s="105"/>
      <c r="D83" s="106"/>
      <c r="E83" s="104"/>
      <c r="F83" s="2"/>
      <c r="G83" s="30"/>
      <c r="I83" s="2"/>
      <c r="J83" s="114" t="s">
        <v>713</v>
      </c>
      <c r="K83" s="2"/>
      <c r="L83" s="2"/>
      <c r="M83" s="2"/>
    </row>
    <row r="84" spans="1:14" s="70" customFormat="1" x14ac:dyDescent="0.2">
      <c r="A84" s="24"/>
      <c r="B84" s="1"/>
      <c r="C84" s="78" t="s">
        <v>577</v>
      </c>
      <c r="D84" s="109">
        <f>D75+D82</f>
        <v>1314.37</v>
      </c>
      <c r="E84" s="104"/>
      <c r="F84" s="2"/>
      <c r="G84" s="30"/>
      <c r="I84" s="113"/>
      <c r="J84" s="113" t="s">
        <v>709</v>
      </c>
      <c r="K84" s="113" t="s">
        <v>710</v>
      </c>
      <c r="L84" s="113" t="s">
        <v>711</v>
      </c>
      <c r="M84" s="113" t="s">
        <v>712</v>
      </c>
    </row>
    <row r="85" spans="1:14" s="70" customFormat="1" x14ac:dyDescent="0.2">
      <c r="A85" s="24"/>
      <c r="B85" s="1"/>
      <c r="C85" s="56"/>
      <c r="D85" s="56"/>
      <c r="E85" s="104"/>
      <c r="F85" s="2"/>
      <c r="G85" s="30"/>
      <c r="I85" s="113" t="s">
        <v>706</v>
      </c>
      <c r="J85" s="115"/>
      <c r="K85" s="115">
        <v>968.99</v>
      </c>
      <c r="L85" s="115">
        <v>968.99</v>
      </c>
      <c r="M85" s="113">
        <f>+J85+L85-K85</f>
        <v>0</v>
      </c>
    </row>
    <row r="86" spans="1:14" s="70" customFormat="1" ht="38.25" x14ac:dyDescent="0.2">
      <c r="A86" s="24"/>
      <c r="B86" s="1"/>
      <c r="C86" s="79" t="str">
        <f>"Particulars ( 01-04-2021 to "&amp;TEXT(A5,"dd-mm-yyyy")&amp;" )"</f>
        <v>Particulars ( 01-04-2021 to 12-10-2023 )</v>
      </c>
      <c r="D86" s="80" t="s">
        <v>73</v>
      </c>
      <c r="E86" s="80" t="s">
        <v>74</v>
      </c>
      <c r="F86" s="81" t="s">
        <v>75</v>
      </c>
      <c r="G86" s="80" t="s">
        <v>76</v>
      </c>
      <c r="I86" s="113" t="s">
        <v>707</v>
      </c>
      <c r="J86" s="115">
        <v>183.1</v>
      </c>
      <c r="K86" s="115">
        <v>3776.66</v>
      </c>
      <c r="L86" s="115">
        <v>4030.88</v>
      </c>
      <c r="M86" s="113">
        <f>+J86+L86-K86</f>
        <v>437.32000000000062</v>
      </c>
    </row>
    <row r="87" spans="1:14" s="70" customFormat="1" x14ac:dyDescent="0.2">
      <c r="A87" s="24"/>
      <c r="B87" s="1"/>
      <c r="C87" s="50" t="s">
        <v>444</v>
      </c>
      <c r="D87" s="55">
        <f>+L85+L86+J86</f>
        <v>5182.97</v>
      </c>
      <c r="E87" s="55">
        <f>+K85+K86</f>
        <v>4745.6499999999996</v>
      </c>
      <c r="F87" s="55">
        <f>+D87-E87</f>
        <v>437.32000000000062</v>
      </c>
      <c r="G87" s="55">
        <f>1500-F87</f>
        <v>1062.6799999999994</v>
      </c>
      <c r="I87" s="113" t="s">
        <v>708</v>
      </c>
      <c r="J87" s="115">
        <v>1371.02</v>
      </c>
      <c r="K87" s="115">
        <v>14475.01</v>
      </c>
      <c r="L87" s="115">
        <v>14106.49</v>
      </c>
      <c r="M87" s="113">
        <f>+J87+L87-K87</f>
        <v>1002.5</v>
      </c>
    </row>
    <row r="88" spans="1:14" s="70" customFormat="1" ht="12.75" customHeight="1" x14ac:dyDescent="0.2">
      <c r="A88" s="24"/>
      <c r="B88" s="1"/>
      <c r="C88" s="50" t="s">
        <v>71</v>
      </c>
      <c r="D88" s="55">
        <f>+J87+L87</f>
        <v>15477.51</v>
      </c>
      <c r="E88" s="55">
        <f>+K87</f>
        <v>14475.01</v>
      </c>
      <c r="F88" s="55">
        <f>+D88-E88</f>
        <v>1002.5</v>
      </c>
      <c r="G88" s="55">
        <f>1500+700-F88</f>
        <v>1197.5</v>
      </c>
      <c r="I88" s="2"/>
      <c r="J88" s="118">
        <f>SUM(J85:J87)</f>
        <v>1554.12</v>
      </c>
      <c r="K88" s="118">
        <f>SUM(K85:K87)</f>
        <v>19220.66</v>
      </c>
      <c r="L88" s="118">
        <f>SUM(L85:L87)</f>
        <v>19106.36</v>
      </c>
      <c r="M88" s="118">
        <f>SUM(M85:M87)</f>
        <v>1439.8200000000006</v>
      </c>
    </row>
    <row r="89" spans="1:14" s="70" customFormat="1" ht="12.75" customHeight="1" x14ac:dyDescent="0.2">
      <c r="A89" s="24"/>
      <c r="B89" s="1"/>
      <c r="C89" s="14"/>
      <c r="D89" s="56"/>
      <c r="E89" s="13"/>
      <c r="F89" s="2"/>
      <c r="G89" s="30"/>
    </row>
    <row r="90" spans="1:14" s="70" customFormat="1" ht="12.75" customHeight="1" x14ac:dyDescent="0.2">
      <c r="A90" s="215" t="s">
        <v>80</v>
      </c>
      <c r="B90" s="216"/>
      <c r="C90" s="216"/>
      <c r="D90" s="217"/>
      <c r="E90" s="69"/>
      <c r="G90" s="30"/>
    </row>
    <row r="91" spans="1:14" s="70" customFormat="1" ht="12.75" customHeight="1" x14ac:dyDescent="0.2">
      <c r="A91" s="71" t="s">
        <v>81</v>
      </c>
      <c r="B91" s="71"/>
      <c r="C91" s="72" t="s">
        <v>82</v>
      </c>
      <c r="D91" s="73" t="s">
        <v>83</v>
      </c>
      <c r="E91" s="69"/>
      <c r="G91" s="30"/>
    </row>
    <row r="92" spans="1:14" s="70" customFormat="1" ht="12.75" customHeight="1" x14ac:dyDescent="0.2">
      <c r="A92" s="87">
        <v>45203</v>
      </c>
      <c r="B92" s="120" t="s">
        <v>1052</v>
      </c>
      <c r="C92" s="75" t="s">
        <v>18</v>
      </c>
      <c r="D92" s="88">
        <v>193358.43</v>
      </c>
      <c r="E92" s="2"/>
      <c r="F92" s="2"/>
      <c r="G92" s="30"/>
      <c r="H92" s="2"/>
      <c r="I92" s="2"/>
      <c r="J92" s="2"/>
      <c r="K92" s="2"/>
      <c r="L92" s="41"/>
      <c r="M92" s="42"/>
      <c r="N92" s="2"/>
    </row>
    <row r="93" spans="1:14" s="70" customFormat="1" ht="12.75" customHeight="1" x14ac:dyDescent="0.2">
      <c r="A93" s="87">
        <v>45203</v>
      </c>
      <c r="B93" s="120" t="s">
        <v>1052</v>
      </c>
      <c r="C93" s="75" t="s">
        <v>270</v>
      </c>
      <c r="D93" s="88">
        <v>254277</v>
      </c>
      <c r="E93" s="2"/>
      <c r="F93" s="2"/>
      <c r="G93" s="30"/>
      <c r="H93" s="2"/>
      <c r="I93" s="2"/>
      <c r="J93" s="2"/>
      <c r="K93" s="2"/>
      <c r="L93" s="41"/>
      <c r="M93" s="42"/>
      <c r="N93" s="2"/>
    </row>
    <row r="94" spans="1:14" s="70" customFormat="1" ht="12.75" customHeight="1" x14ac:dyDescent="0.2">
      <c r="A94" s="87">
        <v>45204</v>
      </c>
      <c r="B94" s="120" t="s">
        <v>1052</v>
      </c>
      <c r="C94" s="75" t="s">
        <v>85</v>
      </c>
      <c r="D94" s="88">
        <v>765297</v>
      </c>
      <c r="E94" s="2"/>
      <c r="F94" s="2"/>
      <c r="G94" s="30"/>
      <c r="H94" s="2"/>
      <c r="I94" s="2"/>
      <c r="J94" s="2"/>
      <c r="K94" s="2"/>
      <c r="L94" s="41"/>
      <c r="M94" s="42"/>
      <c r="N94" s="2"/>
    </row>
    <row r="95" spans="1:14" s="70" customFormat="1" ht="12.75" customHeight="1" x14ac:dyDescent="0.2">
      <c r="A95" s="87">
        <v>45209</v>
      </c>
      <c r="B95" s="120" t="s">
        <v>1052</v>
      </c>
      <c r="C95" s="75" t="s">
        <v>606</v>
      </c>
      <c r="D95" s="88">
        <v>2261658</v>
      </c>
      <c r="E95" s="2"/>
      <c r="F95" s="2"/>
      <c r="G95" s="30"/>
      <c r="H95" s="2"/>
      <c r="I95" s="2"/>
      <c r="J95" s="2"/>
      <c r="K95" s="2"/>
      <c r="L95" s="41"/>
      <c r="M95" s="42"/>
      <c r="N95" s="2"/>
    </row>
    <row r="96" spans="1:14" s="2" customFormat="1" x14ac:dyDescent="0.2">
      <c r="A96" s="87"/>
      <c r="B96" s="74"/>
      <c r="C96" s="75"/>
      <c r="D96" s="51">
        <f>SUM(D92:D95)</f>
        <v>3474590.4299999997</v>
      </c>
      <c r="F96" s="2" t="s">
        <v>396</v>
      </c>
      <c r="G96" s="1"/>
    </row>
    <row r="97" spans="1:13" s="2" customFormat="1" x14ac:dyDescent="0.2">
      <c r="A97" s="24"/>
      <c r="B97" s="1"/>
      <c r="C97" s="14"/>
      <c r="D97" s="56"/>
      <c r="E97" s="13"/>
      <c r="G97" s="1"/>
    </row>
    <row r="98" spans="1:13" s="2" customFormat="1" x14ac:dyDescent="0.2">
      <c r="A98" s="24"/>
      <c r="B98" s="1"/>
      <c r="C98" s="218" t="s">
        <v>77</v>
      </c>
      <c r="D98" s="219"/>
      <c r="E98" s="219"/>
      <c r="F98" s="220"/>
      <c r="H98" s="2" t="s">
        <v>396</v>
      </c>
    </row>
    <row r="99" spans="1:13" s="2" customFormat="1" x14ac:dyDescent="0.2">
      <c r="A99" s="24"/>
      <c r="B99" s="1"/>
      <c r="C99" s="50"/>
      <c r="D99" s="57" t="s">
        <v>78</v>
      </c>
      <c r="E99" s="58" t="s">
        <v>79</v>
      </c>
      <c r="F99" s="57" t="s">
        <v>72</v>
      </c>
      <c r="H99" s="2" t="s">
        <v>396</v>
      </c>
    </row>
    <row r="100" spans="1:13" s="2" customFormat="1" x14ac:dyDescent="0.2">
      <c r="A100" s="24"/>
      <c r="B100" s="1"/>
      <c r="C100" s="59" t="str">
        <f>"01-10-2023 to "&amp;TEXT(A5-2,"dd-mm-yyyy")</f>
        <v>01-10-2023 to 10-10-2023</v>
      </c>
      <c r="D100" s="60">
        <v>626.12</v>
      </c>
      <c r="E100" s="60">
        <v>131.86000000000001</v>
      </c>
      <c r="F100" s="61">
        <f>SUM(D100:E100)</f>
        <v>757.98</v>
      </c>
    </row>
    <row r="101" spans="1:13" s="2" customFormat="1" x14ac:dyDescent="0.2">
      <c r="A101" s="24"/>
      <c r="B101" s="1"/>
      <c r="C101" s="62" t="str">
        <f>TEXT(A5-1,"dd-mm-yyyy")</f>
        <v>11-10-2023</v>
      </c>
      <c r="D101" s="60">
        <v>105.61</v>
      </c>
      <c r="E101" s="60">
        <v>16.97</v>
      </c>
      <c r="F101" s="61">
        <f>SUM(D101:E101)</f>
        <v>122.58</v>
      </c>
      <c r="G101" s="1"/>
      <c r="H101" s="53"/>
    </row>
    <row r="102" spans="1:13" s="2" customFormat="1" ht="13.5" thickBot="1" x14ac:dyDescent="0.25">
      <c r="A102" s="24"/>
      <c r="B102" s="1"/>
      <c r="C102" s="63" t="str">
        <f>"01-10-2023 to "&amp;TEXT(A5-1,"dd-mm-yyyy")</f>
        <v>01-10-2023 to 11-10-2023</v>
      </c>
      <c r="D102" s="64">
        <f>SUM(D100:D101)</f>
        <v>731.73</v>
      </c>
      <c r="E102" s="64">
        <f>SUM(E100:E101)</f>
        <v>148.83000000000001</v>
      </c>
      <c r="F102" s="64">
        <f>SUM(F100:F101)</f>
        <v>880.56000000000006</v>
      </c>
      <c r="G102" s="1"/>
      <c r="H102" s="53"/>
    </row>
    <row r="103" spans="1:13" s="2" customFormat="1" ht="13.5" thickTop="1" x14ac:dyDescent="0.2">
      <c r="A103" s="24"/>
      <c r="B103" s="1"/>
      <c r="C103" s="62"/>
      <c r="D103" s="65"/>
      <c r="E103" s="66"/>
      <c r="F103" s="67"/>
      <c r="L103" s="1"/>
      <c r="M103" s="1"/>
    </row>
    <row r="104" spans="1:13" s="2" customFormat="1" x14ac:dyDescent="0.2">
      <c r="A104" s="24"/>
      <c r="B104" s="1"/>
      <c r="C104" s="62" t="str">
        <f>"01-04-2023 to " &amp;C101</f>
        <v>01-04-2023 to 11-10-2023</v>
      </c>
      <c r="D104" s="68">
        <f>+D102+27003.42</f>
        <v>27735.149999999998</v>
      </c>
      <c r="E104" s="68">
        <f>+E102+2028.43</f>
        <v>2177.2600000000002</v>
      </c>
      <c r="F104" s="68">
        <f>+F102+29031.85</f>
        <v>29912.41</v>
      </c>
      <c r="G104" s="1"/>
      <c r="L104" s="1"/>
      <c r="M104" s="1"/>
    </row>
    <row r="105" spans="1:13" s="2" customFormat="1" x14ac:dyDescent="0.2">
      <c r="A105" s="24"/>
      <c r="B105" s="1"/>
      <c r="C105" s="52"/>
      <c r="D105" s="85"/>
      <c r="E105" s="53"/>
      <c r="F105" s="53"/>
      <c r="G105" s="1"/>
      <c r="L105" s="1"/>
      <c r="M105" s="1"/>
    </row>
    <row r="106" spans="1:13" s="2" customFormat="1" x14ac:dyDescent="0.2">
      <c r="A106" s="24"/>
      <c r="B106" s="1"/>
      <c r="C106" s="52"/>
      <c r="D106" s="85"/>
      <c r="E106" s="53"/>
      <c r="F106" s="53"/>
      <c r="G106" s="1"/>
      <c r="L106" s="1"/>
      <c r="M106" s="1"/>
    </row>
    <row r="107" spans="1:13" s="2" customFormat="1" x14ac:dyDescent="0.2">
      <c r="A107" s="24"/>
      <c r="B107" s="1"/>
      <c r="C107" s="52"/>
      <c r="D107" s="85"/>
      <c r="E107" s="53"/>
      <c r="F107" s="53"/>
      <c r="G107" s="1"/>
      <c r="L107" s="1"/>
      <c r="M107" s="1"/>
    </row>
    <row r="108" spans="1:13" s="2" customFormat="1" x14ac:dyDescent="0.2">
      <c r="A108" s="24"/>
      <c r="B108" s="1"/>
      <c r="C108" s="52"/>
      <c r="D108" s="85"/>
      <c r="E108" s="53"/>
      <c r="F108" s="53"/>
      <c r="G108" s="1"/>
      <c r="L108" s="1"/>
      <c r="M108" s="1"/>
    </row>
    <row r="109" spans="1:13" s="2" customFormat="1" x14ac:dyDescent="0.2">
      <c r="A109" s="24"/>
      <c r="B109" s="1"/>
      <c r="C109" s="14"/>
      <c r="D109" s="25"/>
      <c r="G109" s="1"/>
      <c r="L109" s="1"/>
      <c r="M109" s="1"/>
    </row>
    <row r="110" spans="1:13" s="2" customFormat="1" x14ac:dyDescent="0.2">
      <c r="A110" s="24"/>
      <c r="B110" s="1"/>
      <c r="C110" s="14"/>
      <c r="D110" s="25"/>
      <c r="G110" s="1"/>
      <c r="L110" s="1"/>
      <c r="M110" s="1"/>
    </row>
    <row r="111" spans="1:13" s="2" customFormat="1" x14ac:dyDescent="0.2">
      <c r="A111" s="24"/>
      <c r="B111" s="1"/>
      <c r="C111" s="14"/>
      <c r="D111" s="25"/>
      <c r="G111" s="1"/>
      <c r="L111" s="1"/>
      <c r="M111" s="1"/>
    </row>
    <row r="112" spans="1:13" s="2" customFormat="1" x14ac:dyDescent="0.2">
      <c r="A112" s="24"/>
      <c r="B112" s="1"/>
      <c r="C112" s="14"/>
      <c r="D112" s="25"/>
      <c r="G112" s="1"/>
      <c r="L112" s="1"/>
      <c r="M112" s="1"/>
    </row>
    <row r="113" spans="1:13" s="2" customFormat="1" x14ac:dyDescent="0.2">
      <c r="A113" s="24"/>
      <c r="B113" s="1"/>
      <c r="C113" s="14"/>
      <c r="D113" s="25"/>
      <c r="G113" s="1"/>
      <c r="L113" s="1"/>
      <c r="M113" s="1"/>
    </row>
    <row r="114" spans="1:13" s="2" customFormat="1" x14ac:dyDescent="0.2">
      <c r="A114" s="24"/>
      <c r="B114" s="1"/>
      <c r="C114" s="14"/>
      <c r="D114" s="25"/>
      <c r="G114" s="1"/>
      <c r="L114" s="1"/>
      <c r="M114" s="1"/>
    </row>
    <row r="115" spans="1:13" s="2" customFormat="1" x14ac:dyDescent="0.2">
      <c r="A115" s="24"/>
      <c r="B115" s="1"/>
      <c r="C115" s="14"/>
      <c r="D115" s="25"/>
      <c r="G115" s="1"/>
      <c r="L115" s="1"/>
      <c r="M115" s="1"/>
    </row>
    <row r="116" spans="1:13" s="2" customFormat="1" x14ac:dyDescent="0.2">
      <c r="A116" s="24"/>
      <c r="B116" s="1"/>
      <c r="C116" s="14"/>
      <c r="D116" s="25"/>
      <c r="G116" s="1"/>
      <c r="L116" s="1"/>
      <c r="M116" s="1"/>
    </row>
    <row r="117" spans="1:13" s="2" customFormat="1" x14ac:dyDescent="0.2">
      <c r="A117" s="24"/>
      <c r="B117" s="1"/>
      <c r="C117" s="14"/>
      <c r="D117" s="25"/>
      <c r="G117" s="1"/>
      <c r="L117" s="1"/>
      <c r="M117" s="1"/>
    </row>
    <row r="118" spans="1:13" s="2" customFormat="1" x14ac:dyDescent="0.2">
      <c r="A118" s="24"/>
      <c r="B118" s="1"/>
      <c r="C118" s="14"/>
      <c r="D118" s="25"/>
      <c r="G118" s="1"/>
      <c r="L118" s="1"/>
      <c r="M118" s="1"/>
    </row>
    <row r="119" spans="1:13" s="2" customFormat="1" x14ac:dyDescent="0.2">
      <c r="A119" s="24"/>
      <c r="B119" s="1"/>
      <c r="C119" s="14"/>
      <c r="D119" s="25"/>
      <c r="G119" s="1"/>
      <c r="L119" s="1"/>
      <c r="M119" s="1"/>
    </row>
    <row r="120" spans="1:13" s="2" customFormat="1" x14ac:dyDescent="0.2">
      <c r="A120" s="24"/>
      <c r="B120" s="1"/>
      <c r="C120" s="14"/>
      <c r="D120" s="25"/>
      <c r="G120" s="1"/>
      <c r="L120" s="1"/>
      <c r="M120" s="1"/>
    </row>
    <row r="121" spans="1:13" s="2" customFormat="1" x14ac:dyDescent="0.2">
      <c r="A121" s="24"/>
      <c r="B121" s="1"/>
      <c r="C121" s="14"/>
      <c r="D121" s="25"/>
      <c r="G121" s="1"/>
      <c r="L121" s="1"/>
      <c r="M121" s="1"/>
    </row>
    <row r="122" spans="1:13" s="2" customFormat="1" x14ac:dyDescent="0.2">
      <c r="A122" s="24"/>
      <c r="B122" s="1"/>
      <c r="C122" s="14"/>
      <c r="D122" s="25"/>
      <c r="G122" s="1"/>
      <c r="L122" s="1"/>
      <c r="M122" s="1"/>
    </row>
    <row r="123" spans="1:13" s="2" customFormat="1" x14ac:dyDescent="0.2">
      <c r="A123" s="24"/>
      <c r="B123" s="1"/>
      <c r="C123" s="14"/>
      <c r="D123" s="25"/>
      <c r="G123" s="1"/>
      <c r="I123" s="1"/>
      <c r="J123" s="1"/>
      <c r="K123" s="1"/>
      <c r="L123" s="1"/>
      <c r="M123" s="1"/>
    </row>
    <row r="124" spans="1:13" s="2" customFormat="1" x14ac:dyDescent="0.2">
      <c r="A124" s="24"/>
      <c r="B124" s="1"/>
      <c r="C124" s="14"/>
      <c r="D124" s="25"/>
      <c r="G124" s="1"/>
    </row>
    <row r="125" spans="1:13" s="2" customFormat="1" x14ac:dyDescent="0.2">
      <c r="A125" s="24"/>
      <c r="B125" s="1"/>
      <c r="C125" s="14"/>
      <c r="D125" s="25"/>
      <c r="G125" s="1"/>
      <c r="I125" s="1"/>
      <c r="J125" s="1"/>
      <c r="K125" s="1"/>
      <c r="L125" s="1"/>
      <c r="M125" s="1"/>
    </row>
    <row r="126" spans="1:13" s="2" customFormat="1" x14ac:dyDescent="0.2">
      <c r="A126" s="24"/>
      <c r="B126" s="1"/>
      <c r="C126" s="14"/>
      <c r="D126" s="25"/>
      <c r="G126" s="54"/>
      <c r="I126" s="1"/>
      <c r="J126" s="1"/>
      <c r="K126" s="1"/>
      <c r="L126" s="1"/>
      <c r="M126" s="1"/>
    </row>
    <row r="127" spans="1:13" s="2" customFormat="1" x14ac:dyDescent="0.2">
      <c r="A127" s="24"/>
      <c r="B127" s="1"/>
      <c r="C127" s="14"/>
      <c r="D127" s="25"/>
      <c r="G127" s="54"/>
      <c r="I127" s="1"/>
      <c r="J127" s="1"/>
      <c r="K127" s="1"/>
      <c r="L127" s="1"/>
      <c r="M127" s="1"/>
    </row>
    <row r="128" spans="1:13" s="2" customFormat="1" x14ac:dyDescent="0.2">
      <c r="A128" s="24"/>
      <c r="B128" s="1"/>
      <c r="C128" s="14"/>
      <c r="D128" s="25"/>
      <c r="G128" s="54"/>
      <c r="I128" s="1"/>
      <c r="J128" s="1"/>
      <c r="K128" s="1"/>
      <c r="L128" s="1"/>
      <c r="M128" s="1"/>
    </row>
    <row r="129" spans="1:14" s="2" customFormat="1" x14ac:dyDescent="0.2">
      <c r="A129" s="24"/>
      <c r="B129" s="1"/>
      <c r="C129" s="14"/>
      <c r="D129" s="25"/>
      <c r="G129" s="54"/>
      <c r="H129" s="2" t="s">
        <v>396</v>
      </c>
      <c r="I129" s="1"/>
      <c r="J129" s="1"/>
      <c r="K129" s="1"/>
      <c r="L129" s="1"/>
      <c r="M129" s="1"/>
      <c r="N129" s="1"/>
    </row>
    <row r="130" spans="1:14" s="2" customFormat="1" x14ac:dyDescent="0.2">
      <c r="A130" s="24"/>
      <c r="B130" s="1"/>
      <c r="C130" s="14"/>
      <c r="D130" s="25"/>
      <c r="G130" s="54"/>
      <c r="H130" s="53"/>
    </row>
    <row r="131" spans="1:14" s="2" customFormat="1" x14ac:dyDescent="0.2">
      <c r="A131" s="24"/>
      <c r="B131" s="1"/>
      <c r="C131" s="14"/>
      <c r="D131" s="25"/>
      <c r="G131" s="54"/>
      <c r="H131" s="53" t="s">
        <v>396</v>
      </c>
      <c r="I131" s="1"/>
      <c r="J131" s="1"/>
      <c r="K131" s="1"/>
      <c r="L131" s="1"/>
      <c r="M131" s="1"/>
      <c r="N131" s="1"/>
    </row>
    <row r="132" spans="1:14" x14ac:dyDescent="0.2">
      <c r="G132" s="54"/>
      <c r="H132" s="53" t="s">
        <v>396</v>
      </c>
      <c r="J132" s="42"/>
    </row>
    <row r="133" spans="1:14" s="2" customFormat="1" x14ac:dyDescent="0.2">
      <c r="A133" s="24"/>
      <c r="B133" s="1"/>
      <c r="C133" s="14"/>
      <c r="D133" s="25"/>
      <c r="G133" s="54"/>
      <c r="H133" s="53"/>
      <c r="I133" s="101"/>
      <c r="J133" s="1"/>
      <c r="K133" s="1"/>
      <c r="L133" s="1"/>
      <c r="M133" s="1"/>
      <c r="N133" s="1"/>
    </row>
    <row r="134" spans="1:14" x14ac:dyDescent="0.2">
      <c r="G134" s="54"/>
      <c r="H134" s="53"/>
    </row>
    <row r="135" spans="1:14" x14ac:dyDescent="0.2">
      <c r="G135" s="54"/>
      <c r="H135" s="53"/>
    </row>
    <row r="136" spans="1:14" x14ac:dyDescent="0.2">
      <c r="G136" s="54"/>
      <c r="H136" s="53"/>
    </row>
  </sheetData>
  <sheetProtection insertRows="0"/>
  <mergeCells count="6">
    <mergeCell ref="C98:F98"/>
    <mergeCell ref="A1:G1"/>
    <mergeCell ref="A3:F3"/>
    <mergeCell ref="A12:F12"/>
    <mergeCell ref="A26:F26"/>
    <mergeCell ref="A90:D90"/>
  </mergeCells>
  <conditionalFormatting sqref="G87:G88">
    <cfRule type="cellIs" dxfId="271" priority="1" operator="lessThan">
      <formula>0</formula>
    </cfRule>
  </conditionalFormatting>
  <conditionalFormatting sqref="C28">
    <cfRule type="duplicateValues" dxfId="270" priority="2"/>
  </conditionalFormatting>
  <pageMargins left="0.70866141732283472" right="0.70866141732283472" top="0.74803149606299213" bottom="0.74803149606299213" header="0.31496062992125984" footer="0.31496062992125984"/>
  <pageSetup scale="36" fitToHeight="2" orientation="portrait" r:id="rId1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B00-000000000000}">
  <sheetPr codeName="Sheet451">
    <pageSetUpPr fitToPage="1"/>
  </sheetPr>
  <dimension ref="A1:N125"/>
  <sheetViews>
    <sheetView topLeftCell="A10" zoomScaleNormal="100" workbookViewId="0">
      <selection activeCell="E44" sqref="E44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1" ht="20.25" customHeight="1" x14ac:dyDescent="0.4">
      <c r="A1" s="212" t="s">
        <v>1669</v>
      </c>
      <c r="B1" s="212"/>
      <c r="C1" s="212"/>
      <c r="D1" s="212"/>
      <c r="E1" s="212"/>
      <c r="F1" s="212"/>
      <c r="G1" s="212"/>
      <c r="H1" s="112"/>
      <c r="I1" s="112"/>
    </row>
    <row r="2" spans="1:11" ht="12.75" customHeight="1" x14ac:dyDescent="0.4">
      <c r="H2" s="112"/>
      <c r="I2" s="112"/>
    </row>
    <row r="3" spans="1:11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1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1" s="2" customFormat="1" ht="14.25" customHeight="1" x14ac:dyDescent="0.4">
      <c r="A5" s="89">
        <v>45212</v>
      </c>
      <c r="B5" s="9" t="s">
        <v>6</v>
      </c>
      <c r="C5" s="10" t="s">
        <v>7</v>
      </c>
      <c r="D5" s="11"/>
      <c r="E5" s="12">
        <v>663856.71000000183</v>
      </c>
      <c r="F5" s="12"/>
      <c r="G5" s="1"/>
      <c r="H5" s="112"/>
      <c r="I5" s="112"/>
    </row>
    <row r="6" spans="1:11" s="2" customFormat="1" ht="12.75" customHeight="1" x14ac:dyDescent="0.4">
      <c r="D6" s="15" t="s">
        <v>8</v>
      </c>
      <c r="E6" s="16">
        <f>SUM(E5:E5)</f>
        <v>663856.71000000183</v>
      </c>
      <c r="F6" s="16">
        <f>F5</f>
        <v>0</v>
      </c>
      <c r="G6" s="1"/>
      <c r="H6" s="112"/>
      <c r="I6" s="112"/>
    </row>
    <row r="7" spans="1:11" s="2" customFormat="1" ht="12.75" customHeight="1" x14ac:dyDescent="0.4">
      <c r="A7" s="17"/>
      <c r="B7" s="18"/>
      <c r="C7" s="19" t="s">
        <v>9</v>
      </c>
      <c r="D7" s="20"/>
      <c r="E7" s="21">
        <f>+E6-F6</f>
        <v>663856.71000000183</v>
      </c>
      <c r="F7" s="22"/>
      <c r="G7" s="23"/>
      <c r="H7" s="112"/>
      <c r="I7" s="112"/>
      <c r="J7" s="13"/>
    </row>
    <row r="8" spans="1:11" ht="12.75" customHeight="1" x14ac:dyDescent="0.4">
      <c r="H8" s="112"/>
      <c r="I8" s="112"/>
    </row>
    <row r="9" spans="1:11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69">
        <v>90000000</v>
      </c>
      <c r="J9" s="169" t="s">
        <v>1508</v>
      </c>
    </row>
    <row r="10" spans="1:11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69">
        <v>86541481.069999993</v>
      </c>
      <c r="J10" s="169" t="s">
        <v>1509</v>
      </c>
      <c r="K10" s="124"/>
    </row>
    <row r="11" spans="1:11" s="2" customFormat="1" ht="14.25" customHeight="1" x14ac:dyDescent="0.2">
      <c r="A11" s="89">
        <v>45212</v>
      </c>
      <c r="B11" s="9" t="s">
        <v>6</v>
      </c>
      <c r="C11" s="10" t="s">
        <v>7</v>
      </c>
      <c r="D11" s="11"/>
      <c r="F11" s="12">
        <v>86108572.139999986</v>
      </c>
      <c r="G11" s="1"/>
      <c r="H11" s="130" t="s">
        <v>396</v>
      </c>
      <c r="I11" s="169">
        <f>+I9-I10</f>
        <v>3458518.9300000072</v>
      </c>
      <c r="J11" s="169" t="s">
        <v>712</v>
      </c>
      <c r="K11" s="165" t="s">
        <v>1512</v>
      </c>
    </row>
    <row r="12" spans="1:11" s="2" customFormat="1" ht="14.25" customHeight="1" x14ac:dyDescent="0.2">
      <c r="A12" s="89">
        <v>45212</v>
      </c>
      <c r="B12" s="9" t="s">
        <v>6</v>
      </c>
      <c r="C12" s="76" t="s">
        <v>1137</v>
      </c>
      <c r="D12" s="11" t="s">
        <v>13</v>
      </c>
      <c r="E12" s="2">
        <v>7438.44</v>
      </c>
      <c r="F12" s="12"/>
      <c r="G12" s="1"/>
      <c r="H12" s="130"/>
      <c r="I12" s="169"/>
      <c r="J12" s="169"/>
      <c r="K12" s="165"/>
    </row>
    <row r="13" spans="1:11" s="2" customFormat="1" ht="14.25" customHeight="1" x14ac:dyDescent="0.2">
      <c r="A13" s="89">
        <v>45212</v>
      </c>
      <c r="B13" s="9" t="s">
        <v>11</v>
      </c>
      <c r="C13" s="76" t="s">
        <v>1137</v>
      </c>
      <c r="D13" s="11" t="s">
        <v>29</v>
      </c>
      <c r="F13" s="12">
        <v>45</v>
      </c>
      <c r="G13" s="1"/>
      <c r="H13" s="130"/>
      <c r="I13" s="171"/>
      <c r="J13" s="171"/>
      <c r="K13" s="165"/>
    </row>
    <row r="14" spans="1:11" s="2" customFormat="1" ht="14.25" customHeight="1" x14ac:dyDescent="0.2">
      <c r="A14" s="89">
        <v>45212</v>
      </c>
      <c r="B14" s="9" t="s">
        <v>11</v>
      </c>
      <c r="C14" s="76" t="s">
        <v>718</v>
      </c>
      <c r="D14" s="11" t="s">
        <v>29</v>
      </c>
      <c r="F14" s="31">
        <v>7646</v>
      </c>
      <c r="G14" s="1"/>
      <c r="H14" s="130"/>
      <c r="I14" s="171"/>
      <c r="J14" s="171"/>
      <c r="K14" s="165"/>
    </row>
    <row r="15" spans="1:11" s="2" customFormat="1" ht="14.25" customHeight="1" x14ac:dyDescent="0.2">
      <c r="A15" s="89">
        <v>45212</v>
      </c>
      <c r="B15" s="9" t="s">
        <v>11</v>
      </c>
      <c r="C15" s="76" t="s">
        <v>1670</v>
      </c>
      <c r="D15" s="11" t="s">
        <v>29</v>
      </c>
      <c r="F15" s="31">
        <v>99000</v>
      </c>
      <c r="G15" s="1"/>
      <c r="H15" s="130"/>
      <c r="I15" s="171"/>
      <c r="J15" s="171"/>
      <c r="K15" s="165"/>
    </row>
    <row r="16" spans="1:11" s="2" customFormat="1" ht="14.25" customHeight="1" x14ac:dyDescent="0.2">
      <c r="A16" s="89">
        <v>45212</v>
      </c>
      <c r="B16" s="9" t="s">
        <v>11</v>
      </c>
      <c r="C16" s="76" t="s">
        <v>1671</v>
      </c>
      <c r="D16" s="11" t="s">
        <v>29</v>
      </c>
      <c r="F16" s="31">
        <v>45900</v>
      </c>
      <c r="G16" s="1"/>
      <c r="H16" s="130"/>
      <c r="I16" s="171"/>
      <c r="J16" s="171"/>
      <c r="K16" s="165"/>
    </row>
    <row r="17" spans="1:13" s="2" customFormat="1" ht="14.25" customHeight="1" x14ac:dyDescent="0.2">
      <c r="A17" s="89">
        <v>45212</v>
      </c>
      <c r="B17" s="9" t="s">
        <v>11</v>
      </c>
      <c r="C17" s="76" t="s">
        <v>248</v>
      </c>
      <c r="D17" s="11" t="s">
        <v>29</v>
      </c>
      <c r="F17" s="31">
        <v>46183</v>
      </c>
      <c r="G17" s="1"/>
      <c r="H17" s="130"/>
      <c r="I17" s="171"/>
      <c r="J17" s="171"/>
      <c r="K17" s="165"/>
    </row>
    <row r="18" spans="1:13" s="2" customFormat="1" ht="14.25" customHeight="1" x14ac:dyDescent="0.2">
      <c r="A18" s="89">
        <v>45212</v>
      </c>
      <c r="B18" s="9" t="s">
        <v>11</v>
      </c>
      <c r="C18" s="76" t="s">
        <v>223</v>
      </c>
      <c r="D18" s="11" t="s">
        <v>29</v>
      </c>
      <c r="F18" s="31">
        <v>11142</v>
      </c>
      <c r="G18" s="1"/>
      <c r="H18" s="130"/>
      <c r="I18" s="171"/>
      <c r="J18" s="171"/>
      <c r="K18" s="165"/>
    </row>
    <row r="19" spans="1:13" s="2" customFormat="1" ht="14.25" customHeight="1" x14ac:dyDescent="0.2">
      <c r="A19" s="89">
        <v>45212</v>
      </c>
      <c r="B19" s="9" t="s">
        <v>11</v>
      </c>
      <c r="C19" s="76" t="s">
        <v>626</v>
      </c>
      <c r="D19" s="11" t="s">
        <v>29</v>
      </c>
      <c r="F19" s="31">
        <v>6679</v>
      </c>
      <c r="G19" s="1"/>
      <c r="H19" s="130"/>
      <c r="I19" s="171"/>
      <c r="J19" s="171"/>
      <c r="K19" s="165"/>
    </row>
    <row r="20" spans="1:13" s="2" customFormat="1" ht="14.25" customHeight="1" x14ac:dyDescent="0.2">
      <c r="A20" s="89">
        <v>45212</v>
      </c>
      <c r="B20" s="9" t="s">
        <v>11</v>
      </c>
      <c r="C20" s="76" t="s">
        <v>268</v>
      </c>
      <c r="D20" s="11" t="s">
        <v>29</v>
      </c>
      <c r="F20" s="31">
        <v>885</v>
      </c>
      <c r="G20" s="1"/>
      <c r="H20" s="130"/>
      <c r="I20" s="171"/>
      <c r="J20" s="171"/>
      <c r="K20" s="165"/>
    </row>
    <row r="21" spans="1:13" s="2" customFormat="1" ht="14.25" customHeight="1" x14ac:dyDescent="0.2">
      <c r="A21" s="89">
        <v>45212</v>
      </c>
      <c r="B21" s="9" t="s">
        <v>11</v>
      </c>
      <c r="C21" s="76" t="s">
        <v>52</v>
      </c>
      <c r="D21" s="11" t="s">
        <v>29</v>
      </c>
      <c r="F21" s="31">
        <v>78300</v>
      </c>
      <c r="G21" s="1"/>
      <c r="H21" s="130"/>
      <c r="I21" s="171"/>
      <c r="J21" s="171"/>
      <c r="K21" s="165"/>
    </row>
    <row r="22" spans="1:13" s="2" customFormat="1" ht="14.25" customHeight="1" x14ac:dyDescent="0.2">
      <c r="A22" s="89">
        <v>45212</v>
      </c>
      <c r="B22" s="9" t="s">
        <v>11</v>
      </c>
      <c r="C22" s="76" t="s">
        <v>52</v>
      </c>
      <c r="D22" s="11" t="s">
        <v>29</v>
      </c>
      <c r="F22" s="31">
        <v>16992</v>
      </c>
      <c r="G22" s="1"/>
      <c r="H22" s="130"/>
      <c r="I22" s="171"/>
      <c r="J22" s="171"/>
      <c r="K22" s="165"/>
    </row>
    <row r="23" spans="1:13" s="2" customFormat="1" ht="14.25" customHeight="1" x14ac:dyDescent="0.2">
      <c r="A23" s="89">
        <v>45212</v>
      </c>
      <c r="B23" s="9" t="s">
        <v>11</v>
      </c>
      <c r="C23" s="76" t="s">
        <v>268</v>
      </c>
      <c r="D23" s="11" t="s">
        <v>29</v>
      </c>
      <c r="F23" s="31">
        <v>15930</v>
      </c>
      <c r="G23" s="1"/>
      <c r="H23" s="130"/>
      <c r="I23" s="171"/>
      <c r="J23" s="171"/>
      <c r="K23" s="165"/>
    </row>
    <row r="24" spans="1:13" s="2" customFormat="1" ht="14.25" customHeight="1" x14ac:dyDescent="0.2">
      <c r="A24" s="89">
        <v>45212</v>
      </c>
      <c r="B24" s="9" t="s">
        <v>11</v>
      </c>
      <c r="C24" s="76" t="s">
        <v>352</v>
      </c>
      <c r="D24" s="11" t="s">
        <v>29</v>
      </c>
      <c r="F24" s="31">
        <v>52173</v>
      </c>
      <c r="G24" s="1"/>
      <c r="H24" s="130"/>
      <c r="I24" s="171"/>
      <c r="J24" s="171"/>
      <c r="K24" s="165"/>
    </row>
    <row r="25" spans="1:13" s="2" customFormat="1" ht="14.25" customHeight="1" x14ac:dyDescent="0.2">
      <c r="A25" s="89">
        <v>45212</v>
      </c>
      <c r="B25" s="9" t="s">
        <v>11</v>
      </c>
      <c r="C25" s="76" t="s">
        <v>774</v>
      </c>
      <c r="D25" s="11" t="s">
        <v>29</v>
      </c>
      <c r="F25" s="31">
        <v>24397.37</v>
      </c>
      <c r="G25" s="1"/>
      <c r="H25" s="130"/>
      <c r="I25" s="171"/>
      <c r="J25" s="171"/>
      <c r="K25" s="165"/>
    </row>
    <row r="26" spans="1:13" s="2" customFormat="1" ht="14.25" customHeight="1" x14ac:dyDescent="0.2">
      <c r="A26" s="89">
        <v>45212</v>
      </c>
      <c r="B26" s="9" t="s">
        <v>11</v>
      </c>
      <c r="C26" s="76" t="s">
        <v>1672</v>
      </c>
      <c r="D26" s="11" t="s">
        <v>29</v>
      </c>
      <c r="F26" s="31">
        <v>35075</v>
      </c>
      <c r="G26" s="1"/>
      <c r="H26" s="130"/>
      <c r="I26" s="171"/>
      <c r="J26" s="171"/>
      <c r="K26" s="165"/>
    </row>
    <row r="27" spans="1:13" s="2" customFormat="1" ht="14.25" customHeight="1" x14ac:dyDescent="0.2">
      <c r="D27" s="11" t="s">
        <v>8</v>
      </c>
      <c r="E27" s="16">
        <f>SUM(E11:E26)</f>
        <v>7438.44</v>
      </c>
      <c r="F27" s="16">
        <f>SUM(F11:F26)</f>
        <v>86548919.50999999</v>
      </c>
      <c r="G27" s="1"/>
      <c r="H27" s="143"/>
      <c r="I27" s="130"/>
      <c r="J27" s="143"/>
      <c r="K27" s="143"/>
      <c r="L27" s="143"/>
      <c r="M27" s="143"/>
    </row>
    <row r="28" spans="1:13" s="2" customFormat="1" ht="14.25" customHeight="1" x14ac:dyDescent="0.4">
      <c r="A28" s="17"/>
      <c r="B28" s="18"/>
      <c r="C28" s="96" t="s">
        <v>9</v>
      </c>
      <c r="D28" s="20"/>
      <c r="E28" s="21">
        <f>+F27-E27</f>
        <v>86541481.069999993</v>
      </c>
      <c r="G28" s="1"/>
      <c r="I28" s="112"/>
      <c r="J28" s="153" t="s">
        <v>779</v>
      </c>
    </row>
    <row r="29" spans="1:13" s="2" customFormat="1" ht="14.25" customHeight="1" x14ac:dyDescent="0.2">
      <c r="A29" s="36"/>
      <c r="B29" s="28" t="s">
        <v>66</v>
      </c>
      <c r="C29" s="43" t="s">
        <v>1458</v>
      </c>
      <c r="D29" s="43"/>
      <c r="E29" s="12">
        <v>30000000</v>
      </c>
      <c r="F29" s="22"/>
      <c r="G29" s="1"/>
      <c r="I29" s="40">
        <v>86541481.069999993</v>
      </c>
      <c r="J29" s="154">
        <f>I29-E28</f>
        <v>0</v>
      </c>
    </row>
    <row r="30" spans="1:13" s="2" customFormat="1" ht="14.25" customHeight="1" x14ac:dyDescent="0.25">
      <c r="A30" s="36"/>
      <c r="B30" s="28"/>
      <c r="C30" s="44" t="s">
        <v>1541</v>
      </c>
      <c r="D30" s="43"/>
      <c r="E30" s="7">
        <f>+E28+E29</f>
        <v>116541481.06999999</v>
      </c>
      <c r="F30" s="22"/>
      <c r="G30" s="1"/>
      <c r="H30" s="13" t="s">
        <v>1582</v>
      </c>
      <c r="I30" s="13" t="s">
        <v>1583</v>
      </c>
    </row>
    <row r="31" spans="1:13" s="2" customFormat="1" ht="14.25" customHeight="1" x14ac:dyDescent="0.25">
      <c r="A31" s="36"/>
      <c r="B31" s="28"/>
      <c r="C31" s="44" t="s">
        <v>1511</v>
      </c>
      <c r="D31" s="43"/>
      <c r="E31" s="38">
        <f>+I11</f>
        <v>3458518.9300000072</v>
      </c>
      <c r="F31" s="22"/>
      <c r="G31" s="1"/>
      <c r="H31" s="2">
        <v>4479276.58</v>
      </c>
      <c r="I31" s="2">
        <v>3627334</v>
      </c>
      <c r="J31" s="176">
        <f>H31-I31</f>
        <v>851942.58000000007</v>
      </c>
    </row>
    <row r="32" spans="1:13" s="2" customFormat="1" ht="14.25" customHeight="1" x14ac:dyDescent="0.2">
      <c r="A32" s="24"/>
      <c r="B32" s="1"/>
      <c r="C32" s="14"/>
      <c r="D32" s="25"/>
      <c r="G32" s="1"/>
      <c r="I32" s="130"/>
      <c r="J32" s="130"/>
    </row>
    <row r="33" spans="1:14" s="2" customFormat="1" x14ac:dyDescent="0.2">
      <c r="A33" s="214" t="s">
        <v>10</v>
      </c>
      <c r="B33" s="214"/>
      <c r="C33" s="214"/>
      <c r="D33" s="214"/>
      <c r="E33" s="214"/>
      <c r="F33" s="214"/>
      <c r="G33" s="1"/>
      <c r="H33" s="159"/>
      <c r="I33" s="160">
        <f>225000000-75000000-50000000</f>
        <v>100000000</v>
      </c>
      <c r="J33" s="160" t="s">
        <v>1506</v>
      </c>
      <c r="K33" s="70"/>
    </row>
    <row r="34" spans="1:14" s="2" customFormat="1" x14ac:dyDescent="0.2">
      <c r="A34" s="26" t="s">
        <v>1</v>
      </c>
      <c r="B34" s="27" t="s">
        <v>2</v>
      </c>
      <c r="C34" s="5"/>
      <c r="D34" s="6" t="s">
        <v>3</v>
      </c>
      <c r="E34" s="7" t="s">
        <v>4</v>
      </c>
      <c r="F34" s="7" t="s">
        <v>5</v>
      </c>
      <c r="G34" s="1"/>
      <c r="H34" s="159"/>
      <c r="I34" s="160">
        <v>83069768.079999998</v>
      </c>
      <c r="J34" s="160" t="s">
        <v>1507</v>
      </c>
      <c r="K34" s="70" t="s">
        <v>1512</v>
      </c>
    </row>
    <row r="35" spans="1:14" s="2" customFormat="1" x14ac:dyDescent="0.2">
      <c r="A35" s="89">
        <v>45212</v>
      </c>
      <c r="B35" s="128" t="s">
        <v>11</v>
      </c>
      <c r="C35" s="29" t="s">
        <v>7</v>
      </c>
      <c r="D35" s="25"/>
      <c r="E35" s="31"/>
      <c r="F35" s="2">
        <v>80750476.5200001</v>
      </c>
      <c r="G35" s="23"/>
      <c r="H35" s="159" t="s">
        <v>1505</v>
      </c>
      <c r="I35" s="160">
        <f>+I33-I34</f>
        <v>16930231.920000002</v>
      </c>
      <c r="J35" s="160"/>
      <c r="K35" s="70"/>
    </row>
    <row r="36" spans="1:14" s="2" customFormat="1" x14ac:dyDescent="0.2">
      <c r="A36" s="89">
        <v>45212</v>
      </c>
      <c r="B36" s="128" t="s">
        <v>6</v>
      </c>
      <c r="C36" s="10" t="s">
        <v>435</v>
      </c>
      <c r="D36" s="11" t="s">
        <v>13</v>
      </c>
      <c r="E36" s="86">
        <v>502417</v>
      </c>
      <c r="F36" s="70"/>
      <c r="G36" s="1"/>
      <c r="N36" s="1"/>
    </row>
    <row r="37" spans="1:14" s="2" customFormat="1" x14ac:dyDescent="0.2">
      <c r="A37" s="89">
        <v>45212</v>
      </c>
      <c r="B37" s="128" t="s">
        <v>6</v>
      </c>
      <c r="C37" s="10" t="s">
        <v>1396</v>
      </c>
      <c r="D37" s="11" t="s">
        <v>13</v>
      </c>
      <c r="E37" s="86">
        <v>1489449</v>
      </c>
      <c r="F37" s="70"/>
      <c r="G37" s="1"/>
      <c r="N37" s="1"/>
    </row>
    <row r="38" spans="1:14" s="2" customFormat="1" x14ac:dyDescent="0.2">
      <c r="A38" s="89">
        <v>45212</v>
      </c>
      <c r="B38" s="128" t="s">
        <v>6</v>
      </c>
      <c r="C38" s="10" t="s">
        <v>421</v>
      </c>
      <c r="D38" s="11" t="s">
        <v>13</v>
      </c>
      <c r="E38" s="86">
        <v>400000</v>
      </c>
      <c r="F38" s="70"/>
      <c r="G38" s="1"/>
      <c r="N38" s="1"/>
    </row>
    <row r="39" spans="1:14" s="2" customFormat="1" x14ac:dyDescent="0.2">
      <c r="A39" s="89">
        <v>45212</v>
      </c>
      <c r="B39" s="128" t="s">
        <v>6</v>
      </c>
      <c r="C39" s="10" t="s">
        <v>332</v>
      </c>
      <c r="D39" s="11" t="s">
        <v>13</v>
      </c>
      <c r="E39" s="86">
        <v>77414</v>
      </c>
      <c r="F39" s="70"/>
      <c r="G39" s="1"/>
      <c r="N39" s="1"/>
    </row>
    <row r="40" spans="1:14" s="2" customFormat="1" x14ac:dyDescent="0.2">
      <c r="A40" s="89">
        <v>45212</v>
      </c>
      <c r="B40" s="128" t="s">
        <v>6</v>
      </c>
      <c r="C40" s="10" t="s">
        <v>105</v>
      </c>
      <c r="D40" s="11" t="s">
        <v>13</v>
      </c>
      <c r="E40" s="86">
        <v>18357</v>
      </c>
      <c r="F40" s="70"/>
      <c r="G40" s="1"/>
      <c r="N40" s="1"/>
    </row>
    <row r="41" spans="1:14" s="2" customFormat="1" x14ac:dyDescent="0.2">
      <c r="A41" s="89">
        <v>45212</v>
      </c>
      <c r="B41" s="128" t="s">
        <v>6</v>
      </c>
      <c r="C41" s="10" t="s">
        <v>683</v>
      </c>
      <c r="D41" s="11" t="s">
        <v>13</v>
      </c>
      <c r="E41" s="86">
        <v>5329</v>
      </c>
      <c r="F41" s="70"/>
      <c r="G41" s="1"/>
      <c r="N41" s="1"/>
    </row>
    <row r="42" spans="1:14" s="2" customFormat="1" x14ac:dyDescent="0.2">
      <c r="A42" s="89">
        <v>45212</v>
      </c>
      <c r="B42" s="128" t="s">
        <v>6</v>
      </c>
      <c r="C42" s="10" t="s">
        <v>15</v>
      </c>
      <c r="D42" s="11" t="s">
        <v>13</v>
      </c>
      <c r="E42" s="86">
        <v>8943.0499999999993</v>
      </c>
      <c r="F42" s="70"/>
      <c r="G42" s="1"/>
      <c r="N42" s="1"/>
    </row>
    <row r="43" spans="1:14" s="2" customFormat="1" x14ac:dyDescent="0.2">
      <c r="A43" s="89">
        <v>45212</v>
      </c>
      <c r="B43" s="128" t="s">
        <v>6</v>
      </c>
      <c r="C43" s="10" t="s">
        <v>607</v>
      </c>
      <c r="D43" s="11" t="s">
        <v>13</v>
      </c>
      <c r="E43" s="86">
        <v>5051</v>
      </c>
      <c r="F43" s="70"/>
      <c r="G43" s="1"/>
      <c r="N43" s="1"/>
    </row>
    <row r="44" spans="1:14" s="2" customFormat="1" x14ac:dyDescent="0.2">
      <c r="A44" s="89">
        <v>45212</v>
      </c>
      <c r="B44" s="128" t="s">
        <v>6</v>
      </c>
      <c r="C44" s="10" t="s">
        <v>27</v>
      </c>
      <c r="D44" s="11" t="s">
        <v>13</v>
      </c>
      <c r="E44" s="86">
        <v>254536.7</v>
      </c>
      <c r="F44" s="70"/>
      <c r="G44" s="1"/>
      <c r="N44" s="1"/>
    </row>
    <row r="45" spans="1:14" s="2" customFormat="1" x14ac:dyDescent="0.2">
      <c r="A45" s="89">
        <v>45212</v>
      </c>
      <c r="B45" s="128" t="s">
        <v>11</v>
      </c>
      <c r="C45" s="10" t="s">
        <v>1265</v>
      </c>
      <c r="D45" s="11" t="s">
        <v>499</v>
      </c>
      <c r="E45" s="86"/>
      <c r="F45" s="70">
        <v>1260</v>
      </c>
      <c r="G45" s="1"/>
      <c r="N45" s="1"/>
    </row>
    <row r="46" spans="1:14" s="2" customFormat="1" x14ac:dyDescent="0.2">
      <c r="A46" s="89">
        <v>45212</v>
      </c>
      <c r="B46" s="128" t="s">
        <v>11</v>
      </c>
      <c r="C46" s="10" t="s">
        <v>64</v>
      </c>
      <c r="D46" s="11" t="s">
        <v>29</v>
      </c>
      <c r="E46" s="86"/>
      <c r="F46" s="70">
        <v>9606.98</v>
      </c>
      <c r="G46" s="1"/>
      <c r="N46" s="1"/>
    </row>
    <row r="47" spans="1:14" s="2" customFormat="1" x14ac:dyDescent="0.2">
      <c r="A47" s="89">
        <v>45212</v>
      </c>
      <c r="B47" s="128" t="s">
        <v>11</v>
      </c>
      <c r="C47" s="10" t="s">
        <v>156</v>
      </c>
      <c r="D47" s="11" t="s">
        <v>29</v>
      </c>
      <c r="E47" s="86"/>
      <c r="F47" s="70">
        <v>1542.23</v>
      </c>
      <c r="G47" s="1"/>
      <c r="N47" s="1"/>
    </row>
    <row r="48" spans="1:14" s="2" customFormat="1" x14ac:dyDescent="0.2">
      <c r="A48" s="89">
        <v>45212</v>
      </c>
      <c r="B48" s="128" t="s">
        <v>11</v>
      </c>
      <c r="C48" s="10" t="s">
        <v>449</v>
      </c>
      <c r="D48" s="11" t="s">
        <v>29</v>
      </c>
      <c r="E48" s="86"/>
      <c r="F48" s="70">
        <v>42054.35</v>
      </c>
      <c r="G48" s="1"/>
      <c r="N48" s="1"/>
    </row>
    <row r="49" spans="1:14" s="2" customFormat="1" x14ac:dyDescent="0.2">
      <c r="A49" s="89">
        <v>45212</v>
      </c>
      <c r="B49" s="128" t="s">
        <v>11</v>
      </c>
      <c r="C49" s="10" t="s">
        <v>1450</v>
      </c>
      <c r="D49" s="11" t="s">
        <v>29</v>
      </c>
      <c r="E49" s="86"/>
      <c r="F49" s="70">
        <v>639854.96</v>
      </c>
      <c r="G49" s="1"/>
      <c r="N49" s="1"/>
    </row>
    <row r="50" spans="1:14" s="2" customFormat="1" x14ac:dyDescent="0.2">
      <c r="A50" s="89">
        <v>45212</v>
      </c>
      <c r="B50" s="128" t="s">
        <v>11</v>
      </c>
      <c r="C50" s="10" t="s">
        <v>1673</v>
      </c>
      <c r="D50" s="11" t="s">
        <v>29</v>
      </c>
      <c r="E50" s="86"/>
      <c r="F50" s="70">
        <v>789619.8</v>
      </c>
      <c r="G50" s="1"/>
      <c r="N50" s="1"/>
    </row>
    <row r="51" spans="1:14" s="2" customFormat="1" x14ac:dyDescent="0.2">
      <c r="A51" s="89">
        <v>45212</v>
      </c>
      <c r="B51" s="128" t="s">
        <v>11</v>
      </c>
      <c r="C51" s="10" t="s">
        <v>1403</v>
      </c>
      <c r="D51" s="11" t="s">
        <v>29</v>
      </c>
      <c r="E51" s="86"/>
      <c r="F51" s="70">
        <v>2528364</v>
      </c>
      <c r="G51" s="1"/>
      <c r="N51" s="1"/>
    </row>
    <row r="52" spans="1:14" s="2" customFormat="1" x14ac:dyDescent="0.2">
      <c r="A52" s="89">
        <v>45212</v>
      </c>
      <c r="B52" s="128" t="s">
        <v>11</v>
      </c>
      <c r="C52" s="10" t="s">
        <v>1597</v>
      </c>
      <c r="D52" s="11" t="s">
        <v>29</v>
      </c>
      <c r="E52" s="86"/>
      <c r="F52" s="70">
        <v>216543.41</v>
      </c>
      <c r="G52" s="1"/>
      <c r="N52" s="1"/>
    </row>
    <row r="53" spans="1:14" s="2" customFormat="1" x14ac:dyDescent="0.2">
      <c r="A53" s="32"/>
      <c r="B53" s="33"/>
      <c r="C53" s="14"/>
      <c r="D53" s="34"/>
      <c r="E53" s="16">
        <f>SUM(E35:E52)</f>
        <v>2761496.75</v>
      </c>
      <c r="F53" s="16">
        <f>SUM(F35:F52)</f>
        <v>84979322.250000089</v>
      </c>
      <c r="G53" s="1"/>
      <c r="H53" s="1"/>
      <c r="I53" s="38">
        <v>82217825.5</v>
      </c>
      <c r="J53" s="2" t="s">
        <v>396</v>
      </c>
      <c r="K53" s="92">
        <f>E54-I53</f>
        <v>0</v>
      </c>
      <c r="N53" s="1"/>
    </row>
    <row r="54" spans="1:14" s="2" customFormat="1" x14ac:dyDescent="0.2">
      <c r="A54" s="36"/>
      <c r="B54" s="28" t="s">
        <v>11</v>
      </c>
      <c r="C54" s="19" t="s">
        <v>65</v>
      </c>
      <c r="D54" s="37"/>
      <c r="E54" s="38">
        <f>F53-E53</f>
        <v>82217825.500000089</v>
      </c>
      <c r="F54" s="22"/>
      <c r="G54" s="1"/>
      <c r="H54" s="1"/>
      <c r="I54" s="70"/>
      <c r="J54" s="70"/>
      <c r="K54" s="70"/>
      <c r="N54" s="1"/>
    </row>
    <row r="55" spans="1:14" s="2" customFormat="1" x14ac:dyDescent="0.2">
      <c r="A55" s="36"/>
      <c r="B55" s="28" t="s">
        <v>66</v>
      </c>
      <c r="C55" s="19" t="s">
        <v>67</v>
      </c>
      <c r="D55" s="37"/>
      <c r="E55" s="38">
        <v>6500000</v>
      </c>
      <c r="F55" s="22"/>
      <c r="G55" s="1"/>
      <c r="H55" s="70"/>
      <c r="I55" s="70"/>
      <c r="J55" s="70"/>
      <c r="K55" s="70"/>
      <c r="N55" s="1"/>
    </row>
    <row r="56" spans="1:14" s="2" customFormat="1" x14ac:dyDescent="0.2">
      <c r="A56" s="36"/>
      <c r="B56" s="28" t="s">
        <v>66</v>
      </c>
      <c r="C56" s="43" t="s">
        <v>1457</v>
      </c>
      <c r="D56" s="43"/>
      <c r="E56" s="12">
        <f>275000000+75000000+50000000</f>
        <v>400000000</v>
      </c>
      <c r="F56" s="22"/>
      <c r="G56" s="1"/>
      <c r="H56" s="70"/>
      <c r="I56" s="45">
        <v>1134.78</v>
      </c>
      <c r="J56" s="46"/>
      <c r="K56" s="46"/>
      <c r="N56" s="1"/>
    </row>
    <row r="57" spans="1:14" s="2" customFormat="1" ht="15" x14ac:dyDescent="0.25">
      <c r="A57" s="36"/>
      <c r="B57" s="28"/>
      <c r="C57" s="44" t="s">
        <v>1541</v>
      </c>
      <c r="D57" s="43"/>
      <c r="E57" s="7">
        <f>+E56+E54+E55</f>
        <v>488717825.50000012</v>
      </c>
      <c r="F57" s="22"/>
      <c r="G57" s="1"/>
      <c r="H57" s="103" t="s">
        <v>69</v>
      </c>
      <c r="I57" s="45">
        <v>-170.83</v>
      </c>
      <c r="J57" s="46"/>
      <c r="K57" s="46"/>
      <c r="N57" s="1"/>
    </row>
    <row r="58" spans="1:14" s="2" customFormat="1" ht="15" x14ac:dyDescent="0.25">
      <c r="A58" s="24"/>
      <c r="B58" s="1"/>
      <c r="C58" s="44" t="s">
        <v>1510</v>
      </c>
      <c r="D58" s="25"/>
      <c r="E58" s="156">
        <f>+I35-E55+H31-I31</f>
        <v>11282174.500000002</v>
      </c>
      <c r="G58" s="1"/>
      <c r="H58" s="35" t="s">
        <v>70</v>
      </c>
      <c r="I58" s="45">
        <v>36.590000000000003</v>
      </c>
      <c r="J58" s="46">
        <f>+I59-D61</f>
        <v>0</v>
      </c>
      <c r="N58" s="1"/>
    </row>
    <row r="59" spans="1:14" s="124" customFormat="1" ht="12.75" customHeight="1" x14ac:dyDescent="0.2">
      <c r="A59" s="24"/>
      <c r="B59" s="1"/>
      <c r="C59" s="56"/>
      <c r="D59" s="56"/>
      <c r="E59" s="104"/>
      <c r="F59" s="2"/>
      <c r="G59" s="166"/>
      <c r="H59" s="70"/>
      <c r="I59" s="49">
        <f>SUM(I56:I58)</f>
        <v>1000.54</v>
      </c>
      <c r="J59" s="46"/>
      <c r="K59" s="46"/>
    </row>
    <row r="60" spans="1:14" s="124" customFormat="1" ht="12.75" customHeight="1" x14ac:dyDescent="0.2">
      <c r="A60" s="24"/>
      <c r="B60" s="1"/>
      <c r="C60" s="78" t="s">
        <v>575</v>
      </c>
      <c r="D60" s="48" t="s">
        <v>576</v>
      </c>
      <c r="E60" s="104"/>
      <c r="F60" s="2"/>
      <c r="G60" s="168"/>
      <c r="H60" s="167"/>
      <c r="I60" s="167"/>
      <c r="J60" s="168"/>
    </row>
    <row r="61" spans="1:14" s="124" customFormat="1" ht="12.75" customHeight="1" x14ac:dyDescent="0.2">
      <c r="A61" s="24"/>
      <c r="B61" s="1"/>
      <c r="C61" s="47" t="s">
        <v>570</v>
      </c>
      <c r="D61" s="111">
        <v>1000.54</v>
      </c>
      <c r="E61" s="104"/>
      <c r="F61" s="2"/>
      <c r="G61" s="168"/>
      <c r="H61" s="110" t="s">
        <v>581</v>
      </c>
      <c r="I61" s="167"/>
      <c r="J61" s="168"/>
    </row>
    <row r="62" spans="1:14" s="124" customFormat="1" ht="12.75" customHeight="1" x14ac:dyDescent="0.2">
      <c r="A62" s="24"/>
      <c r="B62" s="1"/>
      <c r="C62" s="47" t="s">
        <v>931</v>
      </c>
      <c r="D62" s="111">
        <v>161.19999999999999</v>
      </c>
      <c r="E62" s="104"/>
      <c r="F62" s="2"/>
      <c r="G62" s="168"/>
      <c r="H62" s="110" t="s">
        <v>580</v>
      </c>
      <c r="I62" s="167"/>
      <c r="J62" s="168"/>
    </row>
    <row r="63" spans="1:14" s="124" customFormat="1" ht="12.75" customHeight="1" x14ac:dyDescent="0.2">
      <c r="A63" s="24"/>
      <c r="B63" s="1"/>
      <c r="C63" s="47" t="s">
        <v>572</v>
      </c>
      <c r="D63" s="111">
        <f>+D85/100000</f>
        <v>59.671236299999997</v>
      </c>
      <c r="E63" s="104"/>
      <c r="F63" s="2"/>
      <c r="G63" s="166"/>
      <c r="H63" s="90" t="s">
        <v>587</v>
      </c>
      <c r="I63" s="167"/>
      <c r="J63" s="168"/>
    </row>
    <row r="64" spans="1:14" s="2" customFormat="1" x14ac:dyDescent="0.2">
      <c r="A64" s="24"/>
      <c r="B64" s="1"/>
      <c r="C64" s="108" t="s">
        <v>578</v>
      </c>
      <c r="D64" s="48">
        <f>SUM(D61:D63)</f>
        <v>1221.4112362999999</v>
      </c>
      <c r="E64" s="104"/>
      <c r="G64" s="30"/>
      <c r="I64" s="13"/>
      <c r="J64" s="13"/>
    </row>
    <row r="65" spans="1:14" s="70" customFormat="1" x14ac:dyDescent="0.2">
      <c r="A65" s="24"/>
      <c r="B65" s="1"/>
      <c r="C65" s="47"/>
      <c r="D65" s="107"/>
      <c r="E65" s="104"/>
      <c r="F65" s="2"/>
      <c r="G65" s="30"/>
      <c r="H65" s="2"/>
    </row>
    <row r="66" spans="1:14" s="70" customFormat="1" x14ac:dyDescent="0.2">
      <c r="A66" s="24"/>
      <c r="B66" s="1"/>
      <c r="C66" s="47" t="s">
        <v>932</v>
      </c>
      <c r="D66" s="111">
        <v>71.790000000000006</v>
      </c>
      <c r="E66" s="104"/>
      <c r="F66" s="2"/>
      <c r="G66" s="30"/>
      <c r="H66" s="110" t="s">
        <v>581</v>
      </c>
    </row>
    <row r="67" spans="1:14" s="70" customFormat="1" x14ac:dyDescent="0.2">
      <c r="A67" s="24"/>
      <c r="B67" s="1"/>
      <c r="C67" s="136" t="s">
        <v>1142</v>
      </c>
      <c r="D67" s="111">
        <v>316.70999999999998</v>
      </c>
      <c r="E67" s="104"/>
      <c r="F67" s="2"/>
      <c r="G67" s="30"/>
      <c r="H67" s="110" t="s">
        <v>581</v>
      </c>
    </row>
    <row r="68" spans="1:14" s="70" customFormat="1" x14ac:dyDescent="0.2">
      <c r="A68" s="24"/>
      <c r="B68" s="1"/>
      <c r="C68" s="78" t="s">
        <v>579</v>
      </c>
      <c r="D68" s="109">
        <f>D66+D67</f>
        <v>388.5</v>
      </c>
      <c r="E68" s="104"/>
      <c r="F68" s="2"/>
      <c r="G68" s="30"/>
    </row>
    <row r="69" spans="1:14" s="70" customFormat="1" x14ac:dyDescent="0.2">
      <c r="A69" s="24"/>
      <c r="B69" s="1"/>
      <c r="C69" s="105"/>
      <c r="D69" s="106"/>
      <c r="E69" s="104"/>
      <c r="F69" s="2"/>
      <c r="G69" s="30"/>
      <c r="I69" s="2"/>
      <c r="J69" s="114" t="s">
        <v>713</v>
      </c>
      <c r="K69" s="2"/>
      <c r="L69" s="2"/>
      <c r="M69" s="2"/>
    </row>
    <row r="70" spans="1:14" s="70" customFormat="1" x14ac:dyDescent="0.2">
      <c r="A70" s="24"/>
      <c r="B70" s="1"/>
      <c r="C70" s="78" t="s">
        <v>577</v>
      </c>
      <c r="D70" s="109">
        <f>D61+D68</f>
        <v>1389.04</v>
      </c>
      <c r="E70" s="104"/>
      <c r="F70" s="2"/>
      <c r="G70" s="30"/>
      <c r="I70" s="113"/>
      <c r="J70" s="113" t="s">
        <v>709</v>
      </c>
      <c r="K70" s="113" t="s">
        <v>710</v>
      </c>
      <c r="L70" s="113" t="s">
        <v>711</v>
      </c>
      <c r="M70" s="113" t="s">
        <v>712</v>
      </c>
    </row>
    <row r="71" spans="1:14" s="70" customFormat="1" x14ac:dyDescent="0.2">
      <c r="A71" s="24"/>
      <c r="B71" s="1"/>
      <c r="C71" s="56"/>
      <c r="D71" s="56"/>
      <c r="E71" s="104"/>
      <c r="F71" s="2"/>
      <c r="G71" s="30"/>
      <c r="I71" s="113" t="s">
        <v>706</v>
      </c>
      <c r="J71" s="115"/>
      <c r="K71" s="115">
        <v>968.99</v>
      </c>
      <c r="L71" s="115">
        <v>968.99</v>
      </c>
      <c r="M71" s="113">
        <f>+J71+L71-K71</f>
        <v>0</v>
      </c>
    </row>
    <row r="72" spans="1:14" s="70" customFormat="1" ht="38.25" x14ac:dyDescent="0.2">
      <c r="A72" s="24"/>
      <c r="B72" s="1"/>
      <c r="C72" s="79" t="str">
        <f>"Particulars ( 01-04-2021 to "&amp;TEXT(A5,"dd-mm-yyyy")&amp;" )"</f>
        <v>Particulars ( 01-04-2021 to 13-10-2023 )</v>
      </c>
      <c r="D72" s="80" t="s">
        <v>73</v>
      </c>
      <c r="E72" s="80" t="s">
        <v>74</v>
      </c>
      <c r="F72" s="81" t="s">
        <v>75</v>
      </c>
      <c r="G72" s="80" t="s">
        <v>76</v>
      </c>
      <c r="I72" s="113" t="s">
        <v>707</v>
      </c>
      <c r="J72" s="115">
        <v>183.1</v>
      </c>
      <c r="K72" s="115">
        <v>3788.51</v>
      </c>
      <c r="L72" s="115">
        <v>4030.88</v>
      </c>
      <c r="M72" s="113">
        <f>+J72+L72-K72</f>
        <v>425.47000000000025</v>
      </c>
    </row>
    <row r="73" spans="1:14" s="70" customFormat="1" x14ac:dyDescent="0.2">
      <c r="A73" s="24"/>
      <c r="B73" s="1"/>
      <c r="C73" s="50" t="s">
        <v>444</v>
      </c>
      <c r="D73" s="55">
        <f>+L71+L72+J72</f>
        <v>5182.97</v>
      </c>
      <c r="E73" s="55">
        <f>+K71+K72</f>
        <v>4757.5</v>
      </c>
      <c r="F73" s="55">
        <f>+D73-E73</f>
        <v>425.47000000000025</v>
      </c>
      <c r="G73" s="55">
        <f>1500-F73</f>
        <v>1074.5299999999997</v>
      </c>
      <c r="I73" s="113" t="s">
        <v>708</v>
      </c>
      <c r="J73" s="115">
        <v>1371.02</v>
      </c>
      <c r="K73" s="115">
        <v>14499.94</v>
      </c>
      <c r="L73" s="115">
        <v>14109.03</v>
      </c>
      <c r="M73" s="113">
        <f>+J73+L73-K73</f>
        <v>980.11000000000058</v>
      </c>
    </row>
    <row r="74" spans="1:14" s="70" customFormat="1" ht="12.75" customHeight="1" x14ac:dyDescent="0.2">
      <c r="A74" s="24"/>
      <c r="B74" s="1"/>
      <c r="C74" s="50" t="s">
        <v>71</v>
      </c>
      <c r="D74" s="55">
        <f>+J73+L73</f>
        <v>15480.050000000001</v>
      </c>
      <c r="E74" s="55">
        <f>+K73</f>
        <v>14499.94</v>
      </c>
      <c r="F74" s="55">
        <f>+D74-E74</f>
        <v>980.11000000000058</v>
      </c>
      <c r="G74" s="55">
        <f>1500+700-F74</f>
        <v>1219.8899999999994</v>
      </c>
      <c r="I74" s="2"/>
      <c r="J74" s="118">
        <f>SUM(J71:J73)</f>
        <v>1554.12</v>
      </c>
      <c r="K74" s="118">
        <f>SUM(K71:K73)</f>
        <v>19257.440000000002</v>
      </c>
      <c r="L74" s="118">
        <f>SUM(L71:L73)</f>
        <v>19108.900000000001</v>
      </c>
      <c r="M74" s="118">
        <f>SUM(M71:M73)</f>
        <v>1405.5800000000008</v>
      </c>
    </row>
    <row r="75" spans="1:14" s="70" customFormat="1" ht="12.75" customHeight="1" x14ac:dyDescent="0.2">
      <c r="A75" s="24"/>
      <c r="B75" s="1"/>
      <c r="C75" s="14"/>
      <c r="D75" s="56"/>
      <c r="E75" s="13"/>
      <c r="F75" s="2"/>
      <c r="G75" s="30"/>
    </row>
    <row r="76" spans="1:14" s="70" customFormat="1" ht="12.75" customHeight="1" x14ac:dyDescent="0.2">
      <c r="A76" s="215" t="s">
        <v>80</v>
      </c>
      <c r="B76" s="216"/>
      <c r="C76" s="216"/>
      <c r="D76" s="217"/>
      <c r="E76" s="69"/>
      <c r="G76" s="30"/>
    </row>
    <row r="77" spans="1:14" s="70" customFormat="1" ht="12.75" customHeight="1" x14ac:dyDescent="0.2">
      <c r="A77" s="71" t="s">
        <v>81</v>
      </c>
      <c r="B77" s="71"/>
      <c r="C77" s="72" t="s">
        <v>82</v>
      </c>
      <c r="D77" s="73" t="s">
        <v>83</v>
      </c>
      <c r="E77" s="69"/>
      <c r="G77" s="30"/>
    </row>
    <row r="78" spans="1:14" s="70" customFormat="1" ht="12.75" customHeight="1" x14ac:dyDescent="0.2">
      <c r="A78" s="87">
        <v>45203</v>
      </c>
      <c r="B78" s="120" t="s">
        <v>1052</v>
      </c>
      <c r="C78" s="75" t="s">
        <v>18</v>
      </c>
      <c r="D78" s="88">
        <v>193358.43</v>
      </c>
      <c r="E78" s="2"/>
      <c r="F78" s="2"/>
      <c r="G78" s="30"/>
      <c r="H78" s="2"/>
      <c r="I78" s="2"/>
      <c r="J78" s="2"/>
      <c r="K78" s="2"/>
      <c r="L78" s="41"/>
      <c r="M78" s="42"/>
      <c r="N78" s="2"/>
    </row>
    <row r="79" spans="1:14" s="70" customFormat="1" ht="12.75" customHeight="1" x14ac:dyDescent="0.2">
      <c r="A79" s="87">
        <v>45203</v>
      </c>
      <c r="B79" s="120" t="s">
        <v>1052</v>
      </c>
      <c r="C79" s="75" t="s">
        <v>270</v>
      </c>
      <c r="D79" s="88">
        <v>254277</v>
      </c>
      <c r="E79" s="2"/>
      <c r="F79" s="2"/>
      <c r="G79" s="30"/>
      <c r="H79" s="2"/>
      <c r="I79" s="2"/>
      <c r="J79" s="2"/>
      <c r="K79" s="2"/>
      <c r="L79" s="41"/>
      <c r="M79" s="42"/>
      <c r="N79" s="2"/>
    </row>
    <row r="80" spans="1:14" s="70" customFormat="1" ht="12.75" customHeight="1" x14ac:dyDescent="0.2">
      <c r="A80" s="87">
        <v>45204</v>
      </c>
      <c r="B80" s="120" t="s">
        <v>1052</v>
      </c>
      <c r="C80" s="75" t="s">
        <v>85</v>
      </c>
      <c r="D80" s="88">
        <v>765297</v>
      </c>
      <c r="E80" s="2"/>
      <c r="F80" s="2"/>
      <c r="G80" s="30"/>
      <c r="H80" s="2"/>
      <c r="I80" s="2"/>
      <c r="J80" s="2"/>
      <c r="K80" s="2"/>
      <c r="L80" s="41"/>
      <c r="M80" s="42"/>
      <c r="N80" s="2"/>
    </row>
    <row r="81" spans="1:14" s="70" customFormat="1" ht="12.75" customHeight="1" x14ac:dyDescent="0.2">
      <c r="A81" s="87">
        <v>45209</v>
      </c>
      <c r="B81" s="120" t="s">
        <v>1052</v>
      </c>
      <c r="C81" s="75" t="s">
        <v>606</v>
      </c>
      <c r="D81" s="88">
        <v>2261658</v>
      </c>
      <c r="E81" s="2"/>
      <c r="F81" s="2"/>
      <c r="G81" s="30"/>
      <c r="H81" s="2"/>
      <c r="I81" s="2"/>
      <c r="J81" s="2"/>
      <c r="K81" s="2"/>
      <c r="L81" s="41"/>
      <c r="M81" s="42"/>
      <c r="N81" s="2"/>
    </row>
    <row r="82" spans="1:14" s="70" customFormat="1" ht="12.75" customHeight="1" x14ac:dyDescent="0.2">
      <c r="A82" s="87">
        <v>45211</v>
      </c>
      <c r="B82" s="120" t="s">
        <v>1052</v>
      </c>
      <c r="C82" s="75" t="s">
        <v>18</v>
      </c>
      <c r="D82" s="88">
        <v>35919</v>
      </c>
      <c r="E82" s="2"/>
      <c r="F82" s="2"/>
      <c r="G82" s="30"/>
      <c r="H82" s="2"/>
      <c r="I82" s="2"/>
      <c r="J82" s="2"/>
      <c r="K82" s="2"/>
      <c r="L82" s="41"/>
      <c r="M82" s="42"/>
      <c r="N82" s="2"/>
    </row>
    <row r="83" spans="1:14" s="70" customFormat="1" ht="12.75" customHeight="1" x14ac:dyDescent="0.2">
      <c r="A83" s="87">
        <v>45211</v>
      </c>
      <c r="B83" s="120" t="s">
        <v>1052</v>
      </c>
      <c r="C83" s="75" t="s">
        <v>84</v>
      </c>
      <c r="D83" s="88">
        <v>856347</v>
      </c>
      <c r="E83" s="2"/>
      <c r="F83" s="2"/>
      <c r="G83" s="30"/>
      <c r="H83" s="2"/>
      <c r="I83" s="2"/>
      <c r="J83" s="2"/>
      <c r="K83" s="2"/>
      <c r="L83" s="41"/>
      <c r="M83" s="42"/>
      <c r="N83" s="2"/>
    </row>
    <row r="84" spans="1:14" s="70" customFormat="1" ht="12.75" customHeight="1" x14ac:dyDescent="0.2">
      <c r="A84" s="87">
        <v>45212</v>
      </c>
      <c r="B84" s="120" t="s">
        <v>1052</v>
      </c>
      <c r="C84" s="75" t="s">
        <v>201</v>
      </c>
      <c r="D84" s="88">
        <v>1600267.2</v>
      </c>
      <c r="E84" s="2"/>
      <c r="F84" s="2"/>
      <c r="G84" s="30"/>
      <c r="H84" s="2"/>
      <c r="I84" s="2"/>
      <c r="J84" s="2"/>
      <c r="K84" s="2"/>
      <c r="L84" s="41"/>
      <c r="M84" s="42"/>
      <c r="N84" s="2"/>
    </row>
    <row r="85" spans="1:14" s="2" customFormat="1" x14ac:dyDescent="0.2">
      <c r="A85" s="87"/>
      <c r="B85" s="74"/>
      <c r="C85" s="75"/>
      <c r="D85" s="51">
        <f>SUM(D78:D84)</f>
        <v>5967123.6299999999</v>
      </c>
      <c r="F85" s="2" t="s">
        <v>396</v>
      </c>
      <c r="G85" s="1"/>
    </row>
    <row r="86" spans="1:14" s="2" customFormat="1" x14ac:dyDescent="0.2">
      <c r="A86" s="24"/>
      <c r="B86" s="1"/>
      <c r="C86" s="14"/>
      <c r="D86" s="56"/>
      <c r="E86" s="13"/>
      <c r="G86" s="1"/>
    </row>
    <row r="87" spans="1:14" s="2" customFormat="1" x14ac:dyDescent="0.2">
      <c r="A87" s="24"/>
      <c r="B87" s="1"/>
      <c r="C87" s="218" t="s">
        <v>77</v>
      </c>
      <c r="D87" s="219"/>
      <c r="E87" s="219"/>
      <c r="F87" s="220"/>
      <c r="H87" s="2" t="s">
        <v>396</v>
      </c>
    </row>
    <row r="88" spans="1:14" s="2" customFormat="1" x14ac:dyDescent="0.2">
      <c r="A88" s="24"/>
      <c r="B88" s="1"/>
      <c r="C88" s="50"/>
      <c r="D88" s="57" t="s">
        <v>78</v>
      </c>
      <c r="E88" s="58" t="s">
        <v>79</v>
      </c>
      <c r="F88" s="57" t="s">
        <v>72</v>
      </c>
      <c r="H88" s="2" t="s">
        <v>396</v>
      </c>
    </row>
    <row r="89" spans="1:14" s="2" customFormat="1" x14ac:dyDescent="0.2">
      <c r="A89" s="24"/>
      <c r="B89" s="1"/>
      <c r="C89" s="59" t="str">
        <f>"01-10-2023 to "&amp;TEXT(A5-2,"dd-mm-yyyy")</f>
        <v>01-10-2023 to 11-10-2023</v>
      </c>
      <c r="D89" s="60">
        <v>731.73</v>
      </c>
      <c r="E89" s="60">
        <v>148.83000000000001</v>
      </c>
      <c r="F89" s="61">
        <f>SUM(D89:E89)</f>
        <v>880.56000000000006</v>
      </c>
    </row>
    <row r="90" spans="1:14" s="2" customFormat="1" x14ac:dyDescent="0.2">
      <c r="A90" s="24"/>
      <c r="B90" s="1"/>
      <c r="C90" s="62" t="str">
        <f>TEXT(A5-1,"dd-mm-yyyy")</f>
        <v>12-10-2023</v>
      </c>
      <c r="D90" s="60">
        <v>56.15</v>
      </c>
      <c r="E90" s="60">
        <v>24.13</v>
      </c>
      <c r="F90" s="61">
        <f>SUM(D90:E90)</f>
        <v>80.28</v>
      </c>
      <c r="G90" s="1"/>
      <c r="H90" s="53"/>
    </row>
    <row r="91" spans="1:14" s="2" customFormat="1" ht="13.5" thickBot="1" x14ac:dyDescent="0.25">
      <c r="A91" s="24"/>
      <c r="B91" s="1"/>
      <c r="C91" s="63" t="str">
        <f>"01-10-2023 to "&amp;TEXT(A5-1,"dd-mm-yyyy")</f>
        <v>01-10-2023 to 12-10-2023</v>
      </c>
      <c r="D91" s="64">
        <f>SUM(D89:D90)</f>
        <v>787.88</v>
      </c>
      <c r="E91" s="64">
        <f>SUM(E89:E90)</f>
        <v>172.96</v>
      </c>
      <c r="F91" s="64">
        <f>SUM(F89:F90)</f>
        <v>960.84</v>
      </c>
      <c r="G91" s="1"/>
      <c r="H91" s="53"/>
    </row>
    <row r="92" spans="1:14" s="2" customFormat="1" ht="13.5" thickTop="1" x14ac:dyDescent="0.2">
      <c r="A92" s="24"/>
      <c r="B92" s="1"/>
      <c r="C92" s="62"/>
      <c r="D92" s="65"/>
      <c r="E92" s="66"/>
      <c r="F92" s="67"/>
      <c r="L92" s="1"/>
      <c r="M92" s="1"/>
    </row>
    <row r="93" spans="1:14" s="2" customFormat="1" x14ac:dyDescent="0.2">
      <c r="A93" s="24"/>
      <c r="B93" s="1"/>
      <c r="C93" s="62" t="str">
        <f>"01-04-2023 to " &amp;C90</f>
        <v>01-04-2023 to 12-10-2023</v>
      </c>
      <c r="D93" s="68">
        <f>+D91+27003.42</f>
        <v>27791.3</v>
      </c>
      <c r="E93" s="68">
        <f>+E91+2028.43</f>
        <v>2201.39</v>
      </c>
      <c r="F93" s="68">
        <f>+F91+29031.85</f>
        <v>29992.69</v>
      </c>
      <c r="G93" s="1"/>
      <c r="L93" s="1"/>
      <c r="M93" s="1"/>
    </row>
    <row r="94" spans="1:14" s="2" customFormat="1" x14ac:dyDescent="0.2">
      <c r="A94" s="24"/>
      <c r="B94" s="1"/>
      <c r="C94" s="52"/>
      <c r="D94" s="85"/>
      <c r="E94" s="53"/>
      <c r="F94" s="53"/>
      <c r="G94" s="1"/>
      <c r="L94" s="1"/>
      <c r="M94" s="1"/>
    </row>
    <row r="95" spans="1:14" s="2" customFormat="1" x14ac:dyDescent="0.2">
      <c r="A95" s="24"/>
      <c r="B95" s="1"/>
      <c r="C95" s="52"/>
      <c r="D95" s="85"/>
      <c r="E95" s="53"/>
      <c r="F95" s="53"/>
      <c r="G95" s="1"/>
      <c r="L95" s="1"/>
      <c r="M95" s="1"/>
    </row>
    <row r="96" spans="1:14" s="2" customFormat="1" x14ac:dyDescent="0.2">
      <c r="A96" s="24"/>
      <c r="B96" s="1"/>
      <c r="C96" s="52"/>
      <c r="D96" s="85"/>
      <c r="E96" s="53"/>
      <c r="F96" s="53"/>
      <c r="G96" s="1"/>
      <c r="L96" s="1"/>
      <c r="M96" s="1"/>
    </row>
    <row r="97" spans="1:13" s="2" customFormat="1" x14ac:dyDescent="0.2">
      <c r="A97" s="24"/>
      <c r="B97" s="1"/>
      <c r="C97" s="52"/>
      <c r="D97" s="85"/>
      <c r="E97" s="53"/>
      <c r="F97" s="53"/>
      <c r="G97" s="1"/>
      <c r="L97" s="1"/>
      <c r="M97" s="1"/>
    </row>
    <row r="98" spans="1:13" s="2" customFormat="1" x14ac:dyDescent="0.2">
      <c r="A98" s="24"/>
      <c r="B98" s="1"/>
      <c r="C98" s="14"/>
      <c r="D98" s="25"/>
      <c r="G98" s="1"/>
      <c r="L98" s="1"/>
      <c r="M98" s="1"/>
    </row>
    <row r="99" spans="1:13" s="2" customFormat="1" x14ac:dyDescent="0.2">
      <c r="A99" s="24"/>
      <c r="B99" s="1"/>
      <c r="C99" s="14"/>
      <c r="D99" s="25"/>
      <c r="G99" s="1"/>
      <c r="L99" s="1"/>
      <c r="M99" s="1"/>
    </row>
    <row r="100" spans="1:13" s="2" customFormat="1" x14ac:dyDescent="0.2">
      <c r="A100" s="24"/>
      <c r="B100" s="1"/>
      <c r="C100" s="14"/>
      <c r="D100" s="25"/>
      <c r="G100" s="1"/>
      <c r="L100" s="1"/>
      <c r="M100" s="1"/>
    </row>
    <row r="101" spans="1:13" s="2" customFormat="1" x14ac:dyDescent="0.2">
      <c r="A101" s="24"/>
      <c r="B101" s="1"/>
      <c r="C101" s="14"/>
      <c r="D101" s="25"/>
      <c r="G101" s="1"/>
      <c r="L101" s="1"/>
      <c r="M101" s="1"/>
    </row>
    <row r="102" spans="1:13" s="2" customFormat="1" x14ac:dyDescent="0.2">
      <c r="A102" s="24"/>
      <c r="B102" s="1"/>
      <c r="C102" s="14"/>
      <c r="D102" s="25"/>
      <c r="G102" s="1"/>
      <c r="L102" s="1"/>
      <c r="M102" s="1"/>
    </row>
    <row r="103" spans="1:13" s="2" customFormat="1" x14ac:dyDescent="0.2">
      <c r="A103" s="24"/>
      <c r="B103" s="1"/>
      <c r="C103" s="14"/>
      <c r="D103" s="25"/>
      <c r="G103" s="1"/>
      <c r="L103" s="1"/>
      <c r="M103" s="1"/>
    </row>
    <row r="104" spans="1:13" s="2" customFormat="1" x14ac:dyDescent="0.2">
      <c r="A104" s="24"/>
      <c r="B104" s="1"/>
      <c r="C104" s="14"/>
      <c r="D104" s="25"/>
      <c r="G104" s="1"/>
      <c r="L104" s="1"/>
      <c r="M104" s="1"/>
    </row>
    <row r="105" spans="1:13" s="2" customFormat="1" x14ac:dyDescent="0.2">
      <c r="A105" s="24"/>
      <c r="B105" s="1"/>
      <c r="C105" s="14"/>
      <c r="D105" s="25"/>
      <c r="G105" s="1"/>
      <c r="L105" s="1"/>
      <c r="M105" s="1"/>
    </row>
    <row r="106" spans="1:13" s="2" customFormat="1" x14ac:dyDescent="0.2">
      <c r="A106" s="24"/>
      <c r="B106" s="1"/>
      <c r="C106" s="14"/>
      <c r="D106" s="25"/>
      <c r="G106" s="1"/>
      <c r="L106" s="1"/>
      <c r="M106" s="1"/>
    </row>
    <row r="107" spans="1:13" s="2" customFormat="1" x14ac:dyDescent="0.2">
      <c r="A107" s="24"/>
      <c r="B107" s="1"/>
      <c r="C107" s="14"/>
      <c r="D107" s="25"/>
      <c r="G107" s="1"/>
      <c r="L107" s="1"/>
      <c r="M107" s="1"/>
    </row>
    <row r="108" spans="1:13" s="2" customFormat="1" x14ac:dyDescent="0.2">
      <c r="A108" s="24"/>
      <c r="B108" s="1"/>
      <c r="C108" s="14"/>
      <c r="D108" s="25"/>
      <c r="G108" s="1"/>
      <c r="L108" s="1"/>
      <c r="M108" s="1"/>
    </row>
    <row r="109" spans="1:13" s="2" customFormat="1" x14ac:dyDescent="0.2">
      <c r="A109" s="24"/>
      <c r="B109" s="1"/>
      <c r="C109" s="14"/>
      <c r="D109" s="25"/>
      <c r="G109" s="1"/>
      <c r="L109" s="1"/>
      <c r="M109" s="1"/>
    </row>
    <row r="110" spans="1:13" s="2" customFormat="1" x14ac:dyDescent="0.2">
      <c r="A110" s="24"/>
      <c r="B110" s="1"/>
      <c r="C110" s="14"/>
      <c r="D110" s="25"/>
      <c r="G110" s="1"/>
      <c r="L110" s="1"/>
      <c r="M110" s="1"/>
    </row>
    <row r="111" spans="1:13" s="2" customFormat="1" x14ac:dyDescent="0.2">
      <c r="A111" s="24"/>
      <c r="B111" s="1"/>
      <c r="C111" s="14"/>
      <c r="D111" s="25"/>
      <c r="G111" s="1"/>
      <c r="L111" s="1"/>
      <c r="M111" s="1"/>
    </row>
    <row r="112" spans="1:13" s="2" customFormat="1" x14ac:dyDescent="0.2">
      <c r="A112" s="24"/>
      <c r="B112" s="1"/>
      <c r="C112" s="14"/>
      <c r="D112" s="25"/>
      <c r="G112" s="1"/>
      <c r="I112" s="1"/>
      <c r="J112" s="1"/>
      <c r="K112" s="1"/>
      <c r="L112" s="1"/>
      <c r="M112" s="1"/>
    </row>
    <row r="113" spans="1:14" s="2" customFormat="1" x14ac:dyDescent="0.2">
      <c r="A113" s="24"/>
      <c r="B113" s="1"/>
      <c r="C113" s="14"/>
      <c r="D113" s="25"/>
      <c r="G113" s="1"/>
    </row>
    <row r="114" spans="1:14" s="2" customFormat="1" x14ac:dyDescent="0.2">
      <c r="A114" s="24"/>
      <c r="B114" s="1"/>
      <c r="C114" s="14"/>
      <c r="D114" s="25"/>
      <c r="G114" s="1"/>
      <c r="I114" s="1"/>
      <c r="J114" s="1"/>
      <c r="K114" s="1"/>
      <c r="L114" s="1"/>
      <c r="M114" s="1"/>
    </row>
    <row r="115" spans="1:14" s="2" customFormat="1" x14ac:dyDescent="0.2">
      <c r="A115" s="24"/>
      <c r="B115" s="1"/>
      <c r="C115" s="14"/>
      <c r="D115" s="25"/>
      <c r="G115" s="54"/>
      <c r="I115" s="1"/>
      <c r="J115" s="1"/>
      <c r="K115" s="1"/>
      <c r="L115" s="1"/>
      <c r="M115" s="1"/>
    </row>
    <row r="116" spans="1:14" s="2" customFormat="1" x14ac:dyDescent="0.2">
      <c r="A116" s="24"/>
      <c r="B116" s="1"/>
      <c r="C116" s="14"/>
      <c r="D116" s="25"/>
      <c r="G116" s="54"/>
      <c r="I116" s="1"/>
      <c r="J116" s="1"/>
      <c r="K116" s="1"/>
      <c r="L116" s="1"/>
      <c r="M116" s="1"/>
    </row>
    <row r="117" spans="1:14" s="2" customFormat="1" x14ac:dyDescent="0.2">
      <c r="A117" s="24"/>
      <c r="B117" s="1"/>
      <c r="C117" s="14"/>
      <c r="D117" s="25"/>
      <c r="G117" s="54"/>
      <c r="I117" s="1"/>
      <c r="J117" s="1"/>
      <c r="K117" s="1"/>
      <c r="L117" s="1"/>
      <c r="M117" s="1"/>
    </row>
    <row r="118" spans="1:14" s="2" customFormat="1" x14ac:dyDescent="0.2">
      <c r="A118" s="24"/>
      <c r="B118" s="1"/>
      <c r="C118" s="14"/>
      <c r="D118" s="25"/>
      <c r="G118" s="54"/>
      <c r="H118" s="2" t="s">
        <v>396</v>
      </c>
      <c r="I118" s="1"/>
      <c r="J118" s="1"/>
      <c r="K118" s="1"/>
      <c r="L118" s="1"/>
      <c r="M118" s="1"/>
      <c r="N118" s="1"/>
    </row>
    <row r="119" spans="1:14" s="2" customFormat="1" x14ac:dyDescent="0.2">
      <c r="A119" s="24"/>
      <c r="B119" s="1"/>
      <c r="C119" s="14"/>
      <c r="D119" s="25"/>
      <c r="G119" s="54"/>
      <c r="H119" s="53"/>
    </row>
    <row r="120" spans="1:14" s="2" customFormat="1" x14ac:dyDescent="0.2">
      <c r="A120" s="24"/>
      <c r="B120" s="1"/>
      <c r="C120" s="14"/>
      <c r="D120" s="25"/>
      <c r="G120" s="54"/>
      <c r="H120" s="53" t="s">
        <v>396</v>
      </c>
      <c r="I120" s="1"/>
      <c r="J120" s="1"/>
      <c r="K120" s="1"/>
      <c r="L120" s="1"/>
      <c r="M120" s="1"/>
      <c r="N120" s="1"/>
    </row>
    <row r="121" spans="1:14" x14ac:dyDescent="0.2">
      <c r="G121" s="54"/>
      <c r="H121" s="53" t="s">
        <v>396</v>
      </c>
      <c r="J121" s="42"/>
    </row>
    <row r="122" spans="1:14" s="2" customFormat="1" x14ac:dyDescent="0.2">
      <c r="A122" s="24"/>
      <c r="B122" s="1"/>
      <c r="C122" s="14"/>
      <c r="D122" s="25"/>
      <c r="G122" s="54"/>
      <c r="H122" s="53"/>
      <c r="I122" s="101"/>
      <c r="J122" s="1"/>
      <c r="K122" s="1"/>
      <c r="L122" s="1"/>
      <c r="M122" s="1"/>
      <c r="N122" s="1"/>
    </row>
    <row r="123" spans="1:14" x14ac:dyDescent="0.2">
      <c r="G123" s="54"/>
      <c r="H123" s="53"/>
    </row>
    <row r="124" spans="1:14" x14ac:dyDescent="0.2">
      <c r="G124" s="54"/>
      <c r="H124" s="53"/>
    </row>
    <row r="125" spans="1:14" x14ac:dyDescent="0.2">
      <c r="G125" s="54"/>
      <c r="H125" s="53"/>
    </row>
  </sheetData>
  <sheetProtection insertRows="0"/>
  <mergeCells count="6">
    <mergeCell ref="C87:F87"/>
    <mergeCell ref="A1:G1"/>
    <mergeCell ref="A3:F3"/>
    <mergeCell ref="A9:F9"/>
    <mergeCell ref="A33:F33"/>
    <mergeCell ref="A76:D76"/>
  </mergeCells>
  <conditionalFormatting sqref="G73:G74">
    <cfRule type="cellIs" dxfId="269" priority="1" operator="lessThan">
      <formula>0</formula>
    </cfRule>
  </conditionalFormatting>
  <conditionalFormatting sqref="C35">
    <cfRule type="duplicateValues" dxfId="268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C00-000000000000}">
  <sheetPr codeName="Sheet452">
    <pageSetUpPr fitToPage="1"/>
  </sheetPr>
  <dimension ref="A1:N103"/>
  <sheetViews>
    <sheetView zoomScaleNormal="100" workbookViewId="0">
      <selection activeCell="E81" sqref="E81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3" ht="20.25" customHeight="1" x14ac:dyDescent="0.4">
      <c r="A1" s="212" t="s">
        <v>1674</v>
      </c>
      <c r="B1" s="212"/>
      <c r="C1" s="212"/>
      <c r="D1" s="212"/>
      <c r="E1" s="212"/>
      <c r="F1" s="212"/>
      <c r="G1" s="212"/>
      <c r="H1" s="112"/>
      <c r="I1" s="112"/>
    </row>
    <row r="2" spans="1:13" ht="12.75" customHeight="1" x14ac:dyDescent="0.4">
      <c r="H2" s="112"/>
      <c r="I2" s="112"/>
    </row>
    <row r="3" spans="1:13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3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3" s="2" customFormat="1" ht="14.25" customHeight="1" x14ac:dyDescent="0.4">
      <c r="A5" s="89">
        <v>45213</v>
      </c>
      <c r="B5" s="9" t="s">
        <v>6</v>
      </c>
      <c r="C5" s="10" t="s">
        <v>7</v>
      </c>
      <c r="D5" s="11"/>
      <c r="E5" s="12">
        <v>663856.71000000183</v>
      </c>
      <c r="F5" s="12"/>
      <c r="G5" s="1"/>
      <c r="H5" s="112"/>
      <c r="I5" s="112"/>
    </row>
    <row r="6" spans="1:13" s="2" customFormat="1" ht="12.75" customHeight="1" x14ac:dyDescent="0.4">
      <c r="D6" s="15" t="s">
        <v>8</v>
      </c>
      <c r="E6" s="16">
        <f>SUM(E5:E5)</f>
        <v>663856.71000000183</v>
      </c>
      <c r="F6" s="16">
        <f>F5</f>
        <v>0</v>
      </c>
      <c r="G6" s="1"/>
      <c r="H6" s="112"/>
      <c r="I6" s="112"/>
    </row>
    <row r="7" spans="1:13" s="2" customFormat="1" ht="12.75" customHeight="1" x14ac:dyDescent="0.4">
      <c r="A7" s="17"/>
      <c r="B7" s="18"/>
      <c r="C7" s="19" t="s">
        <v>9</v>
      </c>
      <c r="D7" s="20"/>
      <c r="E7" s="21">
        <f>+E6-F6</f>
        <v>663856.71000000183</v>
      </c>
      <c r="F7" s="22"/>
      <c r="G7" s="23"/>
      <c r="H7" s="112"/>
      <c r="I7" s="112"/>
      <c r="J7" s="13"/>
    </row>
    <row r="8" spans="1:13" ht="12.75" customHeight="1" x14ac:dyDescent="0.4">
      <c r="H8" s="112"/>
      <c r="I8" s="112"/>
    </row>
    <row r="9" spans="1:13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69">
        <v>90000000</v>
      </c>
      <c r="J9" s="169" t="s">
        <v>1508</v>
      </c>
    </row>
    <row r="10" spans="1:13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69">
        <v>85078008.769999996</v>
      </c>
      <c r="J10" s="169" t="s">
        <v>1509</v>
      </c>
      <c r="K10" s="124"/>
    </row>
    <row r="11" spans="1:13" s="2" customFormat="1" ht="14.25" customHeight="1" x14ac:dyDescent="0.2">
      <c r="A11" s="89">
        <v>45213</v>
      </c>
      <c r="B11" s="9" t="s">
        <v>6</v>
      </c>
      <c r="C11" s="10" t="s">
        <v>7</v>
      </c>
      <c r="D11" s="11"/>
      <c r="F11" s="12">
        <v>86541481.069999993</v>
      </c>
      <c r="G11" s="1"/>
      <c r="H11" s="130" t="s">
        <v>396</v>
      </c>
      <c r="I11" s="169">
        <f>+I9-I10</f>
        <v>4921991.2300000042</v>
      </c>
      <c r="J11" s="169" t="s">
        <v>712</v>
      </c>
      <c r="K11" s="165" t="s">
        <v>1512</v>
      </c>
    </row>
    <row r="12" spans="1:13" s="2" customFormat="1" ht="14.25" customHeight="1" x14ac:dyDescent="0.2">
      <c r="A12" s="89">
        <v>45213</v>
      </c>
      <c r="B12" s="9" t="s">
        <v>6</v>
      </c>
      <c r="C12" s="76" t="s">
        <v>1002</v>
      </c>
      <c r="D12" s="11" t="s">
        <v>13</v>
      </c>
      <c r="E12" s="2">
        <v>2992178.22</v>
      </c>
      <c r="F12" s="12"/>
      <c r="G12" s="1"/>
      <c r="H12" s="130"/>
      <c r="I12" s="169"/>
      <c r="J12" s="169"/>
      <c r="K12" s="165"/>
    </row>
    <row r="13" spans="1:13" s="2" customFormat="1" ht="14.25" customHeight="1" x14ac:dyDescent="0.2">
      <c r="A13" s="89">
        <v>45213</v>
      </c>
      <c r="B13" s="9" t="s">
        <v>11</v>
      </c>
      <c r="C13" s="76" t="s">
        <v>1137</v>
      </c>
      <c r="D13" s="11" t="s">
        <v>29</v>
      </c>
      <c r="F13" s="12">
        <v>124205.92</v>
      </c>
      <c r="G13" s="1"/>
      <c r="H13" s="130"/>
      <c r="I13" s="171"/>
      <c r="J13" s="171"/>
      <c r="K13" s="165"/>
    </row>
    <row r="14" spans="1:13" s="2" customFormat="1" ht="14.25" customHeight="1" x14ac:dyDescent="0.2">
      <c r="A14" s="89">
        <v>45213</v>
      </c>
      <c r="B14" s="9" t="s">
        <v>11</v>
      </c>
      <c r="C14" s="76" t="s">
        <v>1548</v>
      </c>
      <c r="D14" s="11" t="s">
        <v>29</v>
      </c>
      <c r="F14" s="31">
        <v>1404500</v>
      </c>
      <c r="G14" s="1"/>
      <c r="H14" s="130"/>
      <c r="I14" s="171"/>
      <c r="J14" s="171"/>
      <c r="K14" s="165"/>
    </row>
    <row r="15" spans="1:13" s="2" customFormat="1" ht="14.25" customHeight="1" x14ac:dyDescent="0.2">
      <c r="D15" s="11" t="s">
        <v>8</v>
      </c>
      <c r="E15" s="16">
        <f>SUM(E11:E14)</f>
        <v>2992178.22</v>
      </c>
      <c r="F15" s="16">
        <f>SUM(F11:F14)</f>
        <v>88070186.989999995</v>
      </c>
      <c r="G15" s="1"/>
      <c r="H15" s="143"/>
      <c r="I15" s="130"/>
      <c r="J15" s="143"/>
      <c r="K15" s="143"/>
      <c r="L15" s="143"/>
      <c r="M15" s="143"/>
    </row>
    <row r="16" spans="1:13" s="2" customFormat="1" ht="14.25" customHeight="1" x14ac:dyDescent="0.4">
      <c r="A16" s="17"/>
      <c r="B16" s="18"/>
      <c r="C16" s="96" t="s">
        <v>9</v>
      </c>
      <c r="D16" s="20"/>
      <c r="E16" s="21">
        <f>+F15-E15</f>
        <v>85078008.769999996</v>
      </c>
      <c r="G16" s="1"/>
      <c r="I16" s="112"/>
      <c r="J16" s="153" t="s">
        <v>779</v>
      </c>
    </row>
    <row r="17" spans="1:14" s="2" customFormat="1" ht="14.25" customHeight="1" x14ac:dyDescent="0.2">
      <c r="A17" s="36"/>
      <c r="B17" s="28" t="s">
        <v>66</v>
      </c>
      <c r="C17" s="43" t="s">
        <v>1458</v>
      </c>
      <c r="D17" s="43"/>
      <c r="E17" s="12">
        <v>30000000</v>
      </c>
      <c r="F17" s="22"/>
      <c r="G17" s="1"/>
      <c r="I17" s="40">
        <v>85078008.769999996</v>
      </c>
      <c r="J17" s="154">
        <f>I17-E16</f>
        <v>0</v>
      </c>
    </row>
    <row r="18" spans="1:14" s="2" customFormat="1" ht="14.25" customHeight="1" x14ac:dyDescent="0.25">
      <c r="A18" s="36"/>
      <c r="B18" s="28"/>
      <c r="C18" s="44" t="s">
        <v>1541</v>
      </c>
      <c r="D18" s="43"/>
      <c r="E18" s="7">
        <f>+E16+E17</f>
        <v>115078008.77</v>
      </c>
      <c r="F18" s="22"/>
      <c r="G18" s="1"/>
      <c r="H18" s="13" t="s">
        <v>1582</v>
      </c>
      <c r="I18" s="13" t="s">
        <v>1583</v>
      </c>
    </row>
    <row r="19" spans="1:14" s="2" customFormat="1" ht="14.25" customHeight="1" x14ac:dyDescent="0.25">
      <c r="A19" s="36"/>
      <c r="B19" s="28"/>
      <c r="C19" s="44" t="s">
        <v>1511</v>
      </c>
      <c r="D19" s="43"/>
      <c r="E19" s="38">
        <f>+I11</f>
        <v>4921991.2300000042</v>
      </c>
      <c r="F19" s="22"/>
      <c r="G19" s="1"/>
      <c r="H19" s="2">
        <v>4479276.58</v>
      </c>
      <c r="I19" s="2">
        <v>5505916</v>
      </c>
      <c r="J19" s="176">
        <f>H19-I19</f>
        <v>-1026639.4199999999</v>
      </c>
    </row>
    <row r="20" spans="1:14" s="2" customFormat="1" ht="14.25" customHeight="1" x14ac:dyDescent="0.2">
      <c r="A20" s="24"/>
      <c r="B20" s="1"/>
      <c r="C20" s="14"/>
      <c r="D20" s="25"/>
      <c r="G20" s="1"/>
      <c r="I20" s="130"/>
      <c r="J20" s="130"/>
    </row>
    <row r="21" spans="1:14" s="2" customFormat="1" x14ac:dyDescent="0.2">
      <c r="A21" s="214" t="s">
        <v>10</v>
      </c>
      <c r="B21" s="214"/>
      <c r="C21" s="214"/>
      <c r="D21" s="214"/>
      <c r="E21" s="214"/>
      <c r="F21" s="214"/>
      <c r="G21" s="1"/>
      <c r="H21" s="159"/>
      <c r="I21" s="160">
        <f>225000000-75000000-50000000</f>
        <v>100000000</v>
      </c>
      <c r="J21" s="160" t="s">
        <v>1506</v>
      </c>
      <c r="K21" s="70"/>
    </row>
    <row r="22" spans="1:14" s="2" customFormat="1" x14ac:dyDescent="0.2">
      <c r="A22" s="26" t="s">
        <v>1</v>
      </c>
      <c r="B22" s="27" t="s">
        <v>2</v>
      </c>
      <c r="C22" s="5"/>
      <c r="D22" s="6" t="s">
        <v>3</v>
      </c>
      <c r="E22" s="7" t="s">
        <v>4</v>
      </c>
      <c r="F22" s="7" t="s">
        <v>5</v>
      </c>
      <c r="G22" s="1"/>
      <c r="H22" s="159"/>
      <c r="I22" s="160">
        <v>76559140.420000002</v>
      </c>
      <c r="J22" s="160" t="s">
        <v>1507</v>
      </c>
      <c r="K22" s="70" t="s">
        <v>1512</v>
      </c>
    </row>
    <row r="23" spans="1:14" s="2" customFormat="1" x14ac:dyDescent="0.2">
      <c r="A23" s="89">
        <v>45213</v>
      </c>
      <c r="B23" s="128" t="s">
        <v>11</v>
      </c>
      <c r="C23" s="29" t="s">
        <v>7</v>
      </c>
      <c r="D23" s="25"/>
      <c r="E23" s="31"/>
      <c r="F23" s="2">
        <v>82217825.500000089</v>
      </c>
      <c r="G23" s="23"/>
      <c r="H23" s="159" t="s">
        <v>1505</v>
      </c>
      <c r="I23" s="160">
        <f>+I21-I22</f>
        <v>23440859.579999998</v>
      </c>
      <c r="J23" s="160"/>
      <c r="K23" s="70"/>
    </row>
    <row r="24" spans="1:14" s="2" customFormat="1" x14ac:dyDescent="0.2">
      <c r="A24" s="89">
        <v>45213</v>
      </c>
      <c r="B24" s="128" t="s">
        <v>6</v>
      </c>
      <c r="C24" s="10" t="s">
        <v>1675</v>
      </c>
      <c r="D24" s="11" t="s">
        <v>13</v>
      </c>
      <c r="E24" s="86">
        <v>19216</v>
      </c>
      <c r="F24" s="70"/>
      <c r="G24" s="1"/>
      <c r="N24" s="1"/>
    </row>
    <row r="25" spans="1:14" s="2" customFormat="1" x14ac:dyDescent="0.2">
      <c r="A25" s="89">
        <v>45213</v>
      </c>
      <c r="B25" s="128" t="s">
        <v>6</v>
      </c>
      <c r="C25" s="10" t="s">
        <v>1676</v>
      </c>
      <c r="D25" s="11" t="s">
        <v>13</v>
      </c>
      <c r="E25" s="86">
        <v>150.88</v>
      </c>
      <c r="F25" s="70"/>
      <c r="G25" s="1"/>
      <c r="N25" s="1"/>
    </row>
    <row r="26" spans="1:14" s="2" customFormat="1" x14ac:dyDescent="0.2">
      <c r="A26" s="89">
        <v>45213</v>
      </c>
      <c r="B26" s="128" t="s">
        <v>6</v>
      </c>
      <c r="C26" s="10" t="s">
        <v>257</v>
      </c>
      <c r="D26" s="11" t="s">
        <v>13</v>
      </c>
      <c r="E26" s="86">
        <v>5071409.75</v>
      </c>
      <c r="F26" s="70"/>
      <c r="G26" s="1"/>
      <c r="N26" s="1"/>
    </row>
    <row r="27" spans="1:14" s="2" customFormat="1" x14ac:dyDescent="0.2">
      <c r="A27" s="89">
        <v>45213</v>
      </c>
      <c r="B27" s="128" t="s">
        <v>6</v>
      </c>
      <c r="C27" s="10" t="s">
        <v>101</v>
      </c>
      <c r="D27" s="11" t="s">
        <v>13</v>
      </c>
      <c r="E27" s="86">
        <v>991671</v>
      </c>
      <c r="F27" s="70"/>
      <c r="G27" s="1"/>
      <c r="N27" s="1"/>
    </row>
    <row r="28" spans="1:14" s="2" customFormat="1" x14ac:dyDescent="0.2">
      <c r="A28" s="89">
        <v>45213</v>
      </c>
      <c r="B28" s="128" t="s">
        <v>6</v>
      </c>
      <c r="C28" s="10" t="s">
        <v>391</v>
      </c>
      <c r="D28" s="11" t="s">
        <v>13</v>
      </c>
      <c r="E28" s="86">
        <v>44415</v>
      </c>
      <c r="F28" s="70"/>
      <c r="G28" s="1"/>
      <c r="N28" s="1"/>
    </row>
    <row r="29" spans="1:14" s="2" customFormat="1" x14ac:dyDescent="0.2">
      <c r="A29" s="89">
        <v>45213</v>
      </c>
      <c r="B29" s="128" t="s">
        <v>6</v>
      </c>
      <c r="C29" s="10" t="s">
        <v>843</v>
      </c>
      <c r="D29" s="11" t="s">
        <v>13</v>
      </c>
      <c r="E29" s="86">
        <v>383765.03</v>
      </c>
      <c r="F29" s="70"/>
      <c r="G29" s="1"/>
      <c r="N29" s="1"/>
    </row>
    <row r="30" spans="1:14" s="2" customFormat="1" x14ac:dyDescent="0.2">
      <c r="A30" s="89">
        <v>45213</v>
      </c>
      <c r="B30" s="128" t="s">
        <v>11</v>
      </c>
      <c r="C30" s="10" t="s">
        <v>1403</v>
      </c>
      <c r="D30" s="11" t="s">
        <v>29</v>
      </c>
      <c r="E30" s="86"/>
      <c r="F30" s="70">
        <v>1878582</v>
      </c>
      <c r="G30" s="1"/>
      <c r="N30" s="1"/>
    </row>
    <row r="31" spans="1:14" s="2" customFormat="1" x14ac:dyDescent="0.2">
      <c r="A31" s="32"/>
      <c r="B31" s="33"/>
      <c r="C31" s="14"/>
      <c r="D31" s="34"/>
      <c r="E31" s="16">
        <f>SUM(E23:E30)</f>
        <v>6510627.6600000001</v>
      </c>
      <c r="F31" s="16">
        <f>SUM(F23:F30)</f>
        <v>84096407.500000089</v>
      </c>
      <c r="G31" s="1"/>
      <c r="H31" s="1"/>
      <c r="I31" s="38">
        <v>77585779.840000004</v>
      </c>
      <c r="J31" s="2" t="s">
        <v>396</v>
      </c>
      <c r="K31" s="92">
        <f>E32-I31</f>
        <v>0</v>
      </c>
      <c r="N31" s="1"/>
    </row>
    <row r="32" spans="1:14" s="2" customFormat="1" x14ac:dyDescent="0.2">
      <c r="A32" s="36"/>
      <c r="B32" s="28" t="s">
        <v>11</v>
      </c>
      <c r="C32" s="19" t="s">
        <v>65</v>
      </c>
      <c r="D32" s="37"/>
      <c r="E32" s="38">
        <f>F31-E31</f>
        <v>77585779.840000093</v>
      </c>
      <c r="F32" s="22"/>
      <c r="G32" s="1"/>
      <c r="H32" s="1"/>
      <c r="I32" s="70"/>
      <c r="J32" s="70"/>
      <c r="K32" s="70"/>
      <c r="N32" s="1"/>
    </row>
    <row r="33" spans="1:14" s="2" customFormat="1" x14ac:dyDescent="0.2">
      <c r="A33" s="36"/>
      <c r="B33" s="28" t="s">
        <v>66</v>
      </c>
      <c r="C33" s="19" t="s">
        <v>67</v>
      </c>
      <c r="D33" s="37"/>
      <c r="E33" s="38">
        <v>6500000</v>
      </c>
      <c r="F33" s="22"/>
      <c r="G33" s="1"/>
      <c r="H33" s="70"/>
      <c r="I33" s="70"/>
      <c r="J33" s="70"/>
      <c r="K33" s="70"/>
      <c r="N33" s="1"/>
    </row>
    <row r="34" spans="1:14" s="2" customFormat="1" x14ac:dyDescent="0.2">
      <c r="A34" s="36"/>
      <c r="B34" s="28" t="s">
        <v>66</v>
      </c>
      <c r="C34" s="43" t="s">
        <v>1457</v>
      </c>
      <c r="D34" s="43"/>
      <c r="E34" s="12">
        <f>275000000+75000000+50000000</f>
        <v>400000000</v>
      </c>
      <c r="F34" s="22"/>
      <c r="G34" s="1"/>
      <c r="H34" s="70"/>
      <c r="I34" s="45">
        <v>1229.6199999999999</v>
      </c>
      <c r="J34" s="46"/>
      <c r="K34" s="46"/>
      <c r="N34" s="1"/>
    </row>
    <row r="35" spans="1:14" s="2" customFormat="1" ht="15" x14ac:dyDescent="0.25">
      <c r="A35" s="36"/>
      <c r="B35" s="28"/>
      <c r="C35" s="44" t="s">
        <v>1541</v>
      </c>
      <c r="D35" s="43"/>
      <c r="E35" s="7">
        <f>+E34+E32+E33</f>
        <v>484085779.84000009</v>
      </c>
      <c r="F35" s="22"/>
      <c r="G35" s="1"/>
      <c r="H35" s="103" t="s">
        <v>69</v>
      </c>
      <c r="I35" s="45">
        <v>-170.83</v>
      </c>
      <c r="J35" s="46"/>
      <c r="K35" s="46"/>
      <c r="N35" s="1"/>
    </row>
    <row r="36" spans="1:14" s="2" customFormat="1" ht="15" x14ac:dyDescent="0.25">
      <c r="A36" s="24"/>
      <c r="B36" s="1"/>
      <c r="C36" s="44" t="s">
        <v>1510</v>
      </c>
      <c r="D36" s="25"/>
      <c r="E36" s="156">
        <f>+I23-E33+H19-I19</f>
        <v>15914220.159999996</v>
      </c>
      <c r="G36" s="1"/>
      <c r="H36" s="35" t="s">
        <v>70</v>
      </c>
      <c r="I36" s="45">
        <v>36.590000000000003</v>
      </c>
      <c r="J36" s="46">
        <f>+I37-D39</f>
        <v>0</v>
      </c>
      <c r="N36" s="1"/>
    </row>
    <row r="37" spans="1:14" s="124" customFormat="1" ht="12.75" customHeight="1" x14ac:dyDescent="0.2">
      <c r="A37" s="24"/>
      <c r="B37" s="1"/>
      <c r="C37" s="56"/>
      <c r="D37" s="56"/>
      <c r="E37" s="104"/>
      <c r="F37" s="2"/>
      <c r="G37" s="166"/>
      <c r="H37" s="70"/>
      <c r="I37" s="49">
        <f>SUM(I34:I36)</f>
        <v>1095.3799999999999</v>
      </c>
      <c r="J37" s="46"/>
      <c r="K37" s="46"/>
    </row>
    <row r="38" spans="1:14" s="124" customFormat="1" ht="12.75" customHeight="1" x14ac:dyDescent="0.2">
      <c r="A38" s="24"/>
      <c r="B38" s="1"/>
      <c r="C38" s="78" t="s">
        <v>575</v>
      </c>
      <c r="D38" s="48" t="s">
        <v>576</v>
      </c>
      <c r="E38" s="104"/>
      <c r="F38" s="2"/>
      <c r="G38" s="168"/>
      <c r="H38" s="167"/>
      <c r="I38" s="167"/>
      <c r="J38" s="168"/>
    </row>
    <row r="39" spans="1:14" s="124" customFormat="1" ht="12.75" customHeight="1" x14ac:dyDescent="0.2">
      <c r="A39" s="24"/>
      <c r="B39" s="1"/>
      <c r="C39" s="47" t="s">
        <v>570</v>
      </c>
      <c r="D39" s="111">
        <v>1095.3800000000001</v>
      </c>
      <c r="E39" s="104"/>
      <c r="F39" s="2"/>
      <c r="G39" s="168"/>
      <c r="H39" s="110" t="s">
        <v>581</v>
      </c>
      <c r="I39" s="167"/>
      <c r="J39" s="168"/>
    </row>
    <row r="40" spans="1:14" s="124" customFormat="1" ht="12.75" customHeight="1" x14ac:dyDescent="0.2">
      <c r="A40" s="24"/>
      <c r="B40" s="1"/>
      <c r="C40" s="47" t="s">
        <v>931</v>
      </c>
      <c r="D40" s="111">
        <v>161.19999999999999</v>
      </c>
      <c r="E40" s="104"/>
      <c r="F40" s="2"/>
      <c r="G40" s="168"/>
      <c r="H40" s="110" t="s">
        <v>580</v>
      </c>
      <c r="I40" s="167"/>
      <c r="J40" s="168"/>
    </row>
    <row r="41" spans="1:14" s="124" customFormat="1" ht="12.75" customHeight="1" x14ac:dyDescent="0.2">
      <c r="A41" s="24"/>
      <c r="B41" s="1"/>
      <c r="C41" s="47" t="s">
        <v>572</v>
      </c>
      <c r="D41" s="111">
        <f>+D63/100000</f>
        <v>59.671236299999997</v>
      </c>
      <c r="E41" s="104"/>
      <c r="F41" s="2"/>
      <c r="G41" s="166"/>
      <c r="H41" s="90" t="s">
        <v>587</v>
      </c>
      <c r="I41" s="167"/>
      <c r="J41" s="168"/>
    </row>
    <row r="42" spans="1:14" s="2" customFormat="1" x14ac:dyDescent="0.2">
      <c r="A42" s="24"/>
      <c r="B42" s="1"/>
      <c r="C42" s="108" t="s">
        <v>578</v>
      </c>
      <c r="D42" s="48">
        <f>SUM(D39:D41)</f>
        <v>1316.2512363000001</v>
      </c>
      <c r="E42" s="104"/>
      <c r="G42" s="30"/>
      <c r="I42" s="13"/>
      <c r="J42" s="13"/>
    </row>
    <row r="43" spans="1:14" s="70" customFormat="1" x14ac:dyDescent="0.2">
      <c r="A43" s="24"/>
      <c r="B43" s="1"/>
      <c r="C43" s="47"/>
      <c r="D43" s="107"/>
      <c r="E43" s="104"/>
      <c r="F43" s="2"/>
      <c r="G43" s="30"/>
      <c r="H43" s="2"/>
    </row>
    <row r="44" spans="1:14" s="70" customFormat="1" x14ac:dyDescent="0.2">
      <c r="A44" s="24"/>
      <c r="B44" s="1"/>
      <c r="C44" s="47" t="s">
        <v>932</v>
      </c>
      <c r="D44" s="111">
        <v>71.790000000000006</v>
      </c>
      <c r="E44" s="104"/>
      <c r="F44" s="2"/>
      <c r="G44" s="30"/>
      <c r="H44" s="110" t="s">
        <v>581</v>
      </c>
    </row>
    <row r="45" spans="1:14" s="70" customFormat="1" x14ac:dyDescent="0.2">
      <c r="A45" s="24"/>
      <c r="B45" s="1"/>
      <c r="C45" s="136" t="s">
        <v>1142</v>
      </c>
      <c r="D45" s="111">
        <v>316.70999999999998</v>
      </c>
      <c r="E45" s="104"/>
      <c r="F45" s="2"/>
      <c r="G45" s="30"/>
      <c r="H45" s="110" t="s">
        <v>581</v>
      </c>
    </row>
    <row r="46" spans="1:14" s="70" customFormat="1" x14ac:dyDescent="0.2">
      <c r="A46" s="24"/>
      <c r="B46" s="1"/>
      <c r="C46" s="78" t="s">
        <v>579</v>
      </c>
      <c r="D46" s="109">
        <f>D44+D45</f>
        <v>388.5</v>
      </c>
      <c r="E46" s="104"/>
      <c r="F46" s="2"/>
      <c r="G46" s="30"/>
    </row>
    <row r="47" spans="1:14" s="70" customFormat="1" x14ac:dyDescent="0.2">
      <c r="A47" s="24"/>
      <c r="B47" s="1"/>
      <c r="C47" s="105"/>
      <c r="D47" s="106"/>
      <c r="E47" s="104"/>
      <c r="F47" s="2"/>
      <c r="G47" s="30"/>
      <c r="I47" s="2"/>
      <c r="J47" s="114" t="s">
        <v>713</v>
      </c>
      <c r="K47" s="2"/>
      <c r="L47" s="2"/>
      <c r="M47" s="2"/>
    </row>
    <row r="48" spans="1:14" s="70" customFormat="1" x14ac:dyDescent="0.2">
      <c r="A48" s="24"/>
      <c r="B48" s="1"/>
      <c r="C48" s="78" t="s">
        <v>577</v>
      </c>
      <c r="D48" s="109">
        <f>D39+D46</f>
        <v>1483.88</v>
      </c>
      <c r="E48" s="104"/>
      <c r="F48" s="2"/>
      <c r="G48" s="30"/>
      <c r="I48" s="113"/>
      <c r="J48" s="113" t="s">
        <v>709</v>
      </c>
      <c r="K48" s="113" t="s">
        <v>710</v>
      </c>
      <c r="L48" s="113" t="s">
        <v>711</v>
      </c>
      <c r="M48" s="113" t="s">
        <v>712</v>
      </c>
    </row>
    <row r="49" spans="1:14" s="70" customFormat="1" x14ac:dyDescent="0.2">
      <c r="A49" s="24"/>
      <c r="B49" s="1"/>
      <c r="C49" s="56"/>
      <c r="D49" s="56"/>
      <c r="E49" s="104"/>
      <c r="F49" s="2"/>
      <c r="G49" s="30"/>
      <c r="I49" s="113" t="s">
        <v>706</v>
      </c>
      <c r="J49" s="115"/>
      <c r="K49" s="115">
        <v>968.99</v>
      </c>
      <c r="L49" s="115">
        <v>968.99</v>
      </c>
      <c r="M49" s="113">
        <f>+J49+L49-K49</f>
        <v>0</v>
      </c>
    </row>
    <row r="50" spans="1:14" s="70" customFormat="1" ht="38.25" x14ac:dyDescent="0.2">
      <c r="A50" s="24"/>
      <c r="B50" s="1"/>
      <c r="C50" s="79" t="str">
        <f>"Particulars ( 01-04-2021 to "&amp;TEXT(A5,"dd-mm-yyyy")&amp;" )"</f>
        <v>Particulars ( 01-04-2021 to 14-10-2023 )</v>
      </c>
      <c r="D50" s="80" t="s">
        <v>73</v>
      </c>
      <c r="E50" s="80" t="s">
        <v>74</v>
      </c>
      <c r="F50" s="81" t="s">
        <v>75</v>
      </c>
      <c r="G50" s="80" t="s">
        <v>76</v>
      </c>
      <c r="I50" s="113" t="s">
        <v>707</v>
      </c>
      <c r="J50" s="115">
        <v>183.1</v>
      </c>
      <c r="K50" s="115">
        <v>3788.51</v>
      </c>
      <c r="L50" s="115">
        <v>4030.88</v>
      </c>
      <c r="M50" s="113">
        <f>+J50+L50-K50</f>
        <v>425.47000000000025</v>
      </c>
    </row>
    <row r="51" spans="1:14" s="70" customFormat="1" x14ac:dyDescent="0.2">
      <c r="A51" s="24"/>
      <c r="B51" s="1"/>
      <c r="C51" s="50" t="s">
        <v>444</v>
      </c>
      <c r="D51" s="55">
        <f>+L49+L50+J50</f>
        <v>5182.97</v>
      </c>
      <c r="E51" s="55">
        <f>+K49+K50</f>
        <v>4757.5</v>
      </c>
      <c r="F51" s="55">
        <f>+D51-E51</f>
        <v>425.47000000000025</v>
      </c>
      <c r="G51" s="55">
        <f>1500-F51</f>
        <v>1074.5299999999997</v>
      </c>
      <c r="I51" s="113" t="s">
        <v>708</v>
      </c>
      <c r="J51" s="115">
        <v>1371.02</v>
      </c>
      <c r="K51" s="115">
        <v>14499.94</v>
      </c>
      <c r="L51" s="115">
        <v>14109.03</v>
      </c>
      <c r="M51" s="113">
        <f>+J51+L51-K51</f>
        <v>980.11000000000058</v>
      </c>
    </row>
    <row r="52" spans="1:14" s="70" customFormat="1" ht="12.75" customHeight="1" x14ac:dyDescent="0.2">
      <c r="A52" s="24"/>
      <c r="B52" s="1"/>
      <c r="C52" s="50" t="s">
        <v>71</v>
      </c>
      <c r="D52" s="55">
        <f>+J51+L51</f>
        <v>15480.050000000001</v>
      </c>
      <c r="E52" s="55">
        <f>+K51</f>
        <v>14499.94</v>
      </c>
      <c r="F52" s="55">
        <f>+D52-E52</f>
        <v>980.11000000000058</v>
      </c>
      <c r="G52" s="55">
        <f>1500+700-F52</f>
        <v>1219.8899999999994</v>
      </c>
      <c r="I52" s="2"/>
      <c r="J52" s="118">
        <f>SUM(J49:J51)</f>
        <v>1554.12</v>
      </c>
      <c r="K52" s="118">
        <f>SUM(K49:K51)</f>
        <v>19257.440000000002</v>
      </c>
      <c r="L52" s="118">
        <f>SUM(L49:L51)</f>
        <v>19108.900000000001</v>
      </c>
      <c r="M52" s="118">
        <f>SUM(M49:M51)</f>
        <v>1405.5800000000008</v>
      </c>
    </row>
    <row r="53" spans="1:14" s="70" customFormat="1" ht="12.75" customHeight="1" x14ac:dyDescent="0.2">
      <c r="A53" s="24"/>
      <c r="B53" s="1"/>
      <c r="C53" s="14"/>
      <c r="D53" s="56"/>
      <c r="E53" s="13"/>
      <c r="F53" s="2"/>
      <c r="G53" s="30"/>
    </row>
    <row r="54" spans="1:14" s="70" customFormat="1" ht="12.75" customHeight="1" x14ac:dyDescent="0.2">
      <c r="A54" s="215" t="s">
        <v>80</v>
      </c>
      <c r="B54" s="216"/>
      <c r="C54" s="216"/>
      <c r="D54" s="217"/>
      <c r="E54" s="69"/>
      <c r="G54" s="30"/>
    </row>
    <row r="55" spans="1:14" s="70" customFormat="1" ht="12.75" customHeight="1" x14ac:dyDescent="0.2">
      <c r="A55" s="71" t="s">
        <v>81</v>
      </c>
      <c r="B55" s="71"/>
      <c r="C55" s="72" t="s">
        <v>82</v>
      </c>
      <c r="D55" s="73" t="s">
        <v>83</v>
      </c>
      <c r="E55" s="69"/>
      <c r="G55" s="30"/>
    </row>
    <row r="56" spans="1:14" s="70" customFormat="1" ht="12.75" customHeight="1" x14ac:dyDescent="0.2">
      <c r="A56" s="87">
        <v>45203</v>
      </c>
      <c r="B56" s="120" t="s">
        <v>1052</v>
      </c>
      <c r="C56" s="75" t="s">
        <v>18</v>
      </c>
      <c r="D56" s="88">
        <v>193358.43</v>
      </c>
      <c r="E56" s="2"/>
      <c r="F56" s="2"/>
      <c r="G56" s="30"/>
      <c r="H56" s="2"/>
      <c r="I56" s="2"/>
      <c r="J56" s="2"/>
      <c r="K56" s="2"/>
      <c r="L56" s="41"/>
      <c r="M56" s="42"/>
      <c r="N56" s="2"/>
    </row>
    <row r="57" spans="1:14" s="70" customFormat="1" ht="12.75" customHeight="1" x14ac:dyDescent="0.2">
      <c r="A57" s="87">
        <v>45203</v>
      </c>
      <c r="B57" s="120" t="s">
        <v>1052</v>
      </c>
      <c r="C57" s="75" t="s">
        <v>270</v>
      </c>
      <c r="D57" s="88">
        <v>254277</v>
      </c>
      <c r="E57" s="2"/>
      <c r="F57" s="2"/>
      <c r="G57" s="30"/>
      <c r="H57" s="2"/>
      <c r="I57" s="2"/>
      <c r="J57" s="2"/>
      <c r="K57" s="2"/>
      <c r="L57" s="41"/>
      <c r="M57" s="42"/>
      <c r="N57" s="2"/>
    </row>
    <row r="58" spans="1:14" s="70" customFormat="1" ht="12.75" customHeight="1" x14ac:dyDescent="0.2">
      <c r="A58" s="87">
        <v>45204</v>
      </c>
      <c r="B58" s="120" t="s">
        <v>1052</v>
      </c>
      <c r="C58" s="75" t="s">
        <v>85</v>
      </c>
      <c r="D58" s="88">
        <v>765297</v>
      </c>
      <c r="E58" s="2"/>
      <c r="F58" s="2"/>
      <c r="G58" s="30"/>
      <c r="H58" s="2"/>
      <c r="I58" s="2"/>
      <c r="J58" s="2"/>
      <c r="K58" s="2"/>
      <c r="L58" s="41"/>
      <c r="M58" s="42"/>
      <c r="N58" s="2"/>
    </row>
    <row r="59" spans="1:14" s="70" customFormat="1" ht="12.75" customHeight="1" x14ac:dyDescent="0.2">
      <c r="A59" s="87">
        <v>45209</v>
      </c>
      <c r="B59" s="120" t="s">
        <v>1052</v>
      </c>
      <c r="C59" s="75" t="s">
        <v>606</v>
      </c>
      <c r="D59" s="88">
        <v>2261658</v>
      </c>
      <c r="E59" s="2"/>
      <c r="F59" s="2"/>
      <c r="G59" s="30"/>
      <c r="H59" s="2"/>
      <c r="I59" s="2"/>
      <c r="J59" s="2"/>
      <c r="K59" s="2"/>
      <c r="L59" s="41"/>
      <c r="M59" s="42"/>
      <c r="N59" s="2"/>
    </row>
    <row r="60" spans="1:14" s="70" customFormat="1" ht="12.75" customHeight="1" x14ac:dyDescent="0.2">
      <c r="A60" s="87">
        <v>45211</v>
      </c>
      <c r="B60" s="120" t="s">
        <v>1052</v>
      </c>
      <c r="C60" s="75" t="s">
        <v>18</v>
      </c>
      <c r="D60" s="88">
        <v>35919</v>
      </c>
      <c r="E60" s="2"/>
      <c r="F60" s="2"/>
      <c r="G60" s="30"/>
      <c r="H60" s="2"/>
      <c r="I60" s="2"/>
      <c r="J60" s="2"/>
      <c r="K60" s="2"/>
      <c r="L60" s="41"/>
      <c r="M60" s="42"/>
      <c r="N60" s="2"/>
    </row>
    <row r="61" spans="1:14" s="70" customFormat="1" ht="12.75" customHeight="1" x14ac:dyDescent="0.2">
      <c r="A61" s="87">
        <v>45211</v>
      </c>
      <c r="B61" s="120" t="s">
        <v>1052</v>
      </c>
      <c r="C61" s="75" t="s">
        <v>84</v>
      </c>
      <c r="D61" s="88">
        <v>856347</v>
      </c>
      <c r="E61" s="2"/>
      <c r="F61" s="2"/>
      <c r="G61" s="30"/>
      <c r="H61" s="2"/>
      <c r="I61" s="2"/>
      <c r="J61" s="2"/>
      <c r="K61" s="2"/>
      <c r="L61" s="41"/>
      <c r="M61" s="42"/>
      <c r="N61" s="2"/>
    </row>
    <row r="62" spans="1:14" s="70" customFormat="1" ht="12.75" customHeight="1" x14ac:dyDescent="0.2">
      <c r="A62" s="87">
        <v>45212</v>
      </c>
      <c r="B62" s="120" t="s">
        <v>1052</v>
      </c>
      <c r="C62" s="75" t="s">
        <v>201</v>
      </c>
      <c r="D62" s="88">
        <v>1600267.2</v>
      </c>
      <c r="E62" s="2"/>
      <c r="F62" s="2"/>
      <c r="G62" s="30"/>
      <c r="H62" s="2"/>
      <c r="I62" s="2"/>
      <c r="J62" s="2"/>
      <c r="K62" s="2"/>
      <c r="L62" s="41"/>
      <c r="M62" s="42"/>
      <c r="N62" s="2"/>
    </row>
    <row r="63" spans="1:14" s="2" customFormat="1" x14ac:dyDescent="0.2">
      <c r="A63" s="87"/>
      <c r="B63" s="74"/>
      <c r="C63" s="75"/>
      <c r="D63" s="51">
        <f>SUM(D56:D62)</f>
        <v>5967123.6299999999</v>
      </c>
      <c r="F63" s="2" t="s">
        <v>396</v>
      </c>
      <c r="G63" s="1"/>
    </row>
    <row r="64" spans="1:14" s="2" customFormat="1" x14ac:dyDescent="0.2">
      <c r="A64" s="24"/>
      <c r="B64" s="1"/>
      <c r="C64" s="14"/>
      <c r="D64" s="56"/>
      <c r="E64" s="13"/>
      <c r="G64" s="1"/>
    </row>
    <row r="65" spans="1:13" s="2" customFormat="1" x14ac:dyDescent="0.2">
      <c r="A65" s="24"/>
      <c r="B65" s="1"/>
      <c r="C65" s="218" t="s">
        <v>77</v>
      </c>
      <c r="D65" s="219"/>
      <c r="E65" s="219"/>
      <c r="F65" s="220"/>
      <c r="H65" s="2" t="s">
        <v>396</v>
      </c>
    </row>
    <row r="66" spans="1:13" s="2" customFormat="1" x14ac:dyDescent="0.2">
      <c r="A66" s="24"/>
      <c r="B66" s="1"/>
      <c r="C66" s="50"/>
      <c r="D66" s="57" t="s">
        <v>78</v>
      </c>
      <c r="E66" s="58" t="s">
        <v>79</v>
      </c>
      <c r="F66" s="57" t="s">
        <v>72</v>
      </c>
      <c r="H66" s="2" t="s">
        <v>396</v>
      </c>
    </row>
    <row r="67" spans="1:13" s="2" customFormat="1" x14ac:dyDescent="0.2">
      <c r="A67" s="24"/>
      <c r="B67" s="1"/>
      <c r="C67" s="59" t="str">
        <f>"01-10-2023 to "&amp;TEXT(A5-2,"dd-mm-yyyy")</f>
        <v>01-10-2023 to 12-10-2023</v>
      </c>
      <c r="D67" s="60">
        <v>787.88</v>
      </c>
      <c r="E67" s="60">
        <v>172.96</v>
      </c>
      <c r="F67" s="61">
        <f>SUM(D67:E67)</f>
        <v>960.84</v>
      </c>
    </row>
    <row r="68" spans="1:13" s="2" customFormat="1" x14ac:dyDescent="0.2">
      <c r="A68" s="24"/>
      <c r="B68" s="1"/>
      <c r="C68" s="62" t="str">
        <f>TEXT(A5-1,"dd-mm-yyyy")</f>
        <v>13-10-2023</v>
      </c>
      <c r="D68" s="60">
        <v>89.05</v>
      </c>
      <c r="E68" s="60">
        <v>27.41</v>
      </c>
      <c r="F68" s="61">
        <f>SUM(D68:E68)</f>
        <v>116.46</v>
      </c>
      <c r="G68" s="1"/>
      <c r="H68" s="53"/>
    </row>
    <row r="69" spans="1:13" s="2" customFormat="1" ht="13.5" thickBot="1" x14ac:dyDescent="0.25">
      <c r="A69" s="24"/>
      <c r="B69" s="1"/>
      <c r="C69" s="63" t="str">
        <f>"01-10-2023 to "&amp;TEXT(A5-1,"dd-mm-yyyy")</f>
        <v>01-10-2023 to 13-10-2023</v>
      </c>
      <c r="D69" s="64">
        <f>SUM(D67:D68)</f>
        <v>876.93</v>
      </c>
      <c r="E69" s="64">
        <f>SUM(E67:E68)</f>
        <v>200.37</v>
      </c>
      <c r="F69" s="64">
        <f>SUM(F67:F68)</f>
        <v>1077.3</v>
      </c>
      <c r="G69" s="1"/>
      <c r="H69" s="53"/>
    </row>
    <row r="70" spans="1:13" s="2" customFormat="1" ht="13.5" thickTop="1" x14ac:dyDescent="0.2">
      <c r="A70" s="24"/>
      <c r="B70" s="1"/>
      <c r="C70" s="62"/>
      <c r="D70" s="65"/>
      <c r="E70" s="66"/>
      <c r="F70" s="67"/>
      <c r="L70" s="1"/>
      <c r="M70" s="1"/>
    </row>
    <row r="71" spans="1:13" s="2" customFormat="1" x14ac:dyDescent="0.2">
      <c r="A71" s="24"/>
      <c r="B71" s="1"/>
      <c r="C71" s="62" t="str">
        <f>"01-04-2023 to " &amp;C68</f>
        <v>01-04-2023 to 13-10-2023</v>
      </c>
      <c r="D71" s="68">
        <f>+D69+27003.42</f>
        <v>27880.35</v>
      </c>
      <c r="E71" s="68">
        <f>+E69+2028.43</f>
        <v>2228.8000000000002</v>
      </c>
      <c r="F71" s="68">
        <f>+F69+29031.85</f>
        <v>30109.149999999998</v>
      </c>
      <c r="G71" s="1"/>
      <c r="L71" s="1"/>
      <c r="M71" s="1"/>
    </row>
    <row r="72" spans="1:13" s="2" customFormat="1" x14ac:dyDescent="0.2">
      <c r="A72" s="24"/>
      <c r="B72" s="1"/>
      <c r="C72" s="52"/>
      <c r="D72" s="85"/>
      <c r="E72" s="53"/>
      <c r="F72" s="53"/>
      <c r="G72" s="1"/>
      <c r="L72" s="1"/>
      <c r="M72" s="1"/>
    </row>
    <row r="73" spans="1:13" s="2" customFormat="1" x14ac:dyDescent="0.2">
      <c r="A73" s="24"/>
      <c r="B73" s="1"/>
      <c r="C73" s="52"/>
      <c r="D73" s="85"/>
      <c r="E73" s="53"/>
      <c r="F73" s="53"/>
      <c r="G73" s="1"/>
      <c r="L73" s="1"/>
      <c r="M73" s="1"/>
    </row>
    <row r="74" spans="1:13" s="2" customFormat="1" x14ac:dyDescent="0.2">
      <c r="A74" s="24"/>
      <c r="B74" s="1"/>
      <c r="C74" s="52"/>
      <c r="D74" s="85"/>
      <c r="E74" s="53"/>
      <c r="F74" s="53"/>
      <c r="G74" s="1"/>
      <c r="L74" s="1"/>
      <c r="M74" s="1"/>
    </row>
    <row r="75" spans="1:13" s="2" customFormat="1" x14ac:dyDescent="0.2">
      <c r="A75" s="24"/>
      <c r="B75" s="1"/>
      <c r="C75" s="52"/>
      <c r="D75" s="85"/>
      <c r="E75" s="53"/>
      <c r="F75" s="53"/>
      <c r="G75" s="1"/>
      <c r="L75" s="1"/>
      <c r="M75" s="1"/>
    </row>
    <row r="76" spans="1:13" s="2" customFormat="1" x14ac:dyDescent="0.2">
      <c r="A76" s="24"/>
      <c r="B76" s="1"/>
      <c r="C76" s="14"/>
      <c r="D76" s="25"/>
      <c r="G76" s="1"/>
      <c r="L76" s="1"/>
      <c r="M76" s="1"/>
    </row>
    <row r="77" spans="1:13" s="2" customFormat="1" x14ac:dyDescent="0.2">
      <c r="A77" s="24"/>
      <c r="B77" s="1"/>
      <c r="C77" s="14"/>
      <c r="D77" s="25"/>
      <c r="G77" s="1"/>
      <c r="L77" s="1"/>
      <c r="M77" s="1"/>
    </row>
    <row r="78" spans="1:13" s="2" customFormat="1" x14ac:dyDescent="0.2">
      <c r="A78" s="24"/>
      <c r="B78" s="1"/>
      <c r="C78" s="14"/>
      <c r="D78" s="25"/>
      <c r="G78" s="1"/>
      <c r="L78" s="1"/>
      <c r="M78" s="1"/>
    </row>
    <row r="79" spans="1:13" s="2" customFormat="1" x14ac:dyDescent="0.2">
      <c r="A79" s="24"/>
      <c r="B79" s="1"/>
      <c r="C79" s="14"/>
      <c r="D79" s="25"/>
      <c r="G79" s="1"/>
      <c r="L79" s="1"/>
      <c r="M79" s="1"/>
    </row>
    <row r="80" spans="1:13" s="2" customFormat="1" x14ac:dyDescent="0.2">
      <c r="A80" s="24"/>
      <c r="B80" s="1"/>
      <c r="C80" s="14"/>
      <c r="D80" s="25"/>
      <c r="G80" s="1"/>
      <c r="L80" s="1"/>
      <c r="M80" s="1"/>
    </row>
    <row r="81" spans="1:14" s="2" customFormat="1" x14ac:dyDescent="0.2">
      <c r="A81" s="24"/>
      <c r="B81" s="1"/>
      <c r="C81" s="14"/>
      <c r="D81" s="25"/>
      <c r="G81" s="1"/>
      <c r="L81" s="1"/>
      <c r="M81" s="1"/>
    </row>
    <row r="82" spans="1:14" s="2" customFormat="1" x14ac:dyDescent="0.2">
      <c r="A82" s="24"/>
      <c r="B82" s="1"/>
      <c r="C82" s="14"/>
      <c r="D82" s="25"/>
      <c r="G82" s="1"/>
      <c r="L82" s="1"/>
      <c r="M82" s="1"/>
    </row>
    <row r="83" spans="1:14" s="2" customFormat="1" x14ac:dyDescent="0.2">
      <c r="A83" s="24"/>
      <c r="B83" s="1"/>
      <c r="C83" s="14"/>
      <c r="D83" s="25"/>
      <c r="G83" s="1"/>
      <c r="L83" s="1"/>
      <c r="M83" s="1"/>
    </row>
    <row r="84" spans="1:14" s="2" customFormat="1" x14ac:dyDescent="0.2">
      <c r="A84" s="24"/>
      <c r="B84" s="1"/>
      <c r="C84" s="14"/>
      <c r="D84" s="25"/>
      <c r="G84" s="1"/>
      <c r="L84" s="1"/>
      <c r="M84" s="1"/>
    </row>
    <row r="85" spans="1:14" s="2" customFormat="1" x14ac:dyDescent="0.2">
      <c r="A85" s="24"/>
      <c r="B85" s="1"/>
      <c r="C85" s="14"/>
      <c r="D85" s="25"/>
      <c r="G85" s="1"/>
      <c r="L85" s="1"/>
      <c r="M85" s="1"/>
    </row>
    <row r="86" spans="1:14" s="2" customFormat="1" x14ac:dyDescent="0.2">
      <c r="A86" s="24"/>
      <c r="B86" s="1"/>
      <c r="C86" s="14"/>
      <c r="D86" s="25"/>
      <c r="G86" s="1"/>
      <c r="L86" s="1"/>
      <c r="M86" s="1"/>
    </row>
    <row r="87" spans="1:14" s="2" customFormat="1" x14ac:dyDescent="0.2">
      <c r="A87" s="24"/>
      <c r="B87" s="1"/>
      <c r="C87" s="14"/>
      <c r="D87" s="25"/>
      <c r="G87" s="1"/>
      <c r="L87" s="1"/>
      <c r="M87" s="1"/>
    </row>
    <row r="88" spans="1:14" s="2" customFormat="1" x14ac:dyDescent="0.2">
      <c r="A88" s="24"/>
      <c r="B88" s="1"/>
      <c r="C88" s="14"/>
      <c r="D88" s="25"/>
      <c r="G88" s="1"/>
      <c r="L88" s="1"/>
      <c r="M88" s="1"/>
    </row>
    <row r="89" spans="1:14" s="2" customFormat="1" x14ac:dyDescent="0.2">
      <c r="A89" s="24"/>
      <c r="B89" s="1"/>
      <c r="C89" s="14"/>
      <c r="D89" s="25"/>
      <c r="G89" s="1"/>
      <c r="L89" s="1"/>
      <c r="M89" s="1"/>
    </row>
    <row r="90" spans="1:14" s="2" customFormat="1" x14ac:dyDescent="0.2">
      <c r="A90" s="24"/>
      <c r="B90" s="1"/>
      <c r="C90" s="14"/>
      <c r="D90" s="25"/>
      <c r="G90" s="1"/>
      <c r="I90" s="1"/>
      <c r="J90" s="1"/>
      <c r="K90" s="1"/>
      <c r="L90" s="1"/>
      <c r="M90" s="1"/>
    </row>
    <row r="91" spans="1:14" s="2" customFormat="1" x14ac:dyDescent="0.2">
      <c r="A91" s="24"/>
      <c r="B91" s="1"/>
      <c r="C91" s="14"/>
      <c r="D91" s="25"/>
      <c r="G91" s="1"/>
    </row>
    <row r="92" spans="1:14" s="2" customFormat="1" x14ac:dyDescent="0.2">
      <c r="A92" s="24"/>
      <c r="B92" s="1"/>
      <c r="C92" s="14"/>
      <c r="D92" s="25"/>
      <c r="G92" s="1"/>
      <c r="I92" s="1"/>
      <c r="J92" s="1"/>
      <c r="K92" s="1"/>
      <c r="L92" s="1"/>
      <c r="M92" s="1"/>
    </row>
    <row r="93" spans="1:14" s="2" customFormat="1" x14ac:dyDescent="0.2">
      <c r="A93" s="24"/>
      <c r="B93" s="1"/>
      <c r="C93" s="14"/>
      <c r="D93" s="25"/>
      <c r="G93" s="54"/>
      <c r="I93" s="1"/>
      <c r="J93" s="1"/>
      <c r="K93" s="1"/>
      <c r="L93" s="1"/>
      <c r="M93" s="1"/>
    </row>
    <row r="94" spans="1:14" s="2" customFormat="1" x14ac:dyDescent="0.2">
      <c r="A94" s="24"/>
      <c r="B94" s="1"/>
      <c r="C94" s="14"/>
      <c r="D94" s="25"/>
      <c r="G94" s="54"/>
      <c r="I94" s="1"/>
      <c r="J94" s="1"/>
      <c r="K94" s="1"/>
      <c r="L94" s="1"/>
      <c r="M94" s="1"/>
    </row>
    <row r="95" spans="1:14" s="2" customFormat="1" x14ac:dyDescent="0.2">
      <c r="A95" s="24"/>
      <c r="B95" s="1"/>
      <c r="C95" s="14"/>
      <c r="D95" s="25"/>
      <c r="G95" s="54"/>
      <c r="I95" s="1"/>
      <c r="J95" s="1"/>
      <c r="K95" s="1"/>
      <c r="L95" s="1"/>
      <c r="M95" s="1"/>
    </row>
    <row r="96" spans="1:14" s="2" customFormat="1" x14ac:dyDescent="0.2">
      <c r="A96" s="24"/>
      <c r="B96" s="1"/>
      <c r="C96" s="14"/>
      <c r="D96" s="25"/>
      <c r="G96" s="54"/>
      <c r="H96" s="2" t="s">
        <v>396</v>
      </c>
      <c r="I96" s="1"/>
      <c r="J96" s="1"/>
      <c r="K96" s="1"/>
      <c r="L96" s="1"/>
      <c r="M96" s="1"/>
      <c r="N96" s="1"/>
    </row>
    <row r="97" spans="1:14" s="2" customFormat="1" x14ac:dyDescent="0.2">
      <c r="A97" s="24"/>
      <c r="B97" s="1"/>
      <c r="C97" s="14"/>
      <c r="D97" s="25"/>
      <c r="G97" s="54"/>
      <c r="H97" s="53"/>
    </row>
    <row r="98" spans="1:14" s="2" customFormat="1" x14ac:dyDescent="0.2">
      <c r="A98" s="24"/>
      <c r="B98" s="1"/>
      <c r="C98" s="14"/>
      <c r="D98" s="25"/>
      <c r="G98" s="54"/>
      <c r="H98" s="53" t="s">
        <v>396</v>
      </c>
      <c r="I98" s="1"/>
      <c r="J98" s="1"/>
      <c r="K98" s="1"/>
      <c r="L98" s="1"/>
      <c r="M98" s="1"/>
      <c r="N98" s="1"/>
    </row>
    <row r="99" spans="1:14" x14ac:dyDescent="0.2">
      <c r="G99" s="54"/>
      <c r="H99" s="53" t="s">
        <v>396</v>
      </c>
      <c r="J99" s="42"/>
    </row>
    <row r="100" spans="1:14" s="2" customFormat="1" x14ac:dyDescent="0.2">
      <c r="A100" s="24"/>
      <c r="B100" s="1"/>
      <c r="C100" s="14"/>
      <c r="D100" s="25"/>
      <c r="G100" s="54"/>
      <c r="H100" s="53"/>
      <c r="I100" s="101"/>
      <c r="J100" s="1"/>
      <c r="K100" s="1"/>
      <c r="L100" s="1"/>
      <c r="M100" s="1"/>
      <c r="N100" s="1"/>
    </row>
    <row r="101" spans="1:14" x14ac:dyDescent="0.2">
      <c r="G101" s="54"/>
      <c r="H101" s="53"/>
    </row>
    <row r="102" spans="1:14" x14ac:dyDescent="0.2">
      <c r="G102" s="54"/>
      <c r="H102" s="53"/>
    </row>
    <row r="103" spans="1:14" x14ac:dyDescent="0.2">
      <c r="G103" s="54"/>
      <c r="H103" s="53"/>
    </row>
  </sheetData>
  <sheetProtection insertRows="0"/>
  <mergeCells count="6">
    <mergeCell ref="C65:F65"/>
    <mergeCell ref="A1:G1"/>
    <mergeCell ref="A3:F3"/>
    <mergeCell ref="A9:F9"/>
    <mergeCell ref="A21:F21"/>
    <mergeCell ref="A54:D54"/>
  </mergeCells>
  <conditionalFormatting sqref="G51:G52">
    <cfRule type="cellIs" dxfId="267" priority="1" operator="lessThan">
      <formula>0</formula>
    </cfRule>
  </conditionalFormatting>
  <conditionalFormatting sqref="C23">
    <cfRule type="duplicateValues" dxfId="266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D00-000000000000}">
  <sheetPr codeName="Sheet453">
    <pageSetUpPr fitToPage="1"/>
  </sheetPr>
  <dimension ref="A1:N122"/>
  <sheetViews>
    <sheetView topLeftCell="A17" zoomScaleNormal="100" workbookViewId="0">
      <selection activeCell="C38" sqref="C38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1" ht="20.25" customHeight="1" x14ac:dyDescent="0.4">
      <c r="A1" s="212" t="s">
        <v>1677</v>
      </c>
      <c r="B1" s="212"/>
      <c r="C1" s="212"/>
      <c r="D1" s="212"/>
      <c r="E1" s="212"/>
      <c r="F1" s="212"/>
      <c r="G1" s="212"/>
      <c r="H1" s="112"/>
      <c r="I1" s="112"/>
    </row>
    <row r="2" spans="1:11" ht="12.75" customHeight="1" x14ac:dyDescent="0.4">
      <c r="H2" s="112"/>
      <c r="I2" s="112"/>
    </row>
    <row r="3" spans="1:11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1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1" s="2" customFormat="1" ht="14.25" customHeight="1" x14ac:dyDescent="0.4">
      <c r="A5" s="89">
        <v>45215</v>
      </c>
      <c r="B5" s="9" t="s">
        <v>6</v>
      </c>
      <c r="C5" s="10" t="s">
        <v>7</v>
      </c>
      <c r="D5" s="11"/>
      <c r="E5" s="12">
        <v>663856.71000000183</v>
      </c>
      <c r="F5" s="12"/>
      <c r="G5" s="1"/>
      <c r="H5" s="112"/>
      <c r="I5" s="112"/>
    </row>
    <row r="6" spans="1:11" s="2" customFormat="1" ht="12.75" customHeight="1" x14ac:dyDescent="0.4">
      <c r="D6" s="15" t="s">
        <v>8</v>
      </c>
      <c r="E6" s="16">
        <f>SUM(E5:E5)</f>
        <v>663856.71000000183</v>
      </c>
      <c r="F6" s="16">
        <f>F5</f>
        <v>0</v>
      </c>
      <c r="G6" s="1"/>
      <c r="H6" s="112"/>
      <c r="I6" s="112"/>
    </row>
    <row r="7" spans="1:11" s="2" customFormat="1" ht="12.75" customHeight="1" x14ac:dyDescent="0.4">
      <c r="A7" s="17"/>
      <c r="B7" s="18"/>
      <c r="C7" s="19" t="s">
        <v>9</v>
      </c>
      <c r="D7" s="20"/>
      <c r="E7" s="21">
        <f>+E6-F6</f>
        <v>663856.71000000183</v>
      </c>
      <c r="F7" s="22"/>
      <c r="G7" s="23"/>
      <c r="H7" s="112"/>
      <c r="I7" s="112"/>
      <c r="J7" s="13"/>
    </row>
    <row r="8" spans="1:11" ht="12.75" customHeight="1" x14ac:dyDescent="0.4">
      <c r="H8" s="112"/>
      <c r="I8" s="112"/>
    </row>
    <row r="9" spans="1:11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69">
        <v>90000000</v>
      </c>
      <c r="J9" s="169" t="s">
        <v>1508</v>
      </c>
    </row>
    <row r="10" spans="1:11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69">
        <v>88570577.879999995</v>
      </c>
      <c r="J10" s="169" t="s">
        <v>1509</v>
      </c>
      <c r="K10" s="124"/>
    </row>
    <row r="11" spans="1:11" s="2" customFormat="1" ht="14.25" customHeight="1" x14ac:dyDescent="0.2">
      <c r="A11" s="89">
        <v>45215</v>
      </c>
      <c r="B11" s="9" t="s">
        <v>6</v>
      </c>
      <c r="C11" s="10" t="s">
        <v>7</v>
      </c>
      <c r="D11" s="11"/>
      <c r="F11" s="12">
        <v>85078008.769999996</v>
      </c>
      <c r="G11" s="1"/>
      <c r="H11" s="130" t="s">
        <v>396</v>
      </c>
      <c r="I11" s="169">
        <f>+I9-I10</f>
        <v>1429422.1200000048</v>
      </c>
      <c r="J11" s="169" t="s">
        <v>712</v>
      </c>
      <c r="K11" s="165" t="s">
        <v>1512</v>
      </c>
    </row>
    <row r="12" spans="1:11" s="2" customFormat="1" ht="14.25" customHeight="1" x14ac:dyDescent="0.2">
      <c r="A12" s="89">
        <v>45215</v>
      </c>
      <c r="B12" s="9" t="s">
        <v>6</v>
      </c>
      <c r="C12" s="76" t="s">
        <v>419</v>
      </c>
      <c r="D12" s="11" t="s">
        <v>13</v>
      </c>
      <c r="E12" s="2">
        <v>7350</v>
      </c>
      <c r="F12" s="12"/>
      <c r="G12" s="1"/>
      <c r="H12" s="130"/>
      <c r="I12" s="169"/>
      <c r="J12" s="169"/>
      <c r="K12" s="165"/>
    </row>
    <row r="13" spans="1:11" s="2" customFormat="1" ht="14.25" customHeight="1" x14ac:dyDescent="0.2">
      <c r="A13" s="89">
        <v>45215</v>
      </c>
      <c r="B13" s="9" t="s">
        <v>6</v>
      </c>
      <c r="C13" s="76" t="s">
        <v>1137</v>
      </c>
      <c r="D13" s="11" t="s">
        <v>29</v>
      </c>
      <c r="E13" s="2">
        <v>31411.38</v>
      </c>
      <c r="F13" s="12"/>
      <c r="G13" s="1"/>
      <c r="H13" s="130"/>
      <c r="I13" s="169"/>
      <c r="J13" s="169"/>
      <c r="K13" s="165"/>
    </row>
    <row r="14" spans="1:11" s="2" customFormat="1" ht="14.25" customHeight="1" x14ac:dyDescent="0.2">
      <c r="A14" s="89">
        <v>45215</v>
      </c>
      <c r="B14" s="9" t="s">
        <v>6</v>
      </c>
      <c r="C14" s="76" t="s">
        <v>452</v>
      </c>
      <c r="D14" s="11" t="s">
        <v>29</v>
      </c>
      <c r="F14" s="12">
        <v>181253</v>
      </c>
      <c r="G14" s="1"/>
      <c r="H14" s="130"/>
      <c r="I14" s="169"/>
      <c r="J14" s="169"/>
      <c r="K14" s="165"/>
    </row>
    <row r="15" spans="1:11" s="2" customFormat="1" ht="14.25" customHeight="1" x14ac:dyDescent="0.2">
      <c r="A15" s="89">
        <v>45215</v>
      </c>
      <c r="B15" s="9" t="s">
        <v>6</v>
      </c>
      <c r="C15" s="76" t="s">
        <v>729</v>
      </c>
      <c r="D15" s="11" t="s">
        <v>29</v>
      </c>
      <c r="F15" s="12">
        <v>5400.49</v>
      </c>
      <c r="G15" s="1"/>
      <c r="H15" s="130"/>
      <c r="I15" s="169"/>
      <c r="J15" s="169"/>
      <c r="K15" s="165"/>
    </row>
    <row r="16" spans="1:11" s="2" customFormat="1" ht="14.25" customHeight="1" x14ac:dyDescent="0.2">
      <c r="A16" s="89">
        <v>45215</v>
      </c>
      <c r="B16" s="9" t="s">
        <v>6</v>
      </c>
      <c r="C16" s="76" t="s">
        <v>603</v>
      </c>
      <c r="D16" s="11" t="s">
        <v>29</v>
      </c>
      <c r="F16" s="12">
        <v>190000</v>
      </c>
      <c r="G16" s="1"/>
      <c r="H16" s="130"/>
      <c r="I16" s="169"/>
      <c r="J16" s="169"/>
      <c r="K16" s="165"/>
    </row>
    <row r="17" spans="1:13" s="2" customFormat="1" ht="14.25" customHeight="1" x14ac:dyDescent="0.2">
      <c r="A17" s="89">
        <v>45215</v>
      </c>
      <c r="B17" s="9" t="s">
        <v>6</v>
      </c>
      <c r="C17" s="76" t="s">
        <v>1079</v>
      </c>
      <c r="D17" s="11" t="s">
        <v>29</v>
      </c>
      <c r="F17" s="12">
        <v>5015</v>
      </c>
      <c r="G17" s="1"/>
      <c r="H17" s="130"/>
      <c r="I17" s="169"/>
      <c r="J17" s="169"/>
      <c r="K17" s="165"/>
    </row>
    <row r="18" spans="1:13" s="2" customFormat="1" ht="14.25" customHeight="1" x14ac:dyDescent="0.2">
      <c r="A18" s="89">
        <v>45215</v>
      </c>
      <c r="B18" s="9" t="s">
        <v>6</v>
      </c>
      <c r="C18" s="76" t="s">
        <v>496</v>
      </c>
      <c r="D18" s="11" t="s">
        <v>29</v>
      </c>
      <c r="F18" s="12">
        <v>368160</v>
      </c>
      <c r="G18" s="1"/>
      <c r="H18" s="130"/>
      <c r="I18" s="169"/>
      <c r="J18" s="169"/>
      <c r="K18" s="165"/>
    </row>
    <row r="19" spans="1:13" s="2" customFormat="1" ht="14.25" customHeight="1" x14ac:dyDescent="0.2">
      <c r="A19" s="89">
        <v>45215</v>
      </c>
      <c r="B19" s="9" t="s">
        <v>6</v>
      </c>
      <c r="C19" s="76" t="s">
        <v>823</v>
      </c>
      <c r="D19" s="11" t="s">
        <v>29</v>
      </c>
      <c r="F19" s="12">
        <v>12334</v>
      </c>
      <c r="G19" s="1"/>
      <c r="H19" s="130"/>
      <c r="I19" s="169"/>
      <c r="J19" s="169"/>
      <c r="K19" s="165"/>
    </row>
    <row r="20" spans="1:13" s="2" customFormat="1" ht="14.25" customHeight="1" x14ac:dyDescent="0.2">
      <c r="A20" s="89">
        <v>45215</v>
      </c>
      <c r="B20" s="9" t="s">
        <v>6</v>
      </c>
      <c r="C20" s="76" t="s">
        <v>242</v>
      </c>
      <c r="D20" s="11" t="s">
        <v>29</v>
      </c>
      <c r="F20" s="12">
        <v>4240</v>
      </c>
      <c r="G20" s="1"/>
      <c r="H20" s="130"/>
      <c r="I20" s="169"/>
      <c r="J20" s="169"/>
      <c r="K20" s="165"/>
    </row>
    <row r="21" spans="1:13" s="2" customFormat="1" ht="14.25" customHeight="1" x14ac:dyDescent="0.2">
      <c r="A21" s="89">
        <v>45215</v>
      </c>
      <c r="B21" s="9" t="s">
        <v>6</v>
      </c>
      <c r="C21" s="76" t="s">
        <v>171</v>
      </c>
      <c r="D21" s="11" t="s">
        <v>29</v>
      </c>
      <c r="F21" s="12">
        <v>6447</v>
      </c>
      <c r="G21" s="1"/>
      <c r="H21" s="130"/>
      <c r="I21" s="169"/>
      <c r="J21" s="169"/>
      <c r="K21" s="165"/>
    </row>
    <row r="22" spans="1:13" s="2" customFormat="1" ht="14.25" customHeight="1" x14ac:dyDescent="0.2">
      <c r="A22" s="89">
        <v>45215</v>
      </c>
      <c r="B22" s="9" t="s">
        <v>6</v>
      </c>
      <c r="C22" s="76" t="s">
        <v>235</v>
      </c>
      <c r="D22" s="11" t="s">
        <v>29</v>
      </c>
      <c r="F22" s="12">
        <v>6053</v>
      </c>
      <c r="G22" s="1"/>
      <c r="H22" s="130"/>
      <c r="I22" s="169"/>
      <c r="J22" s="169"/>
      <c r="K22" s="165"/>
    </row>
    <row r="23" spans="1:13" s="2" customFormat="1" ht="14.25" customHeight="1" x14ac:dyDescent="0.2">
      <c r="A23" s="89">
        <v>45215</v>
      </c>
      <c r="B23" s="9" t="s">
        <v>6</v>
      </c>
      <c r="C23" s="76" t="s">
        <v>500</v>
      </c>
      <c r="D23" s="11" t="s">
        <v>29</v>
      </c>
      <c r="F23" s="12">
        <v>2738537</v>
      </c>
      <c r="G23" s="1"/>
      <c r="H23" s="130"/>
      <c r="I23" s="169"/>
      <c r="J23" s="169"/>
      <c r="K23" s="165"/>
    </row>
    <row r="24" spans="1:13" s="2" customFormat="1" ht="14.25" customHeight="1" x14ac:dyDescent="0.2">
      <c r="A24" s="89">
        <v>45215</v>
      </c>
      <c r="B24" s="9" t="s">
        <v>6</v>
      </c>
      <c r="C24" s="76" t="s">
        <v>1678</v>
      </c>
      <c r="D24" s="11" t="s">
        <v>29</v>
      </c>
      <c r="F24" s="12">
        <v>6451</v>
      </c>
      <c r="G24" s="1"/>
      <c r="H24" s="130"/>
      <c r="I24" s="169"/>
      <c r="J24" s="169"/>
      <c r="K24" s="165"/>
    </row>
    <row r="25" spans="1:13" s="2" customFormat="1" ht="14.25" customHeight="1" x14ac:dyDescent="0.2">
      <c r="A25" s="89">
        <v>45215</v>
      </c>
      <c r="B25" s="9" t="s">
        <v>11</v>
      </c>
      <c r="C25" s="76" t="s">
        <v>1137</v>
      </c>
      <c r="D25" s="11" t="s">
        <v>29</v>
      </c>
      <c r="F25" s="12">
        <v>90</v>
      </c>
      <c r="G25" s="1"/>
      <c r="H25" s="130"/>
      <c r="I25" s="171"/>
      <c r="J25" s="171"/>
      <c r="K25" s="165"/>
    </row>
    <row r="26" spans="1:13" s="2" customFormat="1" ht="14.25" customHeight="1" x14ac:dyDescent="0.2">
      <c r="D26" s="11" t="s">
        <v>8</v>
      </c>
      <c r="E26" s="16">
        <f>SUM(E11:E25)</f>
        <v>38761.380000000005</v>
      </c>
      <c r="F26" s="16">
        <f>SUM(F11:F25)</f>
        <v>88601989.25999999</v>
      </c>
      <c r="G26" s="1"/>
      <c r="H26" s="143"/>
      <c r="I26" s="130"/>
      <c r="J26" s="143"/>
      <c r="K26" s="143"/>
      <c r="L26" s="143"/>
      <c r="M26" s="143"/>
    </row>
    <row r="27" spans="1:13" s="2" customFormat="1" ht="14.25" customHeight="1" x14ac:dyDescent="0.4">
      <c r="A27" s="17"/>
      <c r="B27" s="18"/>
      <c r="C27" s="96" t="s">
        <v>9</v>
      </c>
      <c r="D27" s="20"/>
      <c r="E27" s="21">
        <f>+F26-E26</f>
        <v>88563227.879999995</v>
      </c>
      <c r="G27" s="1"/>
      <c r="I27" s="112"/>
      <c r="J27" s="153" t="s">
        <v>779</v>
      </c>
    </row>
    <row r="28" spans="1:13" s="2" customFormat="1" ht="14.25" customHeight="1" x14ac:dyDescent="0.2">
      <c r="A28" s="36"/>
      <c r="B28" s="28" t="s">
        <v>66</v>
      </c>
      <c r="C28" s="43" t="s">
        <v>1458</v>
      </c>
      <c r="D28" s="43"/>
      <c r="E28" s="12">
        <v>30000000</v>
      </c>
      <c r="F28" s="22"/>
      <c r="G28" s="1"/>
      <c r="I28" s="40">
        <v>88563227.879999995</v>
      </c>
      <c r="J28" s="154">
        <f>I28-E27</f>
        <v>0</v>
      </c>
    </row>
    <row r="29" spans="1:13" s="2" customFormat="1" ht="14.25" customHeight="1" x14ac:dyDescent="0.25">
      <c r="A29" s="36"/>
      <c r="B29" s="28"/>
      <c r="C29" s="44" t="s">
        <v>1541</v>
      </c>
      <c r="D29" s="43"/>
      <c r="E29" s="7">
        <f>+E27+E28</f>
        <v>118563227.88</v>
      </c>
      <c r="F29" s="22"/>
      <c r="G29" s="1"/>
      <c r="H29" s="13" t="s">
        <v>1582</v>
      </c>
      <c r="I29" s="13" t="s">
        <v>1583</v>
      </c>
    </row>
    <row r="30" spans="1:13" s="2" customFormat="1" ht="14.25" customHeight="1" x14ac:dyDescent="0.25">
      <c r="A30" s="36"/>
      <c r="B30" s="28"/>
      <c r="C30" s="44" t="s">
        <v>1511</v>
      </c>
      <c r="D30" s="43"/>
      <c r="E30" s="38">
        <f>+I11</f>
        <v>1429422.1200000048</v>
      </c>
      <c r="F30" s="22"/>
      <c r="G30" s="1"/>
      <c r="H30" s="2">
        <v>8740345.5899999999</v>
      </c>
      <c r="I30" s="2">
        <v>7116575</v>
      </c>
      <c r="J30" s="176">
        <f>H30-I30</f>
        <v>1623770.5899999999</v>
      </c>
    </row>
    <row r="31" spans="1:13" s="2" customFormat="1" ht="14.25" customHeight="1" x14ac:dyDescent="0.2">
      <c r="A31" s="24"/>
      <c r="B31" s="1"/>
      <c r="C31" s="14"/>
      <c r="D31" s="25"/>
      <c r="G31" s="1"/>
      <c r="I31" s="130"/>
      <c r="J31" s="130"/>
    </row>
    <row r="32" spans="1:13" s="2" customFormat="1" x14ac:dyDescent="0.2">
      <c r="A32" s="214" t="s">
        <v>10</v>
      </c>
      <c r="B32" s="214"/>
      <c r="C32" s="214"/>
      <c r="D32" s="214"/>
      <c r="E32" s="214"/>
      <c r="F32" s="214"/>
      <c r="G32" s="1"/>
      <c r="H32" s="159"/>
      <c r="I32" s="160">
        <f>225000000-75000000-50000000</f>
        <v>100000000</v>
      </c>
      <c r="J32" s="160" t="s">
        <v>1506</v>
      </c>
      <c r="K32" s="70"/>
    </row>
    <row r="33" spans="1:14" s="2" customFormat="1" x14ac:dyDescent="0.2">
      <c r="A33" s="26" t="s">
        <v>1</v>
      </c>
      <c r="B33" s="27" t="s">
        <v>2</v>
      </c>
      <c r="C33" s="5"/>
      <c r="D33" s="6" t="s">
        <v>3</v>
      </c>
      <c r="E33" s="7" t="s">
        <v>4</v>
      </c>
      <c r="F33" s="7" t="s">
        <v>5</v>
      </c>
      <c r="G33" s="1"/>
      <c r="H33" s="159"/>
      <c r="I33" s="160">
        <v>80637045.269999996</v>
      </c>
      <c r="J33" s="160" t="s">
        <v>1507</v>
      </c>
      <c r="K33" s="70" t="s">
        <v>1512</v>
      </c>
    </row>
    <row r="34" spans="1:14" s="2" customFormat="1" x14ac:dyDescent="0.2">
      <c r="A34" s="89">
        <v>45215</v>
      </c>
      <c r="B34" s="128" t="s">
        <v>11</v>
      </c>
      <c r="C34" s="29" t="s">
        <v>7</v>
      </c>
      <c r="D34" s="25"/>
      <c r="E34" s="31"/>
      <c r="F34" s="2">
        <v>77585779.840000093</v>
      </c>
      <c r="G34" s="23"/>
      <c r="H34" s="159" t="s">
        <v>1505</v>
      </c>
      <c r="I34" s="160">
        <f>+I32-I33</f>
        <v>19362954.730000004</v>
      </c>
      <c r="J34" s="160"/>
      <c r="K34" s="70"/>
    </row>
    <row r="35" spans="1:14" s="2" customFormat="1" x14ac:dyDescent="0.2">
      <c r="A35" s="89">
        <v>45215</v>
      </c>
      <c r="B35" s="128" t="s">
        <v>6</v>
      </c>
      <c r="C35" s="10" t="s">
        <v>625</v>
      </c>
      <c r="D35" s="11" t="s">
        <v>13</v>
      </c>
      <c r="E35" s="86">
        <v>832658</v>
      </c>
      <c r="F35" s="70"/>
      <c r="G35" s="1"/>
      <c r="N35" s="1"/>
    </row>
    <row r="36" spans="1:14" s="2" customFormat="1" x14ac:dyDescent="0.2">
      <c r="A36" s="89">
        <v>45215</v>
      </c>
      <c r="B36" s="128" t="s">
        <v>6</v>
      </c>
      <c r="C36" s="10" t="s">
        <v>332</v>
      </c>
      <c r="D36" s="11" t="s">
        <v>13</v>
      </c>
      <c r="E36" s="86">
        <v>20061</v>
      </c>
      <c r="F36" s="70"/>
      <c r="G36" s="1"/>
      <c r="N36" s="1"/>
    </row>
    <row r="37" spans="1:14" s="2" customFormat="1" x14ac:dyDescent="0.2">
      <c r="A37" s="89">
        <v>45215</v>
      </c>
      <c r="B37" s="128" t="s">
        <v>6</v>
      </c>
      <c r="C37" s="10" t="s">
        <v>503</v>
      </c>
      <c r="D37" s="11" t="s">
        <v>13</v>
      </c>
      <c r="E37" s="86">
        <v>308188.01</v>
      </c>
      <c r="F37" s="70"/>
      <c r="G37" s="1"/>
      <c r="N37" s="1"/>
    </row>
    <row r="38" spans="1:14" s="2" customFormat="1" x14ac:dyDescent="0.2">
      <c r="A38" s="89">
        <v>45215</v>
      </c>
      <c r="B38" s="128" t="s">
        <v>6</v>
      </c>
      <c r="C38" s="10" t="s">
        <v>326</v>
      </c>
      <c r="D38" s="11" t="s">
        <v>13</v>
      </c>
      <c r="E38" s="86">
        <v>1310101</v>
      </c>
      <c r="F38" s="70"/>
      <c r="G38" s="1"/>
      <c r="N38" s="1"/>
    </row>
    <row r="39" spans="1:14" s="2" customFormat="1" x14ac:dyDescent="0.2">
      <c r="A39" s="89">
        <v>45215</v>
      </c>
      <c r="B39" s="128" t="s">
        <v>6</v>
      </c>
      <c r="C39" s="10" t="s">
        <v>1679</v>
      </c>
      <c r="D39" s="11" t="s">
        <v>13</v>
      </c>
      <c r="E39" s="86">
        <v>5987300</v>
      </c>
      <c r="F39" s="70"/>
      <c r="G39" s="1"/>
      <c r="N39" s="1"/>
    </row>
    <row r="40" spans="1:14" s="2" customFormat="1" x14ac:dyDescent="0.2">
      <c r="A40" s="89">
        <v>45215</v>
      </c>
      <c r="B40" s="128" t="s">
        <v>6</v>
      </c>
      <c r="C40" s="10" t="s">
        <v>557</v>
      </c>
      <c r="D40" s="11" t="s">
        <v>13</v>
      </c>
      <c r="E40" s="86">
        <v>22943</v>
      </c>
      <c r="F40" s="70"/>
      <c r="G40" s="1"/>
      <c r="N40" s="1"/>
    </row>
    <row r="41" spans="1:14" s="2" customFormat="1" x14ac:dyDescent="0.2">
      <c r="A41" s="89">
        <v>45215</v>
      </c>
      <c r="B41" s="128" t="s">
        <v>6</v>
      </c>
      <c r="C41" s="10" t="s">
        <v>1274</v>
      </c>
      <c r="D41" s="11" t="s">
        <v>13</v>
      </c>
      <c r="E41" s="86">
        <v>9240</v>
      </c>
      <c r="F41" s="70"/>
      <c r="G41" s="1"/>
      <c r="N41" s="1"/>
    </row>
    <row r="42" spans="1:14" s="2" customFormat="1" x14ac:dyDescent="0.2">
      <c r="A42" s="89">
        <v>45215</v>
      </c>
      <c r="B42" s="128" t="s">
        <v>6</v>
      </c>
      <c r="C42" s="10" t="s">
        <v>120</v>
      </c>
      <c r="D42" s="11" t="s">
        <v>13</v>
      </c>
      <c r="E42" s="86">
        <v>6452</v>
      </c>
      <c r="F42" s="70"/>
      <c r="G42" s="1"/>
      <c r="N42" s="1"/>
    </row>
    <row r="43" spans="1:14" s="2" customFormat="1" x14ac:dyDescent="0.2">
      <c r="A43" s="89">
        <v>45215</v>
      </c>
      <c r="B43" s="128" t="s">
        <v>6</v>
      </c>
      <c r="C43" s="10" t="s">
        <v>1235</v>
      </c>
      <c r="D43" s="11" t="s">
        <v>13</v>
      </c>
      <c r="E43" s="86">
        <v>996025</v>
      </c>
      <c r="F43" s="70"/>
      <c r="G43" s="1"/>
      <c r="N43" s="1"/>
    </row>
    <row r="44" spans="1:14" s="2" customFormat="1" x14ac:dyDescent="0.2">
      <c r="A44" s="89">
        <v>45215</v>
      </c>
      <c r="B44" s="128" t="s">
        <v>6</v>
      </c>
      <c r="C44" s="10" t="s">
        <v>316</v>
      </c>
      <c r="D44" s="11" t="s">
        <v>13</v>
      </c>
      <c r="E44" s="86">
        <v>51880</v>
      </c>
      <c r="F44" s="70"/>
      <c r="G44" s="1"/>
      <c r="N44" s="1"/>
    </row>
    <row r="45" spans="1:14" s="2" customFormat="1" x14ac:dyDescent="0.2">
      <c r="A45" s="89">
        <v>45215</v>
      </c>
      <c r="B45" s="128" t="s">
        <v>6</v>
      </c>
      <c r="C45" s="10" t="s">
        <v>678</v>
      </c>
      <c r="D45" s="11" t="s">
        <v>13</v>
      </c>
      <c r="E45" s="86">
        <v>200000</v>
      </c>
      <c r="F45" s="70"/>
      <c r="G45" s="1"/>
      <c r="N45" s="1"/>
    </row>
    <row r="46" spans="1:14" s="2" customFormat="1" x14ac:dyDescent="0.2">
      <c r="A46" s="89">
        <v>45215</v>
      </c>
      <c r="B46" s="128" t="s">
        <v>11</v>
      </c>
      <c r="C46" s="10" t="s">
        <v>1403</v>
      </c>
      <c r="D46" s="11" t="s">
        <v>29</v>
      </c>
      <c r="E46" s="86"/>
      <c r="F46" s="70">
        <v>4139023</v>
      </c>
      <c r="G46" s="1"/>
      <c r="N46" s="1"/>
    </row>
    <row r="47" spans="1:14" s="2" customFormat="1" x14ac:dyDescent="0.2">
      <c r="A47" s="89">
        <v>45215</v>
      </c>
      <c r="B47" s="128" t="s">
        <v>11</v>
      </c>
      <c r="C47" s="10" t="s">
        <v>107</v>
      </c>
      <c r="D47" s="11" t="s">
        <v>29</v>
      </c>
      <c r="E47" s="86"/>
      <c r="F47" s="70">
        <v>1116376.68</v>
      </c>
      <c r="G47" s="1"/>
      <c r="N47" s="1"/>
    </row>
    <row r="48" spans="1:14" s="2" customFormat="1" x14ac:dyDescent="0.2">
      <c r="A48" s="89">
        <v>45215</v>
      </c>
      <c r="B48" s="128" t="s">
        <v>11</v>
      </c>
      <c r="C48" s="10" t="s">
        <v>260</v>
      </c>
      <c r="D48" s="11" t="s">
        <v>29</v>
      </c>
      <c r="E48" s="86"/>
      <c r="F48" s="70">
        <v>4243136.71</v>
      </c>
      <c r="G48" s="1"/>
      <c r="N48" s="1"/>
    </row>
    <row r="49" spans="1:14" s="2" customFormat="1" x14ac:dyDescent="0.2">
      <c r="A49" s="89">
        <v>45215</v>
      </c>
      <c r="B49" s="128" t="s">
        <v>11</v>
      </c>
      <c r="C49" s="10" t="s">
        <v>754</v>
      </c>
      <c r="D49" s="11" t="s">
        <v>29</v>
      </c>
      <c r="E49" s="86"/>
      <c r="F49" s="70">
        <v>1673806.46</v>
      </c>
      <c r="G49" s="1"/>
      <c r="N49" s="1"/>
    </row>
    <row r="50" spans="1:14" s="2" customFormat="1" x14ac:dyDescent="0.2">
      <c r="A50" s="32"/>
      <c r="B50" s="33"/>
      <c r="C50" s="14"/>
      <c r="D50" s="34"/>
      <c r="E50" s="16">
        <f>SUM(E34:E49)</f>
        <v>9744848.0099999998</v>
      </c>
      <c r="F50" s="16">
        <f>SUM(F34:F49)</f>
        <v>88758122.690000087</v>
      </c>
      <c r="G50" s="1"/>
      <c r="H50" s="1"/>
      <c r="I50" s="38">
        <v>79013274.680000007</v>
      </c>
      <c r="J50" s="2" t="s">
        <v>396</v>
      </c>
      <c r="K50" s="92">
        <f>E51-I50</f>
        <v>0</v>
      </c>
      <c r="N50" s="1"/>
    </row>
    <row r="51" spans="1:14" s="2" customFormat="1" x14ac:dyDescent="0.2">
      <c r="A51" s="36"/>
      <c r="B51" s="28" t="s">
        <v>11</v>
      </c>
      <c r="C51" s="19" t="s">
        <v>65</v>
      </c>
      <c r="D51" s="37"/>
      <c r="E51" s="38">
        <f>F50-E50</f>
        <v>79013274.680000082</v>
      </c>
      <c r="F51" s="22"/>
      <c r="G51" s="1"/>
      <c r="H51" s="1"/>
      <c r="I51" s="70"/>
      <c r="J51" s="70"/>
      <c r="K51" s="70"/>
      <c r="N51" s="1"/>
    </row>
    <row r="52" spans="1:14" s="2" customFormat="1" x14ac:dyDescent="0.2">
      <c r="A52" s="36"/>
      <c r="B52" s="28" t="s">
        <v>66</v>
      </c>
      <c r="C52" s="19" t="s">
        <v>67</v>
      </c>
      <c r="D52" s="37"/>
      <c r="E52" s="38">
        <v>6500000</v>
      </c>
      <c r="F52" s="22"/>
      <c r="G52" s="1"/>
      <c r="H52" s="70"/>
      <c r="I52" s="70"/>
      <c r="J52" s="70"/>
      <c r="K52" s="70"/>
      <c r="N52" s="1"/>
    </row>
    <row r="53" spans="1:14" s="2" customFormat="1" x14ac:dyDescent="0.2">
      <c r="A53" s="36"/>
      <c r="B53" s="28" t="s">
        <v>66</v>
      </c>
      <c r="C53" s="43" t="s">
        <v>1457</v>
      </c>
      <c r="D53" s="43"/>
      <c r="E53" s="12">
        <f>275000000+75000000+50000000</f>
        <v>400000000</v>
      </c>
      <c r="F53" s="22"/>
      <c r="G53" s="1"/>
      <c r="H53" s="70"/>
      <c r="I53" s="45">
        <v>1326.62</v>
      </c>
      <c r="J53" s="46"/>
      <c r="K53" s="46"/>
      <c r="N53" s="1"/>
    </row>
    <row r="54" spans="1:14" s="2" customFormat="1" ht="15" x14ac:dyDescent="0.25">
      <c r="A54" s="36"/>
      <c r="B54" s="28"/>
      <c r="C54" s="44" t="s">
        <v>1541</v>
      </c>
      <c r="D54" s="43"/>
      <c r="E54" s="7">
        <f>+E53+E51+E52</f>
        <v>485513274.68000007</v>
      </c>
      <c r="F54" s="22"/>
      <c r="G54" s="1"/>
      <c r="H54" s="103" t="s">
        <v>69</v>
      </c>
      <c r="I54" s="45">
        <v>-170.83</v>
      </c>
      <c r="J54" s="46"/>
      <c r="K54" s="46"/>
      <c r="N54" s="1"/>
    </row>
    <row r="55" spans="1:14" s="2" customFormat="1" ht="15" x14ac:dyDescent="0.25">
      <c r="A55" s="24"/>
      <c r="B55" s="1"/>
      <c r="C55" s="44" t="s">
        <v>1510</v>
      </c>
      <c r="D55" s="25"/>
      <c r="E55" s="156">
        <f>+I34-E52+H30-I30</f>
        <v>14486725.320000004</v>
      </c>
      <c r="G55" s="1"/>
      <c r="H55" s="35" t="s">
        <v>70</v>
      </c>
      <c r="I55" s="45">
        <v>36.590000000000003</v>
      </c>
      <c r="J55" s="46">
        <f>+I56-D58</f>
        <v>0</v>
      </c>
      <c r="N55" s="1"/>
    </row>
    <row r="56" spans="1:14" s="124" customFormat="1" ht="12.75" customHeight="1" x14ac:dyDescent="0.2">
      <c r="A56" s="24"/>
      <c r="B56" s="1"/>
      <c r="C56" s="56"/>
      <c r="D56" s="56"/>
      <c r="E56" s="104"/>
      <c r="F56" s="2"/>
      <c r="G56" s="166"/>
      <c r="H56" s="70"/>
      <c r="I56" s="49">
        <f>SUM(I53:I55)</f>
        <v>1192.3799999999999</v>
      </c>
      <c r="J56" s="46"/>
      <c r="K56" s="46"/>
    </row>
    <row r="57" spans="1:14" s="124" customFormat="1" ht="12.75" customHeight="1" x14ac:dyDescent="0.2">
      <c r="A57" s="24"/>
      <c r="B57" s="1"/>
      <c r="C57" s="78" t="s">
        <v>575</v>
      </c>
      <c r="D57" s="48" t="s">
        <v>576</v>
      </c>
      <c r="E57" s="104"/>
      <c r="F57" s="2"/>
      <c r="G57" s="168"/>
      <c r="H57" s="167"/>
      <c r="I57" s="167"/>
      <c r="J57" s="168"/>
    </row>
    <row r="58" spans="1:14" s="124" customFormat="1" ht="12.75" customHeight="1" x14ac:dyDescent="0.2">
      <c r="A58" s="24"/>
      <c r="B58" s="1"/>
      <c r="C58" s="47" t="s">
        <v>570</v>
      </c>
      <c r="D58" s="111">
        <v>1192.3800000000001</v>
      </c>
      <c r="E58" s="104"/>
      <c r="F58" s="2"/>
      <c r="G58" s="168"/>
      <c r="H58" s="110" t="s">
        <v>581</v>
      </c>
      <c r="I58" s="167"/>
      <c r="J58" s="168"/>
    </row>
    <row r="59" spans="1:14" s="124" customFormat="1" ht="12.75" customHeight="1" x14ac:dyDescent="0.2">
      <c r="A59" s="24"/>
      <c r="B59" s="1"/>
      <c r="C59" s="47" t="s">
        <v>931</v>
      </c>
      <c r="D59" s="111">
        <v>161.19999999999999</v>
      </c>
      <c r="E59" s="104"/>
      <c r="F59" s="2"/>
      <c r="G59" s="168"/>
      <c r="H59" s="110" t="s">
        <v>580</v>
      </c>
      <c r="I59" s="167"/>
      <c r="J59" s="168"/>
    </row>
    <row r="60" spans="1:14" s="124" customFormat="1" ht="12.75" customHeight="1" x14ac:dyDescent="0.2">
      <c r="A60" s="24"/>
      <c r="B60" s="1"/>
      <c r="C60" s="47" t="s">
        <v>572</v>
      </c>
      <c r="D60" s="111">
        <f>+D82/100000</f>
        <v>59.671236299999997</v>
      </c>
      <c r="E60" s="104"/>
      <c r="F60" s="2"/>
      <c r="G60" s="166"/>
      <c r="H60" s="90" t="s">
        <v>587</v>
      </c>
      <c r="I60" s="167"/>
      <c r="J60" s="168"/>
    </row>
    <row r="61" spans="1:14" s="2" customFormat="1" x14ac:dyDescent="0.2">
      <c r="A61" s="24"/>
      <c r="B61" s="1"/>
      <c r="C61" s="108" t="s">
        <v>578</v>
      </c>
      <c r="D61" s="48">
        <f>SUM(D58:D60)</f>
        <v>1413.2512363000001</v>
      </c>
      <c r="E61" s="104"/>
      <c r="G61" s="30"/>
      <c r="I61" s="13"/>
      <c r="J61" s="13"/>
    </row>
    <row r="62" spans="1:14" s="70" customFormat="1" x14ac:dyDescent="0.2">
      <c r="A62" s="24"/>
      <c r="B62" s="1"/>
      <c r="C62" s="47"/>
      <c r="D62" s="107"/>
      <c r="E62" s="104"/>
      <c r="F62" s="2"/>
      <c r="G62" s="30"/>
      <c r="H62" s="2"/>
    </row>
    <row r="63" spans="1:14" s="70" customFormat="1" x14ac:dyDescent="0.2">
      <c r="A63" s="24"/>
      <c r="B63" s="1"/>
      <c r="C63" s="47" t="s">
        <v>932</v>
      </c>
      <c r="D63" s="111">
        <v>71.790000000000006</v>
      </c>
      <c r="E63" s="104"/>
      <c r="F63" s="2"/>
      <c r="G63" s="30"/>
      <c r="H63" s="110" t="s">
        <v>581</v>
      </c>
    </row>
    <row r="64" spans="1:14" s="70" customFormat="1" x14ac:dyDescent="0.2">
      <c r="A64" s="24"/>
      <c r="B64" s="1"/>
      <c r="C64" s="136" t="s">
        <v>1142</v>
      </c>
      <c r="D64" s="111">
        <v>316.70999999999998</v>
      </c>
      <c r="E64" s="104"/>
      <c r="F64" s="2"/>
      <c r="G64" s="30"/>
      <c r="H64" s="110" t="s">
        <v>581</v>
      </c>
    </row>
    <row r="65" spans="1:14" s="70" customFormat="1" x14ac:dyDescent="0.2">
      <c r="A65" s="24"/>
      <c r="B65" s="1"/>
      <c r="C65" s="78" t="s">
        <v>579</v>
      </c>
      <c r="D65" s="109">
        <f>D63+D64</f>
        <v>388.5</v>
      </c>
      <c r="E65" s="104"/>
      <c r="F65" s="2"/>
      <c r="G65" s="30"/>
    </row>
    <row r="66" spans="1:14" s="70" customFormat="1" x14ac:dyDescent="0.2">
      <c r="A66" s="24"/>
      <c r="B66" s="1"/>
      <c r="C66" s="105"/>
      <c r="D66" s="106"/>
      <c r="E66" s="104"/>
      <c r="F66" s="2"/>
      <c r="G66" s="30"/>
      <c r="I66" s="2"/>
      <c r="J66" s="114" t="s">
        <v>713</v>
      </c>
      <c r="K66" s="2"/>
      <c r="L66" s="2"/>
      <c r="M66" s="2"/>
    </row>
    <row r="67" spans="1:14" s="70" customFormat="1" x14ac:dyDescent="0.2">
      <c r="A67" s="24"/>
      <c r="B67" s="1"/>
      <c r="C67" s="78" t="s">
        <v>577</v>
      </c>
      <c r="D67" s="109">
        <f>D58+D65</f>
        <v>1580.88</v>
      </c>
      <c r="E67" s="104"/>
      <c r="F67" s="2"/>
      <c r="G67" s="30"/>
      <c r="I67" s="113"/>
      <c r="J67" s="113" t="s">
        <v>709</v>
      </c>
      <c r="K67" s="113" t="s">
        <v>710</v>
      </c>
      <c r="L67" s="113" t="s">
        <v>711</v>
      </c>
      <c r="M67" s="113" t="s">
        <v>712</v>
      </c>
    </row>
    <row r="68" spans="1:14" s="70" customFormat="1" x14ac:dyDescent="0.2">
      <c r="A68" s="24"/>
      <c r="B68" s="1"/>
      <c r="C68" s="56"/>
      <c r="D68" s="56"/>
      <c r="E68" s="104"/>
      <c r="F68" s="2"/>
      <c r="G68" s="30"/>
      <c r="I68" s="113" t="s">
        <v>706</v>
      </c>
      <c r="J68" s="115"/>
      <c r="K68" s="115">
        <v>968.99</v>
      </c>
      <c r="L68" s="115">
        <v>968.99</v>
      </c>
      <c r="M68" s="113">
        <f>+J68+L68-K68</f>
        <v>0</v>
      </c>
    </row>
    <row r="69" spans="1:14" s="70" customFormat="1" ht="38.25" x14ac:dyDescent="0.2">
      <c r="A69" s="24"/>
      <c r="B69" s="1"/>
      <c r="C69" s="79" t="str">
        <f>"Particulars ( 01-04-2021 to "&amp;TEXT(A5,"dd-mm-yyyy")&amp;" )"</f>
        <v>Particulars ( 01-04-2021 to 16-10-2023 )</v>
      </c>
      <c r="D69" s="80" t="s">
        <v>73</v>
      </c>
      <c r="E69" s="80" t="s">
        <v>74</v>
      </c>
      <c r="F69" s="81" t="s">
        <v>75</v>
      </c>
      <c r="G69" s="80" t="s">
        <v>76</v>
      </c>
      <c r="I69" s="113" t="s">
        <v>707</v>
      </c>
      <c r="J69" s="115">
        <v>183.1</v>
      </c>
      <c r="K69" s="115">
        <v>3788.51</v>
      </c>
      <c r="L69" s="115">
        <v>4030.88</v>
      </c>
      <c r="M69" s="113">
        <f>+J69+L69-K69</f>
        <v>425.47000000000025</v>
      </c>
    </row>
    <row r="70" spans="1:14" s="70" customFormat="1" x14ac:dyDescent="0.2">
      <c r="A70" s="24"/>
      <c r="B70" s="1"/>
      <c r="C70" s="50" t="s">
        <v>444</v>
      </c>
      <c r="D70" s="55">
        <f>+L68+L69+J69</f>
        <v>5182.97</v>
      </c>
      <c r="E70" s="55">
        <f>+K68+K69</f>
        <v>4757.5</v>
      </c>
      <c r="F70" s="55">
        <f>+D70-E70</f>
        <v>425.47000000000025</v>
      </c>
      <c r="G70" s="55">
        <f>1500-F70</f>
        <v>1074.5299999999997</v>
      </c>
      <c r="I70" s="113" t="s">
        <v>708</v>
      </c>
      <c r="J70" s="115">
        <v>1371.02</v>
      </c>
      <c r="K70" s="115">
        <v>14499.94</v>
      </c>
      <c r="L70" s="115">
        <v>14109.03</v>
      </c>
      <c r="M70" s="113">
        <f>+J70+L70-K70</f>
        <v>980.11000000000058</v>
      </c>
    </row>
    <row r="71" spans="1:14" s="70" customFormat="1" ht="12.75" customHeight="1" x14ac:dyDescent="0.2">
      <c r="A71" s="24"/>
      <c r="B71" s="1"/>
      <c r="C71" s="50" t="s">
        <v>71</v>
      </c>
      <c r="D71" s="55">
        <f>+J70+L70</f>
        <v>15480.050000000001</v>
      </c>
      <c r="E71" s="55">
        <f>+K70</f>
        <v>14499.94</v>
      </c>
      <c r="F71" s="55">
        <f>+D71-E71</f>
        <v>980.11000000000058</v>
      </c>
      <c r="G71" s="55">
        <f>1500+700-F71</f>
        <v>1219.8899999999994</v>
      </c>
      <c r="I71" s="2"/>
      <c r="J71" s="118">
        <f>SUM(J68:J70)</f>
        <v>1554.12</v>
      </c>
      <c r="K71" s="118">
        <f>SUM(K68:K70)</f>
        <v>19257.440000000002</v>
      </c>
      <c r="L71" s="118">
        <f>SUM(L68:L70)</f>
        <v>19108.900000000001</v>
      </c>
      <c r="M71" s="118">
        <f>SUM(M68:M70)</f>
        <v>1405.5800000000008</v>
      </c>
    </row>
    <row r="72" spans="1:14" s="70" customFormat="1" ht="12.75" customHeight="1" x14ac:dyDescent="0.2">
      <c r="A72" s="24"/>
      <c r="B72" s="1"/>
      <c r="C72" s="14"/>
      <c r="D72" s="56"/>
      <c r="E72" s="13"/>
      <c r="F72" s="2"/>
      <c r="G72" s="30"/>
    </row>
    <row r="73" spans="1:14" s="70" customFormat="1" ht="12.75" customHeight="1" x14ac:dyDescent="0.2">
      <c r="A73" s="215" t="s">
        <v>80</v>
      </c>
      <c r="B73" s="216"/>
      <c r="C73" s="216"/>
      <c r="D73" s="217"/>
      <c r="E73" s="69"/>
      <c r="G73" s="30"/>
    </row>
    <row r="74" spans="1:14" s="70" customFormat="1" ht="12.75" customHeight="1" x14ac:dyDescent="0.2">
      <c r="A74" s="71" t="s">
        <v>81</v>
      </c>
      <c r="B74" s="71"/>
      <c r="C74" s="72" t="s">
        <v>82</v>
      </c>
      <c r="D74" s="73" t="s">
        <v>83</v>
      </c>
      <c r="E74" s="69"/>
      <c r="G74" s="30"/>
    </row>
    <row r="75" spans="1:14" s="70" customFormat="1" ht="12.75" customHeight="1" x14ac:dyDescent="0.2">
      <c r="A75" s="87">
        <v>45203</v>
      </c>
      <c r="B75" s="120" t="s">
        <v>1052</v>
      </c>
      <c r="C75" s="75" t="s">
        <v>18</v>
      </c>
      <c r="D75" s="88">
        <v>193358.43</v>
      </c>
      <c r="E75" s="2"/>
      <c r="F75" s="2"/>
      <c r="G75" s="30"/>
      <c r="H75" s="2"/>
      <c r="I75" s="2"/>
      <c r="J75" s="2"/>
      <c r="K75" s="2"/>
      <c r="L75" s="41"/>
      <c r="M75" s="42"/>
      <c r="N75" s="2"/>
    </row>
    <row r="76" spans="1:14" s="70" customFormat="1" ht="12.75" customHeight="1" x14ac:dyDescent="0.2">
      <c r="A76" s="87">
        <v>45203</v>
      </c>
      <c r="B76" s="120" t="s">
        <v>1052</v>
      </c>
      <c r="C76" s="75" t="s">
        <v>270</v>
      </c>
      <c r="D76" s="88">
        <v>254277</v>
      </c>
      <c r="E76" s="2"/>
      <c r="F76" s="2"/>
      <c r="G76" s="30"/>
      <c r="H76" s="2"/>
      <c r="I76" s="2"/>
      <c r="J76" s="2"/>
      <c r="K76" s="2"/>
      <c r="L76" s="41"/>
      <c r="M76" s="42"/>
      <c r="N76" s="2"/>
    </row>
    <row r="77" spans="1:14" s="70" customFormat="1" ht="12.75" customHeight="1" x14ac:dyDescent="0.2">
      <c r="A77" s="87">
        <v>45204</v>
      </c>
      <c r="B77" s="120" t="s">
        <v>1052</v>
      </c>
      <c r="C77" s="75" t="s">
        <v>85</v>
      </c>
      <c r="D77" s="88">
        <v>765297</v>
      </c>
      <c r="E77" s="2"/>
      <c r="F77" s="2"/>
      <c r="G77" s="30"/>
      <c r="H77" s="2"/>
      <c r="I77" s="2"/>
      <c r="J77" s="2"/>
      <c r="K77" s="2"/>
      <c r="L77" s="41"/>
      <c r="M77" s="42"/>
      <c r="N77" s="2"/>
    </row>
    <row r="78" spans="1:14" s="70" customFormat="1" ht="12.75" customHeight="1" x14ac:dyDescent="0.2">
      <c r="A78" s="87">
        <v>45209</v>
      </c>
      <c r="B78" s="120" t="s">
        <v>1052</v>
      </c>
      <c r="C78" s="75" t="s">
        <v>606</v>
      </c>
      <c r="D78" s="88">
        <v>2261658</v>
      </c>
      <c r="E78" s="2"/>
      <c r="F78" s="2"/>
      <c r="G78" s="30"/>
      <c r="H78" s="2"/>
      <c r="I78" s="2"/>
      <c r="J78" s="2"/>
      <c r="K78" s="2"/>
      <c r="L78" s="41"/>
      <c r="M78" s="42"/>
      <c r="N78" s="2"/>
    </row>
    <row r="79" spans="1:14" s="70" customFormat="1" ht="12.75" customHeight="1" x14ac:dyDescent="0.2">
      <c r="A79" s="87">
        <v>45211</v>
      </c>
      <c r="B79" s="120" t="s">
        <v>1052</v>
      </c>
      <c r="C79" s="75" t="s">
        <v>18</v>
      </c>
      <c r="D79" s="88">
        <v>35919</v>
      </c>
      <c r="E79" s="2"/>
      <c r="F79" s="2"/>
      <c r="G79" s="30"/>
      <c r="H79" s="2"/>
      <c r="I79" s="2"/>
      <c r="J79" s="2"/>
      <c r="K79" s="2"/>
      <c r="L79" s="41"/>
      <c r="M79" s="42"/>
      <c r="N79" s="2"/>
    </row>
    <row r="80" spans="1:14" s="70" customFormat="1" ht="12.75" customHeight="1" x14ac:dyDescent="0.2">
      <c r="A80" s="87">
        <v>45211</v>
      </c>
      <c r="B80" s="120" t="s">
        <v>1052</v>
      </c>
      <c r="C80" s="75" t="s">
        <v>84</v>
      </c>
      <c r="D80" s="88">
        <v>856347</v>
      </c>
      <c r="E80" s="2"/>
      <c r="F80" s="2"/>
      <c r="G80" s="30"/>
      <c r="H80" s="2"/>
      <c r="I80" s="2"/>
      <c r="J80" s="2"/>
      <c r="K80" s="2"/>
      <c r="L80" s="41"/>
      <c r="M80" s="42"/>
      <c r="N80" s="2"/>
    </row>
    <row r="81" spans="1:14" s="70" customFormat="1" ht="12.75" customHeight="1" x14ac:dyDescent="0.2">
      <c r="A81" s="87">
        <v>45212</v>
      </c>
      <c r="B81" s="120" t="s">
        <v>1052</v>
      </c>
      <c r="C81" s="75" t="s">
        <v>201</v>
      </c>
      <c r="D81" s="88">
        <v>1600267.2</v>
      </c>
      <c r="E81" s="2"/>
      <c r="F81" s="2"/>
      <c r="G81" s="30"/>
      <c r="H81" s="2"/>
      <c r="I81" s="2"/>
      <c r="J81" s="2"/>
      <c r="K81" s="2"/>
      <c r="L81" s="41"/>
      <c r="M81" s="42"/>
      <c r="N81" s="2"/>
    </row>
    <row r="82" spans="1:14" s="2" customFormat="1" x14ac:dyDescent="0.2">
      <c r="A82" s="87"/>
      <c r="B82" s="74"/>
      <c r="C82" s="75"/>
      <c r="D82" s="51">
        <f>SUM(D75:D81)</f>
        <v>5967123.6299999999</v>
      </c>
      <c r="F82" s="2" t="s">
        <v>396</v>
      </c>
      <c r="G82" s="1"/>
    </row>
    <row r="83" spans="1:14" s="2" customFormat="1" x14ac:dyDescent="0.2">
      <c r="A83" s="24"/>
      <c r="B83" s="1"/>
      <c r="C83" s="14"/>
      <c r="D83" s="56"/>
      <c r="E83" s="13"/>
      <c r="G83" s="1"/>
    </row>
    <row r="84" spans="1:14" s="2" customFormat="1" x14ac:dyDescent="0.2">
      <c r="A84" s="24"/>
      <c r="B84" s="1"/>
      <c r="C84" s="218" t="s">
        <v>77</v>
      </c>
      <c r="D84" s="219"/>
      <c r="E84" s="219"/>
      <c r="F84" s="220"/>
      <c r="H84" s="2" t="s">
        <v>396</v>
      </c>
    </row>
    <row r="85" spans="1:14" s="2" customFormat="1" x14ac:dyDescent="0.2">
      <c r="A85" s="24"/>
      <c r="B85" s="1"/>
      <c r="C85" s="50"/>
      <c r="D85" s="57" t="s">
        <v>78</v>
      </c>
      <c r="E85" s="58" t="s">
        <v>79</v>
      </c>
      <c r="F85" s="57" t="s">
        <v>72</v>
      </c>
      <c r="H85" s="2" t="s">
        <v>396</v>
      </c>
    </row>
    <row r="86" spans="1:14" s="2" customFormat="1" x14ac:dyDescent="0.2">
      <c r="A86" s="24"/>
      <c r="B86" s="1"/>
      <c r="C86" s="59" t="str">
        <f>"01-10-2023 to "&amp;TEXT(A5-2,"dd-mm-yyyy")</f>
        <v>01-10-2023 to 14-10-2023</v>
      </c>
      <c r="D86" s="60">
        <v>1001.06</v>
      </c>
      <c r="E86" s="60">
        <v>220.75</v>
      </c>
      <c r="F86" s="61">
        <f>SUM(D86:E86)</f>
        <v>1221.81</v>
      </c>
    </row>
    <row r="87" spans="1:14" s="2" customFormat="1" x14ac:dyDescent="0.2">
      <c r="A87" s="24"/>
      <c r="B87" s="1"/>
      <c r="C87" s="62" t="str">
        <f>TEXT(A5-1,"dd-mm-yyyy")</f>
        <v>15-10-2023</v>
      </c>
      <c r="D87" s="60">
        <v>110.74</v>
      </c>
      <c r="E87" s="60">
        <v>6.28</v>
      </c>
      <c r="F87" s="61">
        <f>SUM(D87:E87)</f>
        <v>117.02</v>
      </c>
      <c r="G87" s="1"/>
      <c r="H87" s="53"/>
    </row>
    <row r="88" spans="1:14" s="2" customFormat="1" ht="13.5" thickBot="1" x14ac:dyDescent="0.25">
      <c r="A88" s="24"/>
      <c r="B88" s="1"/>
      <c r="C88" s="63" t="str">
        <f>"01-10-2023 to "&amp;TEXT(A5-1,"dd-mm-yyyy")</f>
        <v>01-10-2023 to 15-10-2023</v>
      </c>
      <c r="D88" s="64">
        <f>SUM(D86:D87)</f>
        <v>1111.8</v>
      </c>
      <c r="E88" s="64">
        <f>SUM(E86:E87)</f>
        <v>227.03</v>
      </c>
      <c r="F88" s="64">
        <f>SUM(F86:F87)</f>
        <v>1338.83</v>
      </c>
      <c r="G88" s="1"/>
      <c r="H88" s="53"/>
    </row>
    <row r="89" spans="1:14" s="2" customFormat="1" ht="13.5" thickTop="1" x14ac:dyDescent="0.2">
      <c r="A89" s="24"/>
      <c r="B89" s="1"/>
      <c r="C89" s="62"/>
      <c r="D89" s="65"/>
      <c r="E89" s="66"/>
      <c r="F89" s="67"/>
      <c r="L89" s="1"/>
      <c r="M89" s="1"/>
    </row>
    <row r="90" spans="1:14" s="2" customFormat="1" x14ac:dyDescent="0.2">
      <c r="A90" s="24"/>
      <c r="B90" s="1"/>
      <c r="C90" s="62" t="str">
        <f>"01-04-2023 to " &amp;C87</f>
        <v>01-04-2023 to 15-10-2023</v>
      </c>
      <c r="D90" s="68">
        <f>+D88+27003.42</f>
        <v>28115.219999999998</v>
      </c>
      <c r="E90" s="68">
        <f>+E88+2028.43</f>
        <v>2255.46</v>
      </c>
      <c r="F90" s="68">
        <f>+F88+29031.85</f>
        <v>30370.68</v>
      </c>
      <c r="G90" s="1"/>
      <c r="L90" s="1"/>
      <c r="M90" s="1"/>
    </row>
    <row r="91" spans="1:14" s="2" customFormat="1" x14ac:dyDescent="0.2">
      <c r="A91" s="24"/>
      <c r="B91" s="1"/>
      <c r="C91" s="52"/>
      <c r="D91" s="85"/>
      <c r="E91" s="53"/>
      <c r="F91" s="53"/>
      <c r="G91" s="1"/>
      <c r="L91" s="1"/>
      <c r="M91" s="1"/>
    </row>
    <row r="92" spans="1:14" s="2" customFormat="1" x14ac:dyDescent="0.2">
      <c r="A92" s="24"/>
      <c r="B92" s="1"/>
      <c r="C92" s="52"/>
      <c r="D92" s="85"/>
      <c r="E92" s="53"/>
      <c r="F92" s="53"/>
      <c r="G92" s="1"/>
      <c r="L92" s="1"/>
      <c r="M92" s="1"/>
    </row>
    <row r="93" spans="1:14" s="2" customFormat="1" x14ac:dyDescent="0.2">
      <c r="A93" s="24"/>
      <c r="B93" s="1"/>
      <c r="C93" s="52"/>
      <c r="D93" s="85"/>
      <c r="E93" s="53"/>
      <c r="F93" s="53"/>
      <c r="G93" s="1"/>
      <c r="L93" s="1"/>
      <c r="M93" s="1"/>
    </row>
    <row r="94" spans="1:14" s="2" customFormat="1" x14ac:dyDescent="0.2">
      <c r="A94" s="24"/>
      <c r="B94" s="1"/>
      <c r="C94" s="52"/>
      <c r="D94" s="85"/>
      <c r="E94" s="53"/>
      <c r="F94" s="53"/>
      <c r="G94" s="1"/>
      <c r="L94" s="1"/>
      <c r="M94" s="1"/>
    </row>
    <row r="95" spans="1:14" s="2" customFormat="1" x14ac:dyDescent="0.2">
      <c r="A95" s="24"/>
      <c r="B95" s="1"/>
      <c r="C95" s="14"/>
      <c r="D95" s="25"/>
      <c r="G95" s="1"/>
      <c r="L95" s="1"/>
      <c r="M95" s="1"/>
    </row>
    <row r="96" spans="1:14" s="2" customFormat="1" x14ac:dyDescent="0.2">
      <c r="A96" s="24"/>
      <c r="B96" s="1"/>
      <c r="C96" s="14"/>
      <c r="D96" s="25"/>
      <c r="G96" s="1"/>
      <c r="L96" s="1"/>
      <c r="M96" s="1"/>
    </row>
    <row r="97" spans="1:13" s="2" customFormat="1" x14ac:dyDescent="0.2">
      <c r="A97" s="24"/>
      <c r="B97" s="1"/>
      <c r="C97" s="14"/>
      <c r="D97" s="25"/>
      <c r="G97" s="1"/>
      <c r="L97" s="1"/>
      <c r="M97" s="1"/>
    </row>
    <row r="98" spans="1:13" s="2" customFormat="1" x14ac:dyDescent="0.2">
      <c r="A98" s="24"/>
      <c r="B98" s="1"/>
      <c r="C98" s="14"/>
      <c r="D98" s="25"/>
      <c r="G98" s="1"/>
      <c r="L98" s="1"/>
      <c r="M98" s="1"/>
    </row>
    <row r="99" spans="1:13" s="2" customFormat="1" x14ac:dyDescent="0.2">
      <c r="A99" s="24"/>
      <c r="B99" s="1"/>
      <c r="C99" s="14"/>
      <c r="D99" s="25"/>
      <c r="G99" s="1"/>
      <c r="L99" s="1"/>
      <c r="M99" s="1"/>
    </row>
    <row r="100" spans="1:13" s="2" customFormat="1" x14ac:dyDescent="0.2">
      <c r="A100" s="24"/>
      <c r="B100" s="1"/>
      <c r="C100" s="14"/>
      <c r="D100" s="25"/>
      <c r="G100" s="1"/>
      <c r="L100" s="1"/>
      <c r="M100" s="1"/>
    </row>
    <row r="101" spans="1:13" s="2" customFormat="1" x14ac:dyDescent="0.2">
      <c r="A101" s="24"/>
      <c r="B101" s="1"/>
      <c r="C101" s="14"/>
      <c r="D101" s="25"/>
      <c r="G101" s="1"/>
      <c r="L101" s="1"/>
      <c r="M101" s="1"/>
    </row>
    <row r="102" spans="1:13" s="2" customFormat="1" x14ac:dyDescent="0.2">
      <c r="A102" s="24"/>
      <c r="B102" s="1"/>
      <c r="C102" s="14"/>
      <c r="D102" s="25"/>
      <c r="G102" s="1"/>
      <c r="L102" s="1"/>
      <c r="M102" s="1"/>
    </row>
    <row r="103" spans="1:13" s="2" customFormat="1" x14ac:dyDescent="0.2">
      <c r="A103" s="24"/>
      <c r="B103" s="1"/>
      <c r="C103" s="14"/>
      <c r="D103" s="25"/>
      <c r="G103" s="1"/>
      <c r="L103" s="1"/>
      <c r="M103" s="1"/>
    </row>
    <row r="104" spans="1:13" s="2" customFormat="1" x14ac:dyDescent="0.2">
      <c r="A104" s="24"/>
      <c r="B104" s="1"/>
      <c r="C104" s="14"/>
      <c r="D104" s="25"/>
      <c r="G104" s="1"/>
      <c r="L104" s="1"/>
      <c r="M104" s="1"/>
    </row>
    <row r="105" spans="1:13" s="2" customFormat="1" x14ac:dyDescent="0.2">
      <c r="A105" s="24"/>
      <c r="B105" s="1"/>
      <c r="C105" s="14"/>
      <c r="D105" s="25"/>
      <c r="G105" s="1"/>
      <c r="L105" s="1"/>
      <c r="M105" s="1"/>
    </row>
    <row r="106" spans="1:13" s="2" customFormat="1" x14ac:dyDescent="0.2">
      <c r="A106" s="24"/>
      <c r="B106" s="1"/>
      <c r="C106" s="14"/>
      <c r="D106" s="25"/>
      <c r="G106" s="1"/>
      <c r="L106" s="1"/>
      <c r="M106" s="1"/>
    </row>
    <row r="107" spans="1:13" s="2" customFormat="1" x14ac:dyDescent="0.2">
      <c r="A107" s="24"/>
      <c r="B107" s="1"/>
      <c r="C107" s="14"/>
      <c r="D107" s="25"/>
      <c r="G107" s="1"/>
      <c r="L107" s="1"/>
      <c r="M107" s="1"/>
    </row>
    <row r="108" spans="1:13" s="2" customFormat="1" x14ac:dyDescent="0.2">
      <c r="A108" s="24"/>
      <c r="B108" s="1"/>
      <c r="C108" s="14"/>
      <c r="D108" s="25"/>
      <c r="G108" s="1"/>
      <c r="L108" s="1"/>
      <c r="M108" s="1"/>
    </row>
    <row r="109" spans="1:13" s="2" customFormat="1" x14ac:dyDescent="0.2">
      <c r="A109" s="24"/>
      <c r="B109" s="1"/>
      <c r="C109" s="14"/>
      <c r="D109" s="25"/>
      <c r="G109" s="1"/>
      <c r="I109" s="1"/>
      <c r="J109" s="1"/>
      <c r="K109" s="1"/>
      <c r="L109" s="1"/>
      <c r="M109" s="1"/>
    </row>
    <row r="110" spans="1:13" s="2" customFormat="1" x14ac:dyDescent="0.2">
      <c r="A110" s="24"/>
      <c r="B110" s="1"/>
      <c r="C110" s="14"/>
      <c r="D110" s="25"/>
      <c r="G110" s="1"/>
    </row>
    <row r="111" spans="1:13" s="2" customFormat="1" x14ac:dyDescent="0.2">
      <c r="A111" s="24"/>
      <c r="B111" s="1"/>
      <c r="C111" s="14"/>
      <c r="D111" s="25"/>
      <c r="G111" s="1"/>
      <c r="I111" s="1"/>
      <c r="J111" s="1"/>
      <c r="K111" s="1"/>
      <c r="L111" s="1"/>
      <c r="M111" s="1"/>
    </row>
    <row r="112" spans="1:13" s="2" customFormat="1" x14ac:dyDescent="0.2">
      <c r="A112" s="24"/>
      <c r="B112" s="1"/>
      <c r="C112" s="14"/>
      <c r="D112" s="25"/>
      <c r="G112" s="54"/>
      <c r="I112" s="1"/>
      <c r="J112" s="1"/>
      <c r="K112" s="1"/>
      <c r="L112" s="1"/>
      <c r="M112" s="1"/>
    </row>
    <row r="113" spans="1:14" s="2" customFormat="1" x14ac:dyDescent="0.2">
      <c r="A113" s="24"/>
      <c r="B113" s="1"/>
      <c r="C113" s="14"/>
      <c r="D113" s="25"/>
      <c r="G113" s="54"/>
      <c r="I113" s="1"/>
      <c r="J113" s="1"/>
      <c r="K113" s="1"/>
      <c r="L113" s="1"/>
      <c r="M113" s="1"/>
    </row>
    <row r="114" spans="1:14" s="2" customFormat="1" x14ac:dyDescent="0.2">
      <c r="A114" s="24"/>
      <c r="B114" s="1"/>
      <c r="C114" s="14"/>
      <c r="D114" s="25"/>
      <c r="G114" s="54"/>
      <c r="I114" s="1"/>
      <c r="J114" s="1"/>
      <c r="K114" s="1"/>
      <c r="L114" s="1"/>
      <c r="M114" s="1"/>
    </row>
    <row r="115" spans="1:14" s="2" customFormat="1" x14ac:dyDescent="0.2">
      <c r="A115" s="24"/>
      <c r="B115" s="1"/>
      <c r="C115" s="14"/>
      <c r="D115" s="25"/>
      <c r="G115" s="54"/>
      <c r="H115" s="2" t="s">
        <v>396</v>
      </c>
      <c r="I115" s="1"/>
      <c r="J115" s="1"/>
      <c r="K115" s="1"/>
      <c r="L115" s="1"/>
      <c r="M115" s="1"/>
      <c r="N115" s="1"/>
    </row>
    <row r="116" spans="1:14" s="2" customFormat="1" x14ac:dyDescent="0.2">
      <c r="A116" s="24"/>
      <c r="B116" s="1"/>
      <c r="C116" s="14"/>
      <c r="D116" s="25"/>
      <c r="G116" s="54"/>
      <c r="H116" s="53"/>
    </row>
    <row r="117" spans="1:14" s="2" customFormat="1" x14ac:dyDescent="0.2">
      <c r="A117" s="24"/>
      <c r="B117" s="1"/>
      <c r="C117" s="14"/>
      <c r="D117" s="25"/>
      <c r="G117" s="54"/>
      <c r="H117" s="53" t="s">
        <v>396</v>
      </c>
      <c r="I117" s="1"/>
      <c r="J117" s="1"/>
      <c r="K117" s="1"/>
      <c r="L117" s="1"/>
      <c r="M117" s="1"/>
      <c r="N117" s="1"/>
    </row>
    <row r="118" spans="1:14" x14ac:dyDescent="0.2">
      <c r="G118" s="54"/>
      <c r="H118" s="53" t="s">
        <v>396</v>
      </c>
      <c r="J118" s="42"/>
    </row>
    <row r="119" spans="1:14" s="2" customFormat="1" x14ac:dyDescent="0.2">
      <c r="A119" s="24"/>
      <c r="B119" s="1"/>
      <c r="C119" s="14"/>
      <c r="D119" s="25"/>
      <c r="G119" s="54"/>
      <c r="H119" s="53"/>
      <c r="I119" s="101"/>
      <c r="J119" s="1"/>
      <c r="K119" s="1"/>
      <c r="L119" s="1"/>
      <c r="M119" s="1"/>
      <c r="N119" s="1"/>
    </row>
    <row r="120" spans="1:14" x14ac:dyDescent="0.2">
      <c r="G120" s="54"/>
      <c r="H120" s="53"/>
    </row>
    <row r="121" spans="1:14" x14ac:dyDescent="0.2">
      <c r="G121" s="54"/>
      <c r="H121" s="53"/>
    </row>
    <row r="122" spans="1:14" x14ac:dyDescent="0.2">
      <c r="G122" s="54"/>
      <c r="H122" s="53"/>
    </row>
  </sheetData>
  <sheetProtection insertRows="0"/>
  <mergeCells count="6">
    <mergeCell ref="C84:F84"/>
    <mergeCell ref="A1:G1"/>
    <mergeCell ref="A3:F3"/>
    <mergeCell ref="A9:F9"/>
    <mergeCell ref="A32:F32"/>
    <mergeCell ref="A73:D73"/>
  </mergeCells>
  <conditionalFormatting sqref="G70:G71">
    <cfRule type="cellIs" dxfId="265" priority="1" operator="lessThan">
      <formula>0</formula>
    </cfRule>
  </conditionalFormatting>
  <conditionalFormatting sqref="C34">
    <cfRule type="duplicateValues" dxfId="264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E00-000000000000}">
  <sheetPr codeName="Sheet454">
    <pageSetUpPr fitToPage="1"/>
  </sheetPr>
  <dimension ref="A1:N141"/>
  <sheetViews>
    <sheetView topLeftCell="A8" zoomScaleNormal="100" workbookViewId="0">
      <selection activeCell="E43" sqref="E43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1" ht="20.25" customHeight="1" x14ac:dyDescent="0.4">
      <c r="A1" s="212" t="s">
        <v>1680</v>
      </c>
      <c r="B1" s="212"/>
      <c r="C1" s="212"/>
      <c r="D1" s="212"/>
      <c r="E1" s="212"/>
      <c r="F1" s="212"/>
      <c r="G1" s="212"/>
      <c r="H1" s="112"/>
      <c r="I1" s="112"/>
    </row>
    <row r="2" spans="1:11" ht="12.75" customHeight="1" x14ac:dyDescent="0.4">
      <c r="H2" s="112"/>
      <c r="I2" s="112"/>
    </row>
    <row r="3" spans="1:11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1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1" s="2" customFormat="1" ht="14.25" customHeight="1" x14ac:dyDescent="0.4">
      <c r="A5" s="89">
        <v>45216</v>
      </c>
      <c r="B5" s="9" t="s">
        <v>6</v>
      </c>
      <c r="C5" s="10" t="s">
        <v>7</v>
      </c>
      <c r="D5" s="11"/>
      <c r="E5" s="12">
        <v>663856.71000000183</v>
      </c>
      <c r="F5" s="12"/>
      <c r="G5" s="1"/>
      <c r="H5" s="112"/>
      <c r="I5" s="112"/>
    </row>
    <row r="6" spans="1:11" s="2" customFormat="1" ht="12.75" customHeight="1" x14ac:dyDescent="0.4">
      <c r="D6" s="15" t="s">
        <v>8</v>
      </c>
      <c r="E6" s="16">
        <f>SUM(E5:E5)</f>
        <v>663856.71000000183</v>
      </c>
      <c r="F6" s="16">
        <f>F5</f>
        <v>0</v>
      </c>
      <c r="G6" s="1"/>
      <c r="H6" s="112"/>
      <c r="I6" s="112"/>
    </row>
    <row r="7" spans="1:11" s="2" customFormat="1" ht="12.75" customHeight="1" x14ac:dyDescent="0.4">
      <c r="A7" s="17"/>
      <c r="B7" s="18"/>
      <c r="C7" s="19" t="s">
        <v>9</v>
      </c>
      <c r="D7" s="20"/>
      <c r="E7" s="21">
        <f>+E6-F6</f>
        <v>663856.71000000183</v>
      </c>
      <c r="F7" s="22"/>
      <c r="G7" s="23"/>
      <c r="H7" s="112"/>
      <c r="I7" s="112"/>
      <c r="J7" s="13"/>
    </row>
    <row r="8" spans="1:11" ht="12.75" customHeight="1" x14ac:dyDescent="0.4">
      <c r="H8" s="112"/>
      <c r="I8" s="112"/>
    </row>
    <row r="9" spans="1:11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69">
        <f>90000000-60000000</f>
        <v>30000000</v>
      </c>
      <c r="J9" s="169" t="s">
        <v>1508</v>
      </c>
    </row>
    <row r="10" spans="1:11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69">
        <v>28975548.210000001</v>
      </c>
      <c r="J10" s="169" t="s">
        <v>1509</v>
      </c>
      <c r="K10" s="124"/>
    </row>
    <row r="11" spans="1:11" s="2" customFormat="1" ht="14.25" customHeight="1" x14ac:dyDescent="0.2">
      <c r="A11" s="89">
        <v>45216</v>
      </c>
      <c r="B11" s="9" t="s">
        <v>6</v>
      </c>
      <c r="C11" s="10" t="s">
        <v>7</v>
      </c>
      <c r="D11" s="11"/>
      <c r="F11" s="12">
        <v>88563227.879999995</v>
      </c>
      <c r="G11" s="1"/>
      <c r="H11" s="130" t="s">
        <v>396</v>
      </c>
      <c r="I11" s="169">
        <f>+I9-I10</f>
        <v>1024451.7899999991</v>
      </c>
      <c r="J11" s="169" t="s">
        <v>712</v>
      </c>
      <c r="K11" s="165" t="s">
        <v>1512</v>
      </c>
    </row>
    <row r="12" spans="1:11" s="2" customFormat="1" ht="14.25" customHeight="1" x14ac:dyDescent="0.2">
      <c r="A12" s="89">
        <v>45216</v>
      </c>
      <c r="B12" s="9" t="s">
        <v>6</v>
      </c>
      <c r="C12" s="76" t="s">
        <v>1681</v>
      </c>
      <c r="D12" s="11" t="s">
        <v>13</v>
      </c>
      <c r="E12" s="2">
        <v>60000000</v>
      </c>
      <c r="F12" s="12"/>
      <c r="G12" s="1"/>
      <c r="H12" s="130"/>
      <c r="I12" s="169"/>
      <c r="J12" s="169"/>
      <c r="K12" s="165"/>
    </row>
    <row r="13" spans="1:11" s="2" customFormat="1" ht="14.25" customHeight="1" x14ac:dyDescent="0.2">
      <c r="A13" s="89">
        <v>45216</v>
      </c>
      <c r="B13" s="9" t="s">
        <v>6</v>
      </c>
      <c r="C13" s="76" t="s">
        <v>1255</v>
      </c>
      <c r="D13" s="11" t="s">
        <v>13</v>
      </c>
      <c r="E13" s="2">
        <v>2250000</v>
      </c>
      <c r="F13" s="12"/>
      <c r="G13" s="1"/>
      <c r="H13" s="130"/>
      <c r="I13" s="169"/>
      <c r="J13" s="169"/>
      <c r="K13" s="165"/>
    </row>
    <row r="14" spans="1:11" s="2" customFormat="1" ht="14.25" customHeight="1" x14ac:dyDescent="0.2">
      <c r="A14" s="89">
        <v>45216</v>
      </c>
      <c r="B14" s="9" t="s">
        <v>11</v>
      </c>
      <c r="C14" s="76" t="s">
        <v>1547</v>
      </c>
      <c r="D14" s="11" t="s">
        <v>29</v>
      </c>
      <c r="F14" s="12">
        <v>27708</v>
      </c>
      <c r="G14" s="1"/>
      <c r="H14" s="130"/>
      <c r="I14" s="169"/>
      <c r="J14" s="169"/>
      <c r="K14" s="165"/>
    </row>
    <row r="15" spans="1:11" s="2" customFormat="1" ht="14.25" customHeight="1" x14ac:dyDescent="0.2">
      <c r="A15" s="89">
        <v>45216</v>
      </c>
      <c r="B15" s="9" t="s">
        <v>11</v>
      </c>
      <c r="C15" s="76" t="s">
        <v>132</v>
      </c>
      <c r="D15" s="11" t="s">
        <v>29</v>
      </c>
      <c r="F15" s="12">
        <v>14387</v>
      </c>
      <c r="G15" s="1"/>
      <c r="H15" s="130"/>
      <c r="I15" s="169"/>
      <c r="J15" s="169"/>
      <c r="K15" s="165"/>
    </row>
    <row r="16" spans="1:11" s="2" customFormat="1" ht="14.25" customHeight="1" x14ac:dyDescent="0.2">
      <c r="A16" s="89">
        <v>45216</v>
      </c>
      <c r="B16" s="9" t="s">
        <v>11</v>
      </c>
      <c r="C16" s="76" t="s">
        <v>584</v>
      </c>
      <c r="D16" s="11" t="s">
        <v>29</v>
      </c>
      <c r="F16" s="12">
        <v>49608</v>
      </c>
      <c r="G16" s="1"/>
      <c r="H16" s="130"/>
      <c r="I16" s="169"/>
      <c r="J16" s="169"/>
      <c r="K16" s="165"/>
    </row>
    <row r="17" spans="1:14" s="2" customFormat="1" ht="14.25" customHeight="1" x14ac:dyDescent="0.2">
      <c r="A17" s="89">
        <v>45216</v>
      </c>
      <c r="B17" s="9" t="s">
        <v>11</v>
      </c>
      <c r="C17" s="76" t="s">
        <v>1682</v>
      </c>
      <c r="D17" s="11" t="s">
        <v>29</v>
      </c>
      <c r="F17" s="12">
        <v>30600</v>
      </c>
      <c r="G17" s="1"/>
      <c r="H17" s="130"/>
      <c r="I17" s="169"/>
      <c r="J17" s="169"/>
      <c r="K17" s="165"/>
    </row>
    <row r="18" spans="1:14" s="2" customFormat="1" ht="14.25" customHeight="1" x14ac:dyDescent="0.2">
      <c r="A18" s="89">
        <v>45216</v>
      </c>
      <c r="B18" s="9" t="s">
        <v>11</v>
      </c>
      <c r="C18" s="76" t="s">
        <v>1228</v>
      </c>
      <c r="D18" s="11" t="s">
        <v>29</v>
      </c>
      <c r="F18" s="12">
        <v>812333.7</v>
      </c>
      <c r="G18" s="1"/>
      <c r="H18" s="130"/>
      <c r="I18" s="169"/>
      <c r="J18" s="169"/>
      <c r="K18" s="165"/>
    </row>
    <row r="19" spans="1:14" s="2" customFormat="1" ht="14.25" customHeight="1" x14ac:dyDescent="0.2">
      <c r="A19" s="89">
        <v>45216</v>
      </c>
      <c r="B19" s="9" t="s">
        <v>11</v>
      </c>
      <c r="C19" s="76" t="s">
        <v>1684</v>
      </c>
      <c r="D19" s="11" t="s">
        <v>29</v>
      </c>
      <c r="F19" s="12">
        <v>1726562.85</v>
      </c>
      <c r="G19" s="1"/>
      <c r="H19" s="130"/>
      <c r="I19" s="169"/>
      <c r="J19" s="169"/>
      <c r="K19" s="165"/>
    </row>
    <row r="20" spans="1:14" s="2" customFormat="1" ht="14.25" customHeight="1" x14ac:dyDescent="0.2">
      <c r="A20" s="89">
        <v>45216</v>
      </c>
      <c r="B20" s="9" t="s">
        <v>11</v>
      </c>
      <c r="C20" s="76" t="s">
        <v>1137</v>
      </c>
      <c r="D20" s="11" t="s">
        <v>29</v>
      </c>
      <c r="F20" s="12">
        <v>1120.78</v>
      </c>
      <c r="G20" s="1"/>
      <c r="H20" s="130"/>
      <c r="I20" s="169"/>
      <c r="J20" s="169"/>
      <c r="K20" s="165"/>
    </row>
    <row r="21" spans="1:14" s="2" customFormat="1" ht="14.25" customHeight="1" x14ac:dyDescent="0.2">
      <c r="D21" s="11" t="s">
        <v>8</v>
      </c>
      <c r="E21" s="16">
        <f>SUM(E11:E20)</f>
        <v>62250000</v>
      </c>
      <c r="F21" s="16">
        <f>SUM(F11:F20)</f>
        <v>91225548.209999993</v>
      </c>
      <c r="G21" s="1"/>
      <c r="H21" s="143"/>
      <c r="I21" s="130"/>
      <c r="J21" s="143"/>
      <c r="K21" s="143"/>
      <c r="L21" s="143"/>
      <c r="M21" s="143"/>
    </row>
    <row r="22" spans="1:14" s="2" customFormat="1" ht="14.25" customHeight="1" x14ac:dyDescent="0.4">
      <c r="A22" s="17"/>
      <c r="B22" s="18"/>
      <c r="C22" s="96" t="s">
        <v>9</v>
      </c>
      <c r="D22" s="20"/>
      <c r="E22" s="21">
        <f>+F21-E21</f>
        <v>28975548.209999993</v>
      </c>
      <c r="G22" s="1"/>
      <c r="I22" s="112"/>
      <c r="J22" s="153" t="s">
        <v>779</v>
      </c>
    </row>
    <row r="23" spans="1:14" s="2" customFormat="1" ht="14.25" customHeight="1" x14ac:dyDescent="0.2">
      <c r="A23" s="36"/>
      <c r="B23" s="28" t="s">
        <v>66</v>
      </c>
      <c r="C23" s="43" t="s">
        <v>1458</v>
      </c>
      <c r="D23" s="43"/>
      <c r="E23" s="12">
        <f>30000000+60000000</f>
        <v>90000000</v>
      </c>
      <c r="F23" s="22"/>
      <c r="G23" s="1"/>
      <c r="I23" s="40">
        <v>88563227.879999995</v>
      </c>
      <c r="J23" s="154">
        <f>I23-E22</f>
        <v>59587679.670000002</v>
      </c>
    </row>
    <row r="24" spans="1:14" s="2" customFormat="1" ht="14.25" customHeight="1" x14ac:dyDescent="0.25">
      <c r="A24" s="36"/>
      <c r="B24" s="28"/>
      <c r="C24" s="44" t="s">
        <v>1541</v>
      </c>
      <c r="D24" s="43"/>
      <c r="E24" s="7">
        <f>+E22+E23</f>
        <v>118975548.20999999</v>
      </c>
      <c r="F24" s="22"/>
      <c r="G24" s="1"/>
      <c r="H24" s="13" t="s">
        <v>1582</v>
      </c>
      <c r="I24" s="13" t="s">
        <v>1583</v>
      </c>
    </row>
    <row r="25" spans="1:14" s="2" customFormat="1" ht="14.25" customHeight="1" x14ac:dyDescent="0.25">
      <c r="A25" s="36"/>
      <c r="B25" s="28"/>
      <c r="C25" s="44" t="s">
        <v>1511</v>
      </c>
      <c r="D25" s="43"/>
      <c r="E25" s="38">
        <f>+I11</f>
        <v>1024451.7899999991</v>
      </c>
      <c r="F25" s="22"/>
      <c r="G25" s="1"/>
      <c r="H25" s="2">
        <v>0</v>
      </c>
      <c r="I25" s="2">
        <v>1762145</v>
      </c>
      <c r="J25" s="176">
        <f>H25-I25</f>
        <v>-1762145</v>
      </c>
    </row>
    <row r="26" spans="1:14" s="2" customFormat="1" ht="14.25" customHeight="1" x14ac:dyDescent="0.2">
      <c r="A26" s="24"/>
      <c r="B26" s="1"/>
      <c r="C26" s="14"/>
      <c r="D26" s="25"/>
      <c r="G26" s="1"/>
      <c r="I26" s="130"/>
      <c r="J26" s="130"/>
    </row>
    <row r="27" spans="1:14" s="2" customFormat="1" x14ac:dyDescent="0.2">
      <c r="A27" s="214" t="s">
        <v>10</v>
      </c>
      <c r="B27" s="214"/>
      <c r="C27" s="214"/>
      <c r="D27" s="214"/>
      <c r="E27" s="214"/>
      <c r="F27" s="214"/>
      <c r="G27" s="1"/>
      <c r="H27" s="159"/>
      <c r="I27" s="160">
        <f>225000000-75000000-50000000</f>
        <v>100000000</v>
      </c>
      <c r="J27" s="160" t="s">
        <v>1506</v>
      </c>
      <c r="K27" s="70"/>
    </row>
    <row r="28" spans="1:14" s="2" customFormat="1" x14ac:dyDescent="0.2">
      <c r="A28" s="26" t="s">
        <v>1</v>
      </c>
      <c r="B28" s="27" t="s">
        <v>2</v>
      </c>
      <c r="C28" s="5"/>
      <c r="D28" s="6" t="s">
        <v>3</v>
      </c>
      <c r="E28" s="7" t="s">
        <v>4</v>
      </c>
      <c r="F28" s="7" t="s">
        <v>5</v>
      </c>
      <c r="G28" s="1"/>
      <c r="H28" s="159"/>
      <c r="I28" s="160">
        <v>67315693.840000004</v>
      </c>
      <c r="J28" s="160" t="s">
        <v>1507</v>
      </c>
      <c r="K28" s="70" t="s">
        <v>1512</v>
      </c>
    </row>
    <row r="29" spans="1:14" s="2" customFormat="1" x14ac:dyDescent="0.2">
      <c r="A29" s="89">
        <v>45216</v>
      </c>
      <c r="B29" s="128" t="s">
        <v>11</v>
      </c>
      <c r="C29" s="29" t="s">
        <v>7</v>
      </c>
      <c r="D29" s="25"/>
      <c r="E29" s="31"/>
      <c r="F29" s="2">
        <v>79013274.680000082</v>
      </c>
      <c r="G29" s="23"/>
      <c r="H29" s="159" t="s">
        <v>1505</v>
      </c>
      <c r="I29" s="160">
        <f>+I27-I28</f>
        <v>32684306.159999996</v>
      </c>
      <c r="J29" s="160"/>
      <c r="K29" s="70"/>
    </row>
    <row r="30" spans="1:14" s="2" customFormat="1" x14ac:dyDescent="0.2">
      <c r="A30" s="89">
        <v>45216</v>
      </c>
      <c r="B30" s="128" t="s">
        <v>6</v>
      </c>
      <c r="C30" s="10" t="s">
        <v>1185</v>
      </c>
      <c r="D30" s="11" t="s">
        <v>13</v>
      </c>
      <c r="E30" s="86">
        <v>1041648</v>
      </c>
      <c r="F30" s="70"/>
      <c r="G30" s="1"/>
      <c r="N30" s="1"/>
    </row>
    <row r="31" spans="1:14" s="2" customFormat="1" x14ac:dyDescent="0.2">
      <c r="A31" s="89">
        <v>45216</v>
      </c>
      <c r="B31" s="128" t="s">
        <v>6</v>
      </c>
      <c r="C31" s="10" t="s">
        <v>304</v>
      </c>
      <c r="D31" s="11" t="s">
        <v>13</v>
      </c>
      <c r="E31" s="86">
        <v>526088</v>
      </c>
      <c r="F31" s="70"/>
      <c r="G31" s="1"/>
      <c r="N31" s="1"/>
    </row>
    <row r="32" spans="1:14" s="2" customFormat="1" x14ac:dyDescent="0.2">
      <c r="A32" s="89">
        <v>45216</v>
      </c>
      <c r="B32" s="128" t="s">
        <v>6</v>
      </c>
      <c r="C32" s="10" t="s">
        <v>19</v>
      </c>
      <c r="D32" s="11" t="s">
        <v>13</v>
      </c>
      <c r="E32" s="86">
        <v>2910</v>
      </c>
      <c r="F32" s="70"/>
      <c r="G32" s="1"/>
      <c r="N32" s="1"/>
    </row>
    <row r="33" spans="1:14" s="2" customFormat="1" x14ac:dyDescent="0.2">
      <c r="A33" s="89">
        <v>45216</v>
      </c>
      <c r="B33" s="128" t="s">
        <v>6</v>
      </c>
      <c r="C33" s="10" t="s">
        <v>547</v>
      </c>
      <c r="D33" s="11" t="s">
        <v>13</v>
      </c>
      <c r="E33" s="86">
        <v>208060</v>
      </c>
      <c r="F33" s="70"/>
      <c r="G33" s="1"/>
      <c r="N33" s="1"/>
    </row>
    <row r="34" spans="1:14" s="2" customFormat="1" x14ac:dyDescent="0.2">
      <c r="A34" s="89">
        <v>45216</v>
      </c>
      <c r="B34" s="128" t="s">
        <v>6</v>
      </c>
      <c r="C34" s="10" t="s">
        <v>332</v>
      </c>
      <c r="D34" s="11" t="s">
        <v>13</v>
      </c>
      <c r="E34" s="86">
        <v>51296</v>
      </c>
      <c r="F34" s="70"/>
      <c r="G34" s="1"/>
      <c r="N34" s="1"/>
    </row>
    <row r="35" spans="1:14" s="2" customFormat="1" x14ac:dyDescent="0.2">
      <c r="A35" s="89">
        <v>45216</v>
      </c>
      <c r="B35" s="128" t="s">
        <v>6</v>
      </c>
      <c r="C35" s="10" t="s">
        <v>381</v>
      </c>
      <c r="D35" s="11" t="s">
        <v>13</v>
      </c>
      <c r="E35" s="86">
        <v>10529</v>
      </c>
      <c r="F35" s="70"/>
      <c r="G35" s="1"/>
      <c r="N35" s="1"/>
    </row>
    <row r="36" spans="1:14" s="2" customFormat="1" x14ac:dyDescent="0.2">
      <c r="A36" s="89">
        <v>45216</v>
      </c>
      <c r="B36" s="128" t="s">
        <v>6</v>
      </c>
      <c r="C36" s="10" t="s">
        <v>683</v>
      </c>
      <c r="D36" s="11" t="s">
        <v>13</v>
      </c>
      <c r="E36" s="86">
        <v>102533</v>
      </c>
      <c r="F36" s="70"/>
      <c r="G36" s="1"/>
      <c r="N36" s="1"/>
    </row>
    <row r="37" spans="1:14" s="2" customFormat="1" x14ac:dyDescent="0.2">
      <c r="A37" s="89">
        <v>45216</v>
      </c>
      <c r="B37" s="128" t="s">
        <v>6</v>
      </c>
      <c r="C37" s="10" t="s">
        <v>146</v>
      </c>
      <c r="D37" s="11" t="s">
        <v>13</v>
      </c>
      <c r="E37" s="86">
        <v>145789.81</v>
      </c>
      <c r="F37" s="70"/>
      <c r="G37" s="1"/>
      <c r="N37" s="1"/>
    </row>
    <row r="38" spans="1:14" s="2" customFormat="1" x14ac:dyDescent="0.2">
      <c r="A38" s="89">
        <v>45216</v>
      </c>
      <c r="B38" s="128" t="s">
        <v>6</v>
      </c>
      <c r="C38" s="10" t="s">
        <v>1260</v>
      </c>
      <c r="D38" s="11" t="s">
        <v>13</v>
      </c>
      <c r="E38" s="86">
        <v>187515</v>
      </c>
      <c r="F38" s="70"/>
      <c r="G38" s="1"/>
      <c r="N38" s="1"/>
    </row>
    <row r="39" spans="1:14" s="2" customFormat="1" x14ac:dyDescent="0.2">
      <c r="A39" s="89">
        <v>45216</v>
      </c>
      <c r="B39" s="128" t="s">
        <v>6</v>
      </c>
      <c r="C39" s="10" t="s">
        <v>27</v>
      </c>
      <c r="D39" s="11" t="s">
        <v>13</v>
      </c>
      <c r="E39" s="86">
        <v>14509769.290000003</v>
      </c>
      <c r="F39" s="70"/>
      <c r="G39" s="1"/>
      <c r="N39" s="1"/>
    </row>
    <row r="40" spans="1:14" s="2" customFormat="1" x14ac:dyDescent="0.2">
      <c r="A40" s="89">
        <v>45216</v>
      </c>
      <c r="B40" s="128" t="s">
        <v>6</v>
      </c>
      <c r="C40" s="10" t="s">
        <v>1403</v>
      </c>
      <c r="D40" s="11" t="s">
        <v>258</v>
      </c>
      <c r="E40" s="86">
        <v>1878582</v>
      </c>
      <c r="F40" s="70"/>
      <c r="G40" s="1"/>
      <c r="N40" s="1"/>
    </row>
    <row r="41" spans="1:14" s="2" customFormat="1" x14ac:dyDescent="0.2">
      <c r="A41" s="89">
        <v>45216</v>
      </c>
      <c r="B41" s="128" t="s">
        <v>11</v>
      </c>
      <c r="C41" s="10" t="s">
        <v>40</v>
      </c>
      <c r="D41" s="11" t="s">
        <v>29</v>
      </c>
      <c r="E41" s="86"/>
      <c r="F41" s="70">
        <v>37831</v>
      </c>
      <c r="G41" s="1"/>
      <c r="N41" s="1"/>
    </row>
    <row r="42" spans="1:14" s="2" customFormat="1" x14ac:dyDescent="0.2">
      <c r="A42" s="89">
        <v>45216</v>
      </c>
      <c r="B42" s="128" t="s">
        <v>11</v>
      </c>
      <c r="C42" s="10" t="s">
        <v>57</v>
      </c>
      <c r="D42" s="11" t="s">
        <v>29</v>
      </c>
      <c r="E42" s="86"/>
      <c r="F42" s="70">
        <v>4000000</v>
      </c>
      <c r="G42" s="1"/>
      <c r="N42" s="1"/>
    </row>
    <row r="43" spans="1:14" s="2" customFormat="1" x14ac:dyDescent="0.2">
      <c r="A43" s="89">
        <v>45216</v>
      </c>
      <c r="B43" s="128" t="s">
        <v>11</v>
      </c>
      <c r="C43" s="10" t="s">
        <v>1403</v>
      </c>
      <c r="D43" s="11" t="s">
        <v>29</v>
      </c>
      <c r="E43" s="86"/>
      <c r="F43" s="70">
        <v>1757145</v>
      </c>
      <c r="G43" s="1"/>
      <c r="N43" s="1"/>
    </row>
    <row r="44" spans="1:14" s="2" customFormat="1" x14ac:dyDescent="0.2">
      <c r="A44" s="89">
        <v>45216</v>
      </c>
      <c r="B44" s="128" t="s">
        <v>11</v>
      </c>
      <c r="C44" s="10" t="s">
        <v>204</v>
      </c>
      <c r="D44" s="11" t="s">
        <v>29</v>
      </c>
      <c r="E44" s="86"/>
      <c r="F44" s="70">
        <v>189807</v>
      </c>
      <c r="G44" s="1"/>
      <c r="N44" s="1"/>
    </row>
    <row r="45" spans="1:14" s="2" customFormat="1" x14ac:dyDescent="0.2">
      <c r="A45" s="89">
        <v>45216</v>
      </c>
      <c r="B45" s="128" t="s">
        <v>11</v>
      </c>
      <c r="C45" s="10" t="s">
        <v>549</v>
      </c>
      <c r="D45" s="11" t="s">
        <v>29</v>
      </c>
      <c r="E45" s="86"/>
      <c r="F45" s="70">
        <v>106553</v>
      </c>
      <c r="G45" s="1"/>
      <c r="N45" s="1"/>
    </row>
    <row r="46" spans="1:14" s="2" customFormat="1" x14ac:dyDescent="0.2">
      <c r="A46" s="89">
        <v>45216</v>
      </c>
      <c r="B46" s="128" t="s">
        <v>11</v>
      </c>
      <c r="C46" s="10" t="s">
        <v>925</v>
      </c>
      <c r="D46" s="11" t="s">
        <v>29</v>
      </c>
      <c r="E46" s="86"/>
      <c r="F46" s="70">
        <v>208372</v>
      </c>
      <c r="G46" s="1"/>
      <c r="N46" s="1"/>
    </row>
    <row r="47" spans="1:14" s="2" customFormat="1" x14ac:dyDescent="0.2">
      <c r="A47" s="89">
        <v>45216</v>
      </c>
      <c r="B47" s="128" t="s">
        <v>11</v>
      </c>
      <c r="C47" s="10" t="s">
        <v>42</v>
      </c>
      <c r="D47" s="11" t="s">
        <v>29</v>
      </c>
      <c r="E47" s="86"/>
      <c r="F47" s="70">
        <v>9827</v>
      </c>
      <c r="G47" s="1"/>
      <c r="N47" s="1"/>
    </row>
    <row r="48" spans="1:14" s="2" customFormat="1" x14ac:dyDescent="0.2">
      <c r="A48" s="89">
        <v>45216</v>
      </c>
      <c r="B48" s="128" t="s">
        <v>11</v>
      </c>
      <c r="C48" s="10" t="s">
        <v>277</v>
      </c>
      <c r="D48" s="11" t="s">
        <v>29</v>
      </c>
      <c r="E48" s="86"/>
      <c r="F48" s="70">
        <v>42840</v>
      </c>
      <c r="G48" s="1"/>
      <c r="N48" s="1"/>
    </row>
    <row r="49" spans="1:14" s="2" customFormat="1" x14ac:dyDescent="0.2">
      <c r="A49" s="89">
        <v>45216</v>
      </c>
      <c r="B49" s="128" t="s">
        <v>11</v>
      </c>
      <c r="C49" s="10" t="s">
        <v>43</v>
      </c>
      <c r="D49" s="11" t="s">
        <v>29</v>
      </c>
      <c r="E49" s="86"/>
      <c r="F49" s="70">
        <v>6195</v>
      </c>
      <c r="G49" s="1"/>
      <c r="N49" s="1"/>
    </row>
    <row r="50" spans="1:14" s="2" customFormat="1" x14ac:dyDescent="0.2">
      <c r="A50" s="89">
        <v>45216</v>
      </c>
      <c r="B50" s="128" t="s">
        <v>11</v>
      </c>
      <c r="C50" s="10" t="s">
        <v>1607</v>
      </c>
      <c r="D50" s="11" t="s">
        <v>29</v>
      </c>
      <c r="E50" s="86"/>
      <c r="F50" s="70">
        <v>34692</v>
      </c>
      <c r="G50" s="1"/>
      <c r="N50" s="1"/>
    </row>
    <row r="51" spans="1:14" s="2" customFormat="1" x14ac:dyDescent="0.2">
      <c r="A51" s="89">
        <v>45216</v>
      </c>
      <c r="B51" s="128" t="s">
        <v>11</v>
      </c>
      <c r="C51" s="10" t="s">
        <v>224</v>
      </c>
      <c r="D51" s="11" t="s">
        <v>29</v>
      </c>
      <c r="E51" s="86"/>
      <c r="F51" s="70">
        <v>8878</v>
      </c>
      <c r="G51" s="1"/>
      <c r="N51" s="1"/>
    </row>
    <row r="52" spans="1:14" s="2" customFormat="1" x14ac:dyDescent="0.2">
      <c r="A52" s="89">
        <v>45216</v>
      </c>
      <c r="B52" s="128" t="s">
        <v>11</v>
      </c>
      <c r="C52" s="10" t="s">
        <v>226</v>
      </c>
      <c r="D52" s="11" t="s">
        <v>29</v>
      </c>
      <c r="E52" s="86"/>
      <c r="F52" s="70">
        <v>6563</v>
      </c>
      <c r="G52" s="1"/>
      <c r="N52" s="1"/>
    </row>
    <row r="53" spans="1:14" s="2" customFormat="1" x14ac:dyDescent="0.2">
      <c r="A53" s="89">
        <v>45216</v>
      </c>
      <c r="B53" s="128" t="s">
        <v>11</v>
      </c>
      <c r="C53" s="10" t="s">
        <v>462</v>
      </c>
      <c r="D53" s="11" t="s">
        <v>29</v>
      </c>
      <c r="E53" s="86"/>
      <c r="F53" s="70">
        <v>58019.98</v>
      </c>
      <c r="G53" s="1"/>
      <c r="N53" s="1"/>
    </row>
    <row r="54" spans="1:14" s="2" customFormat="1" x14ac:dyDescent="0.2">
      <c r="A54" s="89">
        <v>45216</v>
      </c>
      <c r="B54" s="128" t="s">
        <v>11</v>
      </c>
      <c r="C54" s="10" t="s">
        <v>37</v>
      </c>
      <c r="D54" s="11" t="s">
        <v>29</v>
      </c>
      <c r="E54" s="86"/>
      <c r="F54" s="70">
        <v>7434</v>
      </c>
      <c r="G54" s="1"/>
      <c r="N54" s="1"/>
    </row>
    <row r="55" spans="1:14" s="2" customFormat="1" x14ac:dyDescent="0.2">
      <c r="A55" s="89">
        <v>45216</v>
      </c>
      <c r="B55" s="128" t="s">
        <v>11</v>
      </c>
      <c r="C55" s="10" t="s">
        <v>409</v>
      </c>
      <c r="D55" s="11" t="s">
        <v>29</v>
      </c>
      <c r="E55" s="86"/>
      <c r="F55" s="70">
        <v>43470</v>
      </c>
      <c r="G55" s="1"/>
      <c r="N55" s="1"/>
    </row>
    <row r="56" spans="1:14" s="2" customFormat="1" x14ac:dyDescent="0.2">
      <c r="A56" s="89">
        <v>45216</v>
      </c>
      <c r="B56" s="128" t="s">
        <v>11</v>
      </c>
      <c r="C56" s="10" t="s">
        <v>437</v>
      </c>
      <c r="D56" s="11" t="s">
        <v>29</v>
      </c>
      <c r="E56" s="86"/>
      <c r="F56" s="70">
        <v>4150</v>
      </c>
      <c r="G56" s="1"/>
      <c r="N56" s="1"/>
    </row>
    <row r="57" spans="1:14" s="2" customFormat="1" x14ac:dyDescent="0.2">
      <c r="A57" s="89">
        <v>45216</v>
      </c>
      <c r="B57" s="128" t="s">
        <v>11</v>
      </c>
      <c r="C57" s="10" t="s">
        <v>809</v>
      </c>
      <c r="D57" s="11" t="s">
        <v>29</v>
      </c>
      <c r="E57" s="86"/>
      <c r="F57" s="70">
        <v>53100</v>
      </c>
      <c r="G57" s="1"/>
      <c r="N57" s="1"/>
    </row>
    <row r="58" spans="1:14" s="2" customFormat="1" x14ac:dyDescent="0.2">
      <c r="A58" s="89">
        <v>45216</v>
      </c>
      <c r="B58" s="128" t="s">
        <v>11</v>
      </c>
      <c r="C58" s="10" t="s">
        <v>116</v>
      </c>
      <c r="D58" s="11" t="s">
        <v>29</v>
      </c>
      <c r="E58" s="86"/>
      <c r="F58" s="70">
        <v>19582</v>
      </c>
      <c r="G58" s="1"/>
      <c r="N58" s="1"/>
    </row>
    <row r="59" spans="1:14" s="2" customFormat="1" x14ac:dyDescent="0.2">
      <c r="A59" s="89">
        <v>45216</v>
      </c>
      <c r="B59" s="128" t="s">
        <v>11</v>
      </c>
      <c r="C59" s="10" t="s">
        <v>229</v>
      </c>
      <c r="D59" s="11" t="s">
        <v>29</v>
      </c>
      <c r="E59" s="86"/>
      <c r="F59" s="70">
        <v>10620</v>
      </c>
      <c r="G59" s="1"/>
      <c r="N59" s="1"/>
    </row>
    <row r="60" spans="1:14" s="2" customFormat="1" x14ac:dyDescent="0.2">
      <c r="A60" s="89">
        <v>45216</v>
      </c>
      <c r="B60" s="128" t="s">
        <v>11</v>
      </c>
      <c r="C60" s="10" t="s">
        <v>315</v>
      </c>
      <c r="D60" s="11" t="s">
        <v>29</v>
      </c>
      <c r="E60" s="86"/>
      <c r="F60" s="70">
        <v>37064</v>
      </c>
      <c r="G60" s="1"/>
      <c r="N60" s="1"/>
    </row>
    <row r="61" spans="1:14" s="2" customFormat="1" x14ac:dyDescent="0.2">
      <c r="A61" s="89">
        <v>45216</v>
      </c>
      <c r="B61" s="128" t="s">
        <v>11</v>
      </c>
      <c r="C61" s="10" t="s">
        <v>626</v>
      </c>
      <c r="D61" s="11" t="s">
        <v>29</v>
      </c>
      <c r="E61" s="86"/>
      <c r="F61" s="70">
        <v>12874</v>
      </c>
      <c r="G61" s="1"/>
      <c r="N61" s="1"/>
    </row>
    <row r="62" spans="1:14" s="2" customFormat="1" x14ac:dyDescent="0.2">
      <c r="A62" s="89">
        <v>45216</v>
      </c>
      <c r="B62" s="128" t="s">
        <v>11</v>
      </c>
      <c r="C62" s="10" t="s">
        <v>353</v>
      </c>
      <c r="D62" s="11" t="s">
        <v>29</v>
      </c>
      <c r="E62" s="86"/>
      <c r="F62" s="70">
        <v>17700</v>
      </c>
      <c r="G62" s="1"/>
      <c r="N62" s="1"/>
    </row>
    <row r="63" spans="1:14" s="2" customFormat="1" x14ac:dyDescent="0.2">
      <c r="A63" s="89">
        <v>45216</v>
      </c>
      <c r="B63" s="128" t="s">
        <v>11</v>
      </c>
      <c r="C63" s="10" t="s">
        <v>392</v>
      </c>
      <c r="D63" s="11" t="s">
        <v>29</v>
      </c>
      <c r="E63" s="86"/>
      <c r="F63" s="70">
        <v>41062</v>
      </c>
      <c r="G63" s="1"/>
      <c r="N63" s="1"/>
    </row>
    <row r="64" spans="1:14" s="2" customFormat="1" x14ac:dyDescent="0.2">
      <c r="A64" s="89">
        <v>45216</v>
      </c>
      <c r="B64" s="128" t="s">
        <v>11</v>
      </c>
      <c r="C64" s="10" t="s">
        <v>337</v>
      </c>
      <c r="D64" s="11" t="s">
        <v>29</v>
      </c>
      <c r="E64" s="86"/>
      <c r="F64" s="70">
        <v>135000</v>
      </c>
      <c r="G64" s="1"/>
      <c r="N64" s="1"/>
    </row>
    <row r="65" spans="1:14" s="2" customFormat="1" x14ac:dyDescent="0.2">
      <c r="A65" s="89">
        <v>45216</v>
      </c>
      <c r="B65" s="128" t="s">
        <v>11</v>
      </c>
      <c r="C65" s="10" t="s">
        <v>273</v>
      </c>
      <c r="D65" s="11" t="s">
        <v>29</v>
      </c>
      <c r="E65" s="86"/>
      <c r="F65" s="70">
        <v>24849.279999999999</v>
      </c>
      <c r="G65" s="1"/>
      <c r="N65" s="1"/>
    </row>
    <row r="66" spans="1:14" s="2" customFormat="1" x14ac:dyDescent="0.2">
      <c r="A66" s="89">
        <v>45216</v>
      </c>
      <c r="B66" s="128" t="s">
        <v>11</v>
      </c>
      <c r="C66" s="10" t="s">
        <v>442</v>
      </c>
      <c r="D66" s="11" t="s">
        <v>29</v>
      </c>
      <c r="E66" s="86"/>
      <c r="F66" s="70">
        <v>1845331</v>
      </c>
      <c r="G66" s="1"/>
      <c r="N66" s="1"/>
    </row>
    <row r="67" spans="1:14" s="2" customFormat="1" x14ac:dyDescent="0.2">
      <c r="A67" s="89">
        <v>45216</v>
      </c>
      <c r="B67" s="128" t="s">
        <v>11</v>
      </c>
      <c r="C67" s="10" t="s">
        <v>64</v>
      </c>
      <c r="D67" s="11" t="s">
        <v>29</v>
      </c>
      <c r="E67" s="86"/>
      <c r="F67" s="70">
        <v>10325</v>
      </c>
      <c r="G67" s="1"/>
      <c r="N67" s="1"/>
    </row>
    <row r="68" spans="1:14" s="2" customFormat="1" x14ac:dyDescent="0.2">
      <c r="A68" s="32"/>
      <c r="B68" s="33"/>
      <c r="C68" s="14"/>
      <c r="D68" s="34"/>
      <c r="E68" s="16">
        <f>SUM(E29:E67)</f>
        <v>18664720.100000001</v>
      </c>
      <c r="F68" s="16">
        <f>SUM(F29:F67)</f>
        <v>87742558.940000087</v>
      </c>
      <c r="G68" s="1"/>
      <c r="H68" s="1"/>
      <c r="I68" s="38">
        <v>69077838.840000004</v>
      </c>
      <c r="J68" s="2" t="s">
        <v>396</v>
      </c>
      <c r="K68" s="92">
        <f>E69-I68</f>
        <v>0</v>
      </c>
      <c r="N68" s="1"/>
    </row>
    <row r="69" spans="1:14" s="2" customFormat="1" x14ac:dyDescent="0.2">
      <c r="A69" s="36"/>
      <c r="B69" s="28" t="s">
        <v>11</v>
      </c>
      <c r="C69" s="19" t="s">
        <v>65</v>
      </c>
      <c r="D69" s="37"/>
      <c r="E69" s="38">
        <f>F68-E68</f>
        <v>69077838.840000093</v>
      </c>
      <c r="F69" s="22"/>
      <c r="G69" s="1"/>
      <c r="H69" s="1"/>
      <c r="I69" s="70"/>
      <c r="J69" s="70"/>
      <c r="K69" s="70"/>
      <c r="N69" s="1"/>
    </row>
    <row r="70" spans="1:14" s="2" customFormat="1" x14ac:dyDescent="0.2">
      <c r="A70" s="36"/>
      <c r="B70" s="28" t="s">
        <v>66</v>
      </c>
      <c r="C70" s="19" t="s">
        <v>67</v>
      </c>
      <c r="D70" s="37"/>
      <c r="E70" s="38">
        <v>6500000</v>
      </c>
      <c r="F70" s="22"/>
      <c r="G70" s="1"/>
      <c r="H70" s="70"/>
      <c r="I70" s="70"/>
      <c r="J70" s="70"/>
      <c r="K70" s="70"/>
      <c r="N70" s="1"/>
    </row>
    <row r="71" spans="1:14" s="2" customFormat="1" x14ac:dyDescent="0.2">
      <c r="A71" s="36"/>
      <c r="B71" s="28" t="s">
        <v>66</v>
      </c>
      <c r="C71" s="43" t="s">
        <v>1457</v>
      </c>
      <c r="D71" s="43"/>
      <c r="E71" s="12">
        <f>275000000+75000000+50000000</f>
        <v>400000000</v>
      </c>
      <c r="F71" s="22"/>
      <c r="G71" s="1"/>
      <c r="H71" s="70"/>
      <c r="I71" s="45">
        <v>1371.88</v>
      </c>
      <c r="J71" s="46"/>
      <c r="K71" s="46"/>
      <c r="N71" s="1"/>
    </row>
    <row r="72" spans="1:14" s="2" customFormat="1" ht="15" x14ac:dyDescent="0.25">
      <c r="A72" s="36"/>
      <c r="B72" s="28"/>
      <c r="C72" s="44" t="s">
        <v>1541</v>
      </c>
      <c r="D72" s="43"/>
      <c r="E72" s="7">
        <f>+E71+E69+E70</f>
        <v>475577838.84000009</v>
      </c>
      <c r="F72" s="22"/>
      <c r="G72" s="1"/>
      <c r="H72" s="103" t="s">
        <v>69</v>
      </c>
      <c r="I72" s="45">
        <v>-184.27</v>
      </c>
      <c r="J72" s="46"/>
      <c r="K72" s="46"/>
      <c r="N72" s="1"/>
    </row>
    <row r="73" spans="1:14" s="2" customFormat="1" ht="15" x14ac:dyDescent="0.25">
      <c r="A73" s="24"/>
      <c r="B73" s="1"/>
      <c r="C73" s="44" t="s">
        <v>1510</v>
      </c>
      <c r="D73" s="25"/>
      <c r="E73" s="156">
        <f>+I29-E70+H25-I25</f>
        <v>24422161.159999996</v>
      </c>
      <c r="G73" s="1"/>
      <c r="H73" s="35" t="s">
        <v>70</v>
      </c>
      <c r="I73" s="45">
        <f>36.59+20.21</f>
        <v>56.800000000000004</v>
      </c>
      <c r="J73" s="46">
        <f>+I74-D76</f>
        <v>0</v>
      </c>
      <c r="N73" s="1"/>
    </row>
    <row r="74" spans="1:14" s="124" customFormat="1" ht="12.75" customHeight="1" x14ac:dyDescent="0.2">
      <c r="A74" s="24"/>
      <c r="B74" s="1"/>
      <c r="C74" s="56"/>
      <c r="D74" s="56"/>
      <c r="E74" s="104"/>
      <c r="F74" s="2"/>
      <c r="G74" s="166"/>
      <c r="H74" s="70"/>
      <c r="I74" s="49">
        <f>SUM(I71:I73)</f>
        <v>1244.4100000000001</v>
      </c>
      <c r="J74" s="46"/>
      <c r="K74" s="46"/>
    </row>
    <row r="75" spans="1:14" s="124" customFormat="1" ht="12.75" customHeight="1" x14ac:dyDescent="0.2">
      <c r="A75" s="24"/>
      <c r="B75" s="1"/>
      <c r="C75" s="78" t="s">
        <v>575</v>
      </c>
      <c r="D75" s="48" t="s">
        <v>576</v>
      </c>
      <c r="E75" s="104"/>
      <c r="F75" s="2"/>
      <c r="G75" s="168"/>
      <c r="H75" s="167"/>
      <c r="I75" s="167"/>
      <c r="J75" s="168"/>
    </row>
    <row r="76" spans="1:14" s="124" customFormat="1" ht="12.75" customHeight="1" x14ac:dyDescent="0.2">
      <c r="A76" s="24"/>
      <c r="B76" s="1"/>
      <c r="C76" s="47" t="s">
        <v>570</v>
      </c>
      <c r="D76" s="111">
        <v>1244.4100000000001</v>
      </c>
      <c r="E76" s="104"/>
      <c r="F76" s="2"/>
      <c r="G76" s="168"/>
      <c r="H76" s="110" t="s">
        <v>581</v>
      </c>
      <c r="I76" s="167"/>
      <c r="J76" s="168"/>
    </row>
    <row r="77" spans="1:14" s="124" customFormat="1" ht="12.75" customHeight="1" x14ac:dyDescent="0.2">
      <c r="A77" s="24"/>
      <c r="B77" s="1"/>
      <c r="C77" s="47" t="s">
        <v>931</v>
      </c>
      <c r="D77" s="111">
        <v>161.19999999999999</v>
      </c>
      <c r="E77" s="104"/>
      <c r="F77" s="2"/>
      <c r="G77" s="168"/>
      <c r="H77" s="110" t="s">
        <v>580</v>
      </c>
      <c r="I77" s="167"/>
      <c r="J77" s="168"/>
    </row>
    <row r="78" spans="1:14" s="124" customFormat="1" ht="12.75" customHeight="1" x14ac:dyDescent="0.2">
      <c r="A78" s="24"/>
      <c r="B78" s="1"/>
      <c r="C78" s="47" t="s">
        <v>572</v>
      </c>
      <c r="D78" s="111">
        <f>+D101/100000</f>
        <v>124.6361563</v>
      </c>
      <c r="E78" s="104"/>
      <c r="F78" s="2"/>
      <c r="G78" s="166"/>
      <c r="H78" s="90" t="s">
        <v>587</v>
      </c>
      <c r="I78" s="167"/>
      <c r="J78" s="168"/>
    </row>
    <row r="79" spans="1:14" s="2" customFormat="1" x14ac:dyDescent="0.2">
      <c r="A79" s="24"/>
      <c r="B79" s="1"/>
      <c r="C79" s="108" t="s">
        <v>578</v>
      </c>
      <c r="D79" s="48">
        <f>SUM(D76:D78)</f>
        <v>1530.2461563000002</v>
      </c>
      <c r="E79" s="104"/>
      <c r="G79" s="30"/>
      <c r="I79" s="13"/>
      <c r="J79" s="13"/>
    </row>
    <row r="80" spans="1:14" s="70" customFormat="1" x14ac:dyDescent="0.2">
      <c r="A80" s="24"/>
      <c r="B80" s="1"/>
      <c r="C80" s="47"/>
      <c r="D80" s="107"/>
      <c r="E80" s="104"/>
      <c r="F80" s="2"/>
      <c r="G80" s="30"/>
      <c r="H80" s="2"/>
    </row>
    <row r="81" spans="1:14" s="70" customFormat="1" x14ac:dyDescent="0.2">
      <c r="A81" s="24"/>
      <c r="B81" s="1"/>
      <c r="C81" s="47" t="s">
        <v>932</v>
      </c>
      <c r="D81" s="111">
        <v>71.790000000000006</v>
      </c>
      <c r="E81" s="104"/>
      <c r="F81" s="2"/>
      <c r="G81" s="30"/>
      <c r="H81" s="110" t="s">
        <v>581</v>
      </c>
    </row>
    <row r="82" spans="1:14" s="70" customFormat="1" x14ac:dyDescent="0.2">
      <c r="A82" s="24"/>
      <c r="B82" s="1"/>
      <c r="C82" s="136" t="s">
        <v>1142</v>
      </c>
      <c r="D82" s="111">
        <v>465.19</v>
      </c>
      <c r="E82" s="104"/>
      <c r="F82" s="2"/>
      <c r="G82" s="30"/>
      <c r="H82" s="110" t="s">
        <v>581</v>
      </c>
    </row>
    <row r="83" spans="1:14" s="70" customFormat="1" x14ac:dyDescent="0.2">
      <c r="A83" s="24"/>
      <c r="B83" s="1"/>
      <c r="C83" s="78" t="s">
        <v>579</v>
      </c>
      <c r="D83" s="109">
        <f>D81+D82</f>
        <v>536.98</v>
      </c>
      <c r="E83" s="104"/>
      <c r="F83" s="2"/>
      <c r="G83" s="30"/>
    </row>
    <row r="84" spans="1:14" s="70" customFormat="1" x14ac:dyDescent="0.2">
      <c r="A84" s="24"/>
      <c r="B84" s="1"/>
      <c r="C84" s="105"/>
      <c r="D84" s="106"/>
      <c r="E84" s="104"/>
      <c r="F84" s="2"/>
      <c r="G84" s="30"/>
      <c r="I84" s="2"/>
      <c r="J84" s="114" t="s">
        <v>713</v>
      </c>
      <c r="K84" s="2"/>
      <c r="L84" s="2"/>
      <c r="M84" s="2"/>
    </row>
    <row r="85" spans="1:14" s="70" customFormat="1" x14ac:dyDescent="0.2">
      <c r="A85" s="24"/>
      <c r="B85" s="1"/>
      <c r="C85" s="78" t="s">
        <v>577</v>
      </c>
      <c r="D85" s="109">
        <f>D76+D83</f>
        <v>1781.39</v>
      </c>
      <c r="E85" s="104"/>
      <c r="F85" s="2"/>
      <c r="G85" s="30"/>
      <c r="I85" s="113"/>
      <c r="J85" s="113" t="s">
        <v>709</v>
      </c>
      <c r="K85" s="113" t="s">
        <v>710</v>
      </c>
      <c r="L85" s="113" t="s">
        <v>711</v>
      </c>
      <c r="M85" s="113" t="s">
        <v>712</v>
      </c>
    </row>
    <row r="86" spans="1:14" s="70" customFormat="1" x14ac:dyDescent="0.2">
      <c r="A86" s="24"/>
      <c r="B86" s="1"/>
      <c r="C86" s="56"/>
      <c r="D86" s="56"/>
      <c r="E86" s="104"/>
      <c r="F86" s="2"/>
      <c r="G86" s="30"/>
      <c r="I86" s="113" t="s">
        <v>706</v>
      </c>
      <c r="J86" s="115"/>
      <c r="K86" s="115">
        <v>968.99</v>
      </c>
      <c r="L86" s="115">
        <v>968.99</v>
      </c>
      <c r="M86" s="113">
        <f>+J86+L86-K86</f>
        <v>0</v>
      </c>
    </row>
    <row r="87" spans="1:14" s="70" customFormat="1" ht="38.25" x14ac:dyDescent="0.2">
      <c r="A87" s="24"/>
      <c r="B87" s="1"/>
      <c r="C87" s="79" t="str">
        <f>"Particulars ( 01-04-2021 to "&amp;TEXT(A5,"dd-mm-yyyy")&amp;" )"</f>
        <v>Particulars ( 01-04-2021 to 17-10-2023 )</v>
      </c>
      <c r="D87" s="80" t="s">
        <v>73</v>
      </c>
      <c r="E87" s="80" t="s">
        <v>74</v>
      </c>
      <c r="F87" s="81" t="s">
        <v>75</v>
      </c>
      <c r="G87" s="80" t="s">
        <v>76</v>
      </c>
      <c r="I87" s="113" t="s">
        <v>707</v>
      </c>
      <c r="J87" s="115">
        <v>183.1</v>
      </c>
      <c r="K87" s="115">
        <v>3788.51</v>
      </c>
      <c r="L87" s="115">
        <v>4030.88</v>
      </c>
      <c r="M87" s="113">
        <f>+J87+L87-K87</f>
        <v>425.47000000000025</v>
      </c>
    </row>
    <row r="88" spans="1:14" s="70" customFormat="1" x14ac:dyDescent="0.2">
      <c r="A88" s="24"/>
      <c r="B88" s="1"/>
      <c r="C88" s="50" t="s">
        <v>444</v>
      </c>
      <c r="D88" s="55">
        <f>+L86+L87+J87</f>
        <v>5182.97</v>
      </c>
      <c r="E88" s="55">
        <f>+K86+K87</f>
        <v>4757.5</v>
      </c>
      <c r="F88" s="55">
        <f>+D88-E88</f>
        <v>425.47000000000025</v>
      </c>
      <c r="G88" s="55">
        <f>1500-F88</f>
        <v>1074.5299999999997</v>
      </c>
      <c r="I88" s="113" t="s">
        <v>708</v>
      </c>
      <c r="J88" s="115">
        <v>1371.02</v>
      </c>
      <c r="K88" s="115">
        <v>14564.9</v>
      </c>
      <c r="L88" s="115">
        <v>14257.51</v>
      </c>
      <c r="M88" s="113">
        <f>+J88+L88-K88</f>
        <v>1063.630000000001</v>
      </c>
    </row>
    <row r="89" spans="1:14" s="70" customFormat="1" ht="12.75" customHeight="1" x14ac:dyDescent="0.2">
      <c r="A89" s="24"/>
      <c r="B89" s="1"/>
      <c r="C89" s="50" t="s">
        <v>71</v>
      </c>
      <c r="D89" s="55">
        <f>+J88+L88</f>
        <v>15628.53</v>
      </c>
      <c r="E89" s="55">
        <f>+K88</f>
        <v>14564.9</v>
      </c>
      <c r="F89" s="55">
        <f>+D89-E89</f>
        <v>1063.630000000001</v>
      </c>
      <c r="G89" s="55">
        <f>1500+700-F89</f>
        <v>1136.369999999999</v>
      </c>
      <c r="I89" s="2"/>
      <c r="J89" s="118">
        <f>SUM(J86:J88)</f>
        <v>1554.12</v>
      </c>
      <c r="K89" s="118">
        <f>SUM(K86:K88)</f>
        <v>19322.400000000001</v>
      </c>
      <c r="L89" s="118">
        <f>SUM(L86:L88)</f>
        <v>19257.38</v>
      </c>
      <c r="M89" s="118">
        <f>SUM(M86:M88)</f>
        <v>1489.1000000000013</v>
      </c>
    </row>
    <row r="90" spans="1:14" s="70" customFormat="1" ht="12.75" customHeight="1" x14ac:dyDescent="0.2">
      <c r="A90" s="24"/>
      <c r="B90" s="1"/>
      <c r="C90" s="14"/>
      <c r="D90" s="56"/>
      <c r="E90" s="13"/>
      <c r="F90" s="2"/>
      <c r="G90" s="30"/>
    </row>
    <row r="91" spans="1:14" s="70" customFormat="1" ht="12.75" customHeight="1" x14ac:dyDescent="0.2">
      <c r="A91" s="215" t="s">
        <v>80</v>
      </c>
      <c r="B91" s="216"/>
      <c r="C91" s="216"/>
      <c r="D91" s="217"/>
      <c r="E91" s="69"/>
      <c r="G91" s="30"/>
    </row>
    <row r="92" spans="1:14" s="70" customFormat="1" ht="12.75" customHeight="1" x14ac:dyDescent="0.2">
      <c r="A92" s="71" t="s">
        <v>81</v>
      </c>
      <c r="B92" s="71"/>
      <c r="C92" s="72" t="s">
        <v>82</v>
      </c>
      <c r="D92" s="73" t="s">
        <v>83</v>
      </c>
      <c r="E92" s="69"/>
      <c r="G92" s="30"/>
    </row>
    <row r="93" spans="1:14" s="70" customFormat="1" ht="12.75" customHeight="1" x14ac:dyDescent="0.2">
      <c r="A93" s="87">
        <v>45203</v>
      </c>
      <c r="B93" s="120" t="s">
        <v>1052</v>
      </c>
      <c r="C93" s="75" t="s">
        <v>18</v>
      </c>
      <c r="D93" s="88">
        <v>193358.43</v>
      </c>
      <c r="E93" s="2"/>
      <c r="F93" s="2"/>
      <c r="G93" s="30"/>
      <c r="H93" s="2"/>
      <c r="I93" s="2"/>
      <c r="J93" s="2"/>
      <c r="K93" s="2"/>
      <c r="L93" s="41"/>
      <c r="M93" s="42"/>
      <c r="N93" s="2"/>
    </row>
    <row r="94" spans="1:14" s="70" customFormat="1" ht="12.75" customHeight="1" x14ac:dyDescent="0.2">
      <c r="A94" s="87">
        <v>45203</v>
      </c>
      <c r="B94" s="120" t="s">
        <v>1052</v>
      </c>
      <c r="C94" s="75" t="s">
        <v>270</v>
      </c>
      <c r="D94" s="88">
        <v>254277</v>
      </c>
      <c r="E94" s="2"/>
      <c r="F94" s="2"/>
      <c r="G94" s="30"/>
      <c r="H94" s="2"/>
      <c r="I94" s="2"/>
      <c r="J94" s="2"/>
      <c r="K94" s="2"/>
      <c r="L94" s="41"/>
      <c r="M94" s="42"/>
      <c r="N94" s="2"/>
    </row>
    <row r="95" spans="1:14" s="70" customFormat="1" ht="12.75" customHeight="1" x14ac:dyDescent="0.2">
      <c r="A95" s="87">
        <v>45204</v>
      </c>
      <c r="B95" s="120" t="s">
        <v>1052</v>
      </c>
      <c r="C95" s="75" t="s">
        <v>85</v>
      </c>
      <c r="D95" s="88">
        <v>765297</v>
      </c>
      <c r="E95" s="2"/>
      <c r="F95" s="2"/>
      <c r="G95" s="30"/>
      <c r="H95" s="2"/>
      <c r="I95" s="2"/>
      <c r="J95" s="2"/>
      <c r="K95" s="2"/>
      <c r="L95" s="41"/>
      <c r="M95" s="42"/>
      <c r="N95" s="2"/>
    </row>
    <row r="96" spans="1:14" s="70" customFormat="1" ht="12.75" customHeight="1" x14ac:dyDescent="0.2">
      <c r="A96" s="87">
        <v>45209</v>
      </c>
      <c r="B96" s="120" t="s">
        <v>1052</v>
      </c>
      <c r="C96" s="75" t="s">
        <v>606</v>
      </c>
      <c r="D96" s="88">
        <v>2261658</v>
      </c>
      <c r="E96" s="2"/>
      <c r="F96" s="2"/>
      <c r="G96" s="30"/>
      <c r="H96" s="2"/>
      <c r="I96" s="2"/>
      <c r="J96" s="2"/>
      <c r="K96" s="2"/>
      <c r="L96" s="41"/>
      <c r="M96" s="42"/>
      <c r="N96" s="2"/>
    </row>
    <row r="97" spans="1:14" s="70" customFormat="1" ht="12.75" customHeight="1" x14ac:dyDescent="0.2">
      <c r="A97" s="87">
        <v>45211</v>
      </c>
      <c r="B97" s="120" t="s">
        <v>1052</v>
      </c>
      <c r="C97" s="75" t="s">
        <v>18</v>
      </c>
      <c r="D97" s="88">
        <v>35919</v>
      </c>
      <c r="E97" s="2"/>
      <c r="F97" s="2"/>
      <c r="G97" s="30"/>
      <c r="H97" s="2"/>
      <c r="I97" s="2"/>
      <c r="J97" s="2"/>
      <c r="K97" s="2"/>
      <c r="L97" s="41"/>
      <c r="M97" s="42"/>
      <c r="N97" s="2"/>
    </row>
    <row r="98" spans="1:14" s="70" customFormat="1" ht="12.75" customHeight="1" x14ac:dyDescent="0.2">
      <c r="A98" s="87">
        <v>45211</v>
      </c>
      <c r="B98" s="120" t="s">
        <v>1052</v>
      </c>
      <c r="C98" s="75" t="s">
        <v>84</v>
      </c>
      <c r="D98" s="88">
        <v>856347</v>
      </c>
      <c r="E98" s="2"/>
      <c r="F98" s="2"/>
      <c r="G98" s="30"/>
      <c r="H98" s="2"/>
      <c r="I98" s="2"/>
      <c r="J98" s="2"/>
      <c r="K98" s="2"/>
      <c r="L98" s="41"/>
      <c r="M98" s="42"/>
      <c r="N98" s="2"/>
    </row>
    <row r="99" spans="1:14" s="70" customFormat="1" ht="12.75" customHeight="1" x14ac:dyDescent="0.2">
      <c r="A99" s="87">
        <v>45212</v>
      </c>
      <c r="B99" s="120" t="s">
        <v>1052</v>
      </c>
      <c r="C99" s="75" t="s">
        <v>201</v>
      </c>
      <c r="D99" s="88">
        <v>1600267.2</v>
      </c>
      <c r="E99" s="2"/>
      <c r="F99" s="2"/>
      <c r="G99" s="30"/>
      <c r="H99" s="2"/>
      <c r="I99" s="2"/>
      <c r="J99" s="2"/>
      <c r="K99" s="2"/>
      <c r="L99" s="41"/>
      <c r="M99" s="42"/>
      <c r="N99" s="2"/>
    </row>
    <row r="100" spans="1:14" s="70" customFormat="1" ht="12.75" customHeight="1" x14ac:dyDescent="0.2">
      <c r="A100" s="87">
        <v>45215</v>
      </c>
      <c r="B100" s="120" t="s">
        <v>1052</v>
      </c>
      <c r="C100" s="75" t="s">
        <v>1683</v>
      </c>
      <c r="D100" s="88">
        <v>6496492</v>
      </c>
      <c r="E100" s="2"/>
      <c r="F100" s="2"/>
      <c r="G100" s="30"/>
      <c r="H100" s="2"/>
      <c r="I100" s="2"/>
      <c r="J100" s="2"/>
      <c r="K100" s="2"/>
      <c r="L100" s="41"/>
      <c r="M100" s="42"/>
      <c r="N100" s="2"/>
    </row>
    <row r="101" spans="1:14" s="2" customFormat="1" x14ac:dyDescent="0.2">
      <c r="A101" s="87"/>
      <c r="B101" s="74"/>
      <c r="C101" s="75"/>
      <c r="D101" s="51">
        <f>SUM(D93:D100)</f>
        <v>12463615.629999999</v>
      </c>
      <c r="F101" s="2" t="s">
        <v>396</v>
      </c>
      <c r="G101" s="1"/>
    </row>
    <row r="102" spans="1:14" s="2" customFormat="1" x14ac:dyDescent="0.2">
      <c r="A102" s="24"/>
      <c r="B102" s="1"/>
      <c r="C102" s="14"/>
      <c r="D102" s="56"/>
      <c r="E102" s="13"/>
      <c r="G102" s="1"/>
    </row>
    <row r="103" spans="1:14" s="2" customFormat="1" x14ac:dyDescent="0.2">
      <c r="A103" s="24"/>
      <c r="B103" s="1"/>
      <c r="C103" s="218" t="s">
        <v>77</v>
      </c>
      <c r="D103" s="219"/>
      <c r="E103" s="219"/>
      <c r="F103" s="220"/>
      <c r="H103" s="2" t="s">
        <v>396</v>
      </c>
    </row>
    <row r="104" spans="1:14" s="2" customFormat="1" x14ac:dyDescent="0.2">
      <c r="A104" s="24"/>
      <c r="B104" s="1"/>
      <c r="C104" s="50"/>
      <c r="D104" s="57" t="s">
        <v>78</v>
      </c>
      <c r="E104" s="58" t="s">
        <v>79</v>
      </c>
      <c r="F104" s="57" t="s">
        <v>72</v>
      </c>
      <c r="H104" s="2" t="s">
        <v>396</v>
      </c>
    </row>
    <row r="105" spans="1:14" s="2" customFormat="1" x14ac:dyDescent="0.2">
      <c r="A105" s="24"/>
      <c r="B105" s="1"/>
      <c r="C105" s="59" t="str">
        <f>"01-10-2023 to "&amp;TEXT(A5-2,"dd-mm-yyyy")</f>
        <v>01-10-2023 to 15-10-2023</v>
      </c>
      <c r="D105" s="60">
        <v>1111.8</v>
      </c>
      <c r="E105" s="60">
        <v>227.03</v>
      </c>
      <c r="F105" s="61">
        <f>SUM(D105:E105)</f>
        <v>1338.83</v>
      </c>
    </row>
    <row r="106" spans="1:14" s="2" customFormat="1" x14ac:dyDescent="0.2">
      <c r="A106" s="24"/>
      <c r="B106" s="1"/>
      <c r="C106" s="62" t="str">
        <f>TEXT(A5-1,"dd-mm-yyyy")</f>
        <v>16-10-2023</v>
      </c>
      <c r="D106" s="60">
        <v>61.39</v>
      </c>
      <c r="E106" s="60">
        <v>21.04</v>
      </c>
      <c r="F106" s="61">
        <f>SUM(D106:E106)</f>
        <v>82.43</v>
      </c>
      <c r="G106" s="1"/>
      <c r="H106" s="53"/>
    </row>
    <row r="107" spans="1:14" s="2" customFormat="1" ht="13.5" thickBot="1" x14ac:dyDescent="0.25">
      <c r="A107" s="24"/>
      <c r="B107" s="1"/>
      <c r="C107" s="63" t="str">
        <f>"01-10-2023 to "&amp;TEXT(A5-1,"dd-mm-yyyy")</f>
        <v>01-10-2023 to 16-10-2023</v>
      </c>
      <c r="D107" s="64">
        <f>SUM(D105:D106)</f>
        <v>1173.19</v>
      </c>
      <c r="E107" s="64">
        <f>SUM(E105:E106)</f>
        <v>248.07</v>
      </c>
      <c r="F107" s="64">
        <f>SUM(F105:F106)</f>
        <v>1421.26</v>
      </c>
      <c r="G107" s="1"/>
      <c r="H107" s="53"/>
    </row>
    <row r="108" spans="1:14" s="2" customFormat="1" ht="13.5" thickTop="1" x14ac:dyDescent="0.2">
      <c r="A108" s="24"/>
      <c r="B108" s="1"/>
      <c r="C108" s="62"/>
      <c r="D108" s="65"/>
      <c r="E108" s="66"/>
      <c r="F108" s="67"/>
      <c r="L108" s="1"/>
      <c r="M108" s="1"/>
    </row>
    <row r="109" spans="1:14" s="2" customFormat="1" x14ac:dyDescent="0.2">
      <c r="A109" s="24"/>
      <c r="B109" s="1"/>
      <c r="C109" s="62" t="str">
        <f>"01-04-2023 to " &amp;C106</f>
        <v>01-04-2023 to 16-10-2023</v>
      </c>
      <c r="D109" s="68">
        <f>+D107+27003.42</f>
        <v>28176.609999999997</v>
      </c>
      <c r="E109" s="68">
        <f>+E107+2028.43</f>
        <v>2276.5</v>
      </c>
      <c r="F109" s="68">
        <f>+F107+29031.85</f>
        <v>30453.109999999997</v>
      </c>
      <c r="G109" s="1"/>
      <c r="L109" s="1"/>
      <c r="M109" s="1"/>
    </row>
    <row r="110" spans="1:14" s="2" customFormat="1" x14ac:dyDescent="0.2">
      <c r="A110" s="24"/>
      <c r="B110" s="1"/>
      <c r="C110" s="52"/>
      <c r="D110" s="85"/>
      <c r="E110" s="53"/>
      <c r="F110" s="53"/>
      <c r="G110" s="1"/>
      <c r="L110" s="1"/>
      <c r="M110" s="1"/>
    </row>
    <row r="111" spans="1:14" s="2" customFormat="1" x14ac:dyDescent="0.2">
      <c r="A111" s="24"/>
      <c r="B111" s="1"/>
      <c r="C111" s="52"/>
      <c r="D111" s="85"/>
      <c r="E111" s="53"/>
      <c r="F111" s="53"/>
      <c r="G111" s="1"/>
      <c r="L111" s="1"/>
      <c r="M111" s="1"/>
    </row>
    <row r="112" spans="1:14" s="2" customFormat="1" x14ac:dyDescent="0.2">
      <c r="A112" s="24"/>
      <c r="B112" s="1"/>
      <c r="C112" s="52"/>
      <c r="D112" s="85"/>
      <c r="E112" s="53"/>
      <c r="F112" s="53"/>
      <c r="G112" s="1"/>
      <c r="L112" s="1"/>
      <c r="M112" s="1"/>
    </row>
    <row r="113" spans="1:13" s="2" customFormat="1" x14ac:dyDescent="0.2">
      <c r="A113" s="24"/>
      <c r="B113" s="1"/>
      <c r="C113" s="52"/>
      <c r="D113" s="85"/>
      <c r="E113" s="53"/>
      <c r="F113" s="53"/>
      <c r="G113" s="1"/>
      <c r="L113" s="1"/>
      <c r="M113" s="1"/>
    </row>
    <row r="114" spans="1:13" s="2" customFormat="1" x14ac:dyDescent="0.2">
      <c r="A114" s="24"/>
      <c r="B114" s="1"/>
      <c r="C114" s="14"/>
      <c r="D114" s="25"/>
      <c r="G114" s="1"/>
      <c r="L114" s="1"/>
      <c r="M114" s="1"/>
    </row>
    <row r="115" spans="1:13" s="2" customFormat="1" x14ac:dyDescent="0.2">
      <c r="A115" s="24"/>
      <c r="B115" s="1"/>
      <c r="C115" s="14"/>
      <c r="D115" s="25"/>
      <c r="G115" s="1"/>
      <c r="L115" s="1"/>
      <c r="M115" s="1"/>
    </row>
    <row r="116" spans="1:13" s="2" customFormat="1" x14ac:dyDescent="0.2">
      <c r="A116" s="24"/>
      <c r="B116" s="1"/>
      <c r="C116" s="14"/>
      <c r="D116" s="25"/>
      <c r="G116" s="1"/>
      <c r="L116" s="1"/>
      <c r="M116" s="1"/>
    </row>
    <row r="117" spans="1:13" s="2" customFormat="1" x14ac:dyDescent="0.2">
      <c r="A117" s="24"/>
      <c r="B117" s="1"/>
      <c r="C117" s="14"/>
      <c r="D117" s="25"/>
      <c r="G117" s="1"/>
      <c r="L117" s="1"/>
      <c r="M117" s="1"/>
    </row>
    <row r="118" spans="1:13" s="2" customFormat="1" x14ac:dyDescent="0.2">
      <c r="A118" s="24"/>
      <c r="B118" s="1"/>
      <c r="C118" s="14"/>
      <c r="D118" s="25"/>
      <c r="G118" s="1"/>
      <c r="L118" s="1"/>
      <c r="M118" s="1"/>
    </row>
    <row r="119" spans="1:13" s="2" customFormat="1" x14ac:dyDescent="0.2">
      <c r="A119" s="24"/>
      <c r="B119" s="1"/>
      <c r="C119" s="14"/>
      <c r="D119" s="25"/>
      <c r="G119" s="1"/>
      <c r="L119" s="1"/>
      <c r="M119" s="1"/>
    </row>
    <row r="120" spans="1:13" s="2" customFormat="1" x14ac:dyDescent="0.2">
      <c r="A120" s="24"/>
      <c r="B120" s="1"/>
      <c r="C120" s="14"/>
      <c r="D120" s="25"/>
      <c r="G120" s="1"/>
      <c r="L120" s="1"/>
      <c r="M120" s="1"/>
    </row>
    <row r="121" spans="1:13" s="2" customFormat="1" x14ac:dyDescent="0.2">
      <c r="A121" s="24"/>
      <c r="B121" s="1"/>
      <c r="C121" s="14"/>
      <c r="D121" s="25"/>
      <c r="G121" s="1"/>
      <c r="L121" s="1"/>
      <c r="M121" s="1"/>
    </row>
    <row r="122" spans="1:13" s="2" customFormat="1" x14ac:dyDescent="0.2">
      <c r="A122" s="24"/>
      <c r="B122" s="1"/>
      <c r="C122" s="14"/>
      <c r="D122" s="25"/>
      <c r="G122" s="1"/>
      <c r="L122" s="1"/>
      <c r="M122" s="1"/>
    </row>
    <row r="123" spans="1:13" s="2" customFormat="1" x14ac:dyDescent="0.2">
      <c r="A123" s="24"/>
      <c r="B123" s="1"/>
      <c r="C123" s="14"/>
      <c r="D123" s="25"/>
      <c r="G123" s="1"/>
      <c r="L123" s="1"/>
      <c r="M123" s="1"/>
    </row>
    <row r="124" spans="1:13" s="2" customFormat="1" x14ac:dyDescent="0.2">
      <c r="A124" s="24"/>
      <c r="B124" s="1"/>
      <c r="C124" s="14"/>
      <c r="D124" s="25"/>
      <c r="G124" s="1"/>
      <c r="L124" s="1"/>
      <c r="M124" s="1"/>
    </row>
    <row r="125" spans="1:13" s="2" customFormat="1" x14ac:dyDescent="0.2">
      <c r="A125" s="24"/>
      <c r="B125" s="1"/>
      <c r="C125" s="14"/>
      <c r="D125" s="25"/>
      <c r="G125" s="1"/>
      <c r="L125" s="1"/>
      <c r="M125" s="1"/>
    </row>
    <row r="126" spans="1:13" s="2" customFormat="1" x14ac:dyDescent="0.2">
      <c r="A126" s="24"/>
      <c r="B126" s="1"/>
      <c r="C126" s="14"/>
      <c r="D126" s="25"/>
      <c r="G126" s="1"/>
      <c r="L126" s="1"/>
      <c r="M126" s="1"/>
    </row>
    <row r="127" spans="1:13" s="2" customFormat="1" x14ac:dyDescent="0.2">
      <c r="A127" s="24"/>
      <c r="B127" s="1"/>
      <c r="C127" s="14"/>
      <c r="D127" s="25"/>
      <c r="G127" s="1"/>
      <c r="L127" s="1"/>
      <c r="M127" s="1"/>
    </row>
    <row r="128" spans="1:13" s="2" customFormat="1" x14ac:dyDescent="0.2">
      <c r="A128" s="24"/>
      <c r="B128" s="1"/>
      <c r="C128" s="14"/>
      <c r="D128" s="25"/>
      <c r="G128" s="1"/>
      <c r="I128" s="1"/>
      <c r="J128" s="1"/>
      <c r="K128" s="1"/>
      <c r="L128" s="1"/>
      <c r="M128" s="1"/>
    </row>
    <row r="129" spans="1:14" s="2" customFormat="1" x14ac:dyDescent="0.2">
      <c r="A129" s="24"/>
      <c r="B129" s="1"/>
      <c r="C129" s="14"/>
      <c r="D129" s="25"/>
      <c r="G129" s="1"/>
    </row>
    <row r="130" spans="1:14" s="2" customFormat="1" x14ac:dyDescent="0.2">
      <c r="A130" s="24"/>
      <c r="B130" s="1"/>
      <c r="C130" s="14"/>
      <c r="D130" s="25"/>
      <c r="G130" s="1"/>
      <c r="I130" s="1"/>
      <c r="J130" s="1"/>
      <c r="K130" s="1"/>
      <c r="L130" s="1"/>
      <c r="M130" s="1"/>
    </row>
    <row r="131" spans="1:14" s="2" customFormat="1" x14ac:dyDescent="0.2">
      <c r="A131" s="24"/>
      <c r="B131" s="1"/>
      <c r="C131" s="14"/>
      <c r="D131" s="25"/>
      <c r="G131" s="54"/>
      <c r="I131" s="1"/>
      <c r="J131" s="1"/>
      <c r="K131" s="1"/>
      <c r="L131" s="1"/>
      <c r="M131" s="1"/>
    </row>
    <row r="132" spans="1:14" s="2" customFormat="1" x14ac:dyDescent="0.2">
      <c r="A132" s="24"/>
      <c r="B132" s="1"/>
      <c r="C132" s="14"/>
      <c r="D132" s="25"/>
      <c r="G132" s="54"/>
      <c r="I132" s="1"/>
      <c r="J132" s="1"/>
      <c r="K132" s="1"/>
      <c r="L132" s="1"/>
      <c r="M132" s="1"/>
    </row>
    <row r="133" spans="1:14" s="2" customFormat="1" x14ac:dyDescent="0.2">
      <c r="A133" s="24"/>
      <c r="B133" s="1"/>
      <c r="C133" s="14"/>
      <c r="D133" s="25"/>
      <c r="G133" s="54"/>
      <c r="I133" s="1"/>
      <c r="J133" s="1"/>
      <c r="K133" s="1"/>
      <c r="L133" s="1"/>
      <c r="M133" s="1"/>
    </row>
    <row r="134" spans="1:14" s="2" customFormat="1" x14ac:dyDescent="0.2">
      <c r="A134" s="24"/>
      <c r="B134" s="1"/>
      <c r="C134" s="14"/>
      <c r="D134" s="25"/>
      <c r="G134" s="54"/>
      <c r="H134" s="2" t="s">
        <v>396</v>
      </c>
      <c r="I134" s="1"/>
      <c r="J134" s="1"/>
      <c r="K134" s="1"/>
      <c r="L134" s="1"/>
      <c r="M134" s="1"/>
      <c r="N134" s="1"/>
    </row>
    <row r="135" spans="1:14" s="2" customFormat="1" x14ac:dyDescent="0.2">
      <c r="A135" s="24"/>
      <c r="B135" s="1"/>
      <c r="C135" s="14"/>
      <c r="D135" s="25"/>
      <c r="G135" s="54"/>
      <c r="H135" s="53"/>
    </row>
    <row r="136" spans="1:14" s="2" customFormat="1" x14ac:dyDescent="0.2">
      <c r="A136" s="24"/>
      <c r="B136" s="1"/>
      <c r="C136" s="14"/>
      <c r="D136" s="25"/>
      <c r="G136" s="54"/>
      <c r="H136" s="53" t="s">
        <v>396</v>
      </c>
      <c r="I136" s="1"/>
      <c r="J136" s="1"/>
      <c r="K136" s="1"/>
      <c r="L136" s="1"/>
      <c r="M136" s="1"/>
      <c r="N136" s="1"/>
    </row>
    <row r="137" spans="1:14" x14ac:dyDescent="0.2">
      <c r="G137" s="54"/>
      <c r="H137" s="53" t="s">
        <v>396</v>
      </c>
      <c r="J137" s="42"/>
    </row>
    <row r="138" spans="1:14" s="2" customFormat="1" x14ac:dyDescent="0.2">
      <c r="A138" s="24"/>
      <c r="B138" s="1"/>
      <c r="C138" s="14"/>
      <c r="D138" s="25"/>
      <c r="G138" s="54"/>
      <c r="H138" s="53"/>
      <c r="I138" s="101"/>
      <c r="J138" s="1"/>
      <c r="K138" s="1"/>
      <c r="L138" s="1"/>
      <c r="M138" s="1"/>
      <c r="N138" s="1"/>
    </row>
    <row r="139" spans="1:14" x14ac:dyDescent="0.2">
      <c r="G139" s="54"/>
      <c r="H139" s="53"/>
    </row>
    <row r="140" spans="1:14" x14ac:dyDescent="0.2">
      <c r="G140" s="54"/>
      <c r="H140" s="53"/>
    </row>
    <row r="141" spans="1:14" x14ac:dyDescent="0.2">
      <c r="G141" s="54"/>
      <c r="H141" s="53"/>
    </row>
  </sheetData>
  <sheetProtection insertRows="0"/>
  <mergeCells count="6">
    <mergeCell ref="C103:F103"/>
    <mergeCell ref="A1:G1"/>
    <mergeCell ref="A3:F3"/>
    <mergeCell ref="A9:F9"/>
    <mergeCell ref="A27:F27"/>
    <mergeCell ref="A91:D91"/>
  </mergeCells>
  <conditionalFormatting sqref="G88:G89">
    <cfRule type="cellIs" dxfId="263" priority="1" operator="lessThan">
      <formula>0</formula>
    </cfRule>
  </conditionalFormatting>
  <conditionalFormatting sqref="C29">
    <cfRule type="duplicateValues" dxfId="262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F00-000000000000}">
  <sheetPr codeName="Sheet455">
    <pageSetUpPr fitToPage="1"/>
  </sheetPr>
  <dimension ref="A1:N141"/>
  <sheetViews>
    <sheetView topLeftCell="A19" zoomScaleNormal="100" workbookViewId="0">
      <selection activeCell="E47" sqref="E47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1" ht="20.25" customHeight="1" x14ac:dyDescent="0.4">
      <c r="A1" s="212" t="s">
        <v>1685</v>
      </c>
      <c r="B1" s="212"/>
      <c r="C1" s="212"/>
      <c r="D1" s="212"/>
      <c r="E1" s="212"/>
      <c r="F1" s="212"/>
      <c r="G1" s="212"/>
      <c r="H1" s="112"/>
      <c r="I1" s="112"/>
    </row>
    <row r="2" spans="1:11" ht="12.75" customHeight="1" x14ac:dyDescent="0.4">
      <c r="H2" s="112"/>
      <c r="I2" s="112"/>
    </row>
    <row r="3" spans="1:11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1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1" s="2" customFormat="1" ht="14.25" customHeight="1" x14ac:dyDescent="0.4">
      <c r="A5" s="89">
        <v>45217</v>
      </c>
      <c r="B5" s="9" t="s">
        <v>6</v>
      </c>
      <c r="C5" s="10" t="s">
        <v>7</v>
      </c>
      <c r="D5" s="11"/>
      <c r="E5" s="12">
        <v>663856.71000000183</v>
      </c>
      <c r="F5" s="12"/>
      <c r="G5" s="1"/>
      <c r="H5" s="112"/>
      <c r="I5" s="112"/>
    </row>
    <row r="6" spans="1:11" s="2" customFormat="1" ht="12.75" customHeight="1" x14ac:dyDescent="0.4">
      <c r="D6" s="15" t="s">
        <v>8</v>
      </c>
      <c r="E6" s="16">
        <f>SUM(E5:E5)</f>
        <v>663856.71000000183</v>
      </c>
      <c r="F6" s="16">
        <f>F5</f>
        <v>0</v>
      </c>
      <c r="G6" s="1"/>
      <c r="H6" s="112"/>
      <c r="I6" s="112"/>
    </row>
    <row r="7" spans="1:11" s="2" customFormat="1" ht="12.75" customHeight="1" x14ac:dyDescent="0.4">
      <c r="A7" s="17"/>
      <c r="B7" s="18"/>
      <c r="C7" s="19" t="s">
        <v>9</v>
      </c>
      <c r="D7" s="20"/>
      <c r="E7" s="21">
        <f>+E6-F6</f>
        <v>663856.71000000183</v>
      </c>
      <c r="F7" s="22"/>
      <c r="G7" s="23"/>
      <c r="H7" s="112"/>
      <c r="I7" s="112"/>
      <c r="J7" s="13"/>
    </row>
    <row r="8" spans="1:11" ht="12.75" customHeight="1" x14ac:dyDescent="0.4">
      <c r="H8" s="112"/>
      <c r="I8" s="112"/>
    </row>
    <row r="9" spans="1:11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69">
        <f>90000000-60000000</f>
        <v>30000000</v>
      </c>
      <c r="J9" s="169" t="s">
        <v>1508</v>
      </c>
    </row>
    <row r="10" spans="1:11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69">
        <v>29133967.809999999</v>
      </c>
      <c r="J10" s="169" t="s">
        <v>1509</v>
      </c>
      <c r="K10" s="124"/>
    </row>
    <row r="11" spans="1:11" s="2" customFormat="1" ht="14.25" customHeight="1" x14ac:dyDescent="0.2">
      <c r="A11" s="89">
        <v>45217</v>
      </c>
      <c r="B11" s="9" t="s">
        <v>6</v>
      </c>
      <c r="C11" s="10" t="s">
        <v>7</v>
      </c>
      <c r="D11" s="11"/>
      <c r="F11" s="12">
        <v>28975548.209999993</v>
      </c>
      <c r="G11" s="1"/>
      <c r="H11" s="130" t="s">
        <v>396</v>
      </c>
      <c r="I11" s="169">
        <f>+I9-I10</f>
        <v>866032.19000000134</v>
      </c>
      <c r="J11" s="169" t="s">
        <v>712</v>
      </c>
      <c r="K11" s="165" t="s">
        <v>1512</v>
      </c>
    </row>
    <row r="12" spans="1:11" s="2" customFormat="1" ht="14.25" customHeight="1" x14ac:dyDescent="0.2">
      <c r="A12" s="89">
        <v>45217</v>
      </c>
      <c r="B12" s="9" t="s">
        <v>6</v>
      </c>
      <c r="C12" s="76" t="s">
        <v>763</v>
      </c>
      <c r="D12" s="11" t="s">
        <v>13</v>
      </c>
      <c r="E12" s="2">
        <v>611508</v>
      </c>
      <c r="F12" s="12"/>
      <c r="G12" s="1"/>
      <c r="H12" s="130"/>
      <c r="I12" s="169"/>
      <c r="J12" s="169"/>
      <c r="K12" s="165"/>
    </row>
    <row r="13" spans="1:11" s="2" customFormat="1" ht="14.25" customHeight="1" x14ac:dyDescent="0.2">
      <c r="A13" s="89">
        <v>45217</v>
      </c>
      <c r="B13" s="9" t="s">
        <v>6</v>
      </c>
      <c r="C13" s="76" t="s">
        <v>420</v>
      </c>
      <c r="D13" s="11" t="s">
        <v>13</v>
      </c>
      <c r="E13" s="2">
        <v>232819</v>
      </c>
      <c r="F13" s="12"/>
      <c r="G13" s="1"/>
      <c r="H13" s="130"/>
      <c r="I13" s="169"/>
      <c r="J13" s="169"/>
      <c r="K13" s="165"/>
    </row>
    <row r="14" spans="1:11" s="2" customFormat="1" ht="14.25" customHeight="1" x14ac:dyDescent="0.2">
      <c r="A14" s="89">
        <v>45217</v>
      </c>
      <c r="B14" s="9" t="s">
        <v>11</v>
      </c>
      <c r="C14" s="76" t="s">
        <v>1648</v>
      </c>
      <c r="D14" s="11" t="s">
        <v>29</v>
      </c>
      <c r="F14" s="12">
        <v>89250</v>
      </c>
      <c r="G14" s="1"/>
      <c r="H14" s="130"/>
      <c r="I14" s="169"/>
      <c r="J14" s="169"/>
      <c r="K14" s="165"/>
    </row>
    <row r="15" spans="1:11" s="2" customFormat="1" ht="14.25" customHeight="1" x14ac:dyDescent="0.2">
      <c r="A15" s="89">
        <v>45217</v>
      </c>
      <c r="B15" s="9" t="s">
        <v>11</v>
      </c>
      <c r="C15" s="76" t="s">
        <v>1299</v>
      </c>
      <c r="D15" s="11" t="s">
        <v>29</v>
      </c>
      <c r="F15" s="12">
        <v>532738</v>
      </c>
      <c r="G15" s="1"/>
      <c r="H15" s="130"/>
      <c r="I15" s="169"/>
      <c r="J15" s="169"/>
      <c r="K15" s="165"/>
    </row>
    <row r="16" spans="1:11" s="2" customFormat="1" ht="14.25" customHeight="1" x14ac:dyDescent="0.2">
      <c r="A16" s="89">
        <v>45217</v>
      </c>
      <c r="B16" s="9" t="s">
        <v>11</v>
      </c>
      <c r="C16" s="76" t="s">
        <v>1686</v>
      </c>
      <c r="D16" s="11" t="s">
        <v>29</v>
      </c>
      <c r="F16" s="12">
        <v>47493.599999999999</v>
      </c>
      <c r="G16" s="1"/>
      <c r="H16" s="130"/>
      <c r="I16" s="169"/>
      <c r="J16" s="169"/>
      <c r="K16" s="165"/>
    </row>
    <row r="17" spans="1:14" s="2" customFormat="1" ht="14.25" customHeight="1" x14ac:dyDescent="0.2">
      <c r="A17" s="89">
        <v>45217</v>
      </c>
      <c r="B17" s="9" t="s">
        <v>11</v>
      </c>
      <c r="C17" s="76" t="s">
        <v>131</v>
      </c>
      <c r="D17" s="11" t="s">
        <v>29</v>
      </c>
      <c r="F17" s="12">
        <v>12086</v>
      </c>
      <c r="G17" s="1"/>
      <c r="H17" s="130"/>
      <c r="I17" s="169"/>
      <c r="J17" s="169"/>
      <c r="K17" s="165"/>
    </row>
    <row r="18" spans="1:14" s="2" customFormat="1" ht="14.25" customHeight="1" x14ac:dyDescent="0.2">
      <c r="A18" s="89">
        <v>45217</v>
      </c>
      <c r="B18" s="9" t="s">
        <v>11</v>
      </c>
      <c r="C18" s="76" t="s">
        <v>52</v>
      </c>
      <c r="D18" s="11" t="s">
        <v>29</v>
      </c>
      <c r="F18" s="12">
        <v>107850</v>
      </c>
      <c r="G18" s="1"/>
      <c r="H18" s="130"/>
      <c r="I18" s="169"/>
      <c r="J18" s="169"/>
      <c r="K18" s="165"/>
    </row>
    <row r="19" spans="1:14" s="2" customFormat="1" ht="14.25" customHeight="1" x14ac:dyDescent="0.2">
      <c r="A19" s="89">
        <v>45217</v>
      </c>
      <c r="B19" s="9" t="s">
        <v>11</v>
      </c>
      <c r="C19" s="76" t="s">
        <v>642</v>
      </c>
      <c r="D19" s="11" t="s">
        <v>29</v>
      </c>
      <c r="F19" s="12">
        <v>16200</v>
      </c>
      <c r="G19" s="1"/>
      <c r="H19" s="130"/>
      <c r="I19" s="169"/>
      <c r="J19" s="169"/>
      <c r="K19" s="165"/>
    </row>
    <row r="20" spans="1:14" s="2" customFormat="1" ht="14.25" customHeight="1" x14ac:dyDescent="0.2">
      <c r="A20" s="89">
        <v>45217</v>
      </c>
      <c r="B20" s="9" t="s">
        <v>11</v>
      </c>
      <c r="C20" s="76" t="s">
        <v>1687</v>
      </c>
      <c r="D20" s="11" t="s">
        <v>29</v>
      </c>
      <c r="F20" s="12">
        <v>7129</v>
      </c>
      <c r="G20" s="1"/>
      <c r="H20" s="130"/>
      <c r="I20" s="169"/>
      <c r="J20" s="169"/>
      <c r="K20" s="165"/>
    </row>
    <row r="21" spans="1:14" s="2" customFormat="1" ht="14.25" customHeight="1" x14ac:dyDescent="0.2">
      <c r="A21" s="89">
        <v>45217</v>
      </c>
      <c r="B21" s="9" t="s">
        <v>11</v>
      </c>
      <c r="C21" s="76" t="s">
        <v>34</v>
      </c>
      <c r="D21" s="11" t="s">
        <v>29</v>
      </c>
      <c r="F21" s="12">
        <v>190000</v>
      </c>
      <c r="G21" s="1"/>
      <c r="H21" s="130"/>
      <c r="I21" s="169"/>
      <c r="J21" s="169"/>
      <c r="K21" s="165"/>
    </row>
    <row r="22" spans="1:14" s="2" customFormat="1" ht="14.25" customHeight="1" x14ac:dyDescent="0.2">
      <c r="D22" s="11" t="s">
        <v>8</v>
      </c>
      <c r="E22" s="16">
        <f>SUM(E11:E21)</f>
        <v>844327</v>
      </c>
      <c r="F22" s="16">
        <f>SUM(F11:F21)</f>
        <v>29978294.809999995</v>
      </c>
      <c r="G22" s="1"/>
      <c r="H22" s="143"/>
      <c r="I22" s="130"/>
      <c r="J22" s="143"/>
      <c r="K22" s="143"/>
      <c r="L22" s="143"/>
      <c r="M22" s="143"/>
    </row>
    <row r="23" spans="1:14" s="2" customFormat="1" ht="14.25" customHeight="1" x14ac:dyDescent="0.4">
      <c r="A23" s="17"/>
      <c r="B23" s="18"/>
      <c r="C23" s="96" t="s">
        <v>9</v>
      </c>
      <c r="D23" s="20"/>
      <c r="E23" s="21">
        <f>+F22-E22</f>
        <v>29133967.809999995</v>
      </c>
      <c r="G23" s="1"/>
      <c r="I23" s="112"/>
      <c r="J23" s="153" t="s">
        <v>779</v>
      </c>
    </row>
    <row r="24" spans="1:14" s="2" customFormat="1" ht="14.25" customHeight="1" x14ac:dyDescent="0.2">
      <c r="A24" s="36"/>
      <c r="B24" s="28" t="s">
        <v>66</v>
      </c>
      <c r="C24" s="43" t="s">
        <v>1458</v>
      </c>
      <c r="D24" s="43"/>
      <c r="E24" s="12">
        <f>30000000+60000000</f>
        <v>90000000</v>
      </c>
      <c r="F24" s="22"/>
      <c r="G24" s="1"/>
      <c r="I24" s="40">
        <v>29133967.809999999</v>
      </c>
      <c r="J24" s="154">
        <f>I24-E23</f>
        <v>0</v>
      </c>
    </row>
    <row r="25" spans="1:14" s="2" customFormat="1" ht="14.25" customHeight="1" x14ac:dyDescent="0.25">
      <c r="A25" s="36"/>
      <c r="B25" s="28"/>
      <c r="C25" s="44" t="s">
        <v>1541</v>
      </c>
      <c r="D25" s="43"/>
      <c r="E25" s="7">
        <f>+E23+E24</f>
        <v>119133967.81</v>
      </c>
      <c r="F25" s="22"/>
      <c r="G25" s="1"/>
      <c r="H25" s="13" t="s">
        <v>1582</v>
      </c>
      <c r="I25" s="13" t="s">
        <v>1583</v>
      </c>
    </row>
    <row r="26" spans="1:14" s="2" customFormat="1" ht="14.25" customHeight="1" x14ac:dyDescent="0.25">
      <c r="A26" s="36"/>
      <c r="B26" s="28"/>
      <c r="C26" s="44" t="s">
        <v>1511</v>
      </c>
      <c r="D26" s="43"/>
      <c r="E26" s="38">
        <f>+I11</f>
        <v>866032.19000000134</v>
      </c>
      <c r="F26" s="22"/>
      <c r="G26" s="1"/>
      <c r="H26" s="2">
        <v>5023279</v>
      </c>
      <c r="I26" s="2">
        <v>5000</v>
      </c>
      <c r="J26" s="176">
        <f>H26-I26</f>
        <v>5018279</v>
      </c>
    </row>
    <row r="27" spans="1:14" s="2" customFormat="1" ht="14.25" customHeight="1" x14ac:dyDescent="0.2">
      <c r="A27" s="24"/>
      <c r="B27" s="1"/>
      <c r="C27" s="14"/>
      <c r="D27" s="25"/>
      <c r="G27" s="1"/>
      <c r="I27" s="130"/>
      <c r="J27" s="130"/>
    </row>
    <row r="28" spans="1:14" s="2" customFormat="1" x14ac:dyDescent="0.2">
      <c r="A28" s="214" t="s">
        <v>10</v>
      </c>
      <c r="B28" s="214"/>
      <c r="C28" s="214"/>
      <c r="D28" s="214"/>
      <c r="E28" s="214"/>
      <c r="F28" s="214"/>
      <c r="G28" s="1"/>
      <c r="H28" s="159"/>
      <c r="I28" s="160">
        <f>225000000-75000000-50000000</f>
        <v>100000000</v>
      </c>
      <c r="J28" s="160" t="s">
        <v>1506</v>
      </c>
      <c r="K28" s="70"/>
    </row>
    <row r="29" spans="1:14" s="2" customFormat="1" x14ac:dyDescent="0.2">
      <c r="A29" s="26" t="s">
        <v>1</v>
      </c>
      <c r="B29" s="27" t="s">
        <v>2</v>
      </c>
      <c r="C29" s="5"/>
      <c r="D29" s="6" t="s">
        <v>3</v>
      </c>
      <c r="E29" s="7" t="s">
        <v>4</v>
      </c>
      <c r="F29" s="7" t="s">
        <v>5</v>
      </c>
      <c r="G29" s="1"/>
      <c r="H29" s="159"/>
      <c r="I29" s="160">
        <v>85613694.060000002</v>
      </c>
      <c r="J29" s="160" t="s">
        <v>1507</v>
      </c>
      <c r="K29" s="70" t="s">
        <v>1512</v>
      </c>
    </row>
    <row r="30" spans="1:14" s="2" customFormat="1" x14ac:dyDescent="0.2">
      <c r="A30" s="89">
        <v>45217</v>
      </c>
      <c r="B30" s="128" t="s">
        <v>11</v>
      </c>
      <c r="C30" s="29" t="s">
        <v>7</v>
      </c>
      <c r="D30" s="25"/>
      <c r="E30" s="31"/>
      <c r="F30" s="2">
        <v>69077838.840000093</v>
      </c>
      <c r="G30" s="23"/>
      <c r="H30" s="159" t="s">
        <v>1505</v>
      </c>
      <c r="I30" s="160">
        <f>+I28-I29</f>
        <v>14386305.939999998</v>
      </c>
      <c r="J30" s="160"/>
      <c r="K30" s="70"/>
    </row>
    <row r="31" spans="1:14" s="2" customFormat="1" x14ac:dyDescent="0.2">
      <c r="A31" s="89">
        <v>45217</v>
      </c>
      <c r="B31" s="128" t="s">
        <v>6</v>
      </c>
      <c r="C31" s="10" t="s">
        <v>122</v>
      </c>
      <c r="D31" s="11" t="s">
        <v>13</v>
      </c>
      <c r="E31" s="86">
        <v>67343</v>
      </c>
      <c r="F31" s="70"/>
      <c r="G31" s="1"/>
      <c r="N31" s="1"/>
    </row>
    <row r="32" spans="1:14" s="2" customFormat="1" x14ac:dyDescent="0.2">
      <c r="A32" s="89">
        <v>45217</v>
      </c>
      <c r="B32" s="128" t="s">
        <v>6</v>
      </c>
      <c r="C32" s="10" t="s">
        <v>456</v>
      </c>
      <c r="D32" s="11" t="s">
        <v>13</v>
      </c>
      <c r="E32" s="86">
        <v>214486</v>
      </c>
      <c r="F32" s="70"/>
      <c r="G32" s="1"/>
      <c r="N32" s="1"/>
    </row>
    <row r="33" spans="1:14" s="2" customFormat="1" x14ac:dyDescent="0.2">
      <c r="A33" s="89">
        <v>45217</v>
      </c>
      <c r="B33" s="128" t="s">
        <v>6</v>
      </c>
      <c r="C33" s="10" t="s">
        <v>332</v>
      </c>
      <c r="D33" s="11" t="s">
        <v>13</v>
      </c>
      <c r="E33" s="86">
        <v>171931</v>
      </c>
      <c r="F33" s="70"/>
      <c r="G33" s="1"/>
      <c r="N33" s="1"/>
    </row>
    <row r="34" spans="1:14" s="2" customFormat="1" x14ac:dyDescent="0.2">
      <c r="A34" s="89">
        <v>45217</v>
      </c>
      <c r="B34" s="128" t="s">
        <v>6</v>
      </c>
      <c r="C34" s="10" t="s">
        <v>1396</v>
      </c>
      <c r="D34" s="11" t="s">
        <v>13</v>
      </c>
      <c r="E34" s="86">
        <v>152160</v>
      </c>
      <c r="F34" s="70"/>
      <c r="G34" s="1"/>
      <c r="N34" s="1"/>
    </row>
    <row r="35" spans="1:14" s="2" customFormat="1" x14ac:dyDescent="0.2">
      <c r="A35" s="89">
        <v>45217</v>
      </c>
      <c r="B35" s="128" t="s">
        <v>6</v>
      </c>
      <c r="C35" s="10" t="s">
        <v>1689</v>
      </c>
      <c r="D35" s="11" t="s">
        <v>13</v>
      </c>
      <c r="E35" s="86">
        <v>3675</v>
      </c>
      <c r="F35" s="70"/>
      <c r="G35" s="1"/>
      <c r="N35" s="1"/>
    </row>
    <row r="36" spans="1:14" s="2" customFormat="1" x14ac:dyDescent="0.2">
      <c r="A36" s="89">
        <v>45217</v>
      </c>
      <c r="B36" s="128" t="s">
        <v>6</v>
      </c>
      <c r="C36" s="10" t="s">
        <v>465</v>
      </c>
      <c r="D36" s="11" t="s">
        <v>13</v>
      </c>
      <c r="E36" s="86">
        <v>200000</v>
      </c>
      <c r="F36" s="70"/>
      <c r="G36" s="1"/>
      <c r="N36" s="1"/>
    </row>
    <row r="37" spans="1:14" s="2" customFormat="1" x14ac:dyDescent="0.2">
      <c r="A37" s="89">
        <v>45217</v>
      </c>
      <c r="B37" s="128" t="s">
        <v>6</v>
      </c>
      <c r="C37" s="10" t="s">
        <v>972</v>
      </c>
      <c r="D37" s="11" t="s">
        <v>13</v>
      </c>
      <c r="E37" s="86">
        <v>119149</v>
      </c>
      <c r="F37" s="70"/>
      <c r="G37" s="1"/>
      <c r="N37" s="1"/>
    </row>
    <row r="38" spans="1:14" s="2" customFormat="1" x14ac:dyDescent="0.2">
      <c r="A38" s="89">
        <v>45217</v>
      </c>
      <c r="B38" s="128" t="s">
        <v>6</v>
      </c>
      <c r="C38" s="10" t="s">
        <v>469</v>
      </c>
      <c r="D38" s="11" t="s">
        <v>13</v>
      </c>
      <c r="E38" s="86">
        <v>1509967</v>
      </c>
      <c r="F38" s="70"/>
      <c r="G38" s="1"/>
      <c r="N38" s="1"/>
    </row>
    <row r="39" spans="1:14" s="2" customFormat="1" x14ac:dyDescent="0.2">
      <c r="A39" s="89">
        <v>45217</v>
      </c>
      <c r="B39" s="128" t="s">
        <v>6</v>
      </c>
      <c r="C39" s="10" t="s">
        <v>141</v>
      </c>
      <c r="D39" s="11" t="s">
        <v>13</v>
      </c>
      <c r="E39" s="86">
        <v>5460</v>
      </c>
      <c r="F39" s="70"/>
      <c r="G39" s="1"/>
      <c r="N39" s="1"/>
    </row>
    <row r="40" spans="1:14" s="2" customFormat="1" x14ac:dyDescent="0.2">
      <c r="A40" s="89">
        <v>45217</v>
      </c>
      <c r="B40" s="128" t="s">
        <v>6</v>
      </c>
      <c r="C40" s="10" t="s">
        <v>614</v>
      </c>
      <c r="D40" s="11" t="s">
        <v>13</v>
      </c>
      <c r="E40" s="86">
        <v>550950</v>
      </c>
      <c r="F40" s="70"/>
      <c r="G40" s="1"/>
      <c r="N40" s="1"/>
    </row>
    <row r="41" spans="1:14" s="2" customFormat="1" x14ac:dyDescent="0.2">
      <c r="A41" s="89">
        <v>45217</v>
      </c>
      <c r="B41" s="128" t="s">
        <v>6</v>
      </c>
      <c r="C41" s="10" t="s">
        <v>272</v>
      </c>
      <c r="D41" s="11" t="s">
        <v>13</v>
      </c>
      <c r="E41" s="86">
        <v>525132</v>
      </c>
      <c r="F41" s="70"/>
      <c r="G41" s="1"/>
      <c r="N41" s="1"/>
    </row>
    <row r="42" spans="1:14" s="2" customFormat="1" x14ac:dyDescent="0.2">
      <c r="A42" s="89">
        <v>45217</v>
      </c>
      <c r="B42" s="128" t="s">
        <v>6</v>
      </c>
      <c r="C42" s="10" t="s">
        <v>1679</v>
      </c>
      <c r="D42" s="11" t="s">
        <v>13</v>
      </c>
      <c r="E42" s="86">
        <v>1041818</v>
      </c>
      <c r="F42" s="70"/>
      <c r="G42" s="1"/>
      <c r="N42" s="1"/>
    </row>
    <row r="43" spans="1:14" s="2" customFormat="1" x14ac:dyDescent="0.2">
      <c r="A43" s="89">
        <v>45217</v>
      </c>
      <c r="B43" s="128" t="s">
        <v>6</v>
      </c>
      <c r="C43" s="10" t="s">
        <v>1690</v>
      </c>
      <c r="D43" s="11" t="s">
        <v>13</v>
      </c>
      <c r="E43" s="86">
        <v>1114968</v>
      </c>
      <c r="F43" s="70"/>
      <c r="G43" s="1"/>
      <c r="N43" s="1"/>
    </row>
    <row r="44" spans="1:14" s="2" customFormat="1" x14ac:dyDescent="0.2">
      <c r="A44" s="89">
        <v>45217</v>
      </c>
      <c r="B44" s="128" t="s">
        <v>6</v>
      </c>
      <c r="C44" s="10" t="s">
        <v>381</v>
      </c>
      <c r="D44" s="11" t="s">
        <v>13</v>
      </c>
      <c r="E44" s="86">
        <v>61516</v>
      </c>
      <c r="F44" s="70"/>
      <c r="G44" s="1"/>
      <c r="N44" s="1"/>
    </row>
    <row r="45" spans="1:14" s="2" customFormat="1" x14ac:dyDescent="0.2">
      <c r="A45" s="89">
        <v>45217</v>
      </c>
      <c r="B45" s="128" t="s">
        <v>6</v>
      </c>
      <c r="C45" s="10" t="s">
        <v>964</v>
      </c>
      <c r="D45" s="11" t="s">
        <v>13</v>
      </c>
      <c r="E45" s="86">
        <v>1600000</v>
      </c>
      <c r="F45" s="70"/>
      <c r="G45" s="1"/>
      <c r="N45" s="1"/>
    </row>
    <row r="46" spans="1:14" s="2" customFormat="1" x14ac:dyDescent="0.2">
      <c r="A46" s="89">
        <v>45217</v>
      </c>
      <c r="B46" s="128" t="s">
        <v>6</v>
      </c>
      <c r="C46" s="10" t="s">
        <v>1477</v>
      </c>
      <c r="D46" s="11" t="s">
        <v>13</v>
      </c>
      <c r="E46" s="86">
        <v>417070</v>
      </c>
      <c r="F46" s="70"/>
      <c r="G46" s="1"/>
      <c r="N46" s="1"/>
    </row>
    <row r="47" spans="1:14" s="2" customFormat="1" x14ac:dyDescent="0.2">
      <c r="A47" s="89">
        <v>45217</v>
      </c>
      <c r="B47" s="128" t="s">
        <v>6</v>
      </c>
      <c r="C47" s="10" t="s">
        <v>19</v>
      </c>
      <c r="D47" s="11" t="s">
        <v>13</v>
      </c>
      <c r="E47" s="86">
        <v>9653</v>
      </c>
      <c r="F47" s="70"/>
      <c r="G47" s="1"/>
      <c r="N47" s="1"/>
    </row>
    <row r="48" spans="1:14" s="2" customFormat="1" x14ac:dyDescent="0.2">
      <c r="A48" s="89">
        <v>45217</v>
      </c>
      <c r="B48" s="128" t="s">
        <v>11</v>
      </c>
      <c r="C48" s="10" t="s">
        <v>64</v>
      </c>
      <c r="D48" s="11" t="s">
        <v>29</v>
      </c>
      <c r="E48" s="86"/>
      <c r="F48" s="70">
        <v>3568.3199999999997</v>
      </c>
      <c r="G48" s="1"/>
      <c r="N48" s="1"/>
    </row>
    <row r="49" spans="1:14" s="2" customFormat="1" x14ac:dyDescent="0.2">
      <c r="A49" s="89">
        <v>45217</v>
      </c>
      <c r="B49" s="128" t="s">
        <v>11</v>
      </c>
      <c r="C49" s="10" t="s">
        <v>127</v>
      </c>
      <c r="D49" s="11" t="s">
        <v>29</v>
      </c>
      <c r="E49" s="86"/>
      <c r="F49" s="70">
        <v>684327</v>
      </c>
      <c r="G49" s="1"/>
      <c r="N49" s="1"/>
    </row>
    <row r="50" spans="1:14" s="2" customFormat="1" x14ac:dyDescent="0.2">
      <c r="A50" s="89">
        <v>45217</v>
      </c>
      <c r="B50" s="128" t="s">
        <v>11</v>
      </c>
      <c r="C50" s="10" t="s">
        <v>123</v>
      </c>
      <c r="D50" s="11" t="s">
        <v>29</v>
      </c>
      <c r="E50" s="86"/>
      <c r="F50" s="70">
        <v>196786</v>
      </c>
      <c r="G50" s="1"/>
      <c r="N50" s="1"/>
    </row>
    <row r="51" spans="1:14" s="2" customFormat="1" x14ac:dyDescent="0.2">
      <c r="A51" s="89">
        <v>45217</v>
      </c>
      <c r="B51" s="128" t="s">
        <v>11</v>
      </c>
      <c r="C51" s="10" t="s">
        <v>194</v>
      </c>
      <c r="D51" s="11" t="s">
        <v>29</v>
      </c>
      <c r="E51" s="86"/>
      <c r="F51" s="70">
        <v>1736583</v>
      </c>
      <c r="G51" s="1"/>
      <c r="N51" s="1"/>
    </row>
    <row r="52" spans="1:14" s="2" customFormat="1" x14ac:dyDescent="0.2">
      <c r="A52" s="89">
        <v>45217</v>
      </c>
      <c r="B52" s="128" t="s">
        <v>11</v>
      </c>
      <c r="C52" s="10" t="s">
        <v>1140</v>
      </c>
      <c r="D52" s="11" t="s">
        <v>29</v>
      </c>
      <c r="E52" s="86"/>
      <c r="F52" s="70">
        <v>71175</v>
      </c>
      <c r="G52" s="1"/>
      <c r="N52" s="1"/>
    </row>
    <row r="53" spans="1:14" s="2" customFormat="1" x14ac:dyDescent="0.2">
      <c r="A53" s="89">
        <v>45217</v>
      </c>
      <c r="B53" s="128" t="s">
        <v>11</v>
      </c>
      <c r="C53" s="10" t="s">
        <v>849</v>
      </c>
      <c r="D53" s="11" t="s">
        <v>29</v>
      </c>
      <c r="E53" s="86"/>
      <c r="F53" s="70">
        <v>120882</v>
      </c>
      <c r="G53" s="1"/>
      <c r="N53" s="1"/>
    </row>
    <row r="54" spans="1:14" s="2" customFormat="1" x14ac:dyDescent="0.2">
      <c r="A54" s="89">
        <v>45217</v>
      </c>
      <c r="B54" s="128" t="s">
        <v>11</v>
      </c>
      <c r="C54" s="10" t="s">
        <v>300</v>
      </c>
      <c r="D54" s="11" t="s">
        <v>29</v>
      </c>
      <c r="E54" s="86"/>
      <c r="F54" s="70">
        <v>318049</v>
      </c>
      <c r="G54" s="1"/>
      <c r="N54" s="1"/>
    </row>
    <row r="55" spans="1:14" s="2" customFormat="1" x14ac:dyDescent="0.2">
      <c r="A55" s="89">
        <v>45217</v>
      </c>
      <c r="B55" s="128" t="s">
        <v>11</v>
      </c>
      <c r="C55" s="10" t="s">
        <v>56</v>
      </c>
      <c r="D55" s="11" t="s">
        <v>29</v>
      </c>
      <c r="E55" s="86"/>
      <c r="F55" s="70">
        <v>89800</v>
      </c>
      <c r="G55" s="1"/>
      <c r="N55" s="1"/>
    </row>
    <row r="56" spans="1:14" s="2" customFormat="1" x14ac:dyDescent="0.2">
      <c r="A56" s="89">
        <v>45217</v>
      </c>
      <c r="B56" s="128" t="s">
        <v>11</v>
      </c>
      <c r="C56" s="10" t="s">
        <v>193</v>
      </c>
      <c r="D56" s="11" t="s">
        <v>29</v>
      </c>
      <c r="E56" s="86"/>
      <c r="F56" s="70">
        <v>282317</v>
      </c>
      <c r="G56" s="1"/>
      <c r="N56" s="1"/>
    </row>
    <row r="57" spans="1:14" s="2" customFormat="1" x14ac:dyDescent="0.2">
      <c r="A57" s="89">
        <v>45217</v>
      </c>
      <c r="B57" s="128" t="s">
        <v>11</v>
      </c>
      <c r="C57" s="10" t="s">
        <v>790</v>
      </c>
      <c r="D57" s="11" t="s">
        <v>29</v>
      </c>
      <c r="E57" s="86"/>
      <c r="F57" s="70">
        <v>2429093</v>
      </c>
      <c r="G57" s="1"/>
      <c r="N57" s="1"/>
    </row>
    <row r="58" spans="1:14" s="2" customFormat="1" x14ac:dyDescent="0.2">
      <c r="A58" s="89">
        <v>45217</v>
      </c>
      <c r="B58" s="128" t="s">
        <v>11</v>
      </c>
      <c r="C58" s="10" t="s">
        <v>745</v>
      </c>
      <c r="D58" s="11" t="s">
        <v>29</v>
      </c>
      <c r="E58" s="86"/>
      <c r="F58" s="70">
        <v>1124058</v>
      </c>
      <c r="G58" s="1"/>
      <c r="N58" s="1"/>
    </row>
    <row r="59" spans="1:14" s="2" customFormat="1" x14ac:dyDescent="0.2">
      <c r="A59" s="89">
        <v>45217</v>
      </c>
      <c r="B59" s="128" t="s">
        <v>11</v>
      </c>
      <c r="C59" s="10" t="s">
        <v>1688</v>
      </c>
      <c r="D59" s="11" t="s">
        <v>29</v>
      </c>
      <c r="E59" s="86"/>
      <c r="F59" s="70">
        <v>1805330</v>
      </c>
      <c r="G59" s="1"/>
      <c r="N59" s="1"/>
    </row>
    <row r="60" spans="1:14" s="2" customFormat="1" x14ac:dyDescent="0.2">
      <c r="A60" s="89">
        <v>45217</v>
      </c>
      <c r="B60" s="128" t="s">
        <v>11</v>
      </c>
      <c r="C60" s="10" t="s">
        <v>55</v>
      </c>
      <c r="D60" s="11" t="s">
        <v>29</v>
      </c>
      <c r="E60" s="86"/>
      <c r="F60" s="70">
        <v>2708641.9</v>
      </c>
      <c r="G60" s="1"/>
      <c r="N60" s="1"/>
    </row>
    <row r="61" spans="1:14" s="2" customFormat="1" x14ac:dyDescent="0.2">
      <c r="A61" s="89">
        <v>45217</v>
      </c>
      <c r="B61" s="128" t="s">
        <v>11</v>
      </c>
      <c r="C61" s="10" t="s">
        <v>313</v>
      </c>
      <c r="D61" s="11" t="s">
        <v>29</v>
      </c>
      <c r="E61" s="86"/>
      <c r="F61" s="70">
        <v>83936</v>
      </c>
      <c r="G61" s="1"/>
      <c r="N61" s="1"/>
    </row>
    <row r="62" spans="1:14" s="2" customFormat="1" x14ac:dyDescent="0.2">
      <c r="A62" s="89">
        <v>45217</v>
      </c>
      <c r="B62" s="128" t="s">
        <v>11</v>
      </c>
      <c r="C62" s="10" t="s">
        <v>46</v>
      </c>
      <c r="D62" s="11" t="s">
        <v>29</v>
      </c>
      <c r="E62" s="86"/>
      <c r="F62" s="70">
        <v>56824</v>
      </c>
      <c r="G62" s="1"/>
      <c r="N62" s="1"/>
    </row>
    <row r="63" spans="1:14" s="2" customFormat="1" x14ac:dyDescent="0.2">
      <c r="A63" s="89">
        <v>45217</v>
      </c>
      <c r="B63" s="128" t="s">
        <v>11</v>
      </c>
      <c r="C63" s="10" t="s">
        <v>392</v>
      </c>
      <c r="D63" s="11" t="s">
        <v>29</v>
      </c>
      <c r="E63" s="86"/>
      <c r="F63" s="70">
        <v>10190</v>
      </c>
      <c r="G63" s="1"/>
      <c r="N63" s="1"/>
    </row>
    <row r="64" spans="1:14" s="2" customFormat="1" x14ac:dyDescent="0.2">
      <c r="A64" s="89">
        <v>45217</v>
      </c>
      <c r="B64" s="128" t="s">
        <v>11</v>
      </c>
      <c r="C64" s="10" t="s">
        <v>63</v>
      </c>
      <c r="D64" s="11" t="s">
        <v>29</v>
      </c>
      <c r="E64" s="86"/>
      <c r="F64" s="70">
        <v>1500000</v>
      </c>
      <c r="G64" s="1"/>
      <c r="N64" s="1"/>
    </row>
    <row r="65" spans="1:14" s="2" customFormat="1" x14ac:dyDescent="0.2">
      <c r="A65" s="89">
        <v>45217</v>
      </c>
      <c r="B65" s="128" t="s">
        <v>11</v>
      </c>
      <c r="C65" s="10" t="s">
        <v>147</v>
      </c>
      <c r="D65" s="11" t="s">
        <v>29</v>
      </c>
      <c r="E65" s="86"/>
      <c r="F65" s="70">
        <v>2660037</v>
      </c>
      <c r="G65" s="1"/>
      <c r="N65" s="1"/>
    </row>
    <row r="66" spans="1:14" s="2" customFormat="1" x14ac:dyDescent="0.2">
      <c r="A66" s="89">
        <v>45217</v>
      </c>
      <c r="B66" s="128" t="s">
        <v>11</v>
      </c>
      <c r="C66" s="10" t="s">
        <v>500</v>
      </c>
      <c r="D66" s="11" t="s">
        <v>29</v>
      </c>
      <c r="E66" s="86"/>
      <c r="F66" s="70">
        <v>1401257</v>
      </c>
      <c r="G66" s="1"/>
      <c r="N66" s="1"/>
    </row>
    <row r="67" spans="1:14" s="2" customFormat="1" x14ac:dyDescent="0.2">
      <c r="A67" s="89">
        <v>45217</v>
      </c>
      <c r="B67" s="128" t="s">
        <v>11</v>
      </c>
      <c r="C67" s="10" t="s">
        <v>57</v>
      </c>
      <c r="D67" s="11" t="s">
        <v>29</v>
      </c>
      <c r="E67" s="86"/>
      <c r="F67" s="70">
        <v>2000000</v>
      </c>
      <c r="G67" s="1"/>
      <c r="N67" s="1"/>
    </row>
    <row r="68" spans="1:14" s="2" customFormat="1" x14ac:dyDescent="0.2">
      <c r="A68" s="32"/>
      <c r="B68" s="33"/>
      <c r="C68" s="14"/>
      <c r="D68" s="34"/>
      <c r="E68" s="16">
        <f>SUM(E30:E67)</f>
        <v>7765278</v>
      </c>
      <c r="F68" s="16">
        <f>SUM(F30:F67)</f>
        <v>88360693.060000092</v>
      </c>
      <c r="G68" s="1"/>
      <c r="H68" s="1"/>
      <c r="I68" s="38">
        <v>80595415.060000002</v>
      </c>
      <c r="J68" s="2" t="s">
        <v>396</v>
      </c>
      <c r="K68" s="92">
        <f>E69-I68</f>
        <v>0</v>
      </c>
      <c r="N68" s="1"/>
    </row>
    <row r="69" spans="1:14" s="2" customFormat="1" x14ac:dyDescent="0.2">
      <c r="A69" s="36"/>
      <c r="B69" s="28" t="s">
        <v>11</v>
      </c>
      <c r="C69" s="19" t="s">
        <v>65</v>
      </c>
      <c r="D69" s="37"/>
      <c r="E69" s="38">
        <f>F68-E68</f>
        <v>80595415.060000092</v>
      </c>
      <c r="F69" s="22"/>
      <c r="G69" s="1"/>
      <c r="H69" s="1"/>
      <c r="I69" s="70"/>
      <c r="J69" s="70"/>
      <c r="K69" s="70"/>
      <c r="N69" s="1"/>
    </row>
    <row r="70" spans="1:14" s="2" customFormat="1" x14ac:dyDescent="0.2">
      <c r="A70" s="36"/>
      <c r="B70" s="28" t="s">
        <v>66</v>
      </c>
      <c r="C70" s="19" t="s">
        <v>67</v>
      </c>
      <c r="D70" s="37"/>
      <c r="E70" s="38">
        <v>6500000</v>
      </c>
      <c r="F70" s="22"/>
      <c r="G70" s="1"/>
      <c r="H70" s="70"/>
      <c r="I70" s="70"/>
      <c r="J70" s="70"/>
      <c r="K70" s="70"/>
      <c r="N70" s="1"/>
    </row>
    <row r="71" spans="1:14" s="2" customFormat="1" x14ac:dyDescent="0.2">
      <c r="A71" s="36"/>
      <c r="B71" s="28" t="s">
        <v>66</v>
      </c>
      <c r="C71" s="43" t="s">
        <v>1457</v>
      </c>
      <c r="D71" s="43"/>
      <c r="E71" s="12">
        <f>275000000+75000000+50000000</f>
        <v>400000000</v>
      </c>
      <c r="F71" s="22"/>
      <c r="G71" s="1"/>
      <c r="H71" s="70"/>
      <c r="I71" s="45">
        <v>1457.98</v>
      </c>
      <c r="J71" s="46"/>
      <c r="K71" s="46"/>
      <c r="N71" s="1"/>
    </row>
    <row r="72" spans="1:14" s="2" customFormat="1" ht="15" x14ac:dyDescent="0.25">
      <c r="A72" s="36"/>
      <c r="B72" s="28"/>
      <c r="C72" s="44" t="s">
        <v>1541</v>
      </c>
      <c r="D72" s="43"/>
      <c r="E72" s="7">
        <f>+E71+E69+E70</f>
        <v>487095415.06000006</v>
      </c>
      <c r="F72" s="22"/>
      <c r="G72" s="1"/>
      <c r="H72" s="103" t="s">
        <v>69</v>
      </c>
      <c r="I72" s="45">
        <v>-210.87</v>
      </c>
      <c r="J72" s="46"/>
      <c r="K72" s="46"/>
      <c r="N72" s="1"/>
    </row>
    <row r="73" spans="1:14" s="2" customFormat="1" ht="15" x14ac:dyDescent="0.25">
      <c r="A73" s="24"/>
      <c r="B73" s="1"/>
      <c r="C73" s="44" t="s">
        <v>1510</v>
      </c>
      <c r="D73" s="25"/>
      <c r="E73" s="156">
        <f>+I30-E70+H26-I26</f>
        <v>12904584.939999998</v>
      </c>
      <c r="G73" s="1"/>
      <c r="H73" s="35" t="s">
        <v>70</v>
      </c>
      <c r="I73" s="45">
        <v>83.4</v>
      </c>
      <c r="J73" s="46">
        <f>+I74-D76</f>
        <v>0</v>
      </c>
      <c r="N73" s="1"/>
    </row>
    <row r="74" spans="1:14" s="124" customFormat="1" ht="12.75" customHeight="1" x14ac:dyDescent="0.2">
      <c r="A74" s="24"/>
      <c r="B74" s="1"/>
      <c r="C74" s="56"/>
      <c r="D74" s="56"/>
      <c r="E74" s="104"/>
      <c r="F74" s="2"/>
      <c r="G74" s="166"/>
      <c r="H74" s="70"/>
      <c r="I74" s="49">
        <f>SUM(I71:I73)</f>
        <v>1330.5100000000002</v>
      </c>
      <c r="J74" s="46"/>
      <c r="K74" s="46"/>
    </row>
    <row r="75" spans="1:14" s="124" customFormat="1" ht="12.75" customHeight="1" x14ac:dyDescent="0.2">
      <c r="A75" s="24"/>
      <c r="B75" s="1"/>
      <c r="C75" s="78" t="s">
        <v>575</v>
      </c>
      <c r="D75" s="48" t="s">
        <v>576</v>
      </c>
      <c r="E75" s="104"/>
      <c r="F75" s="2"/>
      <c r="G75" s="168"/>
      <c r="H75" s="167"/>
      <c r="I75" s="167"/>
      <c r="J75" s="168"/>
    </row>
    <row r="76" spans="1:14" s="124" customFormat="1" ht="12.75" customHeight="1" x14ac:dyDescent="0.2">
      <c r="A76" s="24"/>
      <c r="B76" s="1"/>
      <c r="C76" s="47" t="s">
        <v>570</v>
      </c>
      <c r="D76" s="111">
        <v>1330.51</v>
      </c>
      <c r="E76" s="104"/>
      <c r="F76" s="2"/>
      <c r="G76" s="168"/>
      <c r="H76" s="110" t="s">
        <v>581</v>
      </c>
      <c r="I76" s="167"/>
      <c r="J76" s="168"/>
    </row>
    <row r="77" spans="1:14" s="124" customFormat="1" ht="12.75" customHeight="1" x14ac:dyDescent="0.2">
      <c r="A77" s="24"/>
      <c r="B77" s="1"/>
      <c r="C77" s="47" t="s">
        <v>931</v>
      </c>
      <c r="D77" s="111">
        <v>161.19999999999999</v>
      </c>
      <c r="E77" s="104"/>
      <c r="F77" s="2"/>
      <c r="G77" s="168"/>
      <c r="H77" s="110" t="s">
        <v>580</v>
      </c>
      <c r="I77" s="167"/>
      <c r="J77" s="168"/>
    </row>
    <row r="78" spans="1:14" s="124" customFormat="1" ht="12.75" customHeight="1" x14ac:dyDescent="0.2">
      <c r="A78" s="24"/>
      <c r="B78" s="1"/>
      <c r="C78" s="47" t="s">
        <v>572</v>
      </c>
      <c r="D78" s="111">
        <f>+D101/100000</f>
        <v>124.6361563</v>
      </c>
      <c r="E78" s="104"/>
      <c r="F78" s="2"/>
      <c r="G78" s="166"/>
      <c r="H78" s="90" t="s">
        <v>587</v>
      </c>
      <c r="I78" s="167"/>
      <c r="J78" s="168"/>
    </row>
    <row r="79" spans="1:14" s="2" customFormat="1" x14ac:dyDescent="0.2">
      <c r="A79" s="24"/>
      <c r="B79" s="1"/>
      <c r="C79" s="108" t="s">
        <v>578</v>
      </c>
      <c r="D79" s="48">
        <f>SUM(D76:D78)</f>
        <v>1616.3461563000001</v>
      </c>
      <c r="E79" s="104"/>
      <c r="G79" s="30"/>
      <c r="I79" s="13"/>
      <c r="J79" s="13"/>
    </row>
    <row r="80" spans="1:14" s="70" customFormat="1" x14ac:dyDescent="0.2">
      <c r="A80" s="24"/>
      <c r="B80" s="1"/>
      <c r="C80" s="47"/>
      <c r="D80" s="107"/>
      <c r="E80" s="104"/>
      <c r="F80" s="2"/>
      <c r="G80" s="30"/>
      <c r="H80" s="2"/>
    </row>
    <row r="81" spans="1:14" s="70" customFormat="1" x14ac:dyDescent="0.2">
      <c r="A81" s="24"/>
      <c r="B81" s="1"/>
      <c r="C81" s="47" t="s">
        <v>932</v>
      </c>
      <c r="D81" s="111">
        <v>71.790000000000006</v>
      </c>
      <c r="E81" s="104"/>
      <c r="F81" s="2"/>
      <c r="G81" s="30"/>
      <c r="H81" s="110" t="s">
        <v>581</v>
      </c>
    </row>
    <row r="82" spans="1:14" s="70" customFormat="1" x14ac:dyDescent="0.2">
      <c r="A82" s="24"/>
      <c r="B82" s="1"/>
      <c r="C82" s="136" t="s">
        <v>1142</v>
      </c>
      <c r="D82" s="111">
        <v>465.19</v>
      </c>
      <c r="E82" s="104"/>
      <c r="F82" s="2"/>
      <c r="G82" s="30"/>
      <c r="H82" s="110" t="s">
        <v>581</v>
      </c>
    </row>
    <row r="83" spans="1:14" s="70" customFormat="1" x14ac:dyDescent="0.2">
      <c r="A83" s="24"/>
      <c r="B83" s="1"/>
      <c r="C83" s="78" t="s">
        <v>579</v>
      </c>
      <c r="D83" s="109">
        <f>D81+D82</f>
        <v>536.98</v>
      </c>
      <c r="E83" s="104"/>
      <c r="F83" s="2"/>
      <c r="G83" s="30"/>
    </row>
    <row r="84" spans="1:14" s="70" customFormat="1" x14ac:dyDescent="0.2">
      <c r="A84" s="24"/>
      <c r="B84" s="1"/>
      <c r="C84" s="105"/>
      <c r="D84" s="106"/>
      <c r="E84" s="104"/>
      <c r="F84" s="2"/>
      <c r="G84" s="30"/>
      <c r="I84" s="2"/>
      <c r="J84" s="114" t="s">
        <v>713</v>
      </c>
      <c r="K84" s="2"/>
      <c r="L84" s="2"/>
      <c r="M84" s="2"/>
    </row>
    <row r="85" spans="1:14" s="70" customFormat="1" x14ac:dyDescent="0.2">
      <c r="A85" s="24"/>
      <c r="B85" s="1"/>
      <c r="C85" s="78" t="s">
        <v>577</v>
      </c>
      <c r="D85" s="109">
        <f>D76+D83</f>
        <v>1867.49</v>
      </c>
      <c r="E85" s="104"/>
      <c r="F85" s="2"/>
      <c r="G85" s="30"/>
      <c r="I85" s="113"/>
      <c r="J85" s="113" t="s">
        <v>709</v>
      </c>
      <c r="K85" s="113" t="s">
        <v>710</v>
      </c>
      <c r="L85" s="113" t="s">
        <v>711</v>
      </c>
      <c r="M85" s="113" t="s">
        <v>712</v>
      </c>
    </row>
    <row r="86" spans="1:14" s="70" customFormat="1" x14ac:dyDescent="0.2">
      <c r="A86" s="24"/>
      <c r="B86" s="1"/>
      <c r="C86" s="56"/>
      <c r="D86" s="56"/>
      <c r="E86" s="104"/>
      <c r="F86" s="2"/>
      <c r="G86" s="30"/>
      <c r="I86" s="113" t="s">
        <v>706</v>
      </c>
      <c r="J86" s="115"/>
      <c r="K86" s="115">
        <v>968.99</v>
      </c>
      <c r="L86" s="115">
        <v>968.99</v>
      </c>
      <c r="M86" s="113">
        <f>+J86+L86-K86</f>
        <v>0</v>
      </c>
    </row>
    <row r="87" spans="1:14" s="70" customFormat="1" ht="38.25" x14ac:dyDescent="0.2">
      <c r="A87" s="24"/>
      <c r="B87" s="1"/>
      <c r="C87" s="79" t="str">
        <f>"Particulars ( 01-04-2021 to "&amp;TEXT(A5,"dd-mm-yyyy")&amp;" )"</f>
        <v>Particulars ( 01-04-2021 to 18-10-2023 )</v>
      </c>
      <c r="D87" s="80" t="s">
        <v>73</v>
      </c>
      <c r="E87" s="80" t="s">
        <v>74</v>
      </c>
      <c r="F87" s="81" t="s">
        <v>75</v>
      </c>
      <c r="G87" s="80" t="s">
        <v>76</v>
      </c>
      <c r="I87" s="113" t="s">
        <v>707</v>
      </c>
      <c r="J87" s="115">
        <v>183.1</v>
      </c>
      <c r="K87" s="115">
        <v>3788.51</v>
      </c>
      <c r="L87" s="115">
        <v>4030.88</v>
      </c>
      <c r="M87" s="113">
        <f>+J87+L87-K87</f>
        <v>425.47000000000025</v>
      </c>
    </row>
    <row r="88" spans="1:14" s="70" customFormat="1" x14ac:dyDescent="0.2">
      <c r="A88" s="24"/>
      <c r="B88" s="1"/>
      <c r="C88" s="50" t="s">
        <v>444</v>
      </c>
      <c r="D88" s="55">
        <f>+L86+L87+J87</f>
        <v>5182.97</v>
      </c>
      <c r="E88" s="55">
        <f>+K86+K87</f>
        <v>4757.5</v>
      </c>
      <c r="F88" s="55">
        <f>+D88-E88</f>
        <v>425.47000000000025</v>
      </c>
      <c r="G88" s="55">
        <f>1500-F88</f>
        <v>1074.5299999999997</v>
      </c>
      <c r="I88" s="113" t="s">
        <v>708</v>
      </c>
      <c r="J88" s="115">
        <v>1371.02</v>
      </c>
      <c r="K88" s="115">
        <v>14564.9</v>
      </c>
      <c r="L88" s="115">
        <v>14257.51</v>
      </c>
      <c r="M88" s="113">
        <f>+J88+L88-K88</f>
        <v>1063.630000000001</v>
      </c>
    </row>
    <row r="89" spans="1:14" s="70" customFormat="1" ht="12.75" customHeight="1" x14ac:dyDescent="0.2">
      <c r="A89" s="24"/>
      <c r="B89" s="1"/>
      <c r="C89" s="50" t="s">
        <v>71</v>
      </c>
      <c r="D89" s="55">
        <f>+J88+L88</f>
        <v>15628.53</v>
      </c>
      <c r="E89" s="55">
        <f>+K88</f>
        <v>14564.9</v>
      </c>
      <c r="F89" s="55">
        <f>+D89-E89</f>
        <v>1063.630000000001</v>
      </c>
      <c r="G89" s="55">
        <f>1500+700-F89</f>
        <v>1136.369999999999</v>
      </c>
      <c r="I89" s="2"/>
      <c r="J89" s="118">
        <f>SUM(J86:J88)</f>
        <v>1554.12</v>
      </c>
      <c r="K89" s="118">
        <f>SUM(K86:K88)</f>
        <v>19322.400000000001</v>
      </c>
      <c r="L89" s="118">
        <f>SUM(L86:L88)</f>
        <v>19257.38</v>
      </c>
      <c r="M89" s="118">
        <f>SUM(M86:M88)</f>
        <v>1489.1000000000013</v>
      </c>
    </row>
    <row r="90" spans="1:14" s="70" customFormat="1" ht="12.75" customHeight="1" x14ac:dyDescent="0.2">
      <c r="A90" s="24"/>
      <c r="B90" s="1"/>
      <c r="C90" s="14"/>
      <c r="D90" s="56"/>
      <c r="E90" s="13"/>
      <c r="F90" s="2"/>
      <c r="G90" s="30"/>
    </row>
    <row r="91" spans="1:14" s="70" customFormat="1" ht="12.75" customHeight="1" x14ac:dyDescent="0.2">
      <c r="A91" s="215" t="s">
        <v>80</v>
      </c>
      <c r="B91" s="216"/>
      <c r="C91" s="216"/>
      <c r="D91" s="217"/>
      <c r="E91" s="69"/>
      <c r="G91" s="30"/>
    </row>
    <row r="92" spans="1:14" s="70" customFormat="1" ht="12.75" customHeight="1" x14ac:dyDescent="0.2">
      <c r="A92" s="71" t="s">
        <v>81</v>
      </c>
      <c r="B92" s="71"/>
      <c r="C92" s="72" t="s">
        <v>82</v>
      </c>
      <c r="D92" s="73" t="s">
        <v>83</v>
      </c>
      <c r="E92" s="69"/>
      <c r="G92" s="30"/>
    </row>
    <row r="93" spans="1:14" s="70" customFormat="1" ht="12.75" customHeight="1" x14ac:dyDescent="0.2">
      <c r="A93" s="87">
        <v>45203</v>
      </c>
      <c r="B93" s="120" t="s">
        <v>1052</v>
      </c>
      <c r="C93" s="75" t="s">
        <v>18</v>
      </c>
      <c r="D93" s="88">
        <v>193358.43</v>
      </c>
      <c r="E93" s="2"/>
      <c r="F93" s="2"/>
      <c r="G93" s="30"/>
      <c r="H93" s="2"/>
      <c r="I93" s="2"/>
      <c r="J93" s="2"/>
      <c r="K93" s="2"/>
      <c r="L93" s="41"/>
      <c r="M93" s="42"/>
      <c r="N93" s="2"/>
    </row>
    <row r="94" spans="1:14" s="70" customFormat="1" ht="12.75" customHeight="1" x14ac:dyDescent="0.2">
      <c r="A94" s="87">
        <v>45203</v>
      </c>
      <c r="B94" s="120" t="s">
        <v>1052</v>
      </c>
      <c r="C94" s="75" t="s">
        <v>270</v>
      </c>
      <c r="D94" s="88">
        <v>254277</v>
      </c>
      <c r="E94" s="2"/>
      <c r="F94" s="2"/>
      <c r="G94" s="30"/>
      <c r="H94" s="2"/>
      <c r="I94" s="2"/>
      <c r="J94" s="2"/>
      <c r="K94" s="2"/>
      <c r="L94" s="41"/>
      <c r="M94" s="42"/>
      <c r="N94" s="2"/>
    </row>
    <row r="95" spans="1:14" s="70" customFormat="1" ht="12.75" customHeight="1" x14ac:dyDescent="0.2">
      <c r="A95" s="87">
        <v>45204</v>
      </c>
      <c r="B95" s="120" t="s">
        <v>1052</v>
      </c>
      <c r="C95" s="75" t="s">
        <v>85</v>
      </c>
      <c r="D95" s="88">
        <v>765297</v>
      </c>
      <c r="E95" s="2"/>
      <c r="F95" s="2"/>
      <c r="G95" s="30"/>
      <c r="H95" s="2"/>
      <c r="I95" s="2"/>
      <c r="J95" s="2"/>
      <c r="K95" s="2"/>
      <c r="L95" s="41"/>
      <c r="M95" s="42"/>
      <c r="N95" s="2"/>
    </row>
    <row r="96" spans="1:14" s="70" customFormat="1" ht="12.75" customHeight="1" x14ac:dyDescent="0.2">
      <c r="A96" s="87">
        <v>45209</v>
      </c>
      <c r="B96" s="120" t="s">
        <v>1052</v>
      </c>
      <c r="C96" s="75" t="s">
        <v>606</v>
      </c>
      <c r="D96" s="88">
        <v>2261658</v>
      </c>
      <c r="E96" s="2"/>
      <c r="F96" s="2"/>
      <c r="G96" s="30"/>
      <c r="H96" s="2"/>
      <c r="I96" s="2"/>
      <c r="J96" s="2"/>
      <c r="K96" s="2"/>
      <c r="L96" s="41"/>
      <c r="M96" s="42"/>
      <c r="N96" s="2"/>
    </row>
    <row r="97" spans="1:14" s="70" customFormat="1" ht="12.75" customHeight="1" x14ac:dyDescent="0.2">
      <c r="A97" s="87">
        <v>45211</v>
      </c>
      <c r="B97" s="120" t="s">
        <v>1052</v>
      </c>
      <c r="C97" s="75" t="s">
        <v>18</v>
      </c>
      <c r="D97" s="88">
        <v>35919</v>
      </c>
      <c r="E97" s="2"/>
      <c r="F97" s="2"/>
      <c r="G97" s="30"/>
      <c r="H97" s="2"/>
      <c r="I97" s="2"/>
      <c r="J97" s="2"/>
      <c r="K97" s="2"/>
      <c r="L97" s="41"/>
      <c r="M97" s="42"/>
      <c r="N97" s="2"/>
    </row>
    <row r="98" spans="1:14" s="70" customFormat="1" ht="12.75" customHeight="1" x14ac:dyDescent="0.2">
      <c r="A98" s="87">
        <v>45211</v>
      </c>
      <c r="B98" s="120" t="s">
        <v>1052</v>
      </c>
      <c r="C98" s="75" t="s">
        <v>84</v>
      </c>
      <c r="D98" s="88">
        <v>856347</v>
      </c>
      <c r="E98" s="2"/>
      <c r="F98" s="2"/>
      <c r="G98" s="30"/>
      <c r="H98" s="2"/>
      <c r="I98" s="2"/>
      <c r="J98" s="2"/>
      <c r="K98" s="2"/>
      <c r="L98" s="41"/>
      <c r="M98" s="42"/>
      <c r="N98" s="2"/>
    </row>
    <row r="99" spans="1:14" s="70" customFormat="1" ht="12.75" customHeight="1" x14ac:dyDescent="0.2">
      <c r="A99" s="87">
        <v>45212</v>
      </c>
      <c r="B99" s="120" t="s">
        <v>1052</v>
      </c>
      <c r="C99" s="75" t="s">
        <v>201</v>
      </c>
      <c r="D99" s="88">
        <v>1600267.2</v>
      </c>
      <c r="E99" s="2"/>
      <c r="F99" s="2"/>
      <c r="G99" s="30"/>
      <c r="H99" s="2"/>
      <c r="I99" s="2"/>
      <c r="J99" s="2"/>
      <c r="K99" s="2"/>
      <c r="L99" s="41"/>
      <c r="M99" s="42"/>
      <c r="N99" s="2"/>
    </row>
    <row r="100" spans="1:14" s="70" customFormat="1" ht="12.75" customHeight="1" x14ac:dyDescent="0.2">
      <c r="A100" s="87">
        <v>45215</v>
      </c>
      <c r="B100" s="120" t="s">
        <v>1052</v>
      </c>
      <c r="C100" s="75" t="s">
        <v>1683</v>
      </c>
      <c r="D100" s="88">
        <v>6496492</v>
      </c>
      <c r="E100" s="2"/>
      <c r="F100" s="2"/>
      <c r="G100" s="30"/>
      <c r="H100" s="2"/>
      <c r="I100" s="2"/>
      <c r="J100" s="2"/>
      <c r="K100" s="2"/>
      <c r="L100" s="41"/>
      <c r="M100" s="42"/>
      <c r="N100" s="2"/>
    </row>
    <row r="101" spans="1:14" s="2" customFormat="1" x14ac:dyDescent="0.2">
      <c r="A101" s="87"/>
      <c r="B101" s="74"/>
      <c r="C101" s="75"/>
      <c r="D101" s="51">
        <f>SUM(D93:D100)</f>
        <v>12463615.629999999</v>
      </c>
      <c r="F101" s="2" t="s">
        <v>396</v>
      </c>
      <c r="G101" s="1"/>
    </row>
    <row r="102" spans="1:14" s="2" customFormat="1" x14ac:dyDescent="0.2">
      <c r="A102" s="24"/>
      <c r="B102" s="1"/>
      <c r="C102" s="14"/>
      <c r="D102" s="56"/>
      <c r="E102" s="13"/>
      <c r="G102" s="1"/>
    </row>
    <row r="103" spans="1:14" s="2" customFormat="1" x14ac:dyDescent="0.2">
      <c r="A103" s="24"/>
      <c r="B103" s="1"/>
      <c r="C103" s="218" t="s">
        <v>77</v>
      </c>
      <c r="D103" s="219"/>
      <c r="E103" s="219"/>
      <c r="F103" s="220"/>
      <c r="H103" s="2" t="s">
        <v>396</v>
      </c>
    </row>
    <row r="104" spans="1:14" s="2" customFormat="1" x14ac:dyDescent="0.2">
      <c r="A104" s="24"/>
      <c r="B104" s="1"/>
      <c r="C104" s="50"/>
      <c r="D104" s="57" t="s">
        <v>78</v>
      </c>
      <c r="E104" s="58" t="s">
        <v>79</v>
      </c>
      <c r="F104" s="57" t="s">
        <v>72</v>
      </c>
      <c r="H104" s="2" t="s">
        <v>396</v>
      </c>
    </row>
    <row r="105" spans="1:14" s="2" customFormat="1" x14ac:dyDescent="0.2">
      <c r="A105" s="24"/>
      <c r="B105" s="1"/>
      <c r="C105" s="59" t="str">
        <f>"01-10-2023 to "&amp;TEXT(A5-2,"dd-mm-yyyy")</f>
        <v>01-10-2023 to 16-10-2023</v>
      </c>
      <c r="D105" s="60">
        <v>1173.2</v>
      </c>
      <c r="E105" s="60">
        <v>248.07</v>
      </c>
      <c r="F105" s="61">
        <f>SUM(D105:E105)</f>
        <v>1421.27</v>
      </c>
    </row>
    <row r="106" spans="1:14" s="2" customFormat="1" x14ac:dyDescent="0.2">
      <c r="A106" s="24"/>
      <c r="B106" s="1"/>
      <c r="C106" s="62" t="str">
        <f>TEXT(A5-1,"dd-mm-yyyy")</f>
        <v>17-10-2023</v>
      </c>
      <c r="D106" s="60">
        <v>86.71</v>
      </c>
      <c r="E106" s="60">
        <v>35.76</v>
      </c>
      <c r="F106" s="61">
        <f>SUM(D106:E106)</f>
        <v>122.47</v>
      </c>
      <c r="G106" s="1"/>
      <c r="H106" s="53"/>
    </row>
    <row r="107" spans="1:14" s="2" customFormat="1" ht="13.5" thickBot="1" x14ac:dyDescent="0.25">
      <c r="A107" s="24"/>
      <c r="B107" s="1"/>
      <c r="C107" s="63" t="str">
        <f>"01-10-2023 to "&amp;TEXT(A5-1,"dd-mm-yyyy")</f>
        <v>01-10-2023 to 17-10-2023</v>
      </c>
      <c r="D107" s="64">
        <f>SUM(D105:D106)</f>
        <v>1259.9100000000001</v>
      </c>
      <c r="E107" s="64">
        <f>SUM(E105:E106)</f>
        <v>283.83</v>
      </c>
      <c r="F107" s="64">
        <f>SUM(F105:F106)</f>
        <v>1543.74</v>
      </c>
      <c r="G107" s="1"/>
      <c r="H107" s="53"/>
    </row>
    <row r="108" spans="1:14" s="2" customFormat="1" ht="13.5" thickTop="1" x14ac:dyDescent="0.2">
      <c r="A108" s="24"/>
      <c r="B108" s="1"/>
      <c r="C108" s="62"/>
      <c r="D108" s="65"/>
      <c r="E108" s="66"/>
      <c r="F108" s="67"/>
      <c r="L108" s="1"/>
      <c r="M108" s="1"/>
    </row>
    <row r="109" spans="1:14" s="2" customFormat="1" x14ac:dyDescent="0.2">
      <c r="A109" s="24"/>
      <c r="B109" s="1"/>
      <c r="C109" s="62" t="str">
        <f>"01-04-2023 to " &amp;C106</f>
        <v>01-04-2023 to 17-10-2023</v>
      </c>
      <c r="D109" s="68">
        <f>+D107+27003.42</f>
        <v>28263.329999999998</v>
      </c>
      <c r="E109" s="68">
        <f>+E107+2028.43</f>
        <v>2312.2600000000002</v>
      </c>
      <c r="F109" s="68">
        <f>+F107+29031.85</f>
        <v>30575.59</v>
      </c>
      <c r="G109" s="1"/>
      <c r="L109" s="1"/>
      <c r="M109" s="1"/>
    </row>
    <row r="110" spans="1:14" s="2" customFormat="1" x14ac:dyDescent="0.2">
      <c r="A110" s="24"/>
      <c r="B110" s="1"/>
      <c r="C110" s="52"/>
      <c r="D110" s="85"/>
      <c r="E110" s="53"/>
      <c r="F110" s="53"/>
      <c r="G110" s="1"/>
      <c r="L110" s="1"/>
      <c r="M110" s="1"/>
    </row>
    <row r="111" spans="1:14" s="2" customFormat="1" x14ac:dyDescent="0.2">
      <c r="A111" s="24"/>
      <c r="B111" s="1"/>
      <c r="C111" s="52"/>
      <c r="D111" s="85"/>
      <c r="E111" s="53"/>
      <c r="F111" s="53"/>
      <c r="G111" s="1"/>
      <c r="L111" s="1"/>
      <c r="M111" s="1"/>
    </row>
    <row r="112" spans="1:14" s="2" customFormat="1" x14ac:dyDescent="0.2">
      <c r="A112" s="24"/>
      <c r="B112" s="1"/>
      <c r="C112" s="52"/>
      <c r="D112" s="85"/>
      <c r="E112" s="53"/>
      <c r="F112" s="53"/>
      <c r="G112" s="1"/>
      <c r="L112" s="1"/>
      <c r="M112" s="1"/>
    </row>
    <row r="113" spans="1:13" s="2" customFormat="1" x14ac:dyDescent="0.2">
      <c r="A113" s="24"/>
      <c r="B113" s="1"/>
      <c r="C113" s="52"/>
      <c r="D113" s="85"/>
      <c r="E113" s="53"/>
      <c r="F113" s="53"/>
      <c r="G113" s="1"/>
      <c r="L113" s="1"/>
      <c r="M113" s="1"/>
    </row>
    <row r="114" spans="1:13" s="2" customFormat="1" x14ac:dyDescent="0.2">
      <c r="A114" s="24"/>
      <c r="B114" s="1"/>
      <c r="C114" s="14"/>
      <c r="D114" s="25"/>
      <c r="G114" s="1"/>
      <c r="L114" s="1"/>
      <c r="M114" s="1"/>
    </row>
    <row r="115" spans="1:13" s="2" customFormat="1" x14ac:dyDescent="0.2">
      <c r="A115" s="24"/>
      <c r="B115" s="1"/>
      <c r="C115" s="14"/>
      <c r="D115" s="25"/>
      <c r="G115" s="1"/>
      <c r="L115" s="1"/>
      <c r="M115" s="1"/>
    </row>
    <row r="116" spans="1:13" s="2" customFormat="1" x14ac:dyDescent="0.2">
      <c r="A116" s="24"/>
      <c r="B116" s="1"/>
      <c r="C116" s="14"/>
      <c r="D116" s="25"/>
      <c r="G116" s="1"/>
      <c r="L116" s="1"/>
      <c r="M116" s="1"/>
    </row>
    <row r="117" spans="1:13" s="2" customFormat="1" x14ac:dyDescent="0.2">
      <c r="A117" s="24"/>
      <c r="B117" s="1"/>
      <c r="C117" s="14"/>
      <c r="D117" s="25"/>
      <c r="G117" s="1"/>
      <c r="L117" s="1"/>
      <c r="M117" s="1"/>
    </row>
    <row r="118" spans="1:13" s="2" customFormat="1" x14ac:dyDescent="0.2">
      <c r="A118" s="24"/>
      <c r="B118" s="1"/>
      <c r="C118" s="14"/>
      <c r="D118" s="25"/>
      <c r="G118" s="1"/>
      <c r="L118" s="1"/>
      <c r="M118" s="1"/>
    </row>
    <row r="119" spans="1:13" s="2" customFormat="1" x14ac:dyDescent="0.2">
      <c r="A119" s="24"/>
      <c r="B119" s="1"/>
      <c r="C119" s="14"/>
      <c r="D119" s="25"/>
      <c r="G119" s="1"/>
      <c r="L119" s="1"/>
      <c r="M119" s="1"/>
    </row>
    <row r="120" spans="1:13" s="2" customFormat="1" x14ac:dyDescent="0.2">
      <c r="A120" s="24"/>
      <c r="B120" s="1"/>
      <c r="C120" s="14"/>
      <c r="D120" s="25"/>
      <c r="G120" s="1"/>
      <c r="L120" s="1"/>
      <c r="M120" s="1"/>
    </row>
    <row r="121" spans="1:13" s="2" customFormat="1" x14ac:dyDescent="0.2">
      <c r="A121" s="24"/>
      <c r="B121" s="1"/>
      <c r="C121" s="14"/>
      <c r="D121" s="25"/>
      <c r="G121" s="1"/>
      <c r="L121" s="1"/>
      <c r="M121" s="1"/>
    </row>
    <row r="122" spans="1:13" s="2" customFormat="1" x14ac:dyDescent="0.2">
      <c r="A122" s="24"/>
      <c r="B122" s="1"/>
      <c r="C122" s="14"/>
      <c r="D122" s="25"/>
      <c r="G122" s="1"/>
      <c r="L122" s="1"/>
      <c r="M122" s="1"/>
    </row>
    <row r="123" spans="1:13" s="2" customFormat="1" x14ac:dyDescent="0.2">
      <c r="A123" s="24"/>
      <c r="B123" s="1"/>
      <c r="C123" s="14"/>
      <c r="D123" s="25"/>
      <c r="G123" s="1"/>
      <c r="L123" s="1"/>
      <c r="M123" s="1"/>
    </row>
    <row r="124" spans="1:13" s="2" customFormat="1" x14ac:dyDescent="0.2">
      <c r="A124" s="24"/>
      <c r="B124" s="1"/>
      <c r="C124" s="14"/>
      <c r="D124" s="25"/>
      <c r="G124" s="1"/>
      <c r="L124" s="1"/>
      <c r="M124" s="1"/>
    </row>
    <row r="125" spans="1:13" s="2" customFormat="1" x14ac:dyDescent="0.2">
      <c r="A125" s="24"/>
      <c r="B125" s="1"/>
      <c r="C125" s="14"/>
      <c r="D125" s="25"/>
      <c r="G125" s="1"/>
      <c r="L125" s="1"/>
      <c r="M125" s="1"/>
    </row>
    <row r="126" spans="1:13" s="2" customFormat="1" x14ac:dyDescent="0.2">
      <c r="A126" s="24"/>
      <c r="B126" s="1"/>
      <c r="C126" s="14"/>
      <c r="D126" s="25"/>
      <c r="G126" s="1"/>
      <c r="L126" s="1"/>
      <c r="M126" s="1"/>
    </row>
    <row r="127" spans="1:13" s="2" customFormat="1" x14ac:dyDescent="0.2">
      <c r="A127" s="24"/>
      <c r="B127" s="1"/>
      <c r="C127" s="14"/>
      <c r="D127" s="25"/>
      <c r="G127" s="1"/>
      <c r="L127" s="1"/>
      <c r="M127" s="1"/>
    </row>
    <row r="128" spans="1:13" s="2" customFormat="1" x14ac:dyDescent="0.2">
      <c r="A128" s="24"/>
      <c r="B128" s="1"/>
      <c r="C128" s="14"/>
      <c r="D128" s="25"/>
      <c r="G128" s="1"/>
      <c r="I128" s="1"/>
      <c r="J128" s="1"/>
      <c r="K128" s="1"/>
      <c r="L128" s="1"/>
      <c r="M128" s="1"/>
    </row>
    <row r="129" spans="1:14" s="2" customFormat="1" x14ac:dyDescent="0.2">
      <c r="A129" s="24"/>
      <c r="B129" s="1"/>
      <c r="C129" s="14"/>
      <c r="D129" s="25"/>
      <c r="G129" s="1"/>
    </row>
    <row r="130" spans="1:14" s="2" customFormat="1" x14ac:dyDescent="0.2">
      <c r="A130" s="24"/>
      <c r="B130" s="1"/>
      <c r="C130" s="14"/>
      <c r="D130" s="25"/>
      <c r="G130" s="1"/>
      <c r="I130" s="1"/>
      <c r="J130" s="1"/>
      <c r="K130" s="1"/>
      <c r="L130" s="1"/>
      <c r="M130" s="1"/>
    </row>
    <row r="131" spans="1:14" s="2" customFormat="1" x14ac:dyDescent="0.2">
      <c r="A131" s="24"/>
      <c r="B131" s="1"/>
      <c r="C131" s="14"/>
      <c r="D131" s="25"/>
      <c r="G131" s="54"/>
      <c r="I131" s="1"/>
      <c r="J131" s="1"/>
      <c r="K131" s="1"/>
      <c r="L131" s="1"/>
      <c r="M131" s="1"/>
    </row>
    <row r="132" spans="1:14" s="2" customFormat="1" x14ac:dyDescent="0.2">
      <c r="A132" s="24"/>
      <c r="B132" s="1"/>
      <c r="C132" s="14"/>
      <c r="D132" s="25"/>
      <c r="G132" s="54"/>
      <c r="I132" s="1"/>
      <c r="J132" s="1"/>
      <c r="K132" s="1"/>
      <c r="L132" s="1"/>
      <c r="M132" s="1"/>
    </row>
    <row r="133" spans="1:14" s="2" customFormat="1" x14ac:dyDescent="0.2">
      <c r="A133" s="24"/>
      <c r="B133" s="1"/>
      <c r="C133" s="14"/>
      <c r="D133" s="25"/>
      <c r="G133" s="54"/>
      <c r="I133" s="1"/>
      <c r="J133" s="1"/>
      <c r="K133" s="1"/>
      <c r="L133" s="1"/>
      <c r="M133" s="1"/>
    </row>
    <row r="134" spans="1:14" s="2" customFormat="1" x14ac:dyDescent="0.2">
      <c r="A134" s="24"/>
      <c r="B134" s="1"/>
      <c r="C134" s="14"/>
      <c r="D134" s="25"/>
      <c r="G134" s="54"/>
      <c r="H134" s="2" t="s">
        <v>396</v>
      </c>
      <c r="I134" s="1"/>
      <c r="J134" s="1"/>
      <c r="K134" s="1"/>
      <c r="L134" s="1"/>
      <c r="M134" s="1"/>
      <c r="N134" s="1"/>
    </row>
    <row r="135" spans="1:14" s="2" customFormat="1" x14ac:dyDescent="0.2">
      <c r="A135" s="24"/>
      <c r="B135" s="1"/>
      <c r="C135" s="14"/>
      <c r="D135" s="25"/>
      <c r="G135" s="54"/>
      <c r="H135" s="53"/>
    </row>
    <row r="136" spans="1:14" s="2" customFormat="1" x14ac:dyDescent="0.2">
      <c r="A136" s="24"/>
      <c r="B136" s="1"/>
      <c r="C136" s="14"/>
      <c r="D136" s="25"/>
      <c r="G136" s="54"/>
      <c r="H136" s="53" t="s">
        <v>396</v>
      </c>
      <c r="I136" s="1"/>
      <c r="J136" s="1"/>
      <c r="K136" s="1"/>
      <c r="L136" s="1"/>
      <c r="M136" s="1"/>
      <c r="N136" s="1"/>
    </row>
    <row r="137" spans="1:14" x14ac:dyDescent="0.2">
      <c r="G137" s="54"/>
      <c r="H137" s="53" t="s">
        <v>396</v>
      </c>
      <c r="J137" s="42"/>
    </row>
    <row r="138" spans="1:14" s="2" customFormat="1" x14ac:dyDescent="0.2">
      <c r="A138" s="24"/>
      <c r="B138" s="1"/>
      <c r="C138" s="14"/>
      <c r="D138" s="25"/>
      <c r="G138" s="54"/>
      <c r="H138" s="53"/>
      <c r="I138" s="101"/>
      <c r="J138" s="1"/>
      <c r="K138" s="1"/>
      <c r="L138" s="1"/>
      <c r="M138" s="1"/>
      <c r="N138" s="1"/>
    </row>
    <row r="139" spans="1:14" x14ac:dyDescent="0.2">
      <c r="G139" s="54"/>
      <c r="H139" s="53"/>
    </row>
    <row r="140" spans="1:14" x14ac:dyDescent="0.2">
      <c r="G140" s="54"/>
      <c r="H140" s="53"/>
    </row>
    <row r="141" spans="1:14" x14ac:dyDescent="0.2">
      <c r="G141" s="54"/>
      <c r="H141" s="53"/>
    </row>
  </sheetData>
  <sheetProtection insertRows="0"/>
  <mergeCells count="6">
    <mergeCell ref="C103:F103"/>
    <mergeCell ref="A1:G1"/>
    <mergeCell ref="A3:F3"/>
    <mergeCell ref="A9:F9"/>
    <mergeCell ref="A28:F28"/>
    <mergeCell ref="A91:D91"/>
  </mergeCells>
  <conditionalFormatting sqref="G88:G89">
    <cfRule type="cellIs" dxfId="261" priority="1" operator="lessThan">
      <formula>0</formula>
    </cfRule>
  </conditionalFormatting>
  <conditionalFormatting sqref="C30">
    <cfRule type="duplicateValues" dxfId="260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000-000000000000}">
  <sheetPr codeName="Sheet456">
    <pageSetUpPr fitToPage="1"/>
  </sheetPr>
  <dimension ref="A1:N131"/>
  <sheetViews>
    <sheetView zoomScaleNormal="100" workbookViewId="0">
      <selection sqref="A1:G1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1" ht="20.25" customHeight="1" x14ac:dyDescent="0.4">
      <c r="A1" s="212" t="s">
        <v>1691</v>
      </c>
      <c r="B1" s="212"/>
      <c r="C1" s="212"/>
      <c r="D1" s="212"/>
      <c r="E1" s="212"/>
      <c r="F1" s="212"/>
      <c r="G1" s="212"/>
      <c r="H1" s="112"/>
      <c r="I1" s="112"/>
    </row>
    <row r="2" spans="1:11" ht="12.75" customHeight="1" x14ac:dyDescent="0.4">
      <c r="H2" s="112"/>
      <c r="I2" s="112"/>
    </row>
    <row r="3" spans="1:11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1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1" s="2" customFormat="1" ht="14.25" customHeight="1" x14ac:dyDescent="0.4">
      <c r="A5" s="89">
        <v>45218</v>
      </c>
      <c r="B5" s="9" t="s">
        <v>6</v>
      </c>
      <c r="C5" s="10" t="s">
        <v>7</v>
      </c>
      <c r="D5" s="11"/>
      <c r="E5" s="12">
        <v>663856.71000000183</v>
      </c>
      <c r="F5" s="12"/>
      <c r="G5" s="1"/>
      <c r="H5" s="112"/>
      <c r="I5" s="112"/>
    </row>
    <row r="6" spans="1:11" s="2" customFormat="1" ht="14.25" customHeight="1" x14ac:dyDescent="0.4">
      <c r="A6" s="89">
        <v>45218</v>
      </c>
      <c r="B6" s="9" t="s">
        <v>6</v>
      </c>
      <c r="C6" s="10" t="s">
        <v>1695</v>
      </c>
      <c r="D6" s="11" t="s">
        <v>29</v>
      </c>
      <c r="E6" s="12"/>
      <c r="F6" s="12">
        <f>171741+25561</f>
        <v>197302</v>
      </c>
      <c r="G6" s="1"/>
      <c r="H6" s="112"/>
      <c r="I6" s="112"/>
    </row>
    <row r="7" spans="1:11" s="2" customFormat="1" ht="12.75" customHeight="1" x14ac:dyDescent="0.4">
      <c r="D7" s="15" t="s">
        <v>8</v>
      </c>
      <c r="E7" s="16">
        <f>SUM(E5:E6)</f>
        <v>663856.71000000183</v>
      </c>
      <c r="F7" s="16">
        <f>SUM(F5:F6)</f>
        <v>197302</v>
      </c>
      <c r="G7" s="1"/>
      <c r="H7" s="112"/>
      <c r="I7" s="112"/>
    </row>
    <row r="8" spans="1:11" s="2" customFormat="1" ht="12.75" customHeight="1" x14ac:dyDescent="0.4">
      <c r="A8" s="17"/>
      <c r="B8" s="18"/>
      <c r="C8" s="19" t="s">
        <v>9</v>
      </c>
      <c r="D8" s="20"/>
      <c r="E8" s="21">
        <f>+E7-F7</f>
        <v>466554.71000000183</v>
      </c>
      <c r="F8" s="22"/>
      <c r="G8" s="23"/>
      <c r="H8" s="112"/>
      <c r="I8" s="112"/>
      <c r="J8" s="13"/>
    </row>
    <row r="9" spans="1:11" ht="12.75" customHeight="1" x14ac:dyDescent="0.4">
      <c r="H9" s="112"/>
      <c r="I9" s="112"/>
    </row>
    <row r="10" spans="1:11" ht="18" customHeight="1" x14ac:dyDescent="0.4">
      <c r="A10" s="213" t="s">
        <v>1037</v>
      </c>
      <c r="B10" s="213"/>
      <c r="C10" s="213"/>
      <c r="D10" s="213"/>
      <c r="E10" s="213"/>
      <c r="F10" s="213"/>
      <c r="H10" s="112"/>
      <c r="I10" s="169">
        <f>90000000-60000000</f>
        <v>30000000</v>
      </c>
      <c r="J10" s="169" t="s">
        <v>1508</v>
      </c>
    </row>
    <row r="11" spans="1:11" ht="12.75" customHeight="1" x14ac:dyDescent="0.4">
      <c r="A11" s="3" t="s">
        <v>1</v>
      </c>
      <c r="B11" s="4" t="s">
        <v>2</v>
      </c>
      <c r="C11" s="5"/>
      <c r="D11" s="6" t="s">
        <v>3</v>
      </c>
      <c r="E11" s="7" t="s">
        <v>4</v>
      </c>
      <c r="F11" s="7" t="s">
        <v>5</v>
      </c>
      <c r="H11" s="112"/>
      <c r="I11" s="169">
        <v>27820343.949999999</v>
      </c>
      <c r="J11" s="169" t="s">
        <v>1509</v>
      </c>
      <c r="K11" s="124"/>
    </row>
    <row r="12" spans="1:11" s="2" customFormat="1" ht="14.25" customHeight="1" x14ac:dyDescent="0.2">
      <c r="A12" s="89">
        <v>45218</v>
      </c>
      <c r="B12" s="9" t="s">
        <v>6</v>
      </c>
      <c r="C12" s="10" t="s">
        <v>7</v>
      </c>
      <c r="D12" s="11"/>
      <c r="F12" s="12">
        <v>29133967.809999995</v>
      </c>
      <c r="G12" s="1"/>
      <c r="H12" s="130" t="s">
        <v>396</v>
      </c>
      <c r="I12" s="169">
        <f>+I10-I11</f>
        <v>2179656.0500000007</v>
      </c>
      <c r="J12" s="169" t="s">
        <v>712</v>
      </c>
      <c r="K12" s="165" t="s">
        <v>1512</v>
      </c>
    </row>
    <row r="13" spans="1:11" s="2" customFormat="1" ht="14.25" customHeight="1" x14ac:dyDescent="0.2">
      <c r="A13" s="89">
        <v>45218</v>
      </c>
      <c r="B13" s="9" t="s">
        <v>6</v>
      </c>
      <c r="C13" s="76" t="s">
        <v>1692</v>
      </c>
      <c r="D13" s="11" t="s">
        <v>13</v>
      </c>
      <c r="E13" s="2">
        <v>1750850.86</v>
      </c>
      <c r="F13" s="12"/>
      <c r="G13" s="1"/>
      <c r="H13" s="130"/>
      <c r="I13" s="169"/>
      <c r="J13" s="169"/>
      <c r="K13" s="165"/>
    </row>
    <row r="14" spans="1:11" s="2" customFormat="1" ht="14.25" customHeight="1" x14ac:dyDescent="0.2">
      <c r="A14" s="89">
        <v>45218</v>
      </c>
      <c r="B14" s="9" t="s">
        <v>6</v>
      </c>
      <c r="C14" s="76" t="s">
        <v>1639</v>
      </c>
      <c r="D14" s="11" t="s">
        <v>29</v>
      </c>
      <c r="F14" s="31">
        <v>367545</v>
      </c>
      <c r="G14" s="1"/>
      <c r="H14" s="130"/>
      <c r="I14" s="169"/>
      <c r="J14" s="169"/>
      <c r="K14" s="165"/>
    </row>
    <row r="15" spans="1:11" s="2" customFormat="1" ht="14.25" customHeight="1" x14ac:dyDescent="0.2">
      <c r="A15" s="89">
        <v>45218</v>
      </c>
      <c r="B15" s="9" t="s">
        <v>11</v>
      </c>
      <c r="C15" s="76" t="s">
        <v>494</v>
      </c>
      <c r="D15" s="11" t="s">
        <v>29</v>
      </c>
      <c r="F15" s="31">
        <v>18554</v>
      </c>
      <c r="G15" s="1"/>
      <c r="H15" s="130"/>
      <c r="I15" s="169"/>
      <c r="J15" s="169"/>
      <c r="K15" s="165"/>
    </row>
    <row r="16" spans="1:11" s="2" customFormat="1" ht="14.25" customHeight="1" x14ac:dyDescent="0.2">
      <c r="A16" s="89">
        <v>45218</v>
      </c>
      <c r="B16" s="9" t="s">
        <v>11</v>
      </c>
      <c r="C16" s="76" t="s">
        <v>680</v>
      </c>
      <c r="D16" s="11" t="s">
        <v>29</v>
      </c>
      <c r="F16" s="31">
        <v>25208</v>
      </c>
      <c r="G16" s="1"/>
      <c r="H16" s="130"/>
      <c r="I16" s="169"/>
      <c r="J16" s="169"/>
      <c r="K16" s="165"/>
    </row>
    <row r="17" spans="1:14" s="2" customFormat="1" ht="14.25" customHeight="1" x14ac:dyDescent="0.2">
      <c r="A17" s="89">
        <v>45218</v>
      </c>
      <c r="B17" s="9" t="s">
        <v>11</v>
      </c>
      <c r="C17" s="76" t="s">
        <v>1590</v>
      </c>
      <c r="D17" s="11" t="s">
        <v>29</v>
      </c>
      <c r="F17" s="31">
        <v>25820</v>
      </c>
      <c r="G17" s="1"/>
      <c r="H17" s="130"/>
      <c r="I17" s="169"/>
      <c r="J17" s="169"/>
      <c r="K17" s="165"/>
    </row>
    <row r="18" spans="1:14" s="2" customFormat="1" ht="14.25" customHeight="1" x14ac:dyDescent="0.2">
      <c r="D18" s="11" t="s">
        <v>8</v>
      </c>
      <c r="E18" s="16">
        <f>SUM(E12:E17)</f>
        <v>1750850.86</v>
      </c>
      <c r="F18" s="16">
        <f>SUM(F12:F17)</f>
        <v>29571094.809999995</v>
      </c>
      <c r="G18" s="1"/>
      <c r="H18" s="143"/>
      <c r="I18" s="130"/>
      <c r="J18" s="143"/>
      <c r="K18" s="143"/>
      <c r="L18" s="143"/>
      <c r="M18" s="143"/>
    </row>
    <row r="19" spans="1:14" s="2" customFormat="1" ht="14.25" customHeight="1" x14ac:dyDescent="0.4">
      <c r="A19" s="17"/>
      <c r="B19" s="18"/>
      <c r="C19" s="96" t="s">
        <v>9</v>
      </c>
      <c r="D19" s="20"/>
      <c r="E19" s="21">
        <f>+F18-E18</f>
        <v>27820243.949999996</v>
      </c>
      <c r="G19" s="1"/>
      <c r="I19" s="112"/>
      <c r="J19" s="153" t="s">
        <v>779</v>
      </c>
    </row>
    <row r="20" spans="1:14" s="2" customFormat="1" ht="14.25" customHeight="1" x14ac:dyDescent="0.2">
      <c r="A20" s="36"/>
      <c r="B20" s="28" t="s">
        <v>66</v>
      </c>
      <c r="C20" s="43" t="s">
        <v>1458</v>
      </c>
      <c r="D20" s="43"/>
      <c r="E20" s="12">
        <f>30000000+60000000</f>
        <v>90000000</v>
      </c>
      <c r="F20" s="22"/>
      <c r="G20" s="1"/>
      <c r="I20" s="40">
        <v>27820243.949999999</v>
      </c>
      <c r="J20" s="154">
        <f>I20-E19</f>
        <v>0</v>
      </c>
    </row>
    <row r="21" spans="1:14" s="2" customFormat="1" ht="14.25" customHeight="1" x14ac:dyDescent="0.25">
      <c r="A21" s="36"/>
      <c r="B21" s="28"/>
      <c r="C21" s="44" t="s">
        <v>1541</v>
      </c>
      <c r="D21" s="43"/>
      <c r="E21" s="7">
        <f>+E19+E20</f>
        <v>117820243.94999999</v>
      </c>
      <c r="F21" s="22"/>
      <c r="G21" s="1"/>
      <c r="H21" s="13" t="s">
        <v>1582</v>
      </c>
      <c r="I21" s="13" t="s">
        <v>1583</v>
      </c>
    </row>
    <row r="22" spans="1:14" s="2" customFormat="1" ht="14.25" customHeight="1" x14ac:dyDescent="0.25">
      <c r="A22" s="36"/>
      <c r="B22" s="28"/>
      <c r="C22" s="44" t="s">
        <v>1511</v>
      </c>
      <c r="D22" s="43"/>
      <c r="E22" s="38">
        <f>+I12</f>
        <v>2179656.0500000007</v>
      </c>
      <c r="F22" s="22"/>
      <c r="G22" s="1"/>
      <c r="H22" s="2">
        <v>10298803.550000001</v>
      </c>
      <c r="I22" s="2">
        <v>1591956.73</v>
      </c>
      <c r="J22" s="176">
        <f>H22-I22</f>
        <v>8706846.8200000003</v>
      </c>
    </row>
    <row r="23" spans="1:14" s="2" customFormat="1" ht="14.25" customHeight="1" x14ac:dyDescent="0.2">
      <c r="A23" s="24"/>
      <c r="B23" s="1"/>
      <c r="C23" s="14"/>
      <c r="D23" s="25"/>
      <c r="G23" s="1"/>
      <c r="I23" s="130"/>
      <c r="J23" s="130"/>
    </row>
    <row r="24" spans="1:14" s="2" customFormat="1" x14ac:dyDescent="0.2">
      <c r="A24" s="214" t="s">
        <v>10</v>
      </c>
      <c r="B24" s="214"/>
      <c r="C24" s="214"/>
      <c r="D24" s="214"/>
      <c r="E24" s="214"/>
      <c r="F24" s="214"/>
      <c r="G24" s="1"/>
      <c r="H24" s="159"/>
      <c r="I24" s="160">
        <f>225000000-75000000-50000000</f>
        <v>100000000</v>
      </c>
      <c r="J24" s="160" t="s">
        <v>1506</v>
      </c>
      <c r="K24" s="70"/>
    </row>
    <row r="25" spans="1:14" s="2" customFormat="1" x14ac:dyDescent="0.2">
      <c r="A25" s="26" t="s">
        <v>1</v>
      </c>
      <c r="B25" s="27" t="s">
        <v>2</v>
      </c>
      <c r="C25" s="5"/>
      <c r="D25" s="6" t="s">
        <v>3</v>
      </c>
      <c r="E25" s="7" t="s">
        <v>4</v>
      </c>
      <c r="F25" s="7" t="s">
        <v>5</v>
      </c>
      <c r="G25" s="1"/>
      <c r="H25" s="159"/>
      <c r="I25" s="160">
        <v>83142584.670000002</v>
      </c>
      <c r="J25" s="160" t="s">
        <v>1507</v>
      </c>
      <c r="K25" s="70" t="s">
        <v>1512</v>
      </c>
    </row>
    <row r="26" spans="1:14" s="2" customFormat="1" x14ac:dyDescent="0.2">
      <c r="A26" s="89">
        <v>45218</v>
      </c>
      <c r="B26" s="128" t="s">
        <v>11</v>
      </c>
      <c r="C26" s="29" t="s">
        <v>7</v>
      </c>
      <c r="D26" s="25"/>
      <c r="E26" s="31"/>
      <c r="F26" s="2">
        <v>80595415.060000092</v>
      </c>
      <c r="G26" s="23"/>
      <c r="H26" s="159" t="s">
        <v>1505</v>
      </c>
      <c r="I26" s="160">
        <f>+I24-I25</f>
        <v>16857415.329999998</v>
      </c>
      <c r="J26" s="160"/>
      <c r="K26" s="70"/>
    </row>
    <row r="27" spans="1:14" s="2" customFormat="1" x14ac:dyDescent="0.2">
      <c r="A27" s="89">
        <v>45218</v>
      </c>
      <c r="B27" s="128" t="s">
        <v>6</v>
      </c>
      <c r="C27" s="10" t="s">
        <v>120</v>
      </c>
      <c r="D27" s="11" t="s">
        <v>13</v>
      </c>
      <c r="E27" s="86">
        <v>943570</v>
      </c>
      <c r="F27" s="70"/>
      <c r="G27" s="1"/>
      <c r="N27" s="1"/>
    </row>
    <row r="28" spans="1:14" s="2" customFormat="1" x14ac:dyDescent="0.2">
      <c r="A28" s="89">
        <v>45218</v>
      </c>
      <c r="B28" s="128" t="s">
        <v>6</v>
      </c>
      <c r="C28" s="10" t="s">
        <v>332</v>
      </c>
      <c r="D28" s="11" t="s">
        <v>13</v>
      </c>
      <c r="E28" s="86">
        <v>2046</v>
      </c>
      <c r="F28" s="70"/>
      <c r="G28" s="1"/>
      <c r="N28" s="1"/>
    </row>
    <row r="29" spans="1:14" s="2" customFormat="1" x14ac:dyDescent="0.2">
      <c r="A29" s="89">
        <v>45218</v>
      </c>
      <c r="B29" s="128" t="s">
        <v>6</v>
      </c>
      <c r="C29" s="10" t="s">
        <v>503</v>
      </c>
      <c r="D29" s="11" t="s">
        <v>13</v>
      </c>
      <c r="E29" s="86">
        <v>40858.550000000003</v>
      </c>
      <c r="F29" s="70"/>
      <c r="G29" s="1"/>
      <c r="N29" s="1"/>
    </row>
    <row r="30" spans="1:14" s="2" customFormat="1" x14ac:dyDescent="0.2">
      <c r="A30" s="89">
        <v>45218</v>
      </c>
      <c r="B30" s="128" t="s">
        <v>6</v>
      </c>
      <c r="C30" s="10" t="s">
        <v>1365</v>
      </c>
      <c r="D30" s="11" t="s">
        <v>13</v>
      </c>
      <c r="E30" s="86">
        <v>500000</v>
      </c>
      <c r="F30" s="70"/>
      <c r="G30" s="1"/>
      <c r="N30" s="1"/>
    </row>
    <row r="31" spans="1:14" s="2" customFormat="1" x14ac:dyDescent="0.2">
      <c r="A31" s="89">
        <v>45218</v>
      </c>
      <c r="B31" s="128" t="s">
        <v>6</v>
      </c>
      <c r="C31" s="10" t="s">
        <v>1396</v>
      </c>
      <c r="D31" s="11" t="s">
        <v>13</v>
      </c>
      <c r="E31" s="86">
        <v>917923</v>
      </c>
      <c r="F31" s="70"/>
      <c r="G31" s="1"/>
      <c r="N31" s="1"/>
    </row>
    <row r="32" spans="1:14" s="2" customFormat="1" x14ac:dyDescent="0.2">
      <c r="A32" s="89">
        <v>45218</v>
      </c>
      <c r="B32" s="128" t="s">
        <v>6</v>
      </c>
      <c r="C32" s="10" t="s">
        <v>471</v>
      </c>
      <c r="D32" s="11" t="s">
        <v>13</v>
      </c>
      <c r="E32" s="86">
        <v>1063</v>
      </c>
      <c r="F32" s="70"/>
      <c r="G32" s="1"/>
      <c r="N32" s="1"/>
    </row>
    <row r="33" spans="1:14" s="2" customFormat="1" x14ac:dyDescent="0.2">
      <c r="A33" s="89">
        <v>45218</v>
      </c>
      <c r="B33" s="128" t="s">
        <v>6</v>
      </c>
      <c r="C33" s="10" t="s">
        <v>247</v>
      </c>
      <c r="D33" s="11" t="s">
        <v>13</v>
      </c>
      <c r="E33" s="86">
        <v>3920000</v>
      </c>
      <c r="F33" s="70"/>
      <c r="G33" s="1"/>
      <c r="N33" s="1"/>
    </row>
    <row r="34" spans="1:14" s="2" customFormat="1" x14ac:dyDescent="0.2">
      <c r="A34" s="89">
        <v>45218</v>
      </c>
      <c r="B34" s="128" t="s">
        <v>6</v>
      </c>
      <c r="C34" s="10" t="s">
        <v>146</v>
      </c>
      <c r="D34" s="11" t="s">
        <v>13</v>
      </c>
      <c r="E34" s="86">
        <v>508454.68</v>
      </c>
      <c r="F34" s="70"/>
      <c r="G34" s="1"/>
      <c r="N34" s="1"/>
    </row>
    <row r="35" spans="1:14" s="2" customFormat="1" x14ac:dyDescent="0.2">
      <c r="A35" s="89">
        <v>45218</v>
      </c>
      <c r="B35" s="128" t="s">
        <v>6</v>
      </c>
      <c r="C35" s="10" t="s">
        <v>144</v>
      </c>
      <c r="D35" s="11" t="s">
        <v>13</v>
      </c>
      <c r="E35" s="86">
        <v>3815680</v>
      </c>
      <c r="F35" s="70"/>
      <c r="G35" s="1"/>
      <c r="N35" s="1"/>
    </row>
    <row r="36" spans="1:14" s="2" customFormat="1" x14ac:dyDescent="0.2">
      <c r="A36" s="89">
        <v>45218</v>
      </c>
      <c r="B36" s="128" t="s">
        <v>6</v>
      </c>
      <c r="C36" s="10" t="s">
        <v>14</v>
      </c>
      <c r="D36" s="11" t="s">
        <v>13</v>
      </c>
      <c r="E36" s="86">
        <v>6305</v>
      </c>
      <c r="F36" s="70"/>
      <c r="G36" s="1"/>
      <c r="N36" s="1"/>
    </row>
    <row r="37" spans="1:14" s="2" customFormat="1" x14ac:dyDescent="0.2">
      <c r="A37" s="89">
        <v>45218</v>
      </c>
      <c r="B37" s="128" t="s">
        <v>6</v>
      </c>
      <c r="C37" s="10" t="s">
        <v>121</v>
      </c>
      <c r="D37" s="11" t="s">
        <v>13</v>
      </c>
      <c r="E37" s="86">
        <v>400000</v>
      </c>
      <c r="F37" s="70"/>
      <c r="G37" s="1"/>
      <c r="N37" s="1"/>
    </row>
    <row r="38" spans="1:14" s="2" customFormat="1" x14ac:dyDescent="0.2">
      <c r="A38" s="89">
        <v>45218</v>
      </c>
      <c r="B38" s="128" t="s">
        <v>6</v>
      </c>
      <c r="C38" s="10" t="s">
        <v>283</v>
      </c>
      <c r="D38" s="11" t="s">
        <v>13</v>
      </c>
      <c r="E38" s="86">
        <v>1936500</v>
      </c>
      <c r="F38" s="70"/>
      <c r="G38" s="1"/>
      <c r="N38" s="1"/>
    </row>
    <row r="39" spans="1:14" s="2" customFormat="1" x14ac:dyDescent="0.2">
      <c r="A39" s="89">
        <v>45218</v>
      </c>
      <c r="B39" s="128" t="s">
        <v>6</v>
      </c>
      <c r="C39" s="10" t="s">
        <v>149</v>
      </c>
      <c r="D39" s="11" t="s">
        <v>13</v>
      </c>
      <c r="E39" s="86">
        <v>10207</v>
      </c>
      <c r="F39" s="70"/>
      <c r="G39" s="1"/>
      <c r="N39" s="1"/>
    </row>
    <row r="40" spans="1:14" s="2" customFormat="1" x14ac:dyDescent="0.2">
      <c r="A40" s="89">
        <v>45218</v>
      </c>
      <c r="B40" s="128" t="s">
        <v>6</v>
      </c>
      <c r="C40" s="10" t="s">
        <v>1520</v>
      </c>
      <c r="D40" s="11" t="s">
        <v>13</v>
      </c>
      <c r="E40" s="86">
        <v>395086</v>
      </c>
      <c r="F40" s="70"/>
      <c r="G40" s="1"/>
      <c r="N40" s="1"/>
    </row>
    <row r="41" spans="1:14" s="2" customFormat="1" x14ac:dyDescent="0.2">
      <c r="A41" s="89">
        <v>45218</v>
      </c>
      <c r="B41" s="128" t="s">
        <v>6</v>
      </c>
      <c r="C41" s="10" t="s">
        <v>1693</v>
      </c>
      <c r="D41" s="11" t="s">
        <v>13</v>
      </c>
      <c r="E41" s="86">
        <v>163856.29999999999</v>
      </c>
      <c r="F41" s="70"/>
      <c r="G41" s="1"/>
      <c r="N41" s="1"/>
    </row>
    <row r="42" spans="1:14" s="2" customFormat="1" x14ac:dyDescent="0.2">
      <c r="A42" s="89">
        <v>45218</v>
      </c>
      <c r="B42" s="128" t="s">
        <v>6</v>
      </c>
      <c r="C42" s="10" t="s">
        <v>389</v>
      </c>
      <c r="D42" s="11" t="s">
        <v>13</v>
      </c>
      <c r="E42" s="86">
        <v>229448.46</v>
      </c>
      <c r="F42" s="70"/>
      <c r="G42" s="1"/>
      <c r="N42" s="1"/>
    </row>
    <row r="43" spans="1:14" s="2" customFormat="1" x14ac:dyDescent="0.2">
      <c r="A43" s="89">
        <v>45218</v>
      </c>
      <c r="B43" s="128" t="s">
        <v>6</v>
      </c>
      <c r="C43" s="10" t="s">
        <v>22</v>
      </c>
      <c r="D43" s="11" t="s">
        <v>13</v>
      </c>
      <c r="E43" s="86">
        <v>217157.16</v>
      </c>
      <c r="F43" s="70"/>
      <c r="G43" s="1"/>
      <c r="N43" s="1"/>
    </row>
    <row r="44" spans="1:14" s="2" customFormat="1" x14ac:dyDescent="0.2">
      <c r="A44" s="89">
        <v>45218</v>
      </c>
      <c r="B44" s="128" t="s">
        <v>6</v>
      </c>
      <c r="C44" s="10" t="s">
        <v>1496</v>
      </c>
      <c r="D44" s="11" t="s">
        <v>13</v>
      </c>
      <c r="E44" s="86">
        <v>389204</v>
      </c>
      <c r="F44" s="70"/>
      <c r="G44" s="1"/>
      <c r="N44" s="1"/>
    </row>
    <row r="45" spans="1:14" s="2" customFormat="1" x14ac:dyDescent="0.2">
      <c r="A45" s="89">
        <v>45218</v>
      </c>
      <c r="B45" s="128" t="s">
        <v>6</v>
      </c>
      <c r="C45" s="10" t="s">
        <v>752</v>
      </c>
      <c r="D45" s="11" t="s">
        <v>13</v>
      </c>
      <c r="E45" s="86">
        <v>836595</v>
      </c>
      <c r="F45" s="70"/>
      <c r="G45" s="1"/>
      <c r="N45" s="1"/>
    </row>
    <row r="46" spans="1:14" s="2" customFormat="1" x14ac:dyDescent="0.2">
      <c r="A46" s="89">
        <v>45218</v>
      </c>
      <c r="B46" s="128" t="s">
        <v>6</v>
      </c>
      <c r="C46" s="10" t="s">
        <v>688</v>
      </c>
      <c r="D46" s="11" t="s">
        <v>13</v>
      </c>
      <c r="E46" s="86">
        <v>228802</v>
      </c>
      <c r="F46" s="70"/>
      <c r="G46" s="1"/>
      <c r="N46" s="1"/>
    </row>
    <row r="47" spans="1:14" s="2" customFormat="1" x14ac:dyDescent="0.2">
      <c r="A47" s="89">
        <v>45218</v>
      </c>
      <c r="B47" s="128" t="s">
        <v>6</v>
      </c>
      <c r="C47" s="10" t="s">
        <v>1694</v>
      </c>
      <c r="D47" s="11" t="s">
        <v>13</v>
      </c>
      <c r="E47" s="86">
        <v>599580.78</v>
      </c>
      <c r="F47" s="70"/>
      <c r="G47" s="1"/>
      <c r="N47" s="1"/>
    </row>
    <row r="48" spans="1:14" s="2" customFormat="1" x14ac:dyDescent="0.2">
      <c r="A48" s="89">
        <v>45218</v>
      </c>
      <c r="B48" s="128" t="s">
        <v>11</v>
      </c>
      <c r="C48" s="10" t="s">
        <v>64</v>
      </c>
      <c r="D48" s="11" t="s">
        <v>29</v>
      </c>
      <c r="E48" s="86"/>
      <c r="F48" s="70">
        <v>15327.35</v>
      </c>
      <c r="G48" s="1"/>
      <c r="N48" s="1"/>
    </row>
    <row r="49" spans="1:14" s="2" customFormat="1" x14ac:dyDescent="0.2">
      <c r="A49" s="89">
        <v>45218</v>
      </c>
      <c r="B49" s="128" t="s">
        <v>11</v>
      </c>
      <c r="C49" s="10" t="s">
        <v>1403</v>
      </c>
      <c r="D49" s="11" t="s">
        <v>29</v>
      </c>
      <c r="E49" s="86"/>
      <c r="F49" s="70">
        <v>751608</v>
      </c>
      <c r="G49" s="1"/>
      <c r="N49" s="1"/>
    </row>
    <row r="50" spans="1:14" s="2" customFormat="1" x14ac:dyDescent="0.2">
      <c r="A50" s="89">
        <v>45218</v>
      </c>
      <c r="B50" s="128" t="s">
        <v>11</v>
      </c>
      <c r="C50" s="10" t="s">
        <v>110</v>
      </c>
      <c r="D50" s="11" t="s">
        <v>29</v>
      </c>
      <c r="E50" s="86"/>
      <c r="F50" s="70">
        <v>812816.73</v>
      </c>
      <c r="G50" s="1"/>
      <c r="N50" s="1"/>
    </row>
    <row r="51" spans="1:14" s="2" customFormat="1" x14ac:dyDescent="0.2">
      <c r="A51" s="89">
        <v>45218</v>
      </c>
      <c r="B51" s="128" t="s">
        <v>11</v>
      </c>
      <c r="C51" s="10" t="s">
        <v>269</v>
      </c>
      <c r="D51" s="11" t="s">
        <v>29</v>
      </c>
      <c r="E51" s="86"/>
      <c r="F51" s="70">
        <v>3241906</v>
      </c>
      <c r="G51" s="1"/>
      <c r="N51" s="1"/>
    </row>
    <row r="52" spans="1:14" s="2" customFormat="1" x14ac:dyDescent="0.2">
      <c r="A52" s="89">
        <v>45218</v>
      </c>
      <c r="B52" s="128" t="s">
        <v>11</v>
      </c>
      <c r="C52" s="10" t="s">
        <v>1348</v>
      </c>
      <c r="D52" s="11" t="s">
        <v>29</v>
      </c>
      <c r="E52" s="86"/>
      <c r="F52" s="70">
        <v>3119648</v>
      </c>
      <c r="G52" s="1"/>
      <c r="N52" s="1"/>
    </row>
    <row r="53" spans="1:14" s="2" customFormat="1" x14ac:dyDescent="0.2">
      <c r="A53" s="89">
        <v>45218</v>
      </c>
      <c r="B53" s="128" t="s">
        <v>11</v>
      </c>
      <c r="C53" s="10" t="s">
        <v>127</v>
      </c>
      <c r="D53" s="11" t="s">
        <v>29</v>
      </c>
      <c r="E53" s="86"/>
      <c r="F53" s="70">
        <v>22532</v>
      </c>
      <c r="G53" s="1"/>
      <c r="N53" s="1"/>
    </row>
    <row r="54" spans="1:14" s="2" customFormat="1" x14ac:dyDescent="0.2">
      <c r="A54" s="89">
        <v>45218</v>
      </c>
      <c r="B54" s="128" t="s">
        <v>11</v>
      </c>
      <c r="C54" s="10" t="s">
        <v>412</v>
      </c>
      <c r="D54" s="11" t="s">
        <v>29</v>
      </c>
      <c r="E54" s="86"/>
      <c r="F54" s="70">
        <v>1928277</v>
      </c>
      <c r="G54" s="1"/>
      <c r="N54" s="1"/>
    </row>
    <row r="55" spans="1:14" s="2" customFormat="1" x14ac:dyDescent="0.2">
      <c r="A55" s="89">
        <v>45218</v>
      </c>
      <c r="B55" s="128" t="s">
        <v>11</v>
      </c>
      <c r="C55" s="10" t="s">
        <v>15</v>
      </c>
      <c r="D55" s="11" t="s">
        <v>29</v>
      </c>
      <c r="E55" s="86"/>
      <c r="F55" s="70">
        <v>10544.64</v>
      </c>
      <c r="G55" s="1"/>
      <c r="N55" s="1"/>
    </row>
    <row r="56" spans="1:14" s="2" customFormat="1" x14ac:dyDescent="0.2">
      <c r="A56" s="32"/>
      <c r="B56" s="33"/>
      <c r="C56" s="14"/>
      <c r="D56" s="34"/>
      <c r="E56" s="16">
        <f>SUM(E26:E55)</f>
        <v>16062336.930000002</v>
      </c>
      <c r="F56" s="16">
        <f>SUM(F26:F55)</f>
        <v>90498074.780000091</v>
      </c>
      <c r="G56" s="1"/>
      <c r="H56" s="1"/>
      <c r="I56" s="38">
        <v>74435737.849999994</v>
      </c>
      <c r="J56" s="2" t="s">
        <v>396</v>
      </c>
      <c r="K56" s="92">
        <f>E57-I56</f>
        <v>0</v>
      </c>
      <c r="N56" s="1"/>
    </row>
    <row r="57" spans="1:14" s="2" customFormat="1" x14ac:dyDescent="0.2">
      <c r="A57" s="36"/>
      <c r="B57" s="28" t="s">
        <v>11</v>
      </c>
      <c r="C57" s="19" t="s">
        <v>65</v>
      </c>
      <c r="D57" s="37"/>
      <c r="E57" s="38">
        <f>F56-E56</f>
        <v>74435737.850000083</v>
      </c>
      <c r="F57" s="22"/>
      <c r="G57" s="1"/>
      <c r="H57" s="1"/>
      <c r="I57" s="70"/>
      <c r="J57" s="70"/>
      <c r="K57" s="70"/>
      <c r="N57" s="1"/>
    </row>
    <row r="58" spans="1:14" s="2" customFormat="1" x14ac:dyDescent="0.2">
      <c r="A58" s="36"/>
      <c r="B58" s="28" t="s">
        <v>66</v>
      </c>
      <c r="C58" s="19" t="s">
        <v>67</v>
      </c>
      <c r="D58" s="37"/>
      <c r="E58" s="38">
        <v>6500000</v>
      </c>
      <c r="F58" s="22"/>
      <c r="G58" s="1"/>
      <c r="H58" s="70"/>
      <c r="I58" s="70"/>
      <c r="J58" s="70"/>
      <c r="K58" s="70"/>
      <c r="N58" s="1"/>
    </row>
    <row r="59" spans="1:14" s="2" customFormat="1" x14ac:dyDescent="0.2">
      <c r="A59" s="36"/>
      <c r="B59" s="28" t="s">
        <v>66</v>
      </c>
      <c r="C59" s="43" t="s">
        <v>1457</v>
      </c>
      <c r="D59" s="43"/>
      <c r="E59" s="12">
        <f>275000000+75000000+50000000</f>
        <v>400000000</v>
      </c>
      <c r="F59" s="22"/>
      <c r="G59" s="1"/>
      <c r="H59" s="70"/>
      <c r="I59" s="45">
        <v>1623.83</v>
      </c>
      <c r="J59" s="46"/>
      <c r="K59" s="46"/>
      <c r="N59" s="1"/>
    </row>
    <row r="60" spans="1:14" s="2" customFormat="1" ht="15" x14ac:dyDescent="0.25">
      <c r="A60" s="36"/>
      <c r="B60" s="28"/>
      <c r="C60" s="44" t="s">
        <v>1541</v>
      </c>
      <c r="D60" s="43"/>
      <c r="E60" s="7">
        <f>+E59+E57+E58</f>
        <v>480935737.85000008</v>
      </c>
      <c r="F60" s="22"/>
      <c r="G60" s="1"/>
      <c r="H60" s="103" t="s">
        <v>69</v>
      </c>
      <c r="I60" s="45">
        <v>-210.87</v>
      </c>
      <c r="J60" s="46"/>
      <c r="K60" s="46"/>
      <c r="N60" s="1"/>
    </row>
    <row r="61" spans="1:14" s="2" customFormat="1" ht="15" x14ac:dyDescent="0.25">
      <c r="A61" s="24"/>
      <c r="B61" s="1"/>
      <c r="C61" s="44" t="s">
        <v>1510</v>
      </c>
      <c r="D61" s="25"/>
      <c r="E61" s="156">
        <f>+I26-E58+H22-I22</f>
        <v>19064262.149999999</v>
      </c>
      <c r="G61" s="1"/>
      <c r="H61" s="35" t="s">
        <v>70</v>
      </c>
      <c r="I61" s="45">
        <v>83.4</v>
      </c>
      <c r="J61" s="46">
        <f>+I62-D64</f>
        <v>0</v>
      </c>
      <c r="N61" s="1"/>
    </row>
    <row r="62" spans="1:14" s="124" customFormat="1" ht="12.75" customHeight="1" x14ac:dyDescent="0.2">
      <c r="A62" s="24"/>
      <c r="B62" s="1"/>
      <c r="C62" s="56"/>
      <c r="D62" s="56"/>
      <c r="E62" s="104"/>
      <c r="F62" s="2"/>
      <c r="G62" s="166"/>
      <c r="H62" s="70"/>
      <c r="I62" s="49">
        <f>SUM(I59:I61)</f>
        <v>1496.3600000000001</v>
      </c>
      <c r="J62" s="46"/>
      <c r="K62" s="46"/>
    </row>
    <row r="63" spans="1:14" s="124" customFormat="1" ht="12.75" customHeight="1" x14ac:dyDescent="0.2">
      <c r="A63" s="24"/>
      <c r="B63" s="1"/>
      <c r="C63" s="78" t="s">
        <v>575</v>
      </c>
      <c r="D63" s="48" t="s">
        <v>576</v>
      </c>
      <c r="E63" s="104"/>
      <c r="F63" s="2"/>
      <c r="G63" s="168"/>
      <c r="H63" s="167"/>
      <c r="I63" s="167"/>
      <c r="J63" s="168"/>
    </row>
    <row r="64" spans="1:14" s="124" customFormat="1" ht="12.75" customHeight="1" x14ac:dyDescent="0.2">
      <c r="A64" s="24"/>
      <c r="B64" s="1"/>
      <c r="C64" s="47" t="s">
        <v>570</v>
      </c>
      <c r="D64" s="111">
        <v>1496.36</v>
      </c>
      <c r="E64" s="104"/>
      <c r="F64" s="2"/>
      <c r="G64" s="168"/>
      <c r="H64" s="110" t="s">
        <v>581</v>
      </c>
      <c r="I64" s="167"/>
      <c r="J64" s="168"/>
    </row>
    <row r="65" spans="1:13" s="124" customFormat="1" ht="12.75" customHeight="1" x14ac:dyDescent="0.2">
      <c r="A65" s="24"/>
      <c r="B65" s="1"/>
      <c r="C65" s="47" t="s">
        <v>931</v>
      </c>
      <c r="D65" s="111">
        <v>161.19999999999999</v>
      </c>
      <c r="E65" s="104"/>
      <c r="F65" s="2"/>
      <c r="G65" s="168"/>
      <c r="H65" s="110" t="s">
        <v>580</v>
      </c>
      <c r="I65" s="167"/>
      <c r="J65" s="168"/>
    </row>
    <row r="66" spans="1:13" s="124" customFormat="1" ht="12.75" customHeight="1" x14ac:dyDescent="0.2">
      <c r="A66" s="24"/>
      <c r="B66" s="1"/>
      <c r="C66" s="47" t="s">
        <v>572</v>
      </c>
      <c r="D66" s="111">
        <f>+D91/100000</f>
        <v>144.4287655</v>
      </c>
      <c r="E66" s="104"/>
      <c r="F66" s="2"/>
      <c r="G66" s="166"/>
      <c r="H66" s="90" t="s">
        <v>587</v>
      </c>
      <c r="I66" s="167"/>
      <c r="J66" s="168"/>
    </row>
    <row r="67" spans="1:13" s="2" customFormat="1" x14ac:dyDescent="0.2">
      <c r="A67" s="24"/>
      <c r="B67" s="1"/>
      <c r="C67" s="108" t="s">
        <v>578</v>
      </c>
      <c r="D67" s="48">
        <f>SUM(D64:D66)</f>
        <v>1801.9887655</v>
      </c>
      <c r="E67" s="104"/>
      <c r="G67" s="30"/>
      <c r="I67" s="13"/>
      <c r="J67" s="13"/>
    </row>
    <row r="68" spans="1:13" s="70" customFormat="1" x14ac:dyDescent="0.2">
      <c r="A68" s="24"/>
      <c r="B68" s="1"/>
      <c r="C68" s="47"/>
      <c r="D68" s="107"/>
      <c r="E68" s="104"/>
      <c r="F68" s="2"/>
      <c r="G68" s="30"/>
      <c r="H68" s="2"/>
    </row>
    <row r="69" spans="1:13" s="70" customFormat="1" x14ac:dyDescent="0.2">
      <c r="A69" s="24"/>
      <c r="B69" s="1"/>
      <c r="C69" s="47" t="s">
        <v>932</v>
      </c>
      <c r="D69" s="111">
        <v>91.19</v>
      </c>
      <c r="E69" s="104"/>
      <c r="F69" s="2"/>
      <c r="G69" s="30"/>
      <c r="H69" s="110" t="s">
        <v>581</v>
      </c>
    </row>
    <row r="70" spans="1:13" s="70" customFormat="1" x14ac:dyDescent="0.2">
      <c r="A70" s="24"/>
      <c r="B70" s="1"/>
      <c r="C70" s="136" t="s">
        <v>1142</v>
      </c>
      <c r="D70" s="111">
        <v>465.19</v>
      </c>
      <c r="E70" s="104"/>
      <c r="F70" s="2"/>
      <c r="G70" s="30"/>
      <c r="H70" s="110" t="s">
        <v>581</v>
      </c>
    </row>
    <row r="71" spans="1:13" s="70" customFormat="1" x14ac:dyDescent="0.2">
      <c r="A71" s="24"/>
      <c r="B71" s="1"/>
      <c r="C71" s="78" t="s">
        <v>579</v>
      </c>
      <c r="D71" s="109">
        <f>D69+D70</f>
        <v>556.38</v>
      </c>
      <c r="E71" s="104"/>
      <c r="F71" s="2"/>
      <c r="G71" s="30"/>
    </row>
    <row r="72" spans="1:13" s="70" customFormat="1" x14ac:dyDescent="0.2">
      <c r="A72" s="24"/>
      <c r="B72" s="1"/>
      <c r="C72" s="105"/>
      <c r="D72" s="106"/>
      <c r="E72" s="104"/>
      <c r="F72" s="2"/>
      <c r="G72" s="30"/>
      <c r="I72" s="2"/>
      <c r="J72" s="114" t="s">
        <v>713</v>
      </c>
      <c r="K72" s="2"/>
      <c r="L72" s="2"/>
      <c r="M72" s="2"/>
    </row>
    <row r="73" spans="1:13" s="70" customFormat="1" x14ac:dyDescent="0.2">
      <c r="A73" s="24"/>
      <c r="B73" s="1"/>
      <c r="C73" s="78" t="s">
        <v>577</v>
      </c>
      <c r="D73" s="109">
        <f>D64+D71</f>
        <v>2052.7399999999998</v>
      </c>
      <c r="E73" s="104"/>
      <c r="F73" s="2"/>
      <c r="G73" s="30"/>
      <c r="I73" s="113"/>
      <c r="J73" s="113" t="s">
        <v>709</v>
      </c>
      <c r="K73" s="113" t="s">
        <v>710</v>
      </c>
      <c r="L73" s="113" t="s">
        <v>711</v>
      </c>
      <c r="M73" s="113" t="s">
        <v>712</v>
      </c>
    </row>
    <row r="74" spans="1:13" s="70" customFormat="1" x14ac:dyDescent="0.2">
      <c r="A74" s="24"/>
      <c r="B74" s="1"/>
      <c r="C74" s="56"/>
      <c r="D74" s="56"/>
      <c r="E74" s="104"/>
      <c r="F74" s="2"/>
      <c r="G74" s="30"/>
      <c r="I74" s="113" t="s">
        <v>706</v>
      </c>
      <c r="J74" s="115"/>
      <c r="K74" s="115">
        <v>968.99</v>
      </c>
      <c r="L74" s="115">
        <v>968.99</v>
      </c>
      <c r="M74" s="113">
        <f>+J74+L74-K74</f>
        <v>0</v>
      </c>
    </row>
    <row r="75" spans="1:13" s="70" customFormat="1" ht="38.25" x14ac:dyDescent="0.2">
      <c r="A75" s="24"/>
      <c r="B75" s="1"/>
      <c r="C75" s="79" t="str">
        <f>"Particulars ( 01-04-2021 to "&amp;TEXT(A5,"dd-mm-yyyy")&amp;" )"</f>
        <v>Particulars ( 01-04-2021 to 19-10-2023 )</v>
      </c>
      <c r="D75" s="80" t="s">
        <v>73</v>
      </c>
      <c r="E75" s="80" t="s">
        <v>74</v>
      </c>
      <c r="F75" s="81" t="s">
        <v>75</v>
      </c>
      <c r="G75" s="80" t="s">
        <v>76</v>
      </c>
      <c r="I75" s="113" t="s">
        <v>707</v>
      </c>
      <c r="J75" s="115">
        <v>183.1</v>
      </c>
      <c r="K75" s="115">
        <v>3788.51</v>
      </c>
      <c r="L75" s="115">
        <v>4050.28</v>
      </c>
      <c r="M75" s="113">
        <f>+J75+L75-K75</f>
        <v>444.86999999999989</v>
      </c>
    </row>
    <row r="76" spans="1:13" s="70" customFormat="1" x14ac:dyDescent="0.2">
      <c r="A76" s="24"/>
      <c r="B76" s="1"/>
      <c r="C76" s="50" t="s">
        <v>444</v>
      </c>
      <c r="D76" s="55">
        <f>+L74+L75+J75</f>
        <v>5202.3700000000008</v>
      </c>
      <c r="E76" s="55">
        <f>+K74+K75</f>
        <v>4757.5</v>
      </c>
      <c r="F76" s="55">
        <f>+D76-E76</f>
        <v>444.8700000000008</v>
      </c>
      <c r="G76" s="55">
        <f>1500-F76</f>
        <v>1055.1299999999992</v>
      </c>
      <c r="I76" s="113" t="s">
        <v>708</v>
      </c>
      <c r="J76" s="115">
        <v>1371.02</v>
      </c>
      <c r="K76" s="115">
        <v>14584.69</v>
      </c>
      <c r="L76" s="115">
        <v>14257.51</v>
      </c>
      <c r="M76" s="113">
        <f>+J76+L76-K76</f>
        <v>1043.8400000000001</v>
      </c>
    </row>
    <row r="77" spans="1:13" s="70" customFormat="1" ht="12.75" customHeight="1" x14ac:dyDescent="0.2">
      <c r="A77" s="24"/>
      <c r="B77" s="1"/>
      <c r="C77" s="50" t="s">
        <v>71</v>
      </c>
      <c r="D77" s="55">
        <f>+J76+L76</f>
        <v>15628.53</v>
      </c>
      <c r="E77" s="55">
        <f>+K76</f>
        <v>14584.69</v>
      </c>
      <c r="F77" s="55">
        <f>+D77-E77</f>
        <v>1043.8400000000001</v>
      </c>
      <c r="G77" s="55">
        <f>1500+700-F77</f>
        <v>1156.1599999999999</v>
      </c>
      <c r="I77" s="2"/>
      <c r="J77" s="118">
        <f>SUM(J74:J76)</f>
        <v>1554.12</v>
      </c>
      <c r="K77" s="118">
        <f>SUM(K74:K76)</f>
        <v>19342.190000000002</v>
      </c>
      <c r="L77" s="118">
        <f>SUM(L74:L76)</f>
        <v>19276.78</v>
      </c>
      <c r="M77" s="118">
        <f>SUM(M74:M76)</f>
        <v>1488.71</v>
      </c>
    </row>
    <row r="78" spans="1:13" s="70" customFormat="1" ht="12.75" customHeight="1" x14ac:dyDescent="0.2">
      <c r="A78" s="24"/>
      <c r="B78" s="1"/>
      <c r="C78" s="14"/>
      <c r="D78" s="56"/>
      <c r="E78" s="13"/>
      <c r="F78" s="2"/>
      <c r="G78" s="30"/>
    </row>
    <row r="79" spans="1:13" s="70" customFormat="1" ht="12.75" customHeight="1" x14ac:dyDescent="0.2">
      <c r="A79" s="215" t="s">
        <v>80</v>
      </c>
      <c r="B79" s="216"/>
      <c r="C79" s="216"/>
      <c r="D79" s="217"/>
      <c r="E79" s="69"/>
      <c r="G79" s="30"/>
    </row>
    <row r="80" spans="1:13" s="70" customFormat="1" ht="12.75" customHeight="1" x14ac:dyDescent="0.2">
      <c r="A80" s="71" t="s">
        <v>81</v>
      </c>
      <c r="B80" s="71"/>
      <c r="C80" s="72" t="s">
        <v>82</v>
      </c>
      <c r="D80" s="73" t="s">
        <v>83</v>
      </c>
      <c r="E80" s="69"/>
      <c r="G80" s="30"/>
    </row>
    <row r="81" spans="1:14" s="70" customFormat="1" ht="12.75" customHeight="1" x14ac:dyDescent="0.2">
      <c r="A81" s="87">
        <v>45203</v>
      </c>
      <c r="B81" s="120" t="s">
        <v>1052</v>
      </c>
      <c r="C81" s="75" t="s">
        <v>18</v>
      </c>
      <c r="D81" s="88">
        <v>193358.43</v>
      </c>
      <c r="E81" s="2"/>
      <c r="F81" s="2"/>
      <c r="G81" s="30"/>
      <c r="H81" s="2"/>
      <c r="I81" s="2"/>
      <c r="J81" s="2"/>
      <c r="K81" s="2"/>
      <c r="L81" s="41"/>
      <c r="M81" s="42"/>
      <c r="N81" s="2"/>
    </row>
    <row r="82" spans="1:14" s="70" customFormat="1" ht="12.75" customHeight="1" x14ac:dyDescent="0.2">
      <c r="A82" s="87">
        <v>45203</v>
      </c>
      <c r="B82" s="120" t="s">
        <v>1052</v>
      </c>
      <c r="C82" s="75" t="s">
        <v>270</v>
      </c>
      <c r="D82" s="88">
        <v>254277</v>
      </c>
      <c r="E82" s="2"/>
      <c r="F82" s="2"/>
      <c r="G82" s="30"/>
      <c r="H82" s="2"/>
      <c r="I82" s="2"/>
      <c r="J82" s="2"/>
      <c r="K82" s="2"/>
      <c r="L82" s="41"/>
      <c r="M82" s="42"/>
      <c r="N82" s="2"/>
    </row>
    <row r="83" spans="1:14" s="70" customFormat="1" ht="12.75" customHeight="1" x14ac:dyDescent="0.2">
      <c r="A83" s="87">
        <v>45204</v>
      </c>
      <c r="B83" s="120" t="s">
        <v>1052</v>
      </c>
      <c r="C83" s="75" t="s">
        <v>85</v>
      </c>
      <c r="D83" s="88">
        <v>765297</v>
      </c>
      <c r="E83" s="2"/>
      <c r="F83" s="2"/>
      <c r="G83" s="30"/>
      <c r="H83" s="2"/>
      <c r="I83" s="2"/>
      <c r="J83" s="2"/>
      <c r="K83" s="2"/>
      <c r="L83" s="41"/>
      <c r="M83" s="42"/>
      <c r="N83" s="2"/>
    </row>
    <row r="84" spans="1:14" s="70" customFormat="1" ht="12.75" customHeight="1" x14ac:dyDescent="0.2">
      <c r="A84" s="87">
        <v>45209</v>
      </c>
      <c r="B84" s="120" t="s">
        <v>1052</v>
      </c>
      <c r="C84" s="75" t="s">
        <v>606</v>
      </c>
      <c r="D84" s="88">
        <v>2261658</v>
      </c>
      <c r="E84" s="2"/>
      <c r="F84" s="2"/>
      <c r="G84" s="30"/>
      <c r="H84" s="2"/>
      <c r="I84" s="2"/>
      <c r="J84" s="2"/>
      <c r="K84" s="2"/>
      <c r="L84" s="41"/>
      <c r="M84" s="42"/>
      <c r="N84" s="2"/>
    </row>
    <row r="85" spans="1:14" s="70" customFormat="1" ht="12.75" customHeight="1" x14ac:dyDescent="0.2">
      <c r="A85" s="87">
        <v>45211</v>
      </c>
      <c r="B85" s="120" t="s">
        <v>1052</v>
      </c>
      <c r="C85" s="75" t="s">
        <v>18</v>
      </c>
      <c r="D85" s="88">
        <v>35919</v>
      </c>
      <c r="E85" s="2"/>
      <c r="F85" s="2"/>
      <c r="G85" s="30"/>
      <c r="H85" s="2"/>
      <c r="I85" s="2"/>
      <c r="J85" s="2"/>
      <c r="K85" s="2"/>
      <c r="L85" s="41"/>
      <c r="M85" s="42"/>
      <c r="N85" s="2"/>
    </row>
    <row r="86" spans="1:14" s="70" customFormat="1" ht="12.75" customHeight="1" x14ac:dyDescent="0.2">
      <c r="A86" s="87">
        <v>45211</v>
      </c>
      <c r="B86" s="120" t="s">
        <v>1052</v>
      </c>
      <c r="C86" s="75" t="s">
        <v>84</v>
      </c>
      <c r="D86" s="88">
        <v>856347</v>
      </c>
      <c r="E86" s="2"/>
      <c r="F86" s="2"/>
      <c r="G86" s="30"/>
      <c r="H86" s="2"/>
      <c r="I86" s="2"/>
      <c r="J86" s="2"/>
      <c r="K86" s="2"/>
      <c r="L86" s="41"/>
      <c r="M86" s="42"/>
      <c r="N86" s="2"/>
    </row>
    <row r="87" spans="1:14" s="70" customFormat="1" ht="12.75" customHeight="1" x14ac:dyDescent="0.2">
      <c r="A87" s="87">
        <v>45212</v>
      </c>
      <c r="B87" s="120" t="s">
        <v>1052</v>
      </c>
      <c r="C87" s="75" t="s">
        <v>201</v>
      </c>
      <c r="D87" s="88">
        <v>1600267.2</v>
      </c>
      <c r="E87" s="2"/>
      <c r="F87" s="2"/>
      <c r="G87" s="30"/>
      <c r="H87" s="2"/>
      <c r="I87" s="2"/>
      <c r="J87" s="2"/>
      <c r="K87" s="2"/>
      <c r="L87" s="41"/>
      <c r="M87" s="42"/>
      <c r="N87" s="2"/>
    </row>
    <row r="88" spans="1:14" s="70" customFormat="1" ht="12.75" customHeight="1" x14ac:dyDescent="0.2">
      <c r="A88" s="87">
        <v>45215</v>
      </c>
      <c r="B88" s="120" t="s">
        <v>1052</v>
      </c>
      <c r="C88" s="75" t="s">
        <v>1683</v>
      </c>
      <c r="D88" s="88">
        <v>6496492</v>
      </c>
      <c r="E88" s="2"/>
      <c r="F88" s="2"/>
      <c r="G88" s="30"/>
      <c r="H88" s="2"/>
      <c r="I88" s="2"/>
      <c r="J88" s="2"/>
      <c r="K88" s="2"/>
      <c r="L88" s="41"/>
      <c r="M88" s="42"/>
      <c r="N88" s="2"/>
    </row>
    <row r="89" spans="1:14" s="70" customFormat="1" ht="12.75" customHeight="1" x14ac:dyDescent="0.2">
      <c r="A89" s="87">
        <v>45217</v>
      </c>
      <c r="B89" s="120" t="s">
        <v>1052</v>
      </c>
      <c r="C89" s="75" t="s">
        <v>1084</v>
      </c>
      <c r="D89" s="88">
        <v>1789287</v>
      </c>
      <c r="E89" s="2"/>
      <c r="F89" s="2"/>
      <c r="G89" s="30"/>
      <c r="H89" s="2"/>
      <c r="I89" s="2"/>
      <c r="J89" s="2"/>
      <c r="K89" s="2"/>
      <c r="L89" s="41"/>
      <c r="M89" s="42"/>
      <c r="N89" s="2"/>
    </row>
    <row r="90" spans="1:14" s="70" customFormat="1" ht="12.75" customHeight="1" x14ac:dyDescent="0.2">
      <c r="A90" s="87">
        <v>45218</v>
      </c>
      <c r="B90" s="120" t="s">
        <v>1052</v>
      </c>
      <c r="C90" s="75" t="s">
        <v>606</v>
      </c>
      <c r="D90" s="88">
        <v>189973.92</v>
      </c>
      <c r="E90" s="2"/>
      <c r="F90" s="2"/>
      <c r="G90" s="30"/>
      <c r="H90" s="2"/>
      <c r="I90" s="2"/>
      <c r="J90" s="2"/>
      <c r="K90" s="2"/>
      <c r="L90" s="41"/>
      <c r="M90" s="42"/>
      <c r="N90" s="2"/>
    </row>
    <row r="91" spans="1:14" s="2" customFormat="1" x14ac:dyDescent="0.2">
      <c r="A91" s="87"/>
      <c r="B91" s="74"/>
      <c r="C91" s="75"/>
      <c r="D91" s="51">
        <f>SUM(D81:D90)</f>
        <v>14442876.549999999</v>
      </c>
      <c r="F91" s="2" t="s">
        <v>396</v>
      </c>
      <c r="G91" s="1"/>
    </row>
    <row r="92" spans="1:14" s="2" customFormat="1" x14ac:dyDescent="0.2">
      <c r="A92" s="24"/>
      <c r="B92" s="1"/>
      <c r="C92" s="14"/>
      <c r="D92" s="56"/>
      <c r="E92" s="13"/>
      <c r="G92" s="1"/>
    </row>
    <row r="93" spans="1:14" s="2" customFormat="1" x14ac:dyDescent="0.2">
      <c r="A93" s="24"/>
      <c r="B93" s="1"/>
      <c r="C93" s="218" t="s">
        <v>77</v>
      </c>
      <c r="D93" s="219"/>
      <c r="E93" s="219"/>
      <c r="F93" s="220"/>
      <c r="H93" s="2" t="s">
        <v>396</v>
      </c>
    </row>
    <row r="94" spans="1:14" s="2" customFormat="1" x14ac:dyDescent="0.2">
      <c r="A94" s="24"/>
      <c r="B94" s="1"/>
      <c r="C94" s="50"/>
      <c r="D94" s="57" t="s">
        <v>78</v>
      </c>
      <c r="E94" s="58" t="s">
        <v>79</v>
      </c>
      <c r="F94" s="57" t="s">
        <v>72</v>
      </c>
      <c r="H94" s="2" t="s">
        <v>396</v>
      </c>
    </row>
    <row r="95" spans="1:14" s="2" customFormat="1" x14ac:dyDescent="0.2">
      <c r="A95" s="24"/>
      <c r="B95" s="1"/>
      <c r="C95" s="59" t="str">
        <f>"01-10-2023 to "&amp;TEXT(A5-2,"dd-mm-yyyy")</f>
        <v>01-10-2023 to 17-10-2023</v>
      </c>
      <c r="D95" s="60">
        <v>1259.9000000000001</v>
      </c>
      <c r="E95" s="60">
        <v>283.83</v>
      </c>
      <c r="F95" s="61">
        <f>SUM(D95:E95)</f>
        <v>1543.73</v>
      </c>
    </row>
    <row r="96" spans="1:14" s="2" customFormat="1" x14ac:dyDescent="0.2">
      <c r="A96" s="24"/>
      <c r="B96" s="1"/>
      <c r="C96" s="62" t="str">
        <f>TEXT(A5-1,"dd-mm-yyyy")</f>
        <v>18-10-2023</v>
      </c>
      <c r="D96" s="60">
        <v>163.92</v>
      </c>
      <c r="E96" s="60">
        <v>24.71</v>
      </c>
      <c r="F96" s="61">
        <f>SUM(D96:E96)</f>
        <v>188.63</v>
      </c>
      <c r="G96" s="1"/>
      <c r="H96" s="53"/>
    </row>
    <row r="97" spans="1:13" s="2" customFormat="1" ht="13.5" thickBot="1" x14ac:dyDescent="0.25">
      <c r="A97" s="24"/>
      <c r="B97" s="1"/>
      <c r="C97" s="63" t="str">
        <f>"01-10-2023 to "&amp;TEXT(A5-1,"dd-mm-yyyy")</f>
        <v>01-10-2023 to 18-10-2023</v>
      </c>
      <c r="D97" s="64">
        <f>SUM(D95:D96)</f>
        <v>1423.8200000000002</v>
      </c>
      <c r="E97" s="64">
        <f>SUM(E95:E96)</f>
        <v>308.53999999999996</v>
      </c>
      <c r="F97" s="64">
        <f>SUM(F95:F96)</f>
        <v>1732.3600000000001</v>
      </c>
      <c r="G97" s="1"/>
      <c r="H97" s="53"/>
    </row>
    <row r="98" spans="1:13" s="2" customFormat="1" ht="13.5" thickTop="1" x14ac:dyDescent="0.2">
      <c r="A98" s="24"/>
      <c r="B98" s="1"/>
      <c r="C98" s="62"/>
      <c r="D98" s="65"/>
      <c r="E98" s="66"/>
      <c r="F98" s="67"/>
      <c r="L98" s="1"/>
      <c r="M98" s="1"/>
    </row>
    <row r="99" spans="1:13" s="2" customFormat="1" x14ac:dyDescent="0.2">
      <c r="A99" s="24"/>
      <c r="B99" s="1"/>
      <c r="C99" s="62" t="str">
        <f>"01-04-2023 to " &amp;C96</f>
        <v>01-04-2023 to 18-10-2023</v>
      </c>
      <c r="D99" s="68">
        <f>+D97+27003.42</f>
        <v>28427.239999999998</v>
      </c>
      <c r="E99" s="68">
        <f>+E97+2028.43</f>
        <v>2336.9700000000003</v>
      </c>
      <c r="F99" s="68">
        <f>+F97+29031.85</f>
        <v>30764.21</v>
      </c>
      <c r="G99" s="1"/>
      <c r="L99" s="1"/>
      <c r="M99" s="1"/>
    </row>
    <row r="100" spans="1:13" s="2" customFormat="1" x14ac:dyDescent="0.2">
      <c r="A100" s="24"/>
      <c r="B100" s="1"/>
      <c r="C100" s="52"/>
      <c r="D100" s="85"/>
      <c r="E100" s="53"/>
      <c r="F100" s="53"/>
      <c r="G100" s="1"/>
      <c r="L100" s="1"/>
      <c r="M100" s="1"/>
    </row>
    <row r="101" spans="1:13" s="2" customFormat="1" x14ac:dyDescent="0.2">
      <c r="A101" s="24"/>
      <c r="B101" s="1"/>
      <c r="C101" s="52"/>
      <c r="D101" s="85"/>
      <c r="E101" s="53"/>
      <c r="F101" s="53"/>
      <c r="G101" s="1"/>
      <c r="L101" s="1"/>
      <c r="M101" s="1"/>
    </row>
    <row r="102" spans="1:13" s="2" customFormat="1" x14ac:dyDescent="0.2">
      <c r="A102" s="24"/>
      <c r="B102" s="1"/>
      <c r="C102" s="52"/>
      <c r="D102" s="85"/>
      <c r="E102" s="53"/>
      <c r="F102" s="53"/>
      <c r="G102" s="1"/>
      <c r="L102" s="1"/>
      <c r="M102" s="1"/>
    </row>
    <row r="103" spans="1:13" s="2" customFormat="1" x14ac:dyDescent="0.2">
      <c r="A103" s="24"/>
      <c r="B103" s="1"/>
      <c r="C103" s="52"/>
      <c r="D103" s="85"/>
      <c r="E103" s="53"/>
      <c r="F103" s="53"/>
      <c r="G103" s="1"/>
      <c r="L103" s="1"/>
      <c r="M103" s="1"/>
    </row>
    <row r="104" spans="1:13" s="2" customFormat="1" x14ac:dyDescent="0.2">
      <c r="A104" s="24"/>
      <c r="B104" s="1"/>
      <c r="C104" s="14"/>
      <c r="D104" s="25"/>
      <c r="G104" s="1"/>
      <c r="L104" s="1"/>
      <c r="M104" s="1"/>
    </row>
    <row r="105" spans="1:13" s="2" customFormat="1" x14ac:dyDescent="0.2">
      <c r="A105" s="24"/>
      <c r="B105" s="1"/>
      <c r="C105" s="14"/>
      <c r="D105" s="25"/>
      <c r="G105" s="1"/>
      <c r="L105" s="1"/>
      <c r="M105" s="1"/>
    </row>
    <row r="106" spans="1:13" s="2" customFormat="1" x14ac:dyDescent="0.2">
      <c r="A106" s="24"/>
      <c r="B106" s="1"/>
      <c r="C106" s="14"/>
      <c r="D106" s="25"/>
      <c r="G106" s="1"/>
      <c r="L106" s="1"/>
      <c r="M106" s="1"/>
    </row>
    <row r="107" spans="1:13" s="2" customFormat="1" x14ac:dyDescent="0.2">
      <c r="A107" s="24"/>
      <c r="B107" s="1"/>
      <c r="C107" s="14"/>
      <c r="D107" s="25"/>
      <c r="G107" s="1"/>
      <c r="L107" s="1"/>
      <c r="M107" s="1"/>
    </row>
    <row r="108" spans="1:13" s="2" customFormat="1" x14ac:dyDescent="0.2">
      <c r="A108" s="24"/>
      <c r="B108" s="1"/>
      <c r="C108" s="14"/>
      <c r="D108" s="25"/>
      <c r="G108" s="1"/>
      <c r="L108" s="1"/>
      <c r="M108" s="1"/>
    </row>
    <row r="109" spans="1:13" s="2" customFormat="1" x14ac:dyDescent="0.2">
      <c r="A109" s="24"/>
      <c r="B109" s="1"/>
      <c r="C109" s="14"/>
      <c r="D109" s="25"/>
      <c r="G109" s="1"/>
      <c r="L109" s="1"/>
      <c r="M109" s="1"/>
    </row>
    <row r="110" spans="1:13" s="2" customFormat="1" x14ac:dyDescent="0.2">
      <c r="A110" s="24"/>
      <c r="B110" s="1"/>
      <c r="C110" s="14"/>
      <c r="D110" s="25"/>
      <c r="G110" s="1"/>
      <c r="L110" s="1"/>
      <c r="M110" s="1"/>
    </row>
    <row r="111" spans="1:13" s="2" customFormat="1" x14ac:dyDescent="0.2">
      <c r="A111" s="24"/>
      <c r="B111" s="1"/>
      <c r="C111" s="14"/>
      <c r="D111" s="25"/>
      <c r="G111" s="1"/>
      <c r="L111" s="1"/>
      <c r="M111" s="1"/>
    </row>
    <row r="112" spans="1:13" s="2" customFormat="1" x14ac:dyDescent="0.2">
      <c r="A112" s="24"/>
      <c r="B112" s="1"/>
      <c r="C112" s="14"/>
      <c r="D112" s="25"/>
      <c r="G112" s="1"/>
      <c r="L112" s="1"/>
      <c r="M112" s="1"/>
    </row>
    <row r="113" spans="1:14" s="2" customFormat="1" x14ac:dyDescent="0.2">
      <c r="A113" s="24"/>
      <c r="B113" s="1"/>
      <c r="C113" s="14"/>
      <c r="D113" s="25"/>
      <c r="G113" s="1"/>
      <c r="L113" s="1"/>
      <c r="M113" s="1"/>
    </row>
    <row r="114" spans="1:14" s="2" customFormat="1" x14ac:dyDescent="0.2">
      <c r="A114" s="24"/>
      <c r="B114" s="1"/>
      <c r="C114" s="14"/>
      <c r="D114" s="25"/>
      <c r="G114" s="1"/>
      <c r="L114" s="1"/>
      <c r="M114" s="1"/>
    </row>
    <row r="115" spans="1:14" s="2" customFormat="1" x14ac:dyDescent="0.2">
      <c r="A115" s="24"/>
      <c r="B115" s="1"/>
      <c r="C115" s="14"/>
      <c r="D115" s="25"/>
      <c r="G115" s="1"/>
      <c r="L115" s="1"/>
      <c r="M115" s="1"/>
    </row>
    <row r="116" spans="1:14" s="2" customFormat="1" x14ac:dyDescent="0.2">
      <c r="A116" s="24"/>
      <c r="B116" s="1"/>
      <c r="C116" s="14"/>
      <c r="D116" s="25"/>
      <c r="G116" s="1"/>
      <c r="L116" s="1"/>
      <c r="M116" s="1"/>
    </row>
    <row r="117" spans="1:14" s="2" customFormat="1" x14ac:dyDescent="0.2">
      <c r="A117" s="24"/>
      <c r="B117" s="1"/>
      <c r="C117" s="14"/>
      <c r="D117" s="25"/>
      <c r="G117" s="1"/>
      <c r="L117" s="1"/>
      <c r="M117" s="1"/>
    </row>
    <row r="118" spans="1:14" s="2" customFormat="1" x14ac:dyDescent="0.2">
      <c r="A118" s="24"/>
      <c r="B118" s="1"/>
      <c r="C118" s="14"/>
      <c r="D118" s="25"/>
      <c r="G118" s="1"/>
      <c r="I118" s="1"/>
      <c r="J118" s="1"/>
      <c r="K118" s="1"/>
      <c r="L118" s="1"/>
      <c r="M118" s="1"/>
    </row>
    <row r="119" spans="1:14" s="2" customFormat="1" x14ac:dyDescent="0.2">
      <c r="A119" s="24"/>
      <c r="B119" s="1"/>
      <c r="C119" s="14"/>
      <c r="D119" s="25"/>
      <c r="G119" s="1"/>
    </row>
    <row r="120" spans="1:14" s="2" customFormat="1" x14ac:dyDescent="0.2">
      <c r="A120" s="24"/>
      <c r="B120" s="1"/>
      <c r="C120" s="14"/>
      <c r="D120" s="25"/>
      <c r="G120" s="1"/>
      <c r="I120" s="1"/>
      <c r="J120" s="1"/>
      <c r="K120" s="1"/>
      <c r="L120" s="1"/>
      <c r="M120" s="1"/>
    </row>
    <row r="121" spans="1:14" s="2" customFormat="1" x14ac:dyDescent="0.2">
      <c r="A121" s="24"/>
      <c r="B121" s="1"/>
      <c r="C121" s="14"/>
      <c r="D121" s="25"/>
      <c r="G121" s="54"/>
      <c r="I121" s="1"/>
      <c r="J121" s="1"/>
      <c r="K121" s="1"/>
      <c r="L121" s="1"/>
      <c r="M121" s="1"/>
    </row>
    <row r="122" spans="1:14" s="2" customFormat="1" x14ac:dyDescent="0.2">
      <c r="A122" s="24"/>
      <c r="B122" s="1"/>
      <c r="C122" s="14"/>
      <c r="D122" s="25"/>
      <c r="G122" s="54"/>
      <c r="I122" s="1"/>
      <c r="J122" s="1"/>
      <c r="K122" s="1"/>
      <c r="L122" s="1"/>
      <c r="M122" s="1"/>
    </row>
    <row r="123" spans="1:14" s="2" customFormat="1" x14ac:dyDescent="0.2">
      <c r="A123" s="24"/>
      <c r="B123" s="1"/>
      <c r="C123" s="14"/>
      <c r="D123" s="25"/>
      <c r="G123" s="54"/>
      <c r="I123" s="1"/>
      <c r="J123" s="1"/>
      <c r="K123" s="1"/>
      <c r="L123" s="1"/>
      <c r="M123" s="1"/>
    </row>
    <row r="124" spans="1:14" s="2" customFormat="1" x14ac:dyDescent="0.2">
      <c r="A124" s="24"/>
      <c r="B124" s="1"/>
      <c r="C124" s="14"/>
      <c r="D124" s="25"/>
      <c r="G124" s="54"/>
      <c r="H124" s="2" t="s">
        <v>396</v>
      </c>
      <c r="I124" s="1"/>
      <c r="J124" s="1"/>
      <c r="K124" s="1"/>
      <c r="L124" s="1"/>
      <c r="M124" s="1"/>
      <c r="N124" s="1"/>
    </row>
    <row r="125" spans="1:14" s="2" customFormat="1" x14ac:dyDescent="0.2">
      <c r="A125" s="24"/>
      <c r="B125" s="1"/>
      <c r="C125" s="14"/>
      <c r="D125" s="25"/>
      <c r="G125" s="54"/>
      <c r="H125" s="53"/>
    </row>
    <row r="126" spans="1:14" s="2" customFormat="1" x14ac:dyDescent="0.2">
      <c r="A126" s="24"/>
      <c r="B126" s="1"/>
      <c r="C126" s="14"/>
      <c r="D126" s="25"/>
      <c r="G126" s="54"/>
      <c r="H126" s="53" t="s">
        <v>396</v>
      </c>
      <c r="I126" s="1"/>
      <c r="J126" s="1"/>
      <c r="K126" s="1"/>
      <c r="L126" s="1"/>
      <c r="M126" s="1"/>
      <c r="N126" s="1"/>
    </row>
    <row r="127" spans="1:14" x14ac:dyDescent="0.2">
      <c r="G127" s="54"/>
      <c r="H127" s="53" t="s">
        <v>396</v>
      </c>
      <c r="J127" s="42"/>
    </row>
    <row r="128" spans="1:14" s="2" customFormat="1" x14ac:dyDescent="0.2">
      <c r="A128" s="24"/>
      <c r="B128" s="1"/>
      <c r="C128" s="14"/>
      <c r="D128" s="25"/>
      <c r="G128" s="54"/>
      <c r="H128" s="53"/>
      <c r="I128" s="101"/>
      <c r="J128" s="1"/>
      <c r="K128" s="1"/>
      <c r="L128" s="1"/>
      <c r="M128" s="1"/>
      <c r="N128" s="1"/>
    </row>
    <row r="129" spans="7:8" x14ac:dyDescent="0.2">
      <c r="G129" s="54"/>
      <c r="H129" s="53"/>
    </row>
    <row r="130" spans="7:8" x14ac:dyDescent="0.2">
      <c r="G130" s="54"/>
      <c r="H130" s="53"/>
    </row>
    <row r="131" spans="7:8" x14ac:dyDescent="0.2">
      <c r="G131" s="54"/>
      <c r="H131" s="53"/>
    </row>
  </sheetData>
  <sheetProtection insertRows="0"/>
  <mergeCells count="6">
    <mergeCell ref="C93:F93"/>
    <mergeCell ref="A1:G1"/>
    <mergeCell ref="A3:F3"/>
    <mergeCell ref="A10:F10"/>
    <mergeCell ref="A24:F24"/>
    <mergeCell ref="A79:D79"/>
  </mergeCells>
  <conditionalFormatting sqref="G76:G77">
    <cfRule type="cellIs" dxfId="259" priority="1" operator="lessThan">
      <formula>0</formula>
    </cfRule>
  </conditionalFormatting>
  <conditionalFormatting sqref="C26">
    <cfRule type="duplicateValues" dxfId="258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100-000000000000}">
  <sheetPr codeName="Sheet457">
    <pageSetUpPr fitToPage="1"/>
  </sheetPr>
  <dimension ref="A1:N159"/>
  <sheetViews>
    <sheetView zoomScaleNormal="100" workbookViewId="0">
      <selection sqref="A1:G1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1" ht="20.25" customHeight="1" x14ac:dyDescent="0.4">
      <c r="A1" s="212" t="s">
        <v>1696</v>
      </c>
      <c r="B1" s="212"/>
      <c r="C1" s="212"/>
      <c r="D1" s="212"/>
      <c r="E1" s="212"/>
      <c r="F1" s="212"/>
      <c r="G1" s="212"/>
      <c r="H1" s="112"/>
      <c r="I1" s="112"/>
    </row>
    <row r="2" spans="1:11" ht="12.75" customHeight="1" x14ac:dyDescent="0.4">
      <c r="H2" s="112"/>
      <c r="I2" s="112"/>
    </row>
    <row r="3" spans="1:11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1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1" s="2" customFormat="1" ht="14.25" customHeight="1" x14ac:dyDescent="0.4">
      <c r="A5" s="89">
        <v>45219</v>
      </c>
      <c r="B5" s="9" t="s">
        <v>6</v>
      </c>
      <c r="C5" s="10" t="s">
        <v>7</v>
      </c>
      <c r="D5" s="11"/>
      <c r="E5" s="12">
        <v>466554.71000000183</v>
      </c>
      <c r="F5" s="12"/>
      <c r="G5" s="1"/>
      <c r="H5" s="112"/>
      <c r="I5" s="112"/>
    </row>
    <row r="6" spans="1:11" s="2" customFormat="1" ht="12.75" customHeight="1" x14ac:dyDescent="0.4">
      <c r="D6" s="15" t="s">
        <v>8</v>
      </c>
      <c r="E6" s="16">
        <f>SUM(E5:E5)</f>
        <v>466554.71000000183</v>
      </c>
      <c r="F6" s="16">
        <f>SUM(F5:F5)</f>
        <v>0</v>
      </c>
      <c r="G6" s="1"/>
      <c r="H6" s="112"/>
      <c r="I6" s="112"/>
    </row>
    <row r="7" spans="1:11" s="2" customFormat="1" ht="12.75" customHeight="1" x14ac:dyDescent="0.4">
      <c r="A7" s="17"/>
      <c r="B7" s="18"/>
      <c r="C7" s="19" t="s">
        <v>9</v>
      </c>
      <c r="D7" s="20"/>
      <c r="E7" s="21">
        <f>+E6-F6</f>
        <v>466554.71000000183</v>
      </c>
      <c r="F7" s="22"/>
      <c r="G7" s="23"/>
      <c r="H7" s="112"/>
      <c r="I7" s="112"/>
      <c r="J7" s="13"/>
    </row>
    <row r="8" spans="1:11" ht="12.75" customHeight="1" x14ac:dyDescent="0.4">
      <c r="H8" s="112"/>
      <c r="I8" s="112"/>
    </row>
    <row r="9" spans="1:11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69">
        <f>90000000-60000000</f>
        <v>30000000</v>
      </c>
      <c r="J9" s="169" t="s">
        <v>1508</v>
      </c>
    </row>
    <row r="10" spans="1:11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69">
        <v>27370060.32</v>
      </c>
      <c r="J10" s="169" t="s">
        <v>1509</v>
      </c>
      <c r="K10" s="124"/>
    </row>
    <row r="11" spans="1:11" s="2" customFormat="1" ht="14.25" customHeight="1" x14ac:dyDescent="0.2">
      <c r="A11" s="89">
        <v>45219</v>
      </c>
      <c r="B11" s="9" t="s">
        <v>6</v>
      </c>
      <c r="C11" s="10" t="s">
        <v>7</v>
      </c>
      <c r="D11" s="11"/>
      <c r="F11" s="12">
        <v>27820243.949999996</v>
      </c>
      <c r="G11" s="1"/>
      <c r="H11" s="130" t="s">
        <v>396</v>
      </c>
      <c r="I11" s="169">
        <f>+I9-I10</f>
        <v>2629939.6799999997</v>
      </c>
      <c r="J11" s="169" t="s">
        <v>712</v>
      </c>
      <c r="K11" s="165" t="s">
        <v>1512</v>
      </c>
    </row>
    <row r="12" spans="1:11" s="2" customFormat="1" ht="14.25" customHeight="1" x14ac:dyDescent="0.2">
      <c r="A12" s="89">
        <v>45219</v>
      </c>
      <c r="B12" s="9" t="s">
        <v>6</v>
      </c>
      <c r="C12" s="76" t="s">
        <v>1137</v>
      </c>
      <c r="D12" s="11" t="s">
        <v>13</v>
      </c>
      <c r="E12" s="2">
        <v>13056.63</v>
      </c>
      <c r="F12" s="12"/>
      <c r="G12" s="1"/>
      <c r="H12" s="130"/>
      <c r="I12" s="169"/>
      <c r="J12" s="169"/>
      <c r="K12" s="165"/>
    </row>
    <row r="13" spans="1:11" s="2" customFormat="1" ht="14.25" customHeight="1" x14ac:dyDescent="0.2">
      <c r="A13" s="89">
        <v>45219</v>
      </c>
      <c r="B13" s="9" t="s">
        <v>6</v>
      </c>
      <c r="C13" s="76" t="s">
        <v>1639</v>
      </c>
      <c r="D13" s="11" t="s">
        <v>1697</v>
      </c>
      <c r="E13" s="2">
        <v>367545</v>
      </c>
      <c r="F13" s="31"/>
      <c r="G13" s="1"/>
      <c r="H13" s="130"/>
      <c r="I13" s="169"/>
      <c r="J13" s="169"/>
      <c r="K13" s="165"/>
    </row>
    <row r="14" spans="1:11" s="2" customFormat="1" ht="14.25" customHeight="1" x14ac:dyDescent="0.2">
      <c r="A14" s="89">
        <v>45219</v>
      </c>
      <c r="B14" s="9" t="s">
        <v>6</v>
      </c>
      <c r="C14" s="76" t="s">
        <v>494</v>
      </c>
      <c r="D14" s="11" t="s">
        <v>1697</v>
      </c>
      <c r="E14" s="2">
        <v>18554</v>
      </c>
      <c r="F14" s="31"/>
      <c r="G14" s="1"/>
      <c r="H14" s="130"/>
      <c r="I14" s="169"/>
      <c r="J14" s="169"/>
      <c r="K14" s="165"/>
    </row>
    <row r="15" spans="1:11" s="2" customFormat="1" ht="14.25" customHeight="1" x14ac:dyDescent="0.2">
      <c r="A15" s="89">
        <v>45219</v>
      </c>
      <c r="B15" s="9" t="s">
        <v>6</v>
      </c>
      <c r="C15" s="76" t="s">
        <v>680</v>
      </c>
      <c r="D15" s="11" t="s">
        <v>1697</v>
      </c>
      <c r="E15" s="2">
        <v>25208</v>
      </c>
      <c r="F15" s="31"/>
      <c r="G15" s="1"/>
      <c r="H15" s="130"/>
      <c r="I15" s="169"/>
      <c r="J15" s="169"/>
      <c r="K15" s="165"/>
    </row>
    <row r="16" spans="1:11" s="2" customFormat="1" ht="14.25" customHeight="1" x14ac:dyDescent="0.2">
      <c r="A16" s="89">
        <v>45219</v>
      </c>
      <c r="B16" s="9" t="s">
        <v>6</v>
      </c>
      <c r="C16" s="76" t="s">
        <v>1590</v>
      </c>
      <c r="D16" s="11" t="s">
        <v>1697</v>
      </c>
      <c r="E16" s="2">
        <v>25820</v>
      </c>
      <c r="F16" s="31"/>
      <c r="G16" s="1"/>
      <c r="H16" s="130"/>
      <c r="I16" s="169"/>
      <c r="J16" s="169"/>
      <c r="K16" s="165"/>
    </row>
    <row r="17" spans="1:14" s="2" customFormat="1" ht="14.25" customHeight="1" x14ac:dyDescent="0.2">
      <c r="D17" s="11" t="s">
        <v>8</v>
      </c>
      <c r="E17" s="16">
        <f>SUM(E12:E16)</f>
        <v>450183.63</v>
      </c>
      <c r="F17" s="16">
        <f>SUM(F11:F16)</f>
        <v>27820243.949999996</v>
      </c>
      <c r="G17" s="1"/>
      <c r="H17" s="143"/>
      <c r="I17" s="130"/>
      <c r="J17" s="143"/>
      <c r="K17" s="143"/>
      <c r="L17" s="143"/>
      <c r="M17" s="143"/>
    </row>
    <row r="18" spans="1:14" s="2" customFormat="1" ht="14.25" customHeight="1" x14ac:dyDescent="0.4">
      <c r="A18" s="17"/>
      <c r="B18" s="18"/>
      <c r="C18" s="96" t="s">
        <v>9</v>
      </c>
      <c r="D18" s="20"/>
      <c r="E18" s="21">
        <f>+F17-E17</f>
        <v>27370060.319999997</v>
      </c>
      <c r="G18" s="1"/>
      <c r="I18" s="112"/>
      <c r="J18" s="153" t="s">
        <v>779</v>
      </c>
    </row>
    <row r="19" spans="1:14" s="2" customFormat="1" ht="14.25" customHeight="1" x14ac:dyDescent="0.2">
      <c r="A19" s="36"/>
      <c r="B19" s="28" t="s">
        <v>66</v>
      </c>
      <c r="C19" s="43" t="s">
        <v>1458</v>
      </c>
      <c r="D19" s="43"/>
      <c r="E19" s="12">
        <f>30000000+60000000</f>
        <v>90000000</v>
      </c>
      <c r="F19" s="22"/>
      <c r="G19" s="1"/>
      <c r="I19" s="40">
        <v>27370060.32</v>
      </c>
      <c r="J19" s="154">
        <f>I19-E18</f>
        <v>0</v>
      </c>
    </row>
    <row r="20" spans="1:14" s="2" customFormat="1" ht="14.25" customHeight="1" x14ac:dyDescent="0.25">
      <c r="A20" s="36"/>
      <c r="B20" s="28"/>
      <c r="C20" s="44" t="s">
        <v>1541</v>
      </c>
      <c r="D20" s="43"/>
      <c r="E20" s="7">
        <f>+E18+E19</f>
        <v>117370060.31999999</v>
      </c>
      <c r="F20" s="22"/>
      <c r="G20" s="1"/>
      <c r="H20" s="13" t="s">
        <v>1582</v>
      </c>
      <c r="I20" s="13" t="s">
        <v>1583</v>
      </c>
    </row>
    <row r="21" spans="1:14" s="2" customFormat="1" ht="14.25" customHeight="1" x14ac:dyDescent="0.25">
      <c r="A21" s="36"/>
      <c r="B21" s="28"/>
      <c r="C21" s="44" t="s">
        <v>1511</v>
      </c>
      <c r="D21" s="43"/>
      <c r="E21" s="38">
        <f>+I11</f>
        <v>2629939.6799999997</v>
      </c>
      <c r="F21" s="22"/>
      <c r="G21" s="1"/>
      <c r="H21" s="2">
        <v>6330206</v>
      </c>
      <c r="I21" s="2">
        <v>8771207.8499999996</v>
      </c>
      <c r="J21" s="176">
        <f>H21-I21</f>
        <v>-2441001.8499999996</v>
      </c>
    </row>
    <row r="22" spans="1:14" s="2" customFormat="1" ht="14.25" customHeight="1" x14ac:dyDescent="0.2">
      <c r="A22" s="24"/>
      <c r="B22" s="1"/>
      <c r="C22" s="14"/>
      <c r="D22" s="25"/>
      <c r="G22" s="1"/>
      <c r="I22" s="130"/>
      <c r="J22" s="130"/>
    </row>
    <row r="23" spans="1:14" s="2" customFormat="1" x14ac:dyDescent="0.2">
      <c r="A23" s="214" t="s">
        <v>10</v>
      </c>
      <c r="B23" s="214"/>
      <c r="C23" s="214"/>
      <c r="D23" s="214"/>
      <c r="E23" s="214"/>
      <c r="F23" s="214"/>
      <c r="G23" s="1"/>
      <c r="H23" s="159"/>
      <c r="I23" s="160">
        <f>225000000-75000000-50000000</f>
        <v>100000000</v>
      </c>
      <c r="J23" s="160" t="s">
        <v>1506</v>
      </c>
      <c r="K23" s="70"/>
    </row>
    <row r="24" spans="1:14" s="2" customFormat="1" x14ac:dyDescent="0.2">
      <c r="A24" s="26" t="s">
        <v>1</v>
      </c>
      <c r="B24" s="27" t="s">
        <v>2</v>
      </c>
      <c r="C24" s="5"/>
      <c r="D24" s="6" t="s">
        <v>3</v>
      </c>
      <c r="E24" s="7" t="s">
        <v>4</v>
      </c>
      <c r="F24" s="7" t="s">
        <v>5</v>
      </c>
      <c r="G24" s="1"/>
      <c r="H24" s="159"/>
      <c r="I24" s="160">
        <v>85910367.739999995</v>
      </c>
      <c r="J24" s="160" t="s">
        <v>1507</v>
      </c>
      <c r="K24" s="70" t="s">
        <v>1512</v>
      </c>
    </row>
    <row r="25" spans="1:14" s="2" customFormat="1" x14ac:dyDescent="0.2">
      <c r="A25" s="89">
        <v>45219</v>
      </c>
      <c r="B25" s="128" t="s">
        <v>11</v>
      </c>
      <c r="C25" s="29" t="s">
        <v>7</v>
      </c>
      <c r="D25" s="25"/>
      <c r="E25" s="31"/>
      <c r="F25" s="2">
        <v>74435737.850000083</v>
      </c>
      <c r="G25" s="23"/>
      <c r="H25" s="159" t="s">
        <v>1505</v>
      </c>
      <c r="I25" s="160">
        <f>+I23-I24</f>
        <v>14089632.260000005</v>
      </c>
      <c r="J25" s="160"/>
      <c r="K25" s="70"/>
    </row>
    <row r="26" spans="1:14" s="2" customFormat="1" x14ac:dyDescent="0.2">
      <c r="A26" s="89">
        <v>45219</v>
      </c>
      <c r="B26" s="128" t="s">
        <v>6</v>
      </c>
      <c r="C26" s="10" t="s">
        <v>257</v>
      </c>
      <c r="D26" s="11" t="s">
        <v>13</v>
      </c>
      <c r="E26" s="86">
        <v>728583.67</v>
      </c>
      <c r="F26" s="70"/>
      <c r="G26" s="1"/>
      <c r="N26" s="1"/>
    </row>
    <row r="27" spans="1:14" s="2" customFormat="1" x14ac:dyDescent="0.2">
      <c r="A27" s="89">
        <v>45219</v>
      </c>
      <c r="B27" s="128" t="s">
        <v>6</v>
      </c>
      <c r="C27" s="10" t="s">
        <v>761</v>
      </c>
      <c r="D27" s="11" t="s">
        <v>13</v>
      </c>
      <c r="E27" s="86">
        <v>2200439</v>
      </c>
      <c r="F27" s="70"/>
      <c r="G27" s="1"/>
      <c r="N27" s="1"/>
    </row>
    <row r="28" spans="1:14" s="2" customFormat="1" x14ac:dyDescent="0.2">
      <c r="A28" s="89">
        <v>45219</v>
      </c>
      <c r="B28" s="128" t="s">
        <v>6</v>
      </c>
      <c r="C28" s="10" t="s">
        <v>679</v>
      </c>
      <c r="D28" s="11" t="s">
        <v>13</v>
      </c>
      <c r="E28" s="86">
        <v>3255</v>
      </c>
      <c r="F28" s="70"/>
      <c r="G28" s="1"/>
      <c r="N28" s="1"/>
    </row>
    <row r="29" spans="1:14" s="2" customFormat="1" x14ac:dyDescent="0.2">
      <c r="A29" s="89">
        <v>45219</v>
      </c>
      <c r="B29" s="128" t="s">
        <v>6</v>
      </c>
      <c r="C29" s="10" t="s">
        <v>625</v>
      </c>
      <c r="D29" s="11" t="s">
        <v>13</v>
      </c>
      <c r="E29" s="86">
        <v>2714617</v>
      </c>
      <c r="F29" s="70"/>
      <c r="G29" s="1"/>
      <c r="N29" s="1"/>
    </row>
    <row r="30" spans="1:14" s="2" customFormat="1" x14ac:dyDescent="0.2">
      <c r="A30" s="89">
        <v>45219</v>
      </c>
      <c r="B30" s="128" t="s">
        <v>6</v>
      </c>
      <c r="C30" s="10" t="s">
        <v>366</v>
      </c>
      <c r="D30" s="11" t="s">
        <v>13</v>
      </c>
      <c r="E30" s="86">
        <v>5228028</v>
      </c>
      <c r="F30" s="70"/>
      <c r="G30" s="1"/>
      <c r="N30" s="1"/>
    </row>
    <row r="31" spans="1:14" s="2" customFormat="1" x14ac:dyDescent="0.2">
      <c r="A31" s="89">
        <v>45219</v>
      </c>
      <c r="B31" s="128" t="s">
        <v>6</v>
      </c>
      <c r="C31" s="10" t="s">
        <v>1627</v>
      </c>
      <c r="D31" s="11" t="s">
        <v>13</v>
      </c>
      <c r="E31" s="86">
        <v>6434155.4399999995</v>
      </c>
      <c r="F31" s="70"/>
      <c r="G31" s="1"/>
      <c r="N31" s="1"/>
    </row>
    <row r="32" spans="1:14" s="2" customFormat="1" x14ac:dyDescent="0.2">
      <c r="A32" s="89">
        <v>45219</v>
      </c>
      <c r="B32" s="128" t="s">
        <v>6</v>
      </c>
      <c r="C32" s="10" t="s">
        <v>1351</v>
      </c>
      <c r="D32" s="11" t="s">
        <v>13</v>
      </c>
      <c r="E32" s="86">
        <v>248723.89</v>
      </c>
      <c r="F32" s="70"/>
      <c r="G32" s="1"/>
      <c r="N32" s="1"/>
    </row>
    <row r="33" spans="1:14" s="2" customFormat="1" x14ac:dyDescent="0.2">
      <c r="A33" s="89">
        <v>45219</v>
      </c>
      <c r="B33" s="128" t="s">
        <v>6</v>
      </c>
      <c r="C33" s="10" t="s">
        <v>1667</v>
      </c>
      <c r="D33" s="11" t="s">
        <v>13</v>
      </c>
      <c r="E33" s="86">
        <v>85408.960000000006</v>
      </c>
      <c r="F33" s="70"/>
      <c r="G33" s="1"/>
      <c r="N33" s="1"/>
    </row>
    <row r="34" spans="1:14" s="2" customFormat="1" x14ac:dyDescent="0.2">
      <c r="A34" s="89">
        <v>45219</v>
      </c>
      <c r="B34" s="128" t="s">
        <v>6</v>
      </c>
      <c r="C34" s="10" t="s">
        <v>1138</v>
      </c>
      <c r="D34" s="11" t="s">
        <v>13</v>
      </c>
      <c r="E34" s="86">
        <v>601448</v>
      </c>
      <c r="F34" s="70"/>
      <c r="G34" s="1"/>
      <c r="N34" s="1"/>
    </row>
    <row r="35" spans="1:14" s="2" customFormat="1" x14ac:dyDescent="0.2">
      <c r="A35" s="89">
        <v>45219</v>
      </c>
      <c r="B35" s="128" t="s">
        <v>6</v>
      </c>
      <c r="C35" s="10" t="s">
        <v>381</v>
      </c>
      <c r="D35" s="11" t="s">
        <v>13</v>
      </c>
      <c r="E35" s="86">
        <v>28749</v>
      </c>
      <c r="F35" s="70"/>
      <c r="G35" s="1"/>
      <c r="N35" s="1"/>
    </row>
    <row r="36" spans="1:14" s="2" customFormat="1" x14ac:dyDescent="0.2">
      <c r="A36" s="89">
        <v>45219</v>
      </c>
      <c r="B36" s="128" t="s">
        <v>6</v>
      </c>
      <c r="C36" s="10" t="s">
        <v>1396</v>
      </c>
      <c r="D36" s="11" t="s">
        <v>13</v>
      </c>
      <c r="E36" s="86">
        <v>770901</v>
      </c>
      <c r="F36" s="70"/>
      <c r="G36" s="1"/>
      <c r="N36" s="1"/>
    </row>
    <row r="37" spans="1:14" s="2" customFormat="1" x14ac:dyDescent="0.2">
      <c r="A37" s="89">
        <v>45219</v>
      </c>
      <c r="B37" s="128" t="s">
        <v>6</v>
      </c>
      <c r="C37" s="10" t="s">
        <v>310</v>
      </c>
      <c r="D37" s="11" t="s">
        <v>13</v>
      </c>
      <c r="E37" s="86">
        <v>6510</v>
      </c>
      <c r="F37" s="70"/>
      <c r="G37" s="1"/>
      <c r="N37" s="1"/>
    </row>
    <row r="38" spans="1:14" s="2" customFormat="1" x14ac:dyDescent="0.2">
      <c r="A38" s="89">
        <v>45219</v>
      </c>
      <c r="B38" s="128" t="s">
        <v>6</v>
      </c>
      <c r="C38" s="10" t="s">
        <v>1549</v>
      </c>
      <c r="D38" s="11" t="s">
        <v>13</v>
      </c>
      <c r="E38" s="86">
        <v>216681</v>
      </c>
      <c r="F38" s="70"/>
      <c r="G38" s="1"/>
      <c r="N38" s="1"/>
    </row>
    <row r="39" spans="1:14" s="2" customFormat="1" x14ac:dyDescent="0.2">
      <c r="A39" s="89">
        <v>45219</v>
      </c>
      <c r="B39" s="128" t="s">
        <v>6</v>
      </c>
      <c r="C39" s="10" t="s">
        <v>358</v>
      </c>
      <c r="D39" s="11" t="s">
        <v>13</v>
      </c>
      <c r="E39" s="86">
        <v>111406</v>
      </c>
      <c r="F39" s="70"/>
      <c r="G39" s="1"/>
      <c r="N39" s="1"/>
    </row>
    <row r="40" spans="1:14" s="2" customFormat="1" x14ac:dyDescent="0.2">
      <c r="A40" s="89">
        <v>45219</v>
      </c>
      <c r="B40" s="128" t="s">
        <v>6</v>
      </c>
      <c r="C40" s="10" t="s">
        <v>788</v>
      </c>
      <c r="D40" s="11" t="s">
        <v>13</v>
      </c>
      <c r="E40" s="86">
        <v>405288</v>
      </c>
      <c r="F40" s="70"/>
      <c r="G40" s="1"/>
      <c r="N40" s="1"/>
    </row>
    <row r="41" spans="1:14" s="2" customFormat="1" x14ac:dyDescent="0.2">
      <c r="A41" s="89">
        <v>45219</v>
      </c>
      <c r="B41" s="128" t="s">
        <v>6</v>
      </c>
      <c r="C41" s="10" t="s">
        <v>819</v>
      </c>
      <c r="D41" s="11" t="s">
        <v>13</v>
      </c>
      <c r="E41" s="86">
        <v>312041</v>
      </c>
      <c r="F41" s="70"/>
      <c r="G41" s="1"/>
      <c r="N41" s="1"/>
    </row>
    <row r="42" spans="1:14" s="2" customFormat="1" x14ac:dyDescent="0.2">
      <c r="A42" s="89">
        <v>45219</v>
      </c>
      <c r="B42" s="128" t="s">
        <v>6</v>
      </c>
      <c r="C42" s="10" t="s">
        <v>106</v>
      </c>
      <c r="D42" s="11" t="s">
        <v>13</v>
      </c>
      <c r="E42" s="86">
        <v>1311</v>
      </c>
      <c r="F42" s="70"/>
      <c r="G42" s="1"/>
      <c r="N42" s="1"/>
    </row>
    <row r="43" spans="1:14" s="2" customFormat="1" x14ac:dyDescent="0.2">
      <c r="A43" s="89">
        <v>45219</v>
      </c>
      <c r="B43" s="128" t="s">
        <v>11</v>
      </c>
      <c r="C43" s="10" t="s">
        <v>64</v>
      </c>
      <c r="D43" s="11" t="s">
        <v>29</v>
      </c>
      <c r="E43" s="86"/>
      <c r="F43" s="70">
        <v>23600.32</v>
      </c>
      <c r="G43" s="1"/>
      <c r="N43" s="1"/>
    </row>
    <row r="44" spans="1:14" s="2" customFormat="1" x14ac:dyDescent="0.2">
      <c r="A44" s="89">
        <v>45219</v>
      </c>
      <c r="B44" s="128" t="s">
        <v>11</v>
      </c>
      <c r="C44" s="10" t="s">
        <v>199</v>
      </c>
      <c r="D44" s="11" t="s">
        <v>29</v>
      </c>
      <c r="E44" s="86"/>
      <c r="F44" s="70">
        <v>1377250</v>
      </c>
      <c r="G44" s="1"/>
      <c r="N44" s="1"/>
    </row>
    <row r="45" spans="1:14" s="2" customFormat="1" x14ac:dyDescent="0.2">
      <c r="A45" s="89">
        <v>45219</v>
      </c>
      <c r="B45" s="128" t="s">
        <v>11</v>
      </c>
      <c r="C45" s="10" t="s">
        <v>109</v>
      </c>
      <c r="D45" s="11" t="s">
        <v>29</v>
      </c>
      <c r="E45" s="86"/>
      <c r="F45" s="70">
        <v>1266776</v>
      </c>
      <c r="G45" s="1"/>
      <c r="N45" s="1"/>
    </row>
    <row r="46" spans="1:14" s="2" customFormat="1" x14ac:dyDescent="0.2">
      <c r="A46" s="89">
        <v>45219</v>
      </c>
      <c r="B46" s="128" t="s">
        <v>11</v>
      </c>
      <c r="C46" s="10" t="s">
        <v>1403</v>
      </c>
      <c r="D46" s="11" t="s">
        <v>29</v>
      </c>
      <c r="E46" s="86"/>
      <c r="F46" s="70">
        <v>4531058</v>
      </c>
      <c r="G46" s="1"/>
      <c r="N46" s="1"/>
    </row>
    <row r="47" spans="1:14" s="2" customFormat="1" x14ac:dyDescent="0.2">
      <c r="A47" s="89">
        <v>45219</v>
      </c>
      <c r="B47" s="128" t="s">
        <v>11</v>
      </c>
      <c r="C47" s="10" t="s">
        <v>1698</v>
      </c>
      <c r="D47" s="11" t="s">
        <v>29</v>
      </c>
      <c r="E47" s="86"/>
      <c r="F47" s="70">
        <v>630924</v>
      </c>
      <c r="G47" s="1"/>
      <c r="N47" s="1"/>
    </row>
    <row r="48" spans="1:14" s="2" customFormat="1" x14ac:dyDescent="0.2">
      <c r="A48" s="89">
        <v>45219</v>
      </c>
      <c r="B48" s="128" t="s">
        <v>11</v>
      </c>
      <c r="C48" s="10" t="s">
        <v>368</v>
      </c>
      <c r="D48" s="11" t="s">
        <v>29</v>
      </c>
      <c r="E48" s="86"/>
      <c r="F48" s="70">
        <v>2723538</v>
      </c>
      <c r="G48" s="1"/>
      <c r="N48" s="1"/>
    </row>
    <row r="49" spans="1:14" s="2" customFormat="1" x14ac:dyDescent="0.2">
      <c r="A49" s="89">
        <v>45219</v>
      </c>
      <c r="B49" s="128" t="s">
        <v>11</v>
      </c>
      <c r="C49" s="10" t="s">
        <v>1699</v>
      </c>
      <c r="D49" s="11" t="s">
        <v>29</v>
      </c>
      <c r="E49" s="86"/>
      <c r="F49" s="70">
        <v>638812</v>
      </c>
      <c r="G49" s="1"/>
      <c r="N49" s="1"/>
    </row>
    <row r="50" spans="1:14" s="2" customFormat="1" x14ac:dyDescent="0.2">
      <c r="A50" s="89">
        <v>45219</v>
      </c>
      <c r="B50" s="128" t="s">
        <v>11</v>
      </c>
      <c r="C50" s="10" t="s">
        <v>1700</v>
      </c>
      <c r="D50" s="11" t="s">
        <v>29</v>
      </c>
      <c r="E50" s="86"/>
      <c r="F50" s="70">
        <v>634925</v>
      </c>
      <c r="G50" s="1"/>
      <c r="N50" s="1"/>
    </row>
    <row r="51" spans="1:14" s="2" customFormat="1" x14ac:dyDescent="0.2">
      <c r="A51" s="89">
        <v>45219</v>
      </c>
      <c r="B51" s="128" t="s">
        <v>11</v>
      </c>
      <c r="C51" s="10" t="s">
        <v>1068</v>
      </c>
      <c r="D51" s="11" t="s">
        <v>29</v>
      </c>
      <c r="E51" s="86"/>
      <c r="F51" s="70">
        <v>56345</v>
      </c>
      <c r="G51" s="1"/>
      <c r="N51" s="1"/>
    </row>
    <row r="52" spans="1:14" s="2" customFormat="1" x14ac:dyDescent="0.2">
      <c r="A52" s="89">
        <v>45219</v>
      </c>
      <c r="B52" s="128" t="s">
        <v>11</v>
      </c>
      <c r="C52" s="10" t="s">
        <v>404</v>
      </c>
      <c r="D52" s="11" t="s">
        <v>29</v>
      </c>
      <c r="E52" s="86"/>
      <c r="F52" s="70">
        <v>794307</v>
      </c>
      <c r="G52" s="1"/>
      <c r="N52" s="1"/>
    </row>
    <row r="53" spans="1:14" s="2" customFormat="1" x14ac:dyDescent="0.2">
      <c r="A53" s="89">
        <v>45219</v>
      </c>
      <c r="B53" s="128" t="s">
        <v>11</v>
      </c>
      <c r="C53" s="10" t="s">
        <v>1639</v>
      </c>
      <c r="D53" s="11" t="s">
        <v>29</v>
      </c>
      <c r="E53" s="86"/>
      <c r="F53" s="70">
        <v>545045</v>
      </c>
      <c r="G53" s="1"/>
      <c r="N53" s="1"/>
    </row>
    <row r="54" spans="1:14" s="2" customFormat="1" x14ac:dyDescent="0.2">
      <c r="A54" s="89">
        <v>45219</v>
      </c>
      <c r="B54" s="128" t="s">
        <v>11</v>
      </c>
      <c r="C54" s="10" t="s">
        <v>107</v>
      </c>
      <c r="D54" s="11" t="s">
        <v>29</v>
      </c>
      <c r="E54" s="86"/>
      <c r="F54" s="70">
        <v>241926.88999999998</v>
      </c>
      <c r="G54" s="1"/>
      <c r="N54" s="1"/>
    </row>
    <row r="55" spans="1:14" s="2" customFormat="1" x14ac:dyDescent="0.2">
      <c r="A55" s="89">
        <v>45219</v>
      </c>
      <c r="B55" s="128" t="s">
        <v>11</v>
      </c>
      <c r="C55" s="10" t="s">
        <v>498</v>
      </c>
      <c r="D55" s="11" t="s">
        <v>29</v>
      </c>
      <c r="E55" s="86"/>
      <c r="F55" s="70">
        <v>321430.78000000003</v>
      </c>
      <c r="G55" s="1"/>
      <c r="N55" s="1"/>
    </row>
    <row r="56" spans="1:14" s="2" customFormat="1" x14ac:dyDescent="0.2">
      <c r="A56" s="89">
        <v>45219</v>
      </c>
      <c r="B56" s="128" t="s">
        <v>11</v>
      </c>
      <c r="C56" s="10" t="s">
        <v>285</v>
      </c>
      <c r="D56" s="11" t="s">
        <v>29</v>
      </c>
      <c r="E56" s="86"/>
      <c r="F56" s="70">
        <v>426571.86</v>
      </c>
      <c r="G56" s="1"/>
      <c r="N56" s="1"/>
    </row>
    <row r="57" spans="1:14" s="2" customFormat="1" x14ac:dyDescent="0.2">
      <c r="A57" s="89">
        <v>45219</v>
      </c>
      <c r="B57" s="128" t="s">
        <v>11</v>
      </c>
      <c r="C57" s="10" t="s">
        <v>95</v>
      </c>
      <c r="D57" s="11" t="s">
        <v>29</v>
      </c>
      <c r="E57" s="86"/>
      <c r="F57" s="70">
        <v>37125</v>
      </c>
      <c r="G57" s="1"/>
      <c r="N57" s="1"/>
    </row>
    <row r="58" spans="1:14" s="2" customFormat="1" x14ac:dyDescent="0.2">
      <c r="A58" s="89">
        <v>45219</v>
      </c>
      <c r="B58" s="128" t="s">
        <v>11</v>
      </c>
      <c r="C58" s="10" t="s">
        <v>1269</v>
      </c>
      <c r="D58" s="11" t="s">
        <v>29</v>
      </c>
      <c r="E58" s="86"/>
      <c r="F58" s="70">
        <v>400092</v>
      </c>
      <c r="G58" s="1"/>
      <c r="N58" s="1"/>
    </row>
    <row r="59" spans="1:14" s="2" customFormat="1" x14ac:dyDescent="0.2">
      <c r="A59" s="89">
        <v>45219</v>
      </c>
      <c r="B59" s="128" t="s">
        <v>11</v>
      </c>
      <c r="C59" s="10" t="s">
        <v>724</v>
      </c>
      <c r="D59" s="11" t="s">
        <v>29</v>
      </c>
      <c r="E59" s="86"/>
      <c r="F59" s="70">
        <v>27180</v>
      </c>
      <c r="G59" s="1"/>
      <c r="N59" s="1"/>
    </row>
    <row r="60" spans="1:14" s="2" customFormat="1" x14ac:dyDescent="0.2">
      <c r="A60" s="89">
        <v>45219</v>
      </c>
      <c r="B60" s="128" t="s">
        <v>11</v>
      </c>
      <c r="C60" s="10" t="s">
        <v>858</v>
      </c>
      <c r="D60" s="11" t="s">
        <v>29</v>
      </c>
      <c r="E60" s="86"/>
      <c r="F60" s="70">
        <v>27373</v>
      </c>
      <c r="G60" s="1"/>
      <c r="N60" s="1"/>
    </row>
    <row r="61" spans="1:14" s="2" customFormat="1" x14ac:dyDescent="0.2">
      <c r="A61" s="89">
        <v>45219</v>
      </c>
      <c r="B61" s="128" t="s">
        <v>11</v>
      </c>
      <c r="C61" s="10" t="s">
        <v>344</v>
      </c>
      <c r="D61" s="11" t="s">
        <v>29</v>
      </c>
      <c r="E61" s="86"/>
      <c r="F61" s="70">
        <v>1700</v>
      </c>
      <c r="G61" s="1"/>
      <c r="N61" s="1"/>
    </row>
    <row r="62" spans="1:14" s="2" customFormat="1" x14ac:dyDescent="0.2">
      <c r="A62" s="89">
        <v>45219</v>
      </c>
      <c r="B62" s="128" t="s">
        <v>11</v>
      </c>
      <c r="C62" s="10" t="s">
        <v>525</v>
      </c>
      <c r="D62" s="11" t="s">
        <v>29</v>
      </c>
      <c r="E62" s="86"/>
      <c r="F62" s="70">
        <v>1000000</v>
      </c>
      <c r="G62" s="1"/>
      <c r="N62" s="1"/>
    </row>
    <row r="63" spans="1:14" s="2" customFormat="1" x14ac:dyDescent="0.2">
      <c r="A63" s="89">
        <v>45219</v>
      </c>
      <c r="B63" s="128" t="s">
        <v>11</v>
      </c>
      <c r="C63" s="10" t="s">
        <v>799</v>
      </c>
      <c r="D63" s="11" t="s">
        <v>29</v>
      </c>
      <c r="E63" s="86"/>
      <c r="F63" s="70">
        <v>1402784</v>
      </c>
      <c r="G63" s="1"/>
      <c r="N63" s="1"/>
    </row>
    <row r="64" spans="1:14" s="2" customFormat="1" x14ac:dyDescent="0.2">
      <c r="A64" s="89">
        <v>45219</v>
      </c>
      <c r="B64" s="128" t="s">
        <v>11</v>
      </c>
      <c r="C64" s="10" t="s">
        <v>63</v>
      </c>
      <c r="D64" s="11" t="s">
        <v>29</v>
      </c>
      <c r="E64" s="86"/>
      <c r="F64" s="70">
        <v>1000000</v>
      </c>
      <c r="G64" s="1"/>
      <c r="N64" s="1"/>
    </row>
    <row r="65" spans="1:14" s="2" customFormat="1" x14ac:dyDescent="0.2">
      <c r="A65" s="89">
        <v>45219</v>
      </c>
      <c r="B65" s="128" t="s">
        <v>11</v>
      </c>
      <c r="C65" s="10" t="s">
        <v>57</v>
      </c>
      <c r="D65" s="11" t="s">
        <v>29</v>
      </c>
      <c r="E65" s="86"/>
      <c r="F65" s="70">
        <v>1500000</v>
      </c>
      <c r="G65" s="1"/>
      <c r="N65" s="1"/>
    </row>
    <row r="66" spans="1:14" s="2" customFormat="1" x14ac:dyDescent="0.2">
      <c r="A66" s="89">
        <v>45219</v>
      </c>
      <c r="B66" s="128" t="s">
        <v>11</v>
      </c>
      <c r="C66" s="10" t="s">
        <v>1363</v>
      </c>
      <c r="D66" s="11" t="s">
        <v>29</v>
      </c>
      <c r="E66" s="86"/>
      <c r="F66" s="70">
        <v>4376206</v>
      </c>
      <c r="G66" s="1"/>
      <c r="N66" s="1"/>
    </row>
    <row r="67" spans="1:14" s="2" customFormat="1" x14ac:dyDescent="0.2">
      <c r="A67" s="89">
        <v>45219</v>
      </c>
      <c r="B67" s="128" t="s">
        <v>11</v>
      </c>
      <c r="C67" s="10" t="s">
        <v>1701</v>
      </c>
      <c r="D67" s="11" t="s">
        <v>29</v>
      </c>
      <c r="E67" s="86"/>
      <c r="F67" s="70">
        <v>552103</v>
      </c>
      <c r="G67" s="1"/>
      <c r="N67" s="1"/>
    </row>
    <row r="68" spans="1:14" s="2" customFormat="1" x14ac:dyDescent="0.2">
      <c r="A68" s="89">
        <v>45219</v>
      </c>
      <c r="B68" s="128" t="s">
        <v>11</v>
      </c>
      <c r="C68" s="10" t="s">
        <v>1502</v>
      </c>
      <c r="D68" s="11" t="s">
        <v>29</v>
      </c>
      <c r="E68" s="86"/>
      <c r="F68" s="70">
        <v>84525</v>
      </c>
      <c r="G68" s="1"/>
      <c r="N68" s="1"/>
    </row>
    <row r="69" spans="1:14" s="2" customFormat="1" x14ac:dyDescent="0.2">
      <c r="A69" s="89">
        <v>45219</v>
      </c>
      <c r="B69" s="128" t="s">
        <v>11</v>
      </c>
      <c r="C69" s="10" t="s">
        <v>62</v>
      </c>
      <c r="D69" s="11" t="s">
        <v>29</v>
      </c>
      <c r="E69" s="86"/>
      <c r="F69" s="70">
        <v>30000</v>
      </c>
      <c r="G69" s="1"/>
      <c r="N69" s="1"/>
    </row>
    <row r="70" spans="1:14" s="2" customFormat="1" x14ac:dyDescent="0.2">
      <c r="A70" s="89">
        <v>45219</v>
      </c>
      <c r="B70" s="128" t="s">
        <v>11</v>
      </c>
      <c r="C70" s="10" t="s">
        <v>91</v>
      </c>
      <c r="D70" s="11" t="s">
        <v>29</v>
      </c>
      <c r="E70" s="86"/>
      <c r="F70" s="70">
        <v>217875</v>
      </c>
      <c r="G70" s="1"/>
      <c r="N70" s="1"/>
    </row>
    <row r="71" spans="1:14" s="2" customFormat="1" x14ac:dyDescent="0.2">
      <c r="A71" s="89">
        <v>45219</v>
      </c>
      <c r="B71" s="128" t="s">
        <v>11</v>
      </c>
      <c r="C71" s="10" t="s">
        <v>1590</v>
      </c>
      <c r="D71" s="11" t="s">
        <v>29</v>
      </c>
      <c r="E71" s="86"/>
      <c r="F71" s="70">
        <v>25820</v>
      </c>
      <c r="G71" s="1"/>
      <c r="N71" s="1"/>
    </row>
    <row r="72" spans="1:14" s="2" customFormat="1" x14ac:dyDescent="0.2">
      <c r="A72" s="89">
        <v>45219</v>
      </c>
      <c r="B72" s="128" t="s">
        <v>11</v>
      </c>
      <c r="C72" s="10" t="s">
        <v>680</v>
      </c>
      <c r="D72" s="11" t="s">
        <v>29</v>
      </c>
      <c r="E72" s="86"/>
      <c r="F72" s="70">
        <v>25208</v>
      </c>
      <c r="G72" s="1"/>
      <c r="N72" s="1"/>
    </row>
    <row r="73" spans="1:14" s="2" customFormat="1" x14ac:dyDescent="0.2">
      <c r="A73" s="89">
        <v>45219</v>
      </c>
      <c r="B73" s="128" t="s">
        <v>11</v>
      </c>
      <c r="C73" s="10" t="s">
        <v>32</v>
      </c>
      <c r="D73" s="11" t="s">
        <v>29</v>
      </c>
      <c r="E73" s="86"/>
      <c r="F73" s="70">
        <v>968903</v>
      </c>
      <c r="G73" s="1"/>
      <c r="N73" s="1"/>
    </row>
    <row r="74" spans="1:14" s="2" customFormat="1" x14ac:dyDescent="0.2">
      <c r="A74" s="89">
        <v>45219</v>
      </c>
      <c r="B74" s="128" t="s">
        <v>11</v>
      </c>
      <c r="C74" s="10" t="s">
        <v>33</v>
      </c>
      <c r="D74" s="11" t="s">
        <v>29</v>
      </c>
      <c r="E74" s="86"/>
      <c r="F74" s="70">
        <v>1854632</v>
      </c>
      <c r="G74" s="1"/>
      <c r="N74" s="1"/>
    </row>
    <row r="75" spans="1:14" s="2" customFormat="1" x14ac:dyDescent="0.2">
      <c r="A75" s="89">
        <v>45219</v>
      </c>
      <c r="B75" s="128" t="s">
        <v>11</v>
      </c>
      <c r="C75" s="10" t="s">
        <v>279</v>
      </c>
      <c r="D75" s="11" t="s">
        <v>29</v>
      </c>
      <c r="E75" s="86"/>
      <c r="F75" s="70">
        <v>3452892</v>
      </c>
      <c r="G75" s="1"/>
      <c r="N75" s="1"/>
    </row>
    <row r="76" spans="1:14" s="2" customFormat="1" x14ac:dyDescent="0.2">
      <c r="A76" s="89">
        <v>45219</v>
      </c>
      <c r="B76" s="128" t="s">
        <v>11</v>
      </c>
      <c r="C76" s="10" t="s">
        <v>412</v>
      </c>
      <c r="D76" s="11" t="s">
        <v>29</v>
      </c>
      <c r="E76" s="86"/>
      <c r="F76" s="70">
        <v>1579192</v>
      </c>
      <c r="G76" s="1"/>
      <c r="N76" s="1"/>
    </row>
    <row r="77" spans="1:14" s="2" customFormat="1" x14ac:dyDescent="0.2">
      <c r="A77" s="89">
        <v>45219</v>
      </c>
      <c r="B77" s="128" t="s">
        <v>11</v>
      </c>
      <c r="C77" s="10" t="s">
        <v>273</v>
      </c>
      <c r="D77" s="11" t="s">
        <v>29</v>
      </c>
      <c r="E77" s="86"/>
      <c r="F77" s="70">
        <v>39057.85</v>
      </c>
      <c r="G77" s="1"/>
      <c r="N77" s="1"/>
    </row>
    <row r="78" spans="1:14" s="2" customFormat="1" x14ac:dyDescent="0.2">
      <c r="A78" s="89">
        <v>45219</v>
      </c>
      <c r="B78" s="128" t="s">
        <v>11</v>
      </c>
      <c r="C78" s="10" t="s">
        <v>1670</v>
      </c>
      <c r="D78" s="11" t="s">
        <v>29</v>
      </c>
      <c r="E78" s="86"/>
      <c r="F78" s="70">
        <v>198000</v>
      </c>
      <c r="G78" s="1"/>
      <c r="N78" s="1"/>
    </row>
    <row r="79" spans="1:14" s="2" customFormat="1" x14ac:dyDescent="0.2">
      <c r="A79" s="89">
        <v>45219</v>
      </c>
      <c r="B79" s="128" t="s">
        <v>11</v>
      </c>
      <c r="C79" s="10" t="s">
        <v>1025</v>
      </c>
      <c r="D79" s="11" t="s">
        <v>29</v>
      </c>
      <c r="E79" s="86"/>
      <c r="F79" s="70">
        <v>1000000</v>
      </c>
      <c r="G79" s="1"/>
      <c r="N79" s="1"/>
    </row>
    <row r="80" spans="1:14" s="2" customFormat="1" x14ac:dyDescent="0.2">
      <c r="A80" s="32"/>
      <c r="B80" s="33"/>
      <c r="C80" s="14"/>
      <c r="D80" s="34"/>
      <c r="E80" s="16">
        <f>SUM(E25:E79)</f>
        <v>20097545.960000001</v>
      </c>
      <c r="F80" s="16">
        <f>SUM(F25:F79)</f>
        <v>108448915.55000007</v>
      </c>
      <c r="G80" s="1"/>
      <c r="H80" s="1"/>
      <c r="I80" s="38">
        <v>88351369.590000004</v>
      </c>
      <c r="J80" s="2" t="s">
        <v>396</v>
      </c>
      <c r="K80" s="92">
        <f>E81-I80</f>
        <v>0</v>
      </c>
      <c r="N80" s="1"/>
    </row>
    <row r="81" spans="1:14" s="2" customFormat="1" x14ac:dyDescent="0.2">
      <c r="A81" s="36"/>
      <c r="B81" s="28" t="s">
        <v>11</v>
      </c>
      <c r="C81" s="19" t="s">
        <v>65</v>
      </c>
      <c r="D81" s="37"/>
      <c r="E81" s="38">
        <f>F80-E80</f>
        <v>88351369.590000063</v>
      </c>
      <c r="F81" s="22"/>
      <c r="G81" s="1"/>
      <c r="H81" s="1"/>
      <c r="I81" s="70"/>
      <c r="J81" s="70"/>
      <c r="K81" s="70"/>
      <c r="N81" s="1"/>
    </row>
    <row r="82" spans="1:14" s="2" customFormat="1" x14ac:dyDescent="0.2">
      <c r="A82" s="36"/>
      <c r="B82" s="28" t="s">
        <v>66</v>
      </c>
      <c r="C82" s="19" t="s">
        <v>67</v>
      </c>
      <c r="D82" s="37"/>
      <c r="E82" s="38">
        <v>6500000</v>
      </c>
      <c r="F82" s="22"/>
      <c r="G82" s="1"/>
      <c r="H82" s="70"/>
      <c r="I82" s="70"/>
      <c r="J82" s="70"/>
      <c r="K82" s="70"/>
      <c r="N82" s="1"/>
    </row>
    <row r="83" spans="1:14" s="2" customFormat="1" x14ac:dyDescent="0.2">
      <c r="A83" s="36"/>
      <c r="B83" s="28" t="s">
        <v>66</v>
      </c>
      <c r="C83" s="43" t="s">
        <v>1457</v>
      </c>
      <c r="D83" s="43"/>
      <c r="E83" s="12">
        <f>275000000+75000000+50000000</f>
        <v>400000000</v>
      </c>
      <c r="F83" s="22"/>
      <c r="G83" s="1"/>
      <c r="H83" s="70"/>
      <c r="I83" s="45">
        <v>1819.95</v>
      </c>
      <c r="J83" s="46"/>
      <c r="K83" s="46"/>
      <c r="N83" s="1"/>
    </row>
    <row r="84" spans="1:14" s="2" customFormat="1" ht="15" x14ac:dyDescent="0.25">
      <c r="A84" s="36"/>
      <c r="B84" s="28"/>
      <c r="C84" s="44" t="s">
        <v>1541</v>
      </c>
      <c r="D84" s="43"/>
      <c r="E84" s="7">
        <f>+E83+E81+E82</f>
        <v>494851369.59000003</v>
      </c>
      <c r="F84" s="22"/>
      <c r="G84" s="1"/>
      <c r="H84" s="103" t="s">
        <v>69</v>
      </c>
      <c r="I84" s="45">
        <v>-193.6</v>
      </c>
      <c r="J84" s="46"/>
      <c r="K84" s="46"/>
      <c r="N84" s="1"/>
    </row>
    <row r="85" spans="1:14" s="2" customFormat="1" ht="15" x14ac:dyDescent="0.25">
      <c r="A85" s="24"/>
      <c r="B85" s="1"/>
      <c r="C85" s="44" t="s">
        <v>1510</v>
      </c>
      <c r="D85" s="25"/>
      <c r="E85" s="156">
        <f>+I25-E82+H21-I21</f>
        <v>5148630.4100000057</v>
      </c>
      <c r="G85" s="1"/>
      <c r="H85" s="35" t="s">
        <v>70</v>
      </c>
      <c r="I85" s="45">
        <v>66.13</v>
      </c>
      <c r="J85" s="46">
        <f>+I86-D88</f>
        <v>0</v>
      </c>
      <c r="N85" s="1"/>
    </row>
    <row r="86" spans="1:14" s="124" customFormat="1" ht="12.75" customHeight="1" x14ac:dyDescent="0.2">
      <c r="A86" s="24"/>
      <c r="B86" s="1"/>
      <c r="C86" s="56"/>
      <c r="D86" s="56"/>
      <c r="E86" s="104"/>
      <c r="F86" s="2"/>
      <c r="G86" s="166"/>
      <c r="H86" s="70"/>
      <c r="I86" s="49">
        <f>SUM(I83:I85)</f>
        <v>1692.48</v>
      </c>
      <c r="J86" s="46"/>
      <c r="K86" s="46"/>
    </row>
    <row r="87" spans="1:14" s="124" customFormat="1" ht="12.75" customHeight="1" x14ac:dyDescent="0.2">
      <c r="A87" s="24"/>
      <c r="B87" s="1"/>
      <c r="C87" s="78" t="s">
        <v>575</v>
      </c>
      <c r="D87" s="48" t="s">
        <v>576</v>
      </c>
      <c r="E87" s="104"/>
      <c r="F87" s="2"/>
      <c r="G87" s="168"/>
      <c r="H87" s="167"/>
      <c r="I87" s="167"/>
      <c r="J87" s="168"/>
    </row>
    <row r="88" spans="1:14" s="124" customFormat="1" ht="12.75" customHeight="1" x14ac:dyDescent="0.2">
      <c r="A88" s="24"/>
      <c r="B88" s="1"/>
      <c r="C88" s="47" t="s">
        <v>570</v>
      </c>
      <c r="D88" s="111">
        <v>1692.48</v>
      </c>
      <c r="E88" s="104"/>
      <c r="F88" s="2"/>
      <c r="G88" s="168"/>
      <c r="H88" s="110" t="s">
        <v>581</v>
      </c>
      <c r="I88" s="167"/>
      <c r="J88" s="168"/>
    </row>
    <row r="89" spans="1:14" s="124" customFormat="1" ht="12.75" customHeight="1" x14ac:dyDescent="0.2">
      <c r="A89" s="24"/>
      <c r="B89" s="1"/>
      <c r="C89" s="47" t="s">
        <v>931</v>
      </c>
      <c r="D89" s="111">
        <v>161.19999999999999</v>
      </c>
      <c r="E89" s="104"/>
      <c r="F89" s="2"/>
      <c r="G89" s="168"/>
      <c r="H89" s="110" t="s">
        <v>580</v>
      </c>
      <c r="I89" s="167"/>
      <c r="J89" s="168"/>
    </row>
    <row r="90" spans="1:14" s="124" customFormat="1" ht="12.75" customHeight="1" x14ac:dyDescent="0.2">
      <c r="A90" s="24"/>
      <c r="B90" s="1"/>
      <c r="C90" s="47" t="s">
        <v>572</v>
      </c>
      <c r="D90" s="111">
        <f>+D119/100000</f>
        <v>247.17913119999997</v>
      </c>
      <c r="E90" s="104"/>
      <c r="F90" s="2"/>
      <c r="G90" s="166"/>
      <c r="H90" s="90" t="s">
        <v>587</v>
      </c>
      <c r="I90" s="167"/>
      <c r="J90" s="168"/>
    </row>
    <row r="91" spans="1:14" s="2" customFormat="1" x14ac:dyDescent="0.2">
      <c r="A91" s="24"/>
      <c r="B91" s="1"/>
      <c r="C91" s="108" t="s">
        <v>578</v>
      </c>
      <c r="D91" s="48">
        <f>SUM(D88:D90)</f>
        <v>2100.8591311999999</v>
      </c>
      <c r="E91" s="104"/>
      <c r="G91" s="30"/>
      <c r="I91" s="13"/>
      <c r="J91" s="13"/>
    </row>
    <row r="92" spans="1:14" s="70" customFormat="1" x14ac:dyDescent="0.2">
      <c r="A92" s="24"/>
      <c r="B92" s="1"/>
      <c r="C92" s="47"/>
      <c r="D92" s="107"/>
      <c r="E92" s="104"/>
      <c r="F92" s="2"/>
      <c r="G92" s="30"/>
      <c r="H92" s="2"/>
    </row>
    <row r="93" spans="1:14" s="70" customFormat="1" x14ac:dyDescent="0.2">
      <c r="A93" s="24"/>
      <c r="B93" s="1"/>
      <c r="C93" s="47" t="s">
        <v>932</v>
      </c>
      <c r="D93" s="111">
        <v>91.19</v>
      </c>
      <c r="E93" s="104"/>
      <c r="F93" s="2"/>
      <c r="G93" s="30"/>
      <c r="H93" s="110" t="s">
        <v>581</v>
      </c>
    </row>
    <row r="94" spans="1:14" s="70" customFormat="1" x14ac:dyDescent="0.2">
      <c r="A94" s="24"/>
      <c r="B94" s="1"/>
      <c r="C94" s="136" t="s">
        <v>1142</v>
      </c>
      <c r="D94" s="111">
        <v>465.19</v>
      </c>
      <c r="E94" s="104"/>
      <c r="F94" s="2"/>
      <c r="G94" s="30"/>
      <c r="H94" s="110" t="s">
        <v>581</v>
      </c>
    </row>
    <row r="95" spans="1:14" s="70" customFormat="1" x14ac:dyDescent="0.2">
      <c r="A95" s="24"/>
      <c r="B95" s="1"/>
      <c r="C95" s="78" t="s">
        <v>579</v>
      </c>
      <c r="D95" s="109">
        <f>D93+D94</f>
        <v>556.38</v>
      </c>
      <c r="E95" s="104"/>
      <c r="F95" s="2"/>
      <c r="G95" s="30"/>
    </row>
    <row r="96" spans="1:14" s="70" customFormat="1" x14ac:dyDescent="0.2">
      <c r="A96" s="24"/>
      <c r="B96" s="1"/>
      <c r="C96" s="105"/>
      <c r="D96" s="106"/>
      <c r="E96" s="104"/>
      <c r="F96" s="2"/>
      <c r="G96" s="30"/>
      <c r="I96" s="2"/>
      <c r="J96" s="114" t="s">
        <v>713</v>
      </c>
      <c r="K96" s="2"/>
      <c r="L96" s="2"/>
      <c r="M96" s="2"/>
    </row>
    <row r="97" spans="1:14" s="70" customFormat="1" x14ac:dyDescent="0.2">
      <c r="A97" s="24"/>
      <c r="B97" s="1"/>
      <c r="C97" s="78" t="s">
        <v>577</v>
      </c>
      <c r="D97" s="109">
        <f>D88+D95</f>
        <v>2248.86</v>
      </c>
      <c r="E97" s="104"/>
      <c r="F97" s="2"/>
      <c r="G97" s="30"/>
      <c r="I97" s="113"/>
      <c r="J97" s="113" t="s">
        <v>709</v>
      </c>
      <c r="K97" s="113" t="s">
        <v>710</v>
      </c>
      <c r="L97" s="113" t="s">
        <v>711</v>
      </c>
      <c r="M97" s="113" t="s">
        <v>712</v>
      </c>
    </row>
    <row r="98" spans="1:14" s="70" customFormat="1" x14ac:dyDescent="0.2">
      <c r="A98" s="24"/>
      <c r="B98" s="1"/>
      <c r="C98" s="56"/>
      <c r="D98" s="56"/>
      <c r="E98" s="104"/>
      <c r="F98" s="2"/>
      <c r="G98" s="30"/>
      <c r="I98" s="113" t="s">
        <v>706</v>
      </c>
      <c r="J98" s="115"/>
      <c r="K98" s="115">
        <v>968.99</v>
      </c>
      <c r="L98" s="115">
        <v>968.99</v>
      </c>
      <c r="M98" s="113">
        <f>+J98+L98-K98</f>
        <v>0</v>
      </c>
    </row>
    <row r="99" spans="1:14" s="70" customFormat="1" ht="38.25" x14ac:dyDescent="0.2">
      <c r="A99" s="24"/>
      <c r="B99" s="1"/>
      <c r="C99" s="79" t="str">
        <f>"Particulars ( 01-04-2021 to "&amp;TEXT(A5,"dd-mm-yyyy")&amp;" )"</f>
        <v>Particulars ( 01-04-2021 to 20-10-2023 )</v>
      </c>
      <c r="D99" s="80" t="s">
        <v>73</v>
      </c>
      <c r="E99" s="80" t="s">
        <v>74</v>
      </c>
      <c r="F99" s="81" t="s">
        <v>75</v>
      </c>
      <c r="G99" s="80" t="s">
        <v>76</v>
      </c>
      <c r="I99" s="113" t="s">
        <v>707</v>
      </c>
      <c r="J99" s="115">
        <v>183.1</v>
      </c>
      <c r="K99" s="115">
        <v>3788.51</v>
      </c>
      <c r="L99" s="115">
        <v>4050.28</v>
      </c>
      <c r="M99" s="113">
        <f>+J99+L99-K99</f>
        <v>444.86999999999989</v>
      </c>
    </row>
    <row r="100" spans="1:14" s="70" customFormat="1" x14ac:dyDescent="0.2">
      <c r="A100" s="24"/>
      <c r="B100" s="1"/>
      <c r="C100" s="50" t="s">
        <v>444</v>
      </c>
      <c r="D100" s="55">
        <f>+L98+L99+J99</f>
        <v>5202.3700000000008</v>
      </c>
      <c r="E100" s="55">
        <f>+K98+K99</f>
        <v>4757.5</v>
      </c>
      <c r="F100" s="55">
        <f>+D100-E100</f>
        <v>444.8700000000008</v>
      </c>
      <c r="G100" s="55">
        <f>1500-F100</f>
        <v>1055.1299999999992</v>
      </c>
      <c r="I100" s="113" t="s">
        <v>708</v>
      </c>
      <c r="J100" s="115">
        <v>1371.02</v>
      </c>
      <c r="K100" s="115">
        <v>14687.44</v>
      </c>
      <c r="L100" s="115">
        <v>14257.51</v>
      </c>
      <c r="M100" s="113">
        <f>+J100+L100-K100</f>
        <v>941.09000000000015</v>
      </c>
    </row>
    <row r="101" spans="1:14" s="70" customFormat="1" ht="12.75" customHeight="1" x14ac:dyDescent="0.2">
      <c r="A101" s="24"/>
      <c r="B101" s="1"/>
      <c r="C101" s="50" t="s">
        <v>71</v>
      </c>
      <c r="D101" s="55">
        <f>+J100+L100</f>
        <v>15628.53</v>
      </c>
      <c r="E101" s="55">
        <f>+K100</f>
        <v>14687.44</v>
      </c>
      <c r="F101" s="55">
        <f>+D101-E101</f>
        <v>941.09000000000015</v>
      </c>
      <c r="G101" s="55">
        <f>1500+700-F101</f>
        <v>1258.9099999999999</v>
      </c>
      <c r="I101" s="2"/>
      <c r="J101" s="118">
        <f>SUM(J98:J100)</f>
        <v>1554.12</v>
      </c>
      <c r="K101" s="118">
        <f>SUM(K98:K100)</f>
        <v>19444.940000000002</v>
      </c>
      <c r="L101" s="118">
        <f>SUM(L98:L100)</f>
        <v>19276.78</v>
      </c>
      <c r="M101" s="118">
        <f>SUM(M98:M100)</f>
        <v>1385.96</v>
      </c>
    </row>
    <row r="102" spans="1:14" s="70" customFormat="1" ht="12.75" customHeight="1" x14ac:dyDescent="0.2">
      <c r="A102" s="24"/>
      <c r="B102" s="1"/>
      <c r="C102" s="14"/>
      <c r="D102" s="56"/>
      <c r="E102" s="13"/>
      <c r="F102" s="2"/>
      <c r="G102" s="30"/>
    </row>
    <row r="103" spans="1:14" s="70" customFormat="1" ht="12.75" customHeight="1" x14ac:dyDescent="0.2">
      <c r="A103" s="215" t="s">
        <v>80</v>
      </c>
      <c r="B103" s="216"/>
      <c r="C103" s="216"/>
      <c r="D103" s="217"/>
      <c r="E103" s="69"/>
      <c r="G103" s="30"/>
    </row>
    <row r="104" spans="1:14" s="70" customFormat="1" ht="12.75" customHeight="1" x14ac:dyDescent="0.2">
      <c r="A104" s="71" t="s">
        <v>81</v>
      </c>
      <c r="B104" s="71"/>
      <c r="C104" s="72" t="s">
        <v>82</v>
      </c>
      <c r="D104" s="73" t="s">
        <v>83</v>
      </c>
      <c r="E104" s="69"/>
      <c r="G104" s="30"/>
    </row>
    <row r="105" spans="1:14" s="70" customFormat="1" ht="12.75" customHeight="1" x14ac:dyDescent="0.2">
      <c r="A105" s="87">
        <v>45203</v>
      </c>
      <c r="B105" s="120" t="s">
        <v>1052</v>
      </c>
      <c r="C105" s="75" t="s">
        <v>18</v>
      </c>
      <c r="D105" s="88">
        <v>193358.43</v>
      </c>
      <c r="E105" s="2"/>
      <c r="F105" s="2"/>
      <c r="G105" s="30"/>
      <c r="H105" s="2"/>
      <c r="I105" s="2"/>
      <c r="J105" s="2"/>
      <c r="K105" s="2"/>
      <c r="L105" s="41"/>
      <c r="M105" s="42"/>
      <c r="N105" s="2"/>
    </row>
    <row r="106" spans="1:14" s="70" customFormat="1" ht="12.75" customHeight="1" x14ac:dyDescent="0.2">
      <c r="A106" s="87">
        <v>45203</v>
      </c>
      <c r="B106" s="120" t="s">
        <v>1052</v>
      </c>
      <c r="C106" s="75" t="s">
        <v>270</v>
      </c>
      <c r="D106" s="88">
        <v>254277</v>
      </c>
      <c r="E106" s="2"/>
      <c r="F106" s="2"/>
      <c r="G106" s="30"/>
      <c r="H106" s="2"/>
      <c r="I106" s="2"/>
      <c r="J106" s="2"/>
      <c r="K106" s="2"/>
      <c r="L106" s="41"/>
      <c r="M106" s="42"/>
      <c r="N106" s="2"/>
    </row>
    <row r="107" spans="1:14" s="70" customFormat="1" ht="12.75" customHeight="1" x14ac:dyDescent="0.2">
      <c r="A107" s="87">
        <v>45204</v>
      </c>
      <c r="B107" s="120" t="s">
        <v>1052</v>
      </c>
      <c r="C107" s="75" t="s">
        <v>85</v>
      </c>
      <c r="D107" s="88">
        <v>765297</v>
      </c>
      <c r="E107" s="2"/>
      <c r="F107" s="2"/>
      <c r="G107" s="30"/>
      <c r="H107" s="2"/>
      <c r="I107" s="2"/>
      <c r="J107" s="2"/>
      <c r="K107" s="2"/>
      <c r="L107" s="41"/>
      <c r="M107" s="42"/>
      <c r="N107" s="2"/>
    </row>
    <row r="108" spans="1:14" s="70" customFormat="1" ht="12.75" customHeight="1" x14ac:dyDescent="0.2">
      <c r="A108" s="87">
        <v>45209</v>
      </c>
      <c r="B108" s="120" t="s">
        <v>1052</v>
      </c>
      <c r="C108" s="75" t="s">
        <v>606</v>
      </c>
      <c r="D108" s="88">
        <v>2261658</v>
      </c>
      <c r="E108" s="2"/>
      <c r="F108" s="2"/>
      <c r="G108" s="30"/>
      <c r="H108" s="2"/>
      <c r="I108" s="2"/>
      <c r="J108" s="2"/>
      <c r="K108" s="2"/>
      <c r="L108" s="41"/>
      <c r="M108" s="42"/>
      <c r="N108" s="2"/>
    </row>
    <row r="109" spans="1:14" s="70" customFormat="1" ht="12.75" customHeight="1" x14ac:dyDescent="0.2">
      <c r="A109" s="87">
        <v>45211</v>
      </c>
      <c r="B109" s="120" t="s">
        <v>1052</v>
      </c>
      <c r="C109" s="75" t="s">
        <v>18</v>
      </c>
      <c r="D109" s="88">
        <v>35919</v>
      </c>
      <c r="E109" s="2"/>
      <c r="F109" s="2"/>
      <c r="G109" s="30"/>
      <c r="H109" s="2"/>
      <c r="I109" s="2"/>
      <c r="J109" s="2"/>
      <c r="K109" s="2"/>
      <c r="L109" s="41"/>
      <c r="M109" s="42"/>
      <c r="N109" s="2"/>
    </row>
    <row r="110" spans="1:14" s="70" customFormat="1" ht="12.75" customHeight="1" x14ac:dyDescent="0.2">
      <c r="A110" s="87">
        <v>45211</v>
      </c>
      <c r="B110" s="120" t="s">
        <v>1052</v>
      </c>
      <c r="C110" s="75" t="s">
        <v>84</v>
      </c>
      <c r="D110" s="88">
        <v>856347</v>
      </c>
      <c r="E110" s="2"/>
      <c r="F110" s="2"/>
      <c r="G110" s="30"/>
      <c r="H110" s="2"/>
      <c r="I110" s="2"/>
      <c r="J110" s="2"/>
      <c r="K110" s="2"/>
      <c r="L110" s="41"/>
      <c r="M110" s="42"/>
      <c r="N110" s="2"/>
    </row>
    <row r="111" spans="1:14" s="70" customFormat="1" ht="12.75" customHeight="1" x14ac:dyDescent="0.2">
      <c r="A111" s="87">
        <v>45212</v>
      </c>
      <c r="B111" s="120" t="s">
        <v>1052</v>
      </c>
      <c r="C111" s="75" t="s">
        <v>201</v>
      </c>
      <c r="D111" s="88">
        <v>1600267.2</v>
      </c>
      <c r="E111" s="2"/>
      <c r="F111" s="2"/>
      <c r="G111" s="30"/>
      <c r="H111" s="2"/>
      <c r="I111" s="2"/>
      <c r="J111" s="2"/>
      <c r="K111" s="2"/>
      <c r="L111" s="41"/>
      <c r="M111" s="42"/>
      <c r="N111" s="2"/>
    </row>
    <row r="112" spans="1:14" s="70" customFormat="1" ht="12.75" customHeight="1" x14ac:dyDescent="0.2">
      <c r="A112" s="87">
        <v>45215</v>
      </c>
      <c r="B112" s="120" t="s">
        <v>1052</v>
      </c>
      <c r="C112" s="75" t="s">
        <v>1683</v>
      </c>
      <c r="D112" s="88">
        <v>6496492</v>
      </c>
      <c r="E112" s="2"/>
      <c r="F112" s="2"/>
      <c r="G112" s="30"/>
      <c r="H112" s="2"/>
      <c r="I112" s="2"/>
      <c r="J112" s="2"/>
      <c r="K112" s="2"/>
      <c r="L112" s="41"/>
      <c r="M112" s="42"/>
      <c r="N112" s="2"/>
    </row>
    <row r="113" spans="1:14" s="70" customFormat="1" ht="12.75" customHeight="1" x14ac:dyDescent="0.2">
      <c r="A113" s="87">
        <v>45217</v>
      </c>
      <c r="B113" s="120" t="s">
        <v>1052</v>
      </c>
      <c r="C113" s="75" t="s">
        <v>1084</v>
      </c>
      <c r="D113" s="88">
        <v>1789287</v>
      </c>
      <c r="E113" s="2"/>
      <c r="F113" s="2"/>
      <c r="G113" s="30"/>
      <c r="H113" s="2"/>
      <c r="I113" s="2"/>
      <c r="J113" s="2"/>
      <c r="K113" s="2"/>
      <c r="L113" s="41"/>
      <c r="M113" s="42"/>
      <c r="N113" s="2"/>
    </row>
    <row r="114" spans="1:14" s="70" customFormat="1" ht="12.75" customHeight="1" x14ac:dyDescent="0.2">
      <c r="A114" s="87">
        <v>45218</v>
      </c>
      <c r="B114" s="120" t="s">
        <v>1052</v>
      </c>
      <c r="C114" s="75" t="s">
        <v>606</v>
      </c>
      <c r="D114" s="88">
        <v>189973.92</v>
      </c>
      <c r="E114" s="2"/>
      <c r="F114" s="2"/>
      <c r="G114" s="30"/>
      <c r="H114" s="2"/>
      <c r="I114" s="2"/>
      <c r="J114" s="2"/>
      <c r="K114" s="2"/>
      <c r="L114" s="41"/>
      <c r="M114" s="42"/>
      <c r="N114" s="2"/>
    </row>
    <row r="115" spans="1:14" s="70" customFormat="1" ht="12.75" customHeight="1" x14ac:dyDescent="0.2">
      <c r="A115" s="87">
        <v>45218</v>
      </c>
      <c r="B115" s="120" t="s">
        <v>1052</v>
      </c>
      <c r="C115" s="75" t="s">
        <v>18</v>
      </c>
      <c r="D115" s="88">
        <v>734545</v>
      </c>
      <c r="E115" s="2"/>
      <c r="F115" s="2"/>
      <c r="G115" s="30"/>
      <c r="H115" s="2"/>
      <c r="I115" s="2"/>
      <c r="J115" s="2"/>
      <c r="K115" s="2"/>
      <c r="L115" s="41"/>
      <c r="M115" s="42"/>
      <c r="N115" s="2"/>
    </row>
    <row r="116" spans="1:14" s="70" customFormat="1" ht="12.75" customHeight="1" x14ac:dyDescent="0.2">
      <c r="A116" s="87">
        <v>45219</v>
      </c>
      <c r="B116" s="120" t="s">
        <v>1052</v>
      </c>
      <c r="C116" s="75" t="s">
        <v>270</v>
      </c>
      <c r="D116" s="88">
        <v>302951</v>
      </c>
      <c r="E116" s="2"/>
      <c r="F116" s="2"/>
      <c r="G116" s="30"/>
      <c r="H116" s="2"/>
      <c r="I116" s="2"/>
      <c r="J116" s="2"/>
      <c r="K116" s="2"/>
      <c r="L116" s="41"/>
      <c r="M116" s="42"/>
      <c r="N116" s="2"/>
    </row>
    <row r="117" spans="1:14" s="70" customFormat="1" ht="12.75" customHeight="1" x14ac:dyDescent="0.2">
      <c r="A117" s="87">
        <v>45219</v>
      </c>
      <c r="B117" s="120" t="s">
        <v>1052</v>
      </c>
      <c r="C117" s="75" t="s">
        <v>270</v>
      </c>
      <c r="D117" s="88">
        <v>6923</v>
      </c>
      <c r="E117" s="2"/>
      <c r="F117" s="2"/>
      <c r="G117" s="30"/>
      <c r="H117" s="2"/>
      <c r="I117" s="2"/>
      <c r="J117" s="2"/>
      <c r="K117" s="2"/>
      <c r="L117" s="41"/>
      <c r="M117" s="42"/>
      <c r="N117" s="2"/>
    </row>
    <row r="118" spans="1:14" s="70" customFormat="1" ht="12.75" customHeight="1" x14ac:dyDescent="0.2">
      <c r="A118" s="87">
        <v>45219</v>
      </c>
      <c r="B118" s="120" t="s">
        <v>1052</v>
      </c>
      <c r="C118" s="75" t="s">
        <v>88</v>
      </c>
      <c r="D118" s="88">
        <v>9230617.5700000003</v>
      </c>
      <c r="E118" s="2"/>
      <c r="F118" s="2"/>
      <c r="G118" s="30"/>
      <c r="H118" s="2"/>
      <c r="I118" s="2"/>
      <c r="J118" s="2"/>
      <c r="K118" s="2"/>
      <c r="L118" s="41"/>
      <c r="M118" s="42"/>
      <c r="N118" s="2"/>
    </row>
    <row r="119" spans="1:14" s="2" customFormat="1" x14ac:dyDescent="0.2">
      <c r="A119" s="87"/>
      <c r="B119" s="74"/>
      <c r="C119" s="75"/>
      <c r="D119" s="51">
        <f>SUM(D105:D118)</f>
        <v>24717913.119999997</v>
      </c>
      <c r="F119" s="2" t="s">
        <v>396</v>
      </c>
      <c r="G119" s="1"/>
    </row>
    <row r="120" spans="1:14" s="2" customFormat="1" x14ac:dyDescent="0.2">
      <c r="A120" s="24"/>
      <c r="B120" s="1"/>
      <c r="C120" s="14"/>
      <c r="D120" s="56"/>
      <c r="E120" s="13"/>
      <c r="G120" s="1"/>
    </row>
    <row r="121" spans="1:14" s="2" customFormat="1" x14ac:dyDescent="0.2">
      <c r="A121" s="24"/>
      <c r="B121" s="1"/>
      <c r="C121" s="218" t="s">
        <v>77</v>
      </c>
      <c r="D121" s="219"/>
      <c r="E121" s="219"/>
      <c r="F121" s="220"/>
      <c r="H121" s="2" t="s">
        <v>396</v>
      </c>
    </row>
    <row r="122" spans="1:14" s="2" customFormat="1" x14ac:dyDescent="0.2">
      <c r="A122" s="24"/>
      <c r="B122" s="1"/>
      <c r="C122" s="50"/>
      <c r="D122" s="57" t="s">
        <v>78</v>
      </c>
      <c r="E122" s="58" t="s">
        <v>79</v>
      </c>
      <c r="F122" s="57" t="s">
        <v>72</v>
      </c>
      <c r="H122" s="2" t="s">
        <v>396</v>
      </c>
    </row>
    <row r="123" spans="1:14" s="2" customFormat="1" x14ac:dyDescent="0.2">
      <c r="A123" s="24"/>
      <c r="B123" s="1"/>
      <c r="C123" s="59" t="str">
        <f>"01-10-2023 to "&amp;TEXT(A5-2,"dd-mm-yyyy")</f>
        <v>01-10-2023 to 18-10-2023</v>
      </c>
      <c r="D123" s="60">
        <v>1423.82</v>
      </c>
      <c r="E123" s="60">
        <v>308.56</v>
      </c>
      <c r="F123" s="61">
        <f>SUM(D123:E123)</f>
        <v>1732.3799999999999</v>
      </c>
    </row>
    <row r="124" spans="1:14" s="2" customFormat="1" x14ac:dyDescent="0.2">
      <c r="A124" s="24"/>
      <c r="B124" s="1"/>
      <c r="C124" s="62" t="str">
        <f>TEXT(A5-1,"dd-mm-yyyy")</f>
        <v>19-10-2023</v>
      </c>
      <c r="D124" s="60">
        <v>134.5</v>
      </c>
      <c r="E124" s="60">
        <v>14.32</v>
      </c>
      <c r="F124" s="61">
        <f>SUM(D124:E124)</f>
        <v>148.82</v>
      </c>
      <c r="G124" s="1"/>
      <c r="H124" s="53"/>
    </row>
    <row r="125" spans="1:14" s="2" customFormat="1" ht="13.5" thickBot="1" x14ac:dyDescent="0.25">
      <c r="A125" s="24"/>
      <c r="B125" s="1"/>
      <c r="C125" s="63" t="str">
        <f>"01-10-2023 to "&amp;TEXT(A5-1,"dd-mm-yyyy")</f>
        <v>01-10-2023 to 19-10-2023</v>
      </c>
      <c r="D125" s="64">
        <f>SUM(D123:D124)</f>
        <v>1558.32</v>
      </c>
      <c r="E125" s="64">
        <f>SUM(E123:E124)</f>
        <v>322.88</v>
      </c>
      <c r="F125" s="64">
        <f>SUM(F123:F124)</f>
        <v>1881.1999999999998</v>
      </c>
      <c r="G125" s="1"/>
      <c r="H125" s="53"/>
    </row>
    <row r="126" spans="1:14" s="2" customFormat="1" ht="13.5" thickTop="1" x14ac:dyDescent="0.2">
      <c r="A126" s="24"/>
      <c r="B126" s="1"/>
      <c r="C126" s="62"/>
      <c r="D126" s="65"/>
      <c r="E126" s="66"/>
      <c r="F126" s="67"/>
      <c r="L126" s="1"/>
      <c r="M126" s="1"/>
    </row>
    <row r="127" spans="1:14" s="2" customFormat="1" x14ac:dyDescent="0.2">
      <c r="A127" s="24"/>
      <c r="B127" s="1"/>
      <c r="C127" s="62" t="str">
        <f>"01-04-2023 to " &amp;C124</f>
        <v>01-04-2023 to 19-10-2023</v>
      </c>
      <c r="D127" s="68">
        <f>+D125+27003.42</f>
        <v>28561.739999999998</v>
      </c>
      <c r="E127" s="68">
        <f>+E125+2028.43</f>
        <v>2351.31</v>
      </c>
      <c r="F127" s="68">
        <f>+F125+29031.85</f>
        <v>30913.05</v>
      </c>
      <c r="G127" s="1"/>
      <c r="L127" s="1"/>
      <c r="M127" s="1"/>
    </row>
    <row r="128" spans="1:14" s="2" customFormat="1" x14ac:dyDescent="0.2">
      <c r="A128" s="24"/>
      <c r="B128" s="1"/>
      <c r="C128" s="52"/>
      <c r="D128" s="85"/>
      <c r="E128" s="53"/>
      <c r="F128" s="53"/>
      <c r="G128" s="1"/>
      <c r="L128" s="1"/>
      <c r="M128" s="1"/>
    </row>
    <row r="129" spans="1:13" s="2" customFormat="1" x14ac:dyDescent="0.2">
      <c r="A129" s="24"/>
      <c r="B129" s="1"/>
      <c r="C129" s="52"/>
      <c r="D129" s="85"/>
      <c r="E129" s="53"/>
      <c r="F129" s="53"/>
      <c r="G129" s="1"/>
      <c r="L129" s="1"/>
      <c r="M129" s="1"/>
    </row>
    <row r="130" spans="1:13" s="2" customFormat="1" x14ac:dyDescent="0.2">
      <c r="A130" s="24"/>
      <c r="B130" s="1"/>
      <c r="C130" s="52"/>
      <c r="D130" s="85"/>
      <c r="E130" s="53"/>
      <c r="F130" s="53"/>
      <c r="G130" s="1"/>
      <c r="L130" s="1"/>
      <c r="M130" s="1"/>
    </row>
    <row r="131" spans="1:13" s="2" customFormat="1" x14ac:dyDescent="0.2">
      <c r="A131" s="24"/>
      <c r="B131" s="1"/>
      <c r="C131" s="52"/>
      <c r="D131" s="85"/>
      <c r="E131" s="53"/>
      <c r="F131" s="53"/>
      <c r="G131" s="1"/>
      <c r="L131" s="1"/>
      <c r="M131" s="1"/>
    </row>
    <row r="132" spans="1:13" s="2" customFormat="1" x14ac:dyDescent="0.2">
      <c r="A132" s="24"/>
      <c r="B132" s="1"/>
      <c r="C132" s="14"/>
      <c r="D132" s="25"/>
      <c r="G132" s="1"/>
      <c r="L132" s="1"/>
      <c r="M132" s="1"/>
    </row>
    <row r="133" spans="1:13" s="2" customFormat="1" x14ac:dyDescent="0.2">
      <c r="A133" s="24"/>
      <c r="B133" s="1"/>
      <c r="C133" s="14"/>
      <c r="D133" s="25"/>
      <c r="G133" s="1"/>
      <c r="L133" s="1"/>
      <c r="M133" s="1"/>
    </row>
    <row r="134" spans="1:13" s="2" customFormat="1" x14ac:dyDescent="0.2">
      <c r="A134" s="24"/>
      <c r="B134" s="1"/>
      <c r="C134" s="14"/>
      <c r="D134" s="25"/>
      <c r="G134" s="1"/>
      <c r="L134" s="1"/>
      <c r="M134" s="1"/>
    </row>
    <row r="135" spans="1:13" s="2" customFormat="1" x14ac:dyDescent="0.2">
      <c r="A135" s="24"/>
      <c r="B135" s="1"/>
      <c r="C135" s="14"/>
      <c r="D135" s="25"/>
      <c r="G135" s="1"/>
      <c r="L135" s="1"/>
      <c r="M135" s="1"/>
    </row>
    <row r="136" spans="1:13" s="2" customFormat="1" x14ac:dyDescent="0.2">
      <c r="A136" s="24"/>
      <c r="B136" s="1"/>
      <c r="C136" s="14"/>
      <c r="D136" s="25"/>
      <c r="G136" s="1"/>
      <c r="L136" s="1"/>
      <c r="M136" s="1"/>
    </row>
    <row r="137" spans="1:13" s="2" customFormat="1" x14ac:dyDescent="0.2">
      <c r="A137" s="24"/>
      <c r="B137" s="1"/>
      <c r="C137" s="14"/>
      <c r="D137" s="25"/>
      <c r="G137" s="1"/>
      <c r="L137" s="1"/>
      <c r="M137" s="1"/>
    </row>
    <row r="138" spans="1:13" s="2" customFormat="1" x14ac:dyDescent="0.2">
      <c r="A138" s="24"/>
      <c r="B138" s="1"/>
      <c r="C138" s="14"/>
      <c r="D138" s="25"/>
      <c r="G138" s="1"/>
      <c r="L138" s="1"/>
      <c r="M138" s="1"/>
    </row>
    <row r="139" spans="1:13" s="2" customFormat="1" x14ac:dyDescent="0.2">
      <c r="A139" s="24"/>
      <c r="B139" s="1"/>
      <c r="C139" s="14"/>
      <c r="D139" s="25"/>
      <c r="G139" s="1"/>
      <c r="L139" s="1"/>
      <c r="M139" s="1"/>
    </row>
    <row r="140" spans="1:13" s="2" customFormat="1" x14ac:dyDescent="0.2">
      <c r="A140" s="24"/>
      <c r="B140" s="1"/>
      <c r="C140" s="14"/>
      <c r="D140" s="25"/>
      <c r="G140" s="1"/>
      <c r="L140" s="1"/>
      <c r="M140" s="1"/>
    </row>
    <row r="141" spans="1:13" s="2" customFormat="1" x14ac:dyDescent="0.2">
      <c r="A141" s="24"/>
      <c r="B141" s="1"/>
      <c r="C141" s="14"/>
      <c r="D141" s="25"/>
      <c r="G141" s="1"/>
      <c r="L141" s="1"/>
      <c r="M141" s="1"/>
    </row>
    <row r="142" spans="1:13" s="2" customFormat="1" x14ac:dyDescent="0.2">
      <c r="A142" s="24"/>
      <c r="B142" s="1"/>
      <c r="C142" s="14"/>
      <c r="D142" s="25"/>
      <c r="G142" s="1"/>
      <c r="L142" s="1"/>
      <c r="M142" s="1"/>
    </row>
    <row r="143" spans="1:13" s="2" customFormat="1" x14ac:dyDescent="0.2">
      <c r="A143" s="24"/>
      <c r="B143" s="1"/>
      <c r="C143" s="14"/>
      <c r="D143" s="25"/>
      <c r="G143" s="1"/>
      <c r="L143" s="1"/>
      <c r="M143" s="1"/>
    </row>
    <row r="144" spans="1:13" s="2" customFormat="1" x14ac:dyDescent="0.2">
      <c r="A144" s="24"/>
      <c r="B144" s="1"/>
      <c r="C144" s="14"/>
      <c r="D144" s="25"/>
      <c r="G144" s="1"/>
      <c r="L144" s="1"/>
      <c r="M144" s="1"/>
    </row>
    <row r="145" spans="1:14" s="2" customFormat="1" x14ac:dyDescent="0.2">
      <c r="A145" s="24"/>
      <c r="B145" s="1"/>
      <c r="C145" s="14"/>
      <c r="D145" s="25"/>
      <c r="G145" s="1"/>
      <c r="L145" s="1"/>
      <c r="M145" s="1"/>
    </row>
    <row r="146" spans="1:14" s="2" customFormat="1" x14ac:dyDescent="0.2">
      <c r="A146" s="24"/>
      <c r="B146" s="1"/>
      <c r="C146" s="14"/>
      <c r="D146" s="25"/>
      <c r="G146" s="1"/>
      <c r="I146" s="1"/>
      <c r="J146" s="1"/>
      <c r="K146" s="1"/>
      <c r="L146" s="1"/>
      <c r="M146" s="1"/>
    </row>
    <row r="147" spans="1:14" s="2" customFormat="1" x14ac:dyDescent="0.2">
      <c r="A147" s="24"/>
      <c r="B147" s="1"/>
      <c r="C147" s="14"/>
      <c r="D147" s="25"/>
      <c r="G147" s="1"/>
    </row>
    <row r="148" spans="1:14" s="2" customFormat="1" x14ac:dyDescent="0.2">
      <c r="A148" s="24"/>
      <c r="B148" s="1"/>
      <c r="C148" s="14"/>
      <c r="D148" s="25"/>
      <c r="G148" s="1"/>
      <c r="I148" s="1"/>
      <c r="J148" s="1"/>
      <c r="K148" s="1"/>
      <c r="L148" s="1"/>
      <c r="M148" s="1"/>
    </row>
    <row r="149" spans="1:14" s="2" customFormat="1" x14ac:dyDescent="0.2">
      <c r="A149" s="24"/>
      <c r="B149" s="1"/>
      <c r="C149" s="14"/>
      <c r="D149" s="25"/>
      <c r="G149" s="54"/>
      <c r="I149" s="1"/>
      <c r="J149" s="1"/>
      <c r="K149" s="1"/>
      <c r="L149" s="1"/>
      <c r="M149" s="1"/>
    </row>
    <row r="150" spans="1:14" s="2" customFormat="1" x14ac:dyDescent="0.2">
      <c r="A150" s="24"/>
      <c r="B150" s="1"/>
      <c r="C150" s="14"/>
      <c r="D150" s="25"/>
      <c r="G150" s="54"/>
      <c r="I150" s="1"/>
      <c r="J150" s="1"/>
      <c r="K150" s="1"/>
      <c r="L150" s="1"/>
      <c r="M150" s="1"/>
    </row>
    <row r="151" spans="1:14" s="2" customFormat="1" x14ac:dyDescent="0.2">
      <c r="A151" s="24"/>
      <c r="B151" s="1"/>
      <c r="C151" s="14"/>
      <c r="D151" s="25"/>
      <c r="G151" s="54"/>
      <c r="I151" s="1"/>
      <c r="J151" s="1"/>
      <c r="K151" s="1"/>
      <c r="L151" s="1"/>
      <c r="M151" s="1"/>
    </row>
    <row r="152" spans="1:14" s="2" customFormat="1" x14ac:dyDescent="0.2">
      <c r="A152" s="24"/>
      <c r="B152" s="1"/>
      <c r="C152" s="14"/>
      <c r="D152" s="25"/>
      <c r="G152" s="54"/>
      <c r="H152" s="2" t="s">
        <v>396</v>
      </c>
      <c r="I152" s="1"/>
      <c r="J152" s="1"/>
      <c r="K152" s="1"/>
      <c r="L152" s="1"/>
      <c r="M152" s="1"/>
      <c r="N152" s="1"/>
    </row>
    <row r="153" spans="1:14" s="2" customFormat="1" x14ac:dyDescent="0.2">
      <c r="A153" s="24"/>
      <c r="B153" s="1"/>
      <c r="C153" s="14"/>
      <c r="D153" s="25"/>
      <c r="G153" s="54"/>
      <c r="H153" s="53"/>
    </row>
    <row r="154" spans="1:14" s="2" customFormat="1" x14ac:dyDescent="0.2">
      <c r="A154" s="24"/>
      <c r="B154" s="1"/>
      <c r="C154" s="14"/>
      <c r="D154" s="25"/>
      <c r="G154" s="54"/>
      <c r="H154" s="53" t="s">
        <v>396</v>
      </c>
      <c r="I154" s="1"/>
      <c r="J154" s="1"/>
      <c r="K154" s="1"/>
      <c r="L154" s="1"/>
      <c r="M154" s="1"/>
      <c r="N154" s="1"/>
    </row>
    <row r="155" spans="1:14" x14ac:dyDescent="0.2">
      <c r="G155" s="54"/>
      <c r="H155" s="53" t="s">
        <v>396</v>
      </c>
      <c r="J155" s="42"/>
    </row>
    <row r="156" spans="1:14" s="2" customFormat="1" x14ac:dyDescent="0.2">
      <c r="A156" s="24"/>
      <c r="B156" s="1"/>
      <c r="C156" s="14"/>
      <c r="D156" s="25"/>
      <c r="G156" s="54"/>
      <c r="H156" s="53"/>
      <c r="I156" s="101"/>
      <c r="J156" s="1"/>
      <c r="K156" s="1"/>
      <c r="L156" s="1"/>
      <c r="M156" s="1"/>
      <c r="N156" s="1"/>
    </row>
    <row r="157" spans="1:14" x14ac:dyDescent="0.2">
      <c r="G157" s="54"/>
      <c r="H157" s="53"/>
    </row>
    <row r="158" spans="1:14" x14ac:dyDescent="0.2">
      <c r="G158" s="54"/>
      <c r="H158" s="53"/>
    </row>
    <row r="159" spans="1:14" x14ac:dyDescent="0.2">
      <c r="G159" s="54"/>
      <c r="H159" s="53"/>
    </row>
  </sheetData>
  <sheetProtection insertRows="0"/>
  <mergeCells count="6">
    <mergeCell ref="C121:F121"/>
    <mergeCell ref="A1:G1"/>
    <mergeCell ref="A3:F3"/>
    <mergeCell ref="A9:F9"/>
    <mergeCell ref="A23:F23"/>
    <mergeCell ref="A103:D103"/>
  </mergeCells>
  <conditionalFormatting sqref="G100:G101">
    <cfRule type="cellIs" dxfId="257" priority="1" operator="lessThan">
      <formula>0</formula>
    </cfRule>
  </conditionalFormatting>
  <conditionalFormatting sqref="C25">
    <cfRule type="duplicateValues" dxfId="256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200-000000000000}">
  <sheetPr codeName="Sheet458">
    <pageSetUpPr fitToPage="1"/>
  </sheetPr>
  <dimension ref="A1:N139"/>
  <sheetViews>
    <sheetView zoomScaleNormal="100" workbookViewId="0">
      <selection sqref="A1:G1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3" ht="20.25" customHeight="1" x14ac:dyDescent="0.4">
      <c r="A1" s="212" t="s">
        <v>1702</v>
      </c>
      <c r="B1" s="212"/>
      <c r="C1" s="212"/>
      <c r="D1" s="212"/>
      <c r="E1" s="212"/>
      <c r="F1" s="212"/>
      <c r="G1" s="212"/>
      <c r="H1" s="112"/>
      <c r="I1" s="112"/>
    </row>
    <row r="2" spans="1:13" ht="12.75" customHeight="1" x14ac:dyDescent="0.4">
      <c r="H2" s="112"/>
      <c r="I2" s="112"/>
    </row>
    <row r="3" spans="1:13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3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3" s="2" customFormat="1" ht="14.25" customHeight="1" x14ac:dyDescent="0.4">
      <c r="A5" s="89">
        <v>45220</v>
      </c>
      <c r="B5" s="9" t="s">
        <v>6</v>
      </c>
      <c r="C5" s="10" t="s">
        <v>7</v>
      </c>
      <c r="D5" s="11"/>
      <c r="E5" s="12">
        <v>466554.71000000183</v>
      </c>
      <c r="F5" s="12"/>
      <c r="G5" s="1"/>
      <c r="H5" s="112"/>
      <c r="I5" s="112"/>
    </row>
    <row r="6" spans="1:13" s="2" customFormat="1" ht="12.75" customHeight="1" x14ac:dyDescent="0.4">
      <c r="D6" s="15" t="s">
        <v>8</v>
      </c>
      <c r="E6" s="16">
        <f>SUM(E5:E5)</f>
        <v>466554.71000000183</v>
      </c>
      <c r="F6" s="16">
        <f>SUM(F5:F5)</f>
        <v>0</v>
      </c>
      <c r="G6" s="1"/>
      <c r="H6" s="112"/>
      <c r="I6" s="112"/>
    </row>
    <row r="7" spans="1:13" s="2" customFormat="1" ht="12.75" customHeight="1" x14ac:dyDescent="0.4">
      <c r="A7" s="17"/>
      <c r="B7" s="18"/>
      <c r="C7" s="19" t="s">
        <v>9</v>
      </c>
      <c r="D7" s="20"/>
      <c r="E7" s="21">
        <f>+E6-F6</f>
        <v>466554.71000000183</v>
      </c>
      <c r="F7" s="22"/>
      <c r="G7" s="23"/>
      <c r="H7" s="112"/>
      <c r="I7" s="112"/>
      <c r="J7" s="13"/>
    </row>
    <row r="8" spans="1:13" ht="12.75" customHeight="1" x14ac:dyDescent="0.4">
      <c r="H8" s="112"/>
      <c r="I8" s="112"/>
    </row>
    <row r="9" spans="1:13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69">
        <f>90000000-60000000</f>
        <v>30000000</v>
      </c>
      <c r="J9" s="169" t="s">
        <v>1508</v>
      </c>
    </row>
    <row r="10" spans="1:13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69">
        <v>26263476.32</v>
      </c>
      <c r="J10" s="169" t="s">
        <v>1509</v>
      </c>
      <c r="K10" s="124"/>
    </row>
    <row r="11" spans="1:13" s="2" customFormat="1" ht="14.25" customHeight="1" x14ac:dyDescent="0.2">
      <c r="A11" s="89">
        <v>45220</v>
      </c>
      <c r="B11" s="9" t="s">
        <v>6</v>
      </c>
      <c r="C11" s="10" t="s">
        <v>7</v>
      </c>
      <c r="D11" s="11"/>
      <c r="F11" s="12">
        <v>27370060.319999997</v>
      </c>
      <c r="G11" s="1"/>
      <c r="H11" s="130" t="s">
        <v>396</v>
      </c>
      <c r="I11" s="169">
        <f>+I9-I10</f>
        <v>3736523.6799999997</v>
      </c>
      <c r="J11" s="169" t="s">
        <v>712</v>
      </c>
      <c r="K11" s="165" t="s">
        <v>1512</v>
      </c>
    </row>
    <row r="12" spans="1:13" s="2" customFormat="1" ht="14.25" customHeight="1" x14ac:dyDescent="0.2">
      <c r="A12" s="89">
        <v>45220</v>
      </c>
      <c r="B12" s="9" t="s">
        <v>6</v>
      </c>
      <c r="C12" s="76" t="s">
        <v>763</v>
      </c>
      <c r="D12" s="11" t="s">
        <v>13</v>
      </c>
      <c r="E12" s="2">
        <v>1106584</v>
      </c>
      <c r="F12" s="12"/>
      <c r="G12" s="1"/>
      <c r="H12" s="130"/>
      <c r="I12" s="169"/>
      <c r="J12" s="169"/>
      <c r="K12" s="165"/>
    </row>
    <row r="13" spans="1:13" s="2" customFormat="1" ht="14.25" customHeight="1" x14ac:dyDescent="0.2">
      <c r="D13" s="11" t="s">
        <v>8</v>
      </c>
      <c r="E13" s="16">
        <f>SUM(E12:E12)</f>
        <v>1106584</v>
      </c>
      <c r="F13" s="16">
        <f>SUM(F11:F12)</f>
        <v>27370060.319999997</v>
      </c>
      <c r="G13" s="1"/>
      <c r="H13" s="143"/>
      <c r="I13" s="130"/>
      <c r="J13" s="143"/>
      <c r="K13" s="143"/>
      <c r="L13" s="143"/>
      <c r="M13" s="143"/>
    </row>
    <row r="14" spans="1:13" s="2" customFormat="1" ht="14.25" customHeight="1" x14ac:dyDescent="0.4">
      <c r="A14" s="17"/>
      <c r="B14" s="18"/>
      <c r="C14" s="96" t="s">
        <v>9</v>
      </c>
      <c r="D14" s="20"/>
      <c r="E14" s="21">
        <f>+F13-E13</f>
        <v>26263476.319999997</v>
      </c>
      <c r="G14" s="1"/>
      <c r="I14" s="112"/>
      <c r="J14" s="153" t="s">
        <v>779</v>
      </c>
    </row>
    <row r="15" spans="1:13" s="2" customFormat="1" ht="14.25" customHeight="1" x14ac:dyDescent="0.2">
      <c r="A15" s="36"/>
      <c r="B15" s="28" t="s">
        <v>66</v>
      </c>
      <c r="C15" s="43" t="s">
        <v>1458</v>
      </c>
      <c r="D15" s="43"/>
      <c r="E15" s="12">
        <f>30000000+60000000</f>
        <v>90000000</v>
      </c>
      <c r="F15" s="22"/>
      <c r="G15" s="1"/>
      <c r="I15" s="40">
        <v>26263476.32</v>
      </c>
      <c r="J15" s="154">
        <f>I15-E14</f>
        <v>0</v>
      </c>
    </row>
    <row r="16" spans="1:13" s="2" customFormat="1" ht="14.25" customHeight="1" x14ac:dyDescent="0.25">
      <c r="A16" s="36"/>
      <c r="B16" s="28"/>
      <c r="C16" s="44" t="s">
        <v>1541</v>
      </c>
      <c r="D16" s="43"/>
      <c r="E16" s="7">
        <f>+E14+E15</f>
        <v>116263476.31999999</v>
      </c>
      <c r="F16" s="22"/>
      <c r="G16" s="1"/>
      <c r="H16" s="13" t="s">
        <v>1582</v>
      </c>
      <c r="I16" s="13" t="s">
        <v>1583</v>
      </c>
    </row>
    <row r="17" spans="1:14" s="2" customFormat="1" ht="14.25" customHeight="1" x14ac:dyDescent="0.25">
      <c r="A17" s="36"/>
      <c r="B17" s="28"/>
      <c r="C17" s="44" t="s">
        <v>1511</v>
      </c>
      <c r="D17" s="43"/>
      <c r="E17" s="38">
        <f>+I11</f>
        <v>3736523.6799999997</v>
      </c>
      <c r="F17" s="22"/>
      <c r="G17" s="1"/>
      <c r="H17" s="2">
        <v>1098160</v>
      </c>
      <c r="I17" s="2">
        <v>1294308</v>
      </c>
      <c r="J17" s="176">
        <f>H17-I17</f>
        <v>-196148</v>
      </c>
    </row>
    <row r="18" spans="1:14" s="2" customFormat="1" ht="14.25" customHeight="1" x14ac:dyDescent="0.2">
      <c r="A18" s="24"/>
      <c r="B18" s="1"/>
      <c r="C18" s="14"/>
      <c r="D18" s="25"/>
      <c r="G18" s="1"/>
      <c r="I18" s="130"/>
      <c r="J18" s="130"/>
    </row>
    <row r="19" spans="1:14" s="2" customFormat="1" x14ac:dyDescent="0.2">
      <c r="A19" s="214" t="s">
        <v>10</v>
      </c>
      <c r="B19" s="214"/>
      <c r="C19" s="214"/>
      <c r="D19" s="214"/>
      <c r="E19" s="214"/>
      <c r="F19" s="214"/>
      <c r="G19" s="1"/>
      <c r="H19" s="159"/>
      <c r="I19" s="160">
        <f>225000000-75000000-50000000</f>
        <v>100000000</v>
      </c>
      <c r="J19" s="160" t="s">
        <v>1506</v>
      </c>
      <c r="K19" s="70"/>
    </row>
    <row r="20" spans="1:14" s="2" customFormat="1" x14ac:dyDescent="0.2">
      <c r="A20" s="26" t="s">
        <v>1</v>
      </c>
      <c r="B20" s="27" t="s">
        <v>2</v>
      </c>
      <c r="C20" s="5"/>
      <c r="D20" s="6" t="s">
        <v>3</v>
      </c>
      <c r="E20" s="7" t="s">
        <v>4</v>
      </c>
      <c r="F20" s="7" t="s">
        <v>5</v>
      </c>
      <c r="G20" s="1"/>
      <c r="H20" s="159"/>
      <c r="I20" s="160">
        <v>74640002.030000001</v>
      </c>
      <c r="J20" s="160" t="s">
        <v>1507</v>
      </c>
      <c r="K20" s="70" t="s">
        <v>1512</v>
      </c>
    </row>
    <row r="21" spans="1:14" s="2" customFormat="1" x14ac:dyDescent="0.2">
      <c r="A21" s="89">
        <v>45220</v>
      </c>
      <c r="B21" s="128" t="s">
        <v>11</v>
      </c>
      <c r="C21" s="29" t="s">
        <v>7</v>
      </c>
      <c r="D21" s="25"/>
      <c r="E21" s="31"/>
      <c r="F21" s="2">
        <v>88351369.590000063</v>
      </c>
      <c r="G21" s="23"/>
      <c r="H21" s="159" t="s">
        <v>1505</v>
      </c>
      <c r="I21" s="160">
        <f>+I19-I20</f>
        <v>25359997.969999999</v>
      </c>
      <c r="J21" s="160"/>
      <c r="K21" s="70"/>
    </row>
    <row r="22" spans="1:14" s="2" customFormat="1" x14ac:dyDescent="0.2">
      <c r="A22" s="89">
        <v>45220</v>
      </c>
      <c r="B22" s="128" t="s">
        <v>6</v>
      </c>
      <c r="C22" s="10" t="s">
        <v>749</v>
      </c>
      <c r="D22" s="11" t="s">
        <v>13</v>
      </c>
      <c r="E22" s="86">
        <v>1119049.3899999999</v>
      </c>
      <c r="F22" s="70"/>
      <c r="G22" s="1"/>
      <c r="N22" s="1"/>
    </row>
    <row r="23" spans="1:14" s="2" customFormat="1" x14ac:dyDescent="0.2">
      <c r="A23" s="89">
        <v>45220</v>
      </c>
      <c r="B23" s="128" t="s">
        <v>6</v>
      </c>
      <c r="C23" s="10" t="s">
        <v>764</v>
      </c>
      <c r="D23" s="11" t="s">
        <v>13</v>
      </c>
      <c r="E23" s="86">
        <v>2103056.84</v>
      </c>
      <c r="F23" s="70"/>
      <c r="G23" s="1"/>
      <c r="N23" s="1"/>
    </row>
    <row r="24" spans="1:14" s="2" customFormat="1" x14ac:dyDescent="0.2">
      <c r="A24" s="89">
        <v>45220</v>
      </c>
      <c r="B24" s="128" t="s">
        <v>6</v>
      </c>
      <c r="C24" s="10" t="s">
        <v>759</v>
      </c>
      <c r="D24" s="11" t="s">
        <v>13</v>
      </c>
      <c r="E24" s="86">
        <v>871487.4</v>
      </c>
      <c r="F24" s="70"/>
      <c r="G24" s="1"/>
      <c r="N24" s="1"/>
    </row>
    <row r="25" spans="1:14" s="2" customFormat="1" x14ac:dyDescent="0.2">
      <c r="A25" s="89">
        <v>45220</v>
      </c>
      <c r="B25" s="128" t="s">
        <v>6</v>
      </c>
      <c r="C25" s="10" t="s">
        <v>233</v>
      </c>
      <c r="D25" s="11" t="s">
        <v>13</v>
      </c>
      <c r="E25" s="86">
        <v>212455</v>
      </c>
      <c r="F25" s="70"/>
      <c r="G25" s="1"/>
      <c r="N25" s="1"/>
    </row>
    <row r="26" spans="1:14" s="2" customFormat="1" x14ac:dyDescent="0.2">
      <c r="A26" s="89">
        <v>45220</v>
      </c>
      <c r="B26" s="128" t="s">
        <v>6</v>
      </c>
      <c r="C26" s="10" t="s">
        <v>758</v>
      </c>
      <c r="D26" s="11" t="s">
        <v>13</v>
      </c>
      <c r="E26" s="86">
        <v>933761.75</v>
      </c>
      <c r="F26" s="70"/>
      <c r="G26" s="1"/>
      <c r="N26" s="1"/>
    </row>
    <row r="27" spans="1:14" s="2" customFormat="1" x14ac:dyDescent="0.2">
      <c r="A27" s="89">
        <v>45220</v>
      </c>
      <c r="B27" s="128" t="s">
        <v>6</v>
      </c>
      <c r="C27" s="10" t="s">
        <v>748</v>
      </c>
      <c r="D27" s="11" t="s">
        <v>13</v>
      </c>
      <c r="E27" s="86">
        <v>559620.52</v>
      </c>
      <c r="F27" s="70"/>
      <c r="G27" s="1"/>
      <c r="N27" s="1"/>
    </row>
    <row r="28" spans="1:14" s="2" customFormat="1" x14ac:dyDescent="0.2">
      <c r="A28" s="89">
        <v>45220</v>
      </c>
      <c r="B28" s="128" t="s">
        <v>6</v>
      </c>
      <c r="C28" s="10" t="s">
        <v>557</v>
      </c>
      <c r="D28" s="11" t="s">
        <v>13</v>
      </c>
      <c r="E28" s="86">
        <v>662091</v>
      </c>
      <c r="F28" s="70"/>
      <c r="G28" s="1"/>
      <c r="N28" s="1"/>
    </row>
    <row r="29" spans="1:14" s="2" customFormat="1" x14ac:dyDescent="0.2">
      <c r="A29" s="89">
        <v>45220</v>
      </c>
      <c r="B29" s="128" t="s">
        <v>6</v>
      </c>
      <c r="C29" s="10" t="s">
        <v>765</v>
      </c>
      <c r="D29" s="11" t="s">
        <v>13</v>
      </c>
      <c r="E29" s="86">
        <v>1101053.4100000001</v>
      </c>
      <c r="F29" s="70"/>
      <c r="G29" s="1"/>
      <c r="N29" s="1"/>
    </row>
    <row r="30" spans="1:14" s="2" customFormat="1" x14ac:dyDescent="0.2">
      <c r="A30" s="89">
        <v>45220</v>
      </c>
      <c r="B30" s="128" t="s">
        <v>6</v>
      </c>
      <c r="C30" s="10" t="s">
        <v>19</v>
      </c>
      <c r="D30" s="11" t="s">
        <v>13</v>
      </c>
      <c r="E30" s="86">
        <v>11880</v>
      </c>
      <c r="F30" s="70"/>
      <c r="G30" s="1"/>
      <c r="N30" s="1"/>
    </row>
    <row r="31" spans="1:14" s="2" customFormat="1" x14ac:dyDescent="0.2">
      <c r="A31" s="89">
        <v>45220</v>
      </c>
      <c r="B31" s="128" t="s">
        <v>6</v>
      </c>
      <c r="C31" s="10" t="s">
        <v>15</v>
      </c>
      <c r="D31" s="11" t="s">
        <v>13</v>
      </c>
      <c r="E31" s="86">
        <v>55679.350000000006</v>
      </c>
      <c r="F31" s="70"/>
      <c r="G31" s="1"/>
      <c r="N31" s="1"/>
    </row>
    <row r="32" spans="1:14" s="2" customFormat="1" x14ac:dyDescent="0.2">
      <c r="A32" s="89">
        <v>45220</v>
      </c>
      <c r="B32" s="128" t="s">
        <v>6</v>
      </c>
      <c r="C32" s="10" t="s">
        <v>1629</v>
      </c>
      <c r="D32" s="11" t="s">
        <v>13</v>
      </c>
      <c r="E32" s="86">
        <v>138500</v>
      </c>
      <c r="F32" s="70"/>
      <c r="G32" s="1"/>
      <c r="N32" s="1"/>
    </row>
    <row r="33" spans="1:14" s="2" customFormat="1" x14ac:dyDescent="0.2">
      <c r="A33" s="89">
        <v>45220</v>
      </c>
      <c r="B33" s="128" t="s">
        <v>6</v>
      </c>
      <c r="C33" s="10" t="s">
        <v>727</v>
      </c>
      <c r="D33" s="11" t="s">
        <v>13</v>
      </c>
      <c r="E33" s="86">
        <v>143047</v>
      </c>
      <c r="F33" s="70"/>
      <c r="G33" s="1"/>
      <c r="N33" s="1"/>
    </row>
    <row r="34" spans="1:14" s="2" customFormat="1" x14ac:dyDescent="0.2">
      <c r="A34" s="89">
        <v>45220</v>
      </c>
      <c r="B34" s="128" t="s">
        <v>6</v>
      </c>
      <c r="C34" s="10" t="s">
        <v>773</v>
      </c>
      <c r="D34" s="11" t="s">
        <v>13</v>
      </c>
      <c r="E34" s="86">
        <v>546636.5</v>
      </c>
      <c r="F34" s="70"/>
      <c r="G34" s="1"/>
      <c r="N34" s="1"/>
    </row>
    <row r="35" spans="1:14" s="2" customFormat="1" x14ac:dyDescent="0.2">
      <c r="A35" s="89">
        <v>45220</v>
      </c>
      <c r="B35" s="128" t="s">
        <v>6</v>
      </c>
      <c r="C35" s="10" t="s">
        <v>180</v>
      </c>
      <c r="D35" s="11" t="s">
        <v>13</v>
      </c>
      <c r="E35" s="86">
        <v>27103</v>
      </c>
      <c r="F35" s="70"/>
      <c r="G35" s="1"/>
      <c r="N35" s="1"/>
    </row>
    <row r="36" spans="1:14" s="2" customFormat="1" x14ac:dyDescent="0.2">
      <c r="A36" s="89">
        <v>45220</v>
      </c>
      <c r="B36" s="128" t="s">
        <v>6</v>
      </c>
      <c r="C36" s="10" t="s">
        <v>1708</v>
      </c>
      <c r="D36" s="11" t="s">
        <v>13</v>
      </c>
      <c r="E36" s="86">
        <v>37485</v>
      </c>
      <c r="F36" s="70"/>
      <c r="G36" s="1"/>
      <c r="N36" s="1"/>
    </row>
    <row r="37" spans="1:14" s="2" customFormat="1" x14ac:dyDescent="0.2">
      <c r="A37" s="89">
        <v>45220</v>
      </c>
      <c r="B37" s="128" t="s">
        <v>6</v>
      </c>
      <c r="C37" s="10" t="s">
        <v>334</v>
      </c>
      <c r="D37" s="11" t="s">
        <v>13</v>
      </c>
      <c r="E37" s="86">
        <v>104068</v>
      </c>
      <c r="F37" s="70"/>
      <c r="G37" s="1"/>
      <c r="N37" s="1"/>
    </row>
    <row r="38" spans="1:14" s="2" customFormat="1" x14ac:dyDescent="0.2">
      <c r="A38" s="89">
        <v>45220</v>
      </c>
      <c r="B38" s="128" t="s">
        <v>6</v>
      </c>
      <c r="C38" s="10" t="s">
        <v>1397</v>
      </c>
      <c r="D38" s="11" t="s">
        <v>13</v>
      </c>
      <c r="E38" s="86">
        <v>8820</v>
      </c>
      <c r="F38" s="70"/>
      <c r="G38" s="1"/>
      <c r="N38" s="1"/>
    </row>
    <row r="39" spans="1:14" s="2" customFormat="1" x14ac:dyDescent="0.2">
      <c r="A39" s="89">
        <v>45220</v>
      </c>
      <c r="B39" s="128" t="s">
        <v>6</v>
      </c>
      <c r="C39" s="10" t="s">
        <v>173</v>
      </c>
      <c r="D39" s="11" t="s">
        <v>13</v>
      </c>
      <c r="E39" s="86">
        <v>8978</v>
      </c>
      <c r="F39" s="70"/>
      <c r="G39" s="1"/>
      <c r="N39" s="1"/>
    </row>
    <row r="40" spans="1:14" s="2" customFormat="1" x14ac:dyDescent="0.2">
      <c r="A40" s="89">
        <v>45220</v>
      </c>
      <c r="B40" s="128" t="s">
        <v>6</v>
      </c>
      <c r="C40" s="10" t="s">
        <v>947</v>
      </c>
      <c r="D40" s="11" t="s">
        <v>13</v>
      </c>
      <c r="E40" s="86">
        <v>22188</v>
      </c>
      <c r="F40" s="70"/>
      <c r="G40" s="1"/>
      <c r="N40" s="1"/>
    </row>
    <row r="41" spans="1:14" s="2" customFormat="1" x14ac:dyDescent="0.2">
      <c r="A41" s="89">
        <v>45220</v>
      </c>
      <c r="B41" s="128" t="s">
        <v>6</v>
      </c>
      <c r="C41" s="10" t="s">
        <v>1707</v>
      </c>
      <c r="D41" s="11" t="s">
        <v>13</v>
      </c>
      <c r="E41" s="86">
        <v>44.5</v>
      </c>
      <c r="F41" s="70"/>
      <c r="G41" s="1"/>
      <c r="N41" s="1"/>
    </row>
    <row r="42" spans="1:14" s="2" customFormat="1" x14ac:dyDescent="0.2">
      <c r="A42" s="89">
        <v>45220</v>
      </c>
      <c r="B42" s="128" t="s">
        <v>6</v>
      </c>
      <c r="C42" s="10" t="s">
        <v>177</v>
      </c>
      <c r="D42" s="11" t="s">
        <v>13</v>
      </c>
      <c r="E42" s="86">
        <v>1641890</v>
      </c>
      <c r="F42" s="70"/>
      <c r="G42" s="1"/>
      <c r="N42" s="1"/>
    </row>
    <row r="43" spans="1:14" s="2" customFormat="1" x14ac:dyDescent="0.2">
      <c r="A43" s="89">
        <v>45220</v>
      </c>
      <c r="B43" s="128" t="s">
        <v>6</v>
      </c>
      <c r="C43" s="10" t="s">
        <v>670</v>
      </c>
      <c r="D43" s="11" t="s">
        <v>13</v>
      </c>
      <c r="E43" s="86">
        <v>1000000</v>
      </c>
      <c r="F43" s="70"/>
      <c r="G43" s="1"/>
      <c r="N43" s="1"/>
    </row>
    <row r="44" spans="1:14" s="2" customFormat="1" x14ac:dyDescent="0.2">
      <c r="A44" s="89">
        <v>45220</v>
      </c>
      <c r="B44" s="128" t="s">
        <v>6</v>
      </c>
      <c r="C44" s="10" t="s">
        <v>311</v>
      </c>
      <c r="D44" s="11" t="s">
        <v>13</v>
      </c>
      <c r="E44" s="86">
        <v>63084</v>
      </c>
      <c r="F44" s="70"/>
      <c r="G44" s="1"/>
      <c r="N44" s="1"/>
    </row>
    <row r="45" spans="1:14" s="2" customFormat="1" x14ac:dyDescent="0.2">
      <c r="A45" s="89">
        <v>45220</v>
      </c>
      <c r="B45" s="128" t="s">
        <v>6</v>
      </c>
      <c r="C45" s="10" t="s">
        <v>178</v>
      </c>
      <c r="D45" s="11" t="s">
        <v>13</v>
      </c>
      <c r="E45" s="86">
        <v>1000000</v>
      </c>
      <c r="F45" s="70"/>
      <c r="G45" s="1"/>
      <c r="N45" s="1"/>
    </row>
    <row r="46" spans="1:14" s="2" customFormat="1" x14ac:dyDescent="0.2">
      <c r="A46" s="89">
        <v>45220</v>
      </c>
      <c r="B46" s="128" t="s">
        <v>6</v>
      </c>
      <c r="C46" s="10" t="s">
        <v>200</v>
      </c>
      <c r="D46" s="11" t="s">
        <v>13</v>
      </c>
      <c r="E46" s="86">
        <v>303685</v>
      </c>
      <c r="F46" s="70"/>
      <c r="G46" s="1"/>
      <c r="N46" s="1"/>
    </row>
    <row r="47" spans="1:14" s="2" customFormat="1" x14ac:dyDescent="0.2">
      <c r="A47" s="89">
        <v>45220</v>
      </c>
      <c r="B47" s="128" t="s">
        <v>6</v>
      </c>
      <c r="C47" s="10" t="s">
        <v>843</v>
      </c>
      <c r="D47" s="11" t="s">
        <v>13</v>
      </c>
      <c r="E47" s="86">
        <v>316065.43</v>
      </c>
      <c r="F47" s="70"/>
      <c r="G47" s="1"/>
      <c r="N47" s="1"/>
    </row>
    <row r="48" spans="1:14" s="2" customFormat="1" x14ac:dyDescent="0.2">
      <c r="A48" s="89">
        <v>45220</v>
      </c>
      <c r="B48" s="128" t="s">
        <v>6</v>
      </c>
      <c r="C48" s="10" t="s">
        <v>1706</v>
      </c>
      <c r="D48" s="11" t="s">
        <v>13</v>
      </c>
      <c r="E48" s="86">
        <v>1843016</v>
      </c>
      <c r="F48" s="70"/>
      <c r="G48" s="1"/>
      <c r="N48" s="1"/>
    </row>
    <row r="49" spans="1:14" s="2" customFormat="1" x14ac:dyDescent="0.2">
      <c r="A49" s="89">
        <v>45220</v>
      </c>
      <c r="B49" s="128" t="s">
        <v>11</v>
      </c>
      <c r="C49" s="10" t="s">
        <v>64</v>
      </c>
      <c r="D49" s="11" t="s">
        <v>29</v>
      </c>
      <c r="E49" s="86"/>
      <c r="F49" s="70">
        <f>10349.78+3455.75</f>
        <v>13805.53</v>
      </c>
      <c r="G49" s="1"/>
      <c r="N49" s="1"/>
    </row>
    <row r="50" spans="1:14" s="2" customFormat="1" x14ac:dyDescent="0.2">
      <c r="A50" s="89">
        <v>45220</v>
      </c>
      <c r="B50" s="128" t="s">
        <v>11</v>
      </c>
      <c r="C50" s="10" t="s">
        <v>62</v>
      </c>
      <c r="D50" s="11" t="s">
        <v>29</v>
      </c>
      <c r="E50" s="86"/>
      <c r="F50" s="70">
        <v>13000</v>
      </c>
      <c r="G50" s="1"/>
      <c r="N50" s="1"/>
    </row>
    <row r="51" spans="1:14" s="2" customFormat="1" x14ac:dyDescent="0.2">
      <c r="A51" s="89">
        <v>45220</v>
      </c>
      <c r="B51" s="128" t="s">
        <v>11</v>
      </c>
      <c r="C51" s="10" t="s">
        <v>1703</v>
      </c>
      <c r="D51" s="11" t="s">
        <v>29</v>
      </c>
      <c r="E51" s="86"/>
      <c r="F51" s="70">
        <v>160806</v>
      </c>
      <c r="G51" s="1"/>
      <c r="N51" s="1"/>
    </row>
    <row r="52" spans="1:14" s="2" customFormat="1" x14ac:dyDescent="0.2">
      <c r="A52" s="89">
        <v>45220</v>
      </c>
      <c r="B52" s="128" t="s">
        <v>11</v>
      </c>
      <c r="C52" s="10" t="s">
        <v>1068</v>
      </c>
      <c r="D52" s="11" t="s">
        <v>29</v>
      </c>
      <c r="E52" s="86"/>
      <c r="F52" s="70">
        <v>23010</v>
      </c>
      <c r="G52" s="1"/>
      <c r="N52" s="1"/>
    </row>
    <row r="53" spans="1:14" s="2" customFormat="1" x14ac:dyDescent="0.2">
      <c r="A53" s="89">
        <v>45220</v>
      </c>
      <c r="B53" s="128" t="s">
        <v>11</v>
      </c>
      <c r="C53" s="10" t="s">
        <v>1615</v>
      </c>
      <c r="D53" s="11" t="s">
        <v>29</v>
      </c>
      <c r="E53" s="86"/>
      <c r="F53" s="70">
        <v>7906</v>
      </c>
      <c r="G53" s="1"/>
      <c r="N53" s="1"/>
    </row>
    <row r="54" spans="1:14" s="2" customFormat="1" x14ac:dyDescent="0.2">
      <c r="A54" s="89">
        <v>45220</v>
      </c>
      <c r="B54" s="128" t="s">
        <v>11</v>
      </c>
      <c r="C54" s="10" t="s">
        <v>1566</v>
      </c>
      <c r="D54" s="11" t="s">
        <v>29</v>
      </c>
      <c r="E54" s="86"/>
      <c r="F54" s="70">
        <v>49855</v>
      </c>
      <c r="G54" s="1"/>
      <c r="N54" s="1"/>
    </row>
    <row r="55" spans="1:14" s="2" customFormat="1" x14ac:dyDescent="0.2">
      <c r="A55" s="89">
        <v>45220</v>
      </c>
      <c r="B55" s="128" t="s">
        <v>11</v>
      </c>
      <c r="C55" s="10" t="s">
        <v>1704</v>
      </c>
      <c r="D55" s="11" t="s">
        <v>29</v>
      </c>
      <c r="E55" s="86"/>
      <c r="F55" s="70">
        <v>2048</v>
      </c>
      <c r="G55" s="1"/>
      <c r="N55" s="1"/>
    </row>
    <row r="56" spans="1:14" s="2" customFormat="1" x14ac:dyDescent="0.2">
      <c r="A56" s="89">
        <v>45220</v>
      </c>
      <c r="B56" s="128" t="s">
        <v>11</v>
      </c>
      <c r="C56" s="10" t="s">
        <v>693</v>
      </c>
      <c r="D56" s="11" t="s">
        <v>29</v>
      </c>
      <c r="E56" s="86"/>
      <c r="F56" s="70">
        <v>12075</v>
      </c>
      <c r="G56" s="1"/>
      <c r="N56" s="1"/>
    </row>
    <row r="57" spans="1:14" s="2" customFormat="1" x14ac:dyDescent="0.2">
      <c r="A57" s="89">
        <v>45220</v>
      </c>
      <c r="B57" s="128" t="s">
        <v>11</v>
      </c>
      <c r="C57" s="10" t="s">
        <v>1705</v>
      </c>
      <c r="D57" s="11" t="s">
        <v>29</v>
      </c>
      <c r="E57" s="86"/>
      <c r="F57" s="70">
        <v>119097</v>
      </c>
      <c r="G57" s="1"/>
      <c r="N57" s="1"/>
    </row>
    <row r="58" spans="1:14" s="13" customFormat="1" x14ac:dyDescent="0.2">
      <c r="A58" s="97">
        <v>45220</v>
      </c>
      <c r="B58" s="132" t="s">
        <v>11</v>
      </c>
      <c r="C58" s="121" t="s">
        <v>1396</v>
      </c>
      <c r="D58" s="122" t="s">
        <v>258</v>
      </c>
      <c r="E58" s="147"/>
      <c r="F58" s="69">
        <v>917923</v>
      </c>
      <c r="G58" s="23"/>
      <c r="N58" s="23"/>
    </row>
    <row r="59" spans="1:14" s="2" customFormat="1" x14ac:dyDescent="0.2">
      <c r="A59" s="32"/>
      <c r="B59" s="33"/>
      <c r="C59" s="14"/>
      <c r="D59" s="34"/>
      <c r="E59" s="16">
        <f>SUM(E21:E58)</f>
        <v>14834745.089999998</v>
      </c>
      <c r="F59" s="16">
        <f>SUM(F21:F58)</f>
        <v>89670895.120000064</v>
      </c>
      <c r="G59" s="1"/>
      <c r="H59" s="1"/>
      <c r="I59" s="38">
        <v>74836150.030000001</v>
      </c>
      <c r="J59" s="2" t="s">
        <v>396</v>
      </c>
      <c r="K59" s="92">
        <f>E60-I59</f>
        <v>0</v>
      </c>
      <c r="N59" s="1"/>
    </row>
    <row r="60" spans="1:14" s="2" customFormat="1" x14ac:dyDescent="0.2">
      <c r="A60" s="36"/>
      <c r="B60" s="28" t="s">
        <v>11</v>
      </c>
      <c r="C60" s="19" t="s">
        <v>65</v>
      </c>
      <c r="D60" s="37"/>
      <c r="E60" s="38">
        <f>F59-E59</f>
        <v>74836150.030000061</v>
      </c>
      <c r="F60" s="22"/>
      <c r="G60" s="1"/>
      <c r="H60" s="1"/>
      <c r="I60" s="70"/>
      <c r="J60" s="70"/>
      <c r="K60" s="70"/>
      <c r="N60" s="1"/>
    </row>
    <row r="61" spans="1:14" s="2" customFormat="1" x14ac:dyDescent="0.2">
      <c r="A61" s="36"/>
      <c r="B61" s="28" t="s">
        <v>66</v>
      </c>
      <c r="C61" s="19" t="s">
        <v>67</v>
      </c>
      <c r="D61" s="37"/>
      <c r="E61" s="38">
        <v>6500000</v>
      </c>
      <c r="F61" s="22"/>
      <c r="G61" s="1"/>
      <c r="H61" s="70"/>
      <c r="I61" s="70"/>
      <c r="J61" s="70"/>
      <c r="K61" s="70"/>
      <c r="N61" s="1"/>
    </row>
    <row r="62" spans="1:14" s="2" customFormat="1" x14ac:dyDescent="0.2">
      <c r="A62" s="36"/>
      <c r="B62" s="28" t="s">
        <v>66</v>
      </c>
      <c r="C62" s="43" t="s">
        <v>1457</v>
      </c>
      <c r="D62" s="43"/>
      <c r="E62" s="12">
        <f>275000000+75000000+50000000</f>
        <v>400000000</v>
      </c>
      <c r="F62" s="22"/>
      <c r="G62" s="1"/>
      <c r="H62" s="70"/>
      <c r="I62" s="45">
        <v>1906.28</v>
      </c>
      <c r="J62" s="46"/>
      <c r="K62" s="46"/>
      <c r="N62" s="1"/>
    </row>
    <row r="63" spans="1:14" s="2" customFormat="1" ht="15" x14ac:dyDescent="0.25">
      <c r="A63" s="36"/>
      <c r="B63" s="28"/>
      <c r="C63" s="44" t="s">
        <v>1541</v>
      </c>
      <c r="D63" s="43"/>
      <c r="E63" s="7">
        <f>+E62+E60+E61</f>
        <v>481336150.03000009</v>
      </c>
      <c r="F63" s="22"/>
      <c r="G63" s="1"/>
      <c r="H63" s="103" t="s">
        <v>69</v>
      </c>
      <c r="I63" s="45">
        <v>-202.78</v>
      </c>
      <c r="J63" s="46"/>
      <c r="K63" s="46"/>
      <c r="N63" s="1"/>
    </row>
    <row r="64" spans="1:14" s="2" customFormat="1" ht="15" x14ac:dyDescent="0.25">
      <c r="A64" s="24"/>
      <c r="B64" s="1"/>
      <c r="C64" s="44" t="s">
        <v>1510</v>
      </c>
      <c r="D64" s="25"/>
      <c r="E64" s="156">
        <f>+I21-E61+H17-I17</f>
        <v>18663849.969999999</v>
      </c>
      <c r="G64" s="1"/>
      <c r="H64" s="35" t="s">
        <v>70</v>
      </c>
      <c r="I64" s="45">
        <v>66.13</v>
      </c>
      <c r="J64" s="46">
        <f>+I65-D67</f>
        <v>0</v>
      </c>
      <c r="N64" s="1"/>
    </row>
    <row r="65" spans="1:13" s="124" customFormat="1" ht="12.75" customHeight="1" x14ac:dyDescent="0.2">
      <c r="A65" s="24"/>
      <c r="B65" s="1"/>
      <c r="C65" s="56"/>
      <c r="D65" s="56"/>
      <c r="E65" s="104"/>
      <c r="F65" s="2"/>
      <c r="G65" s="166"/>
      <c r="H65" s="70"/>
      <c r="I65" s="49">
        <f>SUM(I62:I64)</f>
        <v>1769.63</v>
      </c>
      <c r="J65" s="46"/>
      <c r="K65" s="46"/>
    </row>
    <row r="66" spans="1:13" s="124" customFormat="1" ht="12.75" customHeight="1" x14ac:dyDescent="0.2">
      <c r="A66" s="24"/>
      <c r="B66" s="1"/>
      <c r="C66" s="78" t="s">
        <v>575</v>
      </c>
      <c r="D66" s="48" t="s">
        <v>576</v>
      </c>
      <c r="E66" s="104"/>
      <c r="F66" s="2"/>
      <c r="G66" s="168"/>
      <c r="H66" s="167"/>
      <c r="I66" s="167"/>
      <c r="J66" s="168"/>
    </row>
    <row r="67" spans="1:13" s="124" customFormat="1" ht="12.75" customHeight="1" x14ac:dyDescent="0.2">
      <c r="A67" s="24"/>
      <c r="B67" s="1"/>
      <c r="C67" s="47" t="s">
        <v>570</v>
      </c>
      <c r="D67" s="111">
        <v>1769.63</v>
      </c>
      <c r="E67" s="104"/>
      <c r="F67" s="2"/>
      <c r="G67" s="168"/>
      <c r="H67" s="110" t="s">
        <v>581</v>
      </c>
      <c r="I67" s="167"/>
      <c r="J67" s="168"/>
    </row>
    <row r="68" spans="1:13" s="124" customFormat="1" ht="12.75" customHeight="1" x14ac:dyDescent="0.2">
      <c r="A68" s="24"/>
      <c r="B68" s="1"/>
      <c r="C68" s="47" t="s">
        <v>931</v>
      </c>
      <c r="D68" s="111">
        <v>161.19999999999999</v>
      </c>
      <c r="E68" s="104"/>
      <c r="F68" s="2"/>
      <c r="G68" s="168"/>
      <c r="H68" s="110" t="s">
        <v>580</v>
      </c>
      <c r="I68" s="167"/>
      <c r="J68" s="168"/>
    </row>
    <row r="69" spans="1:13" s="124" customFormat="1" ht="12.75" customHeight="1" x14ac:dyDescent="0.2">
      <c r="A69" s="24"/>
      <c r="B69" s="1"/>
      <c r="C69" s="47" t="s">
        <v>572</v>
      </c>
      <c r="D69" s="111">
        <f>+D99/100000</f>
        <v>250.41284119999997</v>
      </c>
      <c r="E69" s="104"/>
      <c r="F69" s="2"/>
      <c r="G69" s="166"/>
      <c r="H69" s="90" t="s">
        <v>587</v>
      </c>
      <c r="I69" s="167"/>
      <c r="J69" s="168"/>
    </row>
    <row r="70" spans="1:13" s="2" customFormat="1" x14ac:dyDescent="0.2">
      <c r="A70" s="24"/>
      <c r="B70" s="1"/>
      <c r="C70" s="108" t="s">
        <v>578</v>
      </c>
      <c r="D70" s="48">
        <f>SUM(D67:D69)</f>
        <v>2181.2428411999999</v>
      </c>
      <c r="E70" s="104"/>
      <c r="G70" s="30"/>
      <c r="I70" s="13"/>
      <c r="J70" s="13"/>
    </row>
    <row r="71" spans="1:13" s="70" customFormat="1" x14ac:dyDescent="0.2">
      <c r="A71" s="24"/>
      <c r="B71" s="1"/>
      <c r="C71" s="47"/>
      <c r="D71" s="107"/>
      <c r="E71" s="104"/>
      <c r="F71" s="2"/>
      <c r="G71" s="30"/>
      <c r="H71" s="2"/>
    </row>
    <row r="72" spans="1:13" s="70" customFormat="1" x14ac:dyDescent="0.2">
      <c r="A72" s="24"/>
      <c r="B72" s="1"/>
      <c r="C72" s="47" t="s">
        <v>932</v>
      </c>
      <c r="D72" s="111">
        <v>91.19</v>
      </c>
      <c r="E72" s="104"/>
      <c r="F72" s="2"/>
      <c r="G72" s="30"/>
      <c r="H72" s="110" t="s">
        <v>581</v>
      </c>
    </row>
    <row r="73" spans="1:13" s="70" customFormat="1" x14ac:dyDescent="0.2">
      <c r="A73" s="24"/>
      <c r="B73" s="1"/>
      <c r="C73" s="136" t="s">
        <v>1142</v>
      </c>
      <c r="D73" s="111">
        <v>539.07000000000005</v>
      </c>
      <c r="E73" s="104"/>
      <c r="F73" s="2"/>
      <c r="G73" s="30"/>
      <c r="H73" s="110" t="s">
        <v>581</v>
      </c>
    </row>
    <row r="74" spans="1:13" s="70" customFormat="1" x14ac:dyDescent="0.2">
      <c r="A74" s="24"/>
      <c r="B74" s="1"/>
      <c r="C74" s="78" t="s">
        <v>579</v>
      </c>
      <c r="D74" s="109">
        <f>D72+D73</f>
        <v>630.26</v>
      </c>
      <c r="E74" s="104"/>
      <c r="F74" s="2"/>
      <c r="G74" s="30"/>
    </row>
    <row r="75" spans="1:13" s="70" customFormat="1" x14ac:dyDescent="0.2">
      <c r="A75" s="24"/>
      <c r="B75" s="1"/>
      <c r="C75" s="105"/>
      <c r="D75" s="106"/>
      <c r="E75" s="104"/>
      <c r="F75" s="2"/>
      <c r="G75" s="30"/>
      <c r="I75" s="2"/>
      <c r="J75" s="114" t="s">
        <v>713</v>
      </c>
      <c r="K75" s="2"/>
      <c r="L75" s="2"/>
      <c r="M75" s="2"/>
    </row>
    <row r="76" spans="1:13" s="70" customFormat="1" x14ac:dyDescent="0.2">
      <c r="A76" s="24"/>
      <c r="B76" s="1"/>
      <c r="C76" s="78" t="s">
        <v>577</v>
      </c>
      <c r="D76" s="109">
        <f>D67+D74</f>
        <v>2399.8900000000003</v>
      </c>
      <c r="E76" s="104"/>
      <c r="F76" s="2"/>
      <c r="G76" s="30"/>
      <c r="I76" s="113"/>
      <c r="J76" s="113" t="s">
        <v>709</v>
      </c>
      <c r="K76" s="113" t="s">
        <v>710</v>
      </c>
      <c r="L76" s="113" t="s">
        <v>711</v>
      </c>
      <c r="M76" s="113" t="s">
        <v>712</v>
      </c>
    </row>
    <row r="77" spans="1:13" s="70" customFormat="1" x14ac:dyDescent="0.2">
      <c r="A77" s="24"/>
      <c r="B77" s="1"/>
      <c r="C77" s="56"/>
      <c r="D77" s="56"/>
      <c r="E77" s="104"/>
      <c r="F77" s="2"/>
      <c r="G77" s="30"/>
      <c r="I77" s="113" t="s">
        <v>706</v>
      </c>
      <c r="J77" s="115"/>
      <c r="K77" s="115">
        <v>968.99</v>
      </c>
      <c r="L77" s="115">
        <v>968.99</v>
      </c>
      <c r="M77" s="113">
        <f>+J77+L77-K77</f>
        <v>0</v>
      </c>
    </row>
    <row r="78" spans="1:13" s="70" customFormat="1" ht="38.25" x14ac:dyDescent="0.2">
      <c r="A78" s="24"/>
      <c r="B78" s="1"/>
      <c r="C78" s="79" t="str">
        <f>"Particulars ( 01-04-2021 to "&amp;TEXT(A5,"dd-mm-yyyy")&amp;" )"</f>
        <v>Particulars ( 01-04-2021 to 21-10-2023 )</v>
      </c>
      <c r="D78" s="80" t="s">
        <v>73</v>
      </c>
      <c r="E78" s="80" t="s">
        <v>74</v>
      </c>
      <c r="F78" s="81" t="s">
        <v>75</v>
      </c>
      <c r="G78" s="80" t="s">
        <v>76</v>
      </c>
      <c r="I78" s="113" t="s">
        <v>707</v>
      </c>
      <c r="J78" s="115">
        <v>183.1</v>
      </c>
      <c r="K78" s="115">
        <v>3788.51</v>
      </c>
      <c r="L78" s="115">
        <v>4050.28</v>
      </c>
      <c r="M78" s="113">
        <f>+J78+L78-K78</f>
        <v>444.86999999999989</v>
      </c>
    </row>
    <row r="79" spans="1:13" s="70" customFormat="1" x14ac:dyDescent="0.2">
      <c r="A79" s="24"/>
      <c r="B79" s="1"/>
      <c r="C79" s="50" t="s">
        <v>444</v>
      </c>
      <c r="D79" s="55">
        <f>+L77+L78+J78</f>
        <v>5202.3700000000008</v>
      </c>
      <c r="E79" s="55">
        <f>+K77+K78</f>
        <v>4757.5</v>
      </c>
      <c r="F79" s="55">
        <f>+D79-E79</f>
        <v>444.8700000000008</v>
      </c>
      <c r="G79" s="55">
        <f>1500-F79</f>
        <v>1055.1299999999992</v>
      </c>
      <c r="I79" s="113" t="s">
        <v>708</v>
      </c>
      <c r="J79" s="115">
        <v>1371.02</v>
      </c>
      <c r="K79" s="115">
        <v>14690.68</v>
      </c>
      <c r="L79" s="115">
        <v>14331.39</v>
      </c>
      <c r="M79" s="113">
        <f>+J79+L79-K79</f>
        <v>1011.7299999999996</v>
      </c>
    </row>
    <row r="80" spans="1:13" s="70" customFormat="1" ht="12.75" customHeight="1" x14ac:dyDescent="0.2">
      <c r="A80" s="24"/>
      <c r="B80" s="1"/>
      <c r="C80" s="50" t="s">
        <v>71</v>
      </c>
      <c r="D80" s="55">
        <f>+J79+L79</f>
        <v>15702.41</v>
      </c>
      <c r="E80" s="55">
        <f>+K79</f>
        <v>14690.68</v>
      </c>
      <c r="F80" s="55">
        <f>+D80-E80</f>
        <v>1011.7299999999996</v>
      </c>
      <c r="G80" s="55">
        <f>1500+700-F80</f>
        <v>1188.2700000000004</v>
      </c>
      <c r="I80" s="2"/>
      <c r="J80" s="118">
        <f>SUM(J77:J79)</f>
        <v>1554.12</v>
      </c>
      <c r="K80" s="118">
        <f>SUM(K77:K79)</f>
        <v>19448.18</v>
      </c>
      <c r="L80" s="118">
        <f>SUM(L77:L79)</f>
        <v>19350.66</v>
      </c>
      <c r="M80" s="118">
        <f>SUM(M77:M79)</f>
        <v>1456.5999999999995</v>
      </c>
    </row>
    <row r="81" spans="1:14" s="70" customFormat="1" ht="12.75" customHeight="1" x14ac:dyDescent="0.2">
      <c r="A81" s="24"/>
      <c r="B81" s="1"/>
      <c r="C81" s="14"/>
      <c r="D81" s="56"/>
      <c r="E81" s="13"/>
      <c r="F81" s="2"/>
      <c r="G81" s="30"/>
    </row>
    <row r="82" spans="1:14" s="70" customFormat="1" ht="12.75" customHeight="1" x14ac:dyDescent="0.2">
      <c r="A82" s="215" t="s">
        <v>80</v>
      </c>
      <c r="B82" s="216"/>
      <c r="C82" s="216"/>
      <c r="D82" s="217"/>
      <c r="E82" s="69"/>
      <c r="G82" s="30"/>
    </row>
    <row r="83" spans="1:14" s="70" customFormat="1" ht="12.75" customHeight="1" x14ac:dyDescent="0.2">
      <c r="A83" s="71" t="s">
        <v>81</v>
      </c>
      <c r="B83" s="71"/>
      <c r="C83" s="72" t="s">
        <v>82</v>
      </c>
      <c r="D83" s="73" t="s">
        <v>83</v>
      </c>
      <c r="E83" s="69"/>
      <c r="G83" s="30"/>
    </row>
    <row r="84" spans="1:14" s="70" customFormat="1" ht="12.75" customHeight="1" x14ac:dyDescent="0.2">
      <c r="A84" s="87">
        <v>45203</v>
      </c>
      <c r="B84" s="120" t="s">
        <v>1052</v>
      </c>
      <c r="C84" s="75" t="s">
        <v>18</v>
      </c>
      <c r="D84" s="88">
        <v>193358.43</v>
      </c>
      <c r="E84" s="2"/>
      <c r="F84" s="2"/>
      <c r="G84" s="30"/>
      <c r="H84" s="2"/>
      <c r="I84" s="2"/>
      <c r="J84" s="2"/>
      <c r="K84" s="2"/>
      <c r="L84" s="41"/>
      <c r="M84" s="42"/>
      <c r="N84" s="2"/>
    </row>
    <row r="85" spans="1:14" s="70" customFormat="1" ht="12.75" customHeight="1" x14ac:dyDescent="0.2">
      <c r="A85" s="87">
        <v>45203</v>
      </c>
      <c r="B85" s="120" t="s">
        <v>1052</v>
      </c>
      <c r="C85" s="75" t="s">
        <v>270</v>
      </c>
      <c r="D85" s="88">
        <v>254277</v>
      </c>
      <c r="E85" s="2"/>
      <c r="F85" s="2"/>
      <c r="G85" s="30"/>
      <c r="H85" s="2"/>
      <c r="I85" s="2"/>
      <c r="J85" s="2"/>
      <c r="K85" s="2"/>
      <c r="L85" s="41"/>
      <c r="M85" s="42"/>
      <c r="N85" s="2"/>
    </row>
    <row r="86" spans="1:14" s="70" customFormat="1" ht="12.75" customHeight="1" x14ac:dyDescent="0.2">
      <c r="A86" s="87">
        <v>45204</v>
      </c>
      <c r="B86" s="120" t="s">
        <v>1052</v>
      </c>
      <c r="C86" s="75" t="s">
        <v>85</v>
      </c>
      <c r="D86" s="88">
        <v>765297</v>
      </c>
      <c r="E86" s="2"/>
      <c r="F86" s="2"/>
      <c r="G86" s="30"/>
      <c r="H86" s="2"/>
      <c r="I86" s="2"/>
      <c r="J86" s="2"/>
      <c r="K86" s="2"/>
      <c r="L86" s="41"/>
      <c r="M86" s="42"/>
      <c r="N86" s="2"/>
    </row>
    <row r="87" spans="1:14" s="70" customFormat="1" ht="12.75" customHeight="1" x14ac:dyDescent="0.2">
      <c r="A87" s="87">
        <v>45209</v>
      </c>
      <c r="B87" s="120" t="s">
        <v>1052</v>
      </c>
      <c r="C87" s="75" t="s">
        <v>606</v>
      </c>
      <c r="D87" s="88">
        <v>2261658</v>
      </c>
      <c r="E87" s="2"/>
      <c r="F87" s="2"/>
      <c r="G87" s="30"/>
      <c r="H87" s="2"/>
      <c r="I87" s="2"/>
      <c r="J87" s="2"/>
      <c r="K87" s="2"/>
      <c r="L87" s="41"/>
      <c r="M87" s="42"/>
      <c r="N87" s="2"/>
    </row>
    <row r="88" spans="1:14" s="70" customFormat="1" ht="12.75" customHeight="1" x14ac:dyDescent="0.2">
      <c r="A88" s="87">
        <v>45211</v>
      </c>
      <c r="B88" s="120" t="s">
        <v>1052</v>
      </c>
      <c r="C88" s="75" t="s">
        <v>18</v>
      </c>
      <c r="D88" s="88">
        <v>35919</v>
      </c>
      <c r="E88" s="2"/>
      <c r="F88" s="2"/>
      <c r="G88" s="30"/>
      <c r="H88" s="2"/>
      <c r="I88" s="2"/>
      <c r="J88" s="2"/>
      <c r="K88" s="2"/>
      <c r="L88" s="41"/>
      <c r="M88" s="42"/>
      <c r="N88" s="2"/>
    </row>
    <row r="89" spans="1:14" s="70" customFormat="1" ht="12.75" customHeight="1" x14ac:dyDescent="0.2">
      <c r="A89" s="87">
        <v>45211</v>
      </c>
      <c r="B89" s="120" t="s">
        <v>1052</v>
      </c>
      <c r="C89" s="75" t="s">
        <v>84</v>
      </c>
      <c r="D89" s="88">
        <v>856347</v>
      </c>
      <c r="E89" s="2"/>
      <c r="F89" s="2"/>
      <c r="G89" s="30"/>
      <c r="H89" s="2"/>
      <c r="I89" s="2"/>
      <c r="J89" s="2"/>
      <c r="K89" s="2"/>
      <c r="L89" s="41"/>
      <c r="M89" s="42"/>
      <c r="N89" s="2"/>
    </row>
    <row r="90" spans="1:14" s="70" customFormat="1" ht="12.75" customHeight="1" x14ac:dyDescent="0.2">
      <c r="A90" s="87">
        <v>45212</v>
      </c>
      <c r="B90" s="120" t="s">
        <v>1052</v>
      </c>
      <c r="C90" s="75" t="s">
        <v>201</v>
      </c>
      <c r="D90" s="88">
        <v>1600267.2</v>
      </c>
      <c r="E90" s="2"/>
      <c r="F90" s="2"/>
      <c r="G90" s="30"/>
      <c r="H90" s="2"/>
      <c r="I90" s="2"/>
      <c r="J90" s="2"/>
      <c r="K90" s="2"/>
      <c r="L90" s="41"/>
      <c r="M90" s="42"/>
      <c r="N90" s="2"/>
    </row>
    <row r="91" spans="1:14" s="70" customFormat="1" ht="12.75" customHeight="1" x14ac:dyDescent="0.2">
      <c r="A91" s="87">
        <v>45215</v>
      </c>
      <c r="B91" s="120" t="s">
        <v>1052</v>
      </c>
      <c r="C91" s="75" t="s">
        <v>1683</v>
      </c>
      <c r="D91" s="88">
        <v>6496492</v>
      </c>
      <c r="E91" s="2"/>
      <c r="F91" s="2"/>
      <c r="G91" s="30"/>
      <c r="H91" s="2"/>
      <c r="I91" s="2"/>
      <c r="J91" s="2"/>
      <c r="K91" s="2"/>
      <c r="L91" s="41"/>
      <c r="M91" s="42"/>
      <c r="N91" s="2"/>
    </row>
    <row r="92" spans="1:14" s="70" customFormat="1" ht="12.75" customHeight="1" x14ac:dyDescent="0.2">
      <c r="A92" s="87">
        <v>45217</v>
      </c>
      <c r="B92" s="120" t="s">
        <v>1052</v>
      </c>
      <c r="C92" s="75" t="s">
        <v>1084</v>
      </c>
      <c r="D92" s="88">
        <v>1789287</v>
      </c>
      <c r="E92" s="2"/>
      <c r="F92" s="2"/>
      <c r="G92" s="30"/>
      <c r="H92" s="2"/>
      <c r="I92" s="2"/>
      <c r="J92" s="2"/>
      <c r="K92" s="2"/>
      <c r="L92" s="41"/>
      <c r="M92" s="42"/>
      <c r="N92" s="2"/>
    </row>
    <row r="93" spans="1:14" s="70" customFormat="1" ht="12.75" customHeight="1" x14ac:dyDescent="0.2">
      <c r="A93" s="87">
        <v>45218</v>
      </c>
      <c r="B93" s="120" t="s">
        <v>1052</v>
      </c>
      <c r="C93" s="75" t="s">
        <v>606</v>
      </c>
      <c r="D93" s="88">
        <v>189973.92</v>
      </c>
      <c r="E93" s="2"/>
      <c r="F93" s="2"/>
      <c r="G93" s="30"/>
      <c r="H93" s="2"/>
      <c r="I93" s="2"/>
      <c r="J93" s="2"/>
      <c r="K93" s="2"/>
      <c r="L93" s="41"/>
      <c r="M93" s="42"/>
      <c r="N93" s="2"/>
    </row>
    <row r="94" spans="1:14" s="70" customFormat="1" ht="12.75" customHeight="1" x14ac:dyDescent="0.2">
      <c r="A94" s="87">
        <v>45218</v>
      </c>
      <c r="B94" s="120" t="s">
        <v>1052</v>
      </c>
      <c r="C94" s="75" t="s">
        <v>18</v>
      </c>
      <c r="D94" s="88">
        <v>734545</v>
      </c>
      <c r="E94" s="2"/>
      <c r="F94" s="2"/>
      <c r="G94" s="30"/>
      <c r="H94" s="2"/>
      <c r="I94" s="2"/>
      <c r="J94" s="2"/>
      <c r="K94" s="2"/>
      <c r="L94" s="41"/>
      <c r="M94" s="42"/>
      <c r="N94" s="2"/>
    </row>
    <row r="95" spans="1:14" s="70" customFormat="1" ht="12.75" customHeight="1" x14ac:dyDescent="0.2">
      <c r="A95" s="87">
        <v>45219</v>
      </c>
      <c r="B95" s="120" t="s">
        <v>1052</v>
      </c>
      <c r="C95" s="75" t="s">
        <v>270</v>
      </c>
      <c r="D95" s="88">
        <v>302951</v>
      </c>
      <c r="E95" s="2"/>
      <c r="F95" s="2"/>
      <c r="G95" s="30"/>
      <c r="H95" s="2"/>
      <c r="I95" s="2"/>
      <c r="J95" s="2"/>
      <c r="K95" s="2"/>
      <c r="L95" s="41"/>
      <c r="M95" s="42"/>
      <c r="N95" s="2"/>
    </row>
    <row r="96" spans="1:14" s="70" customFormat="1" ht="12.75" customHeight="1" x14ac:dyDescent="0.2">
      <c r="A96" s="87">
        <v>45219</v>
      </c>
      <c r="B96" s="120" t="s">
        <v>1052</v>
      </c>
      <c r="C96" s="75" t="s">
        <v>270</v>
      </c>
      <c r="D96" s="88">
        <v>6923</v>
      </c>
      <c r="E96" s="2"/>
      <c r="F96" s="2"/>
      <c r="G96" s="30"/>
      <c r="H96" s="2"/>
      <c r="I96" s="2"/>
      <c r="J96" s="2"/>
      <c r="K96" s="2"/>
      <c r="L96" s="41"/>
      <c r="M96" s="42"/>
      <c r="N96" s="2"/>
    </row>
    <row r="97" spans="1:14" s="70" customFormat="1" ht="12.75" customHeight="1" x14ac:dyDescent="0.2">
      <c r="A97" s="87">
        <v>45219</v>
      </c>
      <c r="B97" s="120" t="s">
        <v>1052</v>
      </c>
      <c r="C97" s="75" t="s">
        <v>88</v>
      </c>
      <c r="D97" s="88">
        <v>9230617.5700000003</v>
      </c>
      <c r="E97" s="2"/>
      <c r="F97" s="2"/>
      <c r="G97" s="30"/>
      <c r="H97" s="2"/>
      <c r="I97" s="2"/>
      <c r="J97" s="2"/>
      <c r="K97" s="2"/>
      <c r="L97" s="41"/>
      <c r="M97" s="42"/>
      <c r="N97" s="2"/>
    </row>
    <row r="98" spans="1:14" s="70" customFormat="1" ht="12.75" customHeight="1" x14ac:dyDescent="0.2">
      <c r="A98" s="87">
        <v>45220</v>
      </c>
      <c r="B98" s="120" t="s">
        <v>1052</v>
      </c>
      <c r="C98" s="75" t="s">
        <v>85</v>
      </c>
      <c r="D98" s="88">
        <v>323371</v>
      </c>
      <c r="E98" s="2"/>
      <c r="F98" s="2"/>
      <c r="G98" s="30"/>
      <c r="H98" s="2"/>
      <c r="I98" s="2"/>
      <c r="J98" s="2"/>
      <c r="K98" s="2"/>
      <c r="L98" s="41"/>
      <c r="M98" s="42"/>
      <c r="N98" s="2"/>
    </row>
    <row r="99" spans="1:14" s="2" customFormat="1" x14ac:dyDescent="0.2">
      <c r="A99" s="87"/>
      <c r="B99" s="74"/>
      <c r="C99" s="75"/>
      <c r="D99" s="51">
        <f>SUM(D84:D98)</f>
        <v>25041284.119999997</v>
      </c>
      <c r="F99" s="2" t="s">
        <v>396</v>
      </c>
      <c r="G99" s="1"/>
    </row>
    <row r="100" spans="1:14" s="2" customFormat="1" x14ac:dyDescent="0.2">
      <c r="A100" s="24"/>
      <c r="B100" s="1"/>
      <c r="C100" s="14"/>
      <c r="D100" s="56"/>
      <c r="E100" s="13"/>
      <c r="G100" s="1"/>
    </row>
    <row r="101" spans="1:14" s="2" customFormat="1" x14ac:dyDescent="0.2">
      <c r="A101" s="24"/>
      <c r="B101" s="1"/>
      <c r="C101" s="218" t="s">
        <v>77</v>
      </c>
      <c r="D101" s="219"/>
      <c r="E101" s="219"/>
      <c r="F101" s="220"/>
      <c r="H101" s="2" t="s">
        <v>396</v>
      </c>
    </row>
    <row r="102" spans="1:14" s="2" customFormat="1" x14ac:dyDescent="0.2">
      <c r="A102" s="24"/>
      <c r="B102" s="1"/>
      <c r="C102" s="50"/>
      <c r="D102" s="57" t="s">
        <v>78</v>
      </c>
      <c r="E102" s="58" t="s">
        <v>79</v>
      </c>
      <c r="F102" s="57" t="s">
        <v>72</v>
      </c>
      <c r="H102" s="2" t="s">
        <v>396</v>
      </c>
    </row>
    <row r="103" spans="1:14" s="2" customFormat="1" x14ac:dyDescent="0.2">
      <c r="A103" s="24"/>
      <c r="B103" s="1"/>
      <c r="C103" s="59" t="str">
        <f>"01-10-2023 to "&amp;TEXT(A5-2,"dd-mm-yyyy")</f>
        <v>01-10-2023 to 19-10-2023</v>
      </c>
      <c r="D103" s="60">
        <v>1558.33</v>
      </c>
      <c r="E103" s="60">
        <v>322.87</v>
      </c>
      <c r="F103" s="61">
        <f>SUM(D103:E103)</f>
        <v>1881.1999999999998</v>
      </c>
    </row>
    <row r="104" spans="1:14" s="2" customFormat="1" x14ac:dyDescent="0.2">
      <c r="A104" s="24"/>
      <c r="B104" s="1"/>
      <c r="C104" s="62" t="str">
        <f>TEXT(A5-1,"dd-mm-yyyy")</f>
        <v>20-10-2023</v>
      </c>
      <c r="D104" s="60">
        <v>60.07</v>
      </c>
      <c r="E104" s="60">
        <v>18.61</v>
      </c>
      <c r="F104" s="61">
        <f>SUM(D104:E104)</f>
        <v>78.680000000000007</v>
      </c>
      <c r="G104" s="1"/>
      <c r="H104" s="53"/>
    </row>
    <row r="105" spans="1:14" s="2" customFormat="1" ht="13.5" thickBot="1" x14ac:dyDescent="0.25">
      <c r="A105" s="24"/>
      <c r="B105" s="1"/>
      <c r="C105" s="63" t="str">
        <f>"01-10-2023 to "&amp;TEXT(A5-1,"dd-mm-yyyy")</f>
        <v>01-10-2023 to 20-10-2023</v>
      </c>
      <c r="D105" s="64">
        <f>SUM(D103:D104)</f>
        <v>1618.3999999999999</v>
      </c>
      <c r="E105" s="64">
        <f>SUM(E103:E104)</f>
        <v>341.48</v>
      </c>
      <c r="F105" s="64">
        <f>SUM(F103:F104)</f>
        <v>1959.8799999999999</v>
      </c>
      <c r="G105" s="1"/>
      <c r="H105" s="53"/>
    </row>
    <row r="106" spans="1:14" s="2" customFormat="1" ht="13.5" thickTop="1" x14ac:dyDescent="0.2">
      <c r="A106" s="24"/>
      <c r="B106" s="1"/>
      <c r="C106" s="62"/>
      <c r="D106" s="65"/>
      <c r="E106" s="66"/>
      <c r="F106" s="67"/>
      <c r="L106" s="1"/>
      <c r="M106" s="1"/>
    </row>
    <row r="107" spans="1:14" s="2" customFormat="1" x14ac:dyDescent="0.2">
      <c r="A107" s="24"/>
      <c r="B107" s="1"/>
      <c r="C107" s="62" t="str">
        <f>"01-04-2023 to " &amp;C104</f>
        <v>01-04-2023 to 20-10-2023</v>
      </c>
      <c r="D107" s="68">
        <f>+D105+27003.42</f>
        <v>28621.82</v>
      </c>
      <c r="E107" s="68">
        <f>+E105+2028.43</f>
        <v>2369.91</v>
      </c>
      <c r="F107" s="68">
        <f>+F105+29031.85</f>
        <v>30991.73</v>
      </c>
      <c r="G107" s="1"/>
      <c r="L107" s="1"/>
      <c r="M107" s="1"/>
    </row>
    <row r="108" spans="1:14" s="2" customFormat="1" x14ac:dyDescent="0.2">
      <c r="A108" s="24"/>
      <c r="B108" s="1"/>
      <c r="C108" s="52"/>
      <c r="D108" s="85"/>
      <c r="E108" s="53"/>
      <c r="F108" s="53"/>
      <c r="G108" s="1"/>
      <c r="L108" s="1"/>
      <c r="M108" s="1"/>
    </row>
    <row r="109" spans="1:14" s="2" customFormat="1" x14ac:dyDescent="0.2">
      <c r="A109" s="24"/>
      <c r="B109" s="1"/>
      <c r="C109" s="52"/>
      <c r="D109" s="85"/>
      <c r="E109" s="53"/>
      <c r="F109" s="53"/>
      <c r="G109" s="1"/>
      <c r="L109" s="1"/>
      <c r="M109" s="1"/>
    </row>
    <row r="110" spans="1:14" s="2" customFormat="1" x14ac:dyDescent="0.2">
      <c r="A110" s="24"/>
      <c r="B110" s="1"/>
      <c r="C110" s="52"/>
      <c r="D110" s="85"/>
      <c r="E110" s="53"/>
      <c r="F110" s="53"/>
      <c r="G110" s="1"/>
      <c r="L110" s="1"/>
      <c r="M110" s="1"/>
    </row>
    <row r="111" spans="1:14" s="2" customFormat="1" x14ac:dyDescent="0.2">
      <c r="A111" s="24"/>
      <c r="B111" s="1"/>
      <c r="C111" s="52"/>
      <c r="D111" s="85"/>
      <c r="E111" s="53"/>
      <c r="F111" s="53"/>
      <c r="G111" s="1"/>
      <c r="L111" s="1"/>
      <c r="M111" s="1"/>
    </row>
    <row r="112" spans="1:14" s="2" customFormat="1" x14ac:dyDescent="0.2">
      <c r="A112" s="24"/>
      <c r="B112" s="1"/>
      <c r="C112" s="14"/>
      <c r="D112" s="25"/>
      <c r="G112" s="1"/>
      <c r="L112" s="1"/>
      <c r="M112" s="1"/>
    </row>
    <row r="113" spans="1:13" s="2" customFormat="1" x14ac:dyDescent="0.2">
      <c r="A113" s="24"/>
      <c r="B113" s="1"/>
      <c r="C113" s="14"/>
      <c r="D113" s="25"/>
      <c r="G113" s="1"/>
      <c r="L113" s="1"/>
      <c r="M113" s="1"/>
    </row>
    <row r="114" spans="1:13" s="2" customFormat="1" x14ac:dyDescent="0.2">
      <c r="A114" s="24"/>
      <c r="B114" s="1"/>
      <c r="C114" s="14"/>
      <c r="D114" s="25"/>
      <c r="G114" s="1"/>
      <c r="L114" s="1"/>
      <c r="M114" s="1"/>
    </row>
    <row r="115" spans="1:13" s="2" customFormat="1" x14ac:dyDescent="0.2">
      <c r="A115" s="24"/>
      <c r="B115" s="1"/>
      <c r="C115" s="14"/>
      <c r="D115" s="25"/>
      <c r="G115" s="1"/>
      <c r="L115" s="1"/>
      <c r="M115" s="1"/>
    </row>
    <row r="116" spans="1:13" s="2" customFormat="1" x14ac:dyDescent="0.2">
      <c r="A116" s="24"/>
      <c r="B116" s="1"/>
      <c r="C116" s="14"/>
      <c r="D116" s="25"/>
      <c r="G116" s="1"/>
      <c r="L116" s="1"/>
      <c r="M116" s="1"/>
    </row>
    <row r="117" spans="1:13" s="2" customFormat="1" x14ac:dyDescent="0.2">
      <c r="A117" s="24"/>
      <c r="B117" s="1"/>
      <c r="C117" s="14"/>
      <c r="D117" s="25"/>
      <c r="G117" s="1"/>
      <c r="L117" s="1"/>
      <c r="M117" s="1"/>
    </row>
    <row r="118" spans="1:13" s="2" customFormat="1" x14ac:dyDescent="0.2">
      <c r="A118" s="24"/>
      <c r="B118" s="1"/>
      <c r="C118" s="14"/>
      <c r="D118" s="25"/>
      <c r="G118" s="1"/>
      <c r="L118" s="1"/>
      <c r="M118" s="1"/>
    </row>
    <row r="119" spans="1:13" s="2" customFormat="1" x14ac:dyDescent="0.2">
      <c r="A119" s="24"/>
      <c r="B119" s="1"/>
      <c r="C119" s="14"/>
      <c r="D119" s="25"/>
      <c r="G119" s="1"/>
      <c r="L119" s="1"/>
      <c r="M119" s="1"/>
    </row>
    <row r="120" spans="1:13" s="2" customFormat="1" x14ac:dyDescent="0.2">
      <c r="A120" s="24"/>
      <c r="B120" s="1"/>
      <c r="C120" s="14"/>
      <c r="D120" s="25"/>
      <c r="G120" s="1"/>
      <c r="L120" s="1"/>
      <c r="M120" s="1"/>
    </row>
    <row r="121" spans="1:13" s="2" customFormat="1" x14ac:dyDescent="0.2">
      <c r="A121" s="24"/>
      <c r="B121" s="1"/>
      <c r="C121" s="14"/>
      <c r="D121" s="25"/>
      <c r="G121" s="1"/>
      <c r="L121" s="1"/>
      <c r="M121" s="1"/>
    </row>
    <row r="122" spans="1:13" s="2" customFormat="1" x14ac:dyDescent="0.2">
      <c r="A122" s="24"/>
      <c r="B122" s="1"/>
      <c r="C122" s="14"/>
      <c r="D122" s="25"/>
      <c r="G122" s="1"/>
      <c r="L122" s="1"/>
      <c r="M122" s="1"/>
    </row>
    <row r="123" spans="1:13" s="2" customFormat="1" x14ac:dyDescent="0.2">
      <c r="A123" s="24"/>
      <c r="B123" s="1"/>
      <c r="C123" s="14"/>
      <c r="D123" s="25"/>
      <c r="G123" s="1"/>
      <c r="L123" s="1"/>
      <c r="M123" s="1"/>
    </row>
    <row r="124" spans="1:13" s="2" customFormat="1" x14ac:dyDescent="0.2">
      <c r="A124" s="24"/>
      <c r="B124" s="1"/>
      <c r="C124" s="14"/>
      <c r="D124" s="25"/>
      <c r="G124" s="1"/>
      <c r="L124" s="1"/>
      <c r="M124" s="1"/>
    </row>
    <row r="125" spans="1:13" s="2" customFormat="1" x14ac:dyDescent="0.2">
      <c r="A125" s="24"/>
      <c r="B125" s="1"/>
      <c r="C125" s="14"/>
      <c r="D125" s="25"/>
      <c r="G125" s="1"/>
      <c r="L125" s="1"/>
      <c r="M125" s="1"/>
    </row>
    <row r="126" spans="1:13" s="2" customFormat="1" x14ac:dyDescent="0.2">
      <c r="A126" s="24"/>
      <c r="B126" s="1"/>
      <c r="C126" s="14"/>
      <c r="D126" s="25"/>
      <c r="G126" s="1"/>
      <c r="I126" s="1"/>
      <c r="J126" s="1"/>
      <c r="K126" s="1"/>
      <c r="L126" s="1"/>
      <c r="M126" s="1"/>
    </row>
    <row r="127" spans="1:13" s="2" customFormat="1" x14ac:dyDescent="0.2">
      <c r="A127" s="24"/>
      <c r="B127" s="1"/>
      <c r="C127" s="14"/>
      <c r="D127" s="25"/>
      <c r="G127" s="1"/>
    </row>
    <row r="128" spans="1:13" s="2" customFormat="1" x14ac:dyDescent="0.2">
      <c r="A128" s="24"/>
      <c r="B128" s="1"/>
      <c r="C128" s="14"/>
      <c r="D128" s="25"/>
      <c r="G128" s="1"/>
      <c r="I128" s="1"/>
      <c r="J128" s="1"/>
      <c r="K128" s="1"/>
      <c r="L128" s="1"/>
      <c r="M128" s="1"/>
    </row>
    <row r="129" spans="1:14" s="2" customFormat="1" x14ac:dyDescent="0.2">
      <c r="A129" s="24"/>
      <c r="B129" s="1"/>
      <c r="C129" s="14"/>
      <c r="D129" s="25"/>
      <c r="G129" s="54"/>
      <c r="I129" s="1"/>
      <c r="J129" s="1"/>
      <c r="K129" s="1"/>
      <c r="L129" s="1"/>
      <c r="M129" s="1"/>
    </row>
    <row r="130" spans="1:14" s="2" customFormat="1" x14ac:dyDescent="0.2">
      <c r="A130" s="24"/>
      <c r="B130" s="1"/>
      <c r="C130" s="14"/>
      <c r="D130" s="25"/>
      <c r="G130" s="54"/>
      <c r="I130" s="1"/>
      <c r="J130" s="1"/>
      <c r="K130" s="1"/>
      <c r="L130" s="1"/>
      <c r="M130" s="1"/>
    </row>
    <row r="131" spans="1:14" s="2" customFormat="1" x14ac:dyDescent="0.2">
      <c r="A131" s="24"/>
      <c r="B131" s="1"/>
      <c r="C131" s="14"/>
      <c r="D131" s="25"/>
      <c r="G131" s="54"/>
      <c r="I131" s="1"/>
      <c r="J131" s="1"/>
      <c r="K131" s="1"/>
      <c r="L131" s="1"/>
      <c r="M131" s="1"/>
    </row>
    <row r="132" spans="1:14" s="2" customFormat="1" x14ac:dyDescent="0.2">
      <c r="A132" s="24"/>
      <c r="B132" s="1"/>
      <c r="C132" s="14"/>
      <c r="D132" s="25"/>
      <c r="G132" s="54"/>
      <c r="H132" s="2" t="s">
        <v>396</v>
      </c>
      <c r="I132" s="1"/>
      <c r="J132" s="1"/>
      <c r="K132" s="1"/>
      <c r="L132" s="1"/>
      <c r="M132" s="1"/>
      <c r="N132" s="1"/>
    </row>
    <row r="133" spans="1:14" s="2" customFormat="1" x14ac:dyDescent="0.2">
      <c r="A133" s="24"/>
      <c r="B133" s="1"/>
      <c r="C133" s="14"/>
      <c r="D133" s="25"/>
      <c r="G133" s="54"/>
      <c r="H133" s="53"/>
    </row>
    <row r="134" spans="1:14" s="2" customFormat="1" x14ac:dyDescent="0.2">
      <c r="A134" s="24"/>
      <c r="B134" s="1"/>
      <c r="C134" s="14"/>
      <c r="D134" s="25"/>
      <c r="G134" s="54"/>
      <c r="H134" s="53" t="s">
        <v>396</v>
      </c>
      <c r="I134" s="1"/>
      <c r="J134" s="1"/>
      <c r="K134" s="1"/>
      <c r="L134" s="1"/>
      <c r="M134" s="1"/>
      <c r="N134" s="1"/>
    </row>
    <row r="135" spans="1:14" x14ac:dyDescent="0.2">
      <c r="G135" s="54"/>
      <c r="H135" s="53" t="s">
        <v>396</v>
      </c>
      <c r="J135" s="42"/>
    </row>
    <row r="136" spans="1:14" s="2" customFormat="1" x14ac:dyDescent="0.2">
      <c r="A136" s="24"/>
      <c r="B136" s="1"/>
      <c r="C136" s="14"/>
      <c r="D136" s="25"/>
      <c r="G136" s="54"/>
      <c r="H136" s="53"/>
      <c r="I136" s="101"/>
      <c r="J136" s="1"/>
      <c r="K136" s="1"/>
      <c r="L136" s="1"/>
      <c r="M136" s="1"/>
      <c r="N136" s="1"/>
    </row>
    <row r="137" spans="1:14" x14ac:dyDescent="0.2">
      <c r="G137" s="54"/>
      <c r="H137" s="53"/>
    </row>
    <row r="138" spans="1:14" x14ac:dyDescent="0.2">
      <c r="G138" s="54"/>
      <c r="H138" s="53"/>
    </row>
    <row r="139" spans="1:14" x14ac:dyDescent="0.2">
      <c r="G139" s="54"/>
      <c r="H139" s="53"/>
    </row>
  </sheetData>
  <sheetProtection insertRows="0"/>
  <mergeCells count="6">
    <mergeCell ref="C101:F101"/>
    <mergeCell ref="A1:G1"/>
    <mergeCell ref="A3:F3"/>
    <mergeCell ref="A9:F9"/>
    <mergeCell ref="A19:F19"/>
    <mergeCell ref="A82:D82"/>
  </mergeCells>
  <conditionalFormatting sqref="G79:G80">
    <cfRule type="cellIs" dxfId="255" priority="1" operator="lessThan">
      <formula>0</formula>
    </cfRule>
  </conditionalFormatting>
  <conditionalFormatting sqref="C21">
    <cfRule type="duplicateValues" dxfId="254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300-000000000000}">
  <sheetPr codeName="Sheet459">
    <pageSetUpPr fitToPage="1"/>
  </sheetPr>
  <dimension ref="A1:N148"/>
  <sheetViews>
    <sheetView zoomScaleNormal="100" workbookViewId="0">
      <selection sqref="A1:G1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3" ht="20.25" customHeight="1" x14ac:dyDescent="0.4">
      <c r="A1" s="212" t="s">
        <v>1709</v>
      </c>
      <c r="B1" s="212"/>
      <c r="C1" s="212"/>
      <c r="D1" s="212"/>
      <c r="E1" s="212"/>
      <c r="F1" s="212"/>
      <c r="G1" s="212"/>
      <c r="H1" s="112"/>
      <c r="I1" s="112"/>
    </row>
    <row r="2" spans="1:13" ht="12.75" customHeight="1" x14ac:dyDescent="0.4">
      <c r="H2" s="112"/>
      <c r="I2" s="112"/>
    </row>
    <row r="3" spans="1:13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3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3" s="2" customFormat="1" ht="14.25" customHeight="1" x14ac:dyDescent="0.4">
      <c r="A5" s="89">
        <v>45222</v>
      </c>
      <c r="B5" s="9" t="s">
        <v>6</v>
      </c>
      <c r="C5" s="10" t="s">
        <v>7</v>
      </c>
      <c r="D5" s="11"/>
      <c r="E5" s="12">
        <v>466554.71000000183</v>
      </c>
      <c r="F5" s="12"/>
      <c r="G5" s="1"/>
      <c r="H5" s="112"/>
      <c r="I5" s="112"/>
    </row>
    <row r="6" spans="1:13" s="2" customFormat="1" ht="12.75" customHeight="1" x14ac:dyDescent="0.4">
      <c r="D6" s="15" t="s">
        <v>8</v>
      </c>
      <c r="E6" s="16">
        <f>SUM(E5:E5)</f>
        <v>466554.71000000183</v>
      </c>
      <c r="F6" s="16">
        <f>SUM(F5:F5)</f>
        <v>0</v>
      </c>
      <c r="G6" s="1"/>
      <c r="H6" s="112"/>
      <c r="I6" s="112"/>
    </row>
    <row r="7" spans="1:13" s="2" customFormat="1" ht="12.75" customHeight="1" x14ac:dyDescent="0.4">
      <c r="A7" s="17"/>
      <c r="B7" s="18"/>
      <c r="C7" s="19" t="s">
        <v>9</v>
      </c>
      <c r="D7" s="20"/>
      <c r="E7" s="21">
        <f>+E6-F6</f>
        <v>466554.71000000183</v>
      </c>
      <c r="F7" s="22"/>
      <c r="G7" s="23"/>
      <c r="H7" s="112"/>
      <c r="I7" s="112"/>
      <c r="J7" s="13"/>
    </row>
    <row r="8" spans="1:13" ht="12.75" customHeight="1" x14ac:dyDescent="0.4">
      <c r="H8" s="112"/>
      <c r="I8" s="112"/>
    </row>
    <row r="9" spans="1:13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69">
        <f>90000000-60000000</f>
        <v>30000000</v>
      </c>
      <c r="J9" s="169" t="s">
        <v>1508</v>
      </c>
    </row>
    <row r="10" spans="1:13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69">
        <v>26263476.32</v>
      </c>
      <c r="J10" s="169" t="s">
        <v>1509</v>
      </c>
      <c r="K10" s="124"/>
    </row>
    <row r="11" spans="1:13" s="2" customFormat="1" ht="14.25" customHeight="1" x14ac:dyDescent="0.2">
      <c r="A11" s="89">
        <v>45222</v>
      </c>
      <c r="B11" s="9" t="s">
        <v>6</v>
      </c>
      <c r="C11" s="10" t="s">
        <v>7</v>
      </c>
      <c r="D11" s="11"/>
      <c r="F11" s="12">
        <v>26263476.319999997</v>
      </c>
      <c r="G11" s="1"/>
      <c r="H11" s="130" t="s">
        <v>396</v>
      </c>
      <c r="I11" s="169">
        <f>+I9-I10</f>
        <v>3736523.6799999997</v>
      </c>
      <c r="J11" s="169" t="s">
        <v>712</v>
      </c>
      <c r="K11" s="165" t="s">
        <v>1512</v>
      </c>
    </row>
    <row r="12" spans="1:13" s="2" customFormat="1" ht="14.25" customHeight="1" x14ac:dyDescent="0.2">
      <c r="D12" s="11" t="s">
        <v>8</v>
      </c>
      <c r="E12" s="16">
        <f>E11</f>
        <v>0</v>
      </c>
      <c r="F12" s="16">
        <f>SUM(F11:F11)</f>
        <v>26263476.319999997</v>
      </c>
      <c r="G12" s="1"/>
      <c r="H12" s="143"/>
      <c r="I12" s="130"/>
      <c r="J12" s="143"/>
      <c r="K12" s="143"/>
      <c r="L12" s="143"/>
      <c r="M12" s="143"/>
    </row>
    <row r="13" spans="1:13" s="2" customFormat="1" ht="14.25" customHeight="1" x14ac:dyDescent="0.4">
      <c r="A13" s="17"/>
      <c r="B13" s="18"/>
      <c r="C13" s="96" t="s">
        <v>9</v>
      </c>
      <c r="D13" s="20"/>
      <c r="E13" s="21">
        <f>+F12-E12</f>
        <v>26263476.319999997</v>
      </c>
      <c r="G13" s="1"/>
      <c r="I13" s="112"/>
      <c r="J13" s="153" t="s">
        <v>779</v>
      </c>
    </row>
    <row r="14" spans="1:13" s="2" customFormat="1" ht="14.25" customHeight="1" x14ac:dyDescent="0.2">
      <c r="A14" s="36"/>
      <c r="B14" s="28" t="s">
        <v>66</v>
      </c>
      <c r="C14" s="43" t="s">
        <v>1458</v>
      </c>
      <c r="D14" s="43"/>
      <c r="E14" s="12">
        <f>30000000+60000000</f>
        <v>90000000</v>
      </c>
      <c r="F14" s="22"/>
      <c r="G14" s="1"/>
      <c r="I14" s="40">
        <v>26263476.32</v>
      </c>
      <c r="J14" s="154">
        <f>I14-E13</f>
        <v>0</v>
      </c>
    </row>
    <row r="15" spans="1:13" s="2" customFormat="1" ht="14.25" customHeight="1" x14ac:dyDescent="0.25">
      <c r="A15" s="36"/>
      <c r="B15" s="28"/>
      <c r="C15" s="44" t="s">
        <v>1541</v>
      </c>
      <c r="D15" s="43"/>
      <c r="E15" s="7">
        <f>+E13+E14</f>
        <v>116263476.31999999</v>
      </c>
      <c r="F15" s="22"/>
      <c r="G15" s="1"/>
      <c r="H15" s="13" t="s">
        <v>1582</v>
      </c>
      <c r="I15" s="13" t="s">
        <v>1583</v>
      </c>
    </row>
    <row r="16" spans="1:13" s="2" customFormat="1" ht="14.25" customHeight="1" x14ac:dyDescent="0.25">
      <c r="A16" s="36"/>
      <c r="B16" s="28"/>
      <c r="C16" s="44" t="s">
        <v>1511</v>
      </c>
      <c r="D16" s="43"/>
      <c r="E16" s="38">
        <f>+I11</f>
        <v>3736523.6799999997</v>
      </c>
      <c r="F16" s="22"/>
      <c r="G16" s="1"/>
      <c r="H16" s="2">
        <v>2794445</v>
      </c>
      <c r="I16" s="2">
        <v>6145043.1299999999</v>
      </c>
      <c r="J16" s="176">
        <f>H16-I16</f>
        <v>-3350598.13</v>
      </c>
    </row>
    <row r="17" spans="1:14" s="2" customFormat="1" ht="14.25" customHeight="1" x14ac:dyDescent="0.2">
      <c r="A17" s="24"/>
      <c r="B17" s="1"/>
      <c r="C17" s="14"/>
      <c r="D17" s="25"/>
      <c r="G17" s="1"/>
      <c r="I17" s="130"/>
      <c r="J17" s="130"/>
    </row>
    <row r="18" spans="1:14" s="2" customFormat="1" x14ac:dyDescent="0.2">
      <c r="A18" s="214" t="s">
        <v>10</v>
      </c>
      <c r="B18" s="214"/>
      <c r="C18" s="214"/>
      <c r="D18" s="214"/>
      <c r="E18" s="214"/>
      <c r="F18" s="214"/>
      <c r="G18" s="1"/>
      <c r="H18" s="159"/>
      <c r="I18" s="160">
        <f>225000000-75000000-50000000</f>
        <v>100000000</v>
      </c>
      <c r="J18" s="160" t="s">
        <v>1506</v>
      </c>
      <c r="K18" s="70"/>
    </row>
    <row r="19" spans="1:14" s="2" customFormat="1" x14ac:dyDescent="0.2">
      <c r="A19" s="26" t="s">
        <v>1</v>
      </c>
      <c r="B19" s="27" t="s">
        <v>2</v>
      </c>
      <c r="C19" s="5"/>
      <c r="D19" s="6" t="s">
        <v>3</v>
      </c>
      <c r="E19" s="7" t="s">
        <v>4</v>
      </c>
      <c r="F19" s="7" t="s">
        <v>5</v>
      </c>
      <c r="G19" s="1"/>
      <c r="H19" s="159"/>
      <c r="I19" s="160">
        <v>81301039.939999998</v>
      </c>
      <c r="J19" s="160" t="s">
        <v>1507</v>
      </c>
      <c r="K19" s="70" t="s">
        <v>1512</v>
      </c>
    </row>
    <row r="20" spans="1:14" s="2" customFormat="1" x14ac:dyDescent="0.2">
      <c r="A20" s="89">
        <v>45222</v>
      </c>
      <c r="B20" s="128" t="s">
        <v>11</v>
      </c>
      <c r="C20" s="29" t="s">
        <v>7</v>
      </c>
      <c r="D20" s="25"/>
      <c r="E20" s="31"/>
      <c r="F20" s="2">
        <v>74836150.030000061</v>
      </c>
      <c r="G20" s="23"/>
      <c r="H20" s="159" t="s">
        <v>1505</v>
      </c>
      <c r="I20" s="160">
        <f>+I18-I19</f>
        <v>18698960.060000002</v>
      </c>
      <c r="J20" s="160"/>
      <c r="K20" s="70"/>
    </row>
    <row r="21" spans="1:14" s="2" customFormat="1" x14ac:dyDescent="0.2">
      <c r="A21" s="89">
        <v>45222</v>
      </c>
      <c r="B21" s="128" t="s">
        <v>6</v>
      </c>
      <c r="C21" s="10" t="s">
        <v>15</v>
      </c>
      <c r="D21" s="11" t="s">
        <v>13</v>
      </c>
      <c r="E21" s="86">
        <v>3495.08</v>
      </c>
      <c r="F21" s="70"/>
      <c r="G21" s="1"/>
      <c r="N21" s="1"/>
    </row>
    <row r="22" spans="1:14" s="2" customFormat="1" x14ac:dyDescent="0.2">
      <c r="A22" s="89">
        <v>45222</v>
      </c>
      <c r="B22" s="128" t="s">
        <v>6</v>
      </c>
      <c r="C22" s="10" t="s">
        <v>421</v>
      </c>
      <c r="D22" s="11" t="s">
        <v>13</v>
      </c>
      <c r="E22" s="86">
        <v>500000</v>
      </c>
      <c r="F22" s="70"/>
      <c r="G22" s="1"/>
      <c r="N22" s="1"/>
    </row>
    <row r="23" spans="1:14" s="2" customFormat="1" x14ac:dyDescent="0.2">
      <c r="A23" s="89">
        <v>45222</v>
      </c>
      <c r="B23" s="128" t="s">
        <v>6</v>
      </c>
      <c r="C23" s="10" t="s">
        <v>1647</v>
      </c>
      <c r="D23" s="11" t="s">
        <v>13</v>
      </c>
      <c r="E23" s="86">
        <v>2349</v>
      </c>
      <c r="F23" s="70"/>
      <c r="G23" s="1"/>
      <c r="N23" s="1"/>
    </row>
    <row r="24" spans="1:14" s="2" customFormat="1" x14ac:dyDescent="0.2">
      <c r="A24" s="89">
        <v>45222</v>
      </c>
      <c r="B24" s="128" t="s">
        <v>6</v>
      </c>
      <c r="C24" s="10" t="s">
        <v>320</v>
      </c>
      <c r="D24" s="11" t="s">
        <v>13</v>
      </c>
      <c r="E24" s="86">
        <v>3822</v>
      </c>
      <c r="F24" s="70"/>
      <c r="G24" s="1"/>
      <c r="N24" s="1"/>
    </row>
    <row r="25" spans="1:14" s="2" customFormat="1" x14ac:dyDescent="0.2">
      <c r="A25" s="89">
        <v>45222</v>
      </c>
      <c r="B25" s="128" t="s">
        <v>6</v>
      </c>
      <c r="C25" s="10" t="s">
        <v>633</v>
      </c>
      <c r="D25" s="11" t="s">
        <v>13</v>
      </c>
      <c r="E25" s="86">
        <v>37764</v>
      </c>
      <c r="F25" s="70"/>
      <c r="G25" s="1"/>
      <c r="N25" s="1"/>
    </row>
    <row r="26" spans="1:14" s="2" customFormat="1" x14ac:dyDescent="0.2">
      <c r="A26" s="89">
        <v>45222</v>
      </c>
      <c r="B26" s="128" t="s">
        <v>6</v>
      </c>
      <c r="C26" s="10" t="s">
        <v>538</v>
      </c>
      <c r="D26" s="11" t="s">
        <v>13</v>
      </c>
      <c r="E26" s="86">
        <v>4249</v>
      </c>
      <c r="F26" s="70"/>
      <c r="G26" s="1"/>
      <c r="N26" s="1"/>
    </row>
    <row r="27" spans="1:14" s="2" customFormat="1" x14ac:dyDescent="0.2">
      <c r="A27" s="89">
        <v>45222</v>
      </c>
      <c r="B27" s="128" t="s">
        <v>6</v>
      </c>
      <c r="C27" s="10" t="s">
        <v>1710</v>
      </c>
      <c r="D27" s="11" t="s">
        <v>13</v>
      </c>
      <c r="E27" s="86">
        <v>254366</v>
      </c>
      <c r="F27" s="70"/>
      <c r="G27" s="1"/>
      <c r="N27" s="1"/>
    </row>
    <row r="28" spans="1:14" s="2" customFormat="1" x14ac:dyDescent="0.2">
      <c r="A28" s="89">
        <v>45222</v>
      </c>
      <c r="B28" s="128" t="s">
        <v>6</v>
      </c>
      <c r="C28" s="10" t="s">
        <v>514</v>
      </c>
      <c r="D28" s="11" t="s">
        <v>13</v>
      </c>
      <c r="E28" s="86">
        <v>312102</v>
      </c>
      <c r="F28" s="70"/>
      <c r="G28" s="1"/>
      <c r="N28" s="1"/>
    </row>
    <row r="29" spans="1:14" s="2" customFormat="1" x14ac:dyDescent="0.2">
      <c r="A29" s="89">
        <v>45222</v>
      </c>
      <c r="B29" s="128" t="s">
        <v>6</v>
      </c>
      <c r="C29" s="10" t="s">
        <v>1396</v>
      </c>
      <c r="D29" s="11" t="s">
        <v>13</v>
      </c>
      <c r="E29" s="86">
        <v>747950</v>
      </c>
      <c r="F29" s="70"/>
      <c r="G29" s="1"/>
      <c r="N29" s="1"/>
    </row>
    <row r="30" spans="1:14" s="2" customFormat="1" x14ac:dyDescent="0.2">
      <c r="A30" s="89">
        <v>45222</v>
      </c>
      <c r="B30" s="128" t="s">
        <v>6</v>
      </c>
      <c r="C30" s="10" t="s">
        <v>1549</v>
      </c>
      <c r="D30" s="11" t="s">
        <v>13</v>
      </c>
      <c r="E30" s="86">
        <v>365784</v>
      </c>
      <c r="F30" s="70"/>
      <c r="G30" s="1"/>
      <c r="N30" s="1"/>
    </row>
    <row r="31" spans="1:14" s="2" customFormat="1" x14ac:dyDescent="0.2">
      <c r="A31" s="89">
        <v>45222</v>
      </c>
      <c r="B31" s="128" t="s">
        <v>6</v>
      </c>
      <c r="C31" s="10" t="s">
        <v>1033</v>
      </c>
      <c r="D31" s="11" t="s">
        <v>13</v>
      </c>
      <c r="E31" s="86">
        <v>961991</v>
      </c>
      <c r="F31" s="70"/>
      <c r="G31" s="1"/>
      <c r="N31" s="1"/>
    </row>
    <row r="32" spans="1:14" s="2" customFormat="1" x14ac:dyDescent="0.2">
      <c r="A32" s="89">
        <v>45222</v>
      </c>
      <c r="B32" s="128" t="s">
        <v>6</v>
      </c>
      <c r="C32" s="10" t="s">
        <v>149</v>
      </c>
      <c r="D32" s="11" t="s">
        <v>13</v>
      </c>
      <c r="E32" s="86">
        <v>6155</v>
      </c>
      <c r="F32" s="70"/>
      <c r="G32" s="1"/>
      <c r="N32" s="1"/>
    </row>
    <row r="33" spans="1:14" s="2" customFormat="1" x14ac:dyDescent="0.2">
      <c r="A33" s="89">
        <v>45222</v>
      </c>
      <c r="B33" s="128" t="s">
        <v>6</v>
      </c>
      <c r="C33" s="10" t="s">
        <v>1712</v>
      </c>
      <c r="D33" s="11" t="s">
        <v>13</v>
      </c>
      <c r="E33" s="86">
        <v>1870311</v>
      </c>
      <c r="F33" s="70"/>
      <c r="G33" s="1"/>
      <c r="N33" s="1"/>
    </row>
    <row r="34" spans="1:14" s="2" customFormat="1" x14ac:dyDescent="0.2">
      <c r="A34" s="89">
        <v>45222</v>
      </c>
      <c r="B34" s="128" t="s">
        <v>11</v>
      </c>
      <c r="C34" s="10" t="s">
        <v>64</v>
      </c>
      <c r="D34" s="11" t="s">
        <v>29</v>
      </c>
      <c r="E34" s="86"/>
      <c r="F34" s="70">
        <f>6225.46+8454.87</f>
        <v>14680.330000000002</v>
      </c>
      <c r="G34" s="1"/>
      <c r="N34" s="1"/>
    </row>
    <row r="35" spans="1:14" s="2" customFormat="1" x14ac:dyDescent="0.2">
      <c r="A35" s="89">
        <v>45222</v>
      </c>
      <c r="B35" s="128" t="s">
        <v>11</v>
      </c>
      <c r="C35" s="10" t="s">
        <v>111</v>
      </c>
      <c r="D35" s="11" t="s">
        <v>29</v>
      </c>
      <c r="E35" s="86"/>
      <c r="F35" s="70">
        <v>4529746.13</v>
      </c>
      <c r="G35" s="1"/>
      <c r="N35" s="1"/>
    </row>
    <row r="36" spans="1:14" s="2" customFormat="1" x14ac:dyDescent="0.2">
      <c r="A36" s="89">
        <v>45222</v>
      </c>
      <c r="B36" s="128" t="s">
        <v>11</v>
      </c>
      <c r="C36" s="10" t="s">
        <v>1403</v>
      </c>
      <c r="D36" s="11" t="s">
        <v>29</v>
      </c>
      <c r="E36" s="86"/>
      <c r="F36" s="70">
        <v>1587765</v>
      </c>
      <c r="G36" s="1"/>
      <c r="N36" s="1"/>
    </row>
    <row r="37" spans="1:14" s="2" customFormat="1" x14ac:dyDescent="0.2">
      <c r="A37" s="89">
        <v>45222</v>
      </c>
      <c r="B37" s="128" t="s">
        <v>11</v>
      </c>
      <c r="C37" s="10" t="s">
        <v>506</v>
      </c>
      <c r="D37" s="11" t="s">
        <v>29</v>
      </c>
      <c r="E37" s="86"/>
      <c r="F37" s="70">
        <v>16695</v>
      </c>
      <c r="G37" s="1"/>
      <c r="N37" s="1"/>
    </row>
    <row r="38" spans="1:14" s="2" customFormat="1" x14ac:dyDescent="0.2">
      <c r="A38" s="89">
        <v>45222</v>
      </c>
      <c r="B38" s="128" t="s">
        <v>11</v>
      </c>
      <c r="C38" s="10" t="s">
        <v>199</v>
      </c>
      <c r="D38" s="11" t="s">
        <v>29</v>
      </c>
      <c r="E38" s="86"/>
      <c r="F38" s="70">
        <v>396464</v>
      </c>
      <c r="G38" s="1"/>
      <c r="N38" s="1"/>
    </row>
    <row r="39" spans="1:14" s="2" customFormat="1" x14ac:dyDescent="0.2">
      <c r="A39" s="89">
        <v>45222</v>
      </c>
      <c r="B39" s="128" t="s">
        <v>11</v>
      </c>
      <c r="C39" s="10" t="s">
        <v>442</v>
      </c>
      <c r="D39" s="11" t="s">
        <v>29</v>
      </c>
      <c r="E39" s="86"/>
      <c r="F39" s="70">
        <v>1635934</v>
      </c>
      <c r="G39" s="1"/>
      <c r="N39" s="1"/>
    </row>
    <row r="40" spans="1:14" s="2" customFormat="1" x14ac:dyDescent="0.2">
      <c r="A40" s="89">
        <v>45222</v>
      </c>
      <c r="B40" s="128" t="s">
        <v>11</v>
      </c>
      <c r="C40" s="10" t="s">
        <v>787</v>
      </c>
      <c r="D40" s="11" t="s">
        <v>29</v>
      </c>
      <c r="E40" s="86"/>
      <c r="F40" s="70">
        <v>2504</v>
      </c>
      <c r="G40" s="1"/>
      <c r="N40" s="1"/>
    </row>
    <row r="41" spans="1:14" s="2" customFormat="1" x14ac:dyDescent="0.2">
      <c r="A41" s="89">
        <v>45222</v>
      </c>
      <c r="B41" s="128" t="s">
        <v>11</v>
      </c>
      <c r="C41" s="10" t="s">
        <v>1408</v>
      </c>
      <c r="D41" s="11" t="s">
        <v>29</v>
      </c>
      <c r="E41" s="86"/>
      <c r="F41" s="70">
        <v>58097</v>
      </c>
      <c r="G41" s="1"/>
      <c r="N41" s="1"/>
    </row>
    <row r="42" spans="1:14" s="2" customFormat="1" x14ac:dyDescent="0.2">
      <c r="A42" s="89">
        <v>45222</v>
      </c>
      <c r="B42" s="128" t="s">
        <v>11</v>
      </c>
      <c r="C42" s="10" t="s">
        <v>348</v>
      </c>
      <c r="D42" s="11" t="s">
        <v>29</v>
      </c>
      <c r="E42" s="86"/>
      <c r="F42" s="70">
        <v>71280</v>
      </c>
      <c r="G42" s="1"/>
      <c r="N42" s="1"/>
    </row>
    <row r="43" spans="1:14" s="2" customFormat="1" x14ac:dyDescent="0.2">
      <c r="A43" s="89">
        <v>45222</v>
      </c>
      <c r="B43" s="128" t="s">
        <v>11</v>
      </c>
      <c r="C43" s="10" t="s">
        <v>731</v>
      </c>
      <c r="D43" s="11" t="s">
        <v>29</v>
      </c>
      <c r="E43" s="86"/>
      <c r="F43" s="70">
        <v>108900</v>
      </c>
      <c r="G43" s="1"/>
      <c r="N43" s="1"/>
    </row>
    <row r="44" spans="1:14" s="2" customFormat="1" x14ac:dyDescent="0.2">
      <c r="A44" s="89">
        <v>45222</v>
      </c>
      <c r="B44" s="128" t="s">
        <v>11</v>
      </c>
      <c r="C44" s="10" t="s">
        <v>476</v>
      </c>
      <c r="D44" s="11" t="s">
        <v>29</v>
      </c>
      <c r="E44" s="86"/>
      <c r="F44" s="70">
        <v>115335</v>
      </c>
      <c r="G44" s="1"/>
      <c r="N44" s="1"/>
    </row>
    <row r="45" spans="1:14" s="2" customFormat="1" x14ac:dyDescent="0.2">
      <c r="A45" s="89">
        <v>45222</v>
      </c>
      <c r="B45" s="128" t="s">
        <v>11</v>
      </c>
      <c r="C45" s="10" t="s">
        <v>451</v>
      </c>
      <c r="D45" s="11" t="s">
        <v>29</v>
      </c>
      <c r="E45" s="86"/>
      <c r="F45" s="70">
        <v>10772</v>
      </c>
      <c r="G45" s="1"/>
      <c r="N45" s="1"/>
    </row>
    <row r="46" spans="1:14" s="2" customFormat="1" x14ac:dyDescent="0.2">
      <c r="A46" s="89">
        <v>45222</v>
      </c>
      <c r="B46" s="128" t="s">
        <v>11</v>
      </c>
      <c r="C46" s="10" t="s">
        <v>585</v>
      </c>
      <c r="D46" s="11" t="s">
        <v>29</v>
      </c>
      <c r="E46" s="86"/>
      <c r="F46" s="70">
        <v>20000</v>
      </c>
      <c r="G46" s="1"/>
      <c r="N46" s="1"/>
    </row>
    <row r="47" spans="1:14" s="2" customFormat="1" x14ac:dyDescent="0.2">
      <c r="A47" s="89">
        <v>45222</v>
      </c>
      <c r="B47" s="128" t="s">
        <v>11</v>
      </c>
      <c r="C47" s="10" t="s">
        <v>719</v>
      </c>
      <c r="D47" s="11" t="s">
        <v>29</v>
      </c>
      <c r="E47" s="86"/>
      <c r="F47" s="70">
        <v>24744.2</v>
      </c>
      <c r="G47" s="1"/>
      <c r="N47" s="1"/>
    </row>
    <row r="48" spans="1:14" s="2" customFormat="1" x14ac:dyDescent="0.2">
      <c r="A48" s="89">
        <v>45222</v>
      </c>
      <c r="B48" s="128" t="s">
        <v>11</v>
      </c>
      <c r="C48" s="10" t="s">
        <v>210</v>
      </c>
      <c r="D48" s="11" t="s">
        <v>29</v>
      </c>
      <c r="E48" s="86"/>
      <c r="F48" s="70">
        <v>25252</v>
      </c>
      <c r="G48" s="1"/>
      <c r="N48" s="1"/>
    </row>
    <row r="49" spans="1:14" s="2" customFormat="1" x14ac:dyDescent="0.2">
      <c r="A49" s="89">
        <v>45222</v>
      </c>
      <c r="B49" s="128" t="s">
        <v>11</v>
      </c>
      <c r="C49" s="10" t="s">
        <v>628</v>
      </c>
      <c r="D49" s="11" t="s">
        <v>29</v>
      </c>
      <c r="E49" s="86"/>
      <c r="F49" s="70">
        <v>32422</v>
      </c>
      <c r="G49" s="1"/>
      <c r="N49" s="1"/>
    </row>
    <row r="50" spans="1:14" s="2" customFormat="1" x14ac:dyDescent="0.2">
      <c r="A50" s="89">
        <v>45222</v>
      </c>
      <c r="B50" s="128" t="s">
        <v>11</v>
      </c>
      <c r="C50" s="10" t="s">
        <v>290</v>
      </c>
      <c r="D50" s="11" t="s">
        <v>29</v>
      </c>
      <c r="E50" s="86"/>
      <c r="F50" s="70">
        <v>12140</v>
      </c>
      <c r="G50" s="1"/>
      <c r="N50" s="1"/>
    </row>
    <row r="51" spans="1:14" s="2" customFormat="1" x14ac:dyDescent="0.2">
      <c r="A51" s="89">
        <v>45222</v>
      </c>
      <c r="B51" s="128" t="s">
        <v>11</v>
      </c>
      <c r="C51" s="10" t="s">
        <v>339</v>
      </c>
      <c r="D51" s="11" t="s">
        <v>29</v>
      </c>
      <c r="E51" s="86"/>
      <c r="F51" s="70">
        <v>144990</v>
      </c>
      <c r="G51" s="1"/>
      <c r="N51" s="1"/>
    </row>
    <row r="52" spans="1:14" s="2" customFormat="1" x14ac:dyDescent="0.2">
      <c r="A52" s="89">
        <v>45222</v>
      </c>
      <c r="B52" s="128" t="s">
        <v>11</v>
      </c>
      <c r="C52" s="10" t="s">
        <v>603</v>
      </c>
      <c r="D52" s="11" t="s">
        <v>29</v>
      </c>
      <c r="E52" s="86"/>
      <c r="F52" s="70">
        <v>8510</v>
      </c>
      <c r="G52" s="1"/>
      <c r="N52" s="1"/>
    </row>
    <row r="53" spans="1:14" s="2" customFormat="1" x14ac:dyDescent="0.2">
      <c r="A53" s="89">
        <v>45222</v>
      </c>
      <c r="B53" s="128" t="s">
        <v>11</v>
      </c>
      <c r="C53" s="10" t="s">
        <v>800</v>
      </c>
      <c r="D53" s="11" t="s">
        <v>29</v>
      </c>
      <c r="E53" s="86"/>
      <c r="F53" s="70">
        <v>18171</v>
      </c>
      <c r="G53" s="1"/>
      <c r="N53" s="1"/>
    </row>
    <row r="54" spans="1:14" s="2" customFormat="1" x14ac:dyDescent="0.2">
      <c r="A54" s="89">
        <v>45222</v>
      </c>
      <c r="B54" s="128" t="s">
        <v>11</v>
      </c>
      <c r="C54" s="10" t="s">
        <v>937</v>
      </c>
      <c r="D54" s="11" t="s">
        <v>29</v>
      </c>
      <c r="E54" s="86"/>
      <c r="F54" s="70">
        <v>5061</v>
      </c>
      <c r="G54" s="1"/>
      <c r="N54" s="1"/>
    </row>
    <row r="55" spans="1:14" s="2" customFormat="1" x14ac:dyDescent="0.2">
      <c r="A55" s="89">
        <v>45222</v>
      </c>
      <c r="B55" s="128" t="s">
        <v>11</v>
      </c>
      <c r="C55" s="10" t="s">
        <v>950</v>
      </c>
      <c r="D55" s="11" t="s">
        <v>29</v>
      </c>
      <c r="E55" s="86"/>
      <c r="F55" s="70">
        <v>45143</v>
      </c>
      <c r="G55" s="1"/>
      <c r="N55" s="1"/>
    </row>
    <row r="56" spans="1:14" s="2" customFormat="1" x14ac:dyDescent="0.2">
      <c r="A56" s="89">
        <v>45222</v>
      </c>
      <c r="B56" s="128" t="s">
        <v>11</v>
      </c>
      <c r="C56" s="10" t="s">
        <v>792</v>
      </c>
      <c r="D56" s="11" t="s">
        <v>29</v>
      </c>
      <c r="E56" s="86"/>
      <c r="F56" s="70">
        <v>170603</v>
      </c>
      <c r="G56" s="1"/>
      <c r="N56" s="1"/>
    </row>
    <row r="57" spans="1:14" s="2" customFormat="1" x14ac:dyDescent="0.2">
      <c r="A57" s="89">
        <v>45222</v>
      </c>
      <c r="B57" s="128" t="s">
        <v>11</v>
      </c>
      <c r="C57" s="10" t="s">
        <v>292</v>
      </c>
      <c r="D57" s="11" t="s">
        <v>29</v>
      </c>
      <c r="E57" s="86"/>
      <c r="F57" s="70">
        <v>7908.33</v>
      </c>
      <c r="G57" s="1"/>
      <c r="N57" s="1"/>
    </row>
    <row r="58" spans="1:14" s="2" customFormat="1" x14ac:dyDescent="0.2">
      <c r="A58" s="89">
        <v>45222</v>
      </c>
      <c r="B58" s="128" t="s">
        <v>11</v>
      </c>
      <c r="C58" s="10" t="s">
        <v>1590</v>
      </c>
      <c r="D58" s="11" t="s">
        <v>29</v>
      </c>
      <c r="E58" s="86"/>
      <c r="F58" s="70">
        <v>15000</v>
      </c>
      <c r="G58" s="1"/>
      <c r="N58" s="1"/>
    </row>
    <row r="59" spans="1:14" s="2" customFormat="1" x14ac:dyDescent="0.2">
      <c r="A59" s="89">
        <v>45222</v>
      </c>
      <c r="B59" s="128" t="s">
        <v>11</v>
      </c>
      <c r="C59" s="10" t="s">
        <v>1577</v>
      </c>
      <c r="D59" s="11" t="s">
        <v>29</v>
      </c>
      <c r="E59" s="86"/>
      <c r="F59" s="70">
        <v>62209</v>
      </c>
      <c r="G59" s="1"/>
      <c r="N59" s="1"/>
    </row>
    <row r="60" spans="1:14" s="2" customFormat="1" x14ac:dyDescent="0.2">
      <c r="A60" s="89">
        <v>45222</v>
      </c>
      <c r="B60" s="128" t="s">
        <v>11</v>
      </c>
      <c r="C60" s="10" t="s">
        <v>1711</v>
      </c>
      <c r="D60" s="11" t="s">
        <v>29</v>
      </c>
      <c r="E60" s="86"/>
      <c r="F60" s="70">
        <v>118999</v>
      </c>
      <c r="G60" s="1"/>
      <c r="N60" s="1"/>
    </row>
    <row r="61" spans="1:14" s="2" customFormat="1" x14ac:dyDescent="0.2">
      <c r="A61" s="89">
        <v>45222</v>
      </c>
      <c r="B61" s="128" t="s">
        <v>11</v>
      </c>
      <c r="C61" s="10" t="s">
        <v>209</v>
      </c>
      <c r="D61" s="11" t="s">
        <v>29</v>
      </c>
      <c r="E61" s="86"/>
      <c r="F61" s="70">
        <v>50000</v>
      </c>
      <c r="G61" s="1"/>
      <c r="N61" s="1"/>
    </row>
    <row r="62" spans="1:14" s="2" customFormat="1" x14ac:dyDescent="0.2">
      <c r="A62" s="89">
        <v>45222</v>
      </c>
      <c r="B62" s="128" t="s">
        <v>11</v>
      </c>
      <c r="C62" s="10" t="s">
        <v>482</v>
      </c>
      <c r="D62" s="11" t="s">
        <v>29</v>
      </c>
      <c r="E62" s="86"/>
      <c r="F62" s="70">
        <v>32283</v>
      </c>
      <c r="G62" s="1"/>
      <c r="N62" s="1"/>
    </row>
    <row r="63" spans="1:14" s="2" customFormat="1" x14ac:dyDescent="0.2">
      <c r="A63" s="89">
        <v>45222</v>
      </c>
      <c r="B63" s="128" t="s">
        <v>11</v>
      </c>
      <c r="C63" s="10" t="s">
        <v>62</v>
      </c>
      <c r="D63" s="11" t="s">
        <v>29</v>
      </c>
      <c r="E63" s="86"/>
      <c r="F63" s="70">
        <v>100000</v>
      </c>
      <c r="G63" s="1"/>
      <c r="N63" s="1"/>
    </row>
    <row r="64" spans="1:14" s="2" customFormat="1" x14ac:dyDescent="0.2">
      <c r="A64" s="89">
        <v>45222</v>
      </c>
      <c r="B64" s="128" t="s">
        <v>11</v>
      </c>
      <c r="C64" s="10" t="s">
        <v>951</v>
      </c>
      <c r="D64" s="11" t="s">
        <v>29</v>
      </c>
      <c r="E64" s="86"/>
      <c r="F64" s="70">
        <v>2165</v>
      </c>
      <c r="G64" s="1"/>
      <c r="N64" s="1"/>
    </row>
    <row r="65" spans="1:14" s="2" customFormat="1" x14ac:dyDescent="0.2">
      <c r="A65" s="89">
        <v>45222</v>
      </c>
      <c r="B65" s="128" t="s">
        <v>11</v>
      </c>
      <c r="C65" s="10" t="s">
        <v>1124</v>
      </c>
      <c r="D65" s="11" t="s">
        <v>29</v>
      </c>
      <c r="E65" s="86"/>
      <c r="F65" s="70">
        <v>18069</v>
      </c>
      <c r="G65" s="1"/>
      <c r="N65" s="1"/>
    </row>
    <row r="66" spans="1:14" s="2" customFormat="1" x14ac:dyDescent="0.2">
      <c r="A66" s="89">
        <v>45222</v>
      </c>
      <c r="B66" s="128" t="s">
        <v>11</v>
      </c>
      <c r="C66" s="10" t="s">
        <v>196</v>
      </c>
      <c r="D66" s="11" t="s">
        <v>29</v>
      </c>
      <c r="E66" s="86"/>
      <c r="F66" s="70">
        <v>62128</v>
      </c>
      <c r="G66" s="1"/>
      <c r="N66" s="1"/>
    </row>
    <row r="67" spans="1:14" s="2" customFormat="1" x14ac:dyDescent="0.2">
      <c r="A67" s="89">
        <v>45222</v>
      </c>
      <c r="B67" s="128" t="s">
        <v>11</v>
      </c>
      <c r="C67" s="10" t="s">
        <v>57</v>
      </c>
      <c r="D67" s="11" t="s">
        <v>29</v>
      </c>
      <c r="E67" s="86"/>
      <c r="F67" s="70">
        <v>3500000</v>
      </c>
      <c r="G67" s="1"/>
      <c r="N67" s="1"/>
    </row>
    <row r="68" spans="1:14" s="2" customFormat="1" x14ac:dyDescent="0.2">
      <c r="A68" s="32"/>
      <c r="B68" s="33"/>
      <c r="C68" s="14"/>
      <c r="D68" s="34"/>
      <c r="E68" s="16">
        <f>SUM(E20:E67)</f>
        <v>5070338.08</v>
      </c>
      <c r="F68" s="16">
        <f>SUM(F20:F67)</f>
        <v>87860120.020000055</v>
      </c>
      <c r="G68" s="1"/>
      <c r="H68" s="1"/>
      <c r="I68" s="38">
        <v>82789781.939999998</v>
      </c>
      <c r="J68" s="2" t="s">
        <v>396</v>
      </c>
      <c r="K68" s="92">
        <f>E69-I68</f>
        <v>0</v>
      </c>
      <c r="N68" s="1"/>
    </row>
    <row r="69" spans="1:14" s="2" customFormat="1" x14ac:dyDescent="0.2">
      <c r="A69" s="36"/>
      <c r="B69" s="28" t="s">
        <v>11</v>
      </c>
      <c r="C69" s="19" t="s">
        <v>65</v>
      </c>
      <c r="D69" s="37"/>
      <c r="E69" s="38">
        <f>F68-E68</f>
        <v>82789781.940000057</v>
      </c>
      <c r="F69" s="22"/>
      <c r="G69" s="1"/>
      <c r="H69" s="1"/>
      <c r="I69" s="70"/>
      <c r="J69" s="70"/>
      <c r="K69" s="70"/>
      <c r="N69" s="1"/>
    </row>
    <row r="70" spans="1:14" s="2" customFormat="1" x14ac:dyDescent="0.2">
      <c r="A70" s="36"/>
      <c r="B70" s="28" t="s">
        <v>66</v>
      </c>
      <c r="C70" s="19" t="s">
        <v>67</v>
      </c>
      <c r="D70" s="37"/>
      <c r="E70" s="38">
        <v>6500000</v>
      </c>
      <c r="F70" s="22"/>
      <c r="G70" s="1"/>
      <c r="H70" s="70"/>
      <c r="I70" s="70"/>
      <c r="J70" s="70"/>
      <c r="K70" s="70"/>
      <c r="N70" s="1"/>
    </row>
    <row r="71" spans="1:14" s="2" customFormat="1" x14ac:dyDescent="0.2">
      <c r="A71" s="36"/>
      <c r="B71" s="28" t="s">
        <v>66</v>
      </c>
      <c r="C71" s="43" t="s">
        <v>1457</v>
      </c>
      <c r="D71" s="43"/>
      <c r="E71" s="12">
        <f>275000000+75000000+50000000</f>
        <v>400000000</v>
      </c>
      <c r="F71" s="22"/>
      <c r="G71" s="1"/>
      <c r="H71" s="70"/>
      <c r="I71" s="45">
        <v>2011.64</v>
      </c>
      <c r="J71" s="46"/>
      <c r="K71" s="46"/>
      <c r="N71" s="1"/>
    </row>
    <row r="72" spans="1:14" s="2" customFormat="1" ht="15" x14ac:dyDescent="0.25">
      <c r="A72" s="36"/>
      <c r="B72" s="28"/>
      <c r="C72" s="44" t="s">
        <v>1541</v>
      </c>
      <c r="D72" s="43"/>
      <c r="E72" s="7">
        <f>+E71+E69+E70</f>
        <v>489289781.94000006</v>
      </c>
      <c r="F72" s="22"/>
      <c r="G72" s="1"/>
      <c r="H72" s="103" t="s">
        <v>69</v>
      </c>
      <c r="I72" s="45">
        <v>-202.78</v>
      </c>
      <c r="J72" s="46"/>
      <c r="K72" s="46"/>
      <c r="N72" s="1"/>
    </row>
    <row r="73" spans="1:14" s="2" customFormat="1" ht="15" x14ac:dyDescent="0.25">
      <c r="A73" s="24"/>
      <c r="B73" s="1"/>
      <c r="C73" s="44" t="s">
        <v>1510</v>
      </c>
      <c r="D73" s="25"/>
      <c r="E73" s="156">
        <f>+I20-E70+H16-I16</f>
        <v>8848361.9300000034</v>
      </c>
      <c r="G73" s="1"/>
      <c r="H73" s="35" t="s">
        <v>70</v>
      </c>
      <c r="I73" s="45">
        <v>66.13</v>
      </c>
      <c r="J73" s="46">
        <f>+I74-D76</f>
        <v>0</v>
      </c>
      <c r="N73" s="1"/>
    </row>
    <row r="74" spans="1:14" s="124" customFormat="1" ht="12.75" customHeight="1" x14ac:dyDescent="0.2">
      <c r="A74" s="24"/>
      <c r="B74" s="1"/>
      <c r="C74" s="56"/>
      <c r="D74" s="56"/>
      <c r="E74" s="104"/>
      <c r="F74" s="2"/>
      <c r="G74" s="166"/>
      <c r="H74" s="70"/>
      <c r="I74" s="49">
        <f>SUM(I71:I73)</f>
        <v>1874.9900000000002</v>
      </c>
      <c r="J74" s="46"/>
      <c r="K74" s="46"/>
    </row>
    <row r="75" spans="1:14" s="124" customFormat="1" ht="12.75" customHeight="1" x14ac:dyDescent="0.2">
      <c r="A75" s="24"/>
      <c r="B75" s="1"/>
      <c r="C75" s="78" t="s">
        <v>575</v>
      </c>
      <c r="D75" s="48" t="s">
        <v>576</v>
      </c>
      <c r="E75" s="104"/>
      <c r="F75" s="2"/>
      <c r="G75" s="168"/>
      <c r="H75" s="167"/>
      <c r="I75" s="167"/>
      <c r="J75" s="168"/>
    </row>
    <row r="76" spans="1:14" s="124" customFormat="1" ht="12.75" customHeight="1" x14ac:dyDescent="0.2">
      <c r="A76" s="24"/>
      <c r="B76" s="1"/>
      <c r="C76" s="47" t="s">
        <v>570</v>
      </c>
      <c r="D76" s="111">
        <v>1874.99</v>
      </c>
      <c r="E76" s="104"/>
      <c r="F76" s="2"/>
      <c r="G76" s="168"/>
      <c r="H76" s="110" t="s">
        <v>581</v>
      </c>
      <c r="I76" s="167"/>
      <c r="J76" s="168"/>
    </row>
    <row r="77" spans="1:14" s="124" customFormat="1" ht="12.75" customHeight="1" x14ac:dyDescent="0.2">
      <c r="A77" s="24"/>
      <c r="B77" s="1"/>
      <c r="C77" s="47" t="s">
        <v>931</v>
      </c>
      <c r="D77" s="111">
        <v>214.66</v>
      </c>
      <c r="E77" s="104"/>
      <c r="F77" s="2"/>
      <c r="G77" s="168"/>
      <c r="H77" s="110" t="s">
        <v>580</v>
      </c>
      <c r="I77" s="167"/>
      <c r="J77" s="168"/>
    </row>
    <row r="78" spans="1:14" s="124" customFormat="1" ht="12.75" customHeight="1" x14ac:dyDescent="0.2">
      <c r="A78" s="24"/>
      <c r="B78" s="1"/>
      <c r="C78" s="47" t="s">
        <v>572</v>
      </c>
      <c r="D78" s="111">
        <f>+D108/100000</f>
        <v>250.41284119999997</v>
      </c>
      <c r="E78" s="104"/>
      <c r="F78" s="2"/>
      <c r="G78" s="166"/>
      <c r="H78" s="90" t="s">
        <v>587</v>
      </c>
      <c r="I78" s="167"/>
      <c r="J78" s="168"/>
    </row>
    <row r="79" spans="1:14" s="2" customFormat="1" x14ac:dyDescent="0.2">
      <c r="A79" s="24"/>
      <c r="B79" s="1"/>
      <c r="C79" s="108" t="s">
        <v>578</v>
      </c>
      <c r="D79" s="48">
        <f>SUM(D76:D78)</f>
        <v>2340.0628412000001</v>
      </c>
      <c r="E79" s="104"/>
      <c r="G79" s="30"/>
      <c r="I79" s="13"/>
      <c r="J79" s="13"/>
    </row>
    <row r="80" spans="1:14" s="70" customFormat="1" x14ac:dyDescent="0.2">
      <c r="A80" s="24"/>
      <c r="B80" s="1"/>
      <c r="C80" s="47"/>
      <c r="D80" s="107"/>
      <c r="E80" s="104"/>
      <c r="F80" s="2"/>
      <c r="G80" s="30"/>
      <c r="H80" s="2"/>
    </row>
    <row r="81" spans="1:14" s="70" customFormat="1" x14ac:dyDescent="0.2">
      <c r="A81" s="24"/>
      <c r="B81" s="1"/>
      <c r="C81" s="47" t="s">
        <v>932</v>
      </c>
      <c r="D81" s="111">
        <v>91.19</v>
      </c>
      <c r="E81" s="104"/>
      <c r="F81" s="2"/>
      <c r="G81" s="30"/>
      <c r="H81" s="110" t="s">
        <v>581</v>
      </c>
    </row>
    <row r="82" spans="1:14" s="70" customFormat="1" x14ac:dyDescent="0.2">
      <c r="A82" s="24"/>
      <c r="B82" s="1"/>
      <c r="C82" s="136" t="s">
        <v>1142</v>
      </c>
      <c r="D82" s="111">
        <v>539.07000000000005</v>
      </c>
      <c r="E82" s="104"/>
      <c r="F82" s="2"/>
      <c r="G82" s="30"/>
      <c r="H82" s="110" t="s">
        <v>581</v>
      </c>
    </row>
    <row r="83" spans="1:14" s="70" customFormat="1" x14ac:dyDescent="0.2">
      <c r="A83" s="24"/>
      <c r="B83" s="1"/>
      <c r="C83" s="78" t="s">
        <v>579</v>
      </c>
      <c r="D83" s="109">
        <f>D81+D82</f>
        <v>630.26</v>
      </c>
      <c r="E83" s="104"/>
      <c r="F83" s="2"/>
      <c r="G83" s="30"/>
    </row>
    <row r="84" spans="1:14" s="70" customFormat="1" x14ac:dyDescent="0.2">
      <c r="A84" s="24"/>
      <c r="B84" s="1"/>
      <c r="C84" s="105"/>
      <c r="D84" s="106"/>
      <c r="E84" s="104"/>
      <c r="F84" s="2"/>
      <c r="G84" s="30"/>
      <c r="I84" s="2"/>
      <c r="J84" s="114" t="s">
        <v>713</v>
      </c>
      <c r="K84" s="2"/>
      <c r="L84" s="2"/>
      <c r="M84" s="2"/>
    </row>
    <row r="85" spans="1:14" s="70" customFormat="1" x14ac:dyDescent="0.2">
      <c r="A85" s="24"/>
      <c r="B85" s="1"/>
      <c r="C85" s="78" t="s">
        <v>577</v>
      </c>
      <c r="D85" s="109">
        <f>D76+D83</f>
        <v>2505.25</v>
      </c>
      <c r="E85" s="104"/>
      <c r="F85" s="2"/>
      <c r="G85" s="30"/>
      <c r="I85" s="113"/>
      <c r="J85" s="113" t="s">
        <v>709</v>
      </c>
      <c r="K85" s="113" t="s">
        <v>710</v>
      </c>
      <c r="L85" s="113" t="s">
        <v>711</v>
      </c>
      <c r="M85" s="113" t="s">
        <v>712</v>
      </c>
    </row>
    <row r="86" spans="1:14" s="70" customFormat="1" x14ac:dyDescent="0.2">
      <c r="A86" s="24"/>
      <c r="B86" s="1"/>
      <c r="C86" s="56"/>
      <c r="D86" s="56"/>
      <c r="E86" s="104"/>
      <c r="F86" s="2"/>
      <c r="G86" s="30"/>
      <c r="I86" s="113" t="s">
        <v>706</v>
      </c>
      <c r="J86" s="115"/>
      <c r="K86" s="115">
        <v>968.99</v>
      </c>
      <c r="L86" s="115">
        <v>968.99</v>
      </c>
      <c r="M86" s="113">
        <f>+J86+L86-K86</f>
        <v>0</v>
      </c>
    </row>
    <row r="87" spans="1:14" s="70" customFormat="1" ht="38.25" x14ac:dyDescent="0.2">
      <c r="A87" s="24"/>
      <c r="B87" s="1"/>
      <c r="C87" s="79" t="str">
        <f>"Particulars ( 01-04-2021 to "&amp;TEXT(A5,"dd-mm-yyyy")&amp;" )"</f>
        <v>Particulars ( 01-04-2021 to 23-10-2023 )</v>
      </c>
      <c r="D87" s="80" t="s">
        <v>73</v>
      </c>
      <c r="E87" s="80" t="s">
        <v>74</v>
      </c>
      <c r="F87" s="81" t="s">
        <v>75</v>
      </c>
      <c r="G87" s="80" t="s">
        <v>76</v>
      </c>
      <c r="I87" s="113" t="s">
        <v>707</v>
      </c>
      <c r="J87" s="115">
        <v>183.1</v>
      </c>
      <c r="K87" s="115">
        <v>3841.97</v>
      </c>
      <c r="L87" s="115">
        <v>4050.28</v>
      </c>
      <c r="M87" s="113">
        <f>+J87+L87-K87</f>
        <v>391.41000000000031</v>
      </c>
    </row>
    <row r="88" spans="1:14" s="70" customFormat="1" x14ac:dyDescent="0.2">
      <c r="A88" s="24"/>
      <c r="B88" s="1"/>
      <c r="C88" s="50" t="s">
        <v>444</v>
      </c>
      <c r="D88" s="55">
        <f>+L86+L87+J87</f>
        <v>5202.3700000000008</v>
      </c>
      <c r="E88" s="55">
        <f>+K86+K87</f>
        <v>4810.96</v>
      </c>
      <c r="F88" s="55">
        <f>+D88-E88</f>
        <v>391.41000000000076</v>
      </c>
      <c r="G88" s="55">
        <f>1500-F88</f>
        <v>1108.5899999999992</v>
      </c>
      <c r="I88" s="113" t="s">
        <v>708</v>
      </c>
      <c r="J88" s="115">
        <v>1371.02</v>
      </c>
      <c r="K88" s="115">
        <v>14690.68</v>
      </c>
      <c r="L88" s="115">
        <v>14331.39</v>
      </c>
      <c r="M88" s="113">
        <f>+J88+L88-K88</f>
        <v>1011.7299999999996</v>
      </c>
    </row>
    <row r="89" spans="1:14" s="70" customFormat="1" ht="12.75" customHeight="1" x14ac:dyDescent="0.2">
      <c r="A89" s="24"/>
      <c r="B89" s="1"/>
      <c r="C89" s="50" t="s">
        <v>71</v>
      </c>
      <c r="D89" s="55">
        <f>+J88+L88</f>
        <v>15702.41</v>
      </c>
      <c r="E89" s="55">
        <f>+K88</f>
        <v>14690.68</v>
      </c>
      <c r="F89" s="55">
        <f>+D89-E89</f>
        <v>1011.7299999999996</v>
      </c>
      <c r="G89" s="55">
        <f>1500+700-F89</f>
        <v>1188.2700000000004</v>
      </c>
      <c r="I89" s="2"/>
      <c r="J89" s="118">
        <f>SUM(J86:J88)</f>
        <v>1554.12</v>
      </c>
      <c r="K89" s="118">
        <f>SUM(K86:K88)</f>
        <v>19501.64</v>
      </c>
      <c r="L89" s="118">
        <f>SUM(L86:L88)</f>
        <v>19350.66</v>
      </c>
      <c r="M89" s="118">
        <f>SUM(M86:M88)</f>
        <v>1403.1399999999999</v>
      </c>
    </row>
    <row r="90" spans="1:14" s="70" customFormat="1" ht="12.75" customHeight="1" x14ac:dyDescent="0.2">
      <c r="A90" s="24"/>
      <c r="B90" s="1"/>
      <c r="C90" s="14"/>
      <c r="D90" s="56"/>
      <c r="E90" s="13"/>
      <c r="F90" s="2"/>
      <c r="G90" s="30"/>
    </row>
    <row r="91" spans="1:14" s="70" customFormat="1" ht="12.75" customHeight="1" x14ac:dyDescent="0.2">
      <c r="A91" s="215" t="s">
        <v>80</v>
      </c>
      <c r="B91" s="216"/>
      <c r="C91" s="216"/>
      <c r="D91" s="217"/>
      <c r="E91" s="69"/>
      <c r="G91" s="30"/>
    </row>
    <row r="92" spans="1:14" s="70" customFormat="1" ht="12.75" customHeight="1" x14ac:dyDescent="0.2">
      <c r="A92" s="71" t="s">
        <v>81</v>
      </c>
      <c r="B92" s="71"/>
      <c r="C92" s="72" t="s">
        <v>82</v>
      </c>
      <c r="D92" s="73" t="s">
        <v>83</v>
      </c>
      <c r="E92" s="69"/>
      <c r="G92" s="30"/>
    </row>
    <row r="93" spans="1:14" s="70" customFormat="1" ht="12.75" customHeight="1" x14ac:dyDescent="0.2">
      <c r="A93" s="87">
        <v>45203</v>
      </c>
      <c r="B93" s="120" t="s">
        <v>1052</v>
      </c>
      <c r="C93" s="75" t="s">
        <v>18</v>
      </c>
      <c r="D93" s="88">
        <v>193358.43</v>
      </c>
      <c r="E93" s="2"/>
      <c r="F93" s="2"/>
      <c r="G93" s="30"/>
      <c r="H93" s="2"/>
      <c r="I93" s="2"/>
      <c r="J93" s="2"/>
      <c r="K93" s="2"/>
      <c r="L93" s="41"/>
      <c r="M93" s="42"/>
      <c r="N93" s="2"/>
    </row>
    <row r="94" spans="1:14" s="70" customFormat="1" ht="12.75" customHeight="1" x14ac:dyDescent="0.2">
      <c r="A94" s="87">
        <v>45203</v>
      </c>
      <c r="B94" s="120" t="s">
        <v>1052</v>
      </c>
      <c r="C94" s="75" t="s">
        <v>270</v>
      </c>
      <c r="D94" s="88">
        <v>254277</v>
      </c>
      <c r="E94" s="2"/>
      <c r="F94" s="2"/>
      <c r="G94" s="30"/>
      <c r="H94" s="2"/>
      <c r="I94" s="2"/>
      <c r="J94" s="2"/>
      <c r="K94" s="2"/>
      <c r="L94" s="41"/>
      <c r="M94" s="42"/>
      <c r="N94" s="2"/>
    </row>
    <row r="95" spans="1:14" s="70" customFormat="1" ht="12.75" customHeight="1" x14ac:dyDescent="0.2">
      <c r="A95" s="87">
        <v>45204</v>
      </c>
      <c r="B95" s="120" t="s">
        <v>1052</v>
      </c>
      <c r="C95" s="75" t="s">
        <v>85</v>
      </c>
      <c r="D95" s="88">
        <v>765297</v>
      </c>
      <c r="E95" s="2"/>
      <c r="F95" s="2"/>
      <c r="G95" s="30"/>
      <c r="H95" s="2"/>
      <c r="I95" s="2"/>
      <c r="J95" s="2"/>
      <c r="K95" s="2"/>
      <c r="L95" s="41"/>
      <c r="M95" s="42"/>
      <c r="N95" s="2"/>
    </row>
    <row r="96" spans="1:14" s="70" customFormat="1" ht="12.75" customHeight="1" x14ac:dyDescent="0.2">
      <c r="A96" s="87">
        <v>45209</v>
      </c>
      <c r="B96" s="120" t="s">
        <v>1052</v>
      </c>
      <c r="C96" s="75" t="s">
        <v>606</v>
      </c>
      <c r="D96" s="88">
        <v>2261658</v>
      </c>
      <c r="E96" s="2"/>
      <c r="F96" s="2"/>
      <c r="G96" s="30"/>
      <c r="H96" s="2"/>
      <c r="I96" s="2"/>
      <c r="J96" s="2"/>
      <c r="K96" s="2"/>
      <c r="L96" s="41"/>
      <c r="M96" s="42"/>
      <c r="N96" s="2"/>
    </row>
    <row r="97" spans="1:14" s="70" customFormat="1" ht="12.75" customHeight="1" x14ac:dyDescent="0.2">
      <c r="A97" s="87">
        <v>45211</v>
      </c>
      <c r="B97" s="120" t="s">
        <v>1052</v>
      </c>
      <c r="C97" s="75" t="s">
        <v>18</v>
      </c>
      <c r="D97" s="88">
        <v>35919</v>
      </c>
      <c r="E97" s="2"/>
      <c r="F97" s="2"/>
      <c r="G97" s="30"/>
      <c r="H97" s="2"/>
      <c r="I97" s="2"/>
      <c r="J97" s="2"/>
      <c r="K97" s="2"/>
      <c r="L97" s="41"/>
      <c r="M97" s="42"/>
      <c r="N97" s="2"/>
    </row>
    <row r="98" spans="1:14" s="70" customFormat="1" ht="12.75" customHeight="1" x14ac:dyDescent="0.2">
      <c r="A98" s="87">
        <v>45211</v>
      </c>
      <c r="B98" s="120" t="s">
        <v>1052</v>
      </c>
      <c r="C98" s="75" t="s">
        <v>84</v>
      </c>
      <c r="D98" s="88">
        <v>856347</v>
      </c>
      <c r="E98" s="2"/>
      <c r="F98" s="2"/>
      <c r="G98" s="30"/>
      <c r="H98" s="2"/>
      <c r="I98" s="2"/>
      <c r="J98" s="2"/>
      <c r="K98" s="2"/>
      <c r="L98" s="41"/>
      <c r="M98" s="42"/>
      <c r="N98" s="2"/>
    </row>
    <row r="99" spans="1:14" s="70" customFormat="1" ht="12.75" customHeight="1" x14ac:dyDescent="0.2">
      <c r="A99" s="87">
        <v>45212</v>
      </c>
      <c r="B99" s="120" t="s">
        <v>1052</v>
      </c>
      <c r="C99" s="75" t="s">
        <v>201</v>
      </c>
      <c r="D99" s="88">
        <v>1600267.2</v>
      </c>
      <c r="E99" s="2"/>
      <c r="F99" s="2"/>
      <c r="G99" s="30"/>
      <c r="H99" s="2"/>
      <c r="I99" s="2"/>
      <c r="J99" s="2"/>
      <c r="K99" s="2"/>
      <c r="L99" s="41"/>
      <c r="M99" s="42"/>
      <c r="N99" s="2"/>
    </row>
    <row r="100" spans="1:14" s="70" customFormat="1" ht="12.75" customHeight="1" x14ac:dyDescent="0.2">
      <c r="A100" s="87">
        <v>45215</v>
      </c>
      <c r="B100" s="120" t="s">
        <v>1052</v>
      </c>
      <c r="C100" s="75" t="s">
        <v>1683</v>
      </c>
      <c r="D100" s="88">
        <v>6496492</v>
      </c>
      <c r="E100" s="2"/>
      <c r="F100" s="2"/>
      <c r="G100" s="30"/>
      <c r="H100" s="2"/>
      <c r="I100" s="2"/>
      <c r="J100" s="2"/>
      <c r="K100" s="2"/>
      <c r="L100" s="41"/>
      <c r="M100" s="42"/>
      <c r="N100" s="2"/>
    </row>
    <row r="101" spans="1:14" s="70" customFormat="1" ht="12.75" customHeight="1" x14ac:dyDescent="0.2">
      <c r="A101" s="87">
        <v>45217</v>
      </c>
      <c r="B101" s="120" t="s">
        <v>1052</v>
      </c>
      <c r="C101" s="75" t="s">
        <v>1084</v>
      </c>
      <c r="D101" s="88">
        <v>1789287</v>
      </c>
      <c r="E101" s="2"/>
      <c r="F101" s="2"/>
      <c r="G101" s="30"/>
      <c r="H101" s="2"/>
      <c r="I101" s="2"/>
      <c r="J101" s="2"/>
      <c r="K101" s="2"/>
      <c r="L101" s="41"/>
      <c r="M101" s="42"/>
      <c r="N101" s="2"/>
    </row>
    <row r="102" spans="1:14" s="70" customFormat="1" ht="12.75" customHeight="1" x14ac:dyDescent="0.2">
      <c r="A102" s="87">
        <v>45218</v>
      </c>
      <c r="B102" s="120" t="s">
        <v>1052</v>
      </c>
      <c r="C102" s="75" t="s">
        <v>606</v>
      </c>
      <c r="D102" s="88">
        <v>189973.92</v>
      </c>
      <c r="E102" s="2"/>
      <c r="F102" s="2"/>
      <c r="G102" s="30"/>
      <c r="H102" s="2"/>
      <c r="I102" s="2"/>
      <c r="J102" s="2"/>
      <c r="K102" s="2"/>
      <c r="L102" s="41"/>
      <c r="M102" s="42"/>
      <c r="N102" s="2"/>
    </row>
    <row r="103" spans="1:14" s="70" customFormat="1" ht="12.75" customHeight="1" x14ac:dyDescent="0.2">
      <c r="A103" s="87">
        <v>45218</v>
      </c>
      <c r="B103" s="120" t="s">
        <v>1052</v>
      </c>
      <c r="C103" s="75" t="s">
        <v>18</v>
      </c>
      <c r="D103" s="88">
        <v>734545</v>
      </c>
      <c r="E103" s="2"/>
      <c r="F103" s="2"/>
      <c r="G103" s="30"/>
      <c r="H103" s="2"/>
      <c r="I103" s="2"/>
      <c r="J103" s="2"/>
      <c r="K103" s="2"/>
      <c r="L103" s="41"/>
      <c r="M103" s="42"/>
      <c r="N103" s="2"/>
    </row>
    <row r="104" spans="1:14" s="70" customFormat="1" ht="12.75" customHeight="1" x14ac:dyDescent="0.2">
      <c r="A104" s="87">
        <v>45219</v>
      </c>
      <c r="B104" s="120" t="s">
        <v>1052</v>
      </c>
      <c r="C104" s="75" t="s">
        <v>270</v>
      </c>
      <c r="D104" s="88">
        <v>302951</v>
      </c>
      <c r="E104" s="2"/>
      <c r="F104" s="2"/>
      <c r="G104" s="30"/>
      <c r="H104" s="2"/>
      <c r="I104" s="2"/>
      <c r="J104" s="2"/>
      <c r="K104" s="2"/>
      <c r="L104" s="41"/>
      <c r="M104" s="42"/>
      <c r="N104" s="2"/>
    </row>
    <row r="105" spans="1:14" s="70" customFormat="1" ht="12.75" customHeight="1" x14ac:dyDescent="0.2">
      <c r="A105" s="87">
        <v>45219</v>
      </c>
      <c r="B105" s="120" t="s">
        <v>1052</v>
      </c>
      <c r="C105" s="75" t="s">
        <v>270</v>
      </c>
      <c r="D105" s="88">
        <v>6923</v>
      </c>
      <c r="E105" s="2"/>
      <c r="F105" s="2"/>
      <c r="G105" s="30"/>
      <c r="H105" s="2"/>
      <c r="I105" s="2"/>
      <c r="J105" s="2"/>
      <c r="K105" s="2"/>
      <c r="L105" s="41"/>
      <c r="M105" s="42"/>
      <c r="N105" s="2"/>
    </row>
    <row r="106" spans="1:14" s="70" customFormat="1" ht="12.75" customHeight="1" x14ac:dyDescent="0.2">
      <c r="A106" s="87">
        <v>45219</v>
      </c>
      <c r="B106" s="120" t="s">
        <v>1052</v>
      </c>
      <c r="C106" s="75" t="s">
        <v>88</v>
      </c>
      <c r="D106" s="88">
        <v>9230617.5700000003</v>
      </c>
      <c r="E106" s="2"/>
      <c r="F106" s="2"/>
      <c r="G106" s="30"/>
      <c r="H106" s="2"/>
      <c r="I106" s="2"/>
      <c r="J106" s="2"/>
      <c r="K106" s="2"/>
      <c r="L106" s="41"/>
      <c r="M106" s="42"/>
      <c r="N106" s="2"/>
    </row>
    <row r="107" spans="1:14" s="70" customFormat="1" ht="12.75" customHeight="1" x14ac:dyDescent="0.2">
      <c r="A107" s="87">
        <v>45220</v>
      </c>
      <c r="B107" s="120" t="s">
        <v>1052</v>
      </c>
      <c r="C107" s="75" t="s">
        <v>85</v>
      </c>
      <c r="D107" s="88">
        <v>323371</v>
      </c>
      <c r="E107" s="2"/>
      <c r="F107" s="2"/>
      <c r="G107" s="30"/>
      <c r="H107" s="2"/>
      <c r="I107" s="2"/>
      <c r="J107" s="2"/>
      <c r="K107" s="2"/>
      <c r="L107" s="41"/>
      <c r="M107" s="42"/>
      <c r="N107" s="2"/>
    </row>
    <row r="108" spans="1:14" s="2" customFormat="1" x14ac:dyDescent="0.2">
      <c r="A108" s="87"/>
      <c r="B108" s="74"/>
      <c r="C108" s="75"/>
      <c r="D108" s="51">
        <f>SUM(D93:D107)</f>
        <v>25041284.119999997</v>
      </c>
      <c r="F108" s="2" t="s">
        <v>396</v>
      </c>
      <c r="G108" s="1"/>
    </row>
    <row r="109" spans="1:14" s="2" customFormat="1" x14ac:dyDescent="0.2">
      <c r="A109" s="24"/>
      <c r="B109" s="1"/>
      <c r="C109" s="14"/>
      <c r="D109" s="56"/>
      <c r="E109" s="13"/>
      <c r="G109" s="1"/>
    </row>
    <row r="110" spans="1:14" s="2" customFormat="1" x14ac:dyDescent="0.2">
      <c r="A110" s="24"/>
      <c r="B110" s="1"/>
      <c r="C110" s="218" t="s">
        <v>77</v>
      </c>
      <c r="D110" s="219"/>
      <c r="E110" s="219"/>
      <c r="F110" s="220"/>
      <c r="H110" s="2" t="s">
        <v>396</v>
      </c>
    </row>
    <row r="111" spans="1:14" s="2" customFormat="1" x14ac:dyDescent="0.2">
      <c r="A111" s="24"/>
      <c r="B111" s="1"/>
      <c r="C111" s="50"/>
      <c r="D111" s="57" t="s">
        <v>78</v>
      </c>
      <c r="E111" s="58" t="s">
        <v>79</v>
      </c>
      <c r="F111" s="57" t="s">
        <v>72</v>
      </c>
      <c r="H111" s="2" t="s">
        <v>396</v>
      </c>
    </row>
    <row r="112" spans="1:14" s="2" customFormat="1" x14ac:dyDescent="0.2">
      <c r="A112" s="24"/>
      <c r="B112" s="1"/>
      <c r="C112" s="59" t="str">
        <f>"01-10-2023 to "&amp;TEXT(A5-2,"dd-mm-yyyy")</f>
        <v>01-10-2023 to 21-10-2023</v>
      </c>
      <c r="D112" s="60">
        <v>1748.45</v>
      </c>
      <c r="E112" s="60">
        <v>363.27</v>
      </c>
      <c r="F112" s="61">
        <f>SUM(D112:E112)</f>
        <v>2111.7200000000003</v>
      </c>
    </row>
    <row r="113" spans="1:13" s="2" customFormat="1" x14ac:dyDescent="0.2">
      <c r="A113" s="24"/>
      <c r="B113" s="1"/>
      <c r="C113" s="62" t="str">
        <f>TEXT(A5-1,"dd-mm-yyyy")</f>
        <v>22-10-2023</v>
      </c>
      <c r="D113" s="60">
        <v>3.73</v>
      </c>
      <c r="E113" s="60">
        <v>6.6</v>
      </c>
      <c r="F113" s="61">
        <f>SUM(D113:E113)</f>
        <v>10.33</v>
      </c>
      <c r="G113" s="1"/>
      <c r="H113" s="53"/>
    </row>
    <row r="114" spans="1:13" s="2" customFormat="1" ht="13.5" thickBot="1" x14ac:dyDescent="0.25">
      <c r="A114" s="24"/>
      <c r="B114" s="1"/>
      <c r="C114" s="63" t="str">
        <f>"01-10-2023 to "&amp;TEXT(A5-1,"dd-mm-yyyy")</f>
        <v>01-10-2023 to 22-10-2023</v>
      </c>
      <c r="D114" s="64">
        <f>SUM(D112:D113)</f>
        <v>1752.18</v>
      </c>
      <c r="E114" s="64">
        <f>SUM(E112:E113)</f>
        <v>369.87</v>
      </c>
      <c r="F114" s="64">
        <f>SUM(F112:F113)</f>
        <v>2122.0500000000002</v>
      </c>
      <c r="G114" s="1"/>
      <c r="H114" s="53"/>
    </row>
    <row r="115" spans="1:13" s="2" customFormat="1" ht="13.5" thickTop="1" x14ac:dyDescent="0.2">
      <c r="A115" s="24"/>
      <c r="B115" s="1"/>
      <c r="C115" s="62"/>
      <c r="D115" s="65"/>
      <c r="E115" s="66"/>
      <c r="F115" s="67"/>
      <c r="L115" s="1"/>
      <c r="M115" s="1"/>
    </row>
    <row r="116" spans="1:13" s="2" customFormat="1" x14ac:dyDescent="0.2">
      <c r="A116" s="24"/>
      <c r="B116" s="1"/>
      <c r="C116" s="62" t="str">
        <f>"01-04-2023 to " &amp;C113</f>
        <v>01-04-2023 to 22-10-2023</v>
      </c>
      <c r="D116" s="68">
        <f>+D114+27003.42</f>
        <v>28755.599999999999</v>
      </c>
      <c r="E116" s="68">
        <f>+E114+2028.43</f>
        <v>2398.3000000000002</v>
      </c>
      <c r="F116" s="68">
        <f>+F114+29031.85</f>
        <v>31153.899999999998</v>
      </c>
      <c r="G116" s="1"/>
      <c r="L116" s="1"/>
      <c r="M116" s="1"/>
    </row>
    <row r="117" spans="1:13" s="2" customFormat="1" x14ac:dyDescent="0.2">
      <c r="A117" s="24"/>
      <c r="B117" s="1"/>
      <c r="C117" s="52"/>
      <c r="D117" s="85"/>
      <c r="E117" s="53"/>
      <c r="F117" s="53"/>
      <c r="G117" s="1"/>
      <c r="L117" s="1"/>
      <c r="M117" s="1"/>
    </row>
    <row r="118" spans="1:13" s="2" customFormat="1" x14ac:dyDescent="0.2">
      <c r="A118" s="24"/>
      <c r="B118" s="1"/>
      <c r="C118" s="52"/>
      <c r="D118" s="85"/>
      <c r="E118" s="53"/>
      <c r="F118" s="53"/>
      <c r="G118" s="1"/>
      <c r="L118" s="1"/>
      <c r="M118" s="1"/>
    </row>
    <row r="119" spans="1:13" s="2" customFormat="1" x14ac:dyDescent="0.2">
      <c r="A119" s="24"/>
      <c r="B119" s="1"/>
      <c r="C119" s="52"/>
      <c r="D119" s="85"/>
      <c r="E119" s="53"/>
      <c r="F119" s="53"/>
      <c r="G119" s="1"/>
      <c r="L119" s="1"/>
      <c r="M119" s="1"/>
    </row>
    <row r="120" spans="1:13" s="2" customFormat="1" x14ac:dyDescent="0.2">
      <c r="A120" s="24"/>
      <c r="B120" s="1"/>
      <c r="C120" s="52"/>
      <c r="D120" s="85"/>
      <c r="E120" s="53"/>
      <c r="F120" s="53"/>
      <c r="G120" s="1"/>
      <c r="L120" s="1"/>
      <c r="M120" s="1"/>
    </row>
    <row r="121" spans="1:13" s="2" customFormat="1" x14ac:dyDescent="0.2">
      <c r="A121" s="24"/>
      <c r="B121" s="1"/>
      <c r="C121" s="14"/>
      <c r="D121" s="25"/>
      <c r="G121" s="1"/>
      <c r="L121" s="1"/>
      <c r="M121" s="1"/>
    </row>
    <row r="122" spans="1:13" s="2" customFormat="1" x14ac:dyDescent="0.2">
      <c r="A122" s="24"/>
      <c r="B122" s="1"/>
      <c r="C122" s="14"/>
      <c r="D122" s="25"/>
      <c r="G122" s="1"/>
      <c r="L122" s="1"/>
      <c r="M122" s="1"/>
    </row>
    <row r="123" spans="1:13" s="2" customFormat="1" x14ac:dyDescent="0.2">
      <c r="A123" s="24"/>
      <c r="B123" s="1"/>
      <c r="C123" s="14"/>
      <c r="D123" s="25"/>
      <c r="G123" s="1"/>
      <c r="L123" s="1"/>
      <c r="M123" s="1"/>
    </row>
    <row r="124" spans="1:13" s="2" customFormat="1" x14ac:dyDescent="0.2">
      <c r="A124" s="24"/>
      <c r="B124" s="1"/>
      <c r="C124" s="14"/>
      <c r="D124" s="25"/>
      <c r="G124" s="1"/>
      <c r="L124" s="1"/>
      <c r="M124" s="1"/>
    </row>
    <row r="125" spans="1:13" s="2" customFormat="1" x14ac:dyDescent="0.2">
      <c r="A125" s="24"/>
      <c r="B125" s="1"/>
      <c r="C125" s="14"/>
      <c r="D125" s="25"/>
      <c r="G125" s="1"/>
      <c r="L125" s="1"/>
      <c r="M125" s="1"/>
    </row>
    <row r="126" spans="1:13" s="2" customFormat="1" x14ac:dyDescent="0.2">
      <c r="A126" s="24"/>
      <c r="B126" s="1"/>
      <c r="C126" s="14"/>
      <c r="D126" s="25"/>
      <c r="G126" s="1"/>
      <c r="L126" s="1"/>
      <c r="M126" s="1"/>
    </row>
    <row r="127" spans="1:13" s="2" customFormat="1" x14ac:dyDescent="0.2">
      <c r="A127" s="24"/>
      <c r="B127" s="1"/>
      <c r="C127" s="14"/>
      <c r="D127" s="25"/>
      <c r="G127" s="1"/>
      <c r="L127" s="1"/>
      <c r="M127" s="1"/>
    </row>
    <row r="128" spans="1:13" s="2" customFormat="1" x14ac:dyDescent="0.2">
      <c r="A128" s="24"/>
      <c r="B128" s="1"/>
      <c r="C128" s="14"/>
      <c r="D128" s="25"/>
      <c r="G128" s="1"/>
      <c r="L128" s="1"/>
      <c r="M128" s="1"/>
    </row>
    <row r="129" spans="1:14" s="2" customFormat="1" x14ac:dyDescent="0.2">
      <c r="A129" s="24"/>
      <c r="B129" s="1"/>
      <c r="C129" s="14"/>
      <c r="D129" s="25"/>
      <c r="G129" s="1"/>
      <c r="L129" s="1"/>
      <c r="M129" s="1"/>
    </row>
    <row r="130" spans="1:14" s="2" customFormat="1" x14ac:dyDescent="0.2">
      <c r="A130" s="24"/>
      <c r="B130" s="1"/>
      <c r="C130" s="14"/>
      <c r="D130" s="25"/>
      <c r="G130" s="1"/>
      <c r="L130" s="1"/>
      <c r="M130" s="1"/>
    </row>
    <row r="131" spans="1:14" s="2" customFormat="1" x14ac:dyDescent="0.2">
      <c r="A131" s="24"/>
      <c r="B131" s="1"/>
      <c r="C131" s="14"/>
      <c r="D131" s="25"/>
      <c r="G131" s="1"/>
      <c r="L131" s="1"/>
      <c r="M131" s="1"/>
    </row>
    <row r="132" spans="1:14" s="2" customFormat="1" x14ac:dyDescent="0.2">
      <c r="A132" s="24"/>
      <c r="B132" s="1"/>
      <c r="C132" s="14"/>
      <c r="D132" s="25"/>
      <c r="G132" s="1"/>
      <c r="L132" s="1"/>
      <c r="M132" s="1"/>
    </row>
    <row r="133" spans="1:14" s="2" customFormat="1" x14ac:dyDescent="0.2">
      <c r="A133" s="24"/>
      <c r="B133" s="1"/>
      <c r="C133" s="14"/>
      <c r="D133" s="25"/>
      <c r="G133" s="1"/>
      <c r="L133" s="1"/>
      <c r="M133" s="1"/>
    </row>
    <row r="134" spans="1:14" s="2" customFormat="1" x14ac:dyDescent="0.2">
      <c r="A134" s="24"/>
      <c r="B134" s="1"/>
      <c r="C134" s="14"/>
      <c r="D134" s="25"/>
      <c r="G134" s="1"/>
      <c r="L134" s="1"/>
      <c r="M134" s="1"/>
    </row>
    <row r="135" spans="1:14" s="2" customFormat="1" x14ac:dyDescent="0.2">
      <c r="A135" s="24"/>
      <c r="B135" s="1"/>
      <c r="C135" s="14"/>
      <c r="D135" s="25"/>
      <c r="G135" s="1"/>
      <c r="I135" s="1"/>
      <c r="J135" s="1"/>
      <c r="K135" s="1"/>
      <c r="L135" s="1"/>
      <c r="M135" s="1"/>
    </row>
    <row r="136" spans="1:14" s="2" customFormat="1" x14ac:dyDescent="0.2">
      <c r="A136" s="24"/>
      <c r="B136" s="1"/>
      <c r="C136" s="14"/>
      <c r="D136" s="25"/>
      <c r="G136" s="1"/>
    </row>
    <row r="137" spans="1:14" s="2" customFormat="1" x14ac:dyDescent="0.2">
      <c r="A137" s="24"/>
      <c r="B137" s="1"/>
      <c r="C137" s="14"/>
      <c r="D137" s="25"/>
      <c r="G137" s="1"/>
      <c r="I137" s="1"/>
      <c r="J137" s="1"/>
      <c r="K137" s="1"/>
      <c r="L137" s="1"/>
      <c r="M137" s="1"/>
    </row>
    <row r="138" spans="1:14" s="2" customFormat="1" x14ac:dyDescent="0.2">
      <c r="A138" s="24"/>
      <c r="B138" s="1"/>
      <c r="C138" s="14"/>
      <c r="D138" s="25"/>
      <c r="G138" s="54"/>
      <c r="I138" s="1"/>
      <c r="J138" s="1"/>
      <c r="K138" s="1"/>
      <c r="L138" s="1"/>
      <c r="M138" s="1"/>
    </row>
    <row r="139" spans="1:14" s="2" customFormat="1" x14ac:dyDescent="0.2">
      <c r="A139" s="24"/>
      <c r="B139" s="1"/>
      <c r="C139" s="14"/>
      <c r="D139" s="25"/>
      <c r="G139" s="54"/>
      <c r="I139" s="1"/>
      <c r="J139" s="1"/>
      <c r="K139" s="1"/>
      <c r="L139" s="1"/>
      <c r="M139" s="1"/>
    </row>
    <row r="140" spans="1:14" s="2" customFormat="1" x14ac:dyDescent="0.2">
      <c r="A140" s="24"/>
      <c r="B140" s="1"/>
      <c r="C140" s="14"/>
      <c r="D140" s="25"/>
      <c r="G140" s="54"/>
      <c r="I140" s="1"/>
      <c r="J140" s="1"/>
      <c r="K140" s="1"/>
      <c r="L140" s="1"/>
      <c r="M140" s="1"/>
    </row>
    <row r="141" spans="1:14" s="2" customFormat="1" x14ac:dyDescent="0.2">
      <c r="A141" s="24"/>
      <c r="B141" s="1"/>
      <c r="C141" s="14"/>
      <c r="D141" s="25"/>
      <c r="G141" s="54"/>
      <c r="H141" s="2" t="s">
        <v>396</v>
      </c>
      <c r="I141" s="1"/>
      <c r="J141" s="1"/>
      <c r="K141" s="1"/>
      <c r="L141" s="1"/>
      <c r="M141" s="1"/>
      <c r="N141" s="1"/>
    </row>
    <row r="142" spans="1:14" s="2" customFormat="1" x14ac:dyDescent="0.2">
      <c r="A142" s="24"/>
      <c r="B142" s="1"/>
      <c r="C142" s="14"/>
      <c r="D142" s="25"/>
      <c r="G142" s="54"/>
      <c r="H142" s="53"/>
    </row>
    <row r="143" spans="1:14" s="2" customFormat="1" x14ac:dyDescent="0.2">
      <c r="A143" s="24"/>
      <c r="B143" s="1"/>
      <c r="C143" s="14"/>
      <c r="D143" s="25"/>
      <c r="G143" s="54"/>
      <c r="H143" s="53" t="s">
        <v>396</v>
      </c>
      <c r="I143" s="1"/>
      <c r="J143" s="1"/>
      <c r="K143" s="1"/>
      <c r="L143" s="1"/>
      <c r="M143" s="1"/>
      <c r="N143" s="1"/>
    </row>
    <row r="144" spans="1:14" x14ac:dyDescent="0.2">
      <c r="G144" s="54"/>
      <c r="H144" s="53" t="s">
        <v>396</v>
      </c>
      <c r="J144" s="42"/>
    </row>
    <row r="145" spans="1:14" s="2" customFormat="1" x14ac:dyDescent="0.2">
      <c r="A145" s="24"/>
      <c r="B145" s="1"/>
      <c r="C145" s="14"/>
      <c r="D145" s="25"/>
      <c r="G145" s="54"/>
      <c r="H145" s="53"/>
      <c r="I145" s="101"/>
      <c r="J145" s="1"/>
      <c r="K145" s="1"/>
      <c r="L145" s="1"/>
      <c r="M145" s="1"/>
      <c r="N145" s="1"/>
    </row>
    <row r="146" spans="1:14" x14ac:dyDescent="0.2">
      <c r="G146" s="54"/>
      <c r="H146" s="53"/>
    </row>
    <row r="147" spans="1:14" x14ac:dyDescent="0.2">
      <c r="G147" s="54"/>
      <c r="H147" s="53"/>
    </row>
    <row r="148" spans="1:14" x14ac:dyDescent="0.2">
      <c r="G148" s="54"/>
      <c r="H148" s="53"/>
    </row>
  </sheetData>
  <sheetProtection insertRows="0"/>
  <mergeCells count="6">
    <mergeCell ref="C110:F110"/>
    <mergeCell ref="A1:G1"/>
    <mergeCell ref="A3:F3"/>
    <mergeCell ref="A9:F9"/>
    <mergeCell ref="A18:F18"/>
    <mergeCell ref="A91:D91"/>
  </mergeCells>
  <conditionalFormatting sqref="G88:G89">
    <cfRule type="cellIs" dxfId="253" priority="1" operator="lessThan">
      <formula>0</formula>
    </cfRule>
  </conditionalFormatting>
  <conditionalFormatting sqref="C20">
    <cfRule type="duplicateValues" dxfId="252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400-000000000000}">
  <sheetPr codeName="Sheet460">
    <pageSetUpPr fitToPage="1"/>
  </sheetPr>
  <dimension ref="A1:N151"/>
  <sheetViews>
    <sheetView zoomScaleNormal="100" workbookViewId="0">
      <selection sqref="A1:G1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3" ht="20.25" customHeight="1" x14ac:dyDescent="0.4">
      <c r="A1" s="212" t="s">
        <v>1713</v>
      </c>
      <c r="B1" s="212"/>
      <c r="C1" s="212"/>
      <c r="D1" s="212"/>
      <c r="E1" s="212"/>
      <c r="F1" s="212"/>
      <c r="G1" s="212"/>
      <c r="H1" s="112"/>
      <c r="I1" s="112"/>
    </row>
    <row r="2" spans="1:13" ht="12.75" customHeight="1" x14ac:dyDescent="0.4">
      <c r="H2" s="112"/>
      <c r="I2" s="112"/>
    </row>
    <row r="3" spans="1:13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3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3" s="2" customFormat="1" ht="14.25" customHeight="1" x14ac:dyDescent="0.4">
      <c r="A5" s="89">
        <v>45224</v>
      </c>
      <c r="B5" s="9" t="s">
        <v>6</v>
      </c>
      <c r="C5" s="10" t="s">
        <v>7</v>
      </c>
      <c r="D5" s="11"/>
      <c r="E5" s="12">
        <v>466554.71000000183</v>
      </c>
      <c r="F5" s="12"/>
      <c r="G5" s="1"/>
      <c r="H5" s="112"/>
      <c r="I5" s="112"/>
    </row>
    <row r="6" spans="1:13" s="2" customFormat="1" ht="12.75" customHeight="1" x14ac:dyDescent="0.4">
      <c r="D6" s="15" t="s">
        <v>8</v>
      </c>
      <c r="E6" s="16">
        <f>SUM(E5:E5)</f>
        <v>466554.71000000183</v>
      </c>
      <c r="F6" s="16">
        <f>SUM(F5:F5)</f>
        <v>0</v>
      </c>
      <c r="G6" s="1"/>
      <c r="H6" s="112"/>
      <c r="I6" s="112"/>
    </row>
    <row r="7" spans="1:13" s="2" customFormat="1" ht="12.75" customHeight="1" x14ac:dyDescent="0.4">
      <c r="A7" s="17"/>
      <c r="B7" s="18"/>
      <c r="C7" s="19" t="s">
        <v>9</v>
      </c>
      <c r="D7" s="20"/>
      <c r="E7" s="21">
        <f>+E6-F6</f>
        <v>466554.71000000183</v>
      </c>
      <c r="F7" s="22"/>
      <c r="G7" s="23"/>
      <c r="H7" s="112"/>
      <c r="I7" s="112"/>
      <c r="J7" s="13"/>
    </row>
    <row r="8" spans="1:13" ht="12.75" customHeight="1" x14ac:dyDescent="0.4">
      <c r="H8" s="112"/>
      <c r="I8" s="112"/>
    </row>
    <row r="9" spans="1:13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69">
        <f>90000000-60000000</f>
        <v>30000000</v>
      </c>
      <c r="J9" s="169" t="s">
        <v>1508</v>
      </c>
    </row>
    <row r="10" spans="1:13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69">
        <v>29045693.32</v>
      </c>
      <c r="J10" s="169" t="s">
        <v>1509</v>
      </c>
      <c r="K10" s="124"/>
    </row>
    <row r="11" spans="1:13" s="2" customFormat="1" ht="14.25" customHeight="1" x14ac:dyDescent="0.2">
      <c r="A11" s="89">
        <v>45224</v>
      </c>
      <c r="B11" s="9" t="s">
        <v>6</v>
      </c>
      <c r="C11" s="10" t="s">
        <v>7</v>
      </c>
      <c r="D11" s="11"/>
      <c r="F11" s="12">
        <v>26263476.319999997</v>
      </c>
      <c r="G11" s="1"/>
      <c r="H11" s="130" t="s">
        <v>396</v>
      </c>
      <c r="I11" s="169">
        <f>+I9-I10</f>
        <v>954306.6799999997</v>
      </c>
      <c r="J11" s="169" t="s">
        <v>712</v>
      </c>
      <c r="K11" s="165" t="s">
        <v>1512</v>
      </c>
    </row>
    <row r="12" spans="1:13" s="2" customFormat="1" ht="14.25" customHeight="1" x14ac:dyDescent="0.2">
      <c r="A12" s="89">
        <v>45224</v>
      </c>
      <c r="B12" s="9" t="s">
        <v>11</v>
      </c>
      <c r="C12" s="10" t="s">
        <v>64</v>
      </c>
      <c r="D12" s="11" t="s">
        <v>29</v>
      </c>
      <c r="F12" s="12">
        <v>59000</v>
      </c>
      <c r="G12" s="1"/>
      <c r="H12" s="130"/>
      <c r="I12" s="169"/>
      <c r="J12" s="169"/>
      <c r="K12" s="165"/>
    </row>
    <row r="13" spans="1:13" s="2" customFormat="1" ht="14.25" customHeight="1" x14ac:dyDescent="0.2">
      <c r="A13" s="89">
        <v>45224</v>
      </c>
      <c r="B13" s="9" t="s">
        <v>11</v>
      </c>
      <c r="C13" s="10" t="s">
        <v>1363</v>
      </c>
      <c r="D13" s="11" t="s">
        <v>29</v>
      </c>
      <c r="F13" s="12">
        <v>2723217</v>
      </c>
      <c r="G13" s="1"/>
      <c r="H13" s="130"/>
      <c r="I13" s="169"/>
      <c r="J13" s="169"/>
      <c r="K13" s="165"/>
    </row>
    <row r="14" spans="1:13" s="2" customFormat="1" ht="14.25" customHeight="1" x14ac:dyDescent="0.2">
      <c r="D14" s="11" t="s">
        <v>8</v>
      </c>
      <c r="E14" s="16">
        <f>E11</f>
        <v>0</v>
      </c>
      <c r="F14" s="16">
        <f>SUM(F11:F13)</f>
        <v>29045693.319999997</v>
      </c>
      <c r="G14" s="1"/>
      <c r="H14" s="143"/>
      <c r="I14" s="130"/>
      <c r="J14" s="143"/>
      <c r="K14" s="143"/>
      <c r="L14" s="143"/>
      <c r="M14" s="143"/>
    </row>
    <row r="15" spans="1:13" s="2" customFormat="1" ht="14.25" customHeight="1" x14ac:dyDescent="0.4">
      <c r="A15" s="17"/>
      <c r="B15" s="18"/>
      <c r="C15" s="96" t="s">
        <v>9</v>
      </c>
      <c r="D15" s="20"/>
      <c r="E15" s="21">
        <f>+F14-E14</f>
        <v>29045693.319999997</v>
      </c>
      <c r="G15" s="1"/>
      <c r="I15" s="112"/>
      <c r="J15" s="153" t="s">
        <v>779</v>
      </c>
    </row>
    <row r="16" spans="1:13" s="2" customFormat="1" ht="14.25" customHeight="1" x14ac:dyDescent="0.2">
      <c r="A16" s="36"/>
      <c r="B16" s="28" t="s">
        <v>66</v>
      </c>
      <c r="C16" s="43" t="s">
        <v>1458</v>
      </c>
      <c r="D16" s="43"/>
      <c r="E16" s="12">
        <f>30000000+60000000</f>
        <v>90000000</v>
      </c>
      <c r="F16" s="22"/>
      <c r="G16" s="1"/>
      <c r="I16" s="40">
        <v>29045693.32</v>
      </c>
      <c r="J16" s="154">
        <f>I16-E15</f>
        <v>0</v>
      </c>
    </row>
    <row r="17" spans="1:14" s="2" customFormat="1" ht="14.25" customHeight="1" x14ac:dyDescent="0.25">
      <c r="A17" s="36"/>
      <c r="B17" s="28"/>
      <c r="C17" s="44" t="s">
        <v>1541</v>
      </c>
      <c r="D17" s="43"/>
      <c r="E17" s="7">
        <f>+E15+E16</f>
        <v>119045693.31999999</v>
      </c>
      <c r="F17" s="22"/>
      <c r="G17" s="1"/>
      <c r="H17" s="13" t="s">
        <v>1582</v>
      </c>
      <c r="I17" s="13" t="s">
        <v>1583</v>
      </c>
    </row>
    <row r="18" spans="1:14" s="2" customFormat="1" ht="14.25" customHeight="1" x14ac:dyDescent="0.25">
      <c r="A18" s="36"/>
      <c r="B18" s="28"/>
      <c r="C18" s="44" t="s">
        <v>1511</v>
      </c>
      <c r="D18" s="43"/>
      <c r="E18" s="38">
        <f>+I11</f>
        <v>954306.6799999997</v>
      </c>
      <c r="F18" s="22"/>
      <c r="G18" s="1"/>
      <c r="H18" s="2">
        <v>948715</v>
      </c>
      <c r="I18" s="2">
        <v>8874985.5800000001</v>
      </c>
      <c r="J18" s="176">
        <f>H18-I18</f>
        <v>-7926270.5800000001</v>
      </c>
    </row>
    <row r="19" spans="1:14" s="2" customFormat="1" ht="14.25" customHeight="1" x14ac:dyDescent="0.2">
      <c r="A19" s="24"/>
      <c r="B19" s="1"/>
      <c r="C19" s="14"/>
      <c r="D19" s="25"/>
      <c r="G19" s="1"/>
      <c r="I19" s="130"/>
      <c r="J19" s="130"/>
    </row>
    <row r="20" spans="1:14" s="2" customFormat="1" x14ac:dyDescent="0.2">
      <c r="A20" s="214" t="s">
        <v>10</v>
      </c>
      <c r="B20" s="214"/>
      <c r="C20" s="214"/>
      <c r="D20" s="214"/>
      <c r="E20" s="214"/>
      <c r="F20" s="214"/>
      <c r="G20" s="1"/>
      <c r="H20" s="159"/>
      <c r="I20" s="160">
        <f>225000000-75000000-50000000</f>
        <v>100000000</v>
      </c>
      <c r="J20" s="160" t="s">
        <v>1506</v>
      </c>
      <c r="K20" s="70"/>
    </row>
    <row r="21" spans="1:14" s="2" customFormat="1" x14ac:dyDescent="0.2">
      <c r="A21" s="26" t="s">
        <v>1</v>
      </c>
      <c r="B21" s="27" t="s">
        <v>2</v>
      </c>
      <c r="C21" s="5"/>
      <c r="D21" s="6" t="s">
        <v>3</v>
      </c>
      <c r="E21" s="7" t="s">
        <v>4</v>
      </c>
      <c r="F21" s="7" t="s">
        <v>5</v>
      </c>
      <c r="G21" s="1"/>
      <c r="H21" s="159"/>
      <c r="I21" s="160">
        <v>84319259.25</v>
      </c>
      <c r="J21" s="160" t="s">
        <v>1507</v>
      </c>
      <c r="K21" s="70" t="s">
        <v>1512</v>
      </c>
    </row>
    <row r="22" spans="1:14" s="2" customFormat="1" x14ac:dyDescent="0.2">
      <c r="A22" s="89">
        <v>45224</v>
      </c>
      <c r="B22" s="128" t="s">
        <v>11</v>
      </c>
      <c r="C22" s="29" t="s">
        <v>7</v>
      </c>
      <c r="D22" s="25"/>
      <c r="E22" s="31"/>
      <c r="F22" s="2">
        <v>82789781.940000057</v>
      </c>
      <c r="G22" s="23"/>
      <c r="H22" s="159" t="s">
        <v>1505</v>
      </c>
      <c r="I22" s="160">
        <f>+I20-I21</f>
        <v>15680740.75</v>
      </c>
      <c r="J22" s="160"/>
      <c r="K22" s="70"/>
    </row>
    <row r="23" spans="1:14" s="2" customFormat="1" x14ac:dyDescent="0.2">
      <c r="A23" s="89">
        <v>45224</v>
      </c>
      <c r="B23" s="128" t="s">
        <v>6</v>
      </c>
      <c r="C23" s="10" t="s">
        <v>19</v>
      </c>
      <c r="D23" s="11" t="s">
        <v>13</v>
      </c>
      <c r="E23" s="86">
        <v>2360</v>
      </c>
      <c r="F23" s="70"/>
      <c r="G23" s="1"/>
      <c r="N23" s="1"/>
    </row>
    <row r="24" spans="1:14" s="2" customFormat="1" x14ac:dyDescent="0.2">
      <c r="A24" s="89">
        <v>45224</v>
      </c>
      <c r="B24" s="128" t="s">
        <v>6</v>
      </c>
      <c r="C24" s="10" t="s">
        <v>24</v>
      </c>
      <c r="D24" s="11" t="s">
        <v>13</v>
      </c>
      <c r="E24" s="86">
        <v>74063</v>
      </c>
      <c r="F24" s="70"/>
      <c r="G24" s="1"/>
      <c r="N24" s="1"/>
    </row>
    <row r="25" spans="1:14" s="2" customFormat="1" x14ac:dyDescent="0.2">
      <c r="A25" s="89">
        <v>45224</v>
      </c>
      <c r="B25" s="128" t="s">
        <v>6</v>
      </c>
      <c r="C25" s="10" t="s">
        <v>966</v>
      </c>
      <c r="D25" s="11" t="s">
        <v>13</v>
      </c>
      <c r="E25" s="86">
        <v>598403</v>
      </c>
      <c r="F25" s="70"/>
      <c r="G25" s="1"/>
      <c r="N25" s="1"/>
    </row>
    <row r="26" spans="1:14" s="2" customFormat="1" x14ac:dyDescent="0.2">
      <c r="A26" s="89">
        <v>45224</v>
      </c>
      <c r="B26" s="128" t="s">
        <v>6</v>
      </c>
      <c r="C26" s="10" t="s">
        <v>240</v>
      </c>
      <c r="D26" s="11" t="s">
        <v>13</v>
      </c>
      <c r="E26" s="86">
        <v>350312</v>
      </c>
      <c r="F26" s="70"/>
      <c r="G26" s="1"/>
      <c r="N26" s="1"/>
    </row>
    <row r="27" spans="1:14" s="2" customFormat="1" x14ac:dyDescent="0.2">
      <c r="A27" s="89">
        <v>45224</v>
      </c>
      <c r="B27" s="128" t="s">
        <v>6</v>
      </c>
      <c r="C27" s="10" t="s">
        <v>1471</v>
      </c>
      <c r="D27" s="11" t="s">
        <v>13</v>
      </c>
      <c r="E27" s="86">
        <v>1996504</v>
      </c>
      <c r="F27" s="70"/>
      <c r="G27" s="1"/>
      <c r="N27" s="1"/>
    </row>
    <row r="28" spans="1:14" s="2" customFormat="1" x14ac:dyDescent="0.2">
      <c r="A28" s="89">
        <v>45224</v>
      </c>
      <c r="B28" s="128" t="s">
        <v>6</v>
      </c>
      <c r="C28" s="10" t="s">
        <v>1229</v>
      </c>
      <c r="D28" s="11" t="s">
        <v>13</v>
      </c>
      <c r="E28" s="86">
        <v>924713</v>
      </c>
      <c r="F28" s="70"/>
      <c r="G28" s="1"/>
      <c r="N28" s="1"/>
    </row>
    <row r="29" spans="1:14" s="2" customFormat="1" x14ac:dyDescent="0.2">
      <c r="A29" s="89">
        <v>45224</v>
      </c>
      <c r="B29" s="128" t="s">
        <v>6</v>
      </c>
      <c r="C29" s="10" t="s">
        <v>503</v>
      </c>
      <c r="D29" s="11" t="s">
        <v>13</v>
      </c>
      <c r="E29" s="86">
        <v>75161.350000000006</v>
      </c>
      <c r="F29" s="70"/>
      <c r="G29" s="1"/>
      <c r="N29" s="1"/>
    </row>
    <row r="30" spans="1:14" s="2" customFormat="1" x14ac:dyDescent="0.2">
      <c r="A30" s="89">
        <v>45224</v>
      </c>
      <c r="B30" s="128" t="s">
        <v>6</v>
      </c>
      <c r="C30" s="10" t="s">
        <v>1033</v>
      </c>
      <c r="D30" s="11" t="s">
        <v>13</v>
      </c>
      <c r="E30" s="86">
        <v>99466</v>
      </c>
      <c r="F30" s="70"/>
      <c r="G30" s="1"/>
      <c r="N30" s="1"/>
    </row>
    <row r="31" spans="1:14" s="2" customFormat="1" x14ac:dyDescent="0.2">
      <c r="A31" s="89">
        <v>45224</v>
      </c>
      <c r="B31" s="128" t="s">
        <v>6</v>
      </c>
      <c r="C31" s="10" t="s">
        <v>688</v>
      </c>
      <c r="D31" s="11" t="s">
        <v>13</v>
      </c>
      <c r="E31" s="86">
        <v>172904</v>
      </c>
      <c r="F31" s="70"/>
      <c r="G31" s="1"/>
      <c r="N31" s="1"/>
    </row>
    <row r="32" spans="1:14" s="2" customFormat="1" x14ac:dyDescent="0.2">
      <c r="A32" s="89">
        <v>45224</v>
      </c>
      <c r="B32" s="128" t="s">
        <v>6</v>
      </c>
      <c r="C32" s="10" t="s">
        <v>683</v>
      </c>
      <c r="D32" s="11" t="s">
        <v>13</v>
      </c>
      <c r="E32" s="86">
        <v>89303</v>
      </c>
      <c r="F32" s="70"/>
      <c r="G32" s="1"/>
      <c r="N32" s="1"/>
    </row>
    <row r="33" spans="1:14" s="2" customFormat="1" x14ac:dyDescent="0.2">
      <c r="A33" s="89">
        <v>45224</v>
      </c>
      <c r="B33" s="128" t="s">
        <v>6</v>
      </c>
      <c r="C33" s="10" t="s">
        <v>1621</v>
      </c>
      <c r="D33" s="11" t="s">
        <v>13</v>
      </c>
      <c r="E33" s="86">
        <v>49744</v>
      </c>
      <c r="F33" s="70"/>
      <c r="G33" s="1"/>
      <c r="N33" s="1"/>
    </row>
    <row r="34" spans="1:14" s="2" customFormat="1" x14ac:dyDescent="0.2">
      <c r="A34" s="89">
        <v>45224</v>
      </c>
      <c r="B34" s="128" t="s">
        <v>6</v>
      </c>
      <c r="C34" s="10" t="s">
        <v>667</v>
      </c>
      <c r="D34" s="11" t="s">
        <v>13</v>
      </c>
      <c r="E34" s="86">
        <v>8085</v>
      </c>
      <c r="F34" s="70"/>
      <c r="G34" s="1"/>
      <c r="N34" s="1"/>
    </row>
    <row r="35" spans="1:14" s="2" customFormat="1" x14ac:dyDescent="0.2">
      <c r="A35" s="89">
        <v>45224</v>
      </c>
      <c r="B35" s="128" t="s">
        <v>11</v>
      </c>
      <c r="C35" s="10" t="s">
        <v>64</v>
      </c>
      <c r="D35" s="11" t="s">
        <v>29</v>
      </c>
      <c r="E35" s="86"/>
      <c r="F35" s="70">
        <v>20387.28</v>
      </c>
      <c r="G35" s="1"/>
      <c r="N35" s="1"/>
    </row>
    <row r="36" spans="1:14" s="2" customFormat="1" x14ac:dyDescent="0.2">
      <c r="A36" s="89">
        <v>45224</v>
      </c>
      <c r="B36" s="128" t="s">
        <v>11</v>
      </c>
      <c r="C36" s="10" t="s">
        <v>111</v>
      </c>
      <c r="D36" s="11" t="s">
        <v>29</v>
      </c>
      <c r="E36" s="86"/>
      <c r="F36" s="70">
        <v>1232441.45</v>
      </c>
      <c r="G36" s="1"/>
      <c r="N36" s="1"/>
    </row>
    <row r="37" spans="1:14" s="2" customFormat="1" x14ac:dyDescent="0.2">
      <c r="A37" s="89">
        <v>45224</v>
      </c>
      <c r="B37" s="128" t="s">
        <v>11</v>
      </c>
      <c r="C37" s="10" t="s">
        <v>199</v>
      </c>
      <c r="D37" s="11" t="s">
        <v>29</v>
      </c>
      <c r="E37" s="86"/>
      <c r="F37" s="70">
        <v>626643</v>
      </c>
      <c r="G37" s="1"/>
      <c r="N37" s="1"/>
    </row>
    <row r="38" spans="1:14" s="2" customFormat="1" x14ac:dyDescent="0.2">
      <c r="A38" s="89">
        <v>45224</v>
      </c>
      <c r="B38" s="128" t="s">
        <v>11</v>
      </c>
      <c r="C38" s="10" t="s">
        <v>1698</v>
      </c>
      <c r="D38" s="11" t="s">
        <v>29</v>
      </c>
      <c r="E38" s="86"/>
      <c r="F38" s="70">
        <v>870858</v>
      </c>
      <c r="G38" s="1"/>
      <c r="N38" s="1"/>
    </row>
    <row r="39" spans="1:14" s="2" customFormat="1" x14ac:dyDescent="0.2">
      <c r="A39" s="89">
        <v>45224</v>
      </c>
      <c r="B39" s="128" t="s">
        <v>11</v>
      </c>
      <c r="C39" s="10" t="s">
        <v>194</v>
      </c>
      <c r="D39" s="11" t="s">
        <v>29</v>
      </c>
      <c r="E39" s="86"/>
      <c r="F39" s="70">
        <v>906083</v>
      </c>
      <c r="G39" s="1"/>
      <c r="N39" s="1"/>
    </row>
    <row r="40" spans="1:14" s="2" customFormat="1" x14ac:dyDescent="0.2">
      <c r="A40" s="89">
        <v>45224</v>
      </c>
      <c r="B40" s="128" t="s">
        <v>11</v>
      </c>
      <c r="C40" s="10" t="s">
        <v>1140</v>
      </c>
      <c r="D40" s="11" t="s">
        <v>29</v>
      </c>
      <c r="E40" s="86"/>
      <c r="F40" s="70">
        <v>69930</v>
      </c>
      <c r="G40" s="1"/>
      <c r="N40" s="1"/>
    </row>
    <row r="41" spans="1:14" s="2" customFormat="1" x14ac:dyDescent="0.2">
      <c r="A41" s="89">
        <v>45224</v>
      </c>
      <c r="B41" s="128" t="s">
        <v>11</v>
      </c>
      <c r="C41" s="10" t="s">
        <v>790</v>
      </c>
      <c r="D41" s="11" t="s">
        <v>29</v>
      </c>
      <c r="E41" s="86"/>
      <c r="F41" s="70">
        <v>702442</v>
      </c>
      <c r="G41" s="1"/>
      <c r="N41" s="1"/>
    </row>
    <row r="42" spans="1:14" s="2" customFormat="1" x14ac:dyDescent="0.2">
      <c r="A42" s="89">
        <v>45224</v>
      </c>
      <c r="B42" s="128" t="s">
        <v>11</v>
      </c>
      <c r="C42" s="10" t="s">
        <v>849</v>
      </c>
      <c r="D42" s="11" t="s">
        <v>29</v>
      </c>
      <c r="E42" s="86"/>
      <c r="F42" s="70">
        <v>247482</v>
      </c>
      <c r="G42" s="1"/>
      <c r="N42" s="1"/>
    </row>
    <row r="43" spans="1:14" s="2" customFormat="1" x14ac:dyDescent="0.2">
      <c r="A43" s="89">
        <v>45224</v>
      </c>
      <c r="B43" s="128" t="s">
        <v>11</v>
      </c>
      <c r="C43" s="10" t="s">
        <v>745</v>
      </c>
      <c r="D43" s="11" t="s">
        <v>29</v>
      </c>
      <c r="E43" s="86"/>
      <c r="F43" s="70">
        <v>434895</v>
      </c>
      <c r="G43" s="1"/>
      <c r="N43" s="1"/>
    </row>
    <row r="44" spans="1:14" s="2" customFormat="1" x14ac:dyDescent="0.2">
      <c r="A44" s="89">
        <v>45224</v>
      </c>
      <c r="B44" s="128" t="s">
        <v>11</v>
      </c>
      <c r="C44" s="10" t="s">
        <v>193</v>
      </c>
      <c r="D44" s="11" t="s">
        <v>29</v>
      </c>
      <c r="E44" s="86"/>
      <c r="F44" s="70">
        <v>254895</v>
      </c>
      <c r="G44" s="1"/>
      <c r="N44" s="1"/>
    </row>
    <row r="45" spans="1:14" s="2" customFormat="1" x14ac:dyDescent="0.2">
      <c r="A45" s="89">
        <v>45224</v>
      </c>
      <c r="B45" s="128" t="s">
        <v>11</v>
      </c>
      <c r="C45" s="10" t="s">
        <v>520</v>
      </c>
      <c r="D45" s="11" t="s">
        <v>29</v>
      </c>
      <c r="E45" s="86"/>
      <c r="F45" s="70">
        <v>447606</v>
      </c>
      <c r="G45" s="1"/>
      <c r="N45" s="1"/>
    </row>
    <row r="46" spans="1:14" s="2" customFormat="1" x14ac:dyDescent="0.2">
      <c r="A46" s="89">
        <v>45224</v>
      </c>
      <c r="B46" s="128" t="s">
        <v>11</v>
      </c>
      <c r="C46" s="10" t="s">
        <v>1058</v>
      </c>
      <c r="D46" s="11" t="s">
        <v>29</v>
      </c>
      <c r="E46" s="86"/>
      <c r="F46" s="70">
        <v>430485</v>
      </c>
      <c r="G46" s="1"/>
      <c r="N46" s="1"/>
    </row>
    <row r="47" spans="1:14" s="2" customFormat="1" x14ac:dyDescent="0.2">
      <c r="A47" s="89">
        <v>45224</v>
      </c>
      <c r="B47" s="128" t="s">
        <v>11</v>
      </c>
      <c r="C47" s="10" t="s">
        <v>300</v>
      </c>
      <c r="D47" s="11" t="s">
        <v>29</v>
      </c>
      <c r="E47" s="86"/>
      <c r="F47" s="70">
        <v>64367</v>
      </c>
      <c r="G47" s="1"/>
      <c r="N47" s="1"/>
    </row>
    <row r="48" spans="1:14" s="2" customFormat="1" x14ac:dyDescent="0.2">
      <c r="A48" s="89">
        <v>45224</v>
      </c>
      <c r="B48" s="128" t="s">
        <v>11</v>
      </c>
      <c r="C48" s="10" t="s">
        <v>107</v>
      </c>
      <c r="D48" s="11" t="s">
        <v>29</v>
      </c>
      <c r="E48" s="86"/>
      <c r="F48" s="70">
        <v>688038.57</v>
      </c>
      <c r="G48" s="1"/>
      <c r="N48" s="1"/>
    </row>
    <row r="49" spans="1:14" s="2" customFormat="1" x14ac:dyDescent="0.2">
      <c r="A49" s="89">
        <v>45224</v>
      </c>
      <c r="B49" s="128" t="s">
        <v>11</v>
      </c>
      <c r="C49" s="10" t="s">
        <v>558</v>
      </c>
      <c r="D49" s="11" t="s">
        <v>29</v>
      </c>
      <c r="E49" s="86"/>
      <c r="F49" s="70">
        <v>1689492.43</v>
      </c>
      <c r="G49" s="1"/>
      <c r="N49" s="1"/>
    </row>
    <row r="50" spans="1:14" s="2" customFormat="1" x14ac:dyDescent="0.2">
      <c r="A50" s="89">
        <v>45224</v>
      </c>
      <c r="B50" s="128" t="s">
        <v>11</v>
      </c>
      <c r="C50" s="10" t="s">
        <v>1396</v>
      </c>
      <c r="D50" s="11" t="s">
        <v>29</v>
      </c>
      <c r="E50" s="86"/>
      <c r="F50" s="70">
        <v>747950</v>
      </c>
      <c r="G50" s="1"/>
      <c r="N50" s="1"/>
    </row>
    <row r="51" spans="1:14" s="2" customFormat="1" x14ac:dyDescent="0.2">
      <c r="A51" s="89">
        <v>45224</v>
      </c>
      <c r="B51" s="128" t="s">
        <v>11</v>
      </c>
      <c r="C51" s="10" t="s">
        <v>242</v>
      </c>
      <c r="D51" s="11" t="s">
        <v>29</v>
      </c>
      <c r="E51" s="86"/>
      <c r="F51" s="70">
        <v>214470.74</v>
      </c>
      <c r="G51" s="1"/>
      <c r="N51" s="1"/>
    </row>
    <row r="52" spans="1:14" s="2" customFormat="1" x14ac:dyDescent="0.2">
      <c r="A52" s="89">
        <v>45224</v>
      </c>
      <c r="B52" s="128" t="s">
        <v>11</v>
      </c>
      <c r="C52" s="10" t="s">
        <v>208</v>
      </c>
      <c r="D52" s="11" t="s">
        <v>29</v>
      </c>
      <c r="E52" s="86"/>
      <c r="F52" s="70">
        <v>16547</v>
      </c>
      <c r="G52" s="1"/>
      <c r="N52" s="1"/>
    </row>
    <row r="53" spans="1:14" s="2" customFormat="1" x14ac:dyDescent="0.2">
      <c r="A53" s="89">
        <v>45224</v>
      </c>
      <c r="B53" s="128" t="s">
        <v>11</v>
      </c>
      <c r="C53" s="10" t="s">
        <v>1131</v>
      </c>
      <c r="D53" s="11" t="s">
        <v>29</v>
      </c>
      <c r="E53" s="86"/>
      <c r="F53" s="70">
        <v>1775037</v>
      </c>
      <c r="G53" s="1"/>
      <c r="N53" s="1"/>
    </row>
    <row r="54" spans="1:14" s="2" customFormat="1" x14ac:dyDescent="0.2">
      <c r="A54" s="89">
        <v>45224</v>
      </c>
      <c r="B54" s="128" t="s">
        <v>11</v>
      </c>
      <c r="C54" s="10" t="s">
        <v>800</v>
      </c>
      <c r="D54" s="11" t="s">
        <v>29</v>
      </c>
      <c r="E54" s="86"/>
      <c r="F54" s="70">
        <v>25000</v>
      </c>
      <c r="G54" s="1"/>
      <c r="N54" s="1"/>
    </row>
    <row r="55" spans="1:14" s="2" customFormat="1" x14ac:dyDescent="0.2">
      <c r="A55" s="89">
        <v>45224</v>
      </c>
      <c r="B55" s="128" t="s">
        <v>11</v>
      </c>
      <c r="C55" s="10" t="s">
        <v>57</v>
      </c>
      <c r="D55" s="11" t="s">
        <v>29</v>
      </c>
      <c r="E55" s="86"/>
      <c r="F55" s="70">
        <v>2000000</v>
      </c>
      <c r="G55" s="1"/>
      <c r="N55" s="1"/>
    </row>
    <row r="56" spans="1:14" s="2" customFormat="1" x14ac:dyDescent="0.2">
      <c r="A56" s="89">
        <v>45224</v>
      </c>
      <c r="B56" s="128" t="s">
        <v>11</v>
      </c>
      <c r="C56" s="10" t="s">
        <v>268</v>
      </c>
      <c r="D56" s="11" t="s">
        <v>29</v>
      </c>
      <c r="E56" s="86"/>
      <c r="F56" s="70">
        <v>76824</v>
      </c>
      <c r="G56" s="1"/>
      <c r="N56" s="1"/>
    </row>
    <row r="57" spans="1:14" s="2" customFormat="1" x14ac:dyDescent="0.2">
      <c r="A57" s="89">
        <v>45224</v>
      </c>
      <c r="B57" s="128" t="s">
        <v>11</v>
      </c>
      <c r="C57" s="10" t="s">
        <v>339</v>
      </c>
      <c r="D57" s="11" t="s">
        <v>29</v>
      </c>
      <c r="E57" s="86"/>
      <c r="F57" s="70">
        <v>110038.27</v>
      </c>
      <c r="G57" s="1"/>
      <c r="N57" s="1"/>
    </row>
    <row r="58" spans="1:14" s="2" customFormat="1" x14ac:dyDescent="0.2">
      <c r="A58" s="89">
        <v>45224</v>
      </c>
      <c r="B58" s="128" t="s">
        <v>11</v>
      </c>
      <c r="C58" s="10" t="s">
        <v>303</v>
      </c>
      <c r="D58" s="11" t="s">
        <v>29</v>
      </c>
      <c r="E58" s="86"/>
      <c r="F58" s="70">
        <v>5227</v>
      </c>
      <c r="G58" s="1"/>
      <c r="N58" s="1"/>
    </row>
    <row r="59" spans="1:14" s="2" customFormat="1" x14ac:dyDescent="0.2">
      <c r="A59" s="89">
        <v>45224</v>
      </c>
      <c r="B59" s="128" t="s">
        <v>11</v>
      </c>
      <c r="C59" s="10" t="s">
        <v>528</v>
      </c>
      <c r="D59" s="11" t="s">
        <v>29</v>
      </c>
      <c r="E59" s="86"/>
      <c r="F59" s="70">
        <v>3835</v>
      </c>
      <c r="G59" s="1"/>
      <c r="N59" s="1"/>
    </row>
    <row r="60" spans="1:14" s="2" customFormat="1" x14ac:dyDescent="0.2">
      <c r="A60" s="89">
        <v>45224</v>
      </c>
      <c r="B60" s="128" t="s">
        <v>11</v>
      </c>
      <c r="C60" s="10" t="s">
        <v>362</v>
      </c>
      <c r="D60" s="11" t="s">
        <v>29</v>
      </c>
      <c r="E60" s="86"/>
      <c r="F60" s="70">
        <v>21859.919999999998</v>
      </c>
      <c r="G60" s="1"/>
      <c r="N60" s="1"/>
    </row>
    <row r="61" spans="1:14" s="2" customFormat="1" x14ac:dyDescent="0.2">
      <c r="A61" s="89">
        <v>45224</v>
      </c>
      <c r="B61" s="128" t="s">
        <v>11</v>
      </c>
      <c r="C61" s="10" t="s">
        <v>970</v>
      </c>
      <c r="D61" s="11" t="s">
        <v>29</v>
      </c>
      <c r="E61" s="86"/>
      <c r="F61" s="70">
        <v>22120</v>
      </c>
      <c r="G61" s="1"/>
      <c r="N61" s="1"/>
    </row>
    <row r="62" spans="1:14" s="2" customFormat="1" x14ac:dyDescent="0.2">
      <c r="A62" s="89">
        <v>45224</v>
      </c>
      <c r="B62" s="128" t="s">
        <v>11</v>
      </c>
      <c r="C62" s="10" t="s">
        <v>392</v>
      </c>
      <c r="D62" s="11" t="s">
        <v>29</v>
      </c>
      <c r="E62" s="86"/>
      <c r="F62" s="70">
        <v>20157</v>
      </c>
      <c r="G62" s="1"/>
      <c r="N62" s="1"/>
    </row>
    <row r="63" spans="1:14" s="2" customFormat="1" x14ac:dyDescent="0.2">
      <c r="A63" s="89">
        <v>45224</v>
      </c>
      <c r="B63" s="128" t="s">
        <v>11</v>
      </c>
      <c r="C63" s="10" t="s">
        <v>460</v>
      </c>
      <c r="D63" s="11" t="s">
        <v>29</v>
      </c>
      <c r="E63" s="86"/>
      <c r="F63" s="70">
        <v>97857</v>
      </c>
      <c r="G63" s="1"/>
      <c r="N63" s="1"/>
    </row>
    <row r="64" spans="1:14" s="2" customFormat="1" x14ac:dyDescent="0.2">
      <c r="A64" s="89">
        <v>45224</v>
      </c>
      <c r="B64" s="128" t="s">
        <v>11</v>
      </c>
      <c r="C64" s="10" t="s">
        <v>626</v>
      </c>
      <c r="D64" s="11" t="s">
        <v>29</v>
      </c>
      <c r="E64" s="86"/>
      <c r="F64" s="70">
        <v>73797.58</v>
      </c>
      <c r="G64" s="1"/>
      <c r="N64" s="1"/>
    </row>
    <row r="65" spans="1:14" s="2" customFormat="1" x14ac:dyDescent="0.2">
      <c r="A65" s="32"/>
      <c r="B65" s="33"/>
      <c r="C65" s="14"/>
      <c r="D65" s="34"/>
      <c r="E65" s="16">
        <f>SUM(E22:E64)</f>
        <v>4441018.3499999996</v>
      </c>
      <c r="F65" s="16">
        <f>SUM(F22:F64)</f>
        <v>96686548.180000052</v>
      </c>
      <c r="G65" s="1"/>
      <c r="H65" s="1"/>
      <c r="I65" s="38">
        <v>92245529.829999998</v>
      </c>
      <c r="J65" s="2" t="s">
        <v>396</v>
      </c>
      <c r="K65" s="92">
        <f>E66-I65</f>
        <v>0</v>
      </c>
      <c r="N65" s="1"/>
    </row>
    <row r="66" spans="1:14" s="2" customFormat="1" x14ac:dyDescent="0.2">
      <c r="A66" s="36"/>
      <c r="B66" s="28" t="s">
        <v>11</v>
      </c>
      <c r="C66" s="19" t="s">
        <v>65</v>
      </c>
      <c r="D66" s="37"/>
      <c r="E66" s="38">
        <f>F65-E65</f>
        <v>92245529.830000058</v>
      </c>
      <c r="F66" s="22"/>
      <c r="G66" s="1"/>
      <c r="H66" s="1"/>
      <c r="I66" s="70"/>
      <c r="J66" s="70"/>
      <c r="K66" s="70"/>
      <c r="N66" s="1"/>
    </row>
    <row r="67" spans="1:14" s="2" customFormat="1" x14ac:dyDescent="0.2">
      <c r="A67" s="36"/>
      <c r="B67" s="28" t="s">
        <v>66</v>
      </c>
      <c r="C67" s="19" t="s">
        <v>67</v>
      </c>
      <c r="D67" s="37"/>
      <c r="E67" s="38">
        <v>6500000</v>
      </c>
      <c r="F67" s="22"/>
      <c r="G67" s="1"/>
      <c r="H67" s="70"/>
      <c r="I67" s="70"/>
      <c r="J67" s="70"/>
      <c r="K67" s="70"/>
      <c r="N67" s="1"/>
    </row>
    <row r="68" spans="1:14" s="2" customFormat="1" x14ac:dyDescent="0.2">
      <c r="A68" s="36"/>
      <c r="B68" s="28" t="s">
        <v>66</v>
      </c>
      <c r="C68" s="43" t="s">
        <v>1457</v>
      </c>
      <c r="D68" s="43"/>
      <c r="E68" s="12">
        <f>275000000+75000000+50000000</f>
        <v>400000000</v>
      </c>
      <c r="F68" s="22"/>
      <c r="G68" s="1"/>
      <c r="H68" s="70"/>
      <c r="I68" s="45">
        <v>2077.63</v>
      </c>
      <c r="J68" s="46"/>
      <c r="K68" s="46"/>
      <c r="N68" s="1"/>
    </row>
    <row r="69" spans="1:14" s="2" customFormat="1" ht="15" x14ac:dyDescent="0.25">
      <c r="A69" s="36"/>
      <c r="B69" s="28"/>
      <c r="C69" s="44" t="s">
        <v>1541</v>
      </c>
      <c r="D69" s="43"/>
      <c r="E69" s="7">
        <f>+E68+E66+E67</f>
        <v>498745529.83000004</v>
      </c>
      <c r="F69" s="22"/>
      <c r="G69" s="1"/>
      <c r="H69" s="103" t="s">
        <v>69</v>
      </c>
      <c r="I69" s="45">
        <v>-210.26</v>
      </c>
      <c r="J69" s="46"/>
      <c r="K69" s="46"/>
      <c r="N69" s="1"/>
    </row>
    <row r="70" spans="1:14" s="2" customFormat="1" ht="15" x14ac:dyDescent="0.25">
      <c r="A70" s="24"/>
      <c r="B70" s="1"/>
      <c r="C70" s="44" t="s">
        <v>1510</v>
      </c>
      <c r="D70" s="25"/>
      <c r="E70" s="156">
        <f>+I22-E67+H18-I18</f>
        <v>1254470.17</v>
      </c>
      <c r="G70" s="1"/>
      <c r="H70" s="35" t="s">
        <v>70</v>
      </c>
      <c r="I70" s="45">
        <v>66.13</v>
      </c>
      <c r="J70" s="46">
        <f>+I71-D73</f>
        <v>0</v>
      </c>
      <c r="N70" s="1"/>
    </row>
    <row r="71" spans="1:14" s="124" customFormat="1" ht="12.75" customHeight="1" x14ac:dyDescent="0.2">
      <c r="A71" s="24"/>
      <c r="B71" s="1"/>
      <c r="C71" s="56"/>
      <c r="D71" s="56"/>
      <c r="E71" s="104"/>
      <c r="F71" s="2"/>
      <c r="G71" s="166"/>
      <c r="H71" s="70"/>
      <c r="I71" s="49">
        <f>SUM(I68:I70)</f>
        <v>1933.5</v>
      </c>
      <c r="J71" s="46"/>
      <c r="K71" s="46"/>
    </row>
    <row r="72" spans="1:14" s="124" customFormat="1" ht="12.75" customHeight="1" x14ac:dyDescent="0.2">
      <c r="A72" s="24"/>
      <c r="B72" s="1"/>
      <c r="C72" s="78" t="s">
        <v>575</v>
      </c>
      <c r="D72" s="48" t="s">
        <v>576</v>
      </c>
      <c r="E72" s="104"/>
      <c r="F72" s="2"/>
      <c r="G72" s="168"/>
      <c r="H72" s="167"/>
      <c r="I72" s="167"/>
      <c r="J72" s="168"/>
    </row>
    <row r="73" spans="1:14" s="124" customFormat="1" ht="12.75" customHeight="1" x14ac:dyDescent="0.2">
      <c r="A73" s="24"/>
      <c r="B73" s="1"/>
      <c r="C73" s="47" t="s">
        <v>570</v>
      </c>
      <c r="D73" s="111">
        <v>1933.5</v>
      </c>
      <c r="E73" s="104"/>
      <c r="F73" s="2"/>
      <c r="G73" s="168"/>
      <c r="H73" s="110" t="s">
        <v>581</v>
      </c>
      <c r="I73" s="167"/>
      <c r="J73" s="168"/>
    </row>
    <row r="74" spans="1:14" s="124" customFormat="1" ht="12.75" customHeight="1" x14ac:dyDescent="0.2">
      <c r="A74" s="24"/>
      <c r="B74" s="1"/>
      <c r="C74" s="47" t="s">
        <v>931</v>
      </c>
      <c r="D74" s="111">
        <v>214.66</v>
      </c>
      <c r="E74" s="104"/>
      <c r="F74" s="2"/>
      <c r="G74" s="168"/>
      <c r="H74" s="110" t="s">
        <v>580</v>
      </c>
      <c r="I74" s="167"/>
      <c r="J74" s="168"/>
    </row>
    <row r="75" spans="1:14" s="124" customFormat="1" ht="12.75" customHeight="1" x14ac:dyDescent="0.2">
      <c r="A75" s="24"/>
      <c r="B75" s="1"/>
      <c r="C75" s="47" t="s">
        <v>572</v>
      </c>
      <c r="D75" s="111">
        <f>+D111/100000</f>
        <v>250.41284119999997</v>
      </c>
      <c r="E75" s="104"/>
      <c r="F75" s="2"/>
      <c r="G75" s="166"/>
      <c r="H75" s="90" t="s">
        <v>587</v>
      </c>
      <c r="I75" s="167"/>
      <c r="J75" s="168"/>
    </row>
    <row r="76" spans="1:14" s="2" customFormat="1" x14ac:dyDescent="0.2">
      <c r="A76" s="24"/>
      <c r="B76" s="1"/>
      <c r="C76" s="108" t="s">
        <v>578</v>
      </c>
      <c r="D76" s="48">
        <f>SUM(D73:D75)</f>
        <v>2398.5728411999999</v>
      </c>
      <c r="E76" s="104"/>
      <c r="G76" s="30"/>
      <c r="I76" s="13"/>
      <c r="J76" s="13"/>
    </row>
    <row r="77" spans="1:14" s="70" customFormat="1" x14ac:dyDescent="0.2">
      <c r="A77" s="24"/>
      <c r="B77" s="1"/>
      <c r="C77" s="47"/>
      <c r="D77" s="107"/>
      <c r="E77" s="104"/>
      <c r="F77" s="2"/>
      <c r="G77" s="30"/>
      <c r="H77" s="2"/>
    </row>
    <row r="78" spans="1:14" s="70" customFormat="1" x14ac:dyDescent="0.2">
      <c r="A78" s="24"/>
      <c r="B78" s="1"/>
      <c r="C78" s="47" t="s">
        <v>932</v>
      </c>
      <c r="D78" s="111">
        <v>91.19</v>
      </c>
      <c r="E78" s="104"/>
      <c r="F78" s="2"/>
      <c r="G78" s="30"/>
      <c r="H78" s="110" t="s">
        <v>581</v>
      </c>
    </row>
    <row r="79" spans="1:14" s="70" customFormat="1" x14ac:dyDescent="0.2">
      <c r="A79" s="24"/>
      <c r="B79" s="1"/>
      <c r="C79" s="136" t="s">
        <v>1142</v>
      </c>
      <c r="D79" s="111">
        <v>539.07000000000005</v>
      </c>
      <c r="E79" s="104"/>
      <c r="F79" s="2"/>
      <c r="G79" s="30"/>
      <c r="H79" s="110" t="s">
        <v>581</v>
      </c>
    </row>
    <row r="80" spans="1:14" s="70" customFormat="1" x14ac:dyDescent="0.2">
      <c r="A80" s="24"/>
      <c r="B80" s="1"/>
      <c r="C80" s="78" t="s">
        <v>579</v>
      </c>
      <c r="D80" s="109">
        <f>D78+D79</f>
        <v>630.26</v>
      </c>
      <c r="E80" s="104"/>
      <c r="F80" s="2"/>
      <c r="G80" s="30"/>
    </row>
    <row r="81" spans="1:14" s="70" customFormat="1" x14ac:dyDescent="0.2">
      <c r="A81" s="24"/>
      <c r="B81" s="1"/>
      <c r="C81" s="105"/>
      <c r="D81" s="106"/>
      <c r="E81" s="104"/>
      <c r="F81" s="2"/>
      <c r="G81" s="30"/>
      <c r="I81" s="2"/>
      <c r="J81" s="114" t="s">
        <v>713</v>
      </c>
      <c r="K81" s="2"/>
      <c r="L81" s="2"/>
      <c r="M81" s="2"/>
    </row>
    <row r="82" spans="1:14" s="70" customFormat="1" x14ac:dyDescent="0.2">
      <c r="A82" s="24"/>
      <c r="B82" s="1"/>
      <c r="C82" s="78" t="s">
        <v>577</v>
      </c>
      <c r="D82" s="109">
        <f>D73+D80</f>
        <v>2563.7600000000002</v>
      </c>
      <c r="E82" s="104"/>
      <c r="F82" s="2"/>
      <c r="G82" s="30"/>
      <c r="I82" s="113"/>
      <c r="J82" s="113" t="s">
        <v>709</v>
      </c>
      <c r="K82" s="113" t="s">
        <v>710</v>
      </c>
      <c r="L82" s="113" t="s">
        <v>711</v>
      </c>
      <c r="M82" s="113" t="s">
        <v>712</v>
      </c>
    </row>
    <row r="83" spans="1:14" s="70" customFormat="1" x14ac:dyDescent="0.2">
      <c r="A83" s="24"/>
      <c r="B83" s="1"/>
      <c r="C83" s="56"/>
      <c r="D83" s="56"/>
      <c r="E83" s="104"/>
      <c r="F83" s="2"/>
      <c r="G83" s="30"/>
      <c r="I83" s="113" t="s">
        <v>706</v>
      </c>
      <c r="J83" s="115"/>
      <c r="K83" s="115">
        <v>968.99</v>
      </c>
      <c r="L83" s="115">
        <v>968.99</v>
      </c>
      <c r="M83" s="113">
        <f>+J83+L83-K83</f>
        <v>0</v>
      </c>
    </row>
    <row r="84" spans="1:14" s="70" customFormat="1" ht="38.25" x14ac:dyDescent="0.2">
      <c r="A84" s="24"/>
      <c r="B84" s="1"/>
      <c r="C84" s="79" t="str">
        <f>"Particulars ( 01-04-2021 to "&amp;TEXT(A5,"dd-mm-yyyy")&amp;" )"</f>
        <v>Particulars ( 01-04-2021 to 25-10-2023 )</v>
      </c>
      <c r="D84" s="80" t="s">
        <v>73</v>
      </c>
      <c r="E84" s="80" t="s">
        <v>74</v>
      </c>
      <c r="F84" s="81" t="s">
        <v>75</v>
      </c>
      <c r="G84" s="80" t="s">
        <v>76</v>
      </c>
      <c r="I84" s="113" t="s">
        <v>707</v>
      </c>
      <c r="J84" s="115">
        <v>183.1</v>
      </c>
      <c r="K84" s="115">
        <v>3841.97</v>
      </c>
      <c r="L84" s="115">
        <v>4050.28</v>
      </c>
      <c r="M84" s="113">
        <f>+J84+L84-K84</f>
        <v>391.41000000000031</v>
      </c>
    </row>
    <row r="85" spans="1:14" s="70" customFormat="1" x14ac:dyDescent="0.2">
      <c r="A85" s="24"/>
      <c r="B85" s="1"/>
      <c r="C85" s="50" t="s">
        <v>444</v>
      </c>
      <c r="D85" s="55">
        <f>+L83+L84+J84</f>
        <v>5202.3700000000008</v>
      </c>
      <c r="E85" s="55">
        <f>+K83+K84</f>
        <v>4810.96</v>
      </c>
      <c r="F85" s="55">
        <f>+D85-E85</f>
        <v>391.41000000000076</v>
      </c>
      <c r="G85" s="55">
        <f>1500-F85</f>
        <v>1108.5899999999992</v>
      </c>
      <c r="I85" s="113" t="s">
        <v>708</v>
      </c>
      <c r="J85" s="115">
        <v>1371.02</v>
      </c>
      <c r="K85" s="115">
        <v>14718.9</v>
      </c>
      <c r="L85" s="115">
        <v>14331.39</v>
      </c>
      <c r="M85" s="113">
        <f>+J85+L85-K85</f>
        <v>983.51000000000022</v>
      </c>
    </row>
    <row r="86" spans="1:14" s="70" customFormat="1" ht="12.75" customHeight="1" x14ac:dyDescent="0.2">
      <c r="A86" s="24"/>
      <c r="B86" s="1"/>
      <c r="C86" s="50" t="s">
        <v>71</v>
      </c>
      <c r="D86" s="55">
        <f>+J85+L85</f>
        <v>15702.41</v>
      </c>
      <c r="E86" s="55">
        <f>+K85</f>
        <v>14718.9</v>
      </c>
      <c r="F86" s="55">
        <f>+D86-E86</f>
        <v>983.51000000000022</v>
      </c>
      <c r="G86" s="55">
        <f>1500+700-F86</f>
        <v>1216.4899999999998</v>
      </c>
      <c r="I86" s="2"/>
      <c r="J86" s="118">
        <f>SUM(J83:J85)</f>
        <v>1554.12</v>
      </c>
      <c r="K86" s="118">
        <f>SUM(K83:K85)</f>
        <v>19529.86</v>
      </c>
      <c r="L86" s="118">
        <f>SUM(L83:L85)</f>
        <v>19350.66</v>
      </c>
      <c r="M86" s="118">
        <f>SUM(M83:M85)</f>
        <v>1374.9200000000005</v>
      </c>
    </row>
    <row r="87" spans="1:14" s="70" customFormat="1" ht="12.75" customHeight="1" x14ac:dyDescent="0.2">
      <c r="A87" s="24"/>
      <c r="B87" s="1"/>
      <c r="C87" s="14"/>
      <c r="D87" s="56"/>
      <c r="E87" s="13"/>
      <c r="F87" s="2"/>
      <c r="G87" s="30"/>
    </row>
    <row r="88" spans="1:14" s="70" customFormat="1" ht="12.75" customHeight="1" x14ac:dyDescent="0.2">
      <c r="A88" s="215" t="s">
        <v>80</v>
      </c>
      <c r="B88" s="216"/>
      <c r="C88" s="216"/>
      <c r="D88" s="217"/>
      <c r="E88" s="69"/>
      <c r="G88" s="30"/>
    </row>
    <row r="89" spans="1:14" s="70" customFormat="1" ht="12.75" customHeight="1" x14ac:dyDescent="0.2">
      <c r="A89" s="71" t="s">
        <v>81</v>
      </c>
      <c r="B89" s="71"/>
      <c r="C89" s="72" t="s">
        <v>82</v>
      </c>
      <c r="D89" s="73" t="s">
        <v>83</v>
      </c>
      <c r="E89" s="69"/>
      <c r="G89" s="30"/>
    </row>
    <row r="90" spans="1:14" s="70" customFormat="1" ht="12.75" customHeight="1" x14ac:dyDescent="0.2">
      <c r="A90" s="87">
        <v>45203</v>
      </c>
      <c r="B90" s="120" t="s">
        <v>1052</v>
      </c>
      <c r="C90" s="75" t="s">
        <v>18</v>
      </c>
      <c r="D90" s="88">
        <v>193358.43</v>
      </c>
      <c r="E90" s="2"/>
      <c r="F90" s="2"/>
      <c r="G90" s="30"/>
      <c r="H90" s="2"/>
      <c r="I90" s="2"/>
      <c r="J90" s="2"/>
      <c r="K90" s="2"/>
      <c r="L90" s="41"/>
      <c r="M90" s="42"/>
      <c r="N90" s="2"/>
    </row>
    <row r="91" spans="1:14" s="70" customFormat="1" ht="12.75" customHeight="1" x14ac:dyDescent="0.2">
      <c r="A91" s="87">
        <v>45203</v>
      </c>
      <c r="B91" s="120" t="s">
        <v>1052</v>
      </c>
      <c r="C91" s="75" t="s">
        <v>270</v>
      </c>
      <c r="D91" s="88">
        <v>254277</v>
      </c>
      <c r="E91" s="2"/>
      <c r="F91" s="2"/>
      <c r="G91" s="30"/>
      <c r="H91" s="2"/>
      <c r="I91" s="2"/>
      <c r="J91" s="2"/>
      <c r="K91" s="2"/>
      <c r="L91" s="41"/>
      <c r="M91" s="42"/>
      <c r="N91" s="2"/>
    </row>
    <row r="92" spans="1:14" s="70" customFormat="1" ht="12.75" customHeight="1" x14ac:dyDescent="0.2">
      <c r="A92" s="87">
        <v>45204</v>
      </c>
      <c r="B92" s="120" t="s">
        <v>1052</v>
      </c>
      <c r="C92" s="75" t="s">
        <v>85</v>
      </c>
      <c r="D92" s="88">
        <v>765297</v>
      </c>
      <c r="E92" s="2"/>
      <c r="F92" s="2"/>
      <c r="G92" s="30"/>
      <c r="H92" s="2"/>
      <c r="I92" s="2"/>
      <c r="J92" s="2"/>
      <c r="K92" s="2"/>
      <c r="L92" s="41"/>
      <c r="M92" s="42"/>
      <c r="N92" s="2"/>
    </row>
    <row r="93" spans="1:14" s="70" customFormat="1" ht="12.75" customHeight="1" x14ac:dyDescent="0.2">
      <c r="A93" s="87">
        <v>45209</v>
      </c>
      <c r="B93" s="120" t="s">
        <v>1052</v>
      </c>
      <c r="C93" s="75" t="s">
        <v>606</v>
      </c>
      <c r="D93" s="88">
        <v>2261658</v>
      </c>
      <c r="E93" s="2"/>
      <c r="F93" s="2"/>
      <c r="G93" s="30"/>
      <c r="H93" s="2"/>
      <c r="I93" s="2"/>
      <c r="J93" s="2"/>
      <c r="K93" s="2"/>
      <c r="L93" s="41"/>
      <c r="M93" s="42"/>
      <c r="N93" s="2"/>
    </row>
    <row r="94" spans="1:14" s="70" customFormat="1" ht="12.75" customHeight="1" x14ac:dyDescent="0.2">
      <c r="A94" s="87">
        <v>45211</v>
      </c>
      <c r="B94" s="120" t="s">
        <v>1052</v>
      </c>
      <c r="C94" s="75" t="s">
        <v>18</v>
      </c>
      <c r="D94" s="88">
        <v>35919</v>
      </c>
      <c r="E94" s="2"/>
      <c r="F94" s="2"/>
      <c r="G94" s="30"/>
      <c r="H94" s="2"/>
      <c r="I94" s="2"/>
      <c r="J94" s="2"/>
      <c r="K94" s="2"/>
      <c r="L94" s="41"/>
      <c r="M94" s="42"/>
      <c r="N94" s="2"/>
    </row>
    <row r="95" spans="1:14" s="70" customFormat="1" ht="12.75" customHeight="1" x14ac:dyDescent="0.2">
      <c r="A95" s="87">
        <v>45211</v>
      </c>
      <c r="B95" s="120" t="s">
        <v>1052</v>
      </c>
      <c r="C95" s="75" t="s">
        <v>84</v>
      </c>
      <c r="D95" s="88">
        <v>856347</v>
      </c>
      <c r="E95" s="2"/>
      <c r="F95" s="2"/>
      <c r="G95" s="30"/>
      <c r="H95" s="2"/>
      <c r="I95" s="2"/>
      <c r="J95" s="2"/>
      <c r="K95" s="2"/>
      <c r="L95" s="41"/>
      <c r="M95" s="42"/>
      <c r="N95" s="2"/>
    </row>
    <row r="96" spans="1:14" s="70" customFormat="1" ht="12.75" customHeight="1" x14ac:dyDescent="0.2">
      <c r="A96" s="87">
        <v>45212</v>
      </c>
      <c r="B96" s="120" t="s">
        <v>1052</v>
      </c>
      <c r="C96" s="75" t="s">
        <v>201</v>
      </c>
      <c r="D96" s="88">
        <v>1600267.2</v>
      </c>
      <c r="E96" s="2"/>
      <c r="F96" s="2"/>
      <c r="G96" s="30"/>
      <c r="H96" s="2"/>
      <c r="I96" s="2"/>
      <c r="J96" s="2"/>
      <c r="K96" s="2"/>
      <c r="L96" s="41"/>
      <c r="M96" s="42"/>
      <c r="N96" s="2"/>
    </row>
    <row r="97" spans="1:14" s="70" customFormat="1" ht="12.75" customHeight="1" x14ac:dyDescent="0.2">
      <c r="A97" s="87">
        <v>45215</v>
      </c>
      <c r="B97" s="120" t="s">
        <v>1052</v>
      </c>
      <c r="C97" s="75" t="s">
        <v>1683</v>
      </c>
      <c r="D97" s="88">
        <v>6496492</v>
      </c>
      <c r="E97" s="2"/>
      <c r="F97" s="2"/>
      <c r="G97" s="30"/>
      <c r="H97" s="2"/>
      <c r="I97" s="2"/>
      <c r="J97" s="2"/>
      <c r="K97" s="2"/>
      <c r="L97" s="41"/>
      <c r="M97" s="42"/>
      <c r="N97" s="2"/>
    </row>
    <row r="98" spans="1:14" s="70" customFormat="1" ht="12.75" customHeight="1" x14ac:dyDescent="0.2">
      <c r="A98" s="87">
        <v>45217</v>
      </c>
      <c r="B98" s="120" t="s">
        <v>1052</v>
      </c>
      <c r="C98" s="75" t="s">
        <v>1084</v>
      </c>
      <c r="D98" s="88">
        <v>1789287</v>
      </c>
      <c r="E98" s="2"/>
      <c r="F98" s="2"/>
      <c r="G98" s="30"/>
      <c r="H98" s="2"/>
      <c r="I98" s="2"/>
      <c r="J98" s="2"/>
      <c r="K98" s="2"/>
      <c r="L98" s="41"/>
      <c r="M98" s="42"/>
      <c r="N98" s="2"/>
    </row>
    <row r="99" spans="1:14" s="70" customFormat="1" ht="12.75" customHeight="1" x14ac:dyDescent="0.2">
      <c r="A99" s="87">
        <v>45218</v>
      </c>
      <c r="B99" s="120" t="s">
        <v>1052</v>
      </c>
      <c r="C99" s="75" t="s">
        <v>606</v>
      </c>
      <c r="D99" s="88">
        <v>189973.92</v>
      </c>
      <c r="E99" s="2"/>
      <c r="F99" s="2"/>
      <c r="G99" s="30"/>
      <c r="H99" s="2"/>
      <c r="I99" s="2"/>
      <c r="J99" s="2"/>
      <c r="K99" s="2"/>
      <c r="L99" s="41"/>
      <c r="M99" s="42"/>
      <c r="N99" s="2"/>
    </row>
    <row r="100" spans="1:14" s="70" customFormat="1" ht="12.75" customHeight="1" x14ac:dyDescent="0.2">
      <c r="A100" s="87">
        <v>45218</v>
      </c>
      <c r="B100" s="120" t="s">
        <v>1052</v>
      </c>
      <c r="C100" s="75" t="s">
        <v>18</v>
      </c>
      <c r="D100" s="88">
        <v>734545</v>
      </c>
      <c r="E100" s="2"/>
      <c r="F100" s="2"/>
      <c r="G100" s="30"/>
      <c r="H100" s="2"/>
      <c r="I100" s="2"/>
      <c r="J100" s="2"/>
      <c r="K100" s="2"/>
      <c r="L100" s="41"/>
      <c r="M100" s="42"/>
      <c r="N100" s="2"/>
    </row>
    <row r="101" spans="1:14" s="70" customFormat="1" ht="12.75" customHeight="1" x14ac:dyDescent="0.2">
      <c r="A101" s="87">
        <v>45219</v>
      </c>
      <c r="B101" s="120" t="s">
        <v>1052</v>
      </c>
      <c r="C101" s="75" t="s">
        <v>270</v>
      </c>
      <c r="D101" s="88">
        <v>302951</v>
      </c>
      <c r="E101" s="2"/>
      <c r="F101" s="2"/>
      <c r="G101" s="30"/>
      <c r="H101" s="2"/>
      <c r="I101" s="2"/>
      <c r="J101" s="2"/>
      <c r="K101" s="2"/>
      <c r="L101" s="41"/>
      <c r="M101" s="42"/>
      <c r="N101" s="2"/>
    </row>
    <row r="102" spans="1:14" s="70" customFormat="1" ht="12.75" customHeight="1" x14ac:dyDescent="0.2">
      <c r="A102" s="87">
        <v>45219</v>
      </c>
      <c r="B102" s="120" t="s">
        <v>1052</v>
      </c>
      <c r="C102" s="75" t="s">
        <v>270</v>
      </c>
      <c r="D102" s="88">
        <v>6923</v>
      </c>
      <c r="E102" s="2"/>
      <c r="F102" s="2"/>
      <c r="G102" s="30"/>
      <c r="H102" s="2"/>
      <c r="I102" s="2"/>
      <c r="J102" s="2"/>
      <c r="K102" s="2"/>
      <c r="L102" s="41"/>
      <c r="M102" s="42"/>
      <c r="N102" s="2"/>
    </row>
    <row r="103" spans="1:14" s="70" customFormat="1" ht="12.75" customHeight="1" x14ac:dyDescent="0.2">
      <c r="A103" s="87">
        <v>45219</v>
      </c>
      <c r="B103" s="120" t="s">
        <v>1052</v>
      </c>
      <c r="C103" s="75" t="s">
        <v>88</v>
      </c>
      <c r="D103" s="88">
        <v>9230617.5700000003</v>
      </c>
      <c r="E103" s="2"/>
      <c r="F103" s="2"/>
      <c r="G103" s="30"/>
      <c r="H103" s="2"/>
      <c r="I103" s="2"/>
      <c r="J103" s="2"/>
      <c r="K103" s="2"/>
      <c r="L103" s="41"/>
      <c r="M103" s="42"/>
      <c r="N103" s="2"/>
    </row>
    <row r="104" spans="1:14" s="70" customFormat="1" ht="12.75" customHeight="1" x14ac:dyDescent="0.2">
      <c r="A104" s="87">
        <v>45220</v>
      </c>
      <c r="B104" s="120" t="s">
        <v>1052</v>
      </c>
      <c r="C104" s="75" t="s">
        <v>85</v>
      </c>
      <c r="D104" s="88">
        <v>323371</v>
      </c>
      <c r="E104" s="2"/>
      <c r="F104" s="2"/>
      <c r="G104" s="30"/>
      <c r="H104" s="2"/>
      <c r="I104" s="2"/>
      <c r="J104" s="2"/>
      <c r="K104" s="2"/>
      <c r="L104" s="41"/>
      <c r="M104" s="42"/>
      <c r="N104" s="2"/>
    </row>
    <row r="105" spans="1:14" s="70" customFormat="1" ht="12.75" customHeight="1" x14ac:dyDescent="0.2">
      <c r="A105" s="87">
        <v>45222</v>
      </c>
      <c r="B105" s="120" t="s">
        <v>1052</v>
      </c>
      <c r="C105" s="75" t="s">
        <v>86</v>
      </c>
      <c r="D105" s="88">
        <v>1229642</v>
      </c>
      <c r="E105" s="2"/>
      <c r="F105" s="2"/>
      <c r="G105" s="30"/>
      <c r="H105" s="2"/>
      <c r="I105" s="2"/>
      <c r="J105" s="2"/>
      <c r="K105" s="2"/>
      <c r="L105" s="41"/>
      <c r="M105" s="42"/>
      <c r="N105" s="2"/>
    </row>
    <row r="106" spans="1:14" s="70" customFormat="1" ht="12.75" customHeight="1" x14ac:dyDescent="0.2">
      <c r="A106" s="87">
        <v>45222</v>
      </c>
      <c r="B106" s="120" t="s">
        <v>1052</v>
      </c>
      <c r="C106" s="75" t="s">
        <v>86</v>
      </c>
      <c r="D106" s="88">
        <v>46995</v>
      </c>
      <c r="E106" s="2"/>
      <c r="F106" s="2"/>
      <c r="G106" s="30"/>
      <c r="H106" s="2"/>
      <c r="I106" s="2"/>
      <c r="J106" s="2"/>
      <c r="K106" s="2"/>
      <c r="L106" s="41"/>
      <c r="M106" s="42"/>
      <c r="N106" s="2"/>
    </row>
    <row r="107" spans="1:14" s="70" customFormat="1" ht="12.75" customHeight="1" x14ac:dyDescent="0.2">
      <c r="A107" s="87">
        <v>45222</v>
      </c>
      <c r="B107" s="120" t="s">
        <v>1052</v>
      </c>
      <c r="C107" s="75" t="s">
        <v>86</v>
      </c>
      <c r="D107" s="88">
        <v>782535</v>
      </c>
      <c r="E107" s="2"/>
      <c r="F107" s="2"/>
      <c r="G107" s="30"/>
      <c r="H107" s="2"/>
      <c r="I107" s="2"/>
      <c r="J107" s="2"/>
      <c r="K107" s="2"/>
      <c r="L107" s="41"/>
      <c r="M107" s="42"/>
      <c r="N107" s="2"/>
    </row>
    <row r="108" spans="1:14" s="70" customFormat="1" ht="12.75" customHeight="1" x14ac:dyDescent="0.2">
      <c r="A108" s="87">
        <v>45224</v>
      </c>
      <c r="B108" s="120" t="s">
        <v>1052</v>
      </c>
      <c r="C108" s="75" t="s">
        <v>85</v>
      </c>
      <c r="D108" s="88">
        <v>631492</v>
      </c>
      <c r="E108" s="2"/>
      <c r="F108" s="2"/>
      <c r="G108" s="30"/>
      <c r="H108" s="2"/>
      <c r="I108" s="2"/>
      <c r="J108" s="2"/>
      <c r="K108" s="2"/>
      <c r="L108" s="41"/>
      <c r="M108" s="42"/>
      <c r="N108" s="2"/>
    </row>
    <row r="109" spans="1:14" s="70" customFormat="1" ht="12.75" customHeight="1" x14ac:dyDescent="0.2">
      <c r="A109" s="87">
        <v>45224</v>
      </c>
      <c r="B109" s="120" t="s">
        <v>1052</v>
      </c>
      <c r="C109" s="75" t="s">
        <v>85</v>
      </c>
      <c r="D109" s="88">
        <v>118093</v>
      </c>
      <c r="E109" s="2"/>
      <c r="F109" s="2"/>
      <c r="G109" s="30"/>
      <c r="H109" s="2"/>
      <c r="I109" s="2"/>
      <c r="J109" s="2"/>
      <c r="K109" s="2"/>
      <c r="L109" s="41"/>
      <c r="M109" s="42"/>
      <c r="N109" s="2"/>
    </row>
    <row r="110" spans="1:14" s="70" customFormat="1" ht="12.75" customHeight="1" x14ac:dyDescent="0.2">
      <c r="A110" s="87">
        <v>45224</v>
      </c>
      <c r="B110" s="120" t="s">
        <v>1052</v>
      </c>
      <c r="C110" s="75" t="s">
        <v>323</v>
      </c>
      <c r="D110" s="88">
        <v>13689</v>
      </c>
      <c r="E110" s="2"/>
      <c r="F110" s="2"/>
      <c r="G110" s="30"/>
      <c r="H110" s="2"/>
      <c r="I110" s="2"/>
      <c r="J110" s="2"/>
      <c r="K110" s="2"/>
      <c r="L110" s="41"/>
      <c r="M110" s="42"/>
      <c r="N110" s="2"/>
    </row>
    <row r="111" spans="1:14" s="2" customFormat="1" x14ac:dyDescent="0.2">
      <c r="A111" s="87"/>
      <c r="B111" s="74"/>
      <c r="C111" s="75"/>
      <c r="D111" s="51">
        <f>SUM(D90:D104)</f>
        <v>25041284.119999997</v>
      </c>
      <c r="F111" s="2" t="s">
        <v>396</v>
      </c>
      <c r="G111" s="1"/>
    </row>
    <row r="112" spans="1:14" s="2" customFormat="1" x14ac:dyDescent="0.2">
      <c r="A112" s="24"/>
      <c r="B112" s="1"/>
      <c r="C112" s="14"/>
      <c r="D112" s="56"/>
      <c r="E112" s="13"/>
      <c r="G112" s="1"/>
    </row>
    <row r="113" spans="1:13" s="2" customFormat="1" x14ac:dyDescent="0.2">
      <c r="A113" s="24"/>
      <c r="B113" s="1"/>
      <c r="C113" s="218" t="s">
        <v>77</v>
      </c>
      <c r="D113" s="219"/>
      <c r="E113" s="219"/>
      <c r="F113" s="220"/>
      <c r="H113" s="2" t="s">
        <v>396</v>
      </c>
    </row>
    <row r="114" spans="1:13" s="2" customFormat="1" x14ac:dyDescent="0.2">
      <c r="A114" s="24"/>
      <c r="B114" s="1"/>
      <c r="C114" s="50"/>
      <c r="D114" s="57" t="s">
        <v>78</v>
      </c>
      <c r="E114" s="58" t="s">
        <v>79</v>
      </c>
      <c r="F114" s="57" t="s">
        <v>72</v>
      </c>
      <c r="H114" s="2" t="s">
        <v>396</v>
      </c>
    </row>
    <row r="115" spans="1:13" s="2" customFormat="1" x14ac:dyDescent="0.2">
      <c r="A115" s="24"/>
      <c r="B115" s="1"/>
      <c r="C115" s="59" t="str">
        <f>"01-10-2023 to "&amp;TEXT(A5-2,"dd-mm-yyyy")</f>
        <v>01-10-2023 to 23-10-2023</v>
      </c>
      <c r="D115" s="60">
        <v>1829.57</v>
      </c>
      <c r="E115" s="60">
        <v>388.94</v>
      </c>
      <c r="F115" s="61">
        <f>SUM(D115:E115)</f>
        <v>2218.5099999999998</v>
      </c>
    </row>
    <row r="116" spans="1:13" s="2" customFormat="1" x14ac:dyDescent="0.2">
      <c r="A116" s="24"/>
      <c r="B116" s="1"/>
      <c r="C116" s="62" t="str">
        <f>TEXT(A5-1,"dd-mm-yyyy")</f>
        <v>24-10-2023</v>
      </c>
      <c r="D116" s="60">
        <v>0</v>
      </c>
      <c r="E116" s="60">
        <v>0</v>
      </c>
      <c r="F116" s="61">
        <f>SUM(D116:E116)</f>
        <v>0</v>
      </c>
      <c r="G116" s="1"/>
      <c r="H116" s="53"/>
    </row>
    <row r="117" spans="1:13" s="2" customFormat="1" ht="13.5" thickBot="1" x14ac:dyDescent="0.25">
      <c r="A117" s="24"/>
      <c r="B117" s="1"/>
      <c r="C117" s="63" t="str">
        <f>"01-10-2023 to "&amp;TEXT(A5-1,"dd-mm-yyyy")</f>
        <v>01-10-2023 to 24-10-2023</v>
      </c>
      <c r="D117" s="64">
        <f>SUM(D115:D116)</f>
        <v>1829.57</v>
      </c>
      <c r="E117" s="64">
        <f>SUM(E115:E116)</f>
        <v>388.94</v>
      </c>
      <c r="F117" s="64">
        <f>SUM(F115:F116)</f>
        <v>2218.5099999999998</v>
      </c>
      <c r="G117" s="1"/>
      <c r="H117" s="53"/>
    </row>
    <row r="118" spans="1:13" s="2" customFormat="1" ht="13.5" thickTop="1" x14ac:dyDescent="0.2">
      <c r="A118" s="24"/>
      <c r="B118" s="1"/>
      <c r="C118" s="62"/>
      <c r="D118" s="65"/>
      <c r="E118" s="66"/>
      <c r="F118" s="67"/>
      <c r="L118" s="1"/>
      <c r="M118" s="1"/>
    </row>
    <row r="119" spans="1:13" s="2" customFormat="1" x14ac:dyDescent="0.2">
      <c r="A119" s="24"/>
      <c r="B119" s="1"/>
      <c r="C119" s="62" t="str">
        <f>"01-04-2023 to " &amp;C116</f>
        <v>01-04-2023 to 24-10-2023</v>
      </c>
      <c r="D119" s="68">
        <f>+D117+27003.42</f>
        <v>28832.989999999998</v>
      </c>
      <c r="E119" s="68">
        <f>+E117+2028.43</f>
        <v>2417.37</v>
      </c>
      <c r="F119" s="68">
        <f>+F117+29031.85</f>
        <v>31250.359999999997</v>
      </c>
      <c r="G119" s="1"/>
      <c r="L119" s="1"/>
      <c r="M119" s="1"/>
    </row>
    <row r="120" spans="1:13" s="2" customFormat="1" x14ac:dyDescent="0.2">
      <c r="A120" s="24"/>
      <c r="B120" s="1"/>
      <c r="C120" s="52"/>
      <c r="D120" s="85"/>
      <c r="E120" s="53"/>
      <c r="F120" s="53"/>
      <c r="G120" s="1"/>
      <c r="L120" s="1"/>
      <c r="M120" s="1"/>
    </row>
    <row r="121" spans="1:13" s="2" customFormat="1" x14ac:dyDescent="0.2">
      <c r="A121" s="24"/>
      <c r="B121" s="1"/>
      <c r="C121" s="52"/>
      <c r="D121" s="85"/>
      <c r="E121" s="53"/>
      <c r="F121" s="53"/>
      <c r="G121" s="1"/>
      <c r="L121" s="1"/>
      <c r="M121" s="1"/>
    </row>
    <row r="122" spans="1:13" s="2" customFormat="1" x14ac:dyDescent="0.2">
      <c r="A122" s="24"/>
      <c r="B122" s="1"/>
      <c r="C122" s="52"/>
      <c r="D122" s="85"/>
      <c r="E122" s="53"/>
      <c r="F122" s="53"/>
      <c r="G122" s="1"/>
      <c r="L122" s="1"/>
      <c r="M122" s="1"/>
    </row>
    <row r="123" spans="1:13" s="2" customFormat="1" x14ac:dyDescent="0.2">
      <c r="A123" s="24"/>
      <c r="B123" s="1"/>
      <c r="C123" s="52"/>
      <c r="D123" s="85"/>
      <c r="E123" s="53"/>
      <c r="F123" s="53"/>
      <c r="G123" s="1"/>
      <c r="L123" s="1"/>
      <c r="M123" s="1"/>
    </row>
    <row r="124" spans="1:13" s="2" customFormat="1" x14ac:dyDescent="0.2">
      <c r="A124" s="24"/>
      <c r="B124" s="1"/>
      <c r="C124" s="14"/>
      <c r="D124" s="25"/>
      <c r="G124" s="1"/>
      <c r="L124" s="1"/>
      <c r="M124" s="1"/>
    </row>
    <row r="125" spans="1:13" s="2" customFormat="1" x14ac:dyDescent="0.2">
      <c r="A125" s="24"/>
      <c r="B125" s="1"/>
      <c r="C125" s="14"/>
      <c r="D125" s="25"/>
      <c r="G125" s="1"/>
      <c r="L125" s="1"/>
      <c r="M125" s="1"/>
    </row>
    <row r="126" spans="1:13" s="2" customFormat="1" x14ac:dyDescent="0.2">
      <c r="A126" s="24"/>
      <c r="B126" s="1"/>
      <c r="C126" s="14"/>
      <c r="D126" s="25"/>
      <c r="G126" s="1"/>
      <c r="L126" s="1"/>
      <c r="M126" s="1"/>
    </row>
    <row r="127" spans="1:13" s="2" customFormat="1" x14ac:dyDescent="0.2">
      <c r="A127" s="24"/>
      <c r="B127" s="1"/>
      <c r="C127" s="14"/>
      <c r="D127" s="25"/>
      <c r="G127" s="1"/>
      <c r="L127" s="1"/>
      <c r="M127" s="1"/>
    </row>
    <row r="128" spans="1:13" s="2" customFormat="1" x14ac:dyDescent="0.2">
      <c r="A128" s="24"/>
      <c r="B128" s="1"/>
      <c r="C128" s="14"/>
      <c r="D128" s="25"/>
      <c r="G128" s="1"/>
      <c r="L128" s="1"/>
      <c r="M128" s="1"/>
    </row>
    <row r="129" spans="1:14" s="2" customFormat="1" x14ac:dyDescent="0.2">
      <c r="A129" s="24"/>
      <c r="B129" s="1"/>
      <c r="C129" s="14"/>
      <c r="D129" s="25"/>
      <c r="G129" s="1"/>
      <c r="L129" s="1"/>
      <c r="M129" s="1"/>
    </row>
    <row r="130" spans="1:14" s="2" customFormat="1" x14ac:dyDescent="0.2">
      <c r="A130" s="24"/>
      <c r="B130" s="1"/>
      <c r="C130" s="14"/>
      <c r="D130" s="25"/>
      <c r="G130" s="1"/>
      <c r="L130" s="1"/>
      <c r="M130" s="1"/>
    </row>
    <row r="131" spans="1:14" s="2" customFormat="1" x14ac:dyDescent="0.2">
      <c r="A131" s="24"/>
      <c r="B131" s="1"/>
      <c r="C131" s="14"/>
      <c r="D131" s="25"/>
      <c r="G131" s="1"/>
      <c r="L131" s="1"/>
      <c r="M131" s="1"/>
    </row>
    <row r="132" spans="1:14" s="2" customFormat="1" x14ac:dyDescent="0.2">
      <c r="A132" s="24"/>
      <c r="B132" s="1"/>
      <c r="C132" s="14"/>
      <c r="D132" s="25"/>
      <c r="G132" s="1"/>
      <c r="L132" s="1"/>
      <c r="M132" s="1"/>
    </row>
    <row r="133" spans="1:14" s="2" customFormat="1" x14ac:dyDescent="0.2">
      <c r="A133" s="24"/>
      <c r="B133" s="1"/>
      <c r="C133" s="14"/>
      <c r="D133" s="25"/>
      <c r="G133" s="1"/>
      <c r="L133" s="1"/>
      <c r="M133" s="1"/>
    </row>
    <row r="134" spans="1:14" s="2" customFormat="1" x14ac:dyDescent="0.2">
      <c r="A134" s="24"/>
      <c r="B134" s="1"/>
      <c r="C134" s="14"/>
      <c r="D134" s="25"/>
      <c r="G134" s="1"/>
      <c r="L134" s="1"/>
      <c r="M134" s="1"/>
    </row>
    <row r="135" spans="1:14" s="2" customFormat="1" x14ac:dyDescent="0.2">
      <c r="A135" s="24"/>
      <c r="B135" s="1"/>
      <c r="C135" s="14"/>
      <c r="D135" s="25"/>
      <c r="G135" s="1"/>
      <c r="L135" s="1"/>
      <c r="M135" s="1"/>
    </row>
    <row r="136" spans="1:14" s="2" customFormat="1" x14ac:dyDescent="0.2">
      <c r="A136" s="24"/>
      <c r="B136" s="1"/>
      <c r="C136" s="14"/>
      <c r="D136" s="25"/>
      <c r="G136" s="1"/>
      <c r="L136" s="1"/>
      <c r="M136" s="1"/>
    </row>
    <row r="137" spans="1:14" s="2" customFormat="1" x14ac:dyDescent="0.2">
      <c r="A137" s="24"/>
      <c r="B137" s="1"/>
      <c r="C137" s="14"/>
      <c r="D137" s="25"/>
      <c r="G137" s="1"/>
      <c r="L137" s="1"/>
      <c r="M137" s="1"/>
    </row>
    <row r="138" spans="1:14" s="2" customFormat="1" x14ac:dyDescent="0.2">
      <c r="A138" s="24"/>
      <c r="B138" s="1"/>
      <c r="C138" s="14"/>
      <c r="D138" s="25"/>
      <c r="G138" s="1"/>
      <c r="I138" s="1"/>
      <c r="J138" s="1"/>
      <c r="K138" s="1"/>
      <c r="L138" s="1"/>
      <c r="M138" s="1"/>
    </row>
    <row r="139" spans="1:14" s="2" customFormat="1" x14ac:dyDescent="0.2">
      <c r="A139" s="24"/>
      <c r="B139" s="1"/>
      <c r="C139" s="14"/>
      <c r="D139" s="25"/>
      <c r="G139" s="1"/>
    </row>
    <row r="140" spans="1:14" s="2" customFormat="1" x14ac:dyDescent="0.2">
      <c r="A140" s="24"/>
      <c r="B140" s="1"/>
      <c r="C140" s="14"/>
      <c r="D140" s="25"/>
      <c r="G140" s="1"/>
      <c r="I140" s="1"/>
      <c r="J140" s="1"/>
      <c r="K140" s="1"/>
      <c r="L140" s="1"/>
      <c r="M140" s="1"/>
    </row>
    <row r="141" spans="1:14" s="2" customFormat="1" x14ac:dyDescent="0.2">
      <c r="A141" s="24"/>
      <c r="B141" s="1"/>
      <c r="C141" s="14"/>
      <c r="D141" s="25"/>
      <c r="G141" s="54"/>
      <c r="I141" s="1"/>
      <c r="J141" s="1"/>
      <c r="K141" s="1"/>
      <c r="L141" s="1"/>
      <c r="M141" s="1"/>
    </row>
    <row r="142" spans="1:14" s="2" customFormat="1" x14ac:dyDescent="0.2">
      <c r="A142" s="24"/>
      <c r="B142" s="1"/>
      <c r="C142" s="14"/>
      <c r="D142" s="25"/>
      <c r="G142" s="54"/>
      <c r="I142" s="1"/>
      <c r="J142" s="1"/>
      <c r="K142" s="1"/>
      <c r="L142" s="1"/>
      <c r="M142" s="1"/>
    </row>
    <row r="143" spans="1:14" s="2" customFormat="1" x14ac:dyDescent="0.2">
      <c r="A143" s="24"/>
      <c r="B143" s="1"/>
      <c r="C143" s="14"/>
      <c r="D143" s="25"/>
      <c r="G143" s="54"/>
      <c r="I143" s="1"/>
      <c r="J143" s="1"/>
      <c r="K143" s="1"/>
      <c r="L143" s="1"/>
      <c r="M143" s="1"/>
    </row>
    <row r="144" spans="1:14" s="2" customFormat="1" x14ac:dyDescent="0.2">
      <c r="A144" s="24"/>
      <c r="B144" s="1"/>
      <c r="C144" s="14"/>
      <c r="D144" s="25"/>
      <c r="G144" s="54"/>
      <c r="H144" s="2" t="s">
        <v>396</v>
      </c>
      <c r="I144" s="1"/>
      <c r="J144" s="1"/>
      <c r="K144" s="1"/>
      <c r="L144" s="1"/>
      <c r="M144" s="1"/>
      <c r="N144" s="1"/>
    </row>
    <row r="145" spans="1:14" s="2" customFormat="1" x14ac:dyDescent="0.2">
      <c r="A145" s="24"/>
      <c r="B145" s="1"/>
      <c r="C145" s="14"/>
      <c r="D145" s="25"/>
      <c r="G145" s="54"/>
      <c r="H145" s="53"/>
    </row>
    <row r="146" spans="1:14" s="2" customFormat="1" x14ac:dyDescent="0.2">
      <c r="A146" s="24"/>
      <c r="B146" s="1"/>
      <c r="C146" s="14"/>
      <c r="D146" s="25"/>
      <c r="G146" s="54"/>
      <c r="H146" s="53" t="s">
        <v>396</v>
      </c>
      <c r="I146" s="1"/>
      <c r="J146" s="1"/>
      <c r="K146" s="1"/>
      <c r="L146" s="1"/>
      <c r="M146" s="1"/>
      <c r="N146" s="1"/>
    </row>
    <row r="147" spans="1:14" x14ac:dyDescent="0.2">
      <c r="G147" s="54"/>
      <c r="H147" s="53" t="s">
        <v>396</v>
      </c>
      <c r="J147" s="42"/>
    </row>
    <row r="148" spans="1:14" s="2" customFormat="1" x14ac:dyDescent="0.2">
      <c r="A148" s="24"/>
      <c r="B148" s="1"/>
      <c r="C148" s="14"/>
      <c r="D148" s="25"/>
      <c r="G148" s="54"/>
      <c r="H148" s="53"/>
      <c r="I148" s="101"/>
      <c r="J148" s="1"/>
      <c r="K148" s="1"/>
      <c r="L148" s="1"/>
      <c r="M148" s="1"/>
      <c r="N148" s="1"/>
    </row>
    <row r="149" spans="1:14" x14ac:dyDescent="0.2">
      <c r="G149" s="54"/>
      <c r="H149" s="53"/>
    </row>
    <row r="150" spans="1:14" x14ac:dyDescent="0.2">
      <c r="G150" s="54"/>
      <c r="H150" s="53"/>
    </row>
    <row r="151" spans="1:14" x14ac:dyDescent="0.2">
      <c r="G151" s="54"/>
      <c r="H151" s="53"/>
    </row>
  </sheetData>
  <sheetProtection insertRows="0"/>
  <mergeCells count="6">
    <mergeCell ref="C113:F113"/>
    <mergeCell ref="A1:G1"/>
    <mergeCell ref="A3:F3"/>
    <mergeCell ref="A9:F9"/>
    <mergeCell ref="A20:F20"/>
    <mergeCell ref="A88:D88"/>
  </mergeCells>
  <conditionalFormatting sqref="G85:G86">
    <cfRule type="cellIs" dxfId="251" priority="1" operator="lessThan">
      <formula>0</formula>
    </cfRule>
  </conditionalFormatting>
  <conditionalFormatting sqref="C22">
    <cfRule type="duplicateValues" dxfId="250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500-000000000000}">
  <sheetPr codeName="Sheet461">
    <pageSetUpPr fitToPage="1"/>
  </sheetPr>
  <dimension ref="A1:N132"/>
  <sheetViews>
    <sheetView topLeftCell="A21" zoomScaleNormal="100" workbookViewId="0">
      <selection activeCell="E42" sqref="E42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3" ht="20.25" customHeight="1" x14ac:dyDescent="0.4">
      <c r="A1" s="212" t="s">
        <v>1714</v>
      </c>
      <c r="B1" s="212"/>
      <c r="C1" s="212"/>
      <c r="D1" s="212"/>
      <c r="E1" s="212"/>
      <c r="F1" s="212"/>
      <c r="G1" s="212"/>
      <c r="H1" s="112"/>
      <c r="I1" s="112"/>
    </row>
    <row r="2" spans="1:13" ht="12.75" customHeight="1" x14ac:dyDescent="0.4">
      <c r="H2" s="112"/>
      <c r="I2" s="112"/>
    </row>
    <row r="3" spans="1:13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3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3" s="2" customFormat="1" ht="14.25" customHeight="1" x14ac:dyDescent="0.4">
      <c r="A5" s="89">
        <v>45225</v>
      </c>
      <c r="B5" s="9" t="s">
        <v>6</v>
      </c>
      <c r="C5" s="10" t="s">
        <v>7</v>
      </c>
      <c r="D5" s="11"/>
      <c r="E5" s="12">
        <v>466554.71000000183</v>
      </c>
      <c r="F5" s="12"/>
      <c r="G5" s="1"/>
      <c r="H5" s="112"/>
      <c r="I5" s="112"/>
    </row>
    <row r="6" spans="1:13" s="2" customFormat="1" ht="14.25" customHeight="1" x14ac:dyDescent="0.4">
      <c r="A6" s="89">
        <v>45225</v>
      </c>
      <c r="B6" s="9" t="s">
        <v>6</v>
      </c>
      <c r="C6" s="10" t="s">
        <v>683</v>
      </c>
      <c r="D6" s="11" t="s">
        <v>13</v>
      </c>
      <c r="E6" s="12">
        <v>4895172.6900000004</v>
      </c>
      <c r="F6" s="12"/>
      <c r="G6" s="1"/>
      <c r="H6" s="112"/>
      <c r="I6" s="112"/>
    </row>
    <row r="7" spans="1:13" s="2" customFormat="1" ht="12.75" customHeight="1" x14ac:dyDescent="0.4">
      <c r="D7" s="15" t="s">
        <v>8</v>
      </c>
      <c r="E7" s="16">
        <f>SUM(E5:E6)</f>
        <v>5361727.4000000022</v>
      </c>
      <c r="F7" s="16">
        <f>SUM(F5:F5)</f>
        <v>0</v>
      </c>
      <c r="G7" s="1"/>
      <c r="H7" s="112"/>
      <c r="I7" s="112"/>
    </row>
    <row r="8" spans="1:13" s="2" customFormat="1" ht="12.75" customHeight="1" x14ac:dyDescent="0.4">
      <c r="A8" s="17"/>
      <c r="B8" s="18"/>
      <c r="C8" s="19" t="s">
        <v>9</v>
      </c>
      <c r="D8" s="20"/>
      <c r="E8" s="21">
        <f>+E7-F7</f>
        <v>5361727.4000000022</v>
      </c>
      <c r="F8" s="22"/>
      <c r="G8" s="23"/>
      <c r="H8" s="112"/>
      <c r="I8" s="112"/>
      <c r="J8" s="13"/>
    </row>
    <row r="9" spans="1:13" ht="12.75" customHeight="1" x14ac:dyDescent="0.4">
      <c r="H9" s="112"/>
      <c r="I9" s="112"/>
    </row>
    <row r="10" spans="1:13" ht="18" customHeight="1" x14ac:dyDescent="0.4">
      <c r="A10" s="213" t="s">
        <v>1037</v>
      </c>
      <c r="B10" s="213"/>
      <c r="C10" s="213"/>
      <c r="D10" s="213"/>
      <c r="E10" s="213"/>
      <c r="F10" s="213"/>
      <c r="H10" s="112"/>
      <c r="I10" s="169">
        <f>90000000-60000000</f>
        <v>30000000</v>
      </c>
      <c r="J10" s="169" t="s">
        <v>1508</v>
      </c>
    </row>
    <row r="11" spans="1:13" ht="12.75" customHeight="1" x14ac:dyDescent="0.4">
      <c r="A11" s="3" t="s">
        <v>1</v>
      </c>
      <c r="B11" s="4" t="s">
        <v>2</v>
      </c>
      <c r="C11" s="5"/>
      <c r="D11" s="6" t="s">
        <v>3</v>
      </c>
      <c r="E11" s="7" t="s">
        <v>4</v>
      </c>
      <c r="F11" s="7" t="s">
        <v>5</v>
      </c>
      <c r="H11" s="112"/>
      <c r="I11" s="169">
        <v>28947277.32</v>
      </c>
      <c r="J11" s="169" t="s">
        <v>1509</v>
      </c>
      <c r="K11" s="124"/>
    </row>
    <row r="12" spans="1:13" s="2" customFormat="1" ht="14.25" customHeight="1" x14ac:dyDescent="0.2">
      <c r="A12" s="89">
        <v>45225</v>
      </c>
      <c r="B12" s="9" t="s">
        <v>6</v>
      </c>
      <c r="C12" s="10" t="s">
        <v>7</v>
      </c>
      <c r="D12" s="11"/>
      <c r="F12" s="12">
        <v>29045693.319999997</v>
      </c>
      <c r="G12" s="1"/>
      <c r="H12" s="130" t="s">
        <v>396</v>
      </c>
      <c r="I12" s="169">
        <f>+I10-I11</f>
        <v>1052722.6799999997</v>
      </c>
      <c r="J12" s="169" t="s">
        <v>712</v>
      </c>
      <c r="K12" s="165" t="s">
        <v>1512</v>
      </c>
    </row>
    <row r="13" spans="1:13" s="2" customFormat="1" ht="14.25" customHeight="1" x14ac:dyDescent="0.2">
      <c r="A13" s="89">
        <v>45225</v>
      </c>
      <c r="B13" s="9" t="s">
        <v>6</v>
      </c>
      <c r="C13" s="10" t="s">
        <v>220</v>
      </c>
      <c r="D13" s="11" t="s">
        <v>13</v>
      </c>
      <c r="E13" s="2">
        <v>680877</v>
      </c>
      <c r="F13" s="12"/>
      <c r="G13" s="1"/>
      <c r="H13" s="130"/>
      <c r="I13" s="169"/>
      <c r="J13" s="169"/>
      <c r="K13" s="165"/>
    </row>
    <row r="14" spans="1:13" s="2" customFormat="1" ht="14.25" customHeight="1" x14ac:dyDescent="0.2">
      <c r="A14" s="89">
        <v>45225</v>
      </c>
      <c r="B14" s="9" t="s">
        <v>6</v>
      </c>
      <c r="C14" s="10" t="s">
        <v>158</v>
      </c>
      <c r="D14" s="11" t="s">
        <v>13</v>
      </c>
      <c r="E14" s="2">
        <v>17539</v>
      </c>
      <c r="F14" s="12"/>
      <c r="G14" s="1"/>
      <c r="H14" s="130"/>
      <c r="I14" s="169"/>
      <c r="J14" s="169"/>
      <c r="K14" s="165"/>
    </row>
    <row r="15" spans="1:13" s="2" customFormat="1" ht="14.25" customHeight="1" x14ac:dyDescent="0.2">
      <c r="A15" s="89">
        <v>45225</v>
      </c>
      <c r="B15" s="9" t="s">
        <v>11</v>
      </c>
      <c r="C15" s="10" t="s">
        <v>236</v>
      </c>
      <c r="D15" s="11" t="s">
        <v>29</v>
      </c>
      <c r="F15" s="12">
        <v>600000</v>
      </c>
      <c r="G15" s="1"/>
      <c r="H15" s="130"/>
      <c r="I15" s="169"/>
      <c r="J15" s="169"/>
      <c r="K15" s="165"/>
    </row>
    <row r="16" spans="1:13" s="2" customFormat="1" ht="14.25" customHeight="1" x14ac:dyDescent="0.2">
      <c r="D16" s="11" t="s">
        <v>8</v>
      </c>
      <c r="E16" s="16">
        <f>SUM(E13:E15)</f>
        <v>698416</v>
      </c>
      <c r="F16" s="16">
        <f>SUM(F12:F15)</f>
        <v>29645693.319999997</v>
      </c>
      <c r="G16" s="1"/>
      <c r="H16" s="143"/>
      <c r="I16" s="130"/>
      <c r="J16" s="143"/>
      <c r="K16" s="143"/>
      <c r="L16" s="143"/>
      <c r="M16" s="143"/>
    </row>
    <row r="17" spans="1:14" s="2" customFormat="1" ht="14.25" customHeight="1" x14ac:dyDescent="0.4">
      <c r="A17" s="17"/>
      <c r="B17" s="18"/>
      <c r="C17" s="96" t="s">
        <v>9</v>
      </c>
      <c r="D17" s="20"/>
      <c r="E17" s="21">
        <f>+F16-E16</f>
        <v>28947277.319999997</v>
      </c>
      <c r="G17" s="1"/>
      <c r="I17" s="112"/>
      <c r="J17" s="153" t="s">
        <v>779</v>
      </c>
    </row>
    <row r="18" spans="1:14" s="2" customFormat="1" ht="14.25" customHeight="1" x14ac:dyDescent="0.2">
      <c r="A18" s="36"/>
      <c r="B18" s="28" t="s">
        <v>66</v>
      </c>
      <c r="C18" s="43" t="s">
        <v>1458</v>
      </c>
      <c r="D18" s="43"/>
      <c r="E18" s="12">
        <f>30000000+60000000</f>
        <v>90000000</v>
      </c>
      <c r="F18" s="22"/>
      <c r="G18" s="1"/>
      <c r="I18" s="40">
        <v>28947277.32</v>
      </c>
      <c r="J18" s="154">
        <f>I18-E17</f>
        <v>0</v>
      </c>
    </row>
    <row r="19" spans="1:14" s="2" customFormat="1" ht="14.25" customHeight="1" x14ac:dyDescent="0.25">
      <c r="A19" s="36"/>
      <c r="B19" s="28"/>
      <c r="C19" s="44" t="s">
        <v>1541</v>
      </c>
      <c r="D19" s="43"/>
      <c r="E19" s="7">
        <f>+E17+E18</f>
        <v>118947277.31999999</v>
      </c>
      <c r="F19" s="22"/>
      <c r="G19" s="1"/>
      <c r="H19" s="13" t="s">
        <v>1582</v>
      </c>
      <c r="I19" s="13" t="s">
        <v>1583</v>
      </c>
    </row>
    <row r="20" spans="1:14" s="2" customFormat="1" ht="14.25" customHeight="1" x14ac:dyDescent="0.25">
      <c r="A20" s="36"/>
      <c r="B20" s="28"/>
      <c r="C20" s="44" t="s">
        <v>1511</v>
      </c>
      <c r="D20" s="43"/>
      <c r="E20" s="38">
        <f>+I12</f>
        <v>1052722.6799999997</v>
      </c>
      <c r="F20" s="22"/>
      <c r="G20" s="1"/>
      <c r="H20" s="2">
        <v>2002205</v>
      </c>
      <c r="I20" s="2">
        <v>4995456.45</v>
      </c>
      <c r="J20" s="176">
        <f>H20-I20</f>
        <v>-2993251.45</v>
      </c>
    </row>
    <row r="21" spans="1:14" s="2" customFormat="1" ht="14.25" customHeight="1" x14ac:dyDescent="0.2">
      <c r="A21" s="24"/>
      <c r="B21" s="1"/>
      <c r="C21" s="14"/>
      <c r="D21" s="25"/>
      <c r="G21" s="1"/>
      <c r="I21" s="130"/>
      <c r="J21" s="130"/>
    </row>
    <row r="22" spans="1:14" s="2" customFormat="1" x14ac:dyDescent="0.2">
      <c r="A22" s="214" t="s">
        <v>10</v>
      </c>
      <c r="B22" s="214"/>
      <c r="C22" s="214"/>
      <c r="D22" s="214"/>
      <c r="E22" s="214"/>
      <c r="F22" s="214"/>
      <c r="G22" s="1"/>
      <c r="H22" s="159"/>
      <c r="I22" s="160">
        <f>225000000-75000000-50000000</f>
        <v>100000000</v>
      </c>
      <c r="J22" s="160" t="s">
        <v>1506</v>
      </c>
      <c r="K22" s="70"/>
    </row>
    <row r="23" spans="1:14" s="2" customFormat="1" x14ac:dyDescent="0.2">
      <c r="A23" s="26" t="s">
        <v>1</v>
      </c>
      <c r="B23" s="27" t="s">
        <v>2</v>
      </c>
      <c r="C23" s="5"/>
      <c r="D23" s="6" t="s">
        <v>3</v>
      </c>
      <c r="E23" s="7" t="s">
        <v>4</v>
      </c>
      <c r="F23" s="7" t="s">
        <v>5</v>
      </c>
      <c r="G23" s="1"/>
      <c r="H23" s="159"/>
      <c r="I23" s="160">
        <v>75385804.030000001</v>
      </c>
      <c r="J23" s="160" t="s">
        <v>1507</v>
      </c>
      <c r="K23" s="70" t="s">
        <v>1512</v>
      </c>
    </row>
    <row r="24" spans="1:14" s="2" customFormat="1" x14ac:dyDescent="0.2">
      <c r="A24" s="89">
        <v>45225</v>
      </c>
      <c r="B24" s="128" t="s">
        <v>11</v>
      </c>
      <c r="C24" s="29" t="s">
        <v>7</v>
      </c>
      <c r="D24" s="25"/>
      <c r="E24" s="31"/>
      <c r="F24" s="2">
        <v>92245529.830000058</v>
      </c>
      <c r="G24" s="23"/>
      <c r="H24" s="159" t="s">
        <v>1505</v>
      </c>
      <c r="I24" s="160">
        <f>+I22-I23</f>
        <v>24614195.969999999</v>
      </c>
      <c r="J24" s="160"/>
      <c r="K24" s="70"/>
    </row>
    <row r="25" spans="1:14" s="2" customFormat="1" x14ac:dyDescent="0.2">
      <c r="A25" s="89">
        <v>45225</v>
      </c>
      <c r="B25" s="128" t="s">
        <v>6</v>
      </c>
      <c r="C25" s="10" t="s">
        <v>748</v>
      </c>
      <c r="D25" s="11" t="s">
        <v>13</v>
      </c>
      <c r="E25" s="86">
        <v>27678.42</v>
      </c>
      <c r="F25" s="70"/>
      <c r="G25" s="1"/>
      <c r="N25" s="1"/>
    </row>
    <row r="26" spans="1:14" s="2" customFormat="1" x14ac:dyDescent="0.2">
      <c r="A26" s="89">
        <v>45225</v>
      </c>
      <c r="B26" s="128" t="s">
        <v>6</v>
      </c>
      <c r="C26" s="10" t="s">
        <v>15</v>
      </c>
      <c r="D26" s="11" t="s">
        <v>13</v>
      </c>
      <c r="E26" s="86">
        <v>171915.36</v>
      </c>
      <c r="F26" s="70"/>
      <c r="G26" s="1"/>
      <c r="N26" s="1"/>
    </row>
    <row r="27" spans="1:14" s="2" customFormat="1" x14ac:dyDescent="0.2">
      <c r="A27" s="89">
        <v>45225</v>
      </c>
      <c r="B27" s="128" t="s">
        <v>6</v>
      </c>
      <c r="C27" s="10" t="s">
        <v>764</v>
      </c>
      <c r="D27" s="11" t="s">
        <v>13</v>
      </c>
      <c r="E27" s="86">
        <v>4831997.9399999995</v>
      </c>
      <c r="F27" s="70"/>
      <c r="G27" s="1"/>
      <c r="N27" s="1"/>
    </row>
    <row r="28" spans="1:14" s="2" customFormat="1" x14ac:dyDescent="0.2">
      <c r="A28" s="89">
        <v>45225</v>
      </c>
      <c r="B28" s="128" t="s">
        <v>6</v>
      </c>
      <c r="C28" s="10" t="s">
        <v>318</v>
      </c>
      <c r="D28" s="11" t="s">
        <v>13</v>
      </c>
      <c r="E28" s="86">
        <v>426740</v>
      </c>
      <c r="F28" s="70"/>
      <c r="G28" s="1"/>
      <c r="N28" s="1"/>
    </row>
    <row r="29" spans="1:14" s="2" customFormat="1" x14ac:dyDescent="0.2">
      <c r="A29" s="89">
        <v>45225</v>
      </c>
      <c r="B29" s="128" t="s">
        <v>6</v>
      </c>
      <c r="C29" s="10" t="s">
        <v>749</v>
      </c>
      <c r="D29" s="11" t="s">
        <v>13</v>
      </c>
      <c r="E29" s="86">
        <v>544610.30000000005</v>
      </c>
      <c r="F29" s="70"/>
      <c r="G29" s="1"/>
      <c r="N29" s="1"/>
    </row>
    <row r="30" spans="1:14" s="2" customFormat="1" x14ac:dyDescent="0.2">
      <c r="A30" s="89">
        <v>45225</v>
      </c>
      <c r="B30" s="128" t="s">
        <v>6</v>
      </c>
      <c r="C30" s="10" t="s">
        <v>757</v>
      </c>
      <c r="D30" s="11" t="s">
        <v>13</v>
      </c>
      <c r="E30" s="86">
        <v>83026.7</v>
      </c>
      <c r="F30" s="70"/>
      <c r="G30" s="1"/>
      <c r="N30" s="1"/>
    </row>
    <row r="31" spans="1:14" s="2" customFormat="1" x14ac:dyDescent="0.2">
      <c r="A31" s="89">
        <v>45225</v>
      </c>
      <c r="B31" s="128" t="s">
        <v>6</v>
      </c>
      <c r="C31" s="10" t="s">
        <v>106</v>
      </c>
      <c r="D31" s="11" t="s">
        <v>13</v>
      </c>
      <c r="E31" s="86">
        <v>1500000</v>
      </c>
      <c r="F31" s="70"/>
      <c r="G31" s="1"/>
      <c r="N31" s="1"/>
    </row>
    <row r="32" spans="1:14" s="2" customFormat="1" x14ac:dyDescent="0.2">
      <c r="A32" s="89">
        <v>45225</v>
      </c>
      <c r="B32" s="128" t="s">
        <v>6</v>
      </c>
      <c r="C32" s="10" t="s">
        <v>1365</v>
      </c>
      <c r="D32" s="11" t="s">
        <v>13</v>
      </c>
      <c r="E32" s="86">
        <v>500000</v>
      </c>
      <c r="F32" s="70"/>
      <c r="G32" s="1"/>
      <c r="N32" s="1"/>
    </row>
    <row r="33" spans="1:14" s="2" customFormat="1" x14ac:dyDescent="0.2">
      <c r="A33" s="89">
        <v>45225</v>
      </c>
      <c r="B33" s="128" t="s">
        <v>6</v>
      </c>
      <c r="C33" s="10" t="s">
        <v>768</v>
      </c>
      <c r="D33" s="11" t="s">
        <v>13</v>
      </c>
      <c r="E33" s="86">
        <v>2205</v>
      </c>
      <c r="F33" s="70"/>
      <c r="G33" s="1"/>
      <c r="N33" s="1"/>
    </row>
    <row r="34" spans="1:14" s="2" customFormat="1" x14ac:dyDescent="0.2">
      <c r="A34" s="89">
        <v>45225</v>
      </c>
      <c r="B34" s="128" t="s">
        <v>6</v>
      </c>
      <c r="C34" s="10" t="s">
        <v>149</v>
      </c>
      <c r="D34" s="11" t="s">
        <v>13</v>
      </c>
      <c r="E34" s="86">
        <v>542</v>
      </c>
      <c r="F34" s="70"/>
      <c r="G34" s="1"/>
      <c r="N34" s="1"/>
    </row>
    <row r="35" spans="1:14" s="2" customFormat="1" x14ac:dyDescent="0.2">
      <c r="A35" s="89">
        <v>45225</v>
      </c>
      <c r="B35" s="128" t="s">
        <v>6</v>
      </c>
      <c r="C35" s="10" t="s">
        <v>1627</v>
      </c>
      <c r="D35" s="11" t="s">
        <v>13</v>
      </c>
      <c r="E35" s="86">
        <v>7067698.21</v>
      </c>
      <c r="F35" s="70"/>
      <c r="G35" s="1"/>
      <c r="N35" s="1"/>
    </row>
    <row r="36" spans="1:14" s="2" customFormat="1" x14ac:dyDescent="0.2">
      <c r="A36" s="89">
        <v>45225</v>
      </c>
      <c r="B36" s="128" t="s">
        <v>6</v>
      </c>
      <c r="C36" s="10" t="s">
        <v>12</v>
      </c>
      <c r="D36" s="11" t="s">
        <v>13</v>
      </c>
      <c r="E36" s="86">
        <v>738864.36</v>
      </c>
      <c r="F36" s="70"/>
      <c r="G36" s="1"/>
      <c r="N36" s="1"/>
    </row>
    <row r="37" spans="1:14" s="2" customFormat="1" x14ac:dyDescent="0.2">
      <c r="A37" s="89">
        <v>45225</v>
      </c>
      <c r="B37" s="128" t="s">
        <v>6</v>
      </c>
      <c r="C37" s="10" t="s">
        <v>1351</v>
      </c>
      <c r="D37" s="11" t="s">
        <v>13</v>
      </c>
      <c r="E37" s="86">
        <v>38107.89</v>
      </c>
      <c r="F37" s="70"/>
      <c r="G37" s="1"/>
      <c r="N37" s="1"/>
    </row>
    <row r="38" spans="1:14" s="2" customFormat="1" x14ac:dyDescent="0.2">
      <c r="A38" s="89">
        <v>45225</v>
      </c>
      <c r="B38" s="128" t="s">
        <v>6</v>
      </c>
      <c r="C38" s="10" t="s">
        <v>1715</v>
      </c>
      <c r="D38" s="11" t="s">
        <v>13</v>
      </c>
      <c r="E38" s="86">
        <v>6914</v>
      </c>
      <c r="F38" s="70"/>
      <c r="G38" s="1"/>
      <c r="N38" s="1"/>
    </row>
    <row r="39" spans="1:14" s="2" customFormat="1" x14ac:dyDescent="0.2">
      <c r="A39" s="89">
        <v>45225</v>
      </c>
      <c r="B39" s="128" t="s">
        <v>6</v>
      </c>
      <c r="C39" s="10" t="s">
        <v>759</v>
      </c>
      <c r="D39" s="11" t="s">
        <v>13</v>
      </c>
      <c r="E39" s="86">
        <v>1149992.82</v>
      </c>
      <c r="F39" s="70"/>
      <c r="G39" s="1"/>
      <c r="N39" s="1"/>
    </row>
    <row r="40" spans="1:14" s="2" customFormat="1" x14ac:dyDescent="0.2">
      <c r="A40" s="89">
        <v>45225</v>
      </c>
      <c r="B40" s="128" t="s">
        <v>6</v>
      </c>
      <c r="C40" s="10" t="s">
        <v>1235</v>
      </c>
      <c r="D40" s="11" t="s">
        <v>13</v>
      </c>
      <c r="E40" s="86">
        <v>306085</v>
      </c>
      <c r="F40" s="70"/>
      <c r="G40" s="1"/>
      <c r="N40" s="1"/>
    </row>
    <row r="41" spans="1:14" s="2" customFormat="1" x14ac:dyDescent="0.2">
      <c r="A41" s="89">
        <v>45225</v>
      </c>
      <c r="B41" s="128" t="s">
        <v>6</v>
      </c>
      <c r="C41" s="10" t="s">
        <v>381</v>
      </c>
      <c r="D41" s="11" t="s">
        <v>13</v>
      </c>
      <c r="E41" s="86">
        <v>23402</v>
      </c>
      <c r="F41" s="70"/>
      <c r="G41" s="1"/>
      <c r="N41" s="1"/>
    </row>
    <row r="42" spans="1:14" s="2" customFormat="1" x14ac:dyDescent="0.2">
      <c r="A42" s="89">
        <v>45225</v>
      </c>
      <c r="B42" s="128" t="s">
        <v>6</v>
      </c>
      <c r="C42" s="10" t="s">
        <v>1716</v>
      </c>
      <c r="D42" s="11" t="s">
        <v>13</v>
      </c>
      <c r="E42" s="86">
        <v>208330.8</v>
      </c>
      <c r="F42" s="70"/>
      <c r="G42" s="1"/>
      <c r="N42" s="1"/>
    </row>
    <row r="43" spans="1:14" s="2" customFormat="1" x14ac:dyDescent="0.2">
      <c r="A43" s="89">
        <v>45225</v>
      </c>
      <c r="B43" s="128" t="s">
        <v>11</v>
      </c>
      <c r="C43" s="10" t="s">
        <v>64</v>
      </c>
      <c r="D43" s="11" t="s">
        <v>29</v>
      </c>
      <c r="E43" s="86"/>
      <c r="F43" s="70">
        <v>26153.45</v>
      </c>
      <c r="G43" s="1"/>
      <c r="N43" s="1"/>
    </row>
    <row r="44" spans="1:14" s="2" customFormat="1" x14ac:dyDescent="0.2">
      <c r="A44" s="89">
        <v>45225</v>
      </c>
      <c r="B44" s="128" t="s">
        <v>11</v>
      </c>
      <c r="C44" s="10" t="s">
        <v>109</v>
      </c>
      <c r="D44" s="11" t="s">
        <v>29</v>
      </c>
      <c r="E44" s="86"/>
      <c r="F44" s="70">
        <v>1424616</v>
      </c>
      <c r="G44" s="1"/>
      <c r="N44" s="1"/>
    </row>
    <row r="45" spans="1:14" s="2" customFormat="1" x14ac:dyDescent="0.2">
      <c r="A45" s="89">
        <v>45225</v>
      </c>
      <c r="B45" s="128" t="s">
        <v>11</v>
      </c>
      <c r="C45" s="10" t="s">
        <v>1403</v>
      </c>
      <c r="D45" s="11" t="s">
        <v>29</v>
      </c>
      <c r="E45" s="86"/>
      <c r="F45" s="70">
        <v>2310867</v>
      </c>
      <c r="G45" s="1"/>
      <c r="N45" s="1"/>
    </row>
    <row r="46" spans="1:14" s="2" customFormat="1" x14ac:dyDescent="0.2">
      <c r="A46" s="32"/>
      <c r="B46" s="33"/>
      <c r="C46" s="14"/>
      <c r="D46" s="34"/>
      <c r="E46" s="16">
        <f>SUM(E24:E45)</f>
        <v>17628110.800000001</v>
      </c>
      <c r="F46" s="16">
        <f>SUM(F24:F45)</f>
        <v>96007166.280000061</v>
      </c>
      <c r="G46" s="1"/>
      <c r="H46" s="1"/>
      <c r="I46" s="38">
        <v>78379055.480000004</v>
      </c>
      <c r="J46" s="2" t="s">
        <v>396</v>
      </c>
      <c r="K46" s="92">
        <f>E47-I46</f>
        <v>0</v>
      </c>
      <c r="N46" s="1"/>
    </row>
    <row r="47" spans="1:14" s="2" customFormat="1" x14ac:dyDescent="0.2">
      <c r="A47" s="36"/>
      <c r="B47" s="28" t="s">
        <v>11</v>
      </c>
      <c r="C47" s="19" t="s">
        <v>65</v>
      </c>
      <c r="D47" s="37"/>
      <c r="E47" s="38">
        <f>F46-E46</f>
        <v>78379055.480000064</v>
      </c>
      <c r="F47" s="22"/>
      <c r="G47" s="1"/>
      <c r="H47" s="1"/>
      <c r="I47" s="70"/>
      <c r="J47" s="70"/>
      <c r="K47" s="70"/>
      <c r="N47" s="1"/>
    </row>
    <row r="48" spans="1:14" s="2" customFormat="1" x14ac:dyDescent="0.2">
      <c r="A48" s="36"/>
      <c r="B48" s="28" t="s">
        <v>66</v>
      </c>
      <c r="C48" s="19" t="s">
        <v>67</v>
      </c>
      <c r="D48" s="37"/>
      <c r="E48" s="38">
        <v>6500000</v>
      </c>
      <c r="F48" s="22"/>
      <c r="G48" s="1"/>
      <c r="H48" s="70"/>
      <c r="I48" s="70"/>
      <c r="J48" s="70"/>
      <c r="K48" s="70"/>
      <c r="N48" s="1"/>
    </row>
    <row r="49" spans="1:14" s="2" customFormat="1" x14ac:dyDescent="0.2">
      <c r="A49" s="36"/>
      <c r="B49" s="28" t="s">
        <v>66</v>
      </c>
      <c r="C49" s="43" t="s">
        <v>1457</v>
      </c>
      <c r="D49" s="43"/>
      <c r="E49" s="12">
        <f>275000000+75000000+50000000</f>
        <v>400000000</v>
      </c>
      <c r="F49" s="22"/>
      <c r="G49" s="1"/>
      <c r="H49" s="70"/>
      <c r="I49" s="45">
        <v>2241.6</v>
      </c>
      <c r="J49" s="46"/>
      <c r="K49" s="46"/>
      <c r="N49" s="1"/>
    </row>
    <row r="50" spans="1:14" s="2" customFormat="1" ht="15" x14ac:dyDescent="0.25">
      <c r="A50" s="36"/>
      <c r="B50" s="28"/>
      <c r="C50" s="44" t="s">
        <v>1541</v>
      </c>
      <c r="D50" s="43"/>
      <c r="E50" s="7">
        <f>+E49+E47+E48</f>
        <v>484879055.48000008</v>
      </c>
      <c r="F50" s="22"/>
      <c r="G50" s="1"/>
      <c r="H50" s="103" t="s">
        <v>69</v>
      </c>
      <c r="I50" s="45">
        <v>-210.26</v>
      </c>
      <c r="J50" s="46"/>
      <c r="K50" s="46"/>
      <c r="N50" s="1"/>
    </row>
    <row r="51" spans="1:14" s="2" customFormat="1" ht="15" x14ac:dyDescent="0.25">
      <c r="A51" s="24"/>
      <c r="B51" s="1"/>
      <c r="C51" s="44" t="s">
        <v>1510</v>
      </c>
      <c r="D51" s="25"/>
      <c r="E51" s="156">
        <f>+I24-E48+H20-I20</f>
        <v>15120944.52</v>
      </c>
      <c r="G51" s="1"/>
      <c r="H51" s="35" t="s">
        <v>70</v>
      </c>
      <c r="I51" s="45">
        <v>66.13</v>
      </c>
      <c r="J51" s="46">
        <f>+I52-D54</f>
        <v>0</v>
      </c>
      <c r="N51" s="1"/>
    </row>
    <row r="52" spans="1:14" s="124" customFormat="1" ht="12.75" customHeight="1" x14ac:dyDescent="0.2">
      <c r="A52" s="24"/>
      <c r="B52" s="1"/>
      <c r="C52" s="56"/>
      <c r="D52" s="56"/>
      <c r="E52" s="104"/>
      <c r="F52" s="2"/>
      <c r="G52" s="166"/>
      <c r="H52" s="70"/>
      <c r="I52" s="49">
        <f>SUM(I49:I51)</f>
        <v>2097.4699999999998</v>
      </c>
      <c r="J52" s="46"/>
      <c r="K52" s="46"/>
    </row>
    <row r="53" spans="1:14" s="124" customFormat="1" ht="12.75" customHeight="1" x14ac:dyDescent="0.2">
      <c r="A53" s="24"/>
      <c r="B53" s="1"/>
      <c r="C53" s="78" t="s">
        <v>575</v>
      </c>
      <c r="D53" s="48" t="s">
        <v>576</v>
      </c>
      <c r="E53" s="104"/>
      <c r="F53" s="2"/>
      <c r="G53" s="168"/>
      <c r="H53" s="167"/>
      <c r="I53" s="167"/>
      <c r="J53" s="168"/>
    </row>
    <row r="54" spans="1:14" s="124" customFormat="1" ht="12.75" customHeight="1" x14ac:dyDescent="0.2">
      <c r="A54" s="24"/>
      <c r="B54" s="1"/>
      <c r="C54" s="47" t="s">
        <v>570</v>
      </c>
      <c r="D54" s="111">
        <v>2097.4699999999998</v>
      </c>
      <c r="E54" s="104"/>
      <c r="F54" s="2"/>
      <c r="G54" s="168"/>
      <c r="H54" s="110" t="s">
        <v>581</v>
      </c>
      <c r="I54" s="167"/>
      <c r="J54" s="168"/>
    </row>
    <row r="55" spans="1:14" s="124" customFormat="1" ht="12.75" customHeight="1" x14ac:dyDescent="0.2">
      <c r="A55" s="24"/>
      <c r="B55" s="1"/>
      <c r="C55" s="47" t="s">
        <v>931</v>
      </c>
      <c r="D55" s="111">
        <v>214.66</v>
      </c>
      <c r="E55" s="104"/>
      <c r="F55" s="2"/>
      <c r="G55" s="168"/>
      <c r="H55" s="110" t="s">
        <v>580</v>
      </c>
      <c r="I55" s="167"/>
      <c r="J55" s="168"/>
    </row>
    <row r="56" spans="1:14" s="124" customFormat="1" ht="12.75" customHeight="1" x14ac:dyDescent="0.2">
      <c r="A56" s="24"/>
      <c r="B56" s="1"/>
      <c r="C56" s="47" t="s">
        <v>572</v>
      </c>
      <c r="D56" s="111">
        <f>+D92/100000</f>
        <v>278.63730119999997</v>
      </c>
      <c r="E56" s="104"/>
      <c r="F56" s="2"/>
      <c r="G56" s="166"/>
      <c r="H56" s="90" t="s">
        <v>587</v>
      </c>
      <c r="I56" s="167"/>
      <c r="J56" s="168"/>
    </row>
    <row r="57" spans="1:14" s="2" customFormat="1" x14ac:dyDescent="0.2">
      <c r="A57" s="24"/>
      <c r="B57" s="1"/>
      <c r="C57" s="108" t="s">
        <v>578</v>
      </c>
      <c r="D57" s="48">
        <f>SUM(D54:D56)</f>
        <v>2590.7673011999996</v>
      </c>
      <c r="E57" s="104"/>
      <c r="G57" s="30"/>
      <c r="I57" s="13"/>
      <c r="J57" s="13"/>
    </row>
    <row r="58" spans="1:14" s="70" customFormat="1" x14ac:dyDescent="0.2">
      <c r="A58" s="24"/>
      <c r="B58" s="1"/>
      <c r="C58" s="47"/>
      <c r="D58" s="107"/>
      <c r="E58" s="104"/>
      <c r="F58" s="2"/>
      <c r="G58" s="30"/>
      <c r="H58" s="2"/>
    </row>
    <row r="59" spans="1:14" s="70" customFormat="1" x14ac:dyDescent="0.2">
      <c r="A59" s="24"/>
      <c r="B59" s="1"/>
      <c r="C59" s="47" t="s">
        <v>932</v>
      </c>
      <c r="D59" s="111">
        <v>91.19</v>
      </c>
      <c r="E59" s="104"/>
      <c r="F59" s="2"/>
      <c r="G59" s="30"/>
      <c r="H59" s="110" t="s">
        <v>581</v>
      </c>
    </row>
    <row r="60" spans="1:14" s="70" customFormat="1" x14ac:dyDescent="0.2">
      <c r="A60" s="24"/>
      <c r="B60" s="1"/>
      <c r="C60" s="136" t="s">
        <v>1142</v>
      </c>
      <c r="D60" s="111">
        <v>606.73</v>
      </c>
      <c r="E60" s="104"/>
      <c r="F60" s="2"/>
      <c r="G60" s="30"/>
      <c r="H60" s="110" t="s">
        <v>581</v>
      </c>
    </row>
    <row r="61" spans="1:14" s="70" customFormat="1" x14ac:dyDescent="0.2">
      <c r="A61" s="24"/>
      <c r="B61" s="1"/>
      <c r="C61" s="78" t="s">
        <v>579</v>
      </c>
      <c r="D61" s="109">
        <f>D59+D60</f>
        <v>697.92000000000007</v>
      </c>
      <c r="E61" s="104"/>
      <c r="F61" s="2"/>
      <c r="G61" s="30"/>
    </row>
    <row r="62" spans="1:14" s="70" customFormat="1" x14ac:dyDescent="0.2">
      <c r="A62" s="24"/>
      <c r="B62" s="1"/>
      <c r="C62" s="105"/>
      <c r="D62" s="106"/>
      <c r="E62" s="104"/>
      <c r="F62" s="2"/>
      <c r="G62" s="30"/>
      <c r="I62" s="2"/>
      <c r="J62" s="114" t="s">
        <v>713</v>
      </c>
      <c r="K62" s="2"/>
      <c r="L62" s="2"/>
      <c r="M62" s="2"/>
    </row>
    <row r="63" spans="1:14" s="70" customFormat="1" x14ac:dyDescent="0.2">
      <c r="A63" s="24"/>
      <c r="B63" s="1"/>
      <c r="C63" s="78" t="s">
        <v>577</v>
      </c>
      <c r="D63" s="109">
        <f>D54+D61</f>
        <v>2795.39</v>
      </c>
      <c r="E63" s="104"/>
      <c r="F63" s="2"/>
      <c r="G63" s="30"/>
      <c r="I63" s="113"/>
      <c r="J63" s="113" t="s">
        <v>709</v>
      </c>
      <c r="K63" s="113" t="s">
        <v>710</v>
      </c>
      <c r="L63" s="113" t="s">
        <v>711</v>
      </c>
      <c r="M63" s="113" t="s">
        <v>712</v>
      </c>
    </row>
    <row r="64" spans="1:14" s="70" customFormat="1" x14ac:dyDescent="0.2">
      <c r="A64" s="24"/>
      <c r="B64" s="1"/>
      <c r="C64" s="56"/>
      <c r="D64" s="56"/>
      <c r="E64" s="104"/>
      <c r="F64" s="2"/>
      <c r="G64" s="30"/>
      <c r="I64" s="113" t="s">
        <v>706</v>
      </c>
      <c r="J64" s="115"/>
      <c r="K64" s="115">
        <v>968.99</v>
      </c>
      <c r="L64" s="115">
        <v>968.99</v>
      </c>
      <c r="M64" s="113">
        <f>+J64+L64-K64</f>
        <v>0</v>
      </c>
    </row>
    <row r="65" spans="1:14" s="70" customFormat="1" ht="38.25" x14ac:dyDescent="0.2">
      <c r="A65" s="24"/>
      <c r="B65" s="1"/>
      <c r="C65" s="79" t="str">
        <f>"Particulars ( 01-04-2021 to "&amp;TEXT(A5,"dd-mm-yyyy")&amp;" )"</f>
        <v>Particulars ( 01-04-2021 to 26-10-2023 )</v>
      </c>
      <c r="D65" s="80" t="s">
        <v>73</v>
      </c>
      <c r="E65" s="80" t="s">
        <v>74</v>
      </c>
      <c r="F65" s="81" t="s">
        <v>75</v>
      </c>
      <c r="G65" s="80" t="s">
        <v>76</v>
      </c>
      <c r="I65" s="113" t="s">
        <v>707</v>
      </c>
      <c r="J65" s="115">
        <v>183.1</v>
      </c>
      <c r="K65" s="115">
        <v>3841.97</v>
      </c>
      <c r="L65" s="115">
        <v>4050.28</v>
      </c>
      <c r="M65" s="113">
        <f>+J65+L65-K65</f>
        <v>391.41000000000031</v>
      </c>
    </row>
    <row r="66" spans="1:14" s="70" customFormat="1" x14ac:dyDescent="0.2">
      <c r="A66" s="24"/>
      <c r="B66" s="1"/>
      <c r="C66" s="50" t="s">
        <v>444</v>
      </c>
      <c r="D66" s="55">
        <f>+L64+L65+J65</f>
        <v>5202.3700000000008</v>
      </c>
      <c r="E66" s="55">
        <f>+K64+K65</f>
        <v>4810.96</v>
      </c>
      <c r="F66" s="55">
        <f>+D66-E66</f>
        <v>391.41000000000076</v>
      </c>
      <c r="G66" s="55">
        <f>1500-F66</f>
        <v>1108.5899999999992</v>
      </c>
      <c r="I66" s="113" t="s">
        <v>708</v>
      </c>
      <c r="J66" s="115">
        <v>1371.02</v>
      </c>
      <c r="K66" s="115">
        <v>14718.9</v>
      </c>
      <c r="L66" s="115">
        <v>14399.04</v>
      </c>
      <c r="M66" s="113">
        <f>+J66+L66-K66</f>
        <v>1051.1600000000017</v>
      </c>
    </row>
    <row r="67" spans="1:14" s="70" customFormat="1" ht="12.75" customHeight="1" x14ac:dyDescent="0.2">
      <c r="A67" s="24"/>
      <c r="B67" s="1"/>
      <c r="C67" s="50" t="s">
        <v>71</v>
      </c>
      <c r="D67" s="55">
        <f>+J66+L66</f>
        <v>15770.060000000001</v>
      </c>
      <c r="E67" s="55">
        <f>+K66</f>
        <v>14718.9</v>
      </c>
      <c r="F67" s="55">
        <f>+D67-E67</f>
        <v>1051.1600000000017</v>
      </c>
      <c r="G67" s="55">
        <f>1500+700-F67</f>
        <v>1148.8399999999983</v>
      </c>
      <c r="I67" s="2"/>
      <c r="J67" s="118">
        <f>SUM(J64:J66)</f>
        <v>1554.12</v>
      </c>
      <c r="K67" s="118">
        <f>SUM(K64:K66)</f>
        <v>19529.86</v>
      </c>
      <c r="L67" s="118">
        <f>SUM(L64:L66)</f>
        <v>19418.310000000001</v>
      </c>
      <c r="M67" s="118">
        <f>SUM(M64:M66)</f>
        <v>1442.570000000002</v>
      </c>
    </row>
    <row r="68" spans="1:14" s="70" customFormat="1" ht="12.75" customHeight="1" x14ac:dyDescent="0.2">
      <c r="A68" s="24"/>
      <c r="B68" s="1"/>
      <c r="C68" s="14"/>
      <c r="D68" s="56"/>
      <c r="E68" s="13"/>
      <c r="F68" s="2"/>
      <c r="G68" s="30"/>
    </row>
    <row r="69" spans="1:14" s="70" customFormat="1" ht="12.75" customHeight="1" x14ac:dyDescent="0.2">
      <c r="A69" s="215" t="s">
        <v>80</v>
      </c>
      <c r="B69" s="216"/>
      <c r="C69" s="216"/>
      <c r="D69" s="217"/>
      <c r="E69" s="69"/>
      <c r="G69" s="30"/>
    </row>
    <row r="70" spans="1:14" s="70" customFormat="1" ht="12.75" customHeight="1" x14ac:dyDescent="0.2">
      <c r="A70" s="71" t="s">
        <v>81</v>
      </c>
      <c r="B70" s="71"/>
      <c r="C70" s="72" t="s">
        <v>82</v>
      </c>
      <c r="D70" s="73" t="s">
        <v>83</v>
      </c>
      <c r="E70" s="69"/>
      <c r="G70" s="30"/>
    </row>
    <row r="71" spans="1:14" s="70" customFormat="1" ht="12.75" customHeight="1" x14ac:dyDescent="0.2">
      <c r="A71" s="87">
        <v>45203</v>
      </c>
      <c r="B71" s="120" t="s">
        <v>1052</v>
      </c>
      <c r="C71" s="75" t="s">
        <v>18</v>
      </c>
      <c r="D71" s="88">
        <v>193358.43</v>
      </c>
      <c r="E71" s="2"/>
      <c r="F71" s="2"/>
      <c r="G71" s="30"/>
      <c r="H71" s="2"/>
      <c r="I71" s="2"/>
      <c r="J71" s="2"/>
      <c r="K71" s="2"/>
      <c r="L71" s="41"/>
      <c r="M71" s="42"/>
      <c r="N71" s="2"/>
    </row>
    <row r="72" spans="1:14" s="70" customFormat="1" ht="12.75" customHeight="1" x14ac:dyDescent="0.2">
      <c r="A72" s="87">
        <v>45203</v>
      </c>
      <c r="B72" s="120" t="s">
        <v>1052</v>
      </c>
      <c r="C72" s="75" t="s">
        <v>270</v>
      </c>
      <c r="D72" s="88">
        <v>254277</v>
      </c>
      <c r="E72" s="2"/>
      <c r="F72" s="2"/>
      <c r="G72" s="30"/>
      <c r="H72" s="2"/>
      <c r="I72" s="2"/>
      <c r="J72" s="2"/>
      <c r="K72" s="2"/>
      <c r="L72" s="41"/>
      <c r="M72" s="42"/>
      <c r="N72" s="2"/>
    </row>
    <row r="73" spans="1:14" s="70" customFormat="1" ht="12.75" customHeight="1" x14ac:dyDescent="0.2">
      <c r="A73" s="87">
        <v>45204</v>
      </c>
      <c r="B73" s="120" t="s">
        <v>1052</v>
      </c>
      <c r="C73" s="75" t="s">
        <v>85</v>
      </c>
      <c r="D73" s="88">
        <v>765297</v>
      </c>
      <c r="E73" s="2"/>
      <c r="F73" s="2"/>
      <c r="G73" s="30"/>
      <c r="H73" s="2"/>
      <c r="I73" s="2"/>
      <c r="J73" s="2"/>
      <c r="K73" s="2"/>
      <c r="L73" s="41"/>
      <c r="M73" s="42"/>
      <c r="N73" s="2"/>
    </row>
    <row r="74" spans="1:14" s="70" customFormat="1" ht="12.75" customHeight="1" x14ac:dyDescent="0.2">
      <c r="A74" s="87">
        <v>45209</v>
      </c>
      <c r="B74" s="120" t="s">
        <v>1052</v>
      </c>
      <c r="C74" s="75" t="s">
        <v>606</v>
      </c>
      <c r="D74" s="88">
        <v>2261658</v>
      </c>
      <c r="E74" s="2"/>
      <c r="F74" s="2"/>
      <c r="G74" s="30"/>
      <c r="H74" s="2"/>
      <c r="I74" s="2"/>
      <c r="J74" s="2"/>
      <c r="K74" s="2"/>
      <c r="L74" s="41"/>
      <c r="M74" s="42"/>
      <c r="N74" s="2"/>
    </row>
    <row r="75" spans="1:14" s="70" customFormat="1" ht="12.75" customHeight="1" x14ac:dyDescent="0.2">
      <c r="A75" s="87">
        <v>45211</v>
      </c>
      <c r="B75" s="120" t="s">
        <v>1052</v>
      </c>
      <c r="C75" s="75" t="s">
        <v>18</v>
      </c>
      <c r="D75" s="88">
        <v>35919</v>
      </c>
      <c r="E75" s="2"/>
      <c r="F75" s="2"/>
      <c r="G75" s="30"/>
      <c r="H75" s="2"/>
      <c r="I75" s="2"/>
      <c r="J75" s="2"/>
      <c r="K75" s="2"/>
      <c r="L75" s="41"/>
      <c r="M75" s="42"/>
      <c r="N75" s="2"/>
    </row>
    <row r="76" spans="1:14" s="70" customFormat="1" ht="12.75" customHeight="1" x14ac:dyDescent="0.2">
      <c r="A76" s="87">
        <v>45211</v>
      </c>
      <c r="B76" s="120" t="s">
        <v>1052</v>
      </c>
      <c r="C76" s="75" t="s">
        <v>84</v>
      </c>
      <c r="D76" s="88">
        <v>856347</v>
      </c>
      <c r="E76" s="2"/>
      <c r="F76" s="2"/>
      <c r="G76" s="30"/>
      <c r="H76" s="2"/>
      <c r="I76" s="2"/>
      <c r="J76" s="2"/>
      <c r="K76" s="2"/>
      <c r="L76" s="41"/>
      <c r="M76" s="42"/>
      <c r="N76" s="2"/>
    </row>
    <row r="77" spans="1:14" s="70" customFormat="1" ht="12.75" customHeight="1" x14ac:dyDescent="0.2">
      <c r="A77" s="87">
        <v>45212</v>
      </c>
      <c r="B77" s="120" t="s">
        <v>1052</v>
      </c>
      <c r="C77" s="75" t="s">
        <v>201</v>
      </c>
      <c r="D77" s="88">
        <v>1600267.2</v>
      </c>
      <c r="E77" s="2"/>
      <c r="F77" s="2"/>
      <c r="G77" s="30"/>
      <c r="H77" s="2"/>
      <c r="I77" s="2"/>
      <c r="J77" s="2"/>
      <c r="K77" s="2"/>
      <c r="L77" s="41"/>
      <c r="M77" s="42"/>
      <c r="N77" s="2"/>
    </row>
    <row r="78" spans="1:14" s="70" customFormat="1" ht="12.75" customHeight="1" x14ac:dyDescent="0.2">
      <c r="A78" s="87">
        <v>45215</v>
      </c>
      <c r="B78" s="120" t="s">
        <v>1052</v>
      </c>
      <c r="C78" s="75" t="s">
        <v>1683</v>
      </c>
      <c r="D78" s="88">
        <v>6496492</v>
      </c>
      <c r="E78" s="2"/>
      <c r="F78" s="2"/>
      <c r="G78" s="30"/>
      <c r="H78" s="2"/>
      <c r="I78" s="2"/>
      <c r="J78" s="2"/>
      <c r="K78" s="2"/>
      <c r="L78" s="41"/>
      <c r="M78" s="42"/>
      <c r="N78" s="2"/>
    </row>
    <row r="79" spans="1:14" s="70" customFormat="1" ht="12.75" customHeight="1" x14ac:dyDescent="0.2">
      <c r="A79" s="87">
        <v>45217</v>
      </c>
      <c r="B79" s="120" t="s">
        <v>1052</v>
      </c>
      <c r="C79" s="75" t="s">
        <v>1084</v>
      </c>
      <c r="D79" s="88">
        <v>1789287</v>
      </c>
      <c r="E79" s="2"/>
      <c r="F79" s="2"/>
      <c r="G79" s="30"/>
      <c r="H79" s="2"/>
      <c r="I79" s="2"/>
      <c r="J79" s="2"/>
      <c r="K79" s="2"/>
      <c r="L79" s="41"/>
      <c r="M79" s="42"/>
      <c r="N79" s="2"/>
    </row>
    <row r="80" spans="1:14" s="70" customFormat="1" ht="12.75" customHeight="1" x14ac:dyDescent="0.2">
      <c r="A80" s="87">
        <v>45218</v>
      </c>
      <c r="B80" s="120" t="s">
        <v>1052</v>
      </c>
      <c r="C80" s="75" t="s">
        <v>606</v>
      </c>
      <c r="D80" s="88">
        <v>189973.92</v>
      </c>
      <c r="E80" s="2"/>
      <c r="F80" s="2"/>
      <c r="G80" s="30"/>
      <c r="H80" s="2"/>
      <c r="I80" s="2"/>
      <c r="J80" s="2"/>
      <c r="K80" s="2"/>
      <c r="L80" s="41"/>
      <c r="M80" s="42"/>
      <c r="N80" s="2"/>
    </row>
    <row r="81" spans="1:14" s="70" customFormat="1" ht="12.75" customHeight="1" x14ac:dyDescent="0.2">
      <c r="A81" s="87">
        <v>45218</v>
      </c>
      <c r="B81" s="120" t="s">
        <v>1052</v>
      </c>
      <c r="C81" s="75" t="s">
        <v>18</v>
      </c>
      <c r="D81" s="88">
        <v>734545</v>
      </c>
      <c r="E81" s="2"/>
      <c r="F81" s="2"/>
      <c r="G81" s="30"/>
      <c r="H81" s="2"/>
      <c r="I81" s="2"/>
      <c r="J81" s="2"/>
      <c r="K81" s="2"/>
      <c r="L81" s="41"/>
      <c r="M81" s="42"/>
      <c r="N81" s="2"/>
    </row>
    <row r="82" spans="1:14" s="70" customFormat="1" ht="12.75" customHeight="1" x14ac:dyDescent="0.2">
      <c r="A82" s="87">
        <v>45219</v>
      </c>
      <c r="B82" s="120" t="s">
        <v>1052</v>
      </c>
      <c r="C82" s="75" t="s">
        <v>270</v>
      </c>
      <c r="D82" s="88">
        <v>302951</v>
      </c>
      <c r="E82" s="2"/>
      <c r="F82" s="2"/>
      <c r="G82" s="30"/>
      <c r="H82" s="2"/>
      <c r="I82" s="2"/>
      <c r="J82" s="2"/>
      <c r="K82" s="2"/>
      <c r="L82" s="41"/>
      <c r="M82" s="42"/>
      <c r="N82" s="2"/>
    </row>
    <row r="83" spans="1:14" s="70" customFormat="1" ht="12.75" customHeight="1" x14ac:dyDescent="0.2">
      <c r="A83" s="87">
        <v>45219</v>
      </c>
      <c r="B83" s="120" t="s">
        <v>1052</v>
      </c>
      <c r="C83" s="75" t="s">
        <v>270</v>
      </c>
      <c r="D83" s="88">
        <v>6923</v>
      </c>
      <c r="E83" s="2"/>
      <c r="F83" s="2"/>
      <c r="G83" s="30"/>
      <c r="H83" s="2"/>
      <c r="I83" s="2"/>
      <c r="J83" s="2"/>
      <c r="K83" s="2"/>
      <c r="L83" s="41"/>
      <c r="M83" s="42"/>
      <c r="N83" s="2"/>
    </row>
    <row r="84" spans="1:14" s="70" customFormat="1" ht="12.75" customHeight="1" x14ac:dyDescent="0.2">
      <c r="A84" s="87">
        <v>45219</v>
      </c>
      <c r="B84" s="120" t="s">
        <v>1052</v>
      </c>
      <c r="C84" s="75" t="s">
        <v>88</v>
      </c>
      <c r="D84" s="88">
        <v>9230617.5700000003</v>
      </c>
      <c r="E84" s="2"/>
      <c r="F84" s="2"/>
      <c r="G84" s="30"/>
      <c r="H84" s="2"/>
      <c r="I84" s="2"/>
      <c r="J84" s="2"/>
      <c r="K84" s="2"/>
      <c r="L84" s="41"/>
      <c r="M84" s="42"/>
      <c r="N84" s="2"/>
    </row>
    <row r="85" spans="1:14" s="70" customFormat="1" ht="12.75" customHeight="1" x14ac:dyDescent="0.2">
      <c r="A85" s="87">
        <v>45220</v>
      </c>
      <c r="B85" s="120" t="s">
        <v>1052</v>
      </c>
      <c r="C85" s="75" t="s">
        <v>85</v>
      </c>
      <c r="D85" s="88">
        <v>323371</v>
      </c>
      <c r="E85" s="2"/>
      <c r="F85" s="2"/>
      <c r="G85" s="30"/>
      <c r="H85" s="2"/>
      <c r="I85" s="2"/>
      <c r="J85" s="2"/>
      <c r="K85" s="2"/>
      <c r="L85" s="41"/>
      <c r="M85" s="42"/>
      <c r="N85" s="2"/>
    </row>
    <row r="86" spans="1:14" s="70" customFormat="1" ht="12.75" customHeight="1" x14ac:dyDescent="0.2">
      <c r="A86" s="87">
        <v>45222</v>
      </c>
      <c r="B86" s="120" t="s">
        <v>1052</v>
      </c>
      <c r="C86" s="75" t="s">
        <v>86</v>
      </c>
      <c r="D86" s="88">
        <v>1229642</v>
      </c>
      <c r="E86" s="2"/>
      <c r="F86" s="2"/>
      <c r="G86" s="30"/>
      <c r="H86" s="2"/>
      <c r="I86" s="2"/>
      <c r="J86" s="2"/>
      <c r="K86" s="2"/>
      <c r="L86" s="41"/>
      <c r="M86" s="42"/>
      <c r="N86" s="2"/>
    </row>
    <row r="87" spans="1:14" s="70" customFormat="1" ht="12.75" customHeight="1" x14ac:dyDescent="0.2">
      <c r="A87" s="87">
        <v>45222</v>
      </c>
      <c r="B87" s="120" t="s">
        <v>1052</v>
      </c>
      <c r="C87" s="75" t="s">
        <v>86</v>
      </c>
      <c r="D87" s="88">
        <v>46995</v>
      </c>
      <c r="E87" s="2"/>
      <c r="F87" s="2"/>
      <c r="G87" s="30"/>
      <c r="H87" s="2"/>
      <c r="I87" s="2"/>
      <c r="J87" s="2"/>
      <c r="K87" s="2"/>
      <c r="L87" s="41"/>
      <c r="M87" s="42"/>
      <c r="N87" s="2"/>
    </row>
    <row r="88" spans="1:14" s="70" customFormat="1" ht="12.75" customHeight="1" x14ac:dyDescent="0.2">
      <c r="A88" s="87">
        <v>45222</v>
      </c>
      <c r="B88" s="120" t="s">
        <v>1052</v>
      </c>
      <c r="C88" s="75" t="s">
        <v>86</v>
      </c>
      <c r="D88" s="88">
        <v>782535</v>
      </c>
      <c r="E88" s="2"/>
      <c r="F88" s="2"/>
      <c r="G88" s="30"/>
      <c r="H88" s="2"/>
      <c r="I88" s="2"/>
      <c r="J88" s="2"/>
      <c r="K88" s="2"/>
      <c r="L88" s="41"/>
      <c r="M88" s="42"/>
      <c r="N88" s="2"/>
    </row>
    <row r="89" spans="1:14" s="70" customFormat="1" ht="12.75" customHeight="1" x14ac:dyDescent="0.2">
      <c r="A89" s="87">
        <v>45224</v>
      </c>
      <c r="B89" s="120" t="s">
        <v>1052</v>
      </c>
      <c r="C89" s="75" t="s">
        <v>85</v>
      </c>
      <c r="D89" s="88">
        <v>631492</v>
      </c>
      <c r="E89" s="2"/>
      <c r="F89" s="2"/>
      <c r="G89" s="30"/>
      <c r="H89" s="2"/>
      <c r="I89" s="2"/>
      <c r="J89" s="2"/>
      <c r="K89" s="2"/>
      <c r="L89" s="41"/>
      <c r="M89" s="42"/>
      <c r="N89" s="2"/>
    </row>
    <row r="90" spans="1:14" s="70" customFormat="1" ht="12.75" customHeight="1" x14ac:dyDescent="0.2">
      <c r="A90" s="87">
        <v>45224</v>
      </c>
      <c r="B90" s="120" t="s">
        <v>1052</v>
      </c>
      <c r="C90" s="75" t="s">
        <v>85</v>
      </c>
      <c r="D90" s="88">
        <v>118093</v>
      </c>
      <c r="E90" s="2"/>
      <c r="F90" s="2"/>
      <c r="G90" s="30"/>
      <c r="H90" s="2"/>
      <c r="I90" s="2"/>
      <c r="J90" s="2"/>
      <c r="K90" s="2"/>
      <c r="L90" s="41"/>
      <c r="M90" s="42"/>
      <c r="N90" s="2"/>
    </row>
    <row r="91" spans="1:14" s="70" customFormat="1" ht="12.75" customHeight="1" x14ac:dyDescent="0.2">
      <c r="A91" s="87">
        <v>45224</v>
      </c>
      <c r="B91" s="120" t="s">
        <v>1052</v>
      </c>
      <c r="C91" s="75" t="s">
        <v>323</v>
      </c>
      <c r="D91" s="88">
        <v>13689</v>
      </c>
      <c r="E91" s="2"/>
      <c r="F91" s="2"/>
      <c r="G91" s="30"/>
      <c r="H91" s="2"/>
      <c r="I91" s="2"/>
      <c r="J91" s="2"/>
      <c r="K91" s="2"/>
      <c r="L91" s="41"/>
      <c r="M91" s="42"/>
      <c r="N91" s="2"/>
    </row>
    <row r="92" spans="1:14" s="2" customFormat="1" x14ac:dyDescent="0.2">
      <c r="A92" s="87"/>
      <c r="B92" s="74"/>
      <c r="C92" s="75"/>
      <c r="D92" s="51">
        <f>SUM(D71:D91)</f>
        <v>27863730.119999997</v>
      </c>
      <c r="F92" s="2" t="s">
        <v>396</v>
      </c>
      <c r="G92" s="1"/>
    </row>
    <row r="93" spans="1:14" s="2" customFormat="1" x14ac:dyDescent="0.2">
      <c r="A93" s="24"/>
      <c r="B93" s="1"/>
      <c r="C93" s="14"/>
      <c r="D93" s="56"/>
      <c r="E93" s="13"/>
      <c r="G93" s="1"/>
    </row>
    <row r="94" spans="1:14" s="2" customFormat="1" x14ac:dyDescent="0.2">
      <c r="A94" s="24"/>
      <c r="B94" s="1"/>
      <c r="C94" s="218" t="s">
        <v>77</v>
      </c>
      <c r="D94" s="219"/>
      <c r="E94" s="219"/>
      <c r="F94" s="220"/>
      <c r="H94" s="2" t="s">
        <v>396</v>
      </c>
    </row>
    <row r="95" spans="1:14" s="2" customFormat="1" x14ac:dyDescent="0.2">
      <c r="A95" s="24"/>
      <c r="B95" s="1"/>
      <c r="C95" s="50"/>
      <c r="D95" s="57" t="s">
        <v>78</v>
      </c>
      <c r="E95" s="58" t="s">
        <v>79</v>
      </c>
      <c r="F95" s="57" t="s">
        <v>72</v>
      </c>
      <c r="H95" s="2" t="s">
        <v>396</v>
      </c>
    </row>
    <row r="96" spans="1:14" s="2" customFormat="1" x14ac:dyDescent="0.2">
      <c r="A96" s="24"/>
      <c r="B96" s="1"/>
      <c r="C96" s="59" t="str">
        <f>"01-10-2023 to "&amp;TEXT(A5-2,"dd-mm-yyyy")</f>
        <v>01-10-2023 to 24-10-2023</v>
      </c>
      <c r="D96" s="60">
        <v>1829.57</v>
      </c>
      <c r="E96" s="60">
        <v>388.94</v>
      </c>
      <c r="F96" s="61">
        <f>SUM(D96:E96)</f>
        <v>2218.5099999999998</v>
      </c>
    </row>
    <row r="97" spans="1:13" s="2" customFormat="1" x14ac:dyDescent="0.2">
      <c r="A97" s="24"/>
      <c r="B97" s="1"/>
      <c r="C97" s="62" t="str">
        <f>TEXT(A5-1,"dd-mm-yyyy")</f>
        <v>25-10-2023</v>
      </c>
      <c r="D97" s="60">
        <v>107.22</v>
      </c>
      <c r="E97" s="60">
        <v>22.95</v>
      </c>
      <c r="F97" s="61">
        <f>SUM(D97:E97)</f>
        <v>130.16999999999999</v>
      </c>
      <c r="G97" s="1"/>
      <c r="H97" s="53"/>
    </row>
    <row r="98" spans="1:13" s="2" customFormat="1" ht="13.5" thickBot="1" x14ac:dyDescent="0.25">
      <c r="A98" s="24"/>
      <c r="B98" s="1"/>
      <c r="C98" s="63" t="str">
        <f>"01-10-2023 to "&amp;TEXT(A5-1,"dd-mm-yyyy")</f>
        <v>01-10-2023 to 25-10-2023</v>
      </c>
      <c r="D98" s="64">
        <f>SUM(D96:D97)</f>
        <v>1936.79</v>
      </c>
      <c r="E98" s="64">
        <f>SUM(E96:E97)</f>
        <v>411.89</v>
      </c>
      <c r="F98" s="64">
        <f>SUM(F96:F97)</f>
        <v>2348.6799999999998</v>
      </c>
      <c r="G98" s="1"/>
      <c r="H98" s="53"/>
    </row>
    <row r="99" spans="1:13" s="2" customFormat="1" ht="13.5" thickTop="1" x14ac:dyDescent="0.2">
      <c r="A99" s="24"/>
      <c r="B99" s="1"/>
      <c r="C99" s="62"/>
      <c r="D99" s="65"/>
      <c r="E99" s="66"/>
      <c r="F99" s="67"/>
      <c r="L99" s="1"/>
      <c r="M99" s="1"/>
    </row>
    <row r="100" spans="1:13" s="2" customFormat="1" x14ac:dyDescent="0.2">
      <c r="A100" s="24"/>
      <c r="B100" s="1"/>
      <c r="C100" s="62" t="str">
        <f>"01-04-2023 to " &amp;C97</f>
        <v>01-04-2023 to 25-10-2023</v>
      </c>
      <c r="D100" s="68">
        <f>+D98+27003.42</f>
        <v>28940.21</v>
      </c>
      <c r="E100" s="68">
        <f>+E98+2028.43</f>
        <v>2440.3200000000002</v>
      </c>
      <c r="F100" s="68">
        <f>+F98+29031.85</f>
        <v>31380.53</v>
      </c>
      <c r="G100" s="1"/>
      <c r="L100" s="1"/>
      <c r="M100" s="1"/>
    </row>
    <row r="101" spans="1:13" s="2" customFormat="1" x14ac:dyDescent="0.2">
      <c r="A101" s="24"/>
      <c r="B101" s="1"/>
      <c r="C101" s="52"/>
      <c r="D101" s="85"/>
      <c r="E101" s="53"/>
      <c r="F101" s="53"/>
      <c r="G101" s="1"/>
      <c r="L101" s="1"/>
      <c r="M101" s="1"/>
    </row>
    <row r="102" spans="1:13" s="2" customFormat="1" x14ac:dyDescent="0.2">
      <c r="A102" s="24"/>
      <c r="B102" s="1"/>
      <c r="C102" s="52"/>
      <c r="D102" s="85"/>
      <c r="E102" s="53"/>
      <c r="F102" s="53"/>
      <c r="G102" s="1"/>
      <c r="L102" s="1"/>
      <c r="M102" s="1"/>
    </row>
    <row r="103" spans="1:13" s="2" customFormat="1" x14ac:dyDescent="0.2">
      <c r="A103" s="24"/>
      <c r="B103" s="1"/>
      <c r="C103" s="52"/>
      <c r="D103" s="85"/>
      <c r="E103" s="53"/>
      <c r="F103" s="53"/>
      <c r="G103" s="1"/>
      <c r="L103" s="1"/>
      <c r="M103" s="1"/>
    </row>
    <row r="104" spans="1:13" s="2" customFormat="1" x14ac:dyDescent="0.2">
      <c r="A104" s="24"/>
      <c r="B104" s="1"/>
      <c r="C104" s="52"/>
      <c r="D104" s="85"/>
      <c r="E104" s="53"/>
      <c r="F104" s="53"/>
      <c r="G104" s="1"/>
      <c r="L104" s="1"/>
      <c r="M104" s="1"/>
    </row>
    <row r="105" spans="1:13" s="2" customFormat="1" x14ac:dyDescent="0.2">
      <c r="A105" s="24"/>
      <c r="B105" s="1"/>
      <c r="C105" s="14"/>
      <c r="D105" s="25"/>
      <c r="G105" s="1"/>
      <c r="L105" s="1"/>
      <c r="M105" s="1"/>
    </row>
    <row r="106" spans="1:13" s="2" customFormat="1" x14ac:dyDescent="0.2">
      <c r="A106" s="24"/>
      <c r="B106" s="1"/>
      <c r="C106" s="14"/>
      <c r="D106" s="25"/>
      <c r="G106" s="1"/>
      <c r="L106" s="1"/>
      <c r="M106" s="1"/>
    </row>
    <row r="107" spans="1:13" s="2" customFormat="1" x14ac:dyDescent="0.2">
      <c r="A107" s="24"/>
      <c r="B107" s="1"/>
      <c r="C107" s="14"/>
      <c r="D107" s="25"/>
      <c r="G107" s="1"/>
      <c r="L107" s="1"/>
      <c r="M107" s="1"/>
    </row>
    <row r="108" spans="1:13" s="2" customFormat="1" x14ac:dyDescent="0.2">
      <c r="A108" s="24"/>
      <c r="B108" s="1"/>
      <c r="C108" s="14"/>
      <c r="D108" s="25"/>
      <c r="G108" s="1"/>
      <c r="L108" s="1"/>
      <c r="M108" s="1"/>
    </row>
    <row r="109" spans="1:13" s="2" customFormat="1" x14ac:dyDescent="0.2">
      <c r="A109" s="24"/>
      <c r="B109" s="1"/>
      <c r="C109" s="14"/>
      <c r="D109" s="25"/>
      <c r="G109" s="1"/>
      <c r="L109" s="1"/>
      <c r="M109" s="1"/>
    </row>
    <row r="110" spans="1:13" s="2" customFormat="1" x14ac:dyDescent="0.2">
      <c r="A110" s="24"/>
      <c r="B110" s="1"/>
      <c r="C110" s="14"/>
      <c r="D110" s="25"/>
      <c r="G110" s="1"/>
      <c r="L110" s="1"/>
      <c r="M110" s="1"/>
    </row>
    <row r="111" spans="1:13" s="2" customFormat="1" x14ac:dyDescent="0.2">
      <c r="A111" s="24"/>
      <c r="B111" s="1"/>
      <c r="C111" s="14"/>
      <c r="D111" s="25"/>
      <c r="G111" s="1"/>
      <c r="L111" s="1"/>
      <c r="M111" s="1"/>
    </row>
    <row r="112" spans="1:13" s="2" customFormat="1" x14ac:dyDescent="0.2">
      <c r="A112" s="24"/>
      <c r="B112" s="1"/>
      <c r="C112" s="14"/>
      <c r="D112" s="25"/>
      <c r="G112" s="1"/>
      <c r="L112" s="1"/>
      <c r="M112" s="1"/>
    </row>
    <row r="113" spans="1:14" s="2" customFormat="1" x14ac:dyDescent="0.2">
      <c r="A113" s="24"/>
      <c r="B113" s="1"/>
      <c r="C113" s="14"/>
      <c r="D113" s="25"/>
      <c r="G113" s="1"/>
      <c r="L113" s="1"/>
      <c r="M113" s="1"/>
    </row>
    <row r="114" spans="1:14" s="2" customFormat="1" x14ac:dyDescent="0.2">
      <c r="A114" s="24"/>
      <c r="B114" s="1"/>
      <c r="C114" s="14"/>
      <c r="D114" s="25"/>
      <c r="G114" s="1"/>
      <c r="L114" s="1"/>
      <c r="M114" s="1"/>
    </row>
    <row r="115" spans="1:14" s="2" customFormat="1" x14ac:dyDescent="0.2">
      <c r="A115" s="24"/>
      <c r="B115" s="1"/>
      <c r="C115" s="14"/>
      <c r="D115" s="25"/>
      <c r="G115" s="1"/>
      <c r="L115" s="1"/>
      <c r="M115" s="1"/>
    </row>
    <row r="116" spans="1:14" s="2" customFormat="1" x14ac:dyDescent="0.2">
      <c r="A116" s="24"/>
      <c r="B116" s="1"/>
      <c r="C116" s="14"/>
      <c r="D116" s="25"/>
      <c r="G116" s="1"/>
      <c r="L116" s="1"/>
      <c r="M116" s="1"/>
    </row>
    <row r="117" spans="1:14" s="2" customFormat="1" x14ac:dyDescent="0.2">
      <c r="A117" s="24"/>
      <c r="B117" s="1"/>
      <c r="C117" s="14"/>
      <c r="D117" s="25"/>
      <c r="G117" s="1"/>
      <c r="L117" s="1"/>
      <c r="M117" s="1"/>
    </row>
    <row r="118" spans="1:14" s="2" customFormat="1" x14ac:dyDescent="0.2">
      <c r="A118" s="24"/>
      <c r="B118" s="1"/>
      <c r="C118" s="14"/>
      <c r="D118" s="25"/>
      <c r="G118" s="1"/>
      <c r="L118" s="1"/>
      <c r="M118" s="1"/>
    </row>
    <row r="119" spans="1:14" s="2" customFormat="1" x14ac:dyDescent="0.2">
      <c r="A119" s="24"/>
      <c r="B119" s="1"/>
      <c r="C119" s="14"/>
      <c r="D119" s="25"/>
      <c r="G119" s="1"/>
      <c r="I119" s="1"/>
      <c r="J119" s="1"/>
      <c r="K119" s="1"/>
      <c r="L119" s="1"/>
      <c r="M119" s="1"/>
    </row>
    <row r="120" spans="1:14" s="2" customFormat="1" x14ac:dyDescent="0.2">
      <c r="A120" s="24"/>
      <c r="B120" s="1"/>
      <c r="C120" s="14"/>
      <c r="D120" s="25"/>
      <c r="G120" s="1"/>
    </row>
    <row r="121" spans="1:14" s="2" customFormat="1" x14ac:dyDescent="0.2">
      <c r="A121" s="24"/>
      <c r="B121" s="1"/>
      <c r="C121" s="14"/>
      <c r="D121" s="25"/>
      <c r="G121" s="1"/>
      <c r="I121" s="1"/>
      <c r="J121" s="1"/>
      <c r="K121" s="1"/>
      <c r="L121" s="1"/>
      <c r="M121" s="1"/>
    </row>
    <row r="122" spans="1:14" s="2" customFormat="1" x14ac:dyDescent="0.2">
      <c r="A122" s="24"/>
      <c r="B122" s="1"/>
      <c r="C122" s="14"/>
      <c r="D122" s="25"/>
      <c r="G122" s="54"/>
      <c r="I122" s="1"/>
      <c r="J122" s="1"/>
      <c r="K122" s="1"/>
      <c r="L122" s="1"/>
      <c r="M122" s="1"/>
    </row>
    <row r="123" spans="1:14" s="2" customFormat="1" x14ac:dyDescent="0.2">
      <c r="A123" s="24"/>
      <c r="B123" s="1"/>
      <c r="C123" s="14"/>
      <c r="D123" s="25"/>
      <c r="G123" s="54"/>
      <c r="I123" s="1"/>
      <c r="J123" s="1"/>
      <c r="K123" s="1"/>
      <c r="L123" s="1"/>
      <c r="M123" s="1"/>
    </row>
    <row r="124" spans="1:14" s="2" customFormat="1" x14ac:dyDescent="0.2">
      <c r="A124" s="24"/>
      <c r="B124" s="1"/>
      <c r="C124" s="14"/>
      <c r="D124" s="25"/>
      <c r="G124" s="54"/>
      <c r="I124" s="1"/>
      <c r="J124" s="1"/>
      <c r="K124" s="1"/>
      <c r="L124" s="1"/>
      <c r="M124" s="1"/>
    </row>
    <row r="125" spans="1:14" s="2" customFormat="1" x14ac:dyDescent="0.2">
      <c r="A125" s="24"/>
      <c r="B125" s="1"/>
      <c r="C125" s="14"/>
      <c r="D125" s="25"/>
      <c r="G125" s="54"/>
      <c r="H125" s="2" t="s">
        <v>396</v>
      </c>
      <c r="I125" s="1"/>
      <c r="J125" s="1"/>
      <c r="K125" s="1"/>
      <c r="L125" s="1"/>
      <c r="M125" s="1"/>
      <c r="N125" s="1"/>
    </row>
    <row r="126" spans="1:14" s="2" customFormat="1" x14ac:dyDescent="0.2">
      <c r="A126" s="24"/>
      <c r="B126" s="1"/>
      <c r="C126" s="14"/>
      <c r="D126" s="25"/>
      <c r="G126" s="54"/>
      <c r="H126" s="53"/>
    </row>
    <row r="127" spans="1:14" s="2" customFormat="1" x14ac:dyDescent="0.2">
      <c r="A127" s="24"/>
      <c r="B127" s="1"/>
      <c r="C127" s="14"/>
      <c r="D127" s="25"/>
      <c r="G127" s="54"/>
      <c r="H127" s="53" t="s">
        <v>396</v>
      </c>
      <c r="I127" s="1"/>
      <c r="J127" s="1"/>
      <c r="K127" s="1"/>
      <c r="L127" s="1"/>
      <c r="M127" s="1"/>
      <c r="N127" s="1"/>
    </row>
    <row r="128" spans="1:14" x14ac:dyDescent="0.2">
      <c r="G128" s="54"/>
      <c r="H128" s="53" t="s">
        <v>396</v>
      </c>
      <c r="J128" s="42"/>
    </row>
    <row r="129" spans="1:14" s="2" customFormat="1" x14ac:dyDescent="0.2">
      <c r="A129" s="24"/>
      <c r="B129" s="1"/>
      <c r="C129" s="14"/>
      <c r="D129" s="25"/>
      <c r="G129" s="54"/>
      <c r="H129" s="53"/>
      <c r="I129" s="101"/>
      <c r="J129" s="1"/>
      <c r="K129" s="1"/>
      <c r="L129" s="1"/>
      <c r="M129" s="1"/>
      <c r="N129" s="1"/>
    </row>
    <row r="130" spans="1:14" x14ac:dyDescent="0.2">
      <c r="G130" s="54"/>
      <c r="H130" s="53"/>
    </row>
    <row r="131" spans="1:14" x14ac:dyDescent="0.2">
      <c r="G131" s="54"/>
      <c r="H131" s="53"/>
    </row>
    <row r="132" spans="1:14" x14ac:dyDescent="0.2">
      <c r="G132" s="54"/>
      <c r="H132" s="53"/>
    </row>
  </sheetData>
  <sheetProtection insertRows="0"/>
  <mergeCells count="6">
    <mergeCell ref="C94:F94"/>
    <mergeCell ref="A1:G1"/>
    <mergeCell ref="A3:F3"/>
    <mergeCell ref="A10:F10"/>
    <mergeCell ref="A22:F22"/>
    <mergeCell ref="A69:D69"/>
  </mergeCells>
  <conditionalFormatting sqref="G66:G67">
    <cfRule type="cellIs" dxfId="249" priority="1" operator="lessThan">
      <formula>0</formula>
    </cfRule>
  </conditionalFormatting>
  <conditionalFormatting sqref="C24">
    <cfRule type="duplicateValues" dxfId="248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600-000000000000}">
  <sheetPr codeName="Sheet462">
    <pageSetUpPr fitToPage="1"/>
  </sheetPr>
  <dimension ref="A1:N150"/>
  <sheetViews>
    <sheetView topLeftCell="A34" zoomScaleNormal="100" workbookViewId="0">
      <selection activeCell="D42" sqref="D42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3" ht="20.25" customHeight="1" x14ac:dyDescent="0.4">
      <c r="A1" s="212" t="s">
        <v>1717</v>
      </c>
      <c r="B1" s="212"/>
      <c r="C1" s="212"/>
      <c r="D1" s="212"/>
      <c r="E1" s="212"/>
      <c r="F1" s="212"/>
      <c r="G1" s="212"/>
      <c r="H1" s="112"/>
      <c r="I1" s="112"/>
    </row>
    <row r="2" spans="1:13" ht="12.75" customHeight="1" x14ac:dyDescent="0.4">
      <c r="H2" s="112"/>
      <c r="I2" s="112"/>
    </row>
    <row r="3" spans="1:13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3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3" s="2" customFormat="1" ht="14.25" customHeight="1" x14ac:dyDescent="0.4">
      <c r="A5" s="89">
        <v>45226</v>
      </c>
      <c r="B5" s="9" t="s">
        <v>6</v>
      </c>
      <c r="C5" s="10" t="s">
        <v>7</v>
      </c>
      <c r="D5" s="11"/>
      <c r="E5" s="12">
        <v>5361727.4000000022</v>
      </c>
      <c r="F5" s="12"/>
      <c r="G5" s="1"/>
      <c r="H5" s="112"/>
      <c r="I5" s="112"/>
    </row>
    <row r="6" spans="1:13" s="2" customFormat="1" ht="14.25" customHeight="1" x14ac:dyDescent="0.4">
      <c r="A6" s="89">
        <v>45226</v>
      </c>
      <c r="B6" s="9" t="s">
        <v>11</v>
      </c>
      <c r="C6" s="10" t="s">
        <v>400</v>
      </c>
      <c r="D6" s="11" t="s">
        <v>29</v>
      </c>
      <c r="E6" s="12"/>
      <c r="F6" s="12">
        <v>4500000</v>
      </c>
      <c r="G6" s="1"/>
      <c r="H6" s="112"/>
      <c r="I6" s="112"/>
    </row>
    <row r="7" spans="1:13" s="2" customFormat="1" ht="12.75" customHeight="1" x14ac:dyDescent="0.4">
      <c r="D7" s="15" t="s">
        <v>8</v>
      </c>
      <c r="E7" s="16">
        <f>SUM(E5:E6)</f>
        <v>5361727.4000000022</v>
      </c>
      <c r="F7" s="16">
        <f>SUM(F6)</f>
        <v>4500000</v>
      </c>
      <c r="G7" s="1"/>
      <c r="H7" s="112"/>
      <c r="I7" s="112"/>
    </row>
    <row r="8" spans="1:13" s="2" customFormat="1" ht="12.75" customHeight="1" x14ac:dyDescent="0.4">
      <c r="A8" s="17"/>
      <c r="B8" s="18"/>
      <c r="C8" s="19" t="s">
        <v>9</v>
      </c>
      <c r="D8" s="20"/>
      <c r="E8" s="21">
        <f>+E7-F7</f>
        <v>861727.40000000224</v>
      </c>
      <c r="F8" s="22"/>
      <c r="G8" s="23"/>
      <c r="H8" s="112"/>
      <c r="I8" s="112"/>
      <c r="J8" s="13"/>
    </row>
    <row r="9" spans="1:13" ht="12.75" customHeight="1" x14ac:dyDescent="0.4">
      <c r="H9" s="112"/>
      <c r="I9" s="112"/>
    </row>
    <row r="10" spans="1:13" ht="18" customHeight="1" x14ac:dyDescent="0.4">
      <c r="A10" s="213" t="s">
        <v>1037</v>
      </c>
      <c r="B10" s="213"/>
      <c r="C10" s="213"/>
      <c r="D10" s="213"/>
      <c r="E10" s="213"/>
      <c r="F10" s="213"/>
      <c r="H10" s="112"/>
      <c r="I10" s="169">
        <f>90000000-60000000</f>
        <v>30000000</v>
      </c>
      <c r="J10" s="169" t="s">
        <v>1508</v>
      </c>
    </row>
    <row r="11" spans="1:13" ht="12.75" customHeight="1" x14ac:dyDescent="0.4">
      <c r="A11" s="3" t="s">
        <v>1</v>
      </c>
      <c r="B11" s="4" t="s">
        <v>2</v>
      </c>
      <c r="C11" s="5"/>
      <c r="D11" s="6" t="s">
        <v>3</v>
      </c>
      <c r="E11" s="7" t="s">
        <v>4</v>
      </c>
      <c r="F11" s="7" t="s">
        <v>5</v>
      </c>
      <c r="H11" s="112"/>
      <c r="I11" s="169">
        <v>26447277.32</v>
      </c>
      <c r="J11" s="169" t="s">
        <v>1509</v>
      </c>
      <c r="K11" s="124"/>
    </row>
    <row r="12" spans="1:13" s="2" customFormat="1" ht="14.25" customHeight="1" x14ac:dyDescent="0.2">
      <c r="A12" s="89">
        <v>45226</v>
      </c>
      <c r="B12" s="9" t="s">
        <v>6</v>
      </c>
      <c r="C12" s="10" t="s">
        <v>7</v>
      </c>
      <c r="D12" s="11"/>
      <c r="F12" s="12">
        <v>28947277.319999997</v>
      </c>
      <c r="G12" s="1"/>
      <c r="H12" s="130" t="s">
        <v>396</v>
      </c>
      <c r="I12" s="169">
        <f>+I10-I11</f>
        <v>3552722.6799999997</v>
      </c>
      <c r="J12" s="169" t="s">
        <v>712</v>
      </c>
      <c r="K12" s="165" t="s">
        <v>1512</v>
      </c>
    </row>
    <row r="13" spans="1:13" s="2" customFormat="1" ht="14.25" customHeight="1" x14ac:dyDescent="0.2">
      <c r="A13" s="89">
        <v>45226</v>
      </c>
      <c r="B13" s="9" t="s">
        <v>6</v>
      </c>
      <c r="C13" s="10" t="s">
        <v>1255</v>
      </c>
      <c r="D13" s="11" t="s">
        <v>13</v>
      </c>
      <c r="E13" s="2">
        <v>2500000</v>
      </c>
      <c r="F13" s="12"/>
      <c r="G13" s="1"/>
      <c r="H13" s="130"/>
      <c r="I13" s="169"/>
      <c r="J13" s="169"/>
      <c r="K13" s="165"/>
    </row>
    <row r="14" spans="1:13" s="2" customFormat="1" ht="14.25" customHeight="1" x14ac:dyDescent="0.2">
      <c r="A14" s="89">
        <v>45226</v>
      </c>
      <c r="B14" s="9" t="s">
        <v>6</v>
      </c>
      <c r="C14" s="10" t="s">
        <v>419</v>
      </c>
      <c r="D14" s="11" t="s">
        <v>13</v>
      </c>
      <c r="E14" s="2">
        <v>2021</v>
      </c>
      <c r="F14" s="12"/>
      <c r="G14" s="1"/>
      <c r="H14" s="130"/>
      <c r="I14" s="169"/>
      <c r="J14" s="169"/>
      <c r="K14" s="165"/>
    </row>
    <row r="15" spans="1:13" s="2" customFormat="1" ht="14.25" customHeight="1" x14ac:dyDescent="0.2">
      <c r="A15" s="89">
        <v>45226</v>
      </c>
      <c r="B15" s="9" t="s">
        <v>11</v>
      </c>
      <c r="C15" s="10" t="s">
        <v>1718</v>
      </c>
      <c r="D15" s="11" t="s">
        <v>29</v>
      </c>
      <c r="E15" s="2">
        <v>557589</v>
      </c>
      <c r="F15" s="12"/>
      <c r="G15" s="1"/>
      <c r="H15" s="130"/>
      <c r="I15" s="169"/>
      <c r="J15" s="169"/>
      <c r="K15" s="165"/>
    </row>
    <row r="16" spans="1:13" s="2" customFormat="1" ht="14.25" customHeight="1" x14ac:dyDescent="0.2">
      <c r="D16" s="11" t="s">
        <v>8</v>
      </c>
      <c r="E16" s="16">
        <f>SUM(E13:E15)</f>
        <v>3059610</v>
      </c>
      <c r="F16" s="16">
        <f>SUM(F12:F15)</f>
        <v>28947277.319999997</v>
      </c>
      <c r="G16" s="1"/>
      <c r="H16" s="143"/>
      <c r="I16" s="130"/>
      <c r="J16" s="143"/>
      <c r="K16" s="143"/>
      <c r="L16" s="143"/>
      <c r="M16" s="143"/>
    </row>
    <row r="17" spans="1:14" s="2" customFormat="1" ht="14.25" customHeight="1" x14ac:dyDescent="0.4">
      <c r="A17" s="17"/>
      <c r="B17" s="18"/>
      <c r="C17" s="96" t="s">
        <v>9</v>
      </c>
      <c r="D17" s="20"/>
      <c r="E17" s="21">
        <f>+F16-E16</f>
        <v>25887667.319999997</v>
      </c>
      <c r="G17" s="1"/>
      <c r="I17" s="112"/>
      <c r="J17" s="153" t="s">
        <v>779</v>
      </c>
    </row>
    <row r="18" spans="1:14" s="2" customFormat="1" ht="14.25" customHeight="1" x14ac:dyDescent="0.2">
      <c r="A18" s="36"/>
      <c r="B18" s="28" t="s">
        <v>66</v>
      </c>
      <c r="C18" s="43" t="s">
        <v>1458</v>
      </c>
      <c r="D18" s="43"/>
      <c r="E18" s="12">
        <f>30000000+60000000</f>
        <v>90000000</v>
      </c>
      <c r="F18" s="22"/>
      <c r="G18" s="1"/>
      <c r="I18" s="40">
        <v>25887667.32</v>
      </c>
      <c r="J18" s="154">
        <f>I18-E17</f>
        <v>0</v>
      </c>
    </row>
    <row r="19" spans="1:14" s="2" customFormat="1" ht="14.25" customHeight="1" x14ac:dyDescent="0.25">
      <c r="A19" s="36"/>
      <c r="B19" s="28"/>
      <c r="C19" s="44" t="s">
        <v>1541</v>
      </c>
      <c r="D19" s="43"/>
      <c r="E19" s="7">
        <f>+E17+E18</f>
        <v>115887667.31999999</v>
      </c>
      <c r="F19" s="22"/>
      <c r="G19" s="1"/>
      <c r="H19" s="13" t="s">
        <v>1582</v>
      </c>
      <c r="I19" s="13" t="s">
        <v>1583</v>
      </c>
    </row>
    <row r="20" spans="1:14" s="2" customFormat="1" ht="14.25" customHeight="1" x14ac:dyDescent="0.25">
      <c r="A20" s="36"/>
      <c r="B20" s="28"/>
      <c r="C20" s="44" t="s">
        <v>1511</v>
      </c>
      <c r="D20" s="43"/>
      <c r="E20" s="38">
        <f>+I12</f>
        <v>3552722.6799999997</v>
      </c>
      <c r="F20" s="22"/>
      <c r="G20" s="1"/>
      <c r="H20" s="2">
        <v>955335</v>
      </c>
      <c r="I20" s="2">
        <v>2523954.62</v>
      </c>
      <c r="J20" s="176">
        <f>H20-I20</f>
        <v>-1568619.62</v>
      </c>
    </row>
    <row r="21" spans="1:14" s="2" customFormat="1" ht="14.25" customHeight="1" x14ac:dyDescent="0.2">
      <c r="A21" s="24"/>
      <c r="B21" s="1"/>
      <c r="C21" s="14"/>
      <c r="D21" s="25"/>
      <c r="G21" s="1"/>
      <c r="I21" s="130"/>
      <c r="J21" s="130"/>
    </row>
    <row r="22" spans="1:14" s="2" customFormat="1" x14ac:dyDescent="0.2">
      <c r="A22" s="214" t="s">
        <v>10</v>
      </c>
      <c r="B22" s="214"/>
      <c r="C22" s="214"/>
      <c r="D22" s="214"/>
      <c r="E22" s="214"/>
      <c r="F22" s="214"/>
      <c r="G22" s="1"/>
      <c r="H22" s="159"/>
      <c r="I22" s="160">
        <f>225000000-75000000-50000000</f>
        <v>100000000</v>
      </c>
      <c r="J22" s="160" t="s">
        <v>1506</v>
      </c>
      <c r="K22" s="70"/>
    </row>
    <row r="23" spans="1:14" s="2" customFormat="1" x14ac:dyDescent="0.2">
      <c r="A23" s="26" t="s">
        <v>1</v>
      </c>
      <c r="B23" s="27" t="s">
        <v>2</v>
      </c>
      <c r="C23" s="5"/>
      <c r="D23" s="6" t="s">
        <v>3</v>
      </c>
      <c r="E23" s="7" t="s">
        <v>4</v>
      </c>
      <c r="F23" s="7" t="s">
        <v>5</v>
      </c>
      <c r="G23" s="1"/>
      <c r="H23" s="159"/>
      <c r="I23" s="160">
        <v>73381527.260000005</v>
      </c>
      <c r="J23" s="160" t="s">
        <v>1507</v>
      </c>
      <c r="K23" s="70" t="s">
        <v>1512</v>
      </c>
    </row>
    <row r="24" spans="1:14" s="2" customFormat="1" x14ac:dyDescent="0.2">
      <c r="A24" s="89">
        <v>45226</v>
      </c>
      <c r="B24" s="128" t="s">
        <v>11</v>
      </c>
      <c r="C24" s="29" t="s">
        <v>7</v>
      </c>
      <c r="D24" s="25"/>
      <c r="E24" s="31"/>
      <c r="F24" s="2">
        <v>78379055.480000064</v>
      </c>
      <c r="G24" s="23"/>
      <c r="H24" s="159" t="s">
        <v>1505</v>
      </c>
      <c r="I24" s="160">
        <f>+I22-I23</f>
        <v>26618472.739999995</v>
      </c>
      <c r="J24" s="160"/>
      <c r="K24" s="70"/>
    </row>
    <row r="25" spans="1:14" s="2" customFormat="1" x14ac:dyDescent="0.2">
      <c r="A25" s="89">
        <v>45226</v>
      </c>
      <c r="B25" s="128" t="s">
        <v>6</v>
      </c>
      <c r="C25" s="10" t="s">
        <v>758</v>
      </c>
      <c r="D25" s="11" t="s">
        <v>13</v>
      </c>
      <c r="E25" s="86">
        <v>417105.69</v>
      </c>
      <c r="F25" s="70"/>
      <c r="G25" s="1"/>
      <c r="N25" s="1"/>
    </row>
    <row r="26" spans="1:14" s="2" customFormat="1" x14ac:dyDescent="0.2">
      <c r="A26" s="89">
        <v>45226</v>
      </c>
      <c r="B26" s="128" t="s">
        <v>6</v>
      </c>
      <c r="C26" s="10" t="s">
        <v>1719</v>
      </c>
      <c r="D26" s="11" t="s">
        <v>13</v>
      </c>
      <c r="E26" s="86">
        <v>3836</v>
      </c>
      <c r="F26" s="70"/>
      <c r="G26" s="1"/>
      <c r="N26" s="1"/>
    </row>
    <row r="27" spans="1:14" s="2" customFormat="1" x14ac:dyDescent="0.2">
      <c r="A27" s="89">
        <v>45226</v>
      </c>
      <c r="B27" s="128" t="s">
        <v>6</v>
      </c>
      <c r="C27" s="10" t="s">
        <v>1720</v>
      </c>
      <c r="D27" s="11" t="s">
        <v>13</v>
      </c>
      <c r="E27" s="86">
        <v>81124.11</v>
      </c>
      <c r="F27" s="70"/>
      <c r="G27" s="1"/>
      <c r="N27" s="1"/>
    </row>
    <row r="28" spans="1:14" s="2" customFormat="1" x14ac:dyDescent="0.2">
      <c r="A28" s="89">
        <v>45226</v>
      </c>
      <c r="B28" s="128" t="s">
        <v>6</v>
      </c>
      <c r="C28" s="10" t="s">
        <v>19</v>
      </c>
      <c r="D28" s="11" t="s">
        <v>13</v>
      </c>
      <c r="E28" s="86">
        <v>7080</v>
      </c>
      <c r="F28" s="70"/>
      <c r="G28" s="1"/>
      <c r="N28" s="1"/>
    </row>
    <row r="29" spans="1:14" s="2" customFormat="1" x14ac:dyDescent="0.2">
      <c r="A29" s="89">
        <v>45226</v>
      </c>
      <c r="B29" s="128" t="s">
        <v>6</v>
      </c>
      <c r="C29" s="10" t="s">
        <v>474</v>
      </c>
      <c r="D29" s="11" t="s">
        <v>13</v>
      </c>
      <c r="E29" s="86">
        <v>1532955</v>
      </c>
      <c r="F29" s="70"/>
      <c r="G29" s="1"/>
      <c r="N29" s="1"/>
    </row>
    <row r="30" spans="1:14" s="2" customFormat="1" x14ac:dyDescent="0.2">
      <c r="A30" s="89">
        <v>45226</v>
      </c>
      <c r="B30" s="128" t="s">
        <v>6</v>
      </c>
      <c r="C30" s="10" t="s">
        <v>785</v>
      </c>
      <c r="D30" s="11" t="s">
        <v>13</v>
      </c>
      <c r="E30" s="86">
        <v>6987468</v>
      </c>
      <c r="F30" s="70"/>
      <c r="G30" s="1"/>
      <c r="N30" s="1"/>
    </row>
    <row r="31" spans="1:14" s="2" customFormat="1" x14ac:dyDescent="0.2">
      <c r="A31" s="89">
        <v>45226</v>
      </c>
      <c r="B31" s="128" t="s">
        <v>6</v>
      </c>
      <c r="C31" s="10" t="s">
        <v>1721</v>
      </c>
      <c r="D31" s="11" t="s">
        <v>13</v>
      </c>
      <c r="E31" s="86">
        <v>19740</v>
      </c>
      <c r="F31" s="70"/>
      <c r="G31" s="1"/>
      <c r="N31" s="1"/>
    </row>
    <row r="32" spans="1:14" s="2" customFormat="1" x14ac:dyDescent="0.2">
      <c r="A32" s="89">
        <v>45226</v>
      </c>
      <c r="B32" s="128" t="s">
        <v>6</v>
      </c>
      <c r="C32" s="10" t="s">
        <v>1274</v>
      </c>
      <c r="D32" s="11" t="s">
        <v>13</v>
      </c>
      <c r="E32" s="86">
        <v>648000</v>
      </c>
      <c r="F32" s="70"/>
      <c r="G32" s="1"/>
      <c r="N32" s="1"/>
    </row>
    <row r="33" spans="1:14" s="2" customFormat="1" x14ac:dyDescent="0.2">
      <c r="A33" s="89">
        <v>45226</v>
      </c>
      <c r="B33" s="128" t="s">
        <v>6</v>
      </c>
      <c r="C33" s="10" t="s">
        <v>386</v>
      </c>
      <c r="D33" s="11" t="s">
        <v>13</v>
      </c>
      <c r="E33" s="86">
        <v>200000</v>
      </c>
      <c r="F33" s="70"/>
      <c r="G33" s="1"/>
      <c r="N33" s="1"/>
    </row>
    <row r="34" spans="1:14" s="2" customFormat="1" x14ac:dyDescent="0.2">
      <c r="A34" s="89">
        <v>45226</v>
      </c>
      <c r="B34" s="128" t="s">
        <v>6</v>
      </c>
      <c r="C34" s="10" t="s">
        <v>402</v>
      </c>
      <c r="D34" s="11" t="s">
        <v>13</v>
      </c>
      <c r="E34" s="86">
        <v>4500000</v>
      </c>
      <c r="F34" s="70"/>
      <c r="G34" s="1"/>
      <c r="N34" s="1"/>
    </row>
    <row r="35" spans="1:14" s="2" customFormat="1" x14ac:dyDescent="0.2">
      <c r="A35" s="89">
        <v>45226</v>
      </c>
      <c r="B35" s="128" t="s">
        <v>6</v>
      </c>
      <c r="C35" s="10" t="s">
        <v>244</v>
      </c>
      <c r="D35" s="11" t="s">
        <v>13</v>
      </c>
      <c r="E35" s="86">
        <v>211408</v>
      </c>
      <c r="F35" s="70"/>
      <c r="G35" s="1"/>
      <c r="N35" s="1"/>
    </row>
    <row r="36" spans="1:14" s="2" customFormat="1" x14ac:dyDescent="0.2">
      <c r="A36" s="89">
        <v>45226</v>
      </c>
      <c r="B36" s="128" t="s">
        <v>6</v>
      </c>
      <c r="C36" s="10" t="s">
        <v>281</v>
      </c>
      <c r="D36" s="11" t="s">
        <v>13</v>
      </c>
      <c r="E36" s="86">
        <v>212132</v>
      </c>
      <c r="F36" s="70"/>
      <c r="G36" s="1"/>
      <c r="N36" s="1"/>
    </row>
    <row r="37" spans="1:14" s="2" customFormat="1" x14ac:dyDescent="0.2">
      <c r="A37" s="89">
        <v>45226</v>
      </c>
      <c r="B37" s="128" t="s">
        <v>6</v>
      </c>
      <c r="C37" s="10" t="s">
        <v>275</v>
      </c>
      <c r="D37" s="11" t="s">
        <v>13</v>
      </c>
      <c r="E37" s="86">
        <v>29590</v>
      </c>
      <c r="F37" s="70"/>
      <c r="G37" s="1"/>
      <c r="N37" s="1"/>
    </row>
    <row r="38" spans="1:14" s="2" customFormat="1" x14ac:dyDescent="0.2">
      <c r="A38" s="89">
        <v>45226</v>
      </c>
      <c r="B38" s="128" t="s">
        <v>6</v>
      </c>
      <c r="C38" s="10" t="s">
        <v>332</v>
      </c>
      <c r="D38" s="11" t="s">
        <v>13</v>
      </c>
      <c r="E38" s="86">
        <v>907951</v>
      </c>
      <c r="F38" s="70"/>
      <c r="G38" s="1"/>
      <c r="N38" s="1"/>
    </row>
    <row r="39" spans="1:14" s="2" customFormat="1" x14ac:dyDescent="0.2">
      <c r="A39" s="89">
        <v>45226</v>
      </c>
      <c r="B39" s="128" t="s">
        <v>6</v>
      </c>
      <c r="C39" s="10" t="s">
        <v>316</v>
      </c>
      <c r="D39" s="11" t="s">
        <v>13</v>
      </c>
      <c r="E39" s="86">
        <v>22193</v>
      </c>
      <c r="F39" s="70"/>
      <c r="G39" s="1"/>
      <c r="N39" s="1"/>
    </row>
    <row r="40" spans="1:14" s="2" customFormat="1" x14ac:dyDescent="0.2">
      <c r="A40" s="89">
        <v>45226</v>
      </c>
      <c r="B40" s="128" t="s">
        <v>6</v>
      </c>
      <c r="C40" s="10" t="s">
        <v>1645</v>
      </c>
      <c r="D40" s="11" t="s">
        <v>13</v>
      </c>
      <c r="E40" s="86">
        <v>89345</v>
      </c>
      <c r="F40" s="70"/>
      <c r="G40" s="1"/>
      <c r="N40" s="1"/>
    </row>
    <row r="41" spans="1:14" s="2" customFormat="1" x14ac:dyDescent="0.2">
      <c r="A41" s="89">
        <v>45226</v>
      </c>
      <c r="B41" s="128" t="s">
        <v>6</v>
      </c>
      <c r="C41" s="10" t="s">
        <v>1364</v>
      </c>
      <c r="D41" s="11" t="s">
        <v>13</v>
      </c>
      <c r="E41" s="86">
        <v>196988</v>
      </c>
      <c r="F41" s="70"/>
      <c r="G41" s="1"/>
      <c r="N41" s="1"/>
    </row>
    <row r="42" spans="1:14" s="2" customFormat="1" x14ac:dyDescent="0.2">
      <c r="A42" s="89">
        <v>45226</v>
      </c>
      <c r="B42" s="128" t="s">
        <v>6</v>
      </c>
      <c r="C42" s="10" t="s">
        <v>15</v>
      </c>
      <c r="D42" s="11" t="s">
        <v>29</v>
      </c>
      <c r="E42" s="86">
        <v>1176.0600000000002</v>
      </c>
      <c r="F42" s="70"/>
      <c r="G42" s="1"/>
      <c r="N42" s="1"/>
    </row>
    <row r="43" spans="1:14" s="2" customFormat="1" x14ac:dyDescent="0.2">
      <c r="A43" s="89">
        <v>45226</v>
      </c>
      <c r="B43" s="128" t="s">
        <v>11</v>
      </c>
      <c r="C43" s="10" t="s">
        <v>15</v>
      </c>
      <c r="D43" s="11" t="s">
        <v>29</v>
      </c>
      <c r="E43" s="86"/>
      <c r="F43" s="70">
        <v>101078.99</v>
      </c>
      <c r="G43" s="1"/>
      <c r="N43" s="1"/>
    </row>
    <row r="44" spans="1:14" s="2" customFormat="1" x14ac:dyDescent="0.2">
      <c r="A44" s="89">
        <v>45226</v>
      </c>
      <c r="B44" s="128" t="s">
        <v>11</v>
      </c>
      <c r="C44" s="10" t="s">
        <v>64</v>
      </c>
      <c r="D44" s="11" t="s">
        <v>29</v>
      </c>
      <c r="E44" s="86"/>
      <c r="F44" s="70">
        <f>8262.62+1475</f>
        <v>9737.6200000000008</v>
      </c>
      <c r="G44" s="1"/>
      <c r="N44" s="1"/>
    </row>
    <row r="45" spans="1:14" s="2" customFormat="1" x14ac:dyDescent="0.2">
      <c r="A45" s="89">
        <v>45226</v>
      </c>
      <c r="B45" s="128" t="s">
        <v>11</v>
      </c>
      <c r="C45" s="10" t="s">
        <v>449</v>
      </c>
      <c r="D45" s="11" t="s">
        <v>29</v>
      </c>
      <c r="E45" s="86"/>
      <c r="F45" s="70">
        <v>262326.93</v>
      </c>
      <c r="G45" s="1"/>
      <c r="N45" s="1"/>
    </row>
    <row r="46" spans="1:14" s="2" customFormat="1" x14ac:dyDescent="0.2">
      <c r="A46" s="89">
        <v>45226</v>
      </c>
      <c r="B46" s="128" t="s">
        <v>11</v>
      </c>
      <c r="C46" s="10" t="s">
        <v>156</v>
      </c>
      <c r="D46" s="11" t="s">
        <v>29</v>
      </c>
      <c r="E46" s="86"/>
      <c r="F46" s="70">
        <v>326.10000000000002</v>
      </c>
      <c r="G46" s="1"/>
      <c r="N46" s="1"/>
    </row>
    <row r="47" spans="1:14" s="2" customFormat="1" x14ac:dyDescent="0.2">
      <c r="A47" s="89">
        <v>45226</v>
      </c>
      <c r="B47" s="128" t="s">
        <v>11</v>
      </c>
      <c r="C47" s="10" t="s">
        <v>199</v>
      </c>
      <c r="D47" s="11" t="s">
        <v>29</v>
      </c>
      <c r="E47" s="86"/>
      <c r="F47" s="70">
        <v>870674</v>
      </c>
      <c r="G47" s="1"/>
      <c r="N47" s="1"/>
    </row>
    <row r="48" spans="1:14" s="2" customFormat="1" x14ac:dyDescent="0.2">
      <c r="A48" s="89">
        <v>45226</v>
      </c>
      <c r="B48" s="128" t="s">
        <v>11</v>
      </c>
      <c r="C48" s="10" t="s">
        <v>109</v>
      </c>
      <c r="D48" s="11" t="s">
        <v>29</v>
      </c>
      <c r="E48" s="86"/>
      <c r="F48" s="70">
        <v>876456</v>
      </c>
      <c r="G48" s="1"/>
      <c r="N48" s="1"/>
    </row>
    <row r="49" spans="1:14" s="2" customFormat="1" x14ac:dyDescent="0.2">
      <c r="A49" s="89">
        <v>45226</v>
      </c>
      <c r="B49" s="128" t="s">
        <v>11</v>
      </c>
      <c r="C49" s="10" t="s">
        <v>110</v>
      </c>
      <c r="D49" s="11" t="s">
        <v>29</v>
      </c>
      <c r="E49" s="86"/>
      <c r="F49" s="70">
        <v>749292.62</v>
      </c>
      <c r="G49" s="1"/>
      <c r="N49" s="1"/>
    </row>
    <row r="50" spans="1:14" s="2" customFormat="1" x14ac:dyDescent="0.2">
      <c r="A50" s="89">
        <v>45226</v>
      </c>
      <c r="B50" s="128" t="s">
        <v>11</v>
      </c>
      <c r="C50" s="10" t="s">
        <v>442</v>
      </c>
      <c r="D50" s="11" t="s">
        <v>29</v>
      </c>
      <c r="E50" s="86"/>
      <c r="F50" s="70">
        <v>2402791</v>
      </c>
      <c r="G50" s="1"/>
      <c r="N50" s="1"/>
    </row>
    <row r="51" spans="1:14" s="2" customFormat="1" x14ac:dyDescent="0.2">
      <c r="A51" s="89">
        <v>45226</v>
      </c>
      <c r="B51" s="128" t="s">
        <v>11</v>
      </c>
      <c r="C51" s="10" t="s">
        <v>140</v>
      </c>
      <c r="D51" s="11" t="s">
        <v>29</v>
      </c>
      <c r="E51" s="86"/>
      <c r="F51" s="70">
        <v>533521</v>
      </c>
      <c r="G51" s="1"/>
      <c r="N51" s="1"/>
    </row>
    <row r="52" spans="1:14" s="2" customFormat="1" x14ac:dyDescent="0.2">
      <c r="A52" s="89">
        <v>45226</v>
      </c>
      <c r="B52" s="128" t="s">
        <v>11</v>
      </c>
      <c r="C52" s="10" t="s">
        <v>62</v>
      </c>
      <c r="D52" s="11" t="s">
        <v>29</v>
      </c>
      <c r="E52" s="86"/>
      <c r="F52" s="70">
        <v>188000</v>
      </c>
      <c r="G52" s="1"/>
      <c r="N52" s="1"/>
    </row>
    <row r="53" spans="1:14" s="2" customFormat="1" x14ac:dyDescent="0.2">
      <c r="A53" s="89">
        <v>45226</v>
      </c>
      <c r="B53" s="128" t="s">
        <v>11</v>
      </c>
      <c r="C53" s="10" t="s">
        <v>459</v>
      </c>
      <c r="D53" s="11" t="s">
        <v>29</v>
      </c>
      <c r="E53" s="86"/>
      <c r="F53" s="70">
        <v>283202</v>
      </c>
      <c r="G53" s="1"/>
      <c r="N53" s="1"/>
    </row>
    <row r="54" spans="1:14" s="2" customFormat="1" x14ac:dyDescent="0.2">
      <c r="A54" s="89">
        <v>45226</v>
      </c>
      <c r="B54" s="128" t="s">
        <v>11</v>
      </c>
      <c r="C54" s="10" t="s">
        <v>602</v>
      </c>
      <c r="D54" s="11" t="s">
        <v>29</v>
      </c>
      <c r="E54" s="86"/>
      <c r="F54" s="70">
        <v>16694</v>
      </c>
      <c r="G54" s="1"/>
      <c r="N54" s="1"/>
    </row>
    <row r="55" spans="1:14" s="2" customFormat="1" x14ac:dyDescent="0.2">
      <c r="A55" s="89">
        <v>45226</v>
      </c>
      <c r="B55" s="128" t="s">
        <v>11</v>
      </c>
      <c r="C55" s="10" t="s">
        <v>1269</v>
      </c>
      <c r="D55" s="11" t="s">
        <v>29</v>
      </c>
      <c r="E55" s="86"/>
      <c r="F55" s="70">
        <v>348302</v>
      </c>
      <c r="G55" s="1"/>
      <c r="N55" s="1"/>
    </row>
    <row r="56" spans="1:14" s="2" customFormat="1" x14ac:dyDescent="0.2">
      <c r="A56" s="89">
        <v>45226</v>
      </c>
      <c r="B56" s="128" t="s">
        <v>11</v>
      </c>
      <c r="C56" s="10" t="s">
        <v>197</v>
      </c>
      <c r="D56" s="11" t="s">
        <v>29</v>
      </c>
      <c r="E56" s="86"/>
      <c r="F56" s="70">
        <v>29028</v>
      </c>
      <c r="G56" s="1"/>
      <c r="N56" s="1"/>
    </row>
    <row r="57" spans="1:14" s="2" customFormat="1" x14ac:dyDescent="0.2">
      <c r="A57" s="89">
        <v>45226</v>
      </c>
      <c r="B57" s="128" t="s">
        <v>11</v>
      </c>
      <c r="C57" s="10" t="s">
        <v>210</v>
      </c>
      <c r="D57" s="11" t="s">
        <v>29</v>
      </c>
      <c r="E57" s="86"/>
      <c r="F57" s="70">
        <v>189508</v>
      </c>
      <c r="G57" s="1"/>
      <c r="N57" s="1"/>
    </row>
    <row r="58" spans="1:14" s="2" customFormat="1" x14ac:dyDescent="0.2">
      <c r="A58" s="89">
        <v>45226</v>
      </c>
      <c r="B58" s="128" t="s">
        <v>11</v>
      </c>
      <c r="C58" s="10" t="s">
        <v>348</v>
      </c>
      <c r="D58" s="11" t="s">
        <v>29</v>
      </c>
      <c r="E58" s="86"/>
      <c r="F58" s="70">
        <v>43718</v>
      </c>
      <c r="G58" s="1"/>
      <c r="N58" s="1"/>
    </row>
    <row r="59" spans="1:14" s="2" customFormat="1" x14ac:dyDescent="0.2">
      <c r="A59" s="89">
        <v>45226</v>
      </c>
      <c r="B59" s="128" t="s">
        <v>11</v>
      </c>
      <c r="C59" s="10" t="s">
        <v>171</v>
      </c>
      <c r="D59" s="11" t="s">
        <v>29</v>
      </c>
      <c r="E59" s="86"/>
      <c r="F59" s="70">
        <v>6302</v>
      </c>
      <c r="G59" s="1"/>
      <c r="N59" s="1"/>
    </row>
    <row r="60" spans="1:14" s="2" customFormat="1" x14ac:dyDescent="0.2">
      <c r="A60" s="89">
        <v>45226</v>
      </c>
      <c r="B60" s="128" t="s">
        <v>11</v>
      </c>
      <c r="C60" s="10" t="s">
        <v>63</v>
      </c>
      <c r="D60" s="11" t="s">
        <v>29</v>
      </c>
      <c r="E60" s="86"/>
      <c r="F60" s="70">
        <v>1000000</v>
      </c>
      <c r="G60" s="1"/>
      <c r="N60" s="1"/>
    </row>
    <row r="61" spans="1:14" s="2" customFormat="1" x14ac:dyDescent="0.2">
      <c r="A61" s="89">
        <v>45226</v>
      </c>
      <c r="B61" s="128" t="s">
        <v>11</v>
      </c>
      <c r="C61" s="10" t="s">
        <v>57</v>
      </c>
      <c r="D61" s="11" t="s">
        <v>29</v>
      </c>
      <c r="E61" s="86"/>
      <c r="F61" s="70">
        <v>1500000</v>
      </c>
      <c r="G61" s="1"/>
      <c r="N61" s="1"/>
    </row>
    <row r="62" spans="1:14" s="2" customFormat="1" x14ac:dyDescent="0.2">
      <c r="A62" s="89">
        <v>45226</v>
      </c>
      <c r="B62" s="128" t="s">
        <v>11</v>
      </c>
      <c r="C62" s="10" t="s">
        <v>366</v>
      </c>
      <c r="D62" s="11" t="s">
        <v>29</v>
      </c>
      <c r="E62" s="86"/>
      <c r="F62" s="70">
        <v>3228225</v>
      </c>
      <c r="G62" s="1"/>
      <c r="N62" s="1"/>
    </row>
    <row r="63" spans="1:14" s="2" customFormat="1" x14ac:dyDescent="0.2">
      <c r="A63" s="32"/>
      <c r="B63" s="33"/>
      <c r="C63" s="14"/>
      <c r="D63" s="34"/>
      <c r="E63" s="16">
        <f>SUM(E24:E62)</f>
        <v>16068091.860000001</v>
      </c>
      <c r="F63" s="16">
        <f>SUM(F24:F62)</f>
        <v>91018238.740000069</v>
      </c>
      <c r="G63" s="1"/>
      <c r="H63" s="1"/>
      <c r="I63" s="38">
        <v>74950146.879999995</v>
      </c>
      <c r="J63" s="2" t="s">
        <v>396</v>
      </c>
      <c r="K63" s="92">
        <f>E64-I63</f>
        <v>0</v>
      </c>
      <c r="N63" s="1"/>
    </row>
    <row r="64" spans="1:14" s="2" customFormat="1" x14ac:dyDescent="0.2">
      <c r="A64" s="36"/>
      <c r="B64" s="28" t="s">
        <v>11</v>
      </c>
      <c r="C64" s="19" t="s">
        <v>65</v>
      </c>
      <c r="D64" s="37"/>
      <c r="E64" s="38">
        <f>F63-E63</f>
        <v>74950146.88000007</v>
      </c>
      <c r="F64" s="22"/>
      <c r="G64" s="1"/>
      <c r="H64" s="1"/>
      <c r="I64" s="70"/>
      <c r="J64" s="70"/>
      <c r="K64" s="70"/>
      <c r="N64" s="1"/>
    </row>
    <row r="65" spans="1:14" s="2" customFormat="1" x14ac:dyDescent="0.2">
      <c r="A65" s="36"/>
      <c r="B65" s="28" t="s">
        <v>66</v>
      </c>
      <c r="C65" s="19" t="s">
        <v>67</v>
      </c>
      <c r="D65" s="37"/>
      <c r="E65" s="38">
        <v>6500000</v>
      </c>
      <c r="F65" s="22"/>
      <c r="G65" s="1"/>
      <c r="H65" s="70"/>
      <c r="I65" s="70"/>
      <c r="J65" s="70"/>
      <c r="K65" s="70"/>
      <c r="N65" s="1"/>
    </row>
    <row r="66" spans="1:14" s="2" customFormat="1" x14ac:dyDescent="0.2">
      <c r="A66" s="36"/>
      <c r="B66" s="28" t="s">
        <v>66</v>
      </c>
      <c r="C66" s="43" t="s">
        <v>1457</v>
      </c>
      <c r="D66" s="43"/>
      <c r="E66" s="12">
        <f>275000000+75000000+50000000</f>
        <v>400000000</v>
      </c>
      <c r="F66" s="22"/>
      <c r="G66" s="1"/>
      <c r="H66" s="70"/>
      <c r="I66" s="45">
        <v>2313.2800000000002</v>
      </c>
      <c r="J66" s="46"/>
      <c r="K66" s="46"/>
      <c r="N66" s="1"/>
    </row>
    <row r="67" spans="1:14" s="2" customFormat="1" ht="15" x14ac:dyDescent="0.25">
      <c r="A67" s="36"/>
      <c r="B67" s="28"/>
      <c r="C67" s="44" t="s">
        <v>1541</v>
      </c>
      <c r="D67" s="43"/>
      <c r="E67" s="7">
        <f>+E66+E64+E65</f>
        <v>481450146.88000005</v>
      </c>
      <c r="F67" s="22"/>
      <c r="G67" s="1"/>
      <c r="H67" s="103" t="s">
        <v>69</v>
      </c>
      <c r="I67" s="45">
        <v>-242.54</v>
      </c>
      <c r="J67" s="46"/>
      <c r="K67" s="46"/>
      <c r="N67" s="1"/>
    </row>
    <row r="68" spans="1:14" s="2" customFormat="1" ht="15" x14ac:dyDescent="0.25">
      <c r="A68" s="24"/>
      <c r="B68" s="1"/>
      <c r="C68" s="44" t="s">
        <v>1510</v>
      </c>
      <c r="D68" s="25"/>
      <c r="E68" s="156">
        <f>+I24-E65+H20-I20</f>
        <v>18549853.119999994</v>
      </c>
      <c r="G68" s="1"/>
      <c r="H68" s="35" t="s">
        <v>70</v>
      </c>
      <c r="I68" s="45">
        <v>105.69</v>
      </c>
      <c r="J68" s="46">
        <f>+I69-D71</f>
        <v>0</v>
      </c>
      <c r="N68" s="1"/>
    </row>
    <row r="69" spans="1:14" s="124" customFormat="1" ht="12.75" customHeight="1" x14ac:dyDescent="0.2">
      <c r="A69" s="24"/>
      <c r="B69" s="1"/>
      <c r="C69" s="56"/>
      <c r="D69" s="56"/>
      <c r="E69" s="104"/>
      <c r="F69" s="2"/>
      <c r="G69" s="166"/>
      <c r="H69" s="70"/>
      <c r="I69" s="49">
        <f>SUM(I66:I68)</f>
        <v>2176.4300000000003</v>
      </c>
      <c r="J69" s="46"/>
      <c r="K69" s="46"/>
    </row>
    <row r="70" spans="1:14" s="124" customFormat="1" ht="12.75" customHeight="1" x14ac:dyDescent="0.2">
      <c r="A70" s="24"/>
      <c r="B70" s="1"/>
      <c r="C70" s="78" t="s">
        <v>575</v>
      </c>
      <c r="D70" s="48" t="s">
        <v>576</v>
      </c>
      <c r="E70" s="104"/>
      <c r="F70" s="2"/>
      <c r="G70" s="168"/>
      <c r="H70" s="167"/>
      <c r="I70" s="167"/>
      <c r="J70" s="168"/>
    </row>
    <row r="71" spans="1:14" s="124" customFormat="1" ht="12.75" customHeight="1" x14ac:dyDescent="0.2">
      <c r="A71" s="24"/>
      <c r="B71" s="1"/>
      <c r="C71" s="47" t="s">
        <v>570</v>
      </c>
      <c r="D71" s="111">
        <v>2176.4299999999998</v>
      </c>
      <c r="E71" s="104"/>
      <c r="F71" s="2"/>
      <c r="G71" s="168"/>
      <c r="H71" s="110" t="s">
        <v>581</v>
      </c>
      <c r="I71" s="167"/>
      <c r="J71" s="168"/>
    </row>
    <row r="72" spans="1:14" s="124" customFormat="1" ht="12.75" customHeight="1" x14ac:dyDescent="0.2">
      <c r="A72" s="24"/>
      <c r="B72" s="1"/>
      <c r="C72" s="47" t="s">
        <v>931</v>
      </c>
      <c r="D72" s="111">
        <v>214.66</v>
      </c>
      <c r="E72" s="104"/>
      <c r="F72" s="2"/>
      <c r="G72" s="168"/>
      <c r="H72" s="110" t="s">
        <v>580</v>
      </c>
      <c r="I72" s="167"/>
      <c r="J72" s="168"/>
    </row>
    <row r="73" spans="1:14" s="124" customFormat="1" ht="12.75" customHeight="1" x14ac:dyDescent="0.2">
      <c r="A73" s="24"/>
      <c r="B73" s="1"/>
      <c r="C73" s="47" t="s">
        <v>572</v>
      </c>
      <c r="D73" s="111">
        <f>+D110/100000</f>
        <v>281.25572119999998</v>
      </c>
      <c r="E73" s="104"/>
      <c r="F73" s="2"/>
      <c r="G73" s="166"/>
      <c r="H73" s="90" t="s">
        <v>587</v>
      </c>
      <c r="I73" s="167"/>
      <c r="J73" s="168"/>
    </row>
    <row r="74" spans="1:14" s="2" customFormat="1" x14ac:dyDescent="0.2">
      <c r="A74" s="24"/>
      <c r="B74" s="1"/>
      <c r="C74" s="108" t="s">
        <v>578</v>
      </c>
      <c r="D74" s="48">
        <f>SUM(D71:D73)</f>
        <v>2672.3457211999998</v>
      </c>
      <c r="E74" s="104"/>
      <c r="G74" s="30"/>
      <c r="I74" s="13"/>
      <c r="J74" s="13"/>
    </row>
    <row r="75" spans="1:14" s="70" customFormat="1" x14ac:dyDescent="0.2">
      <c r="A75" s="24"/>
      <c r="B75" s="1"/>
      <c r="C75" s="47"/>
      <c r="D75" s="107"/>
      <c r="E75" s="104"/>
      <c r="F75" s="2"/>
      <c r="G75" s="30"/>
      <c r="H75" s="2"/>
    </row>
    <row r="76" spans="1:14" s="70" customFormat="1" x14ac:dyDescent="0.2">
      <c r="A76" s="24"/>
      <c r="B76" s="1"/>
      <c r="C76" s="47" t="s">
        <v>932</v>
      </c>
      <c r="D76" s="111">
        <v>161.06</v>
      </c>
      <c r="E76" s="104"/>
      <c r="F76" s="2"/>
      <c r="G76" s="30"/>
      <c r="H76" s="110" t="s">
        <v>581</v>
      </c>
    </row>
    <row r="77" spans="1:14" s="70" customFormat="1" x14ac:dyDescent="0.2">
      <c r="A77" s="24"/>
      <c r="B77" s="1"/>
      <c r="C77" s="136" t="s">
        <v>1142</v>
      </c>
      <c r="D77" s="111">
        <v>610.99</v>
      </c>
      <c r="E77" s="104"/>
      <c r="F77" s="2"/>
      <c r="G77" s="30"/>
      <c r="H77" s="110" t="s">
        <v>581</v>
      </c>
    </row>
    <row r="78" spans="1:14" s="70" customFormat="1" x14ac:dyDescent="0.2">
      <c r="A78" s="24"/>
      <c r="B78" s="1"/>
      <c r="C78" s="78" t="s">
        <v>579</v>
      </c>
      <c r="D78" s="109">
        <f>D76+D77</f>
        <v>772.05</v>
      </c>
      <c r="E78" s="104"/>
      <c r="F78" s="2"/>
      <c r="G78" s="30"/>
    </row>
    <row r="79" spans="1:14" s="70" customFormat="1" x14ac:dyDescent="0.2">
      <c r="A79" s="24"/>
      <c r="B79" s="1"/>
      <c r="C79" s="105"/>
      <c r="D79" s="106"/>
      <c r="E79" s="104"/>
      <c r="F79" s="2"/>
      <c r="G79" s="30"/>
      <c r="I79" s="2"/>
      <c r="J79" s="114" t="s">
        <v>713</v>
      </c>
      <c r="K79" s="2"/>
      <c r="L79" s="2"/>
      <c r="M79" s="2"/>
    </row>
    <row r="80" spans="1:14" s="70" customFormat="1" x14ac:dyDescent="0.2">
      <c r="A80" s="24"/>
      <c r="B80" s="1"/>
      <c r="C80" s="78" t="s">
        <v>577</v>
      </c>
      <c r="D80" s="109">
        <f>D71+D78</f>
        <v>2948.4799999999996</v>
      </c>
      <c r="E80" s="104"/>
      <c r="F80" s="2"/>
      <c r="G80" s="30"/>
      <c r="I80" s="113"/>
      <c r="J80" s="113" t="s">
        <v>709</v>
      </c>
      <c r="K80" s="113" t="s">
        <v>710</v>
      </c>
      <c r="L80" s="113" t="s">
        <v>711</v>
      </c>
      <c r="M80" s="113" t="s">
        <v>712</v>
      </c>
    </row>
    <row r="81" spans="1:14" s="70" customFormat="1" x14ac:dyDescent="0.2">
      <c r="A81" s="24"/>
      <c r="B81" s="1"/>
      <c r="C81" s="56"/>
      <c r="D81" s="56"/>
      <c r="E81" s="104"/>
      <c r="F81" s="2"/>
      <c r="G81" s="30"/>
      <c r="I81" s="113" t="s">
        <v>706</v>
      </c>
      <c r="J81" s="115"/>
      <c r="K81" s="115">
        <v>968.99</v>
      </c>
      <c r="L81" s="115">
        <v>968.99</v>
      </c>
      <c r="M81" s="113">
        <f>+J81+L81-K81</f>
        <v>0</v>
      </c>
    </row>
    <row r="82" spans="1:14" s="70" customFormat="1" ht="38.25" x14ac:dyDescent="0.2">
      <c r="A82" s="24"/>
      <c r="B82" s="1"/>
      <c r="C82" s="79" t="str">
        <f>"Particulars ( 01-04-2021 to "&amp;TEXT(A5,"dd-mm-yyyy")&amp;" )"</f>
        <v>Particulars ( 01-04-2021 to 27-10-2023 )</v>
      </c>
      <c r="D82" s="80" t="s">
        <v>73</v>
      </c>
      <c r="E82" s="80" t="s">
        <v>74</v>
      </c>
      <c r="F82" s="81" t="s">
        <v>75</v>
      </c>
      <c r="G82" s="80" t="s">
        <v>76</v>
      </c>
      <c r="I82" s="113" t="s">
        <v>707</v>
      </c>
      <c r="J82" s="115">
        <v>183.1</v>
      </c>
      <c r="K82" s="115">
        <v>3841.97</v>
      </c>
      <c r="L82" s="115">
        <v>4120.1499999999996</v>
      </c>
      <c r="M82" s="113">
        <f>+J82+L82-K82</f>
        <v>461.2800000000002</v>
      </c>
    </row>
    <row r="83" spans="1:14" s="70" customFormat="1" x14ac:dyDescent="0.2">
      <c r="A83" s="24"/>
      <c r="B83" s="1"/>
      <c r="C83" s="50" t="s">
        <v>444</v>
      </c>
      <c r="D83" s="55">
        <f>+L81+L82+J82</f>
        <v>5272.24</v>
      </c>
      <c r="E83" s="55">
        <f>+K81+K82</f>
        <v>4810.96</v>
      </c>
      <c r="F83" s="55">
        <f>+D83-E83</f>
        <v>461.27999999999975</v>
      </c>
      <c r="G83" s="55">
        <f>1500-F83</f>
        <v>1038.7200000000003</v>
      </c>
      <c r="I83" s="113" t="s">
        <v>708</v>
      </c>
      <c r="J83" s="115">
        <v>1371.02</v>
      </c>
      <c r="K83" s="115">
        <v>14721.56</v>
      </c>
      <c r="L83" s="115">
        <v>14403.31</v>
      </c>
      <c r="M83" s="113">
        <f>+J83+L83-K83</f>
        <v>1052.7700000000004</v>
      </c>
    </row>
    <row r="84" spans="1:14" s="70" customFormat="1" ht="12.75" customHeight="1" x14ac:dyDescent="0.2">
      <c r="A84" s="24"/>
      <c r="B84" s="1"/>
      <c r="C84" s="50" t="s">
        <v>71</v>
      </c>
      <c r="D84" s="55">
        <f>+J83+L83</f>
        <v>15774.33</v>
      </c>
      <c r="E84" s="55">
        <f>+K83</f>
        <v>14721.56</v>
      </c>
      <c r="F84" s="55">
        <f>+D84-E84</f>
        <v>1052.7700000000004</v>
      </c>
      <c r="G84" s="55">
        <f>1500+700-F84</f>
        <v>1147.2299999999996</v>
      </c>
      <c r="I84" s="2"/>
      <c r="J84" s="118">
        <f>SUM(J81:J83)</f>
        <v>1554.12</v>
      </c>
      <c r="K84" s="118">
        <f>SUM(K81:K83)</f>
        <v>19532.52</v>
      </c>
      <c r="L84" s="118">
        <f>SUM(L81:L83)</f>
        <v>19492.449999999997</v>
      </c>
      <c r="M84" s="118">
        <f>SUM(M81:M83)</f>
        <v>1514.0500000000006</v>
      </c>
    </row>
    <row r="85" spans="1:14" s="70" customFormat="1" ht="12.75" customHeight="1" x14ac:dyDescent="0.2">
      <c r="A85" s="24"/>
      <c r="B85" s="1"/>
      <c r="C85" s="14"/>
      <c r="D85" s="56"/>
      <c r="E85" s="13"/>
      <c r="F85" s="2"/>
      <c r="G85" s="30"/>
    </row>
    <row r="86" spans="1:14" s="70" customFormat="1" ht="12.75" customHeight="1" x14ac:dyDescent="0.2">
      <c r="A86" s="215" t="s">
        <v>80</v>
      </c>
      <c r="B86" s="216"/>
      <c r="C86" s="216"/>
      <c r="D86" s="217"/>
      <c r="E86" s="69"/>
      <c r="G86" s="30"/>
    </row>
    <row r="87" spans="1:14" s="70" customFormat="1" ht="12.75" customHeight="1" x14ac:dyDescent="0.2">
      <c r="A87" s="71" t="s">
        <v>81</v>
      </c>
      <c r="B87" s="71"/>
      <c r="C87" s="72" t="s">
        <v>82</v>
      </c>
      <c r="D87" s="73" t="s">
        <v>83</v>
      </c>
      <c r="E87" s="69"/>
      <c r="G87" s="30"/>
    </row>
    <row r="88" spans="1:14" s="70" customFormat="1" ht="12.75" customHeight="1" x14ac:dyDescent="0.2">
      <c r="A88" s="87">
        <v>45203</v>
      </c>
      <c r="B88" s="120" t="s">
        <v>1052</v>
      </c>
      <c r="C88" s="75" t="s">
        <v>18</v>
      </c>
      <c r="D88" s="88">
        <v>193358.43</v>
      </c>
      <c r="E88" s="2"/>
      <c r="F88" s="2"/>
      <c r="G88" s="30"/>
      <c r="H88" s="2"/>
      <c r="I88" s="2"/>
      <c r="J88" s="2"/>
      <c r="K88" s="2"/>
      <c r="L88" s="41"/>
      <c r="M88" s="42"/>
      <c r="N88" s="2"/>
    </row>
    <row r="89" spans="1:14" s="70" customFormat="1" ht="12.75" customHeight="1" x14ac:dyDescent="0.2">
      <c r="A89" s="87">
        <v>45203</v>
      </c>
      <c r="B89" s="120" t="s">
        <v>1052</v>
      </c>
      <c r="C89" s="75" t="s">
        <v>270</v>
      </c>
      <c r="D89" s="88">
        <v>254277</v>
      </c>
      <c r="E89" s="2"/>
      <c r="F89" s="2"/>
      <c r="G89" s="30"/>
      <c r="H89" s="2"/>
      <c r="I89" s="2"/>
      <c r="J89" s="2"/>
      <c r="K89" s="2"/>
      <c r="L89" s="41"/>
      <c r="M89" s="42"/>
      <c r="N89" s="2"/>
    </row>
    <row r="90" spans="1:14" s="70" customFormat="1" ht="12.75" customHeight="1" x14ac:dyDescent="0.2">
      <c r="A90" s="87">
        <v>45204</v>
      </c>
      <c r="B90" s="120" t="s">
        <v>1052</v>
      </c>
      <c r="C90" s="75" t="s">
        <v>85</v>
      </c>
      <c r="D90" s="88">
        <v>765297</v>
      </c>
      <c r="E90" s="2"/>
      <c r="F90" s="2"/>
      <c r="G90" s="30"/>
      <c r="H90" s="2"/>
      <c r="I90" s="2"/>
      <c r="J90" s="2"/>
      <c r="K90" s="2"/>
      <c r="L90" s="41"/>
      <c r="M90" s="42"/>
      <c r="N90" s="2"/>
    </row>
    <row r="91" spans="1:14" s="70" customFormat="1" ht="12.75" customHeight="1" x14ac:dyDescent="0.2">
      <c r="A91" s="87">
        <v>45209</v>
      </c>
      <c r="B91" s="120" t="s">
        <v>1052</v>
      </c>
      <c r="C91" s="75" t="s">
        <v>606</v>
      </c>
      <c r="D91" s="88">
        <v>2261658</v>
      </c>
      <c r="E91" s="2"/>
      <c r="F91" s="2"/>
      <c r="G91" s="30"/>
      <c r="H91" s="2"/>
      <c r="I91" s="2"/>
      <c r="J91" s="2"/>
      <c r="K91" s="2"/>
      <c r="L91" s="41"/>
      <c r="M91" s="42"/>
      <c r="N91" s="2"/>
    </row>
    <row r="92" spans="1:14" s="70" customFormat="1" ht="12.75" customHeight="1" x14ac:dyDescent="0.2">
      <c r="A92" s="87">
        <v>45211</v>
      </c>
      <c r="B92" s="120" t="s">
        <v>1052</v>
      </c>
      <c r="C92" s="75" t="s">
        <v>18</v>
      </c>
      <c r="D92" s="88">
        <v>35919</v>
      </c>
      <c r="E92" s="2"/>
      <c r="F92" s="2"/>
      <c r="G92" s="30"/>
      <c r="H92" s="2"/>
      <c r="I92" s="2"/>
      <c r="J92" s="2"/>
      <c r="K92" s="2"/>
      <c r="L92" s="41"/>
      <c r="M92" s="42"/>
      <c r="N92" s="2"/>
    </row>
    <row r="93" spans="1:14" s="70" customFormat="1" ht="12.75" customHeight="1" x14ac:dyDescent="0.2">
      <c r="A93" s="87">
        <v>45211</v>
      </c>
      <c r="B93" s="120" t="s">
        <v>1052</v>
      </c>
      <c r="C93" s="75" t="s">
        <v>84</v>
      </c>
      <c r="D93" s="88">
        <v>856347</v>
      </c>
      <c r="E93" s="2"/>
      <c r="F93" s="2"/>
      <c r="G93" s="30"/>
      <c r="H93" s="2"/>
      <c r="I93" s="2"/>
      <c r="J93" s="2"/>
      <c r="K93" s="2"/>
      <c r="L93" s="41"/>
      <c r="M93" s="42"/>
      <c r="N93" s="2"/>
    </row>
    <row r="94" spans="1:14" s="70" customFormat="1" ht="12.75" customHeight="1" x14ac:dyDescent="0.2">
      <c r="A94" s="87">
        <v>45212</v>
      </c>
      <c r="B94" s="120" t="s">
        <v>1052</v>
      </c>
      <c r="C94" s="75" t="s">
        <v>201</v>
      </c>
      <c r="D94" s="88">
        <v>1600267.2</v>
      </c>
      <c r="E94" s="2"/>
      <c r="F94" s="2"/>
      <c r="G94" s="30"/>
      <c r="H94" s="2"/>
      <c r="I94" s="2"/>
      <c r="J94" s="2"/>
      <c r="K94" s="2"/>
      <c r="L94" s="41"/>
      <c r="M94" s="42"/>
      <c r="N94" s="2"/>
    </row>
    <row r="95" spans="1:14" s="70" customFormat="1" ht="12.75" customHeight="1" x14ac:dyDescent="0.2">
      <c r="A95" s="87">
        <v>45215</v>
      </c>
      <c r="B95" s="120" t="s">
        <v>1052</v>
      </c>
      <c r="C95" s="75" t="s">
        <v>1683</v>
      </c>
      <c r="D95" s="88">
        <v>6496492</v>
      </c>
      <c r="E95" s="2"/>
      <c r="F95" s="2"/>
      <c r="G95" s="30"/>
      <c r="H95" s="2"/>
      <c r="I95" s="2"/>
      <c r="J95" s="2"/>
      <c r="K95" s="2"/>
      <c r="L95" s="41"/>
      <c r="M95" s="42"/>
      <c r="N95" s="2"/>
    </row>
    <row r="96" spans="1:14" s="70" customFormat="1" ht="12.75" customHeight="1" x14ac:dyDescent="0.2">
      <c r="A96" s="87">
        <v>45217</v>
      </c>
      <c r="B96" s="120" t="s">
        <v>1052</v>
      </c>
      <c r="C96" s="75" t="s">
        <v>1084</v>
      </c>
      <c r="D96" s="88">
        <v>1789287</v>
      </c>
      <c r="E96" s="2"/>
      <c r="F96" s="2"/>
      <c r="G96" s="30"/>
      <c r="H96" s="2"/>
      <c r="I96" s="2"/>
      <c r="J96" s="2"/>
      <c r="K96" s="2"/>
      <c r="L96" s="41"/>
      <c r="M96" s="42"/>
      <c r="N96" s="2"/>
    </row>
    <row r="97" spans="1:14" s="70" customFormat="1" ht="12.75" customHeight="1" x14ac:dyDescent="0.2">
      <c r="A97" s="87">
        <v>45218</v>
      </c>
      <c r="B97" s="120" t="s">
        <v>1052</v>
      </c>
      <c r="C97" s="75" t="s">
        <v>606</v>
      </c>
      <c r="D97" s="88">
        <v>189973.92</v>
      </c>
      <c r="E97" s="2"/>
      <c r="F97" s="2"/>
      <c r="G97" s="30"/>
      <c r="H97" s="2"/>
      <c r="I97" s="2"/>
      <c r="J97" s="2"/>
      <c r="K97" s="2"/>
      <c r="L97" s="41"/>
      <c r="M97" s="42"/>
      <c r="N97" s="2"/>
    </row>
    <row r="98" spans="1:14" s="70" customFormat="1" ht="12.75" customHeight="1" x14ac:dyDescent="0.2">
      <c r="A98" s="87">
        <v>45218</v>
      </c>
      <c r="B98" s="120" t="s">
        <v>1052</v>
      </c>
      <c r="C98" s="75" t="s">
        <v>18</v>
      </c>
      <c r="D98" s="88">
        <v>734545</v>
      </c>
      <c r="E98" s="2"/>
      <c r="F98" s="2"/>
      <c r="G98" s="30"/>
      <c r="H98" s="2"/>
      <c r="I98" s="2"/>
      <c r="J98" s="2"/>
      <c r="K98" s="2"/>
      <c r="L98" s="41"/>
      <c r="M98" s="42"/>
      <c r="N98" s="2"/>
    </row>
    <row r="99" spans="1:14" s="70" customFormat="1" ht="12.75" customHeight="1" x14ac:dyDescent="0.2">
      <c r="A99" s="87">
        <v>45219</v>
      </c>
      <c r="B99" s="120" t="s">
        <v>1052</v>
      </c>
      <c r="C99" s="75" t="s">
        <v>270</v>
      </c>
      <c r="D99" s="88">
        <v>302951</v>
      </c>
      <c r="E99" s="2"/>
      <c r="F99" s="2"/>
      <c r="G99" s="30"/>
      <c r="H99" s="2"/>
      <c r="I99" s="2"/>
      <c r="J99" s="2"/>
      <c r="K99" s="2"/>
      <c r="L99" s="41"/>
      <c r="M99" s="42"/>
      <c r="N99" s="2"/>
    </row>
    <row r="100" spans="1:14" s="70" customFormat="1" ht="12.75" customHeight="1" x14ac:dyDescent="0.2">
      <c r="A100" s="87">
        <v>45219</v>
      </c>
      <c r="B100" s="120" t="s">
        <v>1052</v>
      </c>
      <c r="C100" s="75" t="s">
        <v>270</v>
      </c>
      <c r="D100" s="88">
        <v>6923</v>
      </c>
      <c r="E100" s="2"/>
      <c r="F100" s="2"/>
      <c r="G100" s="30"/>
      <c r="H100" s="2"/>
      <c r="I100" s="2"/>
      <c r="J100" s="2"/>
      <c r="K100" s="2"/>
      <c r="L100" s="41"/>
      <c r="M100" s="42"/>
      <c r="N100" s="2"/>
    </row>
    <row r="101" spans="1:14" s="70" customFormat="1" ht="12.75" customHeight="1" x14ac:dyDescent="0.2">
      <c r="A101" s="87">
        <v>45219</v>
      </c>
      <c r="B101" s="120" t="s">
        <v>1052</v>
      </c>
      <c r="C101" s="75" t="s">
        <v>88</v>
      </c>
      <c r="D101" s="88">
        <v>9230617.5700000003</v>
      </c>
      <c r="E101" s="2"/>
      <c r="F101" s="2"/>
      <c r="G101" s="30"/>
      <c r="H101" s="2"/>
      <c r="I101" s="2"/>
      <c r="J101" s="2"/>
      <c r="K101" s="2"/>
      <c r="L101" s="41"/>
      <c r="M101" s="42"/>
      <c r="N101" s="2"/>
    </row>
    <row r="102" spans="1:14" s="70" customFormat="1" ht="12.75" customHeight="1" x14ac:dyDescent="0.2">
      <c r="A102" s="87">
        <v>45220</v>
      </c>
      <c r="B102" s="120" t="s">
        <v>1052</v>
      </c>
      <c r="C102" s="75" t="s">
        <v>85</v>
      </c>
      <c r="D102" s="88">
        <v>323371</v>
      </c>
      <c r="E102" s="2"/>
      <c r="F102" s="2"/>
      <c r="G102" s="30"/>
      <c r="H102" s="2"/>
      <c r="I102" s="2"/>
      <c r="J102" s="2"/>
      <c r="K102" s="2"/>
      <c r="L102" s="41"/>
      <c r="M102" s="42"/>
      <c r="N102" s="2"/>
    </row>
    <row r="103" spans="1:14" s="70" customFormat="1" ht="12.75" customHeight="1" x14ac:dyDescent="0.2">
      <c r="A103" s="87">
        <v>45222</v>
      </c>
      <c r="B103" s="120" t="s">
        <v>1052</v>
      </c>
      <c r="C103" s="75" t="s">
        <v>86</v>
      </c>
      <c r="D103" s="88">
        <v>1229642</v>
      </c>
      <c r="E103" s="2"/>
      <c r="F103" s="2"/>
      <c r="G103" s="30"/>
      <c r="H103" s="2"/>
      <c r="I103" s="2"/>
      <c r="J103" s="2"/>
      <c r="K103" s="2"/>
      <c r="L103" s="41"/>
      <c r="M103" s="42"/>
      <c r="N103" s="2"/>
    </row>
    <row r="104" spans="1:14" s="70" customFormat="1" ht="12.75" customHeight="1" x14ac:dyDescent="0.2">
      <c r="A104" s="87">
        <v>45222</v>
      </c>
      <c r="B104" s="120" t="s">
        <v>1052</v>
      </c>
      <c r="C104" s="75" t="s">
        <v>86</v>
      </c>
      <c r="D104" s="88">
        <v>46995</v>
      </c>
      <c r="E104" s="2"/>
      <c r="F104" s="2"/>
      <c r="G104" s="30"/>
      <c r="H104" s="2"/>
      <c r="I104" s="2"/>
      <c r="J104" s="2"/>
      <c r="K104" s="2"/>
      <c r="L104" s="41"/>
      <c r="M104" s="42"/>
      <c r="N104" s="2"/>
    </row>
    <row r="105" spans="1:14" s="70" customFormat="1" ht="12.75" customHeight="1" x14ac:dyDescent="0.2">
      <c r="A105" s="87">
        <v>45222</v>
      </c>
      <c r="B105" s="120" t="s">
        <v>1052</v>
      </c>
      <c r="C105" s="75" t="s">
        <v>86</v>
      </c>
      <c r="D105" s="88">
        <v>782535</v>
      </c>
      <c r="E105" s="2"/>
      <c r="F105" s="2"/>
      <c r="G105" s="30"/>
      <c r="H105" s="2"/>
      <c r="I105" s="2"/>
      <c r="J105" s="2"/>
      <c r="K105" s="2"/>
      <c r="L105" s="41"/>
      <c r="M105" s="42"/>
      <c r="N105" s="2"/>
    </row>
    <row r="106" spans="1:14" s="70" customFormat="1" ht="12.75" customHeight="1" x14ac:dyDescent="0.2">
      <c r="A106" s="87">
        <v>45224</v>
      </c>
      <c r="B106" s="120" t="s">
        <v>1052</v>
      </c>
      <c r="C106" s="75" t="s">
        <v>85</v>
      </c>
      <c r="D106" s="88">
        <v>631492</v>
      </c>
      <c r="E106" s="2"/>
      <c r="F106" s="2"/>
      <c r="G106" s="30"/>
      <c r="H106" s="2"/>
      <c r="I106" s="2"/>
      <c r="J106" s="2"/>
      <c r="K106" s="2"/>
      <c r="L106" s="41"/>
      <c r="M106" s="42"/>
      <c r="N106" s="2"/>
    </row>
    <row r="107" spans="1:14" s="70" customFormat="1" ht="12.75" customHeight="1" x14ac:dyDescent="0.2">
      <c r="A107" s="87">
        <v>45224</v>
      </c>
      <c r="B107" s="120" t="s">
        <v>1052</v>
      </c>
      <c r="C107" s="75" t="s">
        <v>85</v>
      </c>
      <c r="D107" s="88">
        <v>118093</v>
      </c>
      <c r="E107" s="2"/>
      <c r="F107" s="2"/>
      <c r="G107" s="30"/>
      <c r="H107" s="2"/>
      <c r="I107" s="2"/>
      <c r="J107" s="2"/>
      <c r="K107" s="2"/>
      <c r="L107" s="41"/>
      <c r="M107" s="42"/>
      <c r="N107" s="2"/>
    </row>
    <row r="108" spans="1:14" s="70" customFormat="1" ht="12.75" customHeight="1" x14ac:dyDescent="0.2">
      <c r="A108" s="87">
        <v>45224</v>
      </c>
      <c r="B108" s="120" t="s">
        <v>1052</v>
      </c>
      <c r="C108" s="75" t="s">
        <v>323</v>
      </c>
      <c r="D108" s="88">
        <v>13689</v>
      </c>
      <c r="E108" s="2"/>
      <c r="F108" s="2"/>
      <c r="G108" s="30"/>
      <c r="H108" s="2"/>
      <c r="I108" s="2"/>
      <c r="J108" s="2"/>
      <c r="K108" s="2"/>
      <c r="L108" s="41"/>
      <c r="M108" s="42"/>
      <c r="N108" s="2"/>
    </row>
    <row r="109" spans="1:14" s="70" customFormat="1" ht="12.75" customHeight="1" x14ac:dyDescent="0.2">
      <c r="A109" s="87">
        <v>45226</v>
      </c>
      <c r="B109" s="120" t="s">
        <v>1052</v>
      </c>
      <c r="C109" s="75" t="s">
        <v>85</v>
      </c>
      <c r="D109" s="88">
        <v>261842</v>
      </c>
      <c r="E109" s="2"/>
      <c r="F109" s="2"/>
      <c r="G109" s="30"/>
      <c r="H109" s="2"/>
      <c r="I109" s="2"/>
      <c r="J109" s="2"/>
      <c r="K109" s="2"/>
      <c r="L109" s="41"/>
      <c r="M109" s="42"/>
      <c r="N109" s="2"/>
    </row>
    <row r="110" spans="1:14" s="2" customFormat="1" x14ac:dyDescent="0.2">
      <c r="A110" s="87"/>
      <c r="B110" s="74"/>
      <c r="C110" s="75"/>
      <c r="D110" s="51">
        <f>SUM(D88:D109)</f>
        <v>28125572.119999997</v>
      </c>
      <c r="F110" s="2" t="s">
        <v>396</v>
      </c>
      <c r="G110" s="1"/>
    </row>
    <row r="111" spans="1:14" s="2" customFormat="1" x14ac:dyDescent="0.2">
      <c r="A111" s="24"/>
      <c r="B111" s="1"/>
      <c r="C111" s="14"/>
      <c r="D111" s="56"/>
      <c r="E111" s="13"/>
      <c r="G111" s="1"/>
    </row>
    <row r="112" spans="1:14" s="2" customFormat="1" x14ac:dyDescent="0.2">
      <c r="A112" s="24"/>
      <c r="B112" s="1"/>
      <c r="C112" s="218" t="s">
        <v>77</v>
      </c>
      <c r="D112" s="219"/>
      <c r="E112" s="219"/>
      <c r="F112" s="220"/>
      <c r="H112" s="2" t="s">
        <v>396</v>
      </c>
    </row>
    <row r="113" spans="1:13" s="2" customFormat="1" x14ac:dyDescent="0.2">
      <c r="A113" s="24"/>
      <c r="B113" s="1"/>
      <c r="C113" s="50"/>
      <c r="D113" s="57" t="s">
        <v>78</v>
      </c>
      <c r="E113" s="58" t="s">
        <v>79</v>
      </c>
      <c r="F113" s="57" t="s">
        <v>72</v>
      </c>
      <c r="H113" s="2" t="s">
        <v>396</v>
      </c>
    </row>
    <row r="114" spans="1:13" s="2" customFormat="1" x14ac:dyDescent="0.2">
      <c r="A114" s="24"/>
      <c r="B114" s="1"/>
      <c r="C114" s="59" t="str">
        <f>"01-10-2023 to "&amp;TEXT(A5-2,"dd-mm-yyyy")</f>
        <v>01-10-2023 to 25-10-2023</v>
      </c>
      <c r="D114" s="60">
        <v>1938.95</v>
      </c>
      <c r="E114" s="60">
        <v>411.89</v>
      </c>
      <c r="F114" s="61">
        <f>SUM(D114:E114)</f>
        <v>2350.84</v>
      </c>
    </row>
    <row r="115" spans="1:13" s="2" customFormat="1" x14ac:dyDescent="0.2">
      <c r="A115" s="24"/>
      <c r="B115" s="1"/>
      <c r="C115" s="62" t="str">
        <f>TEXT(A5-1,"dd-mm-yyyy")</f>
        <v>26-10-2023</v>
      </c>
      <c r="D115" s="60">
        <v>95.73</v>
      </c>
      <c r="E115" s="60">
        <v>2.33</v>
      </c>
      <c r="F115" s="61">
        <f>SUM(D115:E115)</f>
        <v>98.06</v>
      </c>
      <c r="G115" s="1"/>
      <c r="H115" s="53"/>
    </row>
    <row r="116" spans="1:13" s="2" customFormat="1" ht="13.5" thickBot="1" x14ac:dyDescent="0.25">
      <c r="A116" s="24"/>
      <c r="B116" s="1"/>
      <c r="C116" s="63" t="str">
        <f>"01-10-2023 to "&amp;TEXT(A5-1,"dd-mm-yyyy")</f>
        <v>01-10-2023 to 26-10-2023</v>
      </c>
      <c r="D116" s="64">
        <f>SUM(D114:D115)</f>
        <v>2034.68</v>
      </c>
      <c r="E116" s="64">
        <f>SUM(E114:E115)</f>
        <v>414.21999999999997</v>
      </c>
      <c r="F116" s="64">
        <f>SUM(F114:F115)</f>
        <v>2448.9</v>
      </c>
      <c r="G116" s="1"/>
      <c r="H116" s="53"/>
    </row>
    <row r="117" spans="1:13" s="2" customFormat="1" ht="13.5" thickTop="1" x14ac:dyDescent="0.2">
      <c r="A117" s="24"/>
      <c r="B117" s="1"/>
      <c r="C117" s="62"/>
      <c r="D117" s="65"/>
      <c r="E117" s="66"/>
      <c r="F117" s="67"/>
      <c r="L117" s="1"/>
      <c r="M117" s="1"/>
    </row>
    <row r="118" spans="1:13" s="2" customFormat="1" x14ac:dyDescent="0.2">
      <c r="A118" s="24"/>
      <c r="B118" s="1"/>
      <c r="C118" s="62" t="str">
        <f>"01-04-2023 to " &amp;C115</f>
        <v>01-04-2023 to 26-10-2023</v>
      </c>
      <c r="D118" s="68">
        <f>+D116+27003.42</f>
        <v>29038.1</v>
      </c>
      <c r="E118" s="68">
        <f>+E116+2028.43</f>
        <v>2442.65</v>
      </c>
      <c r="F118" s="68">
        <f>+F116+29031.85</f>
        <v>31480.75</v>
      </c>
      <c r="G118" s="1"/>
      <c r="L118" s="1"/>
      <c r="M118" s="1"/>
    </row>
    <row r="119" spans="1:13" s="2" customFormat="1" x14ac:dyDescent="0.2">
      <c r="A119" s="24"/>
      <c r="B119" s="1"/>
      <c r="C119" s="52"/>
      <c r="D119" s="85"/>
      <c r="E119" s="53"/>
      <c r="F119" s="53"/>
      <c r="G119" s="1"/>
      <c r="L119" s="1"/>
      <c r="M119" s="1"/>
    </row>
    <row r="120" spans="1:13" s="2" customFormat="1" x14ac:dyDescent="0.2">
      <c r="A120" s="24"/>
      <c r="B120" s="1"/>
      <c r="C120" s="52"/>
      <c r="D120" s="85"/>
      <c r="E120" s="53"/>
      <c r="F120" s="53"/>
      <c r="G120" s="1"/>
      <c r="L120" s="1"/>
      <c r="M120" s="1"/>
    </row>
    <row r="121" spans="1:13" s="2" customFormat="1" x14ac:dyDescent="0.2">
      <c r="A121" s="24"/>
      <c r="B121" s="1"/>
      <c r="C121" s="52"/>
      <c r="D121" s="85"/>
      <c r="E121" s="53"/>
      <c r="F121" s="53"/>
      <c r="G121" s="1"/>
      <c r="L121" s="1"/>
      <c r="M121" s="1"/>
    </row>
    <row r="122" spans="1:13" s="2" customFormat="1" x14ac:dyDescent="0.2">
      <c r="A122" s="24"/>
      <c r="B122" s="1"/>
      <c r="C122" s="52"/>
      <c r="D122" s="85"/>
      <c r="E122" s="53"/>
      <c r="F122" s="53"/>
      <c r="G122" s="1"/>
      <c r="L122" s="1"/>
      <c r="M122" s="1"/>
    </row>
    <row r="123" spans="1:13" s="2" customFormat="1" x14ac:dyDescent="0.2">
      <c r="A123" s="24"/>
      <c r="B123" s="1"/>
      <c r="C123" s="14"/>
      <c r="D123" s="25"/>
      <c r="G123" s="1"/>
      <c r="L123" s="1"/>
      <c r="M123" s="1"/>
    </row>
    <row r="124" spans="1:13" s="2" customFormat="1" x14ac:dyDescent="0.2">
      <c r="A124" s="24"/>
      <c r="B124" s="1"/>
      <c r="C124" s="14"/>
      <c r="D124" s="25"/>
      <c r="G124" s="1"/>
      <c r="L124" s="1"/>
      <c r="M124" s="1"/>
    </row>
    <row r="125" spans="1:13" s="2" customFormat="1" x14ac:dyDescent="0.2">
      <c r="A125" s="24"/>
      <c r="B125" s="1"/>
      <c r="C125" s="14"/>
      <c r="D125" s="25"/>
      <c r="G125" s="1"/>
      <c r="L125" s="1"/>
      <c r="M125" s="1"/>
    </row>
    <row r="126" spans="1:13" s="2" customFormat="1" x14ac:dyDescent="0.2">
      <c r="A126" s="24"/>
      <c r="B126" s="1"/>
      <c r="C126" s="14"/>
      <c r="D126" s="25"/>
      <c r="G126" s="1"/>
      <c r="L126" s="1"/>
      <c r="M126" s="1"/>
    </row>
    <row r="127" spans="1:13" s="2" customFormat="1" x14ac:dyDescent="0.2">
      <c r="A127" s="24"/>
      <c r="B127" s="1"/>
      <c r="C127" s="14"/>
      <c r="D127" s="25"/>
      <c r="G127" s="1"/>
      <c r="L127" s="1"/>
      <c r="M127" s="1"/>
    </row>
    <row r="128" spans="1:13" s="2" customFormat="1" x14ac:dyDescent="0.2">
      <c r="A128" s="24"/>
      <c r="B128" s="1"/>
      <c r="C128" s="14"/>
      <c r="D128" s="25"/>
      <c r="G128" s="1"/>
      <c r="L128" s="1"/>
      <c r="M128" s="1"/>
    </row>
    <row r="129" spans="1:14" s="2" customFormat="1" x14ac:dyDescent="0.2">
      <c r="A129" s="24"/>
      <c r="B129" s="1"/>
      <c r="C129" s="14"/>
      <c r="D129" s="25"/>
      <c r="G129" s="1"/>
      <c r="L129" s="1"/>
      <c r="M129" s="1"/>
    </row>
    <row r="130" spans="1:14" s="2" customFormat="1" x14ac:dyDescent="0.2">
      <c r="A130" s="24"/>
      <c r="B130" s="1"/>
      <c r="C130" s="14"/>
      <c r="D130" s="25"/>
      <c r="G130" s="1"/>
      <c r="L130" s="1"/>
      <c r="M130" s="1"/>
    </row>
    <row r="131" spans="1:14" s="2" customFormat="1" x14ac:dyDescent="0.2">
      <c r="A131" s="24"/>
      <c r="B131" s="1"/>
      <c r="C131" s="14"/>
      <c r="D131" s="25"/>
      <c r="G131" s="1"/>
      <c r="L131" s="1"/>
      <c r="M131" s="1"/>
    </row>
    <row r="132" spans="1:14" s="2" customFormat="1" x14ac:dyDescent="0.2">
      <c r="A132" s="24"/>
      <c r="B132" s="1"/>
      <c r="C132" s="14"/>
      <c r="D132" s="25"/>
      <c r="G132" s="1"/>
      <c r="L132" s="1"/>
      <c r="M132" s="1"/>
    </row>
    <row r="133" spans="1:14" s="2" customFormat="1" x14ac:dyDescent="0.2">
      <c r="A133" s="24"/>
      <c r="B133" s="1"/>
      <c r="C133" s="14"/>
      <c r="D133" s="25"/>
      <c r="G133" s="1"/>
      <c r="L133" s="1"/>
      <c r="M133" s="1"/>
    </row>
    <row r="134" spans="1:14" s="2" customFormat="1" x14ac:dyDescent="0.2">
      <c r="A134" s="24"/>
      <c r="B134" s="1"/>
      <c r="C134" s="14"/>
      <c r="D134" s="25"/>
      <c r="G134" s="1"/>
      <c r="L134" s="1"/>
      <c r="M134" s="1"/>
    </row>
    <row r="135" spans="1:14" s="2" customFormat="1" x14ac:dyDescent="0.2">
      <c r="A135" s="24"/>
      <c r="B135" s="1"/>
      <c r="C135" s="14"/>
      <c r="D135" s="25"/>
      <c r="G135" s="1"/>
      <c r="L135" s="1"/>
      <c r="M135" s="1"/>
    </row>
    <row r="136" spans="1:14" s="2" customFormat="1" x14ac:dyDescent="0.2">
      <c r="A136" s="24"/>
      <c r="B136" s="1"/>
      <c r="C136" s="14"/>
      <c r="D136" s="25"/>
      <c r="G136" s="1"/>
      <c r="L136" s="1"/>
      <c r="M136" s="1"/>
    </row>
    <row r="137" spans="1:14" s="2" customFormat="1" x14ac:dyDescent="0.2">
      <c r="A137" s="24"/>
      <c r="B137" s="1"/>
      <c r="C137" s="14"/>
      <c r="D137" s="25"/>
      <c r="G137" s="1"/>
      <c r="I137" s="1"/>
      <c r="J137" s="1"/>
      <c r="K137" s="1"/>
      <c r="L137" s="1"/>
      <c r="M137" s="1"/>
    </row>
    <row r="138" spans="1:14" s="2" customFormat="1" x14ac:dyDescent="0.2">
      <c r="A138" s="24"/>
      <c r="B138" s="1"/>
      <c r="C138" s="14"/>
      <c r="D138" s="25"/>
      <c r="G138" s="1"/>
    </row>
    <row r="139" spans="1:14" s="2" customFormat="1" x14ac:dyDescent="0.2">
      <c r="A139" s="24"/>
      <c r="B139" s="1"/>
      <c r="C139" s="14"/>
      <c r="D139" s="25"/>
      <c r="G139" s="1"/>
      <c r="I139" s="1"/>
      <c r="J139" s="1"/>
      <c r="K139" s="1"/>
      <c r="L139" s="1"/>
      <c r="M139" s="1"/>
    </row>
    <row r="140" spans="1:14" s="2" customFormat="1" x14ac:dyDescent="0.2">
      <c r="A140" s="24"/>
      <c r="B140" s="1"/>
      <c r="C140" s="14"/>
      <c r="D140" s="25"/>
      <c r="G140" s="54"/>
      <c r="I140" s="1"/>
      <c r="J140" s="1"/>
      <c r="K140" s="1"/>
      <c r="L140" s="1"/>
      <c r="M140" s="1"/>
    </row>
    <row r="141" spans="1:14" s="2" customFormat="1" x14ac:dyDescent="0.2">
      <c r="A141" s="24"/>
      <c r="B141" s="1"/>
      <c r="C141" s="14"/>
      <c r="D141" s="25"/>
      <c r="G141" s="54"/>
      <c r="I141" s="1"/>
      <c r="J141" s="1"/>
      <c r="K141" s="1"/>
      <c r="L141" s="1"/>
      <c r="M141" s="1"/>
    </row>
    <row r="142" spans="1:14" s="2" customFormat="1" x14ac:dyDescent="0.2">
      <c r="A142" s="24"/>
      <c r="B142" s="1"/>
      <c r="C142" s="14"/>
      <c r="D142" s="25"/>
      <c r="G142" s="54"/>
      <c r="I142" s="1"/>
      <c r="J142" s="1"/>
      <c r="K142" s="1"/>
      <c r="L142" s="1"/>
      <c r="M142" s="1"/>
    </row>
    <row r="143" spans="1:14" s="2" customFormat="1" x14ac:dyDescent="0.2">
      <c r="A143" s="24"/>
      <c r="B143" s="1"/>
      <c r="C143" s="14"/>
      <c r="D143" s="25"/>
      <c r="G143" s="54"/>
      <c r="H143" s="2" t="s">
        <v>396</v>
      </c>
      <c r="I143" s="1"/>
      <c r="J143" s="1"/>
      <c r="K143" s="1"/>
      <c r="L143" s="1"/>
      <c r="M143" s="1"/>
      <c r="N143" s="1"/>
    </row>
    <row r="144" spans="1:14" s="2" customFormat="1" x14ac:dyDescent="0.2">
      <c r="A144" s="24"/>
      <c r="B144" s="1"/>
      <c r="C144" s="14"/>
      <c r="D144" s="25"/>
      <c r="G144" s="54"/>
      <c r="H144" s="53"/>
    </row>
    <row r="145" spans="1:14" s="2" customFormat="1" x14ac:dyDescent="0.2">
      <c r="A145" s="24"/>
      <c r="B145" s="1"/>
      <c r="C145" s="14"/>
      <c r="D145" s="25"/>
      <c r="G145" s="54"/>
      <c r="H145" s="53" t="s">
        <v>396</v>
      </c>
      <c r="I145" s="1"/>
      <c r="J145" s="1"/>
      <c r="K145" s="1"/>
      <c r="L145" s="1"/>
      <c r="M145" s="1"/>
      <c r="N145" s="1"/>
    </row>
    <row r="146" spans="1:14" x14ac:dyDescent="0.2">
      <c r="G146" s="54"/>
      <c r="H146" s="53" t="s">
        <v>396</v>
      </c>
      <c r="J146" s="42"/>
    </row>
    <row r="147" spans="1:14" s="2" customFormat="1" x14ac:dyDescent="0.2">
      <c r="A147" s="24"/>
      <c r="B147" s="1"/>
      <c r="C147" s="14"/>
      <c r="D147" s="25"/>
      <c r="G147" s="54"/>
      <c r="H147" s="53"/>
      <c r="I147" s="101"/>
      <c r="J147" s="1"/>
      <c r="K147" s="1"/>
      <c r="L147" s="1"/>
      <c r="M147" s="1"/>
      <c r="N147" s="1"/>
    </row>
    <row r="148" spans="1:14" x14ac:dyDescent="0.2">
      <c r="G148" s="54"/>
      <c r="H148" s="53"/>
    </row>
    <row r="149" spans="1:14" x14ac:dyDescent="0.2">
      <c r="G149" s="54"/>
      <c r="H149" s="53"/>
    </row>
    <row r="150" spans="1:14" x14ac:dyDescent="0.2">
      <c r="G150" s="54"/>
      <c r="H150" s="53"/>
    </row>
  </sheetData>
  <sheetProtection insertRows="0"/>
  <mergeCells count="6">
    <mergeCell ref="C112:F112"/>
    <mergeCell ref="A1:G1"/>
    <mergeCell ref="A3:F3"/>
    <mergeCell ref="A10:F10"/>
    <mergeCell ref="A22:F22"/>
    <mergeCell ref="A86:D86"/>
  </mergeCells>
  <conditionalFormatting sqref="G83:G84">
    <cfRule type="cellIs" dxfId="247" priority="1" operator="lessThan">
      <formula>0</formula>
    </cfRule>
  </conditionalFormatting>
  <conditionalFormatting sqref="C24">
    <cfRule type="duplicateValues" dxfId="246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700-000000000000}">
  <sheetPr codeName="Sheet463">
    <pageSetUpPr fitToPage="1"/>
  </sheetPr>
  <dimension ref="A1:N121"/>
  <sheetViews>
    <sheetView topLeftCell="A21" zoomScaleNormal="100" workbookViewId="0">
      <selection activeCell="E30" sqref="E30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1" ht="20.25" customHeight="1" x14ac:dyDescent="0.4">
      <c r="A1" s="212" t="s">
        <v>1722</v>
      </c>
      <c r="B1" s="212"/>
      <c r="C1" s="212"/>
      <c r="D1" s="212"/>
      <c r="E1" s="212"/>
      <c r="F1" s="212"/>
      <c r="G1" s="212"/>
      <c r="H1" s="112"/>
      <c r="I1" s="112"/>
    </row>
    <row r="2" spans="1:11" ht="12.75" customHeight="1" x14ac:dyDescent="0.4">
      <c r="H2" s="112"/>
      <c r="I2" s="112"/>
    </row>
    <row r="3" spans="1:11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1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1" s="2" customFormat="1" ht="14.25" customHeight="1" x14ac:dyDescent="0.4">
      <c r="A5" s="89">
        <v>45227</v>
      </c>
      <c r="B5" s="9" t="s">
        <v>6</v>
      </c>
      <c r="C5" s="10" t="s">
        <v>7</v>
      </c>
      <c r="D5" s="11"/>
      <c r="E5" s="12">
        <v>861727.40000000224</v>
      </c>
      <c r="F5" s="12"/>
      <c r="G5" s="1"/>
      <c r="H5" s="112"/>
      <c r="I5" s="112"/>
    </row>
    <row r="6" spans="1:11" s="2" customFormat="1" ht="12.75" customHeight="1" x14ac:dyDescent="0.4">
      <c r="D6" s="15" t="s">
        <v>8</v>
      </c>
      <c r="E6" s="16">
        <f>SUM(E5:E5)</f>
        <v>861727.40000000224</v>
      </c>
      <c r="F6" s="16"/>
      <c r="G6" s="1"/>
      <c r="H6" s="112"/>
      <c r="I6" s="112"/>
    </row>
    <row r="7" spans="1:11" s="2" customFormat="1" ht="12.75" customHeight="1" x14ac:dyDescent="0.4">
      <c r="A7" s="17"/>
      <c r="B7" s="18"/>
      <c r="C7" s="19" t="s">
        <v>9</v>
      </c>
      <c r="D7" s="20"/>
      <c r="E7" s="21">
        <f>+E6-F6</f>
        <v>861727.40000000224</v>
      </c>
      <c r="F7" s="22"/>
      <c r="G7" s="23"/>
      <c r="H7" s="112"/>
      <c r="I7" s="112"/>
      <c r="J7" s="13"/>
    </row>
    <row r="8" spans="1:11" ht="12.75" customHeight="1" x14ac:dyDescent="0.4">
      <c r="H8" s="112"/>
      <c r="I8" s="112"/>
    </row>
    <row r="9" spans="1:11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69">
        <f>90000000-60000000</f>
        <v>30000000</v>
      </c>
      <c r="J9" s="169" t="s">
        <v>1508</v>
      </c>
    </row>
    <row r="10" spans="1:11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69">
        <v>26069025.32</v>
      </c>
      <c r="J10" s="169" t="s">
        <v>1509</v>
      </c>
      <c r="K10" s="124"/>
    </row>
    <row r="11" spans="1:11" s="2" customFormat="1" ht="14.25" customHeight="1" x14ac:dyDescent="0.2">
      <c r="A11" s="89">
        <v>45227</v>
      </c>
      <c r="B11" s="9" t="s">
        <v>6</v>
      </c>
      <c r="C11" s="10" t="s">
        <v>7</v>
      </c>
      <c r="D11" s="11"/>
      <c r="F11" s="12">
        <v>25887667.319999997</v>
      </c>
      <c r="G11" s="1"/>
      <c r="H11" s="130" t="s">
        <v>396</v>
      </c>
      <c r="I11" s="169">
        <f>+I9-I10</f>
        <v>3930974.6799999997</v>
      </c>
      <c r="J11" s="169" t="s">
        <v>712</v>
      </c>
      <c r="K11" s="165" t="s">
        <v>1512</v>
      </c>
    </row>
    <row r="12" spans="1:11" s="2" customFormat="1" ht="14.25" customHeight="1" x14ac:dyDescent="0.2">
      <c r="A12" s="89">
        <v>45227</v>
      </c>
      <c r="B12" s="9" t="s">
        <v>6</v>
      </c>
      <c r="C12" s="10" t="s">
        <v>220</v>
      </c>
      <c r="D12" s="11" t="s">
        <v>13</v>
      </c>
      <c r="E12" s="2">
        <v>2210304</v>
      </c>
      <c r="F12" s="12"/>
      <c r="G12" s="1"/>
      <c r="H12" s="130"/>
      <c r="I12" s="169"/>
      <c r="J12" s="169"/>
      <c r="K12" s="165"/>
    </row>
    <row r="13" spans="1:11" s="2" customFormat="1" ht="14.25" customHeight="1" x14ac:dyDescent="0.2">
      <c r="A13" s="89">
        <v>45227</v>
      </c>
      <c r="B13" s="9" t="s">
        <v>11</v>
      </c>
      <c r="C13" s="10" t="s">
        <v>1209</v>
      </c>
      <c r="D13" s="11" t="s">
        <v>29</v>
      </c>
      <c r="F13" s="12">
        <v>57600</v>
      </c>
      <c r="G13" s="1"/>
      <c r="H13" s="130"/>
      <c r="I13" s="169"/>
      <c r="J13" s="169"/>
      <c r="K13" s="165"/>
    </row>
    <row r="14" spans="1:11" s="2" customFormat="1" ht="14.25" customHeight="1" x14ac:dyDescent="0.2">
      <c r="A14" s="89">
        <v>45227</v>
      </c>
      <c r="B14" s="9" t="s">
        <v>11</v>
      </c>
      <c r="C14" s="10" t="s">
        <v>1723</v>
      </c>
      <c r="D14" s="11" t="s">
        <v>29</v>
      </c>
      <c r="F14" s="12">
        <v>57600</v>
      </c>
      <c r="G14" s="1"/>
      <c r="H14" s="130"/>
      <c r="I14" s="169"/>
      <c r="J14" s="169"/>
      <c r="K14" s="165"/>
    </row>
    <row r="15" spans="1:11" s="2" customFormat="1" ht="14.25" customHeight="1" x14ac:dyDescent="0.2">
      <c r="A15" s="89">
        <v>45227</v>
      </c>
      <c r="B15" s="9" t="s">
        <v>11</v>
      </c>
      <c r="C15" s="10" t="s">
        <v>482</v>
      </c>
      <c r="D15" s="11" t="s">
        <v>29</v>
      </c>
      <c r="F15" s="12">
        <v>47437</v>
      </c>
      <c r="G15" s="1"/>
      <c r="H15" s="130"/>
      <c r="I15" s="169"/>
      <c r="J15" s="169"/>
      <c r="K15" s="165"/>
    </row>
    <row r="16" spans="1:11" s="2" customFormat="1" ht="14.25" customHeight="1" x14ac:dyDescent="0.2">
      <c r="A16" s="89">
        <v>45227</v>
      </c>
      <c r="B16" s="9" t="s">
        <v>11</v>
      </c>
      <c r="C16" s="10" t="s">
        <v>98</v>
      </c>
      <c r="D16" s="11" t="s">
        <v>29</v>
      </c>
      <c r="F16" s="12">
        <v>16700</v>
      </c>
      <c r="G16" s="1"/>
      <c r="H16" s="130"/>
      <c r="I16" s="169"/>
      <c r="J16" s="169"/>
      <c r="K16" s="165"/>
    </row>
    <row r="17" spans="1:14" s="2" customFormat="1" ht="14.25" customHeight="1" x14ac:dyDescent="0.2">
      <c r="D17" s="11" t="s">
        <v>8</v>
      </c>
      <c r="E17" s="16">
        <f>SUM(E12:E16)</f>
        <v>2210304</v>
      </c>
      <c r="F17" s="16">
        <f>SUM(F11:F16)</f>
        <v>26067004.319999997</v>
      </c>
      <c r="G17" s="1"/>
      <c r="H17" s="143"/>
      <c r="I17" s="130"/>
      <c r="J17" s="143"/>
      <c r="K17" s="143"/>
      <c r="L17" s="143"/>
      <c r="M17" s="143"/>
    </row>
    <row r="18" spans="1:14" s="2" customFormat="1" ht="14.25" customHeight="1" x14ac:dyDescent="0.4">
      <c r="A18" s="17"/>
      <c r="B18" s="18"/>
      <c r="C18" s="96" t="s">
        <v>9</v>
      </c>
      <c r="D18" s="20"/>
      <c r="E18" s="21">
        <f>+F17-E17</f>
        <v>23856700.319999997</v>
      </c>
      <c r="G18" s="1"/>
      <c r="I18" s="112"/>
      <c r="J18" s="153" t="s">
        <v>779</v>
      </c>
    </row>
    <row r="19" spans="1:14" s="2" customFormat="1" ht="14.25" customHeight="1" x14ac:dyDescent="0.2">
      <c r="A19" s="36"/>
      <c r="B19" s="28" t="s">
        <v>66</v>
      </c>
      <c r="C19" s="43" t="s">
        <v>1458</v>
      </c>
      <c r="D19" s="43"/>
      <c r="E19" s="12">
        <f>30000000+60000000</f>
        <v>90000000</v>
      </c>
      <c r="F19" s="22"/>
      <c r="G19" s="1"/>
      <c r="I19" s="40">
        <v>23856700.32</v>
      </c>
      <c r="J19" s="154">
        <f>I19-E18</f>
        <v>0</v>
      </c>
    </row>
    <row r="20" spans="1:14" s="2" customFormat="1" ht="14.25" customHeight="1" x14ac:dyDescent="0.25">
      <c r="A20" s="36"/>
      <c r="B20" s="28"/>
      <c r="C20" s="44" t="s">
        <v>1541</v>
      </c>
      <c r="D20" s="43"/>
      <c r="E20" s="7">
        <f>+E18+E19</f>
        <v>113856700.31999999</v>
      </c>
      <c r="F20" s="22"/>
      <c r="G20" s="1"/>
      <c r="H20" s="13" t="s">
        <v>1582</v>
      </c>
      <c r="I20" s="13" t="s">
        <v>1583</v>
      </c>
    </row>
    <row r="21" spans="1:14" s="2" customFormat="1" ht="14.25" customHeight="1" x14ac:dyDescent="0.25">
      <c r="A21" s="36"/>
      <c r="B21" s="28"/>
      <c r="C21" s="44" t="s">
        <v>1511</v>
      </c>
      <c r="D21" s="43"/>
      <c r="E21" s="38">
        <f>+I11</f>
        <v>3930974.6799999997</v>
      </c>
      <c r="F21" s="22"/>
      <c r="G21" s="1"/>
      <c r="H21" s="2">
        <v>955335</v>
      </c>
      <c r="I21" s="2">
        <v>11231457.57</v>
      </c>
      <c r="J21" s="176">
        <f>H21-I21</f>
        <v>-10276122.57</v>
      </c>
    </row>
    <row r="22" spans="1:14" s="2" customFormat="1" ht="14.25" customHeight="1" x14ac:dyDescent="0.2">
      <c r="A22" s="24"/>
      <c r="B22" s="1"/>
      <c r="C22" s="14"/>
      <c r="D22" s="25"/>
      <c r="G22" s="1"/>
      <c r="I22" s="130"/>
      <c r="J22" s="130"/>
    </row>
    <row r="23" spans="1:14" s="2" customFormat="1" x14ac:dyDescent="0.2">
      <c r="A23" s="214" t="s">
        <v>10</v>
      </c>
      <c r="B23" s="214"/>
      <c r="C23" s="214"/>
      <c r="D23" s="214"/>
      <c r="E23" s="214"/>
      <c r="F23" s="214"/>
      <c r="G23" s="1"/>
      <c r="H23" s="159"/>
      <c r="I23" s="160">
        <f>225000000-75000000-50000000</f>
        <v>100000000</v>
      </c>
      <c r="J23" s="160" t="s">
        <v>1506</v>
      </c>
      <c r="K23" s="70"/>
    </row>
    <row r="24" spans="1:14" s="2" customFormat="1" x14ac:dyDescent="0.2">
      <c r="A24" s="26" t="s">
        <v>1</v>
      </c>
      <c r="B24" s="27" t="s">
        <v>2</v>
      </c>
      <c r="C24" s="5"/>
      <c r="D24" s="6" t="s">
        <v>3</v>
      </c>
      <c r="E24" s="7" t="s">
        <v>4</v>
      </c>
      <c r="F24" s="7" t="s">
        <v>5</v>
      </c>
      <c r="G24" s="1"/>
      <c r="H24" s="159"/>
      <c r="I24" s="160">
        <v>63772715.409999996</v>
      </c>
      <c r="J24" s="160" t="s">
        <v>1507</v>
      </c>
      <c r="K24" s="70" t="s">
        <v>1512</v>
      </c>
    </row>
    <row r="25" spans="1:14" s="2" customFormat="1" x14ac:dyDescent="0.2">
      <c r="A25" s="89">
        <v>45227</v>
      </c>
      <c r="B25" s="128" t="s">
        <v>11</v>
      </c>
      <c r="C25" s="29" t="s">
        <v>7</v>
      </c>
      <c r="D25" s="25"/>
      <c r="E25" s="31"/>
      <c r="F25" s="2">
        <v>74950146.88000007</v>
      </c>
      <c r="G25" s="23"/>
      <c r="H25" s="159" t="s">
        <v>1505</v>
      </c>
      <c r="I25" s="160">
        <f>+I23-I24</f>
        <v>36227284.590000004</v>
      </c>
      <c r="J25" s="160"/>
      <c r="K25" s="70"/>
    </row>
    <row r="26" spans="1:14" s="2" customFormat="1" x14ac:dyDescent="0.2">
      <c r="A26" s="89">
        <v>45227</v>
      </c>
      <c r="B26" s="128" t="s">
        <v>6</v>
      </c>
      <c r="C26" s="10" t="s">
        <v>1232</v>
      </c>
      <c r="D26" s="11" t="s">
        <v>13</v>
      </c>
      <c r="E26" s="86">
        <v>171925</v>
      </c>
      <c r="F26" s="70"/>
      <c r="G26" s="1"/>
      <c r="N26" s="1"/>
    </row>
    <row r="27" spans="1:14" s="2" customFormat="1" x14ac:dyDescent="0.2">
      <c r="A27" s="89">
        <v>45227</v>
      </c>
      <c r="B27" s="128" t="s">
        <v>6</v>
      </c>
      <c r="C27" s="10" t="s">
        <v>1378</v>
      </c>
      <c r="D27" s="11" t="s">
        <v>13</v>
      </c>
      <c r="E27" s="86">
        <v>53340</v>
      </c>
      <c r="F27" s="70"/>
      <c r="G27" s="1"/>
      <c r="N27" s="1"/>
    </row>
    <row r="28" spans="1:14" s="2" customFormat="1" x14ac:dyDescent="0.2">
      <c r="A28" s="89">
        <v>45227</v>
      </c>
      <c r="B28" s="128" t="s">
        <v>6</v>
      </c>
      <c r="C28" s="10" t="s">
        <v>1264</v>
      </c>
      <c r="D28" s="11" t="s">
        <v>13</v>
      </c>
      <c r="E28" s="86">
        <v>2263518</v>
      </c>
      <c r="F28" s="70"/>
      <c r="G28" s="1"/>
      <c r="N28" s="1"/>
    </row>
    <row r="29" spans="1:14" s="2" customFormat="1" x14ac:dyDescent="0.2">
      <c r="A29" s="89">
        <v>45227</v>
      </c>
      <c r="B29" s="128" t="s">
        <v>6</v>
      </c>
      <c r="C29" s="10" t="s">
        <v>15</v>
      </c>
      <c r="D29" s="11" t="s">
        <v>13</v>
      </c>
      <c r="E29" s="86">
        <v>1226.01</v>
      </c>
      <c r="F29" s="70"/>
      <c r="G29" s="1"/>
      <c r="N29" s="1"/>
    </row>
    <row r="30" spans="1:14" s="2" customFormat="1" x14ac:dyDescent="0.2">
      <c r="A30" s="89">
        <v>45227</v>
      </c>
      <c r="B30" s="128" t="s">
        <v>6</v>
      </c>
      <c r="C30" s="10" t="s">
        <v>1706</v>
      </c>
      <c r="D30" s="11" t="s">
        <v>13</v>
      </c>
      <c r="E30" s="86">
        <v>7118817</v>
      </c>
      <c r="F30" s="70"/>
      <c r="G30" s="1"/>
      <c r="N30" s="1"/>
    </row>
    <row r="31" spans="1:14" s="2" customFormat="1" x14ac:dyDescent="0.2">
      <c r="A31" s="89">
        <v>45227</v>
      </c>
      <c r="B31" s="128" t="s">
        <v>11</v>
      </c>
      <c r="C31" s="10" t="s">
        <v>64</v>
      </c>
      <c r="D31" s="11" t="s">
        <v>29</v>
      </c>
      <c r="E31" s="86"/>
      <c r="F31" s="70">
        <v>14.16</v>
      </c>
      <c r="G31" s="1"/>
      <c r="N31" s="1"/>
    </row>
    <row r="32" spans="1:14" s="2" customFormat="1" x14ac:dyDescent="0.2">
      <c r="A32" s="89">
        <v>45227</v>
      </c>
      <c r="B32" s="128" t="s">
        <v>11</v>
      </c>
      <c r="C32" s="10" t="s">
        <v>111</v>
      </c>
      <c r="D32" s="11" t="s">
        <v>29</v>
      </c>
      <c r="E32" s="86"/>
      <c r="F32" s="70">
        <v>8411005.9499999993</v>
      </c>
      <c r="G32" s="1"/>
      <c r="N32" s="1"/>
    </row>
    <row r="33" spans="1:14" s="2" customFormat="1" x14ac:dyDescent="0.2">
      <c r="A33" s="89">
        <v>45227</v>
      </c>
      <c r="B33" s="128" t="s">
        <v>11</v>
      </c>
      <c r="C33" s="10" t="s">
        <v>284</v>
      </c>
      <c r="D33" s="11" t="s">
        <v>29</v>
      </c>
      <c r="E33" s="86"/>
      <c r="F33" s="70">
        <v>296497</v>
      </c>
      <c r="G33" s="1"/>
      <c r="N33" s="1"/>
    </row>
    <row r="34" spans="1:14" s="2" customFormat="1" x14ac:dyDescent="0.2">
      <c r="A34" s="32"/>
      <c r="B34" s="33"/>
      <c r="C34" s="14"/>
      <c r="D34" s="34"/>
      <c r="E34" s="16">
        <f>SUM(E25:E33)</f>
        <v>9608826.0099999998</v>
      </c>
      <c r="F34" s="16">
        <f>SUM(F25:F33)</f>
        <v>83657663.990000069</v>
      </c>
      <c r="G34" s="1"/>
      <c r="H34" s="1"/>
      <c r="I34" s="38">
        <v>74048837.980000004</v>
      </c>
      <c r="J34" s="2" t="s">
        <v>396</v>
      </c>
      <c r="K34" s="92">
        <f>E35-I34</f>
        <v>0</v>
      </c>
      <c r="N34" s="1"/>
    </row>
    <row r="35" spans="1:14" s="2" customFormat="1" x14ac:dyDescent="0.2">
      <c r="A35" s="36"/>
      <c r="B35" s="28" t="s">
        <v>11</v>
      </c>
      <c r="C35" s="19" t="s">
        <v>65</v>
      </c>
      <c r="D35" s="37"/>
      <c r="E35" s="38">
        <f>F34-E34</f>
        <v>74048837.980000064</v>
      </c>
      <c r="F35" s="22"/>
      <c r="G35" s="1"/>
      <c r="H35" s="1"/>
      <c r="I35" s="70"/>
      <c r="J35" s="70"/>
      <c r="K35" s="70"/>
      <c r="N35" s="1"/>
    </row>
    <row r="36" spans="1:14" s="2" customFormat="1" x14ac:dyDescent="0.2">
      <c r="A36" s="36"/>
      <c r="B36" s="28" t="s">
        <v>66</v>
      </c>
      <c r="C36" s="19" t="s">
        <v>67</v>
      </c>
      <c r="D36" s="37"/>
      <c r="E36" s="38">
        <v>6500000</v>
      </c>
      <c r="F36" s="22"/>
      <c r="G36" s="1"/>
      <c r="H36" s="70"/>
      <c r="I36" s="70"/>
      <c r="J36" s="70"/>
      <c r="K36" s="70"/>
      <c r="N36" s="1"/>
    </row>
    <row r="37" spans="1:14" s="2" customFormat="1" x14ac:dyDescent="0.2">
      <c r="A37" s="36"/>
      <c r="B37" s="28" t="s">
        <v>66</v>
      </c>
      <c r="C37" s="43" t="s">
        <v>1457</v>
      </c>
      <c r="D37" s="43"/>
      <c r="E37" s="12">
        <f>275000000+75000000+50000000</f>
        <v>400000000</v>
      </c>
      <c r="F37" s="22"/>
      <c r="G37" s="1"/>
      <c r="H37" s="70"/>
      <c r="I37" s="45">
        <v>2431.4499999999998</v>
      </c>
      <c r="J37" s="46"/>
      <c r="K37" s="46"/>
      <c r="N37" s="1"/>
    </row>
    <row r="38" spans="1:14" s="2" customFormat="1" ht="15" x14ac:dyDescent="0.25">
      <c r="A38" s="36"/>
      <c r="B38" s="28"/>
      <c r="C38" s="44" t="s">
        <v>1541</v>
      </c>
      <c r="D38" s="43"/>
      <c r="E38" s="7">
        <f>+E37+E35+E36</f>
        <v>480548837.98000008</v>
      </c>
      <c r="F38" s="22"/>
      <c r="G38" s="1"/>
      <c r="H38" s="103" t="s">
        <v>69</v>
      </c>
      <c r="I38" s="45">
        <v>-242.54</v>
      </c>
      <c r="J38" s="46"/>
      <c r="K38" s="46"/>
      <c r="N38" s="1"/>
    </row>
    <row r="39" spans="1:14" s="2" customFormat="1" ht="15" x14ac:dyDescent="0.25">
      <c r="A39" s="24"/>
      <c r="B39" s="1"/>
      <c r="C39" s="44" t="s">
        <v>1510</v>
      </c>
      <c r="D39" s="25"/>
      <c r="E39" s="156">
        <f>+I25-E36+H21-I21</f>
        <v>19451162.020000003</v>
      </c>
      <c r="G39" s="1"/>
      <c r="H39" s="35" t="s">
        <v>70</v>
      </c>
      <c r="I39" s="45">
        <v>105.69</v>
      </c>
      <c r="J39" s="46">
        <f>+I40-D42</f>
        <v>0</v>
      </c>
      <c r="N39" s="1"/>
    </row>
    <row r="40" spans="1:14" s="124" customFormat="1" ht="12.75" customHeight="1" x14ac:dyDescent="0.2">
      <c r="A40" s="24"/>
      <c r="B40" s="1"/>
      <c r="C40" s="56"/>
      <c r="D40" s="56"/>
      <c r="E40" s="104"/>
      <c r="F40" s="2"/>
      <c r="G40" s="166"/>
      <c r="H40" s="70"/>
      <c r="I40" s="49">
        <f>SUM(I37:I39)</f>
        <v>2294.6</v>
      </c>
      <c r="J40" s="46"/>
      <c r="K40" s="46"/>
    </row>
    <row r="41" spans="1:14" s="124" customFormat="1" ht="12.75" customHeight="1" x14ac:dyDescent="0.2">
      <c r="A41" s="24"/>
      <c r="B41" s="1"/>
      <c r="C41" s="78" t="s">
        <v>575</v>
      </c>
      <c r="D41" s="48" t="s">
        <v>576</v>
      </c>
      <c r="E41" s="104"/>
      <c r="F41" s="2"/>
      <c r="G41" s="168"/>
      <c r="H41" s="167"/>
      <c r="I41" s="167"/>
      <c r="J41" s="168"/>
    </row>
    <row r="42" spans="1:14" s="124" customFormat="1" ht="12.75" customHeight="1" x14ac:dyDescent="0.2">
      <c r="A42" s="24"/>
      <c r="B42" s="1"/>
      <c r="C42" s="47" t="s">
        <v>570</v>
      </c>
      <c r="D42" s="111">
        <v>2294.6</v>
      </c>
      <c r="E42" s="104"/>
      <c r="F42" s="2"/>
      <c r="G42" s="168"/>
      <c r="H42" s="110" t="s">
        <v>581</v>
      </c>
      <c r="I42" s="167"/>
      <c r="J42" s="168"/>
    </row>
    <row r="43" spans="1:14" s="124" customFormat="1" ht="12.75" customHeight="1" x14ac:dyDescent="0.2">
      <c r="A43" s="24"/>
      <c r="B43" s="1"/>
      <c r="C43" s="47" t="s">
        <v>931</v>
      </c>
      <c r="D43" s="111">
        <v>245.64</v>
      </c>
      <c r="E43" s="104"/>
      <c r="F43" s="2"/>
      <c r="G43" s="168"/>
      <c r="H43" s="110" t="s">
        <v>580</v>
      </c>
      <c r="I43" s="167"/>
      <c r="J43" s="168"/>
    </row>
    <row r="44" spans="1:14" s="124" customFormat="1" ht="12.75" customHeight="1" x14ac:dyDescent="0.2">
      <c r="A44" s="24"/>
      <c r="B44" s="1"/>
      <c r="C44" s="47" t="s">
        <v>572</v>
      </c>
      <c r="D44" s="111">
        <f>+D81/100000</f>
        <v>281.25572119999998</v>
      </c>
      <c r="E44" s="104"/>
      <c r="F44" s="2"/>
      <c r="G44" s="166"/>
      <c r="H44" s="90" t="s">
        <v>587</v>
      </c>
      <c r="I44" s="167"/>
      <c r="J44" s="168"/>
    </row>
    <row r="45" spans="1:14" s="2" customFormat="1" x14ac:dyDescent="0.2">
      <c r="A45" s="24"/>
      <c r="B45" s="1"/>
      <c r="C45" s="108" t="s">
        <v>578</v>
      </c>
      <c r="D45" s="48">
        <f>SUM(D42:D44)</f>
        <v>2821.4957211999999</v>
      </c>
      <c r="E45" s="104"/>
      <c r="G45" s="30"/>
      <c r="I45" s="13"/>
      <c r="J45" s="13"/>
    </row>
    <row r="46" spans="1:14" s="70" customFormat="1" x14ac:dyDescent="0.2">
      <c r="A46" s="24"/>
      <c r="B46" s="1"/>
      <c r="C46" s="47"/>
      <c r="D46" s="107"/>
      <c r="E46" s="104"/>
      <c r="F46" s="2"/>
      <c r="G46" s="30"/>
      <c r="H46" s="2"/>
    </row>
    <row r="47" spans="1:14" s="70" customFormat="1" x14ac:dyDescent="0.2">
      <c r="A47" s="24"/>
      <c r="B47" s="1"/>
      <c r="C47" s="47" t="s">
        <v>932</v>
      </c>
      <c r="D47" s="111">
        <v>161.06</v>
      </c>
      <c r="E47" s="104"/>
      <c r="F47" s="2"/>
      <c r="G47" s="30"/>
      <c r="H47" s="110" t="s">
        <v>581</v>
      </c>
    </row>
    <row r="48" spans="1:14" s="70" customFormat="1" x14ac:dyDescent="0.2">
      <c r="A48" s="24"/>
      <c r="B48" s="1"/>
      <c r="C48" s="136" t="s">
        <v>1142</v>
      </c>
      <c r="D48" s="111">
        <v>610.99</v>
      </c>
      <c r="E48" s="104"/>
      <c r="F48" s="2"/>
      <c r="G48" s="30"/>
      <c r="H48" s="110" t="s">
        <v>581</v>
      </c>
    </row>
    <row r="49" spans="1:14" s="70" customFormat="1" x14ac:dyDescent="0.2">
      <c r="A49" s="24"/>
      <c r="B49" s="1"/>
      <c r="C49" s="78" t="s">
        <v>579</v>
      </c>
      <c r="D49" s="109">
        <f>D47+D48</f>
        <v>772.05</v>
      </c>
      <c r="E49" s="104"/>
      <c r="F49" s="2"/>
      <c r="G49" s="30"/>
    </row>
    <row r="50" spans="1:14" s="70" customFormat="1" x14ac:dyDescent="0.2">
      <c r="A50" s="24"/>
      <c r="B50" s="1"/>
      <c r="C50" s="105"/>
      <c r="D50" s="106"/>
      <c r="E50" s="104"/>
      <c r="F50" s="2"/>
      <c r="G50" s="30"/>
      <c r="I50" s="2"/>
      <c r="J50" s="114" t="s">
        <v>713</v>
      </c>
      <c r="K50" s="2"/>
      <c r="L50" s="2"/>
      <c r="M50" s="2"/>
    </row>
    <row r="51" spans="1:14" s="70" customFormat="1" x14ac:dyDescent="0.2">
      <c r="A51" s="24"/>
      <c r="B51" s="1"/>
      <c r="C51" s="78" t="s">
        <v>577</v>
      </c>
      <c r="D51" s="109">
        <f>D42+D49</f>
        <v>3066.6499999999996</v>
      </c>
      <c r="E51" s="104"/>
      <c r="F51" s="2"/>
      <c r="G51" s="30"/>
      <c r="I51" s="113"/>
      <c r="J51" s="113" t="s">
        <v>709</v>
      </c>
      <c r="K51" s="113" t="s">
        <v>710</v>
      </c>
      <c r="L51" s="113" t="s">
        <v>711</v>
      </c>
      <c r="M51" s="113" t="s">
        <v>712</v>
      </c>
    </row>
    <row r="52" spans="1:14" s="70" customFormat="1" x14ac:dyDescent="0.2">
      <c r="A52" s="24"/>
      <c r="B52" s="1"/>
      <c r="C52" s="56"/>
      <c r="D52" s="56"/>
      <c r="E52" s="104"/>
      <c r="F52" s="2"/>
      <c r="G52" s="30"/>
      <c r="I52" s="113" t="s">
        <v>706</v>
      </c>
      <c r="J52" s="115"/>
      <c r="K52" s="115">
        <v>968.99</v>
      </c>
      <c r="L52" s="115">
        <v>968.99</v>
      </c>
      <c r="M52" s="113">
        <f>+J52+L52-K52</f>
        <v>0</v>
      </c>
    </row>
    <row r="53" spans="1:14" s="70" customFormat="1" ht="38.25" x14ac:dyDescent="0.2">
      <c r="A53" s="24"/>
      <c r="B53" s="1"/>
      <c r="C53" s="79" t="str">
        <f>"Particulars ( 01-04-2021 to "&amp;TEXT(A5,"dd-mm-yyyy")&amp;" )"</f>
        <v>Particulars ( 01-04-2021 to 28-10-2023 )</v>
      </c>
      <c r="D53" s="80" t="s">
        <v>73</v>
      </c>
      <c r="E53" s="80" t="s">
        <v>74</v>
      </c>
      <c r="F53" s="81" t="s">
        <v>75</v>
      </c>
      <c r="G53" s="80" t="s">
        <v>76</v>
      </c>
      <c r="I53" s="113" t="s">
        <v>707</v>
      </c>
      <c r="J53" s="115">
        <v>183.1</v>
      </c>
      <c r="K53" s="115">
        <v>3872.95</v>
      </c>
      <c r="L53" s="115">
        <v>4120.1499999999996</v>
      </c>
      <c r="M53" s="113">
        <f>+J53+L53-K53</f>
        <v>430.30000000000018</v>
      </c>
    </row>
    <row r="54" spans="1:14" s="70" customFormat="1" x14ac:dyDescent="0.2">
      <c r="A54" s="24"/>
      <c r="B54" s="1"/>
      <c r="C54" s="50" t="s">
        <v>444</v>
      </c>
      <c r="D54" s="55">
        <f>+L52+L53+J53</f>
        <v>5272.24</v>
      </c>
      <c r="E54" s="55">
        <f>+K52+K53</f>
        <v>4841.9399999999996</v>
      </c>
      <c r="F54" s="55">
        <f>+D54-E54</f>
        <v>430.30000000000018</v>
      </c>
      <c r="G54" s="55">
        <f>1500-F54</f>
        <v>1069.6999999999998</v>
      </c>
      <c r="I54" s="113" t="s">
        <v>708</v>
      </c>
      <c r="J54" s="115">
        <v>1371.02</v>
      </c>
      <c r="K54" s="115">
        <v>14721.56</v>
      </c>
      <c r="L54" s="115">
        <v>14403.31</v>
      </c>
      <c r="M54" s="113">
        <f>+J54+L54-K54</f>
        <v>1052.7700000000004</v>
      </c>
    </row>
    <row r="55" spans="1:14" s="70" customFormat="1" ht="12.75" customHeight="1" x14ac:dyDescent="0.2">
      <c r="A55" s="24"/>
      <c r="B55" s="1"/>
      <c r="C55" s="50" t="s">
        <v>71</v>
      </c>
      <c r="D55" s="55">
        <f>+J54+L54</f>
        <v>15774.33</v>
      </c>
      <c r="E55" s="55">
        <f>+K54</f>
        <v>14721.56</v>
      </c>
      <c r="F55" s="55">
        <f>+D55-E55</f>
        <v>1052.7700000000004</v>
      </c>
      <c r="G55" s="55">
        <f>1500+700-F55</f>
        <v>1147.2299999999996</v>
      </c>
      <c r="I55" s="2"/>
      <c r="J55" s="118">
        <f>SUM(J52:J54)</f>
        <v>1554.12</v>
      </c>
      <c r="K55" s="118">
        <f>SUM(K52:K54)</f>
        <v>19563.5</v>
      </c>
      <c r="L55" s="118">
        <f>SUM(L52:L54)</f>
        <v>19492.449999999997</v>
      </c>
      <c r="M55" s="118">
        <f>SUM(M52:M54)</f>
        <v>1483.0700000000006</v>
      </c>
    </row>
    <row r="56" spans="1:14" s="70" customFormat="1" ht="12.75" customHeight="1" x14ac:dyDescent="0.2">
      <c r="A56" s="24"/>
      <c r="B56" s="1"/>
      <c r="C56" s="14"/>
      <c r="D56" s="56"/>
      <c r="E56" s="13"/>
      <c r="F56" s="2"/>
      <c r="G56" s="30"/>
    </row>
    <row r="57" spans="1:14" s="70" customFormat="1" ht="12.75" customHeight="1" x14ac:dyDescent="0.2">
      <c r="A57" s="215" t="s">
        <v>80</v>
      </c>
      <c r="B57" s="216"/>
      <c r="C57" s="216"/>
      <c r="D57" s="217"/>
      <c r="E57" s="69"/>
      <c r="G57" s="30"/>
    </row>
    <row r="58" spans="1:14" s="70" customFormat="1" ht="12.75" customHeight="1" x14ac:dyDescent="0.2">
      <c r="A58" s="71" t="s">
        <v>81</v>
      </c>
      <c r="B58" s="71"/>
      <c r="C58" s="72" t="s">
        <v>82</v>
      </c>
      <c r="D58" s="73" t="s">
        <v>83</v>
      </c>
      <c r="E58" s="69"/>
      <c r="G58" s="30"/>
    </row>
    <row r="59" spans="1:14" s="70" customFormat="1" ht="12.75" customHeight="1" x14ac:dyDescent="0.2">
      <c r="A59" s="87">
        <v>45203</v>
      </c>
      <c r="B59" s="120" t="s">
        <v>1052</v>
      </c>
      <c r="C59" s="75" t="s">
        <v>18</v>
      </c>
      <c r="D59" s="88">
        <v>193358.43</v>
      </c>
      <c r="E59" s="2"/>
      <c r="F59" s="2"/>
      <c r="G59" s="30"/>
      <c r="H59" s="2"/>
      <c r="I59" s="2"/>
      <c r="J59" s="2"/>
      <c r="K59" s="2"/>
      <c r="L59" s="41"/>
      <c r="M59" s="42"/>
      <c r="N59" s="2"/>
    </row>
    <row r="60" spans="1:14" s="70" customFormat="1" ht="12.75" customHeight="1" x14ac:dyDescent="0.2">
      <c r="A60" s="87">
        <v>45203</v>
      </c>
      <c r="B60" s="120" t="s">
        <v>1052</v>
      </c>
      <c r="C60" s="75" t="s">
        <v>270</v>
      </c>
      <c r="D60" s="88">
        <v>254277</v>
      </c>
      <c r="E60" s="2"/>
      <c r="F60" s="2"/>
      <c r="G60" s="30"/>
      <c r="H60" s="2"/>
      <c r="I60" s="2"/>
      <c r="J60" s="2"/>
      <c r="K60" s="2"/>
      <c r="L60" s="41"/>
      <c r="M60" s="42"/>
      <c r="N60" s="2"/>
    </row>
    <row r="61" spans="1:14" s="70" customFormat="1" ht="12.75" customHeight="1" x14ac:dyDescent="0.2">
      <c r="A61" s="87">
        <v>45204</v>
      </c>
      <c r="B61" s="120" t="s">
        <v>1052</v>
      </c>
      <c r="C61" s="75" t="s">
        <v>85</v>
      </c>
      <c r="D61" s="88">
        <v>765297</v>
      </c>
      <c r="E61" s="2"/>
      <c r="F61" s="2"/>
      <c r="G61" s="30"/>
      <c r="H61" s="2"/>
      <c r="I61" s="2"/>
      <c r="J61" s="2"/>
      <c r="K61" s="2"/>
      <c r="L61" s="41"/>
      <c r="M61" s="42"/>
      <c r="N61" s="2"/>
    </row>
    <row r="62" spans="1:14" s="70" customFormat="1" ht="12.75" customHeight="1" x14ac:dyDescent="0.2">
      <c r="A62" s="87">
        <v>45209</v>
      </c>
      <c r="B62" s="120" t="s">
        <v>1052</v>
      </c>
      <c r="C62" s="75" t="s">
        <v>606</v>
      </c>
      <c r="D62" s="88">
        <v>2261658</v>
      </c>
      <c r="E62" s="2"/>
      <c r="F62" s="2"/>
      <c r="G62" s="30"/>
      <c r="H62" s="2"/>
      <c r="I62" s="2"/>
      <c r="J62" s="2"/>
      <c r="K62" s="2"/>
      <c r="L62" s="41"/>
      <c r="M62" s="42"/>
      <c r="N62" s="2"/>
    </row>
    <row r="63" spans="1:14" s="70" customFormat="1" ht="12.75" customHeight="1" x14ac:dyDescent="0.2">
      <c r="A63" s="87">
        <v>45211</v>
      </c>
      <c r="B63" s="120" t="s">
        <v>1052</v>
      </c>
      <c r="C63" s="75" t="s">
        <v>18</v>
      </c>
      <c r="D63" s="88">
        <v>35919</v>
      </c>
      <c r="E63" s="2"/>
      <c r="F63" s="2"/>
      <c r="G63" s="30"/>
      <c r="H63" s="2"/>
      <c r="I63" s="2"/>
      <c r="J63" s="2"/>
      <c r="K63" s="2"/>
      <c r="L63" s="41"/>
      <c r="M63" s="42"/>
      <c r="N63" s="2"/>
    </row>
    <row r="64" spans="1:14" s="70" customFormat="1" ht="12.75" customHeight="1" x14ac:dyDescent="0.2">
      <c r="A64" s="87">
        <v>45211</v>
      </c>
      <c r="B64" s="120" t="s">
        <v>1052</v>
      </c>
      <c r="C64" s="75" t="s">
        <v>84</v>
      </c>
      <c r="D64" s="88">
        <v>856347</v>
      </c>
      <c r="E64" s="2"/>
      <c r="F64" s="2"/>
      <c r="G64" s="30"/>
      <c r="H64" s="2"/>
      <c r="I64" s="2"/>
      <c r="J64" s="2"/>
      <c r="K64" s="2"/>
      <c r="L64" s="41"/>
      <c r="M64" s="42"/>
      <c r="N64" s="2"/>
    </row>
    <row r="65" spans="1:14" s="70" customFormat="1" ht="12.75" customHeight="1" x14ac:dyDescent="0.2">
      <c r="A65" s="87">
        <v>45212</v>
      </c>
      <c r="B65" s="120" t="s">
        <v>1052</v>
      </c>
      <c r="C65" s="75" t="s">
        <v>201</v>
      </c>
      <c r="D65" s="88">
        <v>1600267.2</v>
      </c>
      <c r="E65" s="2"/>
      <c r="F65" s="2"/>
      <c r="G65" s="30"/>
      <c r="H65" s="2"/>
      <c r="I65" s="2"/>
      <c r="J65" s="2"/>
      <c r="K65" s="2"/>
      <c r="L65" s="41"/>
      <c r="M65" s="42"/>
      <c r="N65" s="2"/>
    </row>
    <row r="66" spans="1:14" s="70" customFormat="1" ht="12.75" customHeight="1" x14ac:dyDescent="0.2">
      <c r="A66" s="87">
        <v>45215</v>
      </c>
      <c r="B66" s="120" t="s">
        <v>1052</v>
      </c>
      <c r="C66" s="75" t="s">
        <v>1683</v>
      </c>
      <c r="D66" s="88">
        <v>6496492</v>
      </c>
      <c r="E66" s="2"/>
      <c r="F66" s="2"/>
      <c r="G66" s="30"/>
      <c r="H66" s="2"/>
      <c r="I66" s="2"/>
      <c r="J66" s="2"/>
      <c r="K66" s="2"/>
      <c r="L66" s="41"/>
      <c r="M66" s="42"/>
      <c r="N66" s="2"/>
    </row>
    <row r="67" spans="1:14" s="70" customFormat="1" ht="12.75" customHeight="1" x14ac:dyDescent="0.2">
      <c r="A67" s="87">
        <v>45217</v>
      </c>
      <c r="B67" s="120" t="s">
        <v>1052</v>
      </c>
      <c r="C67" s="75" t="s">
        <v>1084</v>
      </c>
      <c r="D67" s="88">
        <v>1789287</v>
      </c>
      <c r="E67" s="2"/>
      <c r="F67" s="2"/>
      <c r="G67" s="30"/>
      <c r="H67" s="2"/>
      <c r="I67" s="2"/>
      <c r="J67" s="2"/>
      <c r="K67" s="2"/>
      <c r="L67" s="41"/>
      <c r="M67" s="42"/>
      <c r="N67" s="2"/>
    </row>
    <row r="68" spans="1:14" s="70" customFormat="1" ht="12.75" customHeight="1" x14ac:dyDescent="0.2">
      <c r="A68" s="87">
        <v>45218</v>
      </c>
      <c r="B68" s="120" t="s">
        <v>1052</v>
      </c>
      <c r="C68" s="75" t="s">
        <v>606</v>
      </c>
      <c r="D68" s="88">
        <v>189973.92</v>
      </c>
      <c r="E68" s="2"/>
      <c r="F68" s="2"/>
      <c r="G68" s="30"/>
      <c r="H68" s="2"/>
      <c r="I68" s="2"/>
      <c r="J68" s="2"/>
      <c r="K68" s="2"/>
      <c r="L68" s="41"/>
      <c r="M68" s="42"/>
      <c r="N68" s="2"/>
    </row>
    <row r="69" spans="1:14" s="70" customFormat="1" ht="12.75" customHeight="1" x14ac:dyDescent="0.2">
      <c r="A69" s="87">
        <v>45218</v>
      </c>
      <c r="B69" s="120" t="s">
        <v>1052</v>
      </c>
      <c r="C69" s="75" t="s">
        <v>18</v>
      </c>
      <c r="D69" s="88">
        <v>734545</v>
      </c>
      <c r="E69" s="2"/>
      <c r="F69" s="2"/>
      <c r="G69" s="30"/>
      <c r="H69" s="2"/>
      <c r="I69" s="2"/>
      <c r="J69" s="2"/>
      <c r="K69" s="2"/>
      <c r="L69" s="41"/>
      <c r="M69" s="42"/>
      <c r="N69" s="2"/>
    </row>
    <row r="70" spans="1:14" s="70" customFormat="1" ht="12.75" customHeight="1" x14ac:dyDescent="0.2">
      <c r="A70" s="87">
        <v>45219</v>
      </c>
      <c r="B70" s="120" t="s">
        <v>1052</v>
      </c>
      <c r="C70" s="75" t="s">
        <v>270</v>
      </c>
      <c r="D70" s="88">
        <v>302951</v>
      </c>
      <c r="E70" s="2"/>
      <c r="F70" s="2"/>
      <c r="G70" s="30"/>
      <c r="H70" s="2"/>
      <c r="I70" s="2"/>
      <c r="J70" s="2"/>
      <c r="K70" s="2"/>
      <c r="L70" s="41"/>
      <c r="M70" s="42"/>
      <c r="N70" s="2"/>
    </row>
    <row r="71" spans="1:14" s="70" customFormat="1" ht="12.75" customHeight="1" x14ac:dyDescent="0.2">
      <c r="A71" s="87">
        <v>45219</v>
      </c>
      <c r="B71" s="120" t="s">
        <v>1052</v>
      </c>
      <c r="C71" s="75" t="s">
        <v>270</v>
      </c>
      <c r="D71" s="88">
        <v>6923</v>
      </c>
      <c r="E71" s="2"/>
      <c r="F71" s="2"/>
      <c r="G71" s="30"/>
      <c r="H71" s="2"/>
      <c r="I71" s="2"/>
      <c r="J71" s="2"/>
      <c r="K71" s="2"/>
      <c r="L71" s="41"/>
      <c r="M71" s="42"/>
      <c r="N71" s="2"/>
    </row>
    <row r="72" spans="1:14" s="70" customFormat="1" ht="12.75" customHeight="1" x14ac:dyDescent="0.2">
      <c r="A72" s="87">
        <v>45219</v>
      </c>
      <c r="B72" s="120" t="s">
        <v>1052</v>
      </c>
      <c r="C72" s="75" t="s">
        <v>88</v>
      </c>
      <c r="D72" s="88">
        <v>9230617.5700000003</v>
      </c>
      <c r="E72" s="2"/>
      <c r="F72" s="2"/>
      <c r="G72" s="30"/>
      <c r="H72" s="2"/>
      <c r="I72" s="2"/>
      <c r="J72" s="2"/>
      <c r="K72" s="2"/>
      <c r="L72" s="41"/>
      <c r="M72" s="42"/>
      <c r="N72" s="2"/>
    </row>
    <row r="73" spans="1:14" s="70" customFormat="1" ht="12.75" customHeight="1" x14ac:dyDescent="0.2">
      <c r="A73" s="87">
        <v>45220</v>
      </c>
      <c r="B73" s="120" t="s">
        <v>1052</v>
      </c>
      <c r="C73" s="75" t="s">
        <v>85</v>
      </c>
      <c r="D73" s="88">
        <v>323371</v>
      </c>
      <c r="E73" s="2"/>
      <c r="F73" s="2"/>
      <c r="G73" s="30"/>
      <c r="H73" s="2"/>
      <c r="I73" s="2"/>
      <c r="J73" s="2"/>
      <c r="K73" s="2"/>
      <c r="L73" s="41"/>
      <c r="M73" s="42"/>
      <c r="N73" s="2"/>
    </row>
    <row r="74" spans="1:14" s="70" customFormat="1" ht="12.75" customHeight="1" x14ac:dyDescent="0.2">
      <c r="A74" s="87">
        <v>45222</v>
      </c>
      <c r="B74" s="120" t="s">
        <v>1052</v>
      </c>
      <c r="C74" s="75" t="s">
        <v>86</v>
      </c>
      <c r="D74" s="88">
        <v>1229642</v>
      </c>
      <c r="E74" s="2"/>
      <c r="F74" s="2"/>
      <c r="G74" s="30"/>
      <c r="H74" s="2"/>
      <c r="I74" s="2"/>
      <c r="J74" s="2"/>
      <c r="K74" s="2"/>
      <c r="L74" s="41"/>
      <c r="M74" s="42"/>
      <c r="N74" s="2"/>
    </row>
    <row r="75" spans="1:14" s="70" customFormat="1" ht="12.75" customHeight="1" x14ac:dyDescent="0.2">
      <c r="A75" s="87">
        <v>45222</v>
      </c>
      <c r="B75" s="120" t="s">
        <v>1052</v>
      </c>
      <c r="C75" s="75" t="s">
        <v>86</v>
      </c>
      <c r="D75" s="88">
        <v>46995</v>
      </c>
      <c r="E75" s="2"/>
      <c r="F75" s="2"/>
      <c r="G75" s="30"/>
      <c r="H75" s="2"/>
      <c r="I75" s="2"/>
      <c r="J75" s="2"/>
      <c r="K75" s="2"/>
      <c r="L75" s="41"/>
      <c r="M75" s="42"/>
      <c r="N75" s="2"/>
    </row>
    <row r="76" spans="1:14" s="70" customFormat="1" ht="12.75" customHeight="1" x14ac:dyDescent="0.2">
      <c r="A76" s="87">
        <v>45222</v>
      </c>
      <c r="B76" s="120" t="s">
        <v>1052</v>
      </c>
      <c r="C76" s="75" t="s">
        <v>86</v>
      </c>
      <c r="D76" s="88">
        <v>782535</v>
      </c>
      <c r="E76" s="2"/>
      <c r="F76" s="2"/>
      <c r="G76" s="30"/>
      <c r="H76" s="2"/>
      <c r="I76" s="2"/>
      <c r="J76" s="2"/>
      <c r="K76" s="2"/>
      <c r="L76" s="41"/>
      <c r="M76" s="42"/>
      <c r="N76" s="2"/>
    </row>
    <row r="77" spans="1:14" s="70" customFormat="1" ht="12.75" customHeight="1" x14ac:dyDescent="0.2">
      <c r="A77" s="87">
        <v>45224</v>
      </c>
      <c r="B77" s="120" t="s">
        <v>1052</v>
      </c>
      <c r="C77" s="75" t="s">
        <v>85</v>
      </c>
      <c r="D77" s="88">
        <v>631492</v>
      </c>
      <c r="E77" s="2"/>
      <c r="F77" s="2"/>
      <c r="G77" s="30"/>
      <c r="H77" s="2"/>
      <c r="I77" s="2"/>
      <c r="J77" s="2"/>
      <c r="K77" s="2"/>
      <c r="L77" s="41"/>
      <c r="M77" s="42"/>
      <c r="N77" s="2"/>
    </row>
    <row r="78" spans="1:14" s="70" customFormat="1" ht="12.75" customHeight="1" x14ac:dyDescent="0.2">
      <c r="A78" s="87">
        <v>45224</v>
      </c>
      <c r="B78" s="120" t="s">
        <v>1052</v>
      </c>
      <c r="C78" s="75" t="s">
        <v>85</v>
      </c>
      <c r="D78" s="88">
        <v>118093</v>
      </c>
      <c r="E78" s="2"/>
      <c r="F78" s="2"/>
      <c r="G78" s="30"/>
      <c r="H78" s="2"/>
      <c r="I78" s="2"/>
      <c r="J78" s="2"/>
      <c r="K78" s="2"/>
      <c r="L78" s="41"/>
      <c r="M78" s="42"/>
      <c r="N78" s="2"/>
    </row>
    <row r="79" spans="1:14" s="70" customFormat="1" ht="12.75" customHeight="1" x14ac:dyDescent="0.2">
      <c r="A79" s="87">
        <v>45224</v>
      </c>
      <c r="B79" s="120" t="s">
        <v>1052</v>
      </c>
      <c r="C79" s="75" t="s">
        <v>323</v>
      </c>
      <c r="D79" s="88">
        <v>13689</v>
      </c>
      <c r="E79" s="2"/>
      <c r="F79" s="2"/>
      <c r="G79" s="30"/>
      <c r="H79" s="2"/>
      <c r="I79" s="2"/>
      <c r="J79" s="2"/>
      <c r="K79" s="2"/>
      <c r="L79" s="41"/>
      <c r="M79" s="42"/>
      <c r="N79" s="2"/>
    </row>
    <row r="80" spans="1:14" s="70" customFormat="1" ht="12.75" customHeight="1" x14ac:dyDescent="0.2">
      <c r="A80" s="87">
        <v>45226</v>
      </c>
      <c r="B80" s="120" t="s">
        <v>1052</v>
      </c>
      <c r="C80" s="75" t="s">
        <v>85</v>
      </c>
      <c r="D80" s="88">
        <v>261842</v>
      </c>
      <c r="E80" s="2"/>
      <c r="F80" s="2"/>
      <c r="G80" s="30"/>
      <c r="H80" s="2"/>
      <c r="I80" s="2"/>
      <c r="J80" s="2"/>
      <c r="K80" s="2"/>
      <c r="L80" s="41"/>
      <c r="M80" s="42"/>
      <c r="N80" s="2"/>
    </row>
    <row r="81" spans="1:13" s="2" customFormat="1" x14ac:dyDescent="0.2">
      <c r="A81" s="87"/>
      <c r="B81" s="74"/>
      <c r="C81" s="75"/>
      <c r="D81" s="51">
        <f>SUM(D59:D80)</f>
        <v>28125572.119999997</v>
      </c>
      <c r="F81" s="2" t="s">
        <v>396</v>
      </c>
      <c r="G81" s="1"/>
    </row>
    <row r="82" spans="1:13" s="2" customFormat="1" x14ac:dyDescent="0.2">
      <c r="A82" s="24"/>
      <c r="B82" s="1"/>
      <c r="C82" s="14"/>
      <c r="D82" s="56"/>
      <c r="E82" s="13"/>
      <c r="G82" s="1"/>
    </row>
    <row r="83" spans="1:13" s="2" customFormat="1" x14ac:dyDescent="0.2">
      <c r="A83" s="24"/>
      <c r="B83" s="1"/>
      <c r="C83" s="218" t="s">
        <v>77</v>
      </c>
      <c r="D83" s="219"/>
      <c r="E83" s="219"/>
      <c r="F83" s="220"/>
      <c r="H83" s="2" t="s">
        <v>396</v>
      </c>
    </row>
    <row r="84" spans="1:13" s="2" customFormat="1" x14ac:dyDescent="0.2">
      <c r="A84" s="24"/>
      <c r="B84" s="1"/>
      <c r="C84" s="50"/>
      <c r="D84" s="57" t="s">
        <v>78</v>
      </c>
      <c r="E84" s="58" t="s">
        <v>79</v>
      </c>
      <c r="F84" s="57" t="s">
        <v>72</v>
      </c>
      <c r="H84" s="2" t="s">
        <v>396</v>
      </c>
    </row>
    <row r="85" spans="1:13" s="2" customFormat="1" x14ac:dyDescent="0.2">
      <c r="A85" s="24"/>
      <c r="B85" s="1"/>
      <c r="C85" s="59" t="str">
        <f>"01-10-2023 to "&amp;TEXT(A5-2,"dd-mm-yyyy")</f>
        <v>01-10-2023 to 26-10-2023</v>
      </c>
      <c r="D85" s="60">
        <v>2034.68</v>
      </c>
      <c r="E85" s="60">
        <v>414.22</v>
      </c>
      <c r="F85" s="61">
        <f>SUM(D85:E85)</f>
        <v>2448.9</v>
      </c>
    </row>
    <row r="86" spans="1:13" s="2" customFormat="1" x14ac:dyDescent="0.2">
      <c r="A86" s="24"/>
      <c r="B86" s="1"/>
      <c r="C86" s="62" t="str">
        <f>TEXT(A5-1,"dd-mm-yyyy")</f>
        <v>27-10-2023</v>
      </c>
      <c r="D86" s="60">
        <v>114.1</v>
      </c>
      <c r="E86" s="60">
        <v>39.909999999999997</v>
      </c>
      <c r="F86" s="61">
        <f>SUM(D86:E86)</f>
        <v>154.01</v>
      </c>
      <c r="G86" s="1"/>
      <c r="H86" s="53"/>
    </row>
    <row r="87" spans="1:13" s="2" customFormat="1" ht="13.5" thickBot="1" x14ac:dyDescent="0.25">
      <c r="A87" s="24"/>
      <c r="B87" s="1"/>
      <c r="C87" s="63" t="str">
        <f>"01-10-2023 to "&amp;TEXT(A5-1,"dd-mm-yyyy")</f>
        <v>01-10-2023 to 27-10-2023</v>
      </c>
      <c r="D87" s="64">
        <f>SUM(D85:D86)</f>
        <v>2148.7800000000002</v>
      </c>
      <c r="E87" s="64">
        <f>SUM(E85:E86)</f>
        <v>454.13</v>
      </c>
      <c r="F87" s="64">
        <f>SUM(F85:F86)</f>
        <v>2602.91</v>
      </c>
      <c r="G87" s="1"/>
      <c r="H87" s="53"/>
    </row>
    <row r="88" spans="1:13" s="2" customFormat="1" ht="13.5" thickTop="1" x14ac:dyDescent="0.2">
      <c r="A88" s="24"/>
      <c r="B88" s="1"/>
      <c r="C88" s="62"/>
      <c r="D88" s="65"/>
      <c r="E88" s="66"/>
      <c r="F88" s="67"/>
      <c r="L88" s="1"/>
      <c r="M88" s="1"/>
    </row>
    <row r="89" spans="1:13" s="2" customFormat="1" x14ac:dyDescent="0.2">
      <c r="A89" s="24"/>
      <c r="B89" s="1"/>
      <c r="C89" s="62" t="str">
        <f>"01-04-2023 to " &amp;C86</f>
        <v>01-04-2023 to 27-10-2023</v>
      </c>
      <c r="D89" s="68">
        <f>+D87+27003.42</f>
        <v>29152.199999999997</v>
      </c>
      <c r="E89" s="68">
        <f>+E87+2028.43</f>
        <v>2482.56</v>
      </c>
      <c r="F89" s="68">
        <f>+F87+29031.85</f>
        <v>31634.76</v>
      </c>
      <c r="G89" s="1"/>
      <c r="L89" s="1"/>
      <c r="M89" s="1"/>
    </row>
    <row r="90" spans="1:13" s="2" customFormat="1" x14ac:dyDescent="0.2">
      <c r="A90" s="24"/>
      <c r="B90" s="1"/>
      <c r="C90" s="52"/>
      <c r="D90" s="85"/>
      <c r="E90" s="53"/>
      <c r="F90" s="53"/>
      <c r="G90" s="1"/>
      <c r="L90" s="1"/>
      <c r="M90" s="1"/>
    </row>
    <row r="91" spans="1:13" s="2" customFormat="1" x14ac:dyDescent="0.2">
      <c r="A91" s="24"/>
      <c r="B91" s="1"/>
      <c r="C91" s="52"/>
      <c r="D91" s="85"/>
      <c r="E91" s="53"/>
      <c r="F91" s="53"/>
      <c r="G91" s="1"/>
      <c r="L91" s="1"/>
      <c r="M91" s="1"/>
    </row>
    <row r="92" spans="1:13" s="2" customFormat="1" x14ac:dyDescent="0.2">
      <c r="A92" s="24"/>
      <c r="B92" s="1"/>
      <c r="C92" s="52"/>
      <c r="D92" s="85"/>
      <c r="E92" s="53"/>
      <c r="F92" s="53"/>
      <c r="G92" s="1"/>
      <c r="L92" s="1"/>
      <c r="M92" s="1"/>
    </row>
    <row r="93" spans="1:13" s="2" customFormat="1" x14ac:dyDescent="0.2">
      <c r="A93" s="24"/>
      <c r="B93" s="1"/>
      <c r="C93" s="52"/>
      <c r="D93" s="85"/>
      <c r="E93" s="53"/>
      <c r="F93" s="53"/>
      <c r="G93" s="1"/>
      <c r="L93" s="1"/>
      <c r="M93" s="1"/>
    </row>
    <row r="94" spans="1:13" s="2" customFormat="1" x14ac:dyDescent="0.2">
      <c r="A94" s="24"/>
      <c r="B94" s="1"/>
      <c r="C94" s="14"/>
      <c r="D94" s="25"/>
      <c r="G94" s="1"/>
      <c r="L94" s="1"/>
      <c r="M94" s="1"/>
    </row>
    <row r="95" spans="1:13" s="2" customFormat="1" x14ac:dyDescent="0.2">
      <c r="A95" s="24"/>
      <c r="B95" s="1"/>
      <c r="C95" s="14"/>
      <c r="D95" s="25"/>
      <c r="G95" s="1"/>
      <c r="L95" s="1"/>
      <c r="M95" s="1"/>
    </row>
    <row r="96" spans="1:13" s="2" customFormat="1" x14ac:dyDescent="0.2">
      <c r="A96" s="24"/>
      <c r="B96" s="1"/>
      <c r="C96" s="14"/>
      <c r="D96" s="25"/>
      <c r="G96" s="1"/>
      <c r="L96" s="1"/>
      <c r="M96" s="1"/>
    </row>
    <row r="97" spans="1:13" s="2" customFormat="1" x14ac:dyDescent="0.2">
      <c r="A97" s="24"/>
      <c r="B97" s="1"/>
      <c r="C97" s="14"/>
      <c r="D97" s="25"/>
      <c r="G97" s="1"/>
      <c r="L97" s="1"/>
      <c r="M97" s="1"/>
    </row>
    <row r="98" spans="1:13" s="2" customFormat="1" x14ac:dyDescent="0.2">
      <c r="A98" s="24"/>
      <c r="B98" s="1"/>
      <c r="C98" s="14"/>
      <c r="D98" s="25"/>
      <c r="G98" s="1"/>
      <c r="L98" s="1"/>
      <c r="M98" s="1"/>
    </row>
    <row r="99" spans="1:13" s="2" customFormat="1" x14ac:dyDescent="0.2">
      <c r="A99" s="24"/>
      <c r="B99" s="1"/>
      <c r="C99" s="14"/>
      <c r="D99" s="25"/>
      <c r="G99" s="1"/>
      <c r="L99" s="1"/>
      <c r="M99" s="1"/>
    </row>
    <row r="100" spans="1:13" s="2" customFormat="1" x14ac:dyDescent="0.2">
      <c r="A100" s="24"/>
      <c r="B100" s="1"/>
      <c r="C100" s="14"/>
      <c r="D100" s="25"/>
      <c r="G100" s="1"/>
      <c r="L100" s="1"/>
      <c r="M100" s="1"/>
    </row>
    <row r="101" spans="1:13" s="2" customFormat="1" x14ac:dyDescent="0.2">
      <c r="A101" s="24"/>
      <c r="B101" s="1"/>
      <c r="C101" s="14"/>
      <c r="D101" s="25"/>
      <c r="G101" s="1"/>
      <c r="L101" s="1"/>
      <c r="M101" s="1"/>
    </row>
    <row r="102" spans="1:13" s="2" customFormat="1" x14ac:dyDescent="0.2">
      <c r="A102" s="24"/>
      <c r="B102" s="1"/>
      <c r="C102" s="14"/>
      <c r="D102" s="25"/>
      <c r="G102" s="1"/>
      <c r="L102" s="1"/>
      <c r="M102" s="1"/>
    </row>
    <row r="103" spans="1:13" s="2" customFormat="1" x14ac:dyDescent="0.2">
      <c r="A103" s="24"/>
      <c r="B103" s="1"/>
      <c r="C103" s="14"/>
      <c r="D103" s="25"/>
      <c r="G103" s="1"/>
      <c r="L103" s="1"/>
      <c r="M103" s="1"/>
    </row>
    <row r="104" spans="1:13" s="2" customFormat="1" x14ac:dyDescent="0.2">
      <c r="A104" s="24"/>
      <c r="B104" s="1"/>
      <c r="C104" s="14"/>
      <c r="D104" s="25"/>
      <c r="G104" s="1"/>
      <c r="L104" s="1"/>
      <c r="M104" s="1"/>
    </row>
    <row r="105" spans="1:13" s="2" customFormat="1" x14ac:dyDescent="0.2">
      <c r="A105" s="24"/>
      <c r="B105" s="1"/>
      <c r="C105" s="14"/>
      <c r="D105" s="25"/>
      <c r="G105" s="1"/>
      <c r="L105" s="1"/>
      <c r="M105" s="1"/>
    </row>
    <row r="106" spans="1:13" s="2" customFormat="1" x14ac:dyDescent="0.2">
      <c r="A106" s="24"/>
      <c r="B106" s="1"/>
      <c r="C106" s="14"/>
      <c r="D106" s="25"/>
      <c r="G106" s="1"/>
      <c r="L106" s="1"/>
      <c r="M106" s="1"/>
    </row>
    <row r="107" spans="1:13" s="2" customFormat="1" x14ac:dyDescent="0.2">
      <c r="A107" s="24"/>
      <c r="B107" s="1"/>
      <c r="C107" s="14"/>
      <c r="D107" s="25"/>
      <c r="G107" s="1"/>
      <c r="L107" s="1"/>
      <c r="M107" s="1"/>
    </row>
    <row r="108" spans="1:13" s="2" customFormat="1" x14ac:dyDescent="0.2">
      <c r="A108" s="24"/>
      <c r="B108" s="1"/>
      <c r="C108" s="14"/>
      <c r="D108" s="25"/>
      <c r="G108" s="1"/>
      <c r="I108" s="1"/>
      <c r="J108" s="1"/>
      <c r="K108" s="1"/>
      <c r="L108" s="1"/>
      <c r="M108" s="1"/>
    </row>
    <row r="109" spans="1:13" s="2" customFormat="1" x14ac:dyDescent="0.2">
      <c r="A109" s="24"/>
      <c r="B109" s="1"/>
      <c r="C109" s="14"/>
      <c r="D109" s="25"/>
      <c r="G109" s="1"/>
    </row>
    <row r="110" spans="1:13" s="2" customFormat="1" x14ac:dyDescent="0.2">
      <c r="A110" s="24"/>
      <c r="B110" s="1"/>
      <c r="C110" s="14"/>
      <c r="D110" s="25"/>
      <c r="G110" s="1"/>
      <c r="I110" s="1"/>
      <c r="J110" s="1"/>
      <c r="K110" s="1"/>
      <c r="L110" s="1"/>
      <c r="M110" s="1"/>
    </row>
    <row r="111" spans="1:13" s="2" customFormat="1" x14ac:dyDescent="0.2">
      <c r="A111" s="24"/>
      <c r="B111" s="1"/>
      <c r="C111" s="14"/>
      <c r="D111" s="25"/>
      <c r="G111" s="54"/>
      <c r="I111" s="1"/>
      <c r="J111" s="1"/>
      <c r="K111" s="1"/>
      <c r="L111" s="1"/>
      <c r="M111" s="1"/>
    </row>
    <row r="112" spans="1:13" s="2" customFormat="1" x14ac:dyDescent="0.2">
      <c r="A112" s="24"/>
      <c r="B112" s="1"/>
      <c r="C112" s="14"/>
      <c r="D112" s="25"/>
      <c r="G112" s="54"/>
      <c r="I112" s="1"/>
      <c r="J112" s="1"/>
      <c r="K112" s="1"/>
      <c r="L112" s="1"/>
      <c r="M112" s="1"/>
    </row>
    <row r="113" spans="1:14" s="2" customFormat="1" x14ac:dyDescent="0.2">
      <c r="A113" s="24"/>
      <c r="B113" s="1"/>
      <c r="C113" s="14"/>
      <c r="D113" s="25"/>
      <c r="G113" s="54"/>
      <c r="I113" s="1"/>
      <c r="J113" s="1"/>
      <c r="K113" s="1"/>
      <c r="L113" s="1"/>
      <c r="M113" s="1"/>
    </row>
    <row r="114" spans="1:14" s="2" customFormat="1" x14ac:dyDescent="0.2">
      <c r="A114" s="24"/>
      <c r="B114" s="1"/>
      <c r="C114" s="14"/>
      <c r="D114" s="25"/>
      <c r="G114" s="54"/>
      <c r="H114" s="2" t="s">
        <v>396</v>
      </c>
      <c r="I114" s="1"/>
      <c r="J114" s="1"/>
      <c r="K114" s="1"/>
      <c r="L114" s="1"/>
      <c r="M114" s="1"/>
      <c r="N114" s="1"/>
    </row>
    <row r="115" spans="1:14" s="2" customFormat="1" x14ac:dyDescent="0.2">
      <c r="A115" s="24"/>
      <c r="B115" s="1"/>
      <c r="C115" s="14"/>
      <c r="D115" s="25"/>
      <c r="G115" s="54"/>
      <c r="H115" s="53"/>
    </row>
    <row r="116" spans="1:14" s="2" customFormat="1" x14ac:dyDescent="0.2">
      <c r="A116" s="24"/>
      <c r="B116" s="1"/>
      <c r="C116" s="14"/>
      <c r="D116" s="25"/>
      <c r="G116" s="54"/>
      <c r="H116" s="53" t="s">
        <v>396</v>
      </c>
      <c r="I116" s="1"/>
      <c r="J116" s="1"/>
      <c r="K116" s="1"/>
      <c r="L116" s="1"/>
      <c r="M116" s="1"/>
      <c r="N116" s="1"/>
    </row>
    <row r="117" spans="1:14" x14ac:dyDescent="0.2">
      <c r="G117" s="54"/>
      <c r="H117" s="53" t="s">
        <v>396</v>
      </c>
      <c r="J117" s="42"/>
    </row>
    <row r="118" spans="1:14" s="2" customFormat="1" x14ac:dyDescent="0.2">
      <c r="A118" s="24"/>
      <c r="B118" s="1"/>
      <c r="C118" s="14"/>
      <c r="D118" s="25"/>
      <c r="G118" s="54"/>
      <c r="H118" s="53"/>
      <c r="I118" s="101"/>
      <c r="J118" s="1"/>
      <c r="K118" s="1"/>
      <c r="L118" s="1"/>
      <c r="M118" s="1"/>
      <c r="N118" s="1"/>
    </row>
    <row r="119" spans="1:14" x14ac:dyDescent="0.2">
      <c r="G119" s="54"/>
      <c r="H119" s="53"/>
    </row>
    <row r="120" spans="1:14" x14ac:dyDescent="0.2">
      <c r="G120" s="54"/>
      <c r="H120" s="53"/>
    </row>
    <row r="121" spans="1:14" x14ac:dyDescent="0.2">
      <c r="G121" s="54"/>
      <c r="H121" s="53"/>
    </row>
  </sheetData>
  <sheetProtection insertRows="0"/>
  <mergeCells count="6">
    <mergeCell ref="C83:F83"/>
    <mergeCell ref="A1:G1"/>
    <mergeCell ref="A3:F3"/>
    <mergeCell ref="A9:F9"/>
    <mergeCell ref="A23:F23"/>
    <mergeCell ref="A57:D57"/>
  </mergeCells>
  <conditionalFormatting sqref="G54:G55">
    <cfRule type="cellIs" dxfId="245" priority="1" operator="lessThan">
      <formula>0</formula>
    </cfRule>
  </conditionalFormatting>
  <conditionalFormatting sqref="C25">
    <cfRule type="duplicateValues" dxfId="244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800-000000000000}">
  <sheetPr codeName="Sheet464">
    <pageSetUpPr fitToPage="1"/>
  </sheetPr>
  <dimension ref="A1:N143"/>
  <sheetViews>
    <sheetView topLeftCell="B49" zoomScaleNormal="100" workbookViewId="0">
      <selection activeCell="J61" sqref="J61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3" ht="20.25" customHeight="1" x14ac:dyDescent="0.4">
      <c r="A1" s="212" t="s">
        <v>1724</v>
      </c>
      <c r="B1" s="212"/>
      <c r="C1" s="212"/>
      <c r="D1" s="212"/>
      <c r="E1" s="212"/>
      <c r="F1" s="212"/>
      <c r="G1" s="212"/>
      <c r="H1" s="112"/>
      <c r="I1" s="112"/>
    </row>
    <row r="2" spans="1:13" ht="12.75" customHeight="1" x14ac:dyDescent="0.4">
      <c r="H2" s="112"/>
      <c r="I2" s="112"/>
    </row>
    <row r="3" spans="1:13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3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3" s="2" customFormat="1" ht="14.25" customHeight="1" x14ac:dyDescent="0.4">
      <c r="A5" s="89">
        <v>45229</v>
      </c>
      <c r="B5" s="9" t="s">
        <v>6</v>
      </c>
      <c r="C5" s="10" t="s">
        <v>7</v>
      </c>
      <c r="D5" s="11"/>
      <c r="E5" s="12">
        <v>861727.40000000224</v>
      </c>
      <c r="F5" s="12"/>
      <c r="G5" s="1"/>
      <c r="H5" s="112"/>
      <c r="I5" s="112"/>
    </row>
    <row r="6" spans="1:13" s="2" customFormat="1" ht="12.75" customHeight="1" x14ac:dyDescent="0.4">
      <c r="D6" s="15" t="s">
        <v>8</v>
      </c>
      <c r="E6" s="16">
        <f>SUM(E5:E5)</f>
        <v>861727.40000000224</v>
      </c>
      <c r="F6" s="16"/>
      <c r="G6" s="1"/>
      <c r="H6" s="112"/>
      <c r="I6" s="112"/>
    </row>
    <row r="7" spans="1:13" s="2" customFormat="1" ht="12.75" customHeight="1" x14ac:dyDescent="0.4">
      <c r="A7" s="17"/>
      <c r="B7" s="18"/>
      <c r="C7" s="19" t="s">
        <v>9</v>
      </c>
      <c r="D7" s="20"/>
      <c r="E7" s="21">
        <f>+E6-F6</f>
        <v>861727.40000000224</v>
      </c>
      <c r="F7" s="22"/>
      <c r="G7" s="23"/>
      <c r="H7" s="112"/>
      <c r="I7" s="112"/>
      <c r="J7" s="13"/>
    </row>
    <row r="8" spans="1:13" ht="12.75" customHeight="1" x14ac:dyDescent="0.4">
      <c r="H8" s="112"/>
      <c r="I8" s="112"/>
    </row>
    <row r="9" spans="1:13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69">
        <f>90000000-60000000</f>
        <v>30000000</v>
      </c>
      <c r="J9" s="169" t="s">
        <v>1508</v>
      </c>
    </row>
    <row r="10" spans="1:13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69">
        <v>26069025.32</v>
      </c>
      <c r="J10" s="169" t="s">
        <v>1509</v>
      </c>
      <c r="K10" s="124"/>
    </row>
    <row r="11" spans="1:13" s="2" customFormat="1" ht="14.25" customHeight="1" x14ac:dyDescent="0.2">
      <c r="A11" s="89">
        <v>45229</v>
      </c>
      <c r="B11" s="9" t="s">
        <v>6</v>
      </c>
      <c r="C11" s="10" t="s">
        <v>7</v>
      </c>
      <c r="D11" s="11"/>
      <c r="F11" s="12">
        <v>23856700.319999997</v>
      </c>
      <c r="G11" s="1"/>
      <c r="H11" s="130" t="s">
        <v>396</v>
      </c>
      <c r="I11" s="169">
        <f>+I9-I10</f>
        <v>3930974.6799999997</v>
      </c>
      <c r="J11" s="169" t="s">
        <v>712</v>
      </c>
      <c r="K11" s="165" t="s">
        <v>1512</v>
      </c>
    </row>
    <row r="12" spans="1:13" s="2" customFormat="1" ht="14.25" customHeight="1" x14ac:dyDescent="0.2">
      <c r="A12" s="89">
        <v>45229</v>
      </c>
      <c r="B12" s="9" t="s">
        <v>6</v>
      </c>
      <c r="C12" s="10" t="s">
        <v>468</v>
      </c>
      <c r="D12" s="11" t="s">
        <v>13</v>
      </c>
      <c r="E12" s="2">
        <v>1007014</v>
      </c>
      <c r="F12" s="12"/>
      <c r="G12" s="1"/>
      <c r="H12" s="130"/>
      <c r="I12" s="169"/>
      <c r="J12" s="169"/>
      <c r="K12" s="165"/>
    </row>
    <row r="13" spans="1:13" s="2" customFormat="1" ht="14.25" customHeight="1" x14ac:dyDescent="0.2">
      <c r="A13" s="89">
        <v>45229</v>
      </c>
      <c r="B13" s="9" t="s">
        <v>6</v>
      </c>
      <c r="C13" s="10" t="s">
        <v>21</v>
      </c>
      <c r="D13" s="11" t="s">
        <v>13</v>
      </c>
      <c r="E13" s="2">
        <v>350000</v>
      </c>
      <c r="F13" s="12"/>
      <c r="G13" s="1"/>
      <c r="H13" s="130"/>
      <c r="I13" s="169"/>
      <c r="J13" s="169"/>
      <c r="K13" s="165"/>
    </row>
    <row r="14" spans="1:13" s="2" customFormat="1" ht="14.25" customHeight="1" x14ac:dyDescent="0.2">
      <c r="D14" s="11" t="s">
        <v>8</v>
      </c>
      <c r="E14" s="16">
        <f>SUM(E12:E13)</f>
        <v>1357014</v>
      </c>
      <c r="F14" s="16">
        <f>SUM(F11:F13)</f>
        <v>23856700.319999997</v>
      </c>
      <c r="G14" s="1"/>
      <c r="H14" s="143"/>
      <c r="I14" s="130"/>
      <c r="J14" s="143"/>
      <c r="K14" s="143"/>
      <c r="L14" s="143"/>
      <c r="M14" s="143"/>
    </row>
    <row r="15" spans="1:13" s="2" customFormat="1" ht="14.25" customHeight="1" x14ac:dyDescent="0.4">
      <c r="A15" s="17"/>
      <c r="B15" s="18"/>
      <c r="C15" s="96" t="s">
        <v>9</v>
      </c>
      <c r="D15" s="20"/>
      <c r="E15" s="21">
        <f>+F14-E14</f>
        <v>22499686.319999997</v>
      </c>
      <c r="G15" s="1"/>
      <c r="I15" s="112"/>
      <c r="J15" s="153" t="s">
        <v>779</v>
      </c>
    </row>
    <row r="16" spans="1:13" s="2" customFormat="1" ht="14.25" customHeight="1" x14ac:dyDescent="0.2">
      <c r="A16" s="36"/>
      <c r="B16" s="28" t="s">
        <v>66</v>
      </c>
      <c r="C16" s="43" t="s">
        <v>1458</v>
      </c>
      <c r="D16" s="43"/>
      <c r="E16" s="12">
        <f>30000000+60000000</f>
        <v>90000000</v>
      </c>
      <c r="F16" s="22"/>
      <c r="G16" s="1"/>
      <c r="I16" s="40">
        <v>22499686.32</v>
      </c>
      <c r="J16" s="154">
        <f>I16-E15</f>
        <v>0</v>
      </c>
    </row>
    <row r="17" spans="1:14" s="2" customFormat="1" ht="14.25" customHeight="1" x14ac:dyDescent="0.25">
      <c r="A17" s="36"/>
      <c r="B17" s="28"/>
      <c r="C17" s="44" t="s">
        <v>1541</v>
      </c>
      <c r="D17" s="43"/>
      <c r="E17" s="7">
        <f>+E15+E16</f>
        <v>112499686.31999999</v>
      </c>
      <c r="F17" s="22"/>
      <c r="G17" s="1"/>
      <c r="H17" s="13" t="s">
        <v>1582</v>
      </c>
      <c r="I17" s="13" t="s">
        <v>1583</v>
      </c>
    </row>
    <row r="18" spans="1:14" s="2" customFormat="1" ht="14.25" customHeight="1" x14ac:dyDescent="0.25">
      <c r="A18" s="36"/>
      <c r="B18" s="28"/>
      <c r="C18" s="44" t="s">
        <v>1511</v>
      </c>
      <c r="D18" s="43"/>
      <c r="E18" s="38">
        <f>+I11</f>
        <v>3930974.6799999997</v>
      </c>
      <c r="F18" s="22"/>
      <c r="G18" s="1"/>
      <c r="H18" s="2">
        <v>2706933</v>
      </c>
      <c r="I18" s="2">
        <v>19741374.449999999</v>
      </c>
      <c r="J18" s="176">
        <f>H18-I18</f>
        <v>-17034441.449999999</v>
      </c>
    </row>
    <row r="19" spans="1:14" s="2" customFormat="1" ht="14.25" customHeight="1" x14ac:dyDescent="0.2">
      <c r="A19" s="24"/>
      <c r="B19" s="1"/>
      <c r="C19" s="14"/>
      <c r="D19" s="25"/>
      <c r="G19" s="1"/>
      <c r="I19" s="130"/>
      <c r="J19" s="130"/>
    </row>
    <row r="20" spans="1:14" s="2" customFormat="1" x14ac:dyDescent="0.2">
      <c r="A20" s="214" t="s">
        <v>10</v>
      </c>
      <c r="B20" s="214"/>
      <c r="C20" s="214"/>
      <c r="D20" s="214"/>
      <c r="E20" s="214"/>
      <c r="F20" s="214"/>
      <c r="G20" s="1"/>
      <c r="H20" s="159"/>
      <c r="I20" s="160">
        <f>225000000-75000000-50000000</f>
        <v>100000000</v>
      </c>
      <c r="J20" s="160" t="s">
        <v>1506</v>
      </c>
      <c r="K20" s="70"/>
    </row>
    <row r="21" spans="1:14" s="2" customFormat="1" x14ac:dyDescent="0.2">
      <c r="A21" s="26" t="s">
        <v>1</v>
      </c>
      <c r="B21" s="27" t="s">
        <v>2</v>
      </c>
      <c r="C21" s="5"/>
      <c r="D21" s="6" t="s">
        <v>3</v>
      </c>
      <c r="E21" s="7" t="s">
        <v>4</v>
      </c>
      <c r="F21" s="7" t="s">
        <v>5</v>
      </c>
      <c r="G21" s="1"/>
      <c r="H21" s="159"/>
      <c r="I21" s="160">
        <v>72619031.650000006</v>
      </c>
      <c r="J21" s="160" t="s">
        <v>1507</v>
      </c>
      <c r="K21" s="70" t="s">
        <v>1512</v>
      </c>
    </row>
    <row r="22" spans="1:14" s="2" customFormat="1" x14ac:dyDescent="0.2">
      <c r="A22" s="89">
        <v>45229</v>
      </c>
      <c r="B22" s="128" t="s">
        <v>11</v>
      </c>
      <c r="C22" s="29" t="s">
        <v>7</v>
      </c>
      <c r="D22" s="25"/>
      <c r="E22" s="31"/>
      <c r="F22" s="2">
        <v>74048837.980000064</v>
      </c>
      <c r="G22" s="23"/>
      <c r="H22" s="159" t="s">
        <v>1505</v>
      </c>
      <c r="I22" s="160">
        <f>+I20-I21</f>
        <v>27380968.349999994</v>
      </c>
      <c r="J22" s="160"/>
      <c r="K22" s="70"/>
    </row>
    <row r="23" spans="1:14" s="2" customFormat="1" x14ac:dyDescent="0.2">
      <c r="A23" s="89">
        <v>45229</v>
      </c>
      <c r="B23" s="128" t="s">
        <v>6</v>
      </c>
      <c r="C23" s="10" t="s">
        <v>173</v>
      </c>
      <c r="D23" s="11" t="s">
        <v>13</v>
      </c>
      <c r="E23" s="86">
        <v>12758</v>
      </c>
      <c r="F23" s="70"/>
      <c r="G23" s="1"/>
      <c r="N23" s="1"/>
    </row>
    <row r="24" spans="1:14" s="2" customFormat="1" x14ac:dyDescent="0.2">
      <c r="A24" s="89">
        <v>45229</v>
      </c>
      <c r="B24" s="128" t="s">
        <v>6</v>
      </c>
      <c r="C24" s="10" t="s">
        <v>1446</v>
      </c>
      <c r="D24" s="11" t="s">
        <v>13</v>
      </c>
      <c r="E24" s="86">
        <v>35883</v>
      </c>
      <c r="F24" s="70"/>
      <c r="G24" s="1"/>
      <c r="N24" s="1"/>
    </row>
    <row r="25" spans="1:14" s="2" customFormat="1" x14ac:dyDescent="0.2">
      <c r="A25" s="89">
        <v>45229</v>
      </c>
      <c r="B25" s="128" t="s">
        <v>6</v>
      </c>
      <c r="C25" s="10" t="s">
        <v>1725</v>
      </c>
      <c r="D25" s="11" t="s">
        <v>13</v>
      </c>
      <c r="E25" s="86">
        <v>5880</v>
      </c>
      <c r="F25" s="70"/>
      <c r="G25" s="1"/>
      <c r="N25" s="1"/>
    </row>
    <row r="26" spans="1:14" s="2" customFormat="1" x14ac:dyDescent="0.2">
      <c r="A26" s="89">
        <v>45229</v>
      </c>
      <c r="B26" s="128" t="s">
        <v>6</v>
      </c>
      <c r="C26" s="10" t="s">
        <v>1192</v>
      </c>
      <c r="D26" s="11" t="s">
        <v>13</v>
      </c>
      <c r="E26" s="86">
        <v>6993</v>
      </c>
      <c r="F26" s="70"/>
      <c r="G26" s="1"/>
      <c r="N26" s="1"/>
    </row>
    <row r="27" spans="1:14" s="2" customFormat="1" x14ac:dyDescent="0.2">
      <c r="A27" s="89">
        <v>45229</v>
      </c>
      <c r="B27" s="128" t="s">
        <v>6</v>
      </c>
      <c r="C27" s="10" t="s">
        <v>1229</v>
      </c>
      <c r="D27" s="11" t="s">
        <v>13</v>
      </c>
      <c r="E27" s="86">
        <v>820930</v>
      </c>
      <c r="F27" s="70"/>
      <c r="G27" s="1"/>
      <c r="N27" s="1"/>
    </row>
    <row r="28" spans="1:14" s="2" customFormat="1" x14ac:dyDescent="0.2">
      <c r="A28" s="89">
        <v>45229</v>
      </c>
      <c r="B28" s="128" t="s">
        <v>6</v>
      </c>
      <c r="C28" s="10" t="s">
        <v>1726</v>
      </c>
      <c r="D28" s="11" t="s">
        <v>13</v>
      </c>
      <c r="E28" s="86">
        <v>754322</v>
      </c>
      <c r="F28" s="70"/>
      <c r="G28" s="1"/>
      <c r="N28" s="1"/>
    </row>
    <row r="29" spans="1:14" s="2" customFormat="1" x14ac:dyDescent="0.2">
      <c r="A29" s="89">
        <v>45229</v>
      </c>
      <c r="B29" s="128" t="s">
        <v>6</v>
      </c>
      <c r="C29" s="10" t="s">
        <v>819</v>
      </c>
      <c r="D29" s="11" t="s">
        <v>13</v>
      </c>
      <c r="E29" s="86">
        <v>140312</v>
      </c>
      <c r="F29" s="70"/>
      <c r="G29" s="1"/>
      <c r="N29" s="1"/>
    </row>
    <row r="30" spans="1:14" s="2" customFormat="1" x14ac:dyDescent="0.2">
      <c r="A30" s="89">
        <v>45229</v>
      </c>
      <c r="B30" s="128" t="s">
        <v>6</v>
      </c>
      <c r="C30" s="10" t="s">
        <v>159</v>
      </c>
      <c r="D30" s="11" t="s">
        <v>13</v>
      </c>
      <c r="E30" s="86">
        <v>327613</v>
      </c>
      <c r="F30" s="70"/>
      <c r="G30" s="1"/>
      <c r="N30" s="1"/>
    </row>
    <row r="31" spans="1:14" s="2" customFormat="1" x14ac:dyDescent="0.2">
      <c r="A31" s="89">
        <v>45229</v>
      </c>
      <c r="B31" s="128" t="s">
        <v>6</v>
      </c>
      <c r="C31" s="10" t="s">
        <v>694</v>
      </c>
      <c r="D31" s="11" t="s">
        <v>13</v>
      </c>
      <c r="E31" s="86">
        <v>300000</v>
      </c>
      <c r="F31" s="70"/>
      <c r="G31" s="1"/>
      <c r="N31" s="1"/>
    </row>
    <row r="32" spans="1:14" s="2" customFormat="1" x14ac:dyDescent="0.2">
      <c r="A32" s="89">
        <v>45229</v>
      </c>
      <c r="B32" s="128" t="s">
        <v>6</v>
      </c>
      <c r="C32" s="10" t="s">
        <v>843</v>
      </c>
      <c r="D32" s="11" t="s">
        <v>13</v>
      </c>
      <c r="E32" s="86">
        <v>52015</v>
      </c>
      <c r="F32" s="70"/>
      <c r="G32" s="1"/>
      <c r="N32" s="1"/>
    </row>
    <row r="33" spans="1:14" s="2" customFormat="1" x14ac:dyDescent="0.2">
      <c r="A33" s="89">
        <v>45229</v>
      </c>
      <c r="B33" s="128" t="s">
        <v>6</v>
      </c>
      <c r="C33" s="10" t="s">
        <v>161</v>
      </c>
      <c r="D33" s="11" t="s">
        <v>13</v>
      </c>
      <c r="E33" s="86">
        <v>781378</v>
      </c>
      <c r="F33" s="70"/>
      <c r="G33" s="1"/>
      <c r="N33" s="1"/>
    </row>
    <row r="34" spans="1:14" s="2" customFormat="1" x14ac:dyDescent="0.2">
      <c r="A34" s="89">
        <v>45229</v>
      </c>
      <c r="B34" s="128" t="s">
        <v>6</v>
      </c>
      <c r="C34" s="10" t="s">
        <v>249</v>
      </c>
      <c r="D34" s="11" t="s">
        <v>13</v>
      </c>
      <c r="E34" s="86">
        <v>21263</v>
      </c>
      <c r="F34" s="70"/>
      <c r="G34" s="1"/>
      <c r="N34" s="1"/>
    </row>
    <row r="35" spans="1:14" s="2" customFormat="1" x14ac:dyDescent="0.2">
      <c r="A35" s="89">
        <v>45229</v>
      </c>
      <c r="B35" s="128" t="s">
        <v>6</v>
      </c>
      <c r="C35" s="10" t="s">
        <v>1706</v>
      </c>
      <c r="D35" s="11" t="s">
        <v>13</v>
      </c>
      <c r="E35" s="86">
        <v>1598195</v>
      </c>
      <c r="F35" s="70"/>
      <c r="G35" s="1"/>
      <c r="N35" s="1"/>
    </row>
    <row r="36" spans="1:14" s="2" customFormat="1" x14ac:dyDescent="0.2">
      <c r="A36" s="89">
        <v>45229</v>
      </c>
      <c r="B36" s="128" t="s">
        <v>6</v>
      </c>
      <c r="C36" s="10" t="s">
        <v>164</v>
      </c>
      <c r="D36" s="11" t="s">
        <v>13</v>
      </c>
      <c r="E36" s="86">
        <v>1000000</v>
      </c>
      <c r="F36" s="70"/>
      <c r="G36" s="1"/>
      <c r="N36" s="1"/>
    </row>
    <row r="37" spans="1:14" s="2" customFormat="1" x14ac:dyDescent="0.2">
      <c r="A37" s="89">
        <v>45229</v>
      </c>
      <c r="B37" s="128" t="s">
        <v>6</v>
      </c>
      <c r="C37" s="10" t="s">
        <v>177</v>
      </c>
      <c r="D37" s="11" t="s">
        <v>13</v>
      </c>
      <c r="E37" s="86">
        <v>1834379</v>
      </c>
      <c r="F37" s="70"/>
      <c r="G37" s="1"/>
      <c r="N37" s="1"/>
    </row>
    <row r="38" spans="1:14" s="2" customFormat="1" x14ac:dyDescent="0.2">
      <c r="A38" s="89">
        <v>45229</v>
      </c>
      <c r="B38" s="128" t="s">
        <v>6</v>
      </c>
      <c r="C38" s="10" t="s">
        <v>1271</v>
      </c>
      <c r="D38" s="11" t="s">
        <v>13</v>
      </c>
      <c r="E38" s="86">
        <v>397562</v>
      </c>
      <c r="F38" s="70"/>
      <c r="G38" s="1"/>
      <c r="N38" s="1"/>
    </row>
    <row r="39" spans="1:14" s="2" customFormat="1" x14ac:dyDescent="0.2">
      <c r="A39" s="89">
        <v>45229</v>
      </c>
      <c r="B39" s="128" t="s">
        <v>6</v>
      </c>
      <c r="C39" s="10" t="s">
        <v>421</v>
      </c>
      <c r="D39" s="11" t="s">
        <v>13</v>
      </c>
      <c r="E39" s="86">
        <v>500000</v>
      </c>
      <c r="F39" s="70"/>
      <c r="G39" s="1"/>
      <c r="N39" s="1"/>
    </row>
    <row r="40" spans="1:14" s="2" customFormat="1" x14ac:dyDescent="0.2">
      <c r="A40" s="89">
        <v>45229</v>
      </c>
      <c r="B40" s="128" t="s">
        <v>6</v>
      </c>
      <c r="C40" s="10" t="s">
        <v>378</v>
      </c>
      <c r="D40" s="11" t="s">
        <v>13</v>
      </c>
      <c r="E40" s="86">
        <v>1026727</v>
      </c>
      <c r="F40" s="70"/>
      <c r="G40" s="1"/>
      <c r="N40" s="1"/>
    </row>
    <row r="41" spans="1:14" s="2" customFormat="1" x14ac:dyDescent="0.2">
      <c r="A41" s="89">
        <v>45229</v>
      </c>
      <c r="B41" s="128" t="s">
        <v>6</v>
      </c>
      <c r="C41" s="10" t="s">
        <v>927</v>
      </c>
      <c r="D41" s="11" t="s">
        <v>13</v>
      </c>
      <c r="E41" s="86">
        <v>50000</v>
      </c>
      <c r="F41" s="70"/>
      <c r="G41" s="1"/>
      <c r="N41" s="1"/>
    </row>
    <row r="42" spans="1:14" s="2" customFormat="1" x14ac:dyDescent="0.2">
      <c r="A42" s="89">
        <v>45229</v>
      </c>
      <c r="B42" s="128" t="s">
        <v>6</v>
      </c>
      <c r="C42" s="10" t="s">
        <v>146</v>
      </c>
      <c r="D42" s="11" t="s">
        <v>13</v>
      </c>
      <c r="E42" s="86">
        <v>258166.06</v>
      </c>
      <c r="F42" s="70"/>
      <c r="G42" s="1"/>
      <c r="N42" s="1"/>
    </row>
    <row r="43" spans="1:14" s="2" customFormat="1" x14ac:dyDescent="0.2">
      <c r="A43" s="89">
        <v>45229</v>
      </c>
      <c r="B43" s="128" t="s">
        <v>6</v>
      </c>
      <c r="C43" s="10" t="s">
        <v>149</v>
      </c>
      <c r="D43" s="11" t="s">
        <v>13</v>
      </c>
      <c r="E43" s="86">
        <v>13842</v>
      </c>
      <c r="F43" s="70"/>
      <c r="G43" s="1"/>
      <c r="N43" s="1"/>
    </row>
    <row r="44" spans="1:14" s="2" customFormat="1" x14ac:dyDescent="0.2">
      <c r="A44" s="89">
        <v>45229</v>
      </c>
      <c r="B44" s="128" t="s">
        <v>6</v>
      </c>
      <c r="C44" s="10" t="s">
        <v>670</v>
      </c>
      <c r="D44" s="11" t="s">
        <v>13</v>
      </c>
      <c r="E44" s="86">
        <v>929129</v>
      </c>
      <c r="F44" s="70"/>
      <c r="G44" s="1"/>
      <c r="N44" s="1"/>
    </row>
    <row r="45" spans="1:14" s="2" customFormat="1" x14ac:dyDescent="0.2">
      <c r="A45" s="89">
        <v>45229</v>
      </c>
      <c r="B45" s="128" t="s">
        <v>6</v>
      </c>
      <c r="C45" s="10" t="s">
        <v>15</v>
      </c>
      <c r="D45" s="11" t="s">
        <v>13</v>
      </c>
      <c r="E45" s="86">
        <v>484.29</v>
      </c>
      <c r="F45" s="70"/>
      <c r="G45" s="1"/>
      <c r="N45" s="1"/>
    </row>
    <row r="46" spans="1:14" s="2" customFormat="1" x14ac:dyDescent="0.2">
      <c r="A46" s="89">
        <v>45229</v>
      </c>
      <c r="B46" s="128" t="s">
        <v>6</v>
      </c>
      <c r="C46" s="10" t="s">
        <v>1301</v>
      </c>
      <c r="D46" s="11" t="s">
        <v>13</v>
      </c>
      <c r="E46" s="86">
        <v>105541.25</v>
      </c>
      <c r="F46" s="70"/>
      <c r="G46" s="1"/>
      <c r="N46" s="1"/>
    </row>
    <row r="47" spans="1:14" s="2" customFormat="1" x14ac:dyDescent="0.2">
      <c r="A47" s="89">
        <v>45229</v>
      </c>
      <c r="B47" s="128" t="s">
        <v>6</v>
      </c>
      <c r="C47" s="10" t="s">
        <v>560</v>
      </c>
      <c r="D47" s="11" t="s">
        <v>13</v>
      </c>
      <c r="E47" s="86">
        <v>16497.669999999998</v>
      </c>
      <c r="F47" s="70"/>
      <c r="G47" s="1"/>
      <c r="N47" s="1"/>
    </row>
    <row r="48" spans="1:14" s="2" customFormat="1" x14ac:dyDescent="0.2">
      <c r="A48" s="89">
        <v>45229</v>
      </c>
      <c r="B48" s="128" t="s">
        <v>6</v>
      </c>
      <c r="C48" s="10" t="s">
        <v>1727</v>
      </c>
      <c r="D48" s="11" t="s">
        <v>13</v>
      </c>
      <c r="E48" s="86">
        <v>263118.90999999997</v>
      </c>
      <c r="F48" s="70"/>
      <c r="G48" s="1"/>
      <c r="N48" s="1"/>
    </row>
    <row r="49" spans="1:14" s="2" customFormat="1" x14ac:dyDescent="0.2">
      <c r="A49" s="89">
        <v>45229</v>
      </c>
      <c r="B49" s="128" t="s">
        <v>11</v>
      </c>
      <c r="C49" s="10" t="s">
        <v>111</v>
      </c>
      <c r="D49" s="11" t="s">
        <v>29</v>
      </c>
      <c r="E49" s="86"/>
      <c r="F49" s="70">
        <v>8717778.879999999</v>
      </c>
      <c r="G49" s="1"/>
      <c r="N49" s="1"/>
    </row>
    <row r="50" spans="1:14" s="2" customFormat="1" x14ac:dyDescent="0.2">
      <c r="A50" s="89">
        <v>45229</v>
      </c>
      <c r="B50" s="128" t="s">
        <v>11</v>
      </c>
      <c r="C50" s="10" t="s">
        <v>109</v>
      </c>
      <c r="D50" s="11" t="s">
        <v>29</v>
      </c>
      <c r="E50" s="86"/>
      <c r="F50" s="70">
        <v>1528884</v>
      </c>
      <c r="G50" s="1"/>
      <c r="N50" s="1"/>
    </row>
    <row r="51" spans="1:14" s="2" customFormat="1" x14ac:dyDescent="0.2">
      <c r="A51" s="89">
        <v>45229</v>
      </c>
      <c r="B51" s="128" t="s">
        <v>11</v>
      </c>
      <c r="C51" s="10" t="s">
        <v>57</v>
      </c>
      <c r="D51" s="11" t="s">
        <v>29</v>
      </c>
      <c r="E51" s="86"/>
      <c r="F51" s="70">
        <v>11000000</v>
      </c>
      <c r="G51" s="1"/>
      <c r="N51" s="1"/>
    </row>
    <row r="52" spans="1:14" s="2" customFormat="1" x14ac:dyDescent="0.2">
      <c r="A52" s="89">
        <v>45229</v>
      </c>
      <c r="B52" s="128" t="s">
        <v>11</v>
      </c>
      <c r="C52" s="10" t="s">
        <v>63</v>
      </c>
      <c r="D52" s="11" t="s">
        <v>29</v>
      </c>
      <c r="E52" s="86"/>
      <c r="F52" s="70">
        <v>3000000</v>
      </c>
      <c r="G52" s="1"/>
      <c r="N52" s="1"/>
    </row>
    <row r="53" spans="1:14" s="2" customFormat="1" x14ac:dyDescent="0.2">
      <c r="A53" s="89">
        <v>45229</v>
      </c>
      <c r="B53" s="128" t="s">
        <v>11</v>
      </c>
      <c r="C53" s="10" t="s">
        <v>1348</v>
      </c>
      <c r="D53" s="11" t="s">
        <v>29</v>
      </c>
      <c r="E53" s="86"/>
      <c r="F53" s="70">
        <v>2596944</v>
      </c>
      <c r="G53" s="1"/>
      <c r="N53" s="1"/>
    </row>
    <row r="54" spans="1:14" s="2" customFormat="1" x14ac:dyDescent="0.2">
      <c r="A54" s="89">
        <v>45229</v>
      </c>
      <c r="B54" s="128" t="s">
        <v>11</v>
      </c>
      <c r="C54" s="10" t="s">
        <v>883</v>
      </c>
      <c r="D54" s="11" t="s">
        <v>29</v>
      </c>
      <c r="E54" s="86"/>
      <c r="F54" s="70">
        <v>10384</v>
      </c>
      <c r="G54" s="1"/>
      <c r="N54" s="1"/>
    </row>
    <row r="55" spans="1:14" s="2" customFormat="1" x14ac:dyDescent="0.2">
      <c r="A55" s="89">
        <v>45229</v>
      </c>
      <c r="B55" s="128" t="s">
        <v>11</v>
      </c>
      <c r="C55" s="10" t="s">
        <v>64</v>
      </c>
      <c r="D55" s="11" t="s">
        <v>29</v>
      </c>
      <c r="E55" s="86"/>
      <c r="F55" s="70">
        <v>3633.42</v>
      </c>
      <c r="G55" s="1"/>
      <c r="N55" s="1"/>
    </row>
    <row r="56" spans="1:14" s="2" customFormat="1" x14ac:dyDescent="0.2">
      <c r="A56" s="32"/>
      <c r="B56" s="33"/>
      <c r="C56" s="14"/>
      <c r="D56" s="34"/>
      <c r="E56" s="16">
        <f>SUM(E22:E55)</f>
        <v>11252989.18</v>
      </c>
      <c r="F56" s="16">
        <f>SUM(F22:F55)</f>
        <v>100906462.28000006</v>
      </c>
      <c r="G56" s="1"/>
      <c r="H56" s="1"/>
      <c r="I56" s="38">
        <v>89653473.099999994</v>
      </c>
      <c r="J56" s="2" t="s">
        <v>396</v>
      </c>
      <c r="K56" s="92">
        <f>E57-I56</f>
        <v>0</v>
      </c>
      <c r="N56" s="1"/>
    </row>
    <row r="57" spans="1:14" s="2" customFormat="1" x14ac:dyDescent="0.2">
      <c r="A57" s="36"/>
      <c r="B57" s="28" t="s">
        <v>11</v>
      </c>
      <c r="C57" s="19" t="s">
        <v>65</v>
      </c>
      <c r="D57" s="37"/>
      <c r="E57" s="38">
        <f>F56-E56</f>
        <v>89653473.100000054</v>
      </c>
      <c r="F57" s="22"/>
      <c r="G57" s="1"/>
      <c r="H57" s="1"/>
      <c r="I57" s="70"/>
      <c r="J57" s="70"/>
      <c r="K57" s="70"/>
      <c r="N57" s="1"/>
    </row>
    <row r="58" spans="1:14" s="2" customFormat="1" x14ac:dyDescent="0.2">
      <c r="A58" s="36"/>
      <c r="B58" s="28" t="s">
        <v>66</v>
      </c>
      <c r="C58" s="19" t="s">
        <v>67</v>
      </c>
      <c r="D58" s="37"/>
      <c r="E58" s="38">
        <v>6500000</v>
      </c>
      <c r="F58" s="22"/>
      <c r="G58" s="1"/>
      <c r="H58" s="70"/>
      <c r="I58" s="70"/>
      <c r="J58" s="70"/>
      <c r="K58" s="70"/>
      <c r="N58" s="1"/>
    </row>
    <row r="59" spans="1:14" s="2" customFormat="1" x14ac:dyDescent="0.2">
      <c r="A59" s="36"/>
      <c r="B59" s="28" t="s">
        <v>66</v>
      </c>
      <c r="C59" s="43" t="s">
        <v>1457</v>
      </c>
      <c r="D59" s="43"/>
      <c r="E59" s="12">
        <f>275000000+75000000+50000000</f>
        <v>400000000</v>
      </c>
      <c r="F59" s="22"/>
      <c r="G59" s="1"/>
      <c r="H59" s="70"/>
      <c r="I59" s="45">
        <v>2575.0500000000002</v>
      </c>
      <c r="J59" s="46"/>
      <c r="K59" s="46"/>
      <c r="N59" s="1"/>
    </row>
    <row r="60" spans="1:14" s="2" customFormat="1" ht="15" x14ac:dyDescent="0.25">
      <c r="A60" s="36"/>
      <c r="B60" s="28"/>
      <c r="C60" s="44" t="s">
        <v>1541</v>
      </c>
      <c r="D60" s="43"/>
      <c r="E60" s="7">
        <f>+E59+E57+E58</f>
        <v>496153473.10000002</v>
      </c>
      <c r="F60" s="22"/>
      <c r="G60" s="1"/>
      <c r="H60" s="103" t="s">
        <v>69</v>
      </c>
      <c r="I60" s="45">
        <v>-239.6</v>
      </c>
      <c r="J60" s="46"/>
      <c r="K60" s="46"/>
      <c r="N60" s="1"/>
    </row>
    <row r="61" spans="1:14" s="2" customFormat="1" ht="15" x14ac:dyDescent="0.25">
      <c r="A61" s="24"/>
      <c r="B61" s="1"/>
      <c r="C61" s="44" t="s">
        <v>1510</v>
      </c>
      <c r="D61" s="25"/>
      <c r="E61" s="156">
        <f>+I22-E58+H18-I18</f>
        <v>3846526.8999999948</v>
      </c>
      <c r="G61" s="1"/>
      <c r="H61" s="35" t="s">
        <v>70</v>
      </c>
      <c r="I61" s="45">
        <v>95.47</v>
      </c>
      <c r="J61" s="46">
        <f>+I62-D64</f>
        <v>0</v>
      </c>
      <c r="N61" s="1"/>
    </row>
    <row r="62" spans="1:14" s="124" customFormat="1" ht="12.75" customHeight="1" x14ac:dyDescent="0.2">
      <c r="A62" s="24"/>
      <c r="B62" s="1"/>
      <c r="C62" s="56"/>
      <c r="D62" s="56"/>
      <c r="E62" s="104"/>
      <c r="F62" s="2"/>
      <c r="G62" s="166"/>
      <c r="H62" s="70"/>
      <c r="I62" s="49">
        <f>SUM(I59:I61)</f>
        <v>2430.92</v>
      </c>
      <c r="J62" s="46"/>
      <c r="K62" s="46"/>
    </row>
    <row r="63" spans="1:14" s="124" customFormat="1" ht="12.75" customHeight="1" x14ac:dyDescent="0.2">
      <c r="A63" s="24"/>
      <c r="B63" s="1"/>
      <c r="C63" s="78" t="s">
        <v>575</v>
      </c>
      <c r="D63" s="48" t="s">
        <v>576</v>
      </c>
      <c r="E63" s="104"/>
      <c r="F63" s="2"/>
      <c r="G63" s="168"/>
      <c r="H63" s="167"/>
      <c r="I63" s="167"/>
      <c r="J63" s="168"/>
    </row>
    <row r="64" spans="1:14" s="124" customFormat="1" ht="12.75" customHeight="1" x14ac:dyDescent="0.2">
      <c r="A64" s="24"/>
      <c r="B64" s="1"/>
      <c r="C64" s="47" t="s">
        <v>570</v>
      </c>
      <c r="D64" s="111">
        <v>2430.92</v>
      </c>
      <c r="E64" s="104"/>
      <c r="F64" s="2"/>
      <c r="G64" s="168"/>
      <c r="H64" s="110" t="s">
        <v>581</v>
      </c>
      <c r="I64" s="167"/>
      <c r="J64" s="168"/>
    </row>
    <row r="65" spans="1:13" s="124" customFormat="1" ht="12.75" customHeight="1" x14ac:dyDescent="0.2">
      <c r="A65" s="24"/>
      <c r="B65" s="1"/>
      <c r="C65" s="47" t="s">
        <v>931</v>
      </c>
      <c r="D65" s="111">
        <v>253</v>
      </c>
      <c r="E65" s="104"/>
      <c r="F65" s="2"/>
      <c r="G65" s="168"/>
      <c r="H65" s="110" t="s">
        <v>580</v>
      </c>
      <c r="I65" s="167"/>
      <c r="J65" s="168"/>
    </row>
    <row r="66" spans="1:13" s="124" customFormat="1" ht="12.75" customHeight="1" x14ac:dyDescent="0.2">
      <c r="A66" s="24"/>
      <c r="B66" s="1"/>
      <c r="C66" s="47" t="s">
        <v>572</v>
      </c>
      <c r="D66" s="111">
        <f>+D103/100000</f>
        <v>281.25572119999998</v>
      </c>
      <c r="E66" s="104"/>
      <c r="F66" s="2"/>
      <c r="G66" s="166"/>
      <c r="H66" s="90" t="s">
        <v>587</v>
      </c>
      <c r="I66" s="167"/>
      <c r="J66" s="168"/>
    </row>
    <row r="67" spans="1:13" s="2" customFormat="1" x14ac:dyDescent="0.2">
      <c r="A67" s="24"/>
      <c r="B67" s="1"/>
      <c r="C67" s="108" t="s">
        <v>578</v>
      </c>
      <c r="D67" s="48">
        <f>SUM(D64:D66)</f>
        <v>2965.1757212000002</v>
      </c>
      <c r="E67" s="104"/>
      <c r="G67" s="30"/>
      <c r="I67" s="13"/>
      <c r="J67" s="13"/>
    </row>
    <row r="68" spans="1:13" s="70" customFormat="1" x14ac:dyDescent="0.2">
      <c r="A68" s="24"/>
      <c r="B68" s="1"/>
      <c r="C68" s="47"/>
      <c r="D68" s="107"/>
      <c r="E68" s="104"/>
      <c r="F68" s="2"/>
      <c r="G68" s="30"/>
      <c r="H68" s="2"/>
    </row>
    <row r="69" spans="1:13" s="70" customFormat="1" x14ac:dyDescent="0.2">
      <c r="A69" s="24"/>
      <c r="B69" s="1"/>
      <c r="C69" s="47" t="s">
        <v>932</v>
      </c>
      <c r="D69" s="111">
        <v>161.06</v>
      </c>
      <c r="E69" s="104"/>
      <c r="F69" s="2"/>
      <c r="G69" s="30"/>
      <c r="H69" s="110" t="s">
        <v>581</v>
      </c>
    </row>
    <row r="70" spans="1:13" s="70" customFormat="1" x14ac:dyDescent="0.2">
      <c r="A70" s="24"/>
      <c r="B70" s="1"/>
      <c r="C70" s="136" t="s">
        <v>1142</v>
      </c>
      <c r="D70" s="111">
        <v>610.99</v>
      </c>
      <c r="E70" s="104"/>
      <c r="F70" s="2"/>
      <c r="G70" s="30"/>
      <c r="H70" s="110" t="s">
        <v>581</v>
      </c>
    </row>
    <row r="71" spans="1:13" s="70" customFormat="1" x14ac:dyDescent="0.2">
      <c r="A71" s="24"/>
      <c r="B71" s="1"/>
      <c r="C71" s="78" t="s">
        <v>579</v>
      </c>
      <c r="D71" s="109">
        <f>D69+D70</f>
        <v>772.05</v>
      </c>
      <c r="E71" s="104"/>
      <c r="F71" s="2"/>
      <c r="G71" s="30"/>
    </row>
    <row r="72" spans="1:13" s="70" customFormat="1" x14ac:dyDescent="0.2">
      <c r="A72" s="24"/>
      <c r="B72" s="1"/>
      <c r="C72" s="105"/>
      <c r="D72" s="106"/>
      <c r="E72" s="104"/>
      <c r="F72" s="2"/>
      <c r="G72" s="30"/>
      <c r="I72" s="2"/>
      <c r="J72" s="114" t="s">
        <v>713</v>
      </c>
      <c r="K72" s="2"/>
      <c r="L72" s="2"/>
      <c r="M72" s="2"/>
    </row>
    <row r="73" spans="1:13" s="70" customFormat="1" x14ac:dyDescent="0.2">
      <c r="A73" s="24"/>
      <c r="B73" s="1"/>
      <c r="C73" s="78" t="s">
        <v>577</v>
      </c>
      <c r="D73" s="109">
        <f>D64+D71</f>
        <v>3202.9700000000003</v>
      </c>
      <c r="E73" s="104"/>
      <c r="F73" s="2"/>
      <c r="G73" s="30"/>
      <c r="I73" s="113"/>
      <c r="J73" s="113" t="s">
        <v>709</v>
      </c>
      <c r="K73" s="113" t="s">
        <v>710</v>
      </c>
      <c r="L73" s="113" t="s">
        <v>711</v>
      </c>
      <c r="M73" s="113" t="s">
        <v>712</v>
      </c>
    </row>
    <row r="74" spans="1:13" s="70" customFormat="1" x14ac:dyDescent="0.2">
      <c r="A74" s="24"/>
      <c r="B74" s="1"/>
      <c r="C74" s="56"/>
      <c r="D74" s="56"/>
      <c r="E74" s="104"/>
      <c r="F74" s="2"/>
      <c r="G74" s="30"/>
      <c r="I74" s="113" t="s">
        <v>706</v>
      </c>
      <c r="J74" s="115"/>
      <c r="K74" s="115">
        <v>968.99</v>
      </c>
      <c r="L74" s="115">
        <v>968.99</v>
      </c>
      <c r="M74" s="113">
        <f>+J74+L74-K74</f>
        <v>0</v>
      </c>
    </row>
    <row r="75" spans="1:13" s="70" customFormat="1" ht="38.25" x14ac:dyDescent="0.2">
      <c r="A75" s="24"/>
      <c r="B75" s="1"/>
      <c r="C75" s="79" t="str">
        <f>"Particulars ( 01-04-2021 to "&amp;TEXT(A5,"dd-mm-yyyy")&amp;" )"</f>
        <v>Particulars ( 01-04-2021 to 30-10-2023 )</v>
      </c>
      <c r="D75" s="80" t="s">
        <v>73</v>
      </c>
      <c r="E75" s="80" t="s">
        <v>74</v>
      </c>
      <c r="F75" s="81" t="s">
        <v>75</v>
      </c>
      <c r="G75" s="80" t="s">
        <v>76</v>
      </c>
      <c r="I75" s="113" t="s">
        <v>707</v>
      </c>
      <c r="J75" s="115">
        <v>183.1</v>
      </c>
      <c r="K75" s="115">
        <v>3880.31</v>
      </c>
      <c r="L75" s="115">
        <v>4120.1499999999996</v>
      </c>
      <c r="M75" s="113">
        <f>+J75+L75-K75</f>
        <v>422.94000000000005</v>
      </c>
    </row>
    <row r="76" spans="1:13" s="70" customFormat="1" x14ac:dyDescent="0.2">
      <c r="A76" s="24"/>
      <c r="B76" s="1"/>
      <c r="C76" s="50" t="s">
        <v>444</v>
      </c>
      <c r="D76" s="55">
        <f>+L74+L75+J75</f>
        <v>5272.24</v>
      </c>
      <c r="E76" s="55">
        <f>+K74+K75</f>
        <v>4849.3</v>
      </c>
      <c r="F76" s="55">
        <f>+D76-E76</f>
        <v>422.9399999999996</v>
      </c>
      <c r="G76" s="55">
        <f>1500-F76</f>
        <v>1077.0600000000004</v>
      </c>
      <c r="I76" s="113" t="s">
        <v>708</v>
      </c>
      <c r="J76" s="115">
        <v>1371.02</v>
      </c>
      <c r="K76" s="115">
        <v>14721.56</v>
      </c>
      <c r="L76" s="115">
        <v>14403.31</v>
      </c>
      <c r="M76" s="113">
        <f>+J76+L76-K76</f>
        <v>1052.7700000000004</v>
      </c>
    </row>
    <row r="77" spans="1:13" s="70" customFormat="1" ht="12.75" customHeight="1" x14ac:dyDescent="0.2">
      <c r="A77" s="24"/>
      <c r="B77" s="1"/>
      <c r="C77" s="50" t="s">
        <v>71</v>
      </c>
      <c r="D77" s="55">
        <f>+J76+L76</f>
        <v>15774.33</v>
      </c>
      <c r="E77" s="55">
        <f>+K76</f>
        <v>14721.56</v>
      </c>
      <c r="F77" s="55">
        <f>+D77-E77</f>
        <v>1052.7700000000004</v>
      </c>
      <c r="G77" s="55">
        <f>1500+700-F77</f>
        <v>1147.2299999999996</v>
      </c>
      <c r="I77" s="2"/>
      <c r="J77" s="118">
        <f>SUM(J74:J76)</f>
        <v>1554.12</v>
      </c>
      <c r="K77" s="118">
        <f>SUM(K74:K76)</f>
        <v>19570.86</v>
      </c>
      <c r="L77" s="118">
        <f>SUM(L74:L76)</f>
        <v>19492.449999999997</v>
      </c>
      <c r="M77" s="118">
        <f>SUM(M74:M76)</f>
        <v>1475.7100000000005</v>
      </c>
    </row>
    <row r="78" spans="1:13" s="70" customFormat="1" ht="12.75" customHeight="1" x14ac:dyDescent="0.2">
      <c r="A78" s="24"/>
      <c r="B78" s="1"/>
      <c r="C78" s="14"/>
      <c r="D78" s="56"/>
      <c r="E78" s="13"/>
      <c r="F78" s="2"/>
      <c r="G78" s="30"/>
    </row>
    <row r="79" spans="1:13" s="70" customFormat="1" ht="12.75" customHeight="1" x14ac:dyDescent="0.2">
      <c r="A79" s="215" t="s">
        <v>80</v>
      </c>
      <c r="B79" s="216"/>
      <c r="C79" s="216"/>
      <c r="D79" s="217"/>
      <c r="E79" s="69"/>
      <c r="G79" s="30"/>
    </row>
    <row r="80" spans="1:13" s="70" customFormat="1" ht="12.75" customHeight="1" x14ac:dyDescent="0.2">
      <c r="A80" s="71" t="s">
        <v>81</v>
      </c>
      <c r="B80" s="71"/>
      <c r="C80" s="72" t="s">
        <v>82</v>
      </c>
      <c r="D80" s="73" t="s">
        <v>83</v>
      </c>
      <c r="E80" s="69"/>
      <c r="G80" s="30"/>
    </row>
    <row r="81" spans="1:14" s="70" customFormat="1" ht="12.75" customHeight="1" x14ac:dyDescent="0.2">
      <c r="A81" s="87">
        <v>45203</v>
      </c>
      <c r="B81" s="120" t="s">
        <v>1052</v>
      </c>
      <c r="C81" s="75" t="s">
        <v>18</v>
      </c>
      <c r="D81" s="88">
        <v>193358.43</v>
      </c>
      <c r="E81" s="2"/>
      <c r="F81" s="2"/>
      <c r="G81" s="30"/>
      <c r="H81" s="2"/>
      <c r="I81" s="2"/>
      <c r="J81" s="2"/>
      <c r="K81" s="2"/>
      <c r="L81" s="41"/>
      <c r="M81" s="42"/>
      <c r="N81" s="2"/>
    </row>
    <row r="82" spans="1:14" s="70" customFormat="1" ht="12.75" customHeight="1" x14ac:dyDescent="0.2">
      <c r="A82" s="87">
        <v>45203</v>
      </c>
      <c r="B82" s="120" t="s">
        <v>1052</v>
      </c>
      <c r="C82" s="75" t="s">
        <v>270</v>
      </c>
      <c r="D82" s="88">
        <v>254277</v>
      </c>
      <c r="E82" s="2"/>
      <c r="F82" s="2"/>
      <c r="G82" s="30"/>
      <c r="H82" s="2"/>
      <c r="I82" s="2"/>
      <c r="J82" s="2"/>
      <c r="K82" s="2"/>
      <c r="L82" s="41"/>
      <c r="M82" s="42"/>
      <c r="N82" s="2"/>
    </row>
    <row r="83" spans="1:14" s="70" customFormat="1" ht="12.75" customHeight="1" x14ac:dyDescent="0.2">
      <c r="A83" s="87">
        <v>45204</v>
      </c>
      <c r="B83" s="120" t="s">
        <v>1052</v>
      </c>
      <c r="C83" s="75" t="s">
        <v>85</v>
      </c>
      <c r="D83" s="88">
        <v>765297</v>
      </c>
      <c r="E83" s="2"/>
      <c r="F83" s="2"/>
      <c r="G83" s="30"/>
      <c r="H83" s="2"/>
      <c r="I83" s="2"/>
      <c r="J83" s="2"/>
      <c r="K83" s="2"/>
      <c r="L83" s="41"/>
      <c r="M83" s="42"/>
      <c r="N83" s="2"/>
    </row>
    <row r="84" spans="1:14" s="70" customFormat="1" ht="12.75" customHeight="1" x14ac:dyDescent="0.2">
      <c r="A84" s="87">
        <v>45209</v>
      </c>
      <c r="B84" s="120" t="s">
        <v>1052</v>
      </c>
      <c r="C84" s="75" t="s">
        <v>606</v>
      </c>
      <c r="D84" s="88">
        <v>2261658</v>
      </c>
      <c r="E84" s="2"/>
      <c r="F84" s="2"/>
      <c r="G84" s="30"/>
      <c r="H84" s="2"/>
      <c r="I84" s="2"/>
      <c r="J84" s="2"/>
      <c r="K84" s="2"/>
      <c r="L84" s="41"/>
      <c r="M84" s="42"/>
      <c r="N84" s="2"/>
    </row>
    <row r="85" spans="1:14" s="70" customFormat="1" ht="12.75" customHeight="1" x14ac:dyDescent="0.2">
      <c r="A85" s="87">
        <v>45211</v>
      </c>
      <c r="B85" s="120" t="s">
        <v>1052</v>
      </c>
      <c r="C85" s="75" t="s">
        <v>18</v>
      </c>
      <c r="D85" s="88">
        <v>35919</v>
      </c>
      <c r="E85" s="2"/>
      <c r="F85" s="2"/>
      <c r="G85" s="30"/>
      <c r="H85" s="2"/>
      <c r="I85" s="2"/>
      <c r="J85" s="2"/>
      <c r="K85" s="2"/>
      <c r="L85" s="41"/>
      <c r="M85" s="42"/>
      <c r="N85" s="2"/>
    </row>
    <row r="86" spans="1:14" s="70" customFormat="1" ht="12.75" customHeight="1" x14ac:dyDescent="0.2">
      <c r="A86" s="87">
        <v>45211</v>
      </c>
      <c r="B86" s="120" t="s">
        <v>1052</v>
      </c>
      <c r="C86" s="75" t="s">
        <v>84</v>
      </c>
      <c r="D86" s="88">
        <v>856347</v>
      </c>
      <c r="E86" s="2"/>
      <c r="F86" s="2"/>
      <c r="G86" s="30"/>
      <c r="H86" s="2"/>
      <c r="I86" s="2"/>
      <c r="J86" s="2"/>
      <c r="K86" s="2"/>
      <c r="L86" s="41"/>
      <c r="M86" s="42"/>
      <c r="N86" s="2"/>
    </row>
    <row r="87" spans="1:14" s="70" customFormat="1" ht="12.75" customHeight="1" x14ac:dyDescent="0.2">
      <c r="A87" s="87">
        <v>45212</v>
      </c>
      <c r="B87" s="120" t="s">
        <v>1052</v>
      </c>
      <c r="C87" s="75" t="s">
        <v>201</v>
      </c>
      <c r="D87" s="88">
        <v>1600267.2</v>
      </c>
      <c r="E87" s="2"/>
      <c r="F87" s="2"/>
      <c r="G87" s="30"/>
      <c r="H87" s="2"/>
      <c r="I87" s="2"/>
      <c r="J87" s="2"/>
      <c r="K87" s="2"/>
      <c r="L87" s="41"/>
      <c r="M87" s="42"/>
      <c r="N87" s="2"/>
    </row>
    <row r="88" spans="1:14" s="70" customFormat="1" ht="12.75" customHeight="1" x14ac:dyDescent="0.2">
      <c r="A88" s="87">
        <v>45215</v>
      </c>
      <c r="B88" s="120" t="s">
        <v>1052</v>
      </c>
      <c r="C88" s="75" t="s">
        <v>1683</v>
      </c>
      <c r="D88" s="88">
        <v>6496492</v>
      </c>
      <c r="E88" s="2"/>
      <c r="F88" s="2"/>
      <c r="G88" s="30"/>
      <c r="H88" s="2"/>
      <c r="I88" s="2"/>
      <c r="J88" s="2"/>
      <c r="K88" s="2"/>
      <c r="L88" s="41"/>
      <c r="M88" s="42"/>
      <c r="N88" s="2"/>
    </row>
    <row r="89" spans="1:14" s="70" customFormat="1" ht="12.75" customHeight="1" x14ac:dyDescent="0.2">
      <c r="A89" s="87">
        <v>45217</v>
      </c>
      <c r="B89" s="120" t="s">
        <v>1052</v>
      </c>
      <c r="C89" s="75" t="s">
        <v>1084</v>
      </c>
      <c r="D89" s="88">
        <v>1789287</v>
      </c>
      <c r="E89" s="2"/>
      <c r="F89" s="2"/>
      <c r="G89" s="30"/>
      <c r="H89" s="2"/>
      <c r="I89" s="2"/>
      <c r="J89" s="2"/>
      <c r="K89" s="2"/>
      <c r="L89" s="41"/>
      <c r="M89" s="42"/>
      <c r="N89" s="2"/>
    </row>
    <row r="90" spans="1:14" s="70" customFormat="1" ht="12.75" customHeight="1" x14ac:dyDescent="0.2">
      <c r="A90" s="87">
        <v>45218</v>
      </c>
      <c r="B90" s="120" t="s">
        <v>1052</v>
      </c>
      <c r="C90" s="75" t="s">
        <v>606</v>
      </c>
      <c r="D90" s="88">
        <v>189973.92</v>
      </c>
      <c r="E90" s="2"/>
      <c r="F90" s="2"/>
      <c r="G90" s="30"/>
      <c r="H90" s="2"/>
      <c r="I90" s="2"/>
      <c r="J90" s="2"/>
      <c r="K90" s="2"/>
      <c r="L90" s="41"/>
      <c r="M90" s="42"/>
      <c r="N90" s="2"/>
    </row>
    <row r="91" spans="1:14" s="70" customFormat="1" ht="12.75" customHeight="1" x14ac:dyDescent="0.2">
      <c r="A91" s="87">
        <v>45218</v>
      </c>
      <c r="B91" s="120" t="s">
        <v>1052</v>
      </c>
      <c r="C91" s="75" t="s">
        <v>18</v>
      </c>
      <c r="D91" s="88">
        <v>734545</v>
      </c>
      <c r="E91" s="2"/>
      <c r="F91" s="2"/>
      <c r="G91" s="30"/>
      <c r="H91" s="2"/>
      <c r="I91" s="2"/>
      <c r="J91" s="2"/>
      <c r="K91" s="2"/>
      <c r="L91" s="41"/>
      <c r="M91" s="42"/>
      <c r="N91" s="2"/>
    </row>
    <row r="92" spans="1:14" s="70" customFormat="1" ht="12.75" customHeight="1" x14ac:dyDescent="0.2">
      <c r="A92" s="87">
        <v>45219</v>
      </c>
      <c r="B92" s="120" t="s">
        <v>1052</v>
      </c>
      <c r="C92" s="75" t="s">
        <v>270</v>
      </c>
      <c r="D92" s="88">
        <v>302951</v>
      </c>
      <c r="E92" s="2"/>
      <c r="F92" s="2"/>
      <c r="G92" s="30"/>
      <c r="H92" s="2"/>
      <c r="I92" s="2"/>
      <c r="J92" s="2"/>
      <c r="K92" s="2"/>
      <c r="L92" s="41"/>
      <c r="M92" s="42"/>
      <c r="N92" s="2"/>
    </row>
    <row r="93" spans="1:14" s="70" customFormat="1" ht="12.75" customHeight="1" x14ac:dyDescent="0.2">
      <c r="A93" s="87">
        <v>45219</v>
      </c>
      <c r="B93" s="120" t="s">
        <v>1052</v>
      </c>
      <c r="C93" s="75" t="s">
        <v>270</v>
      </c>
      <c r="D93" s="88">
        <v>6923</v>
      </c>
      <c r="E93" s="2"/>
      <c r="F93" s="2"/>
      <c r="G93" s="30"/>
      <c r="H93" s="2"/>
      <c r="I93" s="2"/>
      <c r="J93" s="2"/>
      <c r="K93" s="2"/>
      <c r="L93" s="41"/>
      <c r="M93" s="42"/>
      <c r="N93" s="2"/>
    </row>
    <row r="94" spans="1:14" s="70" customFormat="1" ht="12.75" customHeight="1" x14ac:dyDescent="0.2">
      <c r="A94" s="87">
        <v>45219</v>
      </c>
      <c r="B94" s="120" t="s">
        <v>1052</v>
      </c>
      <c r="C94" s="75" t="s">
        <v>88</v>
      </c>
      <c r="D94" s="88">
        <v>9230617.5700000003</v>
      </c>
      <c r="E94" s="2"/>
      <c r="F94" s="2"/>
      <c r="G94" s="30"/>
      <c r="H94" s="2"/>
      <c r="I94" s="2"/>
      <c r="J94" s="2"/>
      <c r="K94" s="2"/>
      <c r="L94" s="41"/>
      <c r="M94" s="42"/>
      <c r="N94" s="2"/>
    </row>
    <row r="95" spans="1:14" s="70" customFormat="1" ht="12.75" customHeight="1" x14ac:dyDescent="0.2">
      <c r="A95" s="87">
        <v>45220</v>
      </c>
      <c r="B95" s="120" t="s">
        <v>1052</v>
      </c>
      <c r="C95" s="75" t="s">
        <v>85</v>
      </c>
      <c r="D95" s="88">
        <v>323371</v>
      </c>
      <c r="E95" s="2"/>
      <c r="F95" s="2"/>
      <c r="G95" s="30"/>
      <c r="H95" s="2"/>
      <c r="I95" s="2"/>
      <c r="J95" s="2"/>
      <c r="K95" s="2"/>
      <c r="L95" s="41"/>
      <c r="M95" s="42"/>
      <c r="N95" s="2"/>
    </row>
    <row r="96" spans="1:14" s="70" customFormat="1" ht="12.75" customHeight="1" x14ac:dyDescent="0.2">
      <c r="A96" s="87">
        <v>45222</v>
      </c>
      <c r="B96" s="120" t="s">
        <v>1052</v>
      </c>
      <c r="C96" s="75" t="s">
        <v>86</v>
      </c>
      <c r="D96" s="88">
        <v>1229642</v>
      </c>
      <c r="E96" s="2"/>
      <c r="F96" s="2"/>
      <c r="G96" s="30"/>
      <c r="H96" s="2"/>
      <c r="I96" s="2"/>
      <c r="J96" s="2"/>
      <c r="K96" s="2"/>
      <c r="L96" s="41"/>
      <c r="M96" s="42"/>
      <c r="N96" s="2"/>
    </row>
    <row r="97" spans="1:14" s="70" customFormat="1" ht="12.75" customHeight="1" x14ac:dyDescent="0.2">
      <c r="A97" s="87">
        <v>45222</v>
      </c>
      <c r="B97" s="120" t="s">
        <v>1052</v>
      </c>
      <c r="C97" s="75" t="s">
        <v>86</v>
      </c>
      <c r="D97" s="88">
        <v>46995</v>
      </c>
      <c r="E97" s="2"/>
      <c r="F97" s="2"/>
      <c r="G97" s="30"/>
      <c r="H97" s="2"/>
      <c r="I97" s="2"/>
      <c r="J97" s="2"/>
      <c r="K97" s="2"/>
      <c r="L97" s="41"/>
      <c r="M97" s="42"/>
      <c r="N97" s="2"/>
    </row>
    <row r="98" spans="1:14" s="70" customFormat="1" ht="12.75" customHeight="1" x14ac:dyDescent="0.2">
      <c r="A98" s="87">
        <v>45222</v>
      </c>
      <c r="B98" s="120" t="s">
        <v>1052</v>
      </c>
      <c r="C98" s="75" t="s">
        <v>86</v>
      </c>
      <c r="D98" s="88">
        <v>782535</v>
      </c>
      <c r="E98" s="2"/>
      <c r="F98" s="2"/>
      <c r="G98" s="30"/>
      <c r="H98" s="2"/>
      <c r="I98" s="2"/>
      <c r="J98" s="2"/>
      <c r="K98" s="2"/>
      <c r="L98" s="41"/>
      <c r="M98" s="42"/>
      <c r="N98" s="2"/>
    </row>
    <row r="99" spans="1:14" s="70" customFormat="1" ht="12.75" customHeight="1" x14ac:dyDescent="0.2">
      <c r="A99" s="87">
        <v>45224</v>
      </c>
      <c r="B99" s="120" t="s">
        <v>1052</v>
      </c>
      <c r="C99" s="75" t="s">
        <v>85</v>
      </c>
      <c r="D99" s="88">
        <v>631492</v>
      </c>
      <c r="E99" s="2"/>
      <c r="F99" s="2"/>
      <c r="G99" s="30"/>
      <c r="H99" s="2"/>
      <c r="I99" s="2"/>
      <c r="J99" s="2"/>
      <c r="K99" s="2"/>
      <c r="L99" s="41"/>
      <c r="M99" s="42"/>
      <c r="N99" s="2"/>
    </row>
    <row r="100" spans="1:14" s="70" customFormat="1" ht="12.75" customHeight="1" x14ac:dyDescent="0.2">
      <c r="A100" s="87">
        <v>45224</v>
      </c>
      <c r="B100" s="120" t="s">
        <v>1052</v>
      </c>
      <c r="C100" s="75" t="s">
        <v>85</v>
      </c>
      <c r="D100" s="88">
        <v>118093</v>
      </c>
      <c r="E100" s="2"/>
      <c r="F100" s="2"/>
      <c r="G100" s="30"/>
      <c r="H100" s="2"/>
      <c r="I100" s="2"/>
      <c r="J100" s="2"/>
      <c r="K100" s="2"/>
      <c r="L100" s="41"/>
      <c r="M100" s="42"/>
      <c r="N100" s="2"/>
    </row>
    <row r="101" spans="1:14" s="70" customFormat="1" ht="12.75" customHeight="1" x14ac:dyDescent="0.2">
      <c r="A101" s="87">
        <v>45224</v>
      </c>
      <c r="B101" s="120" t="s">
        <v>1052</v>
      </c>
      <c r="C101" s="75" t="s">
        <v>323</v>
      </c>
      <c r="D101" s="88">
        <v>13689</v>
      </c>
      <c r="E101" s="2"/>
      <c r="F101" s="2"/>
      <c r="G101" s="30"/>
      <c r="H101" s="2"/>
      <c r="I101" s="2"/>
      <c r="J101" s="2"/>
      <c r="K101" s="2"/>
      <c r="L101" s="41"/>
      <c r="M101" s="42"/>
      <c r="N101" s="2"/>
    </row>
    <row r="102" spans="1:14" s="70" customFormat="1" ht="12.75" customHeight="1" x14ac:dyDescent="0.2">
      <c r="A102" s="87">
        <v>45226</v>
      </c>
      <c r="B102" s="120" t="s">
        <v>1052</v>
      </c>
      <c r="C102" s="75" t="s">
        <v>85</v>
      </c>
      <c r="D102" s="88">
        <v>261842</v>
      </c>
      <c r="E102" s="2"/>
      <c r="F102" s="2"/>
      <c r="G102" s="30"/>
      <c r="H102" s="2"/>
      <c r="I102" s="2"/>
      <c r="J102" s="2"/>
      <c r="K102" s="2"/>
      <c r="L102" s="41"/>
      <c r="M102" s="42"/>
      <c r="N102" s="2"/>
    </row>
    <row r="103" spans="1:14" s="2" customFormat="1" x14ac:dyDescent="0.2">
      <c r="A103" s="87"/>
      <c r="B103" s="74"/>
      <c r="C103" s="75"/>
      <c r="D103" s="51">
        <f>SUM(D81:D102)</f>
        <v>28125572.119999997</v>
      </c>
      <c r="F103" s="2" t="s">
        <v>396</v>
      </c>
      <c r="G103" s="1"/>
    </row>
    <row r="104" spans="1:14" s="2" customFormat="1" x14ac:dyDescent="0.2">
      <c r="A104" s="24"/>
      <c r="B104" s="1"/>
      <c r="C104" s="14"/>
      <c r="D104" s="56"/>
      <c r="E104" s="13"/>
      <c r="G104" s="1"/>
    </row>
    <row r="105" spans="1:14" s="2" customFormat="1" x14ac:dyDescent="0.2">
      <c r="A105" s="24"/>
      <c r="B105" s="1"/>
      <c r="C105" s="218" t="s">
        <v>77</v>
      </c>
      <c r="D105" s="219"/>
      <c r="E105" s="219"/>
      <c r="F105" s="220"/>
      <c r="H105" s="2" t="s">
        <v>396</v>
      </c>
    </row>
    <row r="106" spans="1:14" s="2" customFormat="1" x14ac:dyDescent="0.2">
      <c r="A106" s="24"/>
      <c r="B106" s="1"/>
      <c r="C106" s="50"/>
      <c r="D106" s="57" t="s">
        <v>78</v>
      </c>
      <c r="E106" s="58" t="s">
        <v>79</v>
      </c>
      <c r="F106" s="57" t="s">
        <v>72</v>
      </c>
      <c r="H106" s="2" t="s">
        <v>396</v>
      </c>
    </row>
    <row r="107" spans="1:14" s="2" customFormat="1" x14ac:dyDescent="0.2">
      <c r="A107" s="24"/>
      <c r="B107" s="1"/>
      <c r="C107" s="59" t="str">
        <f>"01-10-2023 to "&amp;TEXT(A5-2,"dd-mm-yyyy")</f>
        <v>01-10-2023 to 28-10-2023</v>
      </c>
      <c r="D107" s="60">
        <v>2275.92</v>
      </c>
      <c r="E107" s="60">
        <v>470.26</v>
      </c>
      <c r="F107" s="61">
        <f>SUM(D107:E107)</f>
        <v>2746.1800000000003</v>
      </c>
    </row>
    <row r="108" spans="1:14" s="2" customFormat="1" x14ac:dyDescent="0.2">
      <c r="A108" s="24"/>
      <c r="B108" s="1"/>
      <c r="C108" s="62" t="str">
        <f>TEXT(A5-1,"dd-mm-yyyy")</f>
        <v>29-10-2023</v>
      </c>
      <c r="D108" s="60">
        <v>16.13</v>
      </c>
      <c r="E108" s="60">
        <v>1.47</v>
      </c>
      <c r="F108" s="61">
        <f>SUM(D108:E108)</f>
        <v>17.599999999999998</v>
      </c>
      <c r="G108" s="1"/>
      <c r="H108" s="53"/>
    </row>
    <row r="109" spans="1:14" s="2" customFormat="1" ht="13.5" thickBot="1" x14ac:dyDescent="0.25">
      <c r="A109" s="24"/>
      <c r="B109" s="1"/>
      <c r="C109" s="63" t="str">
        <f>"01-10-2023 to "&amp;TEXT(A5-1,"dd-mm-yyyy")</f>
        <v>01-10-2023 to 29-10-2023</v>
      </c>
      <c r="D109" s="64">
        <f>SUM(D107:D108)</f>
        <v>2292.0500000000002</v>
      </c>
      <c r="E109" s="64">
        <f>SUM(E107:E108)</f>
        <v>471.73</v>
      </c>
      <c r="F109" s="64">
        <f>SUM(F107:F108)</f>
        <v>2763.78</v>
      </c>
      <c r="G109" s="1"/>
      <c r="H109" s="53"/>
    </row>
    <row r="110" spans="1:14" s="2" customFormat="1" ht="13.5" thickTop="1" x14ac:dyDescent="0.2">
      <c r="A110" s="24"/>
      <c r="B110" s="1"/>
      <c r="C110" s="62"/>
      <c r="D110" s="65"/>
      <c r="E110" s="66"/>
      <c r="F110" s="67"/>
      <c r="L110" s="1"/>
      <c r="M110" s="1"/>
    </row>
    <row r="111" spans="1:14" s="2" customFormat="1" x14ac:dyDescent="0.2">
      <c r="A111" s="24"/>
      <c r="B111" s="1"/>
      <c r="C111" s="62" t="str">
        <f>"01-04-2023 to " &amp;C108</f>
        <v>01-04-2023 to 29-10-2023</v>
      </c>
      <c r="D111" s="68">
        <f>+D109+27003.42</f>
        <v>29295.469999999998</v>
      </c>
      <c r="E111" s="68">
        <f>+E109+2028.43</f>
        <v>2500.16</v>
      </c>
      <c r="F111" s="68">
        <f>+F109+29031.85</f>
        <v>31795.629999999997</v>
      </c>
      <c r="G111" s="1"/>
      <c r="L111" s="1"/>
      <c r="M111" s="1"/>
    </row>
    <row r="112" spans="1:14" s="2" customFormat="1" x14ac:dyDescent="0.2">
      <c r="A112" s="24"/>
      <c r="B112" s="1"/>
      <c r="C112" s="52"/>
      <c r="D112" s="85"/>
      <c r="E112" s="53"/>
      <c r="F112" s="53"/>
      <c r="G112" s="1"/>
      <c r="L112" s="1"/>
      <c r="M112" s="1"/>
    </row>
    <row r="113" spans="1:13" s="2" customFormat="1" x14ac:dyDescent="0.2">
      <c r="A113" s="24"/>
      <c r="B113" s="1"/>
      <c r="C113" s="52"/>
      <c r="D113" s="85"/>
      <c r="E113" s="53"/>
      <c r="F113" s="53"/>
      <c r="G113" s="1"/>
      <c r="L113" s="1"/>
      <c r="M113" s="1"/>
    </row>
    <row r="114" spans="1:13" s="2" customFormat="1" x14ac:dyDescent="0.2">
      <c r="A114" s="24"/>
      <c r="B114" s="1"/>
      <c r="C114" s="52"/>
      <c r="D114" s="85"/>
      <c r="E114" s="53"/>
      <c r="F114" s="53"/>
      <c r="G114" s="1"/>
      <c r="L114" s="1"/>
      <c r="M114" s="1"/>
    </row>
    <row r="115" spans="1:13" s="2" customFormat="1" x14ac:dyDescent="0.2">
      <c r="A115" s="24"/>
      <c r="B115" s="1"/>
      <c r="C115" s="52"/>
      <c r="D115" s="85"/>
      <c r="E115" s="53"/>
      <c r="F115" s="53"/>
      <c r="G115" s="1"/>
      <c r="L115" s="1"/>
      <c r="M115" s="1"/>
    </row>
    <row r="116" spans="1:13" s="2" customFormat="1" x14ac:dyDescent="0.2">
      <c r="A116" s="24"/>
      <c r="B116" s="1"/>
      <c r="C116" s="14"/>
      <c r="D116" s="25"/>
      <c r="G116" s="1"/>
      <c r="L116" s="1"/>
      <c r="M116" s="1"/>
    </row>
    <row r="117" spans="1:13" s="2" customFormat="1" x14ac:dyDescent="0.2">
      <c r="A117" s="24"/>
      <c r="B117" s="1"/>
      <c r="C117" s="14"/>
      <c r="D117" s="25"/>
      <c r="G117" s="1"/>
      <c r="L117" s="1"/>
      <c r="M117" s="1"/>
    </row>
    <row r="118" spans="1:13" s="2" customFormat="1" x14ac:dyDescent="0.2">
      <c r="A118" s="24"/>
      <c r="B118" s="1"/>
      <c r="C118" s="14"/>
      <c r="D118" s="25"/>
      <c r="G118" s="1"/>
      <c r="L118" s="1"/>
      <c r="M118" s="1"/>
    </row>
    <row r="119" spans="1:13" s="2" customFormat="1" x14ac:dyDescent="0.2">
      <c r="A119" s="24"/>
      <c r="B119" s="1"/>
      <c r="C119" s="14"/>
      <c r="D119" s="25"/>
      <c r="G119" s="1"/>
      <c r="L119" s="1"/>
      <c r="M119" s="1"/>
    </row>
    <row r="120" spans="1:13" s="2" customFormat="1" x14ac:dyDescent="0.2">
      <c r="A120" s="24"/>
      <c r="B120" s="1"/>
      <c r="C120" s="14"/>
      <c r="D120" s="25"/>
      <c r="G120" s="1"/>
      <c r="L120" s="1"/>
      <c r="M120" s="1"/>
    </row>
    <row r="121" spans="1:13" s="2" customFormat="1" x14ac:dyDescent="0.2">
      <c r="A121" s="24"/>
      <c r="B121" s="1"/>
      <c r="C121" s="14"/>
      <c r="D121" s="25"/>
      <c r="G121" s="1"/>
      <c r="L121" s="1"/>
      <c r="M121" s="1"/>
    </row>
    <row r="122" spans="1:13" s="2" customFormat="1" x14ac:dyDescent="0.2">
      <c r="A122" s="24"/>
      <c r="B122" s="1"/>
      <c r="C122" s="14"/>
      <c r="D122" s="25"/>
      <c r="G122" s="1"/>
      <c r="L122" s="1"/>
      <c r="M122" s="1"/>
    </row>
    <row r="123" spans="1:13" s="2" customFormat="1" x14ac:dyDescent="0.2">
      <c r="A123" s="24"/>
      <c r="B123" s="1"/>
      <c r="C123" s="14"/>
      <c r="D123" s="25"/>
      <c r="G123" s="1"/>
      <c r="L123" s="1"/>
      <c r="M123" s="1"/>
    </row>
    <row r="124" spans="1:13" s="2" customFormat="1" x14ac:dyDescent="0.2">
      <c r="A124" s="24"/>
      <c r="B124" s="1"/>
      <c r="C124" s="14"/>
      <c r="D124" s="25"/>
      <c r="G124" s="1"/>
      <c r="L124" s="1"/>
      <c r="M124" s="1"/>
    </row>
    <row r="125" spans="1:13" s="2" customFormat="1" x14ac:dyDescent="0.2">
      <c r="A125" s="24"/>
      <c r="B125" s="1"/>
      <c r="C125" s="14"/>
      <c r="D125" s="25"/>
      <c r="G125" s="1"/>
      <c r="L125" s="1"/>
      <c r="M125" s="1"/>
    </row>
    <row r="126" spans="1:13" s="2" customFormat="1" x14ac:dyDescent="0.2">
      <c r="A126" s="24"/>
      <c r="B126" s="1"/>
      <c r="C126" s="14"/>
      <c r="D126" s="25"/>
      <c r="G126" s="1"/>
      <c r="L126" s="1"/>
      <c r="M126" s="1"/>
    </row>
    <row r="127" spans="1:13" s="2" customFormat="1" x14ac:dyDescent="0.2">
      <c r="A127" s="24"/>
      <c r="B127" s="1"/>
      <c r="C127" s="14"/>
      <c r="D127" s="25"/>
      <c r="G127" s="1"/>
      <c r="L127" s="1"/>
      <c r="M127" s="1"/>
    </row>
    <row r="128" spans="1:13" s="2" customFormat="1" x14ac:dyDescent="0.2">
      <c r="A128" s="24"/>
      <c r="B128" s="1"/>
      <c r="C128" s="14"/>
      <c r="D128" s="25"/>
      <c r="G128" s="1"/>
      <c r="L128" s="1"/>
      <c r="M128" s="1"/>
    </row>
    <row r="129" spans="1:14" s="2" customFormat="1" x14ac:dyDescent="0.2">
      <c r="A129" s="24"/>
      <c r="B129" s="1"/>
      <c r="C129" s="14"/>
      <c r="D129" s="25"/>
      <c r="G129" s="1"/>
      <c r="L129" s="1"/>
      <c r="M129" s="1"/>
    </row>
    <row r="130" spans="1:14" s="2" customFormat="1" x14ac:dyDescent="0.2">
      <c r="A130" s="24"/>
      <c r="B130" s="1"/>
      <c r="C130" s="14"/>
      <c r="D130" s="25"/>
      <c r="G130" s="1"/>
      <c r="I130" s="1"/>
      <c r="J130" s="1"/>
      <c r="K130" s="1"/>
      <c r="L130" s="1"/>
      <c r="M130" s="1"/>
    </row>
    <row r="131" spans="1:14" s="2" customFormat="1" x14ac:dyDescent="0.2">
      <c r="A131" s="24"/>
      <c r="B131" s="1"/>
      <c r="C131" s="14"/>
      <c r="D131" s="25"/>
      <c r="G131" s="1"/>
    </row>
    <row r="132" spans="1:14" s="2" customFormat="1" x14ac:dyDescent="0.2">
      <c r="A132" s="24"/>
      <c r="B132" s="1"/>
      <c r="C132" s="14"/>
      <c r="D132" s="25"/>
      <c r="G132" s="1"/>
      <c r="I132" s="1"/>
      <c r="J132" s="1"/>
      <c r="K132" s="1"/>
      <c r="L132" s="1"/>
      <c r="M132" s="1"/>
    </row>
    <row r="133" spans="1:14" s="2" customFormat="1" x14ac:dyDescent="0.2">
      <c r="A133" s="24"/>
      <c r="B133" s="1"/>
      <c r="C133" s="14"/>
      <c r="D133" s="25"/>
      <c r="G133" s="54"/>
      <c r="I133" s="1"/>
      <c r="J133" s="1"/>
      <c r="K133" s="1"/>
      <c r="L133" s="1"/>
      <c r="M133" s="1"/>
    </row>
    <row r="134" spans="1:14" s="2" customFormat="1" x14ac:dyDescent="0.2">
      <c r="A134" s="24"/>
      <c r="B134" s="1"/>
      <c r="C134" s="14"/>
      <c r="D134" s="25"/>
      <c r="G134" s="54"/>
      <c r="I134" s="1"/>
      <c r="J134" s="1"/>
      <c r="K134" s="1"/>
      <c r="L134" s="1"/>
      <c r="M134" s="1"/>
    </row>
    <row r="135" spans="1:14" s="2" customFormat="1" x14ac:dyDescent="0.2">
      <c r="A135" s="24"/>
      <c r="B135" s="1"/>
      <c r="C135" s="14"/>
      <c r="D135" s="25"/>
      <c r="G135" s="54"/>
      <c r="I135" s="1"/>
      <c r="J135" s="1"/>
      <c r="K135" s="1"/>
      <c r="L135" s="1"/>
      <c r="M135" s="1"/>
    </row>
    <row r="136" spans="1:14" s="2" customFormat="1" x14ac:dyDescent="0.2">
      <c r="A136" s="24"/>
      <c r="B136" s="1"/>
      <c r="C136" s="14"/>
      <c r="D136" s="25"/>
      <c r="G136" s="54"/>
      <c r="H136" s="2" t="s">
        <v>396</v>
      </c>
      <c r="I136" s="1"/>
      <c r="J136" s="1"/>
      <c r="K136" s="1"/>
      <c r="L136" s="1"/>
      <c r="M136" s="1"/>
      <c r="N136" s="1"/>
    </row>
    <row r="137" spans="1:14" s="2" customFormat="1" x14ac:dyDescent="0.2">
      <c r="A137" s="24"/>
      <c r="B137" s="1"/>
      <c r="C137" s="14"/>
      <c r="D137" s="25"/>
      <c r="G137" s="54"/>
      <c r="H137" s="53"/>
    </row>
    <row r="138" spans="1:14" s="2" customFormat="1" x14ac:dyDescent="0.2">
      <c r="A138" s="24"/>
      <c r="B138" s="1"/>
      <c r="C138" s="14"/>
      <c r="D138" s="25"/>
      <c r="G138" s="54"/>
      <c r="H138" s="53" t="s">
        <v>396</v>
      </c>
      <c r="I138" s="1"/>
      <c r="J138" s="1"/>
      <c r="K138" s="1"/>
      <c r="L138" s="1"/>
      <c r="M138" s="1"/>
      <c r="N138" s="1"/>
    </row>
    <row r="139" spans="1:14" x14ac:dyDescent="0.2">
      <c r="G139" s="54"/>
      <c r="H139" s="53" t="s">
        <v>396</v>
      </c>
      <c r="J139" s="42"/>
    </row>
    <row r="140" spans="1:14" s="2" customFormat="1" x14ac:dyDescent="0.2">
      <c r="A140" s="24"/>
      <c r="B140" s="1"/>
      <c r="C140" s="14"/>
      <c r="D140" s="25"/>
      <c r="G140" s="54"/>
      <c r="H140" s="53"/>
      <c r="I140" s="101"/>
      <c r="J140" s="1"/>
      <c r="K140" s="1"/>
      <c r="L140" s="1"/>
      <c r="M140" s="1"/>
      <c r="N140" s="1"/>
    </row>
    <row r="141" spans="1:14" x14ac:dyDescent="0.2">
      <c r="G141" s="54"/>
      <c r="H141" s="53"/>
    </row>
    <row r="142" spans="1:14" x14ac:dyDescent="0.2">
      <c r="G142" s="54"/>
      <c r="H142" s="53"/>
    </row>
    <row r="143" spans="1:14" x14ac:dyDescent="0.2">
      <c r="G143" s="54"/>
      <c r="H143" s="53"/>
    </row>
  </sheetData>
  <sheetProtection insertRows="0"/>
  <mergeCells count="6">
    <mergeCell ref="C105:F105"/>
    <mergeCell ref="A1:G1"/>
    <mergeCell ref="A3:F3"/>
    <mergeCell ref="A9:F9"/>
    <mergeCell ref="A20:F20"/>
    <mergeCell ref="A79:D79"/>
  </mergeCells>
  <conditionalFormatting sqref="G76:G77">
    <cfRule type="cellIs" dxfId="243" priority="1" operator="lessThan">
      <formula>0</formula>
    </cfRule>
  </conditionalFormatting>
  <conditionalFormatting sqref="C22">
    <cfRule type="duplicateValues" dxfId="242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900-000000000000}">
  <sheetPr codeName="Sheet465">
    <pageSetUpPr fitToPage="1"/>
  </sheetPr>
  <dimension ref="A1:N129"/>
  <sheetViews>
    <sheetView topLeftCell="D35" zoomScaleNormal="100" workbookViewId="0">
      <selection activeCell="J48" sqref="J48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1" ht="20.25" customHeight="1" x14ac:dyDescent="0.4">
      <c r="A1" s="212" t="s">
        <v>1728</v>
      </c>
      <c r="B1" s="212"/>
      <c r="C1" s="212"/>
      <c r="D1" s="212"/>
      <c r="E1" s="212"/>
      <c r="F1" s="212"/>
      <c r="G1" s="212"/>
      <c r="H1" s="112"/>
      <c r="I1" s="112"/>
    </row>
    <row r="2" spans="1:11" ht="12.75" customHeight="1" x14ac:dyDescent="0.4">
      <c r="H2" s="112"/>
      <c r="I2" s="112"/>
    </row>
    <row r="3" spans="1:11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1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1" s="2" customFormat="1" ht="14.25" customHeight="1" x14ac:dyDescent="0.4">
      <c r="A5" s="89">
        <v>45230</v>
      </c>
      <c r="B5" s="9" t="s">
        <v>6</v>
      </c>
      <c r="C5" s="10" t="s">
        <v>7</v>
      </c>
      <c r="D5" s="11"/>
      <c r="E5" s="12">
        <v>861727.40000000224</v>
      </c>
      <c r="F5" s="12"/>
      <c r="G5" s="1"/>
      <c r="H5" s="112"/>
      <c r="I5" s="112"/>
    </row>
    <row r="6" spans="1:11" s="2" customFormat="1" ht="12.75" customHeight="1" x14ac:dyDescent="0.4">
      <c r="D6" s="15" t="s">
        <v>8</v>
      </c>
      <c r="E6" s="16">
        <f>SUM(E5:E5)</f>
        <v>861727.40000000224</v>
      </c>
      <c r="F6" s="16"/>
      <c r="G6" s="1"/>
      <c r="H6" s="112"/>
      <c r="I6" s="112"/>
    </row>
    <row r="7" spans="1:11" s="2" customFormat="1" ht="12.75" customHeight="1" x14ac:dyDescent="0.4">
      <c r="A7" s="17"/>
      <c r="B7" s="18"/>
      <c r="C7" s="19" t="s">
        <v>9</v>
      </c>
      <c r="D7" s="20"/>
      <c r="E7" s="21">
        <f>+E6-F6</f>
        <v>861727.40000000224</v>
      </c>
      <c r="F7" s="22"/>
      <c r="G7" s="23"/>
      <c r="H7" s="112"/>
      <c r="I7" s="112"/>
      <c r="J7" s="13"/>
    </row>
    <row r="8" spans="1:11" ht="12.75" customHeight="1" x14ac:dyDescent="0.4">
      <c r="H8" s="112"/>
      <c r="I8" s="112"/>
    </row>
    <row r="9" spans="1:11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69">
        <f>90000000-60000000</f>
        <v>30000000</v>
      </c>
      <c r="J9" s="169" t="s">
        <v>1508</v>
      </c>
    </row>
    <row r="10" spans="1:11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69">
        <v>29312215.550000001</v>
      </c>
      <c r="J10" s="169" t="s">
        <v>1509</v>
      </c>
      <c r="K10" s="124"/>
    </row>
    <row r="11" spans="1:11" s="2" customFormat="1" ht="14.25" customHeight="1" x14ac:dyDescent="0.2">
      <c r="A11" s="89">
        <v>45230</v>
      </c>
      <c r="B11" s="9" t="s">
        <v>6</v>
      </c>
      <c r="C11" s="10" t="s">
        <v>7</v>
      </c>
      <c r="D11" s="11"/>
      <c r="F11" s="12">
        <v>22499686.319999997</v>
      </c>
      <c r="G11" s="1"/>
      <c r="H11" s="130" t="s">
        <v>396</v>
      </c>
      <c r="I11" s="169">
        <f>+I9-I10</f>
        <v>687784.44999999925</v>
      </c>
      <c r="J11" s="169" t="s">
        <v>712</v>
      </c>
      <c r="K11" s="165" t="s">
        <v>1512</v>
      </c>
    </row>
    <row r="12" spans="1:11" s="2" customFormat="1" ht="14.25" customHeight="1" x14ac:dyDescent="0.2">
      <c r="A12" s="89">
        <v>45230</v>
      </c>
      <c r="B12" s="9" t="s">
        <v>6</v>
      </c>
      <c r="C12" s="10" t="s">
        <v>420</v>
      </c>
      <c r="D12" s="11" t="s">
        <v>13</v>
      </c>
      <c r="E12" s="2">
        <v>2363</v>
      </c>
      <c r="F12" s="12"/>
      <c r="G12" s="1"/>
      <c r="H12" s="130"/>
      <c r="I12" s="169"/>
      <c r="J12" s="169"/>
      <c r="K12" s="165"/>
    </row>
    <row r="13" spans="1:11" s="2" customFormat="1" ht="14.25" customHeight="1" x14ac:dyDescent="0.2">
      <c r="A13" s="89">
        <v>45230</v>
      </c>
      <c r="B13" s="9" t="s">
        <v>11</v>
      </c>
      <c r="C13" s="10" t="s">
        <v>98</v>
      </c>
      <c r="D13" s="11" t="s">
        <v>29</v>
      </c>
      <c r="F13" s="12">
        <v>5771</v>
      </c>
      <c r="G13" s="1"/>
      <c r="H13" s="130"/>
      <c r="I13" s="169"/>
      <c r="J13" s="169"/>
      <c r="K13" s="165"/>
    </row>
    <row r="14" spans="1:11" s="2" customFormat="1" ht="14.25" customHeight="1" x14ac:dyDescent="0.2">
      <c r="A14" s="89">
        <v>45230</v>
      </c>
      <c r="B14" s="9" t="s">
        <v>11</v>
      </c>
      <c r="C14" s="10" t="s">
        <v>356</v>
      </c>
      <c r="D14" s="11" t="s">
        <v>29</v>
      </c>
      <c r="F14" s="12">
        <v>1345766</v>
      </c>
      <c r="G14" s="1"/>
      <c r="H14" s="130"/>
      <c r="I14" s="169"/>
      <c r="J14" s="169"/>
      <c r="K14" s="165"/>
    </row>
    <row r="15" spans="1:11" s="2" customFormat="1" ht="14.25" customHeight="1" x14ac:dyDescent="0.2">
      <c r="A15" s="89">
        <v>45230</v>
      </c>
      <c r="B15" s="9" t="s">
        <v>11</v>
      </c>
      <c r="C15" s="10" t="s">
        <v>126</v>
      </c>
      <c r="D15" s="11" t="s">
        <v>29</v>
      </c>
      <c r="F15" s="12">
        <v>1185594</v>
      </c>
      <c r="G15" s="1"/>
      <c r="H15" s="130"/>
      <c r="I15" s="169"/>
      <c r="J15" s="169"/>
      <c r="K15" s="165"/>
    </row>
    <row r="16" spans="1:11" s="2" customFormat="1" ht="14.25" customHeight="1" x14ac:dyDescent="0.2">
      <c r="A16" s="89">
        <v>45230</v>
      </c>
      <c r="B16" s="9" t="s">
        <v>11</v>
      </c>
      <c r="C16" s="10" t="s">
        <v>1156</v>
      </c>
      <c r="D16" s="11" t="s">
        <v>29</v>
      </c>
      <c r="F16" s="12">
        <v>3268384.23</v>
      </c>
      <c r="G16" s="1"/>
      <c r="H16" s="130"/>
      <c r="I16" s="169"/>
      <c r="J16" s="169"/>
      <c r="K16" s="165"/>
    </row>
    <row r="17" spans="1:14" s="2" customFormat="1" ht="14.25" customHeight="1" x14ac:dyDescent="0.2">
      <c r="D17" s="11" t="s">
        <v>8</v>
      </c>
      <c r="E17" s="16">
        <f>SUM(E12:E16)</f>
        <v>2363</v>
      </c>
      <c r="F17" s="16">
        <f>SUM(F11:F16)</f>
        <v>28305201.549999997</v>
      </c>
      <c r="G17" s="1"/>
      <c r="H17" s="143"/>
      <c r="I17" s="130"/>
      <c r="J17" s="143"/>
      <c r="K17" s="143"/>
      <c r="L17" s="143"/>
      <c r="M17" s="143"/>
    </row>
    <row r="18" spans="1:14" s="2" customFormat="1" ht="14.25" customHeight="1" x14ac:dyDescent="0.4">
      <c r="A18" s="17"/>
      <c r="B18" s="18"/>
      <c r="C18" s="96" t="s">
        <v>9</v>
      </c>
      <c r="D18" s="20"/>
      <c r="E18" s="21">
        <f>+F17-E17</f>
        <v>28302838.549999997</v>
      </c>
      <c r="G18" s="1"/>
      <c r="I18" s="112"/>
      <c r="J18" s="153" t="s">
        <v>779</v>
      </c>
    </row>
    <row r="19" spans="1:14" s="2" customFormat="1" ht="14.25" customHeight="1" x14ac:dyDescent="0.2">
      <c r="A19" s="36"/>
      <c r="B19" s="28" t="s">
        <v>66</v>
      </c>
      <c r="C19" s="43" t="s">
        <v>1458</v>
      </c>
      <c r="D19" s="43"/>
      <c r="E19" s="12">
        <f>30000000+60000000</f>
        <v>90000000</v>
      </c>
      <c r="F19" s="22"/>
      <c r="G19" s="1"/>
      <c r="I19" s="40">
        <v>28302838.550000001</v>
      </c>
      <c r="J19" s="154">
        <f>I19-E18</f>
        <v>0</v>
      </c>
    </row>
    <row r="20" spans="1:14" s="2" customFormat="1" ht="14.25" customHeight="1" x14ac:dyDescent="0.25">
      <c r="A20" s="36"/>
      <c r="B20" s="28"/>
      <c r="C20" s="44" t="s">
        <v>1541</v>
      </c>
      <c r="D20" s="43"/>
      <c r="E20" s="7">
        <f>+E18+E19</f>
        <v>118302838.55</v>
      </c>
      <c r="F20" s="22"/>
      <c r="G20" s="1"/>
      <c r="H20" s="13" t="s">
        <v>1582</v>
      </c>
      <c r="I20" s="13" t="s">
        <v>1583</v>
      </c>
    </row>
    <row r="21" spans="1:14" s="2" customFormat="1" ht="14.25" customHeight="1" x14ac:dyDescent="0.25">
      <c r="A21" s="36"/>
      <c r="B21" s="28"/>
      <c r="C21" s="44" t="s">
        <v>1511</v>
      </c>
      <c r="D21" s="43"/>
      <c r="E21" s="38">
        <f>+I11</f>
        <v>687784.44999999925</v>
      </c>
      <c r="F21" s="22"/>
      <c r="G21" s="1"/>
      <c r="H21" s="2">
        <v>70049</v>
      </c>
      <c r="I21" s="2">
        <v>37638809.969999999</v>
      </c>
      <c r="J21" s="176">
        <f>H21-I21</f>
        <v>-37568760.969999999</v>
      </c>
    </row>
    <row r="22" spans="1:14" s="2" customFormat="1" ht="14.25" customHeight="1" x14ac:dyDescent="0.2">
      <c r="A22" s="24"/>
      <c r="B22" s="1"/>
      <c r="C22" s="14"/>
      <c r="D22" s="25"/>
      <c r="G22" s="1"/>
      <c r="I22" s="130"/>
      <c r="J22" s="130"/>
    </row>
    <row r="23" spans="1:14" s="2" customFormat="1" x14ac:dyDescent="0.2">
      <c r="A23" s="214" t="s">
        <v>10</v>
      </c>
      <c r="B23" s="214"/>
      <c r="C23" s="214"/>
      <c r="D23" s="214"/>
      <c r="E23" s="214"/>
      <c r="F23" s="214"/>
      <c r="G23" s="1"/>
      <c r="H23" s="159"/>
      <c r="I23" s="160">
        <f>225000000-75000000-50000000</f>
        <v>100000000</v>
      </c>
      <c r="J23" s="160" t="s">
        <v>1506</v>
      </c>
      <c r="K23" s="70"/>
    </row>
    <row r="24" spans="1:14" s="2" customFormat="1" x14ac:dyDescent="0.2">
      <c r="A24" s="26" t="s">
        <v>1</v>
      </c>
      <c r="B24" s="27" t="s">
        <v>2</v>
      </c>
      <c r="C24" s="5"/>
      <c r="D24" s="6" t="s">
        <v>3</v>
      </c>
      <c r="E24" s="7" t="s">
        <v>4</v>
      </c>
      <c r="F24" s="7" t="s">
        <v>5</v>
      </c>
      <c r="G24" s="1"/>
      <c r="H24" s="159"/>
      <c r="I24" s="160">
        <v>62967921.600000001</v>
      </c>
      <c r="J24" s="160" t="s">
        <v>1507</v>
      </c>
      <c r="K24" s="70" t="s">
        <v>1512</v>
      </c>
    </row>
    <row r="25" spans="1:14" s="2" customFormat="1" x14ac:dyDescent="0.2">
      <c r="A25" s="89">
        <v>45230</v>
      </c>
      <c r="B25" s="128" t="s">
        <v>11</v>
      </c>
      <c r="C25" s="29" t="s">
        <v>7</v>
      </c>
      <c r="D25" s="25"/>
      <c r="E25" s="31"/>
      <c r="F25" s="2">
        <v>89653473.100000054</v>
      </c>
      <c r="G25" s="23"/>
      <c r="H25" s="159" t="s">
        <v>1505</v>
      </c>
      <c r="I25" s="160">
        <f>+I23-I24</f>
        <v>37032078.399999999</v>
      </c>
      <c r="J25" s="160"/>
      <c r="K25" s="70"/>
    </row>
    <row r="26" spans="1:14" s="2" customFormat="1" x14ac:dyDescent="0.2">
      <c r="A26" s="89">
        <v>45230</v>
      </c>
      <c r="B26" s="128" t="s">
        <v>6</v>
      </c>
      <c r="C26" s="10" t="s">
        <v>149</v>
      </c>
      <c r="D26" s="11" t="s">
        <v>13</v>
      </c>
      <c r="E26" s="86">
        <v>50909</v>
      </c>
      <c r="F26" s="70"/>
      <c r="G26" s="1"/>
      <c r="N26" s="1"/>
    </row>
    <row r="27" spans="1:14" s="2" customFormat="1" x14ac:dyDescent="0.2">
      <c r="A27" s="89">
        <v>45230</v>
      </c>
      <c r="B27" s="128" t="s">
        <v>6</v>
      </c>
      <c r="C27" s="10" t="s">
        <v>146</v>
      </c>
      <c r="D27" s="11" t="s">
        <v>13</v>
      </c>
      <c r="E27" s="86">
        <v>48619.5</v>
      </c>
      <c r="F27" s="70"/>
      <c r="G27" s="1"/>
      <c r="N27" s="1"/>
    </row>
    <row r="28" spans="1:14" s="2" customFormat="1" x14ac:dyDescent="0.2">
      <c r="A28" s="89">
        <v>45230</v>
      </c>
      <c r="B28" s="128" t="s">
        <v>6</v>
      </c>
      <c r="C28" s="10" t="s">
        <v>304</v>
      </c>
      <c r="D28" s="11" t="s">
        <v>13</v>
      </c>
      <c r="E28" s="86">
        <v>381695</v>
      </c>
      <c r="F28" s="70"/>
      <c r="G28" s="1"/>
      <c r="N28" s="1"/>
    </row>
    <row r="29" spans="1:14" s="2" customFormat="1" x14ac:dyDescent="0.2">
      <c r="A29" s="89">
        <v>45230</v>
      </c>
      <c r="B29" s="128" t="s">
        <v>6</v>
      </c>
      <c r="C29" s="10" t="s">
        <v>122</v>
      </c>
      <c r="D29" s="11" t="s">
        <v>13</v>
      </c>
      <c r="E29" s="86">
        <v>162212.51999999999</v>
      </c>
      <c r="F29" s="70"/>
      <c r="G29" s="1"/>
      <c r="N29" s="1"/>
    </row>
    <row r="30" spans="1:14" s="2" customFormat="1" x14ac:dyDescent="0.2">
      <c r="A30" s="89">
        <v>45230</v>
      </c>
      <c r="B30" s="128" t="s">
        <v>6</v>
      </c>
      <c r="C30" s="10" t="s">
        <v>1667</v>
      </c>
      <c r="D30" s="11" t="s">
        <v>13</v>
      </c>
      <c r="E30" s="86">
        <v>1725289.95</v>
      </c>
      <c r="F30" s="70"/>
      <c r="G30" s="1"/>
      <c r="N30" s="1"/>
    </row>
    <row r="31" spans="1:14" s="2" customFormat="1" x14ac:dyDescent="0.2">
      <c r="A31" s="89">
        <v>45230</v>
      </c>
      <c r="B31" s="128" t="s">
        <v>6</v>
      </c>
      <c r="C31" s="10" t="s">
        <v>15</v>
      </c>
      <c r="D31" s="11" t="s">
        <v>13</v>
      </c>
      <c r="E31" s="86">
        <v>13858.99</v>
      </c>
      <c r="F31" s="70"/>
      <c r="G31" s="1"/>
      <c r="N31" s="1"/>
    </row>
    <row r="32" spans="1:14" s="2" customFormat="1" x14ac:dyDescent="0.2">
      <c r="A32" s="89">
        <v>45230</v>
      </c>
      <c r="B32" s="128" t="s">
        <v>6</v>
      </c>
      <c r="C32" s="10" t="s">
        <v>299</v>
      </c>
      <c r="D32" s="11" t="s">
        <v>13</v>
      </c>
      <c r="E32" s="86">
        <v>70049</v>
      </c>
      <c r="F32" s="70"/>
      <c r="G32" s="1"/>
      <c r="N32" s="1"/>
    </row>
    <row r="33" spans="1:14" s="2" customFormat="1" x14ac:dyDescent="0.2">
      <c r="A33" s="89">
        <v>45230</v>
      </c>
      <c r="B33" s="128" t="s">
        <v>6</v>
      </c>
      <c r="C33" s="10" t="s">
        <v>16</v>
      </c>
      <c r="D33" s="11" t="s">
        <v>13</v>
      </c>
      <c r="E33" s="86">
        <v>11201</v>
      </c>
      <c r="F33" s="70"/>
      <c r="G33" s="1"/>
      <c r="N33" s="1"/>
    </row>
    <row r="34" spans="1:14" s="2" customFormat="1" x14ac:dyDescent="0.2">
      <c r="A34" s="89">
        <v>45230</v>
      </c>
      <c r="B34" s="128" t="s">
        <v>6</v>
      </c>
      <c r="C34" s="10" t="s">
        <v>177</v>
      </c>
      <c r="D34" s="11" t="s">
        <v>13</v>
      </c>
      <c r="E34" s="86">
        <v>2168748</v>
      </c>
      <c r="F34" s="70"/>
      <c r="G34" s="1"/>
      <c r="N34" s="1"/>
    </row>
    <row r="35" spans="1:14" s="2" customFormat="1" x14ac:dyDescent="0.2">
      <c r="A35" s="89">
        <v>45230</v>
      </c>
      <c r="B35" s="128" t="s">
        <v>6</v>
      </c>
      <c r="C35" s="10" t="s">
        <v>27</v>
      </c>
      <c r="D35" s="11" t="s">
        <v>13</v>
      </c>
      <c r="E35" s="86">
        <v>123436.2</v>
      </c>
      <c r="F35" s="70"/>
      <c r="G35" s="1"/>
      <c r="N35" s="1"/>
    </row>
    <row r="36" spans="1:14" s="2" customFormat="1" x14ac:dyDescent="0.2">
      <c r="A36" s="89">
        <v>45230</v>
      </c>
      <c r="B36" s="128" t="s">
        <v>6</v>
      </c>
      <c r="C36" s="10" t="s">
        <v>121</v>
      </c>
      <c r="D36" s="11" t="s">
        <v>13</v>
      </c>
      <c r="E36" s="86">
        <v>500000</v>
      </c>
      <c r="F36" s="70"/>
      <c r="G36" s="1"/>
      <c r="N36" s="1"/>
    </row>
    <row r="37" spans="1:14" s="2" customFormat="1" x14ac:dyDescent="0.2">
      <c r="A37" s="89">
        <v>45230</v>
      </c>
      <c r="B37" s="128" t="s">
        <v>6</v>
      </c>
      <c r="C37" s="10" t="s">
        <v>1729</v>
      </c>
      <c r="D37" s="11" t="s">
        <v>13</v>
      </c>
      <c r="E37" s="86">
        <v>4340219</v>
      </c>
      <c r="F37" s="70"/>
      <c r="G37" s="1"/>
      <c r="N37" s="1"/>
    </row>
    <row r="38" spans="1:14" s="2" customFormat="1" x14ac:dyDescent="0.2">
      <c r="A38" s="89">
        <v>45230</v>
      </c>
      <c r="B38" s="128" t="s">
        <v>11</v>
      </c>
      <c r="C38" s="10" t="s">
        <v>64</v>
      </c>
      <c r="D38" s="11" t="s">
        <v>29</v>
      </c>
      <c r="E38" s="86"/>
      <c r="F38" s="70">
        <v>7338.49</v>
      </c>
      <c r="G38" s="1"/>
      <c r="N38" s="1"/>
    </row>
    <row r="39" spans="1:14" s="2" customFormat="1" x14ac:dyDescent="0.2">
      <c r="A39" s="89">
        <v>45230</v>
      </c>
      <c r="B39" s="128" t="s">
        <v>11</v>
      </c>
      <c r="C39" s="10" t="s">
        <v>733</v>
      </c>
      <c r="D39" s="11" t="s">
        <v>29</v>
      </c>
      <c r="E39" s="86"/>
      <c r="F39" s="70">
        <v>2161667</v>
      </c>
      <c r="G39" s="1"/>
      <c r="N39" s="1"/>
    </row>
    <row r="40" spans="1:14" s="2" customFormat="1" x14ac:dyDescent="0.2">
      <c r="A40" s="89">
        <v>45230</v>
      </c>
      <c r="B40" s="128" t="s">
        <v>11</v>
      </c>
      <c r="C40" s="10" t="s">
        <v>732</v>
      </c>
      <c r="D40" s="11" t="s">
        <v>29</v>
      </c>
      <c r="E40" s="86"/>
      <c r="F40" s="70">
        <v>3242500</v>
      </c>
      <c r="G40" s="1"/>
      <c r="N40" s="1"/>
    </row>
    <row r="41" spans="1:14" s="2" customFormat="1" x14ac:dyDescent="0.2">
      <c r="A41" s="89">
        <v>45230</v>
      </c>
      <c r="B41" s="128" t="s">
        <v>11</v>
      </c>
      <c r="C41" s="10" t="s">
        <v>111</v>
      </c>
      <c r="D41" s="11" t="s">
        <v>29</v>
      </c>
      <c r="E41" s="86"/>
      <c r="F41" s="70">
        <v>15067942.140000001</v>
      </c>
      <c r="G41" s="1"/>
      <c r="N41" s="1"/>
    </row>
    <row r="42" spans="1:14" s="2" customFormat="1" x14ac:dyDescent="0.2">
      <c r="A42" s="32"/>
      <c r="B42" s="33"/>
      <c r="C42" s="14"/>
      <c r="D42" s="34"/>
      <c r="E42" s="16">
        <f>SUM(E25:E41)</f>
        <v>9596238.1600000001</v>
      </c>
      <c r="F42" s="16">
        <f>SUM(F25:F41)</f>
        <v>110132920.73000005</v>
      </c>
      <c r="G42" s="1"/>
      <c r="H42" s="1"/>
      <c r="I42" s="38">
        <v>100536682.56999999</v>
      </c>
      <c r="J42" s="2" t="s">
        <v>396</v>
      </c>
      <c r="K42" s="92">
        <f>E43-I42</f>
        <v>0</v>
      </c>
      <c r="N42" s="1"/>
    </row>
    <row r="43" spans="1:14" s="2" customFormat="1" x14ac:dyDescent="0.2">
      <c r="A43" s="36"/>
      <c r="B43" s="28" t="s">
        <v>11</v>
      </c>
      <c r="C43" s="19" t="s">
        <v>65</v>
      </c>
      <c r="D43" s="37"/>
      <c r="E43" s="38">
        <f>F42-E42</f>
        <v>100536682.57000005</v>
      </c>
      <c r="F43" s="22"/>
      <c r="G43" s="1"/>
      <c r="H43" s="1"/>
      <c r="I43" s="70"/>
      <c r="J43" s="70"/>
      <c r="K43" s="70"/>
      <c r="N43" s="1"/>
    </row>
    <row r="44" spans="1:14" s="2" customFormat="1" x14ac:dyDescent="0.2">
      <c r="A44" s="36"/>
      <c r="B44" s="28" t="s">
        <v>66</v>
      </c>
      <c r="C44" s="19" t="s">
        <v>67</v>
      </c>
      <c r="D44" s="37"/>
      <c r="E44" s="38">
        <v>6500000</v>
      </c>
      <c r="F44" s="22"/>
      <c r="G44" s="1"/>
      <c r="H44" s="70"/>
      <c r="I44" s="70"/>
      <c r="J44" s="70"/>
      <c r="K44" s="70"/>
      <c r="N44" s="1"/>
    </row>
    <row r="45" spans="1:14" s="2" customFormat="1" x14ac:dyDescent="0.2">
      <c r="A45" s="36"/>
      <c r="B45" s="28" t="s">
        <v>66</v>
      </c>
      <c r="C45" s="43" t="s">
        <v>1457</v>
      </c>
      <c r="D45" s="43"/>
      <c r="E45" s="12">
        <f>275000000+75000000+50000000</f>
        <v>400000000</v>
      </c>
      <c r="F45" s="22"/>
      <c r="G45" s="1"/>
      <c r="H45" s="70"/>
      <c r="I45" s="45">
        <v>2625.52</v>
      </c>
      <c r="J45" s="46"/>
      <c r="K45" s="46"/>
      <c r="N45" s="1"/>
    </row>
    <row r="46" spans="1:14" s="2" customFormat="1" ht="15" x14ac:dyDescent="0.25">
      <c r="A46" s="36"/>
      <c r="B46" s="28"/>
      <c r="C46" s="44" t="s">
        <v>1541</v>
      </c>
      <c r="D46" s="43"/>
      <c r="E46" s="7">
        <f>+E45+E43+E44</f>
        <v>507036682.57000005</v>
      </c>
      <c r="F46" s="22"/>
      <c r="G46" s="1"/>
      <c r="H46" s="103" t="s">
        <v>69</v>
      </c>
      <c r="I46" s="45">
        <v>-247.23</v>
      </c>
      <c r="J46" s="46"/>
      <c r="K46" s="46"/>
      <c r="N46" s="1"/>
    </row>
    <row r="47" spans="1:14" s="2" customFormat="1" ht="15" x14ac:dyDescent="0.25">
      <c r="A47" s="24"/>
      <c r="B47" s="1"/>
      <c r="C47" s="44" t="s">
        <v>1510</v>
      </c>
      <c r="D47" s="25"/>
      <c r="E47" s="156">
        <f>+I25-E44+H21-I21</f>
        <v>-7036682.5700000003</v>
      </c>
      <c r="G47" s="1"/>
      <c r="H47" s="35" t="s">
        <v>70</v>
      </c>
      <c r="I47" s="45">
        <v>95.47</v>
      </c>
      <c r="J47" s="46">
        <f>+I48-D50</f>
        <v>0</v>
      </c>
      <c r="N47" s="1"/>
    </row>
    <row r="48" spans="1:14" s="124" customFormat="1" ht="12.75" customHeight="1" x14ac:dyDescent="0.2">
      <c r="A48" s="24"/>
      <c r="B48" s="1"/>
      <c r="C48" s="56"/>
      <c r="D48" s="56"/>
      <c r="E48" s="104"/>
      <c r="F48" s="2"/>
      <c r="G48" s="166"/>
      <c r="H48" s="70"/>
      <c r="I48" s="49">
        <f>SUM(I45:I47)</f>
        <v>2473.7599999999998</v>
      </c>
      <c r="J48" s="46"/>
      <c r="K48" s="46"/>
    </row>
    <row r="49" spans="1:13" s="124" customFormat="1" ht="12.75" customHeight="1" x14ac:dyDescent="0.2">
      <c r="A49" s="24"/>
      <c r="B49" s="1"/>
      <c r="C49" s="78" t="s">
        <v>575</v>
      </c>
      <c r="D49" s="48" t="s">
        <v>576</v>
      </c>
      <c r="E49" s="104"/>
      <c r="F49" s="2"/>
      <c r="G49" s="168"/>
      <c r="H49" s="167"/>
      <c r="I49" s="167"/>
      <c r="J49" s="168"/>
    </row>
    <row r="50" spans="1:13" s="124" customFormat="1" ht="12.75" customHeight="1" x14ac:dyDescent="0.2">
      <c r="A50" s="24"/>
      <c r="B50" s="1"/>
      <c r="C50" s="47" t="s">
        <v>570</v>
      </c>
      <c r="D50" s="111">
        <v>2473.7600000000002</v>
      </c>
      <c r="E50" s="104"/>
      <c r="F50" s="2"/>
      <c r="G50" s="168"/>
      <c r="H50" s="110" t="s">
        <v>581</v>
      </c>
      <c r="I50" s="167"/>
      <c r="J50" s="168"/>
    </row>
    <row r="51" spans="1:13" s="124" customFormat="1" ht="12.75" customHeight="1" x14ac:dyDescent="0.2">
      <c r="A51" s="24"/>
      <c r="B51" s="1"/>
      <c r="C51" s="47" t="s">
        <v>931</v>
      </c>
      <c r="D51" s="111">
        <v>267</v>
      </c>
      <c r="E51" s="104"/>
      <c r="F51" s="2"/>
      <c r="G51" s="168"/>
      <c r="H51" s="110" t="s">
        <v>580</v>
      </c>
      <c r="I51" s="167"/>
      <c r="J51" s="168"/>
    </row>
    <row r="52" spans="1:13" s="124" customFormat="1" ht="12.75" customHeight="1" x14ac:dyDescent="0.2">
      <c r="A52" s="24"/>
      <c r="B52" s="1"/>
      <c r="C52" s="47" t="s">
        <v>572</v>
      </c>
      <c r="D52" s="111">
        <f>+D89/100000</f>
        <v>281.25572119999998</v>
      </c>
      <c r="E52" s="104"/>
      <c r="F52" s="2"/>
      <c r="G52" s="166"/>
      <c r="H52" s="90" t="s">
        <v>587</v>
      </c>
      <c r="I52" s="167"/>
      <c r="J52" s="168"/>
    </row>
    <row r="53" spans="1:13" s="2" customFormat="1" x14ac:dyDescent="0.2">
      <c r="A53" s="24"/>
      <c r="B53" s="1"/>
      <c r="C53" s="108" t="s">
        <v>578</v>
      </c>
      <c r="D53" s="48">
        <f>SUM(D50:D52)</f>
        <v>3022.0157212000004</v>
      </c>
      <c r="E53" s="104"/>
      <c r="G53" s="30"/>
      <c r="I53" s="13"/>
      <c r="J53" s="13"/>
    </row>
    <row r="54" spans="1:13" s="70" customFormat="1" x14ac:dyDescent="0.2">
      <c r="A54" s="24"/>
      <c r="B54" s="1"/>
      <c r="C54" s="47"/>
      <c r="D54" s="107"/>
      <c r="E54" s="104"/>
      <c r="F54" s="2"/>
      <c r="G54" s="30"/>
      <c r="H54" s="2"/>
    </row>
    <row r="55" spans="1:13" s="70" customFormat="1" x14ac:dyDescent="0.2">
      <c r="A55" s="24"/>
      <c r="B55" s="1"/>
      <c r="C55" s="47" t="s">
        <v>932</v>
      </c>
      <c r="D55" s="111">
        <v>161.06</v>
      </c>
      <c r="E55" s="104"/>
      <c r="F55" s="2"/>
      <c r="G55" s="30"/>
      <c r="H55" s="110" t="s">
        <v>581</v>
      </c>
    </row>
    <row r="56" spans="1:13" s="70" customFormat="1" x14ac:dyDescent="0.2">
      <c r="A56" s="24"/>
      <c r="B56" s="1"/>
      <c r="C56" s="136" t="s">
        <v>1142</v>
      </c>
      <c r="D56" s="111">
        <v>707.63</v>
      </c>
      <c r="E56" s="104"/>
      <c r="F56" s="2"/>
      <c r="G56" s="30"/>
      <c r="H56" s="110" t="s">
        <v>581</v>
      </c>
    </row>
    <row r="57" spans="1:13" s="70" customFormat="1" x14ac:dyDescent="0.2">
      <c r="A57" s="24"/>
      <c r="B57" s="1"/>
      <c r="C57" s="78" t="s">
        <v>579</v>
      </c>
      <c r="D57" s="109">
        <f>D55+D56</f>
        <v>868.69</v>
      </c>
      <c r="E57" s="104"/>
      <c r="F57" s="2"/>
      <c r="G57" s="30"/>
    </row>
    <row r="58" spans="1:13" s="70" customFormat="1" x14ac:dyDescent="0.2">
      <c r="A58" s="24"/>
      <c r="B58" s="1"/>
      <c r="C58" s="105"/>
      <c r="D58" s="106"/>
      <c r="E58" s="104"/>
      <c r="F58" s="2"/>
      <c r="G58" s="30"/>
      <c r="I58" s="2"/>
      <c r="J58" s="114" t="s">
        <v>713</v>
      </c>
      <c r="K58" s="2"/>
      <c r="L58" s="2"/>
      <c r="M58" s="2"/>
    </row>
    <row r="59" spans="1:13" s="70" customFormat="1" x14ac:dyDescent="0.2">
      <c r="A59" s="24"/>
      <c r="B59" s="1"/>
      <c r="C59" s="78" t="s">
        <v>577</v>
      </c>
      <c r="D59" s="109">
        <f>D50+D57</f>
        <v>3342.4500000000003</v>
      </c>
      <c r="E59" s="104"/>
      <c r="F59" s="2"/>
      <c r="G59" s="30"/>
      <c r="I59" s="113"/>
      <c r="J59" s="113" t="s">
        <v>709</v>
      </c>
      <c r="K59" s="113" t="s">
        <v>710</v>
      </c>
      <c r="L59" s="113" t="s">
        <v>711</v>
      </c>
      <c r="M59" s="113" t="s">
        <v>712</v>
      </c>
    </row>
    <row r="60" spans="1:13" s="70" customFormat="1" x14ac:dyDescent="0.2">
      <c r="A60" s="24"/>
      <c r="B60" s="1"/>
      <c r="C60" s="56"/>
      <c r="D60" s="56"/>
      <c r="E60" s="104"/>
      <c r="F60" s="2"/>
      <c r="G60" s="30"/>
      <c r="I60" s="113" t="s">
        <v>706</v>
      </c>
      <c r="J60" s="115"/>
      <c r="K60" s="115">
        <v>968.99</v>
      </c>
      <c r="L60" s="115">
        <v>968.99</v>
      </c>
      <c r="M60" s="113">
        <f>+J60+L60-K60</f>
        <v>0</v>
      </c>
    </row>
    <row r="61" spans="1:13" s="70" customFormat="1" ht="38.25" x14ac:dyDescent="0.2">
      <c r="A61" s="24"/>
      <c r="B61" s="1"/>
      <c r="C61" s="79" t="str">
        <f>"Particulars ( 01-04-2021 to "&amp;TEXT(A5,"dd-mm-yyyy")&amp;" )"</f>
        <v>Particulars ( 01-04-2021 to 31-10-2023 )</v>
      </c>
      <c r="D61" s="80" t="s">
        <v>73</v>
      </c>
      <c r="E61" s="80" t="s">
        <v>74</v>
      </c>
      <c r="F61" s="81" t="s">
        <v>75</v>
      </c>
      <c r="G61" s="80" t="s">
        <v>76</v>
      </c>
      <c r="I61" s="113" t="s">
        <v>707</v>
      </c>
      <c r="J61" s="115">
        <v>183.1</v>
      </c>
      <c r="K61" s="115">
        <v>3894.31</v>
      </c>
      <c r="L61" s="115">
        <v>4120.1499999999996</v>
      </c>
      <c r="M61" s="113">
        <f>+J61+L61-K61</f>
        <v>408.94000000000005</v>
      </c>
    </row>
    <row r="62" spans="1:13" s="70" customFormat="1" x14ac:dyDescent="0.2">
      <c r="A62" s="24"/>
      <c r="B62" s="1"/>
      <c r="C62" s="50" t="s">
        <v>444</v>
      </c>
      <c r="D62" s="55">
        <f>+L60+L61+J61</f>
        <v>5272.24</v>
      </c>
      <c r="E62" s="55">
        <f>+K60+K61</f>
        <v>4863.3</v>
      </c>
      <c r="F62" s="55">
        <f>+D62-E62</f>
        <v>408.9399999999996</v>
      </c>
      <c r="G62" s="55">
        <f>1500-F62</f>
        <v>1091.0600000000004</v>
      </c>
      <c r="I62" s="113" t="s">
        <v>708</v>
      </c>
      <c r="J62" s="115">
        <v>1371.02</v>
      </c>
      <c r="K62" s="115">
        <v>14721.56</v>
      </c>
      <c r="L62" s="115">
        <v>14404.55</v>
      </c>
      <c r="M62" s="113">
        <f>+J62+L62-K62</f>
        <v>1054.0100000000002</v>
      </c>
    </row>
    <row r="63" spans="1:13" s="70" customFormat="1" ht="12.75" customHeight="1" x14ac:dyDescent="0.2">
      <c r="A63" s="24"/>
      <c r="B63" s="1"/>
      <c r="C63" s="50" t="s">
        <v>71</v>
      </c>
      <c r="D63" s="55">
        <f>+J62+L62</f>
        <v>15775.57</v>
      </c>
      <c r="E63" s="55">
        <f>+K62</f>
        <v>14721.56</v>
      </c>
      <c r="F63" s="55">
        <f>+D63-E63</f>
        <v>1054.0100000000002</v>
      </c>
      <c r="G63" s="55">
        <f>1500+700-F63</f>
        <v>1145.9899999999998</v>
      </c>
      <c r="I63" s="2"/>
      <c r="J63" s="118">
        <f>SUM(J60:J62)</f>
        <v>1554.12</v>
      </c>
      <c r="K63" s="118">
        <f>SUM(K60:K62)</f>
        <v>19584.86</v>
      </c>
      <c r="L63" s="118">
        <f>SUM(L60:L62)</f>
        <v>19493.689999999999</v>
      </c>
      <c r="M63" s="118">
        <f>SUM(M60:M62)</f>
        <v>1462.9500000000003</v>
      </c>
    </row>
    <row r="64" spans="1:13" s="70" customFormat="1" ht="12.75" customHeight="1" x14ac:dyDescent="0.2">
      <c r="A64" s="24"/>
      <c r="B64" s="1"/>
      <c r="C64" s="14"/>
      <c r="D64" s="56"/>
      <c r="E64" s="13"/>
      <c r="F64" s="2"/>
      <c r="G64" s="30"/>
    </row>
    <row r="65" spans="1:14" s="70" customFormat="1" ht="12.75" customHeight="1" x14ac:dyDescent="0.2">
      <c r="A65" s="215" t="s">
        <v>80</v>
      </c>
      <c r="B65" s="216"/>
      <c r="C65" s="216"/>
      <c r="D65" s="217"/>
      <c r="E65" s="69"/>
      <c r="G65" s="30"/>
    </row>
    <row r="66" spans="1:14" s="70" customFormat="1" ht="12.75" customHeight="1" x14ac:dyDescent="0.2">
      <c r="A66" s="71" t="s">
        <v>81</v>
      </c>
      <c r="B66" s="71"/>
      <c r="C66" s="72" t="s">
        <v>82</v>
      </c>
      <c r="D66" s="73" t="s">
        <v>83</v>
      </c>
      <c r="E66" s="69"/>
      <c r="G66" s="30"/>
    </row>
    <row r="67" spans="1:14" s="70" customFormat="1" ht="12.75" customHeight="1" x14ac:dyDescent="0.2">
      <c r="A67" s="87">
        <v>45203</v>
      </c>
      <c r="B67" s="120" t="s">
        <v>1052</v>
      </c>
      <c r="C67" s="75" t="s">
        <v>18</v>
      </c>
      <c r="D67" s="88">
        <v>193358.43</v>
      </c>
      <c r="E67" s="2"/>
      <c r="F67" s="2"/>
      <c r="G67" s="30"/>
      <c r="H67" s="2"/>
      <c r="I67" s="2"/>
      <c r="J67" s="2"/>
      <c r="K67" s="2"/>
      <c r="L67" s="41"/>
      <c r="M67" s="42"/>
      <c r="N67" s="2"/>
    </row>
    <row r="68" spans="1:14" s="70" customFormat="1" ht="12.75" customHeight="1" x14ac:dyDescent="0.2">
      <c r="A68" s="87">
        <v>45203</v>
      </c>
      <c r="B68" s="120" t="s">
        <v>1052</v>
      </c>
      <c r="C68" s="75" t="s">
        <v>270</v>
      </c>
      <c r="D68" s="88">
        <v>254277</v>
      </c>
      <c r="E68" s="2"/>
      <c r="F68" s="2"/>
      <c r="G68" s="30"/>
      <c r="H68" s="2"/>
      <c r="I68" s="2"/>
      <c r="J68" s="2"/>
      <c r="K68" s="2"/>
      <c r="L68" s="41"/>
      <c r="M68" s="42"/>
      <c r="N68" s="2"/>
    </row>
    <row r="69" spans="1:14" s="70" customFormat="1" ht="12.75" customHeight="1" x14ac:dyDescent="0.2">
      <c r="A69" s="87">
        <v>45204</v>
      </c>
      <c r="B69" s="120" t="s">
        <v>1052</v>
      </c>
      <c r="C69" s="75" t="s">
        <v>85</v>
      </c>
      <c r="D69" s="88">
        <v>765297</v>
      </c>
      <c r="E69" s="2"/>
      <c r="F69" s="2"/>
      <c r="G69" s="30"/>
      <c r="H69" s="2"/>
      <c r="I69" s="2"/>
      <c r="J69" s="2"/>
      <c r="K69" s="2"/>
      <c r="L69" s="41"/>
      <c r="M69" s="42"/>
      <c r="N69" s="2"/>
    </row>
    <row r="70" spans="1:14" s="70" customFormat="1" ht="12.75" customHeight="1" x14ac:dyDescent="0.2">
      <c r="A70" s="87">
        <v>45209</v>
      </c>
      <c r="B70" s="120" t="s">
        <v>1052</v>
      </c>
      <c r="C70" s="75" t="s">
        <v>606</v>
      </c>
      <c r="D70" s="88">
        <v>2261658</v>
      </c>
      <c r="E70" s="2"/>
      <c r="F70" s="2"/>
      <c r="G70" s="30"/>
      <c r="H70" s="2"/>
      <c r="I70" s="2"/>
      <c r="J70" s="2"/>
      <c r="K70" s="2"/>
      <c r="L70" s="41"/>
      <c r="M70" s="42"/>
      <c r="N70" s="2"/>
    </row>
    <row r="71" spans="1:14" s="70" customFormat="1" ht="12.75" customHeight="1" x14ac:dyDescent="0.2">
      <c r="A71" s="87">
        <v>45211</v>
      </c>
      <c r="B71" s="120" t="s">
        <v>1052</v>
      </c>
      <c r="C71" s="75" t="s">
        <v>18</v>
      </c>
      <c r="D71" s="88">
        <v>35919</v>
      </c>
      <c r="E71" s="2"/>
      <c r="F71" s="2"/>
      <c r="G71" s="30"/>
      <c r="H71" s="2"/>
      <c r="I71" s="2"/>
      <c r="J71" s="2"/>
      <c r="K71" s="2"/>
      <c r="L71" s="41"/>
      <c r="M71" s="42"/>
      <c r="N71" s="2"/>
    </row>
    <row r="72" spans="1:14" s="70" customFormat="1" ht="12.75" customHeight="1" x14ac:dyDescent="0.2">
      <c r="A72" s="87">
        <v>45211</v>
      </c>
      <c r="B72" s="120" t="s">
        <v>1052</v>
      </c>
      <c r="C72" s="75" t="s">
        <v>84</v>
      </c>
      <c r="D72" s="88">
        <v>856347</v>
      </c>
      <c r="E72" s="2"/>
      <c r="F72" s="2"/>
      <c r="G72" s="30"/>
      <c r="H72" s="2"/>
      <c r="I72" s="2"/>
      <c r="J72" s="2"/>
      <c r="K72" s="2"/>
      <c r="L72" s="41"/>
      <c r="M72" s="42"/>
      <c r="N72" s="2"/>
    </row>
    <row r="73" spans="1:14" s="70" customFormat="1" ht="12.75" customHeight="1" x14ac:dyDescent="0.2">
      <c r="A73" s="87">
        <v>45212</v>
      </c>
      <c r="B73" s="120" t="s">
        <v>1052</v>
      </c>
      <c r="C73" s="75" t="s">
        <v>201</v>
      </c>
      <c r="D73" s="88">
        <v>1600267.2</v>
      </c>
      <c r="E73" s="2"/>
      <c r="F73" s="2"/>
      <c r="G73" s="30"/>
      <c r="H73" s="2"/>
      <c r="I73" s="2"/>
      <c r="J73" s="2"/>
      <c r="K73" s="2"/>
      <c r="L73" s="41"/>
      <c r="M73" s="42"/>
      <c r="N73" s="2"/>
    </row>
    <row r="74" spans="1:14" s="70" customFormat="1" ht="12.75" customHeight="1" x14ac:dyDescent="0.2">
      <c r="A74" s="87">
        <v>45215</v>
      </c>
      <c r="B74" s="120" t="s">
        <v>1052</v>
      </c>
      <c r="C74" s="75" t="s">
        <v>1683</v>
      </c>
      <c r="D74" s="88">
        <v>6496492</v>
      </c>
      <c r="E74" s="2"/>
      <c r="F74" s="2"/>
      <c r="G74" s="30"/>
      <c r="H74" s="2"/>
      <c r="I74" s="2"/>
      <c r="J74" s="2"/>
      <c r="K74" s="2"/>
      <c r="L74" s="41"/>
      <c r="M74" s="42"/>
      <c r="N74" s="2"/>
    </row>
    <row r="75" spans="1:14" s="70" customFormat="1" ht="12.75" customHeight="1" x14ac:dyDescent="0.2">
      <c r="A75" s="87">
        <v>45217</v>
      </c>
      <c r="B75" s="120" t="s">
        <v>1052</v>
      </c>
      <c r="C75" s="75" t="s">
        <v>1084</v>
      </c>
      <c r="D75" s="88">
        <v>1789287</v>
      </c>
      <c r="E75" s="2"/>
      <c r="F75" s="2"/>
      <c r="G75" s="30"/>
      <c r="H75" s="2"/>
      <c r="I75" s="2"/>
      <c r="J75" s="2"/>
      <c r="K75" s="2"/>
      <c r="L75" s="41"/>
      <c r="M75" s="42"/>
      <c r="N75" s="2"/>
    </row>
    <row r="76" spans="1:14" s="70" customFormat="1" ht="12.75" customHeight="1" x14ac:dyDescent="0.2">
      <c r="A76" s="87">
        <v>45218</v>
      </c>
      <c r="B76" s="120" t="s">
        <v>1052</v>
      </c>
      <c r="C76" s="75" t="s">
        <v>606</v>
      </c>
      <c r="D76" s="88">
        <v>189973.92</v>
      </c>
      <c r="E76" s="2"/>
      <c r="F76" s="2"/>
      <c r="G76" s="30"/>
      <c r="H76" s="2"/>
      <c r="I76" s="2"/>
      <c r="J76" s="2"/>
      <c r="K76" s="2"/>
      <c r="L76" s="41"/>
      <c r="M76" s="42"/>
      <c r="N76" s="2"/>
    </row>
    <row r="77" spans="1:14" s="70" customFormat="1" ht="12.75" customHeight="1" x14ac:dyDescent="0.2">
      <c r="A77" s="87">
        <v>45218</v>
      </c>
      <c r="B77" s="120" t="s">
        <v>1052</v>
      </c>
      <c r="C77" s="75" t="s">
        <v>18</v>
      </c>
      <c r="D77" s="88">
        <v>734545</v>
      </c>
      <c r="E77" s="2"/>
      <c r="F77" s="2"/>
      <c r="G77" s="30"/>
      <c r="H77" s="2"/>
      <c r="I77" s="2"/>
      <c r="J77" s="2"/>
      <c r="K77" s="2"/>
      <c r="L77" s="41"/>
      <c r="M77" s="42"/>
      <c r="N77" s="2"/>
    </row>
    <row r="78" spans="1:14" s="70" customFormat="1" ht="12.75" customHeight="1" x14ac:dyDescent="0.2">
      <c r="A78" s="87">
        <v>45219</v>
      </c>
      <c r="B78" s="120" t="s">
        <v>1052</v>
      </c>
      <c r="C78" s="75" t="s">
        <v>270</v>
      </c>
      <c r="D78" s="88">
        <v>302951</v>
      </c>
      <c r="E78" s="2"/>
      <c r="F78" s="2"/>
      <c r="G78" s="30"/>
      <c r="H78" s="2"/>
      <c r="I78" s="2"/>
      <c r="J78" s="2"/>
      <c r="K78" s="2"/>
      <c r="L78" s="41"/>
      <c r="M78" s="42"/>
      <c r="N78" s="2"/>
    </row>
    <row r="79" spans="1:14" s="70" customFormat="1" ht="12.75" customHeight="1" x14ac:dyDescent="0.2">
      <c r="A79" s="87">
        <v>45219</v>
      </c>
      <c r="B79" s="120" t="s">
        <v>1052</v>
      </c>
      <c r="C79" s="75" t="s">
        <v>270</v>
      </c>
      <c r="D79" s="88">
        <v>6923</v>
      </c>
      <c r="E79" s="2"/>
      <c r="F79" s="2"/>
      <c r="G79" s="30"/>
      <c r="H79" s="2"/>
      <c r="I79" s="2"/>
      <c r="J79" s="2"/>
      <c r="K79" s="2"/>
      <c r="L79" s="41"/>
      <c r="M79" s="42"/>
      <c r="N79" s="2"/>
    </row>
    <row r="80" spans="1:14" s="70" customFormat="1" ht="12.75" customHeight="1" x14ac:dyDescent="0.2">
      <c r="A80" s="87">
        <v>45219</v>
      </c>
      <c r="B80" s="120" t="s">
        <v>1052</v>
      </c>
      <c r="C80" s="75" t="s">
        <v>88</v>
      </c>
      <c r="D80" s="88">
        <v>9230617.5700000003</v>
      </c>
      <c r="E80" s="2"/>
      <c r="F80" s="2"/>
      <c r="G80" s="30"/>
      <c r="H80" s="2"/>
      <c r="I80" s="2"/>
      <c r="J80" s="2"/>
      <c r="K80" s="2"/>
      <c r="L80" s="41"/>
      <c r="M80" s="42"/>
      <c r="N80" s="2"/>
    </row>
    <row r="81" spans="1:14" s="70" customFormat="1" ht="12.75" customHeight="1" x14ac:dyDescent="0.2">
      <c r="A81" s="87">
        <v>45220</v>
      </c>
      <c r="B81" s="120" t="s">
        <v>1052</v>
      </c>
      <c r="C81" s="75" t="s">
        <v>85</v>
      </c>
      <c r="D81" s="88">
        <v>323371</v>
      </c>
      <c r="E81" s="2"/>
      <c r="F81" s="2"/>
      <c r="G81" s="30"/>
      <c r="H81" s="2"/>
      <c r="I81" s="2"/>
      <c r="J81" s="2"/>
      <c r="K81" s="2"/>
      <c r="L81" s="41"/>
      <c r="M81" s="42"/>
      <c r="N81" s="2"/>
    </row>
    <row r="82" spans="1:14" s="70" customFormat="1" ht="12.75" customHeight="1" x14ac:dyDescent="0.2">
      <c r="A82" s="87">
        <v>45222</v>
      </c>
      <c r="B82" s="120" t="s">
        <v>1052</v>
      </c>
      <c r="C82" s="75" t="s">
        <v>86</v>
      </c>
      <c r="D82" s="88">
        <v>1229642</v>
      </c>
      <c r="E82" s="2"/>
      <c r="F82" s="2"/>
      <c r="G82" s="30"/>
      <c r="H82" s="2"/>
      <c r="I82" s="2"/>
      <c r="J82" s="2"/>
      <c r="K82" s="2"/>
      <c r="L82" s="41"/>
      <c r="M82" s="42"/>
      <c r="N82" s="2"/>
    </row>
    <row r="83" spans="1:14" s="70" customFormat="1" ht="12.75" customHeight="1" x14ac:dyDescent="0.2">
      <c r="A83" s="87">
        <v>45222</v>
      </c>
      <c r="B83" s="120" t="s">
        <v>1052</v>
      </c>
      <c r="C83" s="75" t="s">
        <v>86</v>
      </c>
      <c r="D83" s="88">
        <v>46995</v>
      </c>
      <c r="E83" s="2"/>
      <c r="F83" s="2"/>
      <c r="G83" s="30"/>
      <c r="H83" s="2"/>
      <c r="I83" s="2"/>
      <c r="J83" s="2"/>
      <c r="K83" s="2"/>
      <c r="L83" s="41"/>
      <c r="M83" s="42"/>
      <c r="N83" s="2"/>
    </row>
    <row r="84" spans="1:14" s="70" customFormat="1" ht="12.75" customHeight="1" x14ac:dyDescent="0.2">
      <c r="A84" s="87">
        <v>45222</v>
      </c>
      <c r="B84" s="120" t="s">
        <v>1052</v>
      </c>
      <c r="C84" s="75" t="s">
        <v>86</v>
      </c>
      <c r="D84" s="88">
        <v>782535</v>
      </c>
      <c r="E84" s="2"/>
      <c r="F84" s="2"/>
      <c r="G84" s="30"/>
      <c r="H84" s="2"/>
      <c r="I84" s="2"/>
      <c r="J84" s="2"/>
      <c r="K84" s="2"/>
      <c r="L84" s="41"/>
      <c r="M84" s="42"/>
      <c r="N84" s="2"/>
    </row>
    <row r="85" spans="1:14" s="70" customFormat="1" ht="12.75" customHeight="1" x14ac:dyDescent="0.2">
      <c r="A85" s="87">
        <v>45224</v>
      </c>
      <c r="B85" s="120" t="s">
        <v>1052</v>
      </c>
      <c r="C85" s="75" t="s">
        <v>85</v>
      </c>
      <c r="D85" s="88">
        <v>631492</v>
      </c>
      <c r="E85" s="2"/>
      <c r="F85" s="2"/>
      <c r="G85" s="30"/>
      <c r="H85" s="2"/>
      <c r="I85" s="2"/>
      <c r="J85" s="2"/>
      <c r="K85" s="2"/>
      <c r="L85" s="41"/>
      <c r="M85" s="42"/>
      <c r="N85" s="2"/>
    </row>
    <row r="86" spans="1:14" s="70" customFormat="1" ht="12.75" customHeight="1" x14ac:dyDescent="0.2">
      <c r="A86" s="87">
        <v>45224</v>
      </c>
      <c r="B86" s="120" t="s">
        <v>1052</v>
      </c>
      <c r="C86" s="75" t="s">
        <v>85</v>
      </c>
      <c r="D86" s="88">
        <v>118093</v>
      </c>
      <c r="E86" s="2"/>
      <c r="F86" s="2"/>
      <c r="G86" s="30"/>
      <c r="H86" s="2"/>
      <c r="I86" s="2"/>
      <c r="J86" s="2"/>
      <c r="K86" s="2"/>
      <c r="L86" s="41"/>
      <c r="M86" s="42"/>
      <c r="N86" s="2"/>
    </row>
    <row r="87" spans="1:14" s="70" customFormat="1" ht="12.75" customHeight="1" x14ac:dyDescent="0.2">
      <c r="A87" s="87">
        <v>45224</v>
      </c>
      <c r="B87" s="120" t="s">
        <v>1052</v>
      </c>
      <c r="C87" s="75" t="s">
        <v>323</v>
      </c>
      <c r="D87" s="88">
        <v>13689</v>
      </c>
      <c r="E87" s="2"/>
      <c r="F87" s="2"/>
      <c r="G87" s="30"/>
      <c r="H87" s="2"/>
      <c r="I87" s="2"/>
      <c r="J87" s="2"/>
      <c r="K87" s="2"/>
      <c r="L87" s="41"/>
      <c r="M87" s="42"/>
      <c r="N87" s="2"/>
    </row>
    <row r="88" spans="1:14" s="70" customFormat="1" ht="12.75" customHeight="1" x14ac:dyDescent="0.2">
      <c r="A88" s="87">
        <v>45226</v>
      </c>
      <c r="B88" s="120" t="s">
        <v>1052</v>
      </c>
      <c r="C88" s="75" t="s">
        <v>85</v>
      </c>
      <c r="D88" s="88">
        <v>261842</v>
      </c>
      <c r="E88" s="2"/>
      <c r="F88" s="2"/>
      <c r="G88" s="30"/>
      <c r="H88" s="2"/>
      <c r="I88" s="2"/>
      <c r="J88" s="2"/>
      <c r="K88" s="2"/>
      <c r="L88" s="41"/>
      <c r="M88" s="42"/>
      <c r="N88" s="2"/>
    </row>
    <row r="89" spans="1:14" s="2" customFormat="1" x14ac:dyDescent="0.2">
      <c r="A89" s="87"/>
      <c r="B89" s="74"/>
      <c r="C89" s="75"/>
      <c r="D89" s="51">
        <f>SUM(D67:D88)</f>
        <v>28125572.119999997</v>
      </c>
      <c r="F89" s="2" t="s">
        <v>396</v>
      </c>
      <c r="G89" s="1"/>
    </row>
    <row r="90" spans="1:14" s="2" customFormat="1" x14ac:dyDescent="0.2">
      <c r="A90" s="24"/>
      <c r="B90" s="1"/>
      <c r="C90" s="14"/>
      <c r="D90" s="56"/>
      <c r="E90" s="13"/>
      <c r="G90" s="1"/>
    </row>
    <row r="91" spans="1:14" s="2" customFormat="1" x14ac:dyDescent="0.2">
      <c r="A91" s="24"/>
      <c r="B91" s="1"/>
      <c r="C91" s="218" t="s">
        <v>77</v>
      </c>
      <c r="D91" s="219"/>
      <c r="E91" s="219"/>
      <c r="F91" s="220"/>
      <c r="H91" s="2" t="s">
        <v>396</v>
      </c>
    </row>
    <row r="92" spans="1:14" s="2" customFormat="1" x14ac:dyDescent="0.2">
      <c r="A92" s="24"/>
      <c r="B92" s="1"/>
      <c r="C92" s="50"/>
      <c r="D92" s="57" t="s">
        <v>78</v>
      </c>
      <c r="E92" s="58" t="s">
        <v>79</v>
      </c>
      <c r="F92" s="57" t="s">
        <v>72</v>
      </c>
      <c r="H92" s="2" t="s">
        <v>396</v>
      </c>
    </row>
    <row r="93" spans="1:14" s="2" customFormat="1" x14ac:dyDescent="0.2">
      <c r="A93" s="24"/>
      <c r="B93" s="1"/>
      <c r="C93" s="59" t="str">
        <f>"01-10-2023 to "&amp;TEXT(A5-2,"dd-mm-yyyy")</f>
        <v>01-10-2023 to 29-10-2023</v>
      </c>
      <c r="D93" s="60">
        <v>2292.0500000000002</v>
      </c>
      <c r="E93" s="60">
        <v>471.73</v>
      </c>
      <c r="F93" s="61">
        <f>SUM(D93:E93)</f>
        <v>2763.78</v>
      </c>
    </row>
    <row r="94" spans="1:14" s="2" customFormat="1" x14ac:dyDescent="0.2">
      <c r="A94" s="24"/>
      <c r="B94" s="1"/>
      <c r="C94" s="62" t="str">
        <f>TEXT(A5-1,"dd-mm-yyyy")</f>
        <v>30-10-2023</v>
      </c>
      <c r="D94" s="60">
        <v>86.59</v>
      </c>
      <c r="E94" s="60">
        <v>18.03</v>
      </c>
      <c r="F94" s="61">
        <f>SUM(D94:E94)</f>
        <v>104.62</v>
      </c>
      <c r="G94" s="1"/>
      <c r="H94" s="53"/>
    </row>
    <row r="95" spans="1:14" s="2" customFormat="1" ht="13.5" thickBot="1" x14ac:dyDescent="0.25">
      <c r="A95" s="24"/>
      <c r="B95" s="1"/>
      <c r="C95" s="63" t="str">
        <f>"01-10-2023 to "&amp;TEXT(A5-1,"dd-mm-yyyy")</f>
        <v>01-10-2023 to 30-10-2023</v>
      </c>
      <c r="D95" s="64">
        <f>SUM(D93:D94)</f>
        <v>2378.6400000000003</v>
      </c>
      <c r="E95" s="64">
        <f>SUM(E93:E94)</f>
        <v>489.76</v>
      </c>
      <c r="F95" s="64">
        <f>SUM(F93:F94)</f>
        <v>2868.4</v>
      </c>
      <c r="G95" s="1"/>
      <c r="H95" s="53"/>
    </row>
    <row r="96" spans="1:14" s="2" customFormat="1" ht="13.5" thickTop="1" x14ac:dyDescent="0.2">
      <c r="A96" s="24"/>
      <c r="B96" s="1"/>
      <c r="C96" s="62"/>
      <c r="D96" s="65"/>
      <c r="E96" s="66"/>
      <c r="F96" s="67"/>
      <c r="L96" s="1"/>
      <c r="M96" s="1"/>
    </row>
    <row r="97" spans="1:13" s="2" customFormat="1" x14ac:dyDescent="0.2">
      <c r="A97" s="24"/>
      <c r="B97" s="1"/>
      <c r="C97" s="62" t="str">
        <f>"01-04-2023 to " &amp;C94</f>
        <v>01-04-2023 to 30-10-2023</v>
      </c>
      <c r="D97" s="68">
        <f>+D95+27003.42</f>
        <v>29382.059999999998</v>
      </c>
      <c r="E97" s="68">
        <f>+E95+2028.43</f>
        <v>2518.19</v>
      </c>
      <c r="F97" s="68">
        <f>+F95+29031.85</f>
        <v>31900.25</v>
      </c>
      <c r="G97" s="1"/>
      <c r="L97" s="1"/>
      <c r="M97" s="1"/>
    </row>
    <row r="98" spans="1:13" s="2" customFormat="1" x14ac:dyDescent="0.2">
      <c r="A98" s="24"/>
      <c r="B98" s="1"/>
      <c r="C98" s="52"/>
      <c r="D98" s="85"/>
      <c r="E98" s="53"/>
      <c r="F98" s="53"/>
      <c r="G98" s="1"/>
      <c r="L98" s="1"/>
      <c r="M98" s="1"/>
    </row>
    <row r="99" spans="1:13" s="2" customFormat="1" x14ac:dyDescent="0.2">
      <c r="A99" s="24"/>
      <c r="B99" s="1"/>
      <c r="C99" s="52"/>
      <c r="D99" s="85"/>
      <c r="E99" s="53"/>
      <c r="F99" s="53"/>
      <c r="G99" s="1"/>
      <c r="L99" s="1"/>
      <c r="M99" s="1"/>
    </row>
    <row r="100" spans="1:13" s="2" customFormat="1" x14ac:dyDescent="0.2">
      <c r="A100" s="24"/>
      <c r="B100" s="1"/>
      <c r="C100" s="52"/>
      <c r="D100" s="85"/>
      <c r="E100" s="53"/>
      <c r="F100" s="53"/>
      <c r="G100" s="1"/>
      <c r="L100" s="1"/>
      <c r="M100" s="1"/>
    </row>
    <row r="101" spans="1:13" s="2" customFormat="1" x14ac:dyDescent="0.2">
      <c r="A101" s="24"/>
      <c r="B101" s="1"/>
      <c r="C101" s="52"/>
      <c r="D101" s="85"/>
      <c r="E101" s="53"/>
      <c r="F101" s="53"/>
      <c r="G101" s="1"/>
      <c r="L101" s="1"/>
      <c r="M101" s="1"/>
    </row>
    <row r="102" spans="1:13" s="2" customFormat="1" x14ac:dyDescent="0.2">
      <c r="A102" s="24"/>
      <c r="B102" s="1"/>
      <c r="C102" s="14"/>
      <c r="D102" s="25"/>
      <c r="G102" s="1"/>
      <c r="L102" s="1"/>
      <c r="M102" s="1"/>
    </row>
    <row r="103" spans="1:13" s="2" customFormat="1" x14ac:dyDescent="0.2">
      <c r="A103" s="24"/>
      <c r="B103" s="1"/>
      <c r="C103" s="14"/>
      <c r="D103" s="25"/>
      <c r="G103" s="1"/>
      <c r="L103" s="1"/>
      <c r="M103" s="1"/>
    </row>
    <row r="104" spans="1:13" s="2" customFormat="1" x14ac:dyDescent="0.2">
      <c r="A104" s="24"/>
      <c r="B104" s="1"/>
      <c r="C104" s="14"/>
      <c r="D104" s="25"/>
      <c r="G104" s="1"/>
      <c r="L104" s="1"/>
      <c r="M104" s="1"/>
    </row>
    <row r="105" spans="1:13" s="2" customFormat="1" x14ac:dyDescent="0.2">
      <c r="A105" s="24"/>
      <c r="B105" s="1"/>
      <c r="C105" s="14"/>
      <c r="D105" s="25"/>
      <c r="G105" s="1"/>
      <c r="L105" s="1"/>
      <c r="M105" s="1"/>
    </row>
    <row r="106" spans="1:13" s="2" customFormat="1" x14ac:dyDescent="0.2">
      <c r="A106" s="24"/>
      <c r="B106" s="1"/>
      <c r="C106" s="14"/>
      <c r="D106" s="25"/>
      <c r="G106" s="1"/>
      <c r="L106" s="1"/>
      <c r="M106" s="1"/>
    </row>
    <row r="107" spans="1:13" s="2" customFormat="1" x14ac:dyDescent="0.2">
      <c r="A107" s="24"/>
      <c r="B107" s="1"/>
      <c r="C107" s="14"/>
      <c r="D107" s="25"/>
      <c r="G107" s="1"/>
      <c r="L107" s="1"/>
      <c r="M107" s="1"/>
    </row>
    <row r="108" spans="1:13" s="2" customFormat="1" x14ac:dyDescent="0.2">
      <c r="A108" s="24"/>
      <c r="B108" s="1"/>
      <c r="C108" s="14"/>
      <c r="D108" s="25"/>
      <c r="G108" s="1"/>
      <c r="L108" s="1"/>
      <c r="M108" s="1"/>
    </row>
    <row r="109" spans="1:13" s="2" customFormat="1" x14ac:dyDescent="0.2">
      <c r="A109" s="24"/>
      <c r="B109" s="1"/>
      <c r="C109" s="14"/>
      <c r="D109" s="25"/>
      <c r="G109" s="1"/>
      <c r="L109" s="1"/>
      <c r="M109" s="1"/>
    </row>
    <row r="110" spans="1:13" s="2" customFormat="1" x14ac:dyDescent="0.2">
      <c r="A110" s="24"/>
      <c r="B110" s="1"/>
      <c r="C110" s="14"/>
      <c r="D110" s="25"/>
      <c r="G110" s="1"/>
      <c r="L110" s="1"/>
      <c r="M110" s="1"/>
    </row>
    <row r="111" spans="1:13" s="2" customFormat="1" x14ac:dyDescent="0.2">
      <c r="A111" s="24"/>
      <c r="B111" s="1"/>
      <c r="C111" s="14"/>
      <c r="D111" s="25"/>
      <c r="G111" s="1"/>
      <c r="L111" s="1"/>
      <c r="M111" s="1"/>
    </row>
    <row r="112" spans="1:13" s="2" customFormat="1" x14ac:dyDescent="0.2">
      <c r="A112" s="24"/>
      <c r="B112" s="1"/>
      <c r="C112" s="14"/>
      <c r="D112" s="25"/>
      <c r="G112" s="1"/>
      <c r="L112" s="1"/>
      <c r="M112" s="1"/>
    </row>
    <row r="113" spans="1:14" s="2" customFormat="1" x14ac:dyDescent="0.2">
      <c r="A113" s="24"/>
      <c r="B113" s="1"/>
      <c r="C113" s="14"/>
      <c r="D113" s="25"/>
      <c r="G113" s="1"/>
      <c r="L113" s="1"/>
      <c r="M113" s="1"/>
    </row>
    <row r="114" spans="1:14" s="2" customFormat="1" x14ac:dyDescent="0.2">
      <c r="A114" s="24"/>
      <c r="B114" s="1"/>
      <c r="C114" s="14"/>
      <c r="D114" s="25"/>
      <c r="G114" s="1"/>
      <c r="L114" s="1"/>
      <c r="M114" s="1"/>
    </row>
    <row r="115" spans="1:14" s="2" customFormat="1" x14ac:dyDescent="0.2">
      <c r="A115" s="24"/>
      <c r="B115" s="1"/>
      <c r="C115" s="14"/>
      <c r="D115" s="25"/>
      <c r="G115" s="1"/>
      <c r="L115" s="1"/>
      <c r="M115" s="1"/>
    </row>
    <row r="116" spans="1:14" s="2" customFormat="1" x14ac:dyDescent="0.2">
      <c r="A116" s="24"/>
      <c r="B116" s="1"/>
      <c r="C116" s="14"/>
      <c r="D116" s="25"/>
      <c r="G116" s="1"/>
      <c r="I116" s="1"/>
      <c r="J116" s="1"/>
      <c r="K116" s="1"/>
      <c r="L116" s="1"/>
      <c r="M116" s="1"/>
    </row>
    <row r="117" spans="1:14" s="2" customFormat="1" x14ac:dyDescent="0.2">
      <c r="A117" s="24"/>
      <c r="B117" s="1"/>
      <c r="C117" s="14"/>
      <c r="D117" s="25"/>
      <c r="G117" s="1"/>
    </row>
    <row r="118" spans="1:14" s="2" customFormat="1" x14ac:dyDescent="0.2">
      <c r="A118" s="24"/>
      <c r="B118" s="1"/>
      <c r="C118" s="14"/>
      <c r="D118" s="25"/>
      <c r="G118" s="1"/>
      <c r="I118" s="1"/>
      <c r="J118" s="1"/>
      <c r="K118" s="1"/>
      <c r="L118" s="1"/>
      <c r="M118" s="1"/>
    </row>
    <row r="119" spans="1:14" s="2" customFormat="1" x14ac:dyDescent="0.2">
      <c r="A119" s="24"/>
      <c r="B119" s="1"/>
      <c r="C119" s="14"/>
      <c r="D119" s="25"/>
      <c r="G119" s="54"/>
      <c r="I119" s="1"/>
      <c r="J119" s="1"/>
      <c r="K119" s="1"/>
      <c r="L119" s="1"/>
      <c r="M119" s="1"/>
    </row>
    <row r="120" spans="1:14" s="2" customFormat="1" x14ac:dyDescent="0.2">
      <c r="A120" s="24"/>
      <c r="B120" s="1"/>
      <c r="C120" s="14"/>
      <c r="D120" s="25"/>
      <c r="G120" s="54"/>
      <c r="I120" s="1"/>
      <c r="J120" s="1"/>
      <c r="K120" s="1"/>
      <c r="L120" s="1"/>
      <c r="M120" s="1"/>
    </row>
    <row r="121" spans="1:14" s="2" customFormat="1" x14ac:dyDescent="0.2">
      <c r="A121" s="24"/>
      <c r="B121" s="1"/>
      <c r="C121" s="14"/>
      <c r="D121" s="25"/>
      <c r="G121" s="54"/>
      <c r="I121" s="1"/>
      <c r="J121" s="1"/>
      <c r="K121" s="1"/>
      <c r="L121" s="1"/>
      <c r="M121" s="1"/>
    </row>
    <row r="122" spans="1:14" s="2" customFormat="1" x14ac:dyDescent="0.2">
      <c r="A122" s="24"/>
      <c r="B122" s="1"/>
      <c r="C122" s="14"/>
      <c r="D122" s="25"/>
      <c r="G122" s="54"/>
      <c r="H122" s="2" t="s">
        <v>396</v>
      </c>
      <c r="I122" s="1"/>
      <c r="J122" s="1"/>
      <c r="K122" s="1"/>
      <c r="L122" s="1"/>
      <c r="M122" s="1"/>
      <c r="N122" s="1"/>
    </row>
    <row r="123" spans="1:14" s="2" customFormat="1" x14ac:dyDescent="0.2">
      <c r="A123" s="24"/>
      <c r="B123" s="1"/>
      <c r="C123" s="14"/>
      <c r="D123" s="25"/>
      <c r="G123" s="54"/>
      <c r="H123" s="53"/>
    </row>
    <row r="124" spans="1:14" s="2" customFormat="1" x14ac:dyDescent="0.2">
      <c r="A124" s="24"/>
      <c r="B124" s="1"/>
      <c r="C124" s="14"/>
      <c r="D124" s="25"/>
      <c r="G124" s="54"/>
      <c r="H124" s="53" t="s">
        <v>396</v>
      </c>
      <c r="I124" s="1"/>
      <c r="J124" s="1"/>
      <c r="K124" s="1"/>
      <c r="L124" s="1"/>
      <c r="M124" s="1"/>
      <c r="N124" s="1"/>
    </row>
    <row r="125" spans="1:14" x14ac:dyDescent="0.2">
      <c r="G125" s="54"/>
      <c r="H125" s="53" t="s">
        <v>396</v>
      </c>
      <c r="J125" s="42"/>
    </row>
    <row r="126" spans="1:14" s="2" customFormat="1" x14ac:dyDescent="0.2">
      <c r="A126" s="24"/>
      <c r="B126" s="1"/>
      <c r="C126" s="14"/>
      <c r="D126" s="25"/>
      <c r="G126" s="54"/>
      <c r="H126" s="53"/>
      <c r="I126" s="101"/>
      <c r="J126" s="1"/>
      <c r="K126" s="1"/>
      <c r="L126" s="1"/>
      <c r="M126" s="1"/>
      <c r="N126" s="1"/>
    </row>
    <row r="127" spans="1:14" x14ac:dyDescent="0.2">
      <c r="G127" s="54"/>
      <c r="H127" s="53"/>
    </row>
    <row r="128" spans="1:14" x14ac:dyDescent="0.2">
      <c r="G128" s="54"/>
      <c r="H128" s="53"/>
    </row>
    <row r="129" spans="7:8" x14ac:dyDescent="0.2">
      <c r="G129" s="54"/>
      <c r="H129" s="53"/>
    </row>
  </sheetData>
  <sheetProtection insertRows="0"/>
  <mergeCells count="6">
    <mergeCell ref="C91:F91"/>
    <mergeCell ref="A1:G1"/>
    <mergeCell ref="A3:F3"/>
    <mergeCell ref="A9:F9"/>
    <mergeCell ref="A23:F23"/>
    <mergeCell ref="A65:D65"/>
  </mergeCells>
  <conditionalFormatting sqref="G62:G63">
    <cfRule type="cellIs" dxfId="241" priority="1" operator="lessThan">
      <formula>0</formula>
    </cfRule>
  </conditionalFormatting>
  <conditionalFormatting sqref="C25">
    <cfRule type="duplicateValues" dxfId="240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A00-000000000000}">
  <sheetPr codeName="Sheet466">
    <pageSetUpPr fitToPage="1"/>
  </sheetPr>
  <dimension ref="A1:N130"/>
  <sheetViews>
    <sheetView topLeftCell="A61" zoomScaleNormal="100" workbookViewId="0">
      <selection activeCell="D72" sqref="D72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1" ht="20.25" customHeight="1" x14ac:dyDescent="0.4">
      <c r="A1" s="212" t="s">
        <v>1730</v>
      </c>
      <c r="B1" s="212"/>
      <c r="C1" s="212"/>
      <c r="D1" s="212"/>
      <c r="E1" s="212"/>
      <c r="F1" s="212"/>
      <c r="G1" s="212"/>
      <c r="H1" s="112"/>
      <c r="I1" s="112"/>
    </row>
    <row r="2" spans="1:11" ht="12.75" customHeight="1" x14ac:dyDescent="0.4">
      <c r="H2" s="112"/>
      <c r="I2" s="112"/>
    </row>
    <row r="3" spans="1:11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1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1" s="2" customFormat="1" ht="14.25" customHeight="1" x14ac:dyDescent="0.4">
      <c r="A5" s="89">
        <v>45231</v>
      </c>
      <c r="B5" s="9" t="s">
        <v>6</v>
      </c>
      <c r="C5" s="10" t="s">
        <v>7</v>
      </c>
      <c r="D5" s="11"/>
      <c r="E5" s="12">
        <v>861727.40000000224</v>
      </c>
      <c r="F5" s="12"/>
      <c r="G5" s="1"/>
      <c r="H5" s="112"/>
      <c r="I5" s="112"/>
    </row>
    <row r="6" spans="1:11" s="2" customFormat="1" ht="14.25" customHeight="1" x14ac:dyDescent="0.4">
      <c r="A6" s="89">
        <v>45231</v>
      </c>
      <c r="B6" s="9" t="s">
        <v>11</v>
      </c>
      <c r="C6" s="10" t="s">
        <v>156</v>
      </c>
      <c r="D6" s="11" t="s">
        <v>29</v>
      </c>
      <c r="E6" s="12"/>
      <c r="F6" s="12">
        <v>57.82</v>
      </c>
      <c r="G6" s="1"/>
      <c r="H6" s="112"/>
      <c r="I6" s="112"/>
    </row>
    <row r="7" spans="1:11" s="2" customFormat="1" ht="12.75" customHeight="1" x14ac:dyDescent="0.4">
      <c r="D7" s="15" t="s">
        <v>8</v>
      </c>
      <c r="E7" s="16">
        <f>SUM(E5:E5)</f>
        <v>861727.40000000224</v>
      </c>
      <c r="F7" s="16">
        <f>SUM(F6)</f>
        <v>57.82</v>
      </c>
      <c r="G7" s="1"/>
      <c r="H7" s="112"/>
      <c r="I7" s="112"/>
    </row>
    <row r="8" spans="1:11" s="2" customFormat="1" ht="12.75" customHeight="1" x14ac:dyDescent="0.4">
      <c r="A8" s="17"/>
      <c r="B8" s="18"/>
      <c r="C8" s="19" t="s">
        <v>9</v>
      </c>
      <c r="D8" s="20"/>
      <c r="E8" s="21">
        <f>+E7-F7</f>
        <v>861669.58000000229</v>
      </c>
      <c r="F8" s="22"/>
      <c r="G8" s="23"/>
      <c r="H8" s="112"/>
      <c r="I8" s="112"/>
      <c r="J8" s="13"/>
    </row>
    <row r="9" spans="1:11" ht="12.75" customHeight="1" x14ac:dyDescent="0.4">
      <c r="H9" s="112"/>
      <c r="I9" s="112"/>
    </row>
    <row r="10" spans="1:11" ht="18" customHeight="1" x14ac:dyDescent="0.4">
      <c r="A10" s="213" t="s">
        <v>1037</v>
      </c>
      <c r="B10" s="213"/>
      <c r="C10" s="213"/>
      <c r="D10" s="213"/>
      <c r="E10" s="213"/>
      <c r="F10" s="213"/>
      <c r="H10" s="112"/>
      <c r="I10" s="169">
        <f>90000000-60000000</f>
        <v>30000000</v>
      </c>
      <c r="J10" s="169" t="s">
        <v>1508</v>
      </c>
    </row>
    <row r="11" spans="1:11" ht="12.75" customHeight="1" x14ac:dyDescent="0.4">
      <c r="A11" s="3" t="s">
        <v>1</v>
      </c>
      <c r="B11" s="4" t="s">
        <v>2</v>
      </c>
      <c r="C11" s="5"/>
      <c r="D11" s="6" t="s">
        <v>3</v>
      </c>
      <c r="E11" s="7" t="s">
        <v>4</v>
      </c>
      <c r="F11" s="7" t="s">
        <v>5</v>
      </c>
      <c r="H11" s="112"/>
      <c r="I11" s="169">
        <v>28867445.010000002</v>
      </c>
      <c r="J11" s="169" t="s">
        <v>1509</v>
      </c>
      <c r="K11" s="124"/>
    </row>
    <row r="12" spans="1:11" s="2" customFormat="1" ht="14.25" customHeight="1" x14ac:dyDescent="0.2">
      <c r="A12" s="89">
        <v>45231</v>
      </c>
      <c r="B12" s="9" t="s">
        <v>6</v>
      </c>
      <c r="C12" s="10" t="s">
        <v>7</v>
      </c>
      <c r="D12" s="11"/>
      <c r="F12" s="12">
        <v>28302838.549999997</v>
      </c>
      <c r="G12" s="1"/>
      <c r="H12" s="130" t="s">
        <v>396</v>
      </c>
      <c r="I12" s="169">
        <f>+I10-I11</f>
        <v>1132554.9899999984</v>
      </c>
      <c r="J12" s="169" t="s">
        <v>712</v>
      </c>
      <c r="K12" s="165" t="s">
        <v>1512</v>
      </c>
    </row>
    <row r="13" spans="1:11" s="2" customFormat="1" ht="14.25" customHeight="1" x14ac:dyDescent="0.2">
      <c r="A13" s="89">
        <v>45231</v>
      </c>
      <c r="B13" s="9" t="s">
        <v>11</v>
      </c>
      <c r="C13" s="10" t="s">
        <v>1731</v>
      </c>
      <c r="D13" s="11" t="s">
        <v>29</v>
      </c>
      <c r="F13" s="12">
        <v>219452</v>
      </c>
      <c r="G13" s="1"/>
      <c r="H13" s="130"/>
      <c r="I13" s="169"/>
      <c r="J13" s="169"/>
      <c r="K13" s="165"/>
    </row>
    <row r="14" spans="1:11" s="2" customFormat="1" ht="14.25" customHeight="1" x14ac:dyDescent="0.2">
      <c r="A14" s="89">
        <v>45231</v>
      </c>
      <c r="B14" s="9" t="s">
        <v>11</v>
      </c>
      <c r="C14" s="10" t="s">
        <v>1732</v>
      </c>
      <c r="D14" s="11" t="s">
        <v>29</v>
      </c>
      <c r="F14" s="12">
        <v>226952</v>
      </c>
      <c r="G14" s="1"/>
      <c r="H14" s="130"/>
      <c r="I14" s="169"/>
      <c r="J14" s="169"/>
      <c r="K14" s="165"/>
    </row>
    <row r="15" spans="1:11" s="2" customFormat="1" ht="14.25" customHeight="1" x14ac:dyDescent="0.2">
      <c r="A15" s="89">
        <v>45231</v>
      </c>
      <c r="B15" s="9" t="s">
        <v>11</v>
      </c>
      <c r="C15" s="10" t="s">
        <v>1091</v>
      </c>
      <c r="D15" s="11" t="s">
        <v>29</v>
      </c>
      <c r="F15" s="12">
        <v>1398.3</v>
      </c>
      <c r="G15" s="1"/>
      <c r="H15" s="130"/>
      <c r="I15" s="169"/>
      <c r="J15" s="169"/>
      <c r="K15" s="165"/>
    </row>
    <row r="16" spans="1:11" s="2" customFormat="1" ht="14.25" customHeight="1" x14ac:dyDescent="0.2">
      <c r="A16" s="89">
        <v>45231</v>
      </c>
      <c r="B16" s="9" t="s">
        <v>11</v>
      </c>
      <c r="C16" s="10" t="s">
        <v>102</v>
      </c>
      <c r="D16" s="11" t="s">
        <v>29</v>
      </c>
      <c r="F16" s="12">
        <v>114441.16</v>
      </c>
      <c r="G16" s="1"/>
      <c r="H16" s="130"/>
      <c r="I16" s="169"/>
      <c r="J16" s="169"/>
      <c r="K16" s="165"/>
    </row>
    <row r="17" spans="1:14" s="2" customFormat="1" ht="14.25" customHeight="1" x14ac:dyDescent="0.2">
      <c r="D17" s="11" t="s">
        <v>8</v>
      </c>
      <c r="E17" s="16">
        <f>SUM(E13:E16)</f>
        <v>0</v>
      </c>
      <c r="F17" s="16">
        <f>SUM(F12:F16)</f>
        <v>28865082.009999998</v>
      </c>
      <c r="G17" s="1"/>
      <c r="H17" s="143"/>
      <c r="I17" s="130"/>
      <c r="J17" s="143"/>
      <c r="K17" s="143"/>
      <c r="L17" s="143"/>
      <c r="M17" s="143"/>
    </row>
    <row r="18" spans="1:14" s="2" customFormat="1" ht="14.25" customHeight="1" x14ac:dyDescent="0.4">
      <c r="A18" s="17"/>
      <c r="B18" s="18"/>
      <c r="C18" s="96" t="s">
        <v>9</v>
      </c>
      <c r="D18" s="20"/>
      <c r="E18" s="21">
        <f>+F17-E17</f>
        <v>28865082.009999998</v>
      </c>
      <c r="G18" s="1"/>
      <c r="I18" s="112"/>
      <c r="J18" s="153" t="s">
        <v>779</v>
      </c>
    </row>
    <row r="19" spans="1:14" s="2" customFormat="1" ht="14.25" customHeight="1" x14ac:dyDescent="0.2">
      <c r="A19" s="36"/>
      <c r="B19" s="28" t="s">
        <v>66</v>
      </c>
      <c r="C19" s="43" t="s">
        <v>1458</v>
      </c>
      <c r="D19" s="43"/>
      <c r="E19" s="12">
        <f>30000000+60000000</f>
        <v>90000000</v>
      </c>
      <c r="F19" s="22"/>
      <c r="G19" s="1"/>
      <c r="I19" s="40">
        <v>28865082.010000002</v>
      </c>
      <c r="J19" s="154">
        <f>I19-E18</f>
        <v>0</v>
      </c>
    </row>
    <row r="20" spans="1:14" s="2" customFormat="1" ht="14.25" customHeight="1" x14ac:dyDescent="0.25">
      <c r="A20" s="36"/>
      <c r="B20" s="28"/>
      <c r="C20" s="44" t="s">
        <v>1541</v>
      </c>
      <c r="D20" s="43"/>
      <c r="E20" s="7">
        <f>+E18+E19</f>
        <v>118865082.00999999</v>
      </c>
      <c r="F20" s="22"/>
      <c r="G20" s="1"/>
      <c r="H20" s="13" t="s">
        <v>1582</v>
      </c>
      <c r="I20" s="13" t="s">
        <v>1583</v>
      </c>
    </row>
    <row r="21" spans="1:14" s="2" customFormat="1" ht="14.25" customHeight="1" x14ac:dyDescent="0.25">
      <c r="A21" s="36"/>
      <c r="B21" s="28"/>
      <c r="C21" s="44" t="s">
        <v>1511</v>
      </c>
      <c r="D21" s="43"/>
      <c r="E21" s="38">
        <f>+I12</f>
        <v>1132554.9899999984</v>
      </c>
      <c r="F21" s="22"/>
      <c r="G21" s="1"/>
      <c r="H21" s="2">
        <v>40070049</v>
      </c>
      <c r="I21" s="2">
        <v>9638773.3100000005</v>
      </c>
      <c r="J21" s="176">
        <f>H21-I21</f>
        <v>30431275.689999998</v>
      </c>
    </row>
    <row r="22" spans="1:14" s="2" customFormat="1" ht="14.25" customHeight="1" x14ac:dyDescent="0.2">
      <c r="A22" s="24"/>
      <c r="B22" s="1"/>
      <c r="C22" s="14"/>
      <c r="D22" s="25"/>
      <c r="G22" s="1"/>
      <c r="I22" s="130"/>
      <c r="J22" s="130"/>
    </row>
    <row r="23" spans="1:14" s="2" customFormat="1" x14ac:dyDescent="0.2">
      <c r="A23" s="214" t="s">
        <v>10</v>
      </c>
      <c r="B23" s="214"/>
      <c r="C23" s="214"/>
      <c r="D23" s="214"/>
      <c r="E23" s="214"/>
      <c r="F23" s="214"/>
      <c r="G23" s="1"/>
      <c r="H23" s="159"/>
      <c r="I23" s="160">
        <f>225000000-75000000-50000000</f>
        <v>100000000</v>
      </c>
      <c r="J23" s="160" t="s">
        <v>1506</v>
      </c>
      <c r="K23" s="70"/>
    </row>
    <row r="24" spans="1:14" s="2" customFormat="1" x14ac:dyDescent="0.2">
      <c r="A24" s="26" t="s">
        <v>1</v>
      </c>
      <c r="B24" s="27" t="s">
        <v>2</v>
      </c>
      <c r="C24" s="5"/>
      <c r="D24" s="6" t="s">
        <v>3</v>
      </c>
      <c r="E24" s="7" t="s">
        <v>4</v>
      </c>
      <c r="F24" s="7" t="s">
        <v>5</v>
      </c>
      <c r="G24" s="1"/>
      <c r="H24" s="159"/>
      <c r="I24" s="160">
        <v>90027868.689999998</v>
      </c>
      <c r="J24" s="160" t="s">
        <v>1507</v>
      </c>
      <c r="K24" s="70" t="s">
        <v>1512</v>
      </c>
    </row>
    <row r="25" spans="1:14" s="2" customFormat="1" x14ac:dyDescent="0.2">
      <c r="A25" s="89">
        <v>45231</v>
      </c>
      <c r="B25" s="128" t="s">
        <v>11</v>
      </c>
      <c r="C25" s="29" t="s">
        <v>7</v>
      </c>
      <c r="D25" s="25"/>
      <c r="E25" s="31"/>
      <c r="F25" s="2">
        <v>100536682.57000005</v>
      </c>
      <c r="G25" s="23"/>
      <c r="H25" s="159" t="s">
        <v>1505</v>
      </c>
      <c r="I25" s="160">
        <f>+I23-I24</f>
        <v>9972131.3100000024</v>
      </c>
      <c r="J25" s="160"/>
      <c r="K25" s="70"/>
    </row>
    <row r="26" spans="1:14" s="2" customFormat="1" x14ac:dyDescent="0.2">
      <c r="A26" s="89">
        <v>45231</v>
      </c>
      <c r="B26" s="128" t="s">
        <v>6</v>
      </c>
      <c r="C26" s="10" t="s">
        <v>773</v>
      </c>
      <c r="D26" s="11" t="s">
        <v>13</v>
      </c>
      <c r="E26" s="86">
        <v>905761.85</v>
      </c>
      <c r="F26" s="70"/>
      <c r="G26" s="1"/>
      <c r="N26" s="1"/>
    </row>
    <row r="27" spans="1:14" s="2" customFormat="1" x14ac:dyDescent="0.2">
      <c r="A27" s="89">
        <v>45231</v>
      </c>
      <c r="B27" s="128" t="s">
        <v>6</v>
      </c>
      <c r="C27" s="10" t="s">
        <v>764</v>
      </c>
      <c r="D27" s="11" t="s">
        <v>13</v>
      </c>
      <c r="E27" s="86">
        <v>5511429.1699999999</v>
      </c>
      <c r="F27" s="70"/>
      <c r="G27" s="1"/>
      <c r="N27" s="1"/>
    </row>
    <row r="28" spans="1:14" s="2" customFormat="1" x14ac:dyDescent="0.2">
      <c r="A28" s="89">
        <v>45231</v>
      </c>
      <c r="B28" s="128" t="s">
        <v>6</v>
      </c>
      <c r="C28" s="10" t="s">
        <v>749</v>
      </c>
      <c r="D28" s="11" t="s">
        <v>13</v>
      </c>
      <c r="E28" s="86">
        <v>954146.12</v>
      </c>
      <c r="F28" s="70"/>
      <c r="G28" s="1"/>
      <c r="N28" s="1"/>
    </row>
    <row r="29" spans="1:14" s="2" customFormat="1" x14ac:dyDescent="0.2">
      <c r="A29" s="89">
        <v>45231</v>
      </c>
      <c r="B29" s="128" t="s">
        <v>6</v>
      </c>
      <c r="C29" s="10" t="s">
        <v>759</v>
      </c>
      <c r="D29" s="11" t="s">
        <v>13</v>
      </c>
      <c r="E29" s="86">
        <v>2168499.67</v>
      </c>
      <c r="F29" s="70"/>
      <c r="G29" s="1"/>
      <c r="N29" s="1"/>
    </row>
    <row r="30" spans="1:14" s="2" customFormat="1" x14ac:dyDescent="0.2">
      <c r="A30" s="89">
        <v>45231</v>
      </c>
      <c r="B30" s="128" t="s">
        <v>6</v>
      </c>
      <c r="C30" s="10" t="s">
        <v>318</v>
      </c>
      <c r="D30" s="11" t="s">
        <v>13</v>
      </c>
      <c r="E30" s="86">
        <v>312457</v>
      </c>
      <c r="F30" s="70"/>
      <c r="G30" s="1"/>
      <c r="N30" s="1"/>
    </row>
    <row r="31" spans="1:14" s="2" customFormat="1" x14ac:dyDescent="0.2">
      <c r="A31" s="89">
        <v>45231</v>
      </c>
      <c r="B31" s="128" t="s">
        <v>6</v>
      </c>
      <c r="C31" s="10" t="s">
        <v>15</v>
      </c>
      <c r="D31" s="11" t="s">
        <v>13</v>
      </c>
      <c r="E31" s="86">
        <v>3280.3900000000003</v>
      </c>
      <c r="F31" s="70"/>
      <c r="G31" s="1"/>
      <c r="N31" s="1"/>
    </row>
    <row r="32" spans="1:14" s="2" customFormat="1" x14ac:dyDescent="0.2">
      <c r="A32" s="89">
        <v>45231</v>
      </c>
      <c r="B32" s="128" t="s">
        <v>6</v>
      </c>
      <c r="C32" s="10" t="s">
        <v>1733</v>
      </c>
      <c r="D32" s="11" t="s">
        <v>13</v>
      </c>
      <c r="E32" s="86">
        <v>117010</v>
      </c>
      <c r="F32" s="70"/>
      <c r="G32" s="1"/>
      <c r="N32" s="1"/>
    </row>
    <row r="33" spans="1:14" s="2" customFormat="1" x14ac:dyDescent="0.2">
      <c r="A33" s="89">
        <v>45231</v>
      </c>
      <c r="B33" s="128" t="s">
        <v>6</v>
      </c>
      <c r="C33" s="10" t="s">
        <v>683</v>
      </c>
      <c r="D33" s="11" t="s">
        <v>13</v>
      </c>
      <c r="E33" s="86">
        <v>13440</v>
      </c>
      <c r="F33" s="70"/>
      <c r="G33" s="1"/>
      <c r="N33" s="1"/>
    </row>
    <row r="34" spans="1:14" s="2" customFormat="1" x14ac:dyDescent="0.2">
      <c r="A34" s="89">
        <v>45231</v>
      </c>
      <c r="B34" s="128" t="s">
        <v>6</v>
      </c>
      <c r="C34" s="10" t="s">
        <v>843</v>
      </c>
      <c r="D34" s="11" t="s">
        <v>13</v>
      </c>
      <c r="E34" s="86">
        <v>200000</v>
      </c>
      <c r="F34" s="70"/>
      <c r="G34" s="1"/>
      <c r="N34" s="1"/>
    </row>
    <row r="35" spans="1:14" s="2" customFormat="1" x14ac:dyDescent="0.2">
      <c r="A35" s="89">
        <v>45231</v>
      </c>
      <c r="B35" s="128" t="s">
        <v>6</v>
      </c>
      <c r="C35" s="10" t="s">
        <v>757</v>
      </c>
      <c r="D35" s="11" t="s">
        <v>13</v>
      </c>
      <c r="E35" s="86">
        <v>1248156.07</v>
      </c>
      <c r="F35" s="70"/>
      <c r="G35" s="1"/>
      <c r="N35" s="1"/>
    </row>
    <row r="36" spans="1:14" s="2" customFormat="1" x14ac:dyDescent="0.2">
      <c r="A36" s="89">
        <v>45231</v>
      </c>
      <c r="B36" s="128" t="s">
        <v>6</v>
      </c>
      <c r="C36" s="10" t="s">
        <v>755</v>
      </c>
      <c r="D36" s="11" t="s">
        <v>13</v>
      </c>
      <c r="E36" s="86">
        <v>2089636.8</v>
      </c>
      <c r="F36" s="70"/>
      <c r="G36" s="1"/>
      <c r="N36" s="1"/>
    </row>
    <row r="37" spans="1:14" s="2" customFormat="1" x14ac:dyDescent="0.2">
      <c r="A37" s="89">
        <v>45231</v>
      </c>
      <c r="B37" s="128" t="s">
        <v>6</v>
      </c>
      <c r="C37" s="10" t="s">
        <v>765</v>
      </c>
      <c r="D37" s="11" t="s">
        <v>13</v>
      </c>
      <c r="E37" s="86">
        <v>1845318.07</v>
      </c>
      <c r="F37" s="70"/>
      <c r="G37" s="1"/>
      <c r="N37" s="1"/>
    </row>
    <row r="38" spans="1:14" s="2" customFormat="1" x14ac:dyDescent="0.2">
      <c r="A38" s="89">
        <v>45231</v>
      </c>
      <c r="B38" s="128" t="s">
        <v>6</v>
      </c>
      <c r="C38" s="10" t="s">
        <v>1667</v>
      </c>
      <c r="D38" s="11" t="s">
        <v>13</v>
      </c>
      <c r="E38" s="86">
        <v>70838.17</v>
      </c>
      <c r="F38" s="70"/>
      <c r="G38" s="1"/>
      <c r="N38" s="1"/>
    </row>
    <row r="39" spans="1:14" s="2" customFormat="1" x14ac:dyDescent="0.2">
      <c r="A39" s="89">
        <v>45231</v>
      </c>
      <c r="B39" s="128" t="s">
        <v>6</v>
      </c>
      <c r="C39" s="10" t="s">
        <v>161</v>
      </c>
      <c r="D39" s="11" t="s">
        <v>13</v>
      </c>
      <c r="E39" s="86">
        <v>464913</v>
      </c>
      <c r="F39" s="70"/>
      <c r="G39" s="1"/>
      <c r="N39" s="1"/>
    </row>
    <row r="40" spans="1:14" s="2" customFormat="1" x14ac:dyDescent="0.2">
      <c r="A40" s="89">
        <v>45231</v>
      </c>
      <c r="B40" s="128" t="s">
        <v>6</v>
      </c>
      <c r="C40" s="10" t="s">
        <v>1383</v>
      </c>
      <c r="D40" s="11" t="s">
        <v>13</v>
      </c>
      <c r="E40" s="86">
        <v>40000000</v>
      </c>
      <c r="F40" s="70"/>
      <c r="G40" s="1"/>
      <c r="N40" s="1"/>
    </row>
    <row r="41" spans="1:14" s="2" customFormat="1" x14ac:dyDescent="0.2">
      <c r="A41" s="89">
        <v>45231</v>
      </c>
      <c r="B41" s="128" t="s">
        <v>6</v>
      </c>
      <c r="C41" s="10" t="s">
        <v>1569</v>
      </c>
      <c r="D41" s="11" t="s">
        <v>13</v>
      </c>
      <c r="E41" s="86">
        <v>441306</v>
      </c>
      <c r="F41" s="70"/>
      <c r="G41" s="1"/>
      <c r="N41" s="1"/>
    </row>
    <row r="42" spans="1:14" s="2" customFormat="1" x14ac:dyDescent="0.2">
      <c r="A42" s="89">
        <v>45231</v>
      </c>
      <c r="B42" s="128" t="s">
        <v>6</v>
      </c>
      <c r="C42" s="10" t="s">
        <v>266</v>
      </c>
      <c r="D42" s="11" t="s">
        <v>13</v>
      </c>
      <c r="E42" s="86">
        <v>311569</v>
      </c>
      <c r="F42" s="70"/>
      <c r="G42" s="1"/>
      <c r="N42" s="1"/>
    </row>
    <row r="43" spans="1:14" s="2" customFormat="1" x14ac:dyDescent="0.2">
      <c r="A43" s="89">
        <v>45231</v>
      </c>
      <c r="B43" s="128" t="s">
        <v>6</v>
      </c>
      <c r="C43" s="10" t="s">
        <v>1270</v>
      </c>
      <c r="D43" s="11" t="s">
        <v>13</v>
      </c>
      <c r="E43" s="86">
        <v>474632</v>
      </c>
      <c r="F43" s="70"/>
      <c r="G43" s="1"/>
      <c r="N43" s="1"/>
    </row>
    <row r="44" spans="1:14" s="2" customFormat="1" x14ac:dyDescent="0.2">
      <c r="A44" s="89">
        <v>45231</v>
      </c>
      <c r="B44" s="128" t="s">
        <v>6</v>
      </c>
      <c r="C44" s="10" t="s">
        <v>121</v>
      </c>
      <c r="D44" s="11" t="s">
        <v>13</v>
      </c>
      <c r="E44" s="86">
        <v>300000</v>
      </c>
      <c r="F44" s="70"/>
      <c r="G44" s="1"/>
      <c r="N44" s="1"/>
    </row>
    <row r="45" spans="1:14" s="2" customFormat="1" x14ac:dyDescent="0.2">
      <c r="A45" s="89">
        <v>45231</v>
      </c>
      <c r="B45" s="128" t="s">
        <v>6</v>
      </c>
      <c r="C45" s="10" t="s">
        <v>149</v>
      </c>
      <c r="D45" s="11" t="s">
        <v>13</v>
      </c>
      <c r="E45" s="86">
        <v>247012</v>
      </c>
      <c r="F45" s="70"/>
      <c r="G45" s="1"/>
      <c r="N45" s="1"/>
    </row>
    <row r="46" spans="1:14" s="2" customFormat="1" x14ac:dyDescent="0.2">
      <c r="A46" s="89">
        <v>45231</v>
      </c>
      <c r="B46" s="128" t="s">
        <v>6</v>
      </c>
      <c r="C46" s="10" t="s">
        <v>583</v>
      </c>
      <c r="D46" s="11" t="s">
        <v>13</v>
      </c>
      <c r="E46" s="86">
        <v>1249275</v>
      </c>
      <c r="F46" s="70"/>
      <c r="G46" s="1"/>
      <c r="N46" s="1"/>
    </row>
    <row r="47" spans="1:14" s="2" customFormat="1" x14ac:dyDescent="0.2">
      <c r="A47" s="89">
        <v>45231</v>
      </c>
      <c r="B47" s="128" t="s">
        <v>6</v>
      </c>
      <c r="C47" s="10" t="s">
        <v>153</v>
      </c>
      <c r="D47" s="11" t="s">
        <v>13</v>
      </c>
      <c r="E47" s="86">
        <v>308996</v>
      </c>
      <c r="F47" s="70"/>
      <c r="G47" s="1"/>
      <c r="N47" s="1"/>
    </row>
    <row r="48" spans="1:14" s="2" customFormat="1" x14ac:dyDescent="0.2">
      <c r="A48" s="89">
        <v>45231</v>
      </c>
      <c r="B48" s="128" t="s">
        <v>6</v>
      </c>
      <c r="C48" s="10" t="s">
        <v>1031</v>
      </c>
      <c r="D48" s="11" t="s">
        <v>13</v>
      </c>
      <c r="E48" s="86">
        <v>11041.09</v>
      </c>
      <c r="F48" s="70"/>
      <c r="G48" s="1"/>
      <c r="N48" s="1"/>
    </row>
    <row r="49" spans="1:14" s="13" customFormat="1" x14ac:dyDescent="0.2">
      <c r="A49" s="97">
        <v>45231</v>
      </c>
      <c r="B49" s="132" t="s">
        <v>11</v>
      </c>
      <c r="C49" s="121" t="s">
        <v>1726</v>
      </c>
      <c r="D49" s="122" t="s">
        <v>258</v>
      </c>
      <c r="E49" s="147"/>
      <c r="F49" s="69">
        <v>754322</v>
      </c>
      <c r="G49" s="23"/>
      <c r="N49" s="23"/>
    </row>
    <row r="50" spans="1:14" s="2" customFormat="1" x14ac:dyDescent="0.2">
      <c r="A50" s="89">
        <v>45231</v>
      </c>
      <c r="B50" s="128" t="s">
        <v>11</v>
      </c>
      <c r="C50" s="10" t="s">
        <v>64</v>
      </c>
      <c r="D50" s="11" t="s">
        <v>29</v>
      </c>
      <c r="E50" s="86"/>
      <c r="F50" s="70">
        <v>11152.64</v>
      </c>
      <c r="G50" s="1"/>
      <c r="N50" s="1"/>
    </row>
    <row r="51" spans="1:14" s="2" customFormat="1" x14ac:dyDescent="0.2">
      <c r="A51" s="89">
        <v>45231</v>
      </c>
      <c r="B51" s="128" t="s">
        <v>11</v>
      </c>
      <c r="C51" s="10" t="s">
        <v>156</v>
      </c>
      <c r="D51" s="11" t="s">
        <v>29</v>
      </c>
      <c r="E51" s="86"/>
      <c r="F51" s="70">
        <v>29</v>
      </c>
      <c r="G51" s="1"/>
      <c r="N51" s="1"/>
    </row>
    <row r="52" spans="1:14" s="2" customFormat="1" x14ac:dyDescent="0.2">
      <c r="A52" s="89">
        <v>45231</v>
      </c>
      <c r="B52" s="128" t="s">
        <v>11</v>
      </c>
      <c r="C52" s="10" t="s">
        <v>760</v>
      </c>
      <c r="D52" s="11" t="s">
        <v>29</v>
      </c>
      <c r="E52" s="86"/>
      <c r="F52" s="70">
        <v>757326.3</v>
      </c>
      <c r="G52" s="1"/>
      <c r="N52" s="1"/>
    </row>
    <row r="53" spans="1:14" s="2" customFormat="1" x14ac:dyDescent="0.2">
      <c r="A53" s="89">
        <v>45231</v>
      </c>
      <c r="B53" s="128" t="s">
        <v>11</v>
      </c>
      <c r="C53" s="10" t="s">
        <v>1031</v>
      </c>
      <c r="D53" s="11" t="s">
        <v>29</v>
      </c>
      <c r="E53" s="86"/>
      <c r="F53" s="70">
        <v>49408.9</v>
      </c>
      <c r="G53" s="1"/>
      <c r="N53" s="1"/>
    </row>
    <row r="54" spans="1:14" s="2" customFormat="1" x14ac:dyDescent="0.2">
      <c r="A54" s="89">
        <v>45231</v>
      </c>
      <c r="B54" s="128" t="s">
        <v>11</v>
      </c>
      <c r="C54" s="10" t="s">
        <v>102</v>
      </c>
      <c r="D54" s="11" t="s">
        <v>29</v>
      </c>
      <c r="E54" s="86"/>
      <c r="F54" s="70">
        <v>3708495.68</v>
      </c>
      <c r="G54" s="1"/>
      <c r="N54" s="1"/>
    </row>
    <row r="55" spans="1:14" s="2" customFormat="1" x14ac:dyDescent="0.2">
      <c r="A55" s="89">
        <v>45231</v>
      </c>
      <c r="B55" s="128" t="s">
        <v>11</v>
      </c>
      <c r="C55" s="10" t="s">
        <v>92</v>
      </c>
      <c r="D55" s="11" t="s">
        <v>29</v>
      </c>
      <c r="E55" s="86"/>
      <c r="F55" s="70">
        <v>16615</v>
      </c>
      <c r="G55" s="1"/>
      <c r="N55" s="1"/>
    </row>
    <row r="56" spans="1:14" s="2" customFormat="1" x14ac:dyDescent="0.2">
      <c r="A56" s="89">
        <v>45231</v>
      </c>
      <c r="B56" s="128" t="s">
        <v>11</v>
      </c>
      <c r="C56" s="10" t="s">
        <v>518</v>
      </c>
      <c r="D56" s="11" t="s">
        <v>29</v>
      </c>
      <c r="E56" s="86"/>
      <c r="F56" s="70">
        <v>20302</v>
      </c>
      <c r="G56" s="1"/>
      <c r="N56" s="1"/>
    </row>
    <row r="57" spans="1:14" s="2" customFormat="1" x14ac:dyDescent="0.2">
      <c r="A57" s="89">
        <v>45231</v>
      </c>
      <c r="B57" s="128" t="s">
        <v>11</v>
      </c>
      <c r="C57" s="10" t="s">
        <v>111</v>
      </c>
      <c r="D57" s="11" t="s">
        <v>29</v>
      </c>
      <c r="E57" s="86"/>
      <c r="F57" s="70">
        <v>7010738.3100000005</v>
      </c>
      <c r="G57" s="1"/>
      <c r="N57" s="1"/>
    </row>
    <row r="58" spans="1:14" s="2" customFormat="1" x14ac:dyDescent="0.2">
      <c r="A58" s="89">
        <v>45231</v>
      </c>
      <c r="B58" s="128" t="s">
        <v>11</v>
      </c>
      <c r="C58" s="10" t="s">
        <v>1734</v>
      </c>
      <c r="D58" s="11" t="s">
        <v>29</v>
      </c>
      <c r="E58" s="86"/>
      <c r="F58" s="70">
        <v>1675800</v>
      </c>
      <c r="G58" s="1"/>
      <c r="N58" s="1"/>
    </row>
    <row r="59" spans="1:14" s="2" customFormat="1" x14ac:dyDescent="0.2">
      <c r="A59" s="89">
        <v>45231</v>
      </c>
      <c r="B59" s="128" t="s">
        <v>11</v>
      </c>
      <c r="C59" s="10" t="s">
        <v>109</v>
      </c>
      <c r="D59" s="11" t="s">
        <v>29</v>
      </c>
      <c r="E59" s="86"/>
      <c r="F59" s="70">
        <v>924703</v>
      </c>
      <c r="G59" s="1"/>
      <c r="N59" s="1"/>
    </row>
    <row r="60" spans="1:14" s="2" customFormat="1" x14ac:dyDescent="0.2">
      <c r="A60" s="89">
        <v>45231</v>
      </c>
      <c r="B60" s="128" t="s">
        <v>11</v>
      </c>
      <c r="C60" s="10" t="s">
        <v>740</v>
      </c>
      <c r="D60" s="11" t="s">
        <v>29</v>
      </c>
      <c r="E60" s="86"/>
      <c r="F60" s="70">
        <v>44098</v>
      </c>
      <c r="G60" s="1"/>
      <c r="N60" s="1"/>
    </row>
    <row r="61" spans="1:14" s="2" customFormat="1" x14ac:dyDescent="0.2">
      <c r="A61" s="89">
        <v>45231</v>
      </c>
      <c r="B61" s="128" t="s">
        <v>11</v>
      </c>
      <c r="C61" s="10" t="s">
        <v>715</v>
      </c>
      <c r="D61" s="11" t="s">
        <v>29</v>
      </c>
      <c r="E61" s="86"/>
      <c r="F61" s="70">
        <v>2899050</v>
      </c>
      <c r="G61" s="1"/>
      <c r="N61" s="1"/>
    </row>
    <row r="62" spans="1:14" s="2" customFormat="1" x14ac:dyDescent="0.2">
      <c r="A62" s="89">
        <v>45231</v>
      </c>
      <c r="B62" s="128" t="s">
        <v>11</v>
      </c>
      <c r="C62" s="10" t="s">
        <v>107</v>
      </c>
      <c r="D62" s="11" t="s">
        <v>29</v>
      </c>
      <c r="E62" s="86"/>
      <c r="F62" s="70">
        <v>141492.09</v>
      </c>
      <c r="G62" s="1"/>
      <c r="N62" s="1"/>
    </row>
    <row r="63" spans="1:14" s="2" customFormat="1" x14ac:dyDescent="0.2">
      <c r="A63" s="89">
        <v>45231</v>
      </c>
      <c r="B63" s="128" t="s">
        <v>11</v>
      </c>
      <c r="C63" s="10" t="s">
        <v>108</v>
      </c>
      <c r="D63" s="11" t="s">
        <v>29</v>
      </c>
      <c r="E63" s="86"/>
      <c r="F63" s="70">
        <v>295094.90999999997</v>
      </c>
      <c r="G63" s="1"/>
      <c r="N63" s="1"/>
    </row>
    <row r="64" spans="1:14" s="2" customFormat="1" x14ac:dyDescent="0.2">
      <c r="A64" s="32"/>
      <c r="B64" s="33"/>
      <c r="C64" s="14"/>
      <c r="D64" s="34"/>
      <c r="E64" s="16">
        <f>SUM(E25:E63)</f>
        <v>59248717.400000006</v>
      </c>
      <c r="F64" s="16">
        <f>SUM(F25:F63)</f>
        <v>118845310.40000007</v>
      </c>
      <c r="G64" s="1"/>
      <c r="H64" s="1"/>
      <c r="I64" s="38">
        <v>59596593</v>
      </c>
      <c r="J64" s="2" t="s">
        <v>396</v>
      </c>
      <c r="K64" s="92">
        <f>E65-I64</f>
        <v>5.9604644775390625E-8</v>
      </c>
      <c r="N64" s="1"/>
    </row>
    <row r="65" spans="1:14" s="2" customFormat="1" x14ac:dyDescent="0.2">
      <c r="A65" s="36"/>
      <c r="B65" s="28" t="s">
        <v>11</v>
      </c>
      <c r="C65" s="19" t="s">
        <v>65</v>
      </c>
      <c r="D65" s="37"/>
      <c r="E65" s="38">
        <f>F64-E64</f>
        <v>59596593.00000006</v>
      </c>
      <c r="F65" s="22"/>
      <c r="G65" s="1"/>
      <c r="H65" s="1"/>
      <c r="I65" s="70"/>
      <c r="J65" s="70"/>
      <c r="K65" s="70"/>
      <c r="N65" s="1"/>
    </row>
    <row r="66" spans="1:14" s="2" customFormat="1" x14ac:dyDescent="0.2">
      <c r="A66" s="36"/>
      <c r="B66" s="28" t="s">
        <v>66</v>
      </c>
      <c r="C66" s="19" t="s">
        <v>67</v>
      </c>
      <c r="D66" s="37"/>
      <c r="E66" s="38">
        <v>6500000</v>
      </c>
      <c r="F66" s="22"/>
      <c r="G66" s="1"/>
      <c r="H66" s="70"/>
      <c r="I66" s="70"/>
      <c r="J66" s="70"/>
      <c r="K66" s="70"/>
      <c r="N66" s="1"/>
    </row>
    <row r="67" spans="1:14" s="2" customFormat="1" x14ac:dyDescent="0.2">
      <c r="A67" s="36"/>
      <c r="B67" s="28" t="s">
        <v>66</v>
      </c>
      <c r="C67" s="43" t="s">
        <v>1457</v>
      </c>
      <c r="D67" s="43"/>
      <c r="E67" s="12">
        <f>275000000+75000000+50000000</f>
        <v>400000000</v>
      </c>
      <c r="F67" s="22"/>
      <c r="G67" s="1"/>
      <c r="H67" s="70"/>
      <c r="I67" s="45">
        <v>435</v>
      </c>
      <c r="J67" s="46"/>
      <c r="K67" s="46"/>
      <c r="N67" s="1"/>
    </row>
    <row r="68" spans="1:14" s="2" customFormat="1" ht="15" x14ac:dyDescent="0.25">
      <c r="A68" s="36"/>
      <c r="B68" s="28"/>
      <c r="C68" s="44" t="s">
        <v>1541</v>
      </c>
      <c r="D68" s="43"/>
      <c r="E68" s="7">
        <f>+E67+E65+E66</f>
        <v>466096593.00000006</v>
      </c>
      <c r="F68" s="22"/>
      <c r="G68" s="1"/>
      <c r="H68" s="103" t="s">
        <v>69</v>
      </c>
      <c r="I68" s="45">
        <v>0</v>
      </c>
      <c r="J68" s="46"/>
      <c r="K68" s="46"/>
      <c r="N68" s="1"/>
    </row>
    <row r="69" spans="1:14" s="2" customFormat="1" ht="15" x14ac:dyDescent="0.25">
      <c r="A69" s="24"/>
      <c r="B69" s="1"/>
      <c r="C69" s="44" t="s">
        <v>1510</v>
      </c>
      <c r="D69" s="25"/>
      <c r="E69" s="156">
        <f>+I25-E66+H21-I21</f>
        <v>33903407</v>
      </c>
      <c r="G69" s="1"/>
      <c r="H69" s="35" t="s">
        <v>70</v>
      </c>
      <c r="I69" s="45">
        <v>0</v>
      </c>
      <c r="J69" s="46">
        <f>+I70-D72</f>
        <v>0</v>
      </c>
      <c r="N69" s="1"/>
    </row>
    <row r="70" spans="1:14" s="124" customFormat="1" ht="12.75" customHeight="1" x14ac:dyDescent="0.2">
      <c r="A70" s="24"/>
      <c r="B70" s="1"/>
      <c r="C70" s="56"/>
      <c r="D70" s="56"/>
      <c r="E70" s="104"/>
      <c r="F70" s="2"/>
      <c r="G70" s="166"/>
      <c r="H70" s="70"/>
      <c r="I70" s="49">
        <f>SUM(I67:I69)</f>
        <v>435</v>
      </c>
      <c r="J70" s="46"/>
      <c r="K70" s="46"/>
    </row>
    <row r="71" spans="1:14" s="124" customFormat="1" ht="12.75" customHeight="1" x14ac:dyDescent="0.2">
      <c r="A71" s="24"/>
      <c r="B71" s="1"/>
      <c r="C71" s="78" t="s">
        <v>575</v>
      </c>
      <c r="D71" s="48" t="s">
        <v>576</v>
      </c>
      <c r="E71" s="104"/>
      <c r="F71" s="2"/>
      <c r="G71" s="168"/>
      <c r="H71" s="167"/>
      <c r="I71" s="167"/>
      <c r="J71" s="168"/>
    </row>
    <row r="72" spans="1:14" s="124" customFormat="1" ht="12.75" customHeight="1" x14ac:dyDescent="0.2">
      <c r="A72" s="24"/>
      <c r="B72" s="1"/>
      <c r="C72" s="47" t="s">
        <v>570</v>
      </c>
      <c r="D72" s="111">
        <v>435</v>
      </c>
      <c r="E72" s="104"/>
      <c r="F72" s="2"/>
      <c r="G72" s="168"/>
      <c r="H72" s="110" t="s">
        <v>581</v>
      </c>
      <c r="I72" s="167"/>
      <c r="J72" s="168"/>
    </row>
    <row r="73" spans="1:14" s="124" customFormat="1" ht="12.75" customHeight="1" x14ac:dyDescent="0.2">
      <c r="A73" s="24"/>
      <c r="B73" s="1"/>
      <c r="C73" s="47" t="s">
        <v>931</v>
      </c>
      <c r="D73" s="111">
        <v>3.02</v>
      </c>
      <c r="E73" s="104"/>
      <c r="F73" s="2"/>
      <c r="G73" s="168"/>
      <c r="H73" s="110" t="s">
        <v>580</v>
      </c>
      <c r="I73" s="167"/>
      <c r="J73" s="168"/>
    </row>
    <row r="74" spans="1:14" s="124" customFormat="1" ht="12.75" customHeight="1" x14ac:dyDescent="0.2">
      <c r="A74" s="24"/>
      <c r="B74" s="1"/>
      <c r="C74" s="47" t="s">
        <v>572</v>
      </c>
      <c r="D74" s="111">
        <f>+D90/100000</f>
        <v>0</v>
      </c>
      <c r="E74" s="104"/>
      <c r="F74" s="2"/>
      <c r="G74" s="166"/>
      <c r="H74" s="90" t="s">
        <v>587</v>
      </c>
      <c r="I74" s="167"/>
      <c r="J74" s="168"/>
    </row>
    <row r="75" spans="1:14" s="2" customFormat="1" x14ac:dyDescent="0.2">
      <c r="A75" s="24"/>
      <c r="B75" s="1"/>
      <c r="C75" s="108" t="s">
        <v>578</v>
      </c>
      <c r="D75" s="48">
        <f>SUM(D72:D74)</f>
        <v>438.02</v>
      </c>
      <c r="E75" s="104"/>
      <c r="G75" s="30"/>
      <c r="I75" s="13"/>
      <c r="J75" s="13"/>
    </row>
    <row r="76" spans="1:14" s="70" customFormat="1" x14ac:dyDescent="0.2">
      <c r="A76" s="24"/>
      <c r="B76" s="1"/>
      <c r="C76" s="47"/>
      <c r="D76" s="107"/>
      <c r="E76" s="104"/>
      <c r="F76" s="2"/>
      <c r="G76" s="30"/>
      <c r="H76" s="2"/>
    </row>
    <row r="77" spans="1:14" s="70" customFormat="1" x14ac:dyDescent="0.2">
      <c r="A77" s="24"/>
      <c r="B77" s="1"/>
      <c r="C77" s="47" t="s">
        <v>932</v>
      </c>
      <c r="D77" s="111">
        <v>161.06</v>
      </c>
      <c r="E77" s="104"/>
      <c r="F77" s="2"/>
      <c r="G77" s="30"/>
      <c r="H77" s="110" t="s">
        <v>581</v>
      </c>
    </row>
    <row r="78" spans="1:14" s="70" customFormat="1" x14ac:dyDescent="0.2">
      <c r="A78" s="24"/>
      <c r="B78" s="1"/>
      <c r="C78" s="136" t="s">
        <v>1142</v>
      </c>
      <c r="D78" s="111">
        <v>707.63</v>
      </c>
      <c r="E78" s="104"/>
      <c r="F78" s="2"/>
      <c r="G78" s="30"/>
      <c r="H78" s="110" t="s">
        <v>581</v>
      </c>
    </row>
    <row r="79" spans="1:14" s="70" customFormat="1" x14ac:dyDescent="0.2">
      <c r="A79" s="24"/>
      <c r="B79" s="1"/>
      <c r="C79" s="78" t="s">
        <v>579</v>
      </c>
      <c r="D79" s="109">
        <f>D77+D78</f>
        <v>868.69</v>
      </c>
      <c r="E79" s="104"/>
      <c r="F79" s="2"/>
      <c r="G79" s="30"/>
    </row>
    <row r="80" spans="1:14" s="70" customFormat="1" x14ac:dyDescent="0.2">
      <c r="A80" s="24"/>
      <c r="B80" s="1"/>
      <c r="C80" s="105"/>
      <c r="D80" s="106"/>
      <c r="E80" s="104"/>
      <c r="F80" s="2"/>
      <c r="G80" s="30"/>
      <c r="I80" s="2"/>
      <c r="J80" s="114" t="s">
        <v>713</v>
      </c>
      <c r="K80" s="2"/>
      <c r="L80" s="2"/>
      <c r="M80" s="2"/>
    </row>
    <row r="81" spans="1:14" s="70" customFormat="1" x14ac:dyDescent="0.2">
      <c r="A81" s="24"/>
      <c r="B81" s="1"/>
      <c r="C81" s="78" t="s">
        <v>577</v>
      </c>
      <c r="D81" s="109">
        <f>D72+D79</f>
        <v>1303.69</v>
      </c>
      <c r="E81" s="104"/>
      <c r="F81" s="2"/>
      <c r="G81" s="30"/>
      <c r="I81" s="113"/>
      <c r="J81" s="113" t="s">
        <v>709</v>
      </c>
      <c r="K81" s="113" t="s">
        <v>710</v>
      </c>
      <c r="L81" s="113" t="s">
        <v>711</v>
      </c>
      <c r="M81" s="113" t="s">
        <v>712</v>
      </c>
    </row>
    <row r="82" spans="1:14" s="70" customFormat="1" x14ac:dyDescent="0.2">
      <c r="A82" s="24"/>
      <c r="B82" s="1"/>
      <c r="C82" s="56"/>
      <c r="D82" s="56"/>
      <c r="E82" s="104"/>
      <c r="F82" s="2"/>
      <c r="G82" s="30"/>
      <c r="I82" s="113" t="s">
        <v>706</v>
      </c>
      <c r="J82" s="115"/>
      <c r="K82" s="115">
        <v>968.99</v>
      </c>
      <c r="L82" s="115">
        <v>968.99</v>
      </c>
      <c r="M82" s="113">
        <f>+J82+L82-K82</f>
        <v>0</v>
      </c>
    </row>
    <row r="83" spans="1:14" s="70" customFormat="1" ht="38.25" x14ac:dyDescent="0.2">
      <c r="A83" s="24"/>
      <c r="B83" s="1"/>
      <c r="C83" s="79" t="str">
        <f>"Particulars ( 01-04-2021 to "&amp;TEXT(A5,"dd-mm-yyyy")&amp;" )"</f>
        <v>Particulars ( 01-04-2021 to 01-11-2023 )</v>
      </c>
      <c r="D83" s="80" t="s">
        <v>73</v>
      </c>
      <c r="E83" s="80" t="s">
        <v>74</v>
      </c>
      <c r="F83" s="81" t="s">
        <v>75</v>
      </c>
      <c r="G83" s="80" t="s">
        <v>76</v>
      </c>
      <c r="I83" s="113" t="s">
        <v>707</v>
      </c>
      <c r="J83" s="115">
        <v>183.1</v>
      </c>
      <c r="K83" s="115">
        <v>3897.33</v>
      </c>
      <c r="L83" s="115">
        <v>4120.1499999999996</v>
      </c>
      <c r="M83" s="113">
        <f>+J83+L83-K83</f>
        <v>405.92000000000007</v>
      </c>
    </row>
    <row r="84" spans="1:14" s="70" customFormat="1" x14ac:dyDescent="0.2">
      <c r="A84" s="24"/>
      <c r="B84" s="1"/>
      <c r="C84" s="50" t="s">
        <v>444</v>
      </c>
      <c r="D84" s="55">
        <f>+L82+L83+J83</f>
        <v>5272.24</v>
      </c>
      <c r="E84" s="55">
        <f>+K82+K83</f>
        <v>4866.32</v>
      </c>
      <c r="F84" s="55">
        <f>+D84-E84</f>
        <v>405.92000000000007</v>
      </c>
      <c r="G84" s="55">
        <f>1500-F84</f>
        <v>1094.08</v>
      </c>
      <c r="I84" s="113" t="s">
        <v>708</v>
      </c>
      <c r="J84" s="115">
        <v>1371.02</v>
      </c>
      <c r="K84" s="115">
        <v>14744.5</v>
      </c>
      <c r="L84" s="115">
        <v>14555.17</v>
      </c>
      <c r="M84" s="113">
        <f>+J84+L84-K84</f>
        <v>1181.6900000000005</v>
      </c>
    </row>
    <row r="85" spans="1:14" s="70" customFormat="1" ht="12.75" customHeight="1" x14ac:dyDescent="0.2">
      <c r="A85" s="24"/>
      <c r="B85" s="1"/>
      <c r="C85" s="50" t="s">
        <v>71</v>
      </c>
      <c r="D85" s="55">
        <f>+J84+L84</f>
        <v>15926.19</v>
      </c>
      <c r="E85" s="55">
        <f>+K84</f>
        <v>14744.5</v>
      </c>
      <c r="F85" s="55">
        <f>+D85-E85</f>
        <v>1181.6900000000005</v>
      </c>
      <c r="G85" s="55">
        <f>1500+700-F85</f>
        <v>1018.3099999999995</v>
      </c>
      <c r="I85" s="2"/>
      <c r="J85" s="118">
        <f>SUM(J82:J84)</f>
        <v>1554.12</v>
      </c>
      <c r="K85" s="118">
        <f>SUM(K82:K84)</f>
        <v>19610.82</v>
      </c>
      <c r="L85" s="118">
        <f>SUM(L82:L84)</f>
        <v>19644.309999999998</v>
      </c>
      <c r="M85" s="118">
        <f>SUM(M82:M84)</f>
        <v>1587.6100000000006</v>
      </c>
    </row>
    <row r="86" spans="1:14" s="70" customFormat="1" ht="12.75" customHeight="1" x14ac:dyDescent="0.2">
      <c r="A86" s="24"/>
      <c r="B86" s="1"/>
      <c r="C86" s="14"/>
      <c r="D86" s="56"/>
      <c r="E86" s="13"/>
      <c r="F86" s="2"/>
      <c r="G86" s="30"/>
    </row>
    <row r="87" spans="1:14" s="70" customFormat="1" ht="12.75" customHeight="1" x14ac:dyDescent="0.2">
      <c r="A87" s="215" t="s">
        <v>80</v>
      </c>
      <c r="B87" s="216"/>
      <c r="C87" s="216"/>
      <c r="D87" s="217"/>
      <c r="E87" s="69"/>
      <c r="G87" s="30"/>
    </row>
    <row r="88" spans="1:14" s="70" customFormat="1" ht="12.75" customHeight="1" x14ac:dyDescent="0.2">
      <c r="A88" s="71" t="s">
        <v>81</v>
      </c>
      <c r="B88" s="71"/>
      <c r="C88" s="72" t="s">
        <v>82</v>
      </c>
      <c r="D88" s="73" t="s">
        <v>83</v>
      </c>
      <c r="E88" s="69"/>
      <c r="G88" s="30"/>
    </row>
    <row r="89" spans="1:14" s="70" customFormat="1" ht="12.75" customHeight="1" x14ac:dyDescent="0.2">
      <c r="A89" s="87"/>
      <c r="B89" s="120"/>
      <c r="C89" s="75"/>
      <c r="D89" s="88"/>
      <c r="E89" s="2"/>
      <c r="F89" s="2"/>
      <c r="G89" s="30"/>
      <c r="H89" s="2"/>
      <c r="I89" s="2"/>
      <c r="J89" s="2"/>
      <c r="K89" s="2"/>
      <c r="L89" s="41"/>
      <c r="M89" s="42"/>
      <c r="N89" s="2"/>
    </row>
    <row r="90" spans="1:14" s="2" customFormat="1" x14ac:dyDescent="0.2">
      <c r="A90" s="87"/>
      <c r="B90" s="74"/>
      <c r="C90" s="75"/>
      <c r="D90" s="51">
        <f>SUM(D89:D89)</f>
        <v>0</v>
      </c>
      <c r="F90" s="2" t="s">
        <v>396</v>
      </c>
      <c r="G90" s="1"/>
    </row>
    <row r="91" spans="1:14" s="2" customFormat="1" x14ac:dyDescent="0.2">
      <c r="A91" s="24"/>
      <c r="B91" s="1"/>
      <c r="C91" s="14"/>
      <c r="D91" s="56"/>
      <c r="E91" s="13"/>
      <c r="G91" s="1"/>
    </row>
    <row r="92" spans="1:14" s="2" customFormat="1" x14ac:dyDescent="0.2">
      <c r="A92" s="24"/>
      <c r="B92" s="1"/>
      <c r="C92" s="218" t="s">
        <v>77</v>
      </c>
      <c r="D92" s="219"/>
      <c r="E92" s="219"/>
      <c r="F92" s="220"/>
      <c r="H92" s="2" t="s">
        <v>396</v>
      </c>
    </row>
    <row r="93" spans="1:14" s="2" customFormat="1" x14ac:dyDescent="0.2">
      <c r="A93" s="24"/>
      <c r="B93" s="1"/>
      <c r="C93" s="50"/>
      <c r="D93" s="57" t="s">
        <v>78</v>
      </c>
      <c r="E93" s="58" t="s">
        <v>79</v>
      </c>
      <c r="F93" s="57" t="s">
        <v>72</v>
      </c>
      <c r="H93" s="2" t="s">
        <v>396</v>
      </c>
    </row>
    <row r="94" spans="1:14" s="2" customFormat="1" x14ac:dyDescent="0.2">
      <c r="A94" s="24"/>
      <c r="B94" s="1"/>
      <c r="C94" s="59" t="str">
        <f>"01-10-2023 to "&amp;TEXT(A5-2,"dd-mm-yyyy")</f>
        <v>01-10-2023 to 30-10-2023</v>
      </c>
      <c r="D94" s="60">
        <v>2378.64</v>
      </c>
      <c r="E94" s="60">
        <v>489.79</v>
      </c>
      <c r="F94" s="61">
        <f>SUM(D94:E94)</f>
        <v>2868.43</v>
      </c>
    </row>
    <row r="95" spans="1:14" s="2" customFormat="1" x14ac:dyDescent="0.2">
      <c r="A95" s="24"/>
      <c r="B95" s="1"/>
      <c r="C95" s="62" t="str">
        <f>TEXT(A5-1,"dd-mm-yyyy")</f>
        <v>31-10-2023</v>
      </c>
      <c r="D95" s="60">
        <v>467.73</v>
      </c>
      <c r="E95" s="60">
        <v>31.64</v>
      </c>
      <c r="F95" s="61">
        <f>SUM(D95:E95)</f>
        <v>499.37</v>
      </c>
      <c r="G95" s="1"/>
      <c r="H95" s="53"/>
    </row>
    <row r="96" spans="1:14" s="2" customFormat="1" ht="13.5" thickBot="1" x14ac:dyDescent="0.25">
      <c r="A96" s="24"/>
      <c r="B96" s="1"/>
      <c r="C96" s="63" t="str">
        <f>"01-10-2023 to "&amp;TEXT(A5-1,"dd-mm-yyyy")</f>
        <v>01-10-2023 to 31-10-2023</v>
      </c>
      <c r="D96" s="64">
        <f>SUM(D94:D95)</f>
        <v>2846.37</v>
      </c>
      <c r="E96" s="64">
        <f>SUM(E94:E95)</f>
        <v>521.43000000000006</v>
      </c>
      <c r="F96" s="64">
        <f>SUM(F94:F95)</f>
        <v>3367.7999999999997</v>
      </c>
      <c r="G96" s="1"/>
      <c r="H96" s="53"/>
    </row>
    <row r="97" spans="1:13" s="2" customFormat="1" ht="13.5" thickTop="1" x14ac:dyDescent="0.2">
      <c r="A97" s="24"/>
      <c r="B97" s="1"/>
      <c r="C97" s="62"/>
      <c r="D97" s="65"/>
      <c r="E97" s="66"/>
      <c r="F97" s="67"/>
      <c r="L97" s="1"/>
      <c r="M97" s="1"/>
    </row>
    <row r="98" spans="1:13" s="2" customFormat="1" x14ac:dyDescent="0.2">
      <c r="A98" s="24"/>
      <c r="B98" s="1"/>
      <c r="C98" s="62" t="str">
        <f>"01-04-2023 to " &amp;C95</f>
        <v>01-04-2023 to 31-10-2023</v>
      </c>
      <c r="D98" s="68">
        <f>+D96+27003.42</f>
        <v>29849.789999999997</v>
      </c>
      <c r="E98" s="68">
        <f>+E96+2028.43</f>
        <v>2549.86</v>
      </c>
      <c r="F98" s="68">
        <f>+F96+29031.85</f>
        <v>32399.649999999998</v>
      </c>
      <c r="G98" s="1"/>
      <c r="L98" s="1"/>
      <c r="M98" s="1"/>
    </row>
    <row r="99" spans="1:13" s="2" customFormat="1" x14ac:dyDescent="0.2">
      <c r="A99" s="24"/>
      <c r="B99" s="1"/>
      <c r="C99" s="52"/>
      <c r="D99" s="85"/>
      <c r="E99" s="53"/>
      <c r="F99" s="53"/>
      <c r="G99" s="1"/>
      <c r="L99" s="1"/>
      <c r="M99" s="1"/>
    </row>
    <row r="100" spans="1:13" s="2" customFormat="1" x14ac:dyDescent="0.2">
      <c r="A100" s="24"/>
      <c r="B100" s="1"/>
      <c r="C100" s="52"/>
      <c r="D100" s="85"/>
      <c r="E100" s="53"/>
      <c r="F100" s="53"/>
      <c r="G100" s="1"/>
      <c r="L100" s="1"/>
      <c r="M100" s="1"/>
    </row>
    <row r="101" spans="1:13" s="2" customFormat="1" x14ac:dyDescent="0.2">
      <c r="A101" s="24"/>
      <c r="B101" s="1"/>
      <c r="C101" s="52"/>
      <c r="D101" s="85"/>
      <c r="E101" s="53"/>
      <c r="F101" s="53"/>
      <c r="G101" s="1"/>
      <c r="L101" s="1"/>
      <c r="M101" s="1"/>
    </row>
    <row r="102" spans="1:13" s="2" customFormat="1" x14ac:dyDescent="0.2">
      <c r="A102" s="24"/>
      <c r="B102" s="1"/>
      <c r="C102" s="52"/>
      <c r="D102" s="85"/>
      <c r="E102" s="53"/>
      <c r="F102" s="53"/>
      <c r="G102" s="1"/>
      <c r="L102" s="1"/>
      <c r="M102" s="1"/>
    </row>
    <row r="103" spans="1:13" s="2" customFormat="1" x14ac:dyDescent="0.2">
      <c r="A103" s="24"/>
      <c r="B103" s="1"/>
      <c r="C103" s="14"/>
      <c r="D103" s="25"/>
      <c r="G103" s="1"/>
      <c r="L103" s="1"/>
      <c r="M103" s="1"/>
    </row>
    <row r="104" spans="1:13" s="2" customFormat="1" x14ac:dyDescent="0.2">
      <c r="A104" s="24"/>
      <c r="B104" s="1"/>
      <c r="C104" s="14"/>
      <c r="D104" s="25"/>
      <c r="G104" s="1"/>
      <c r="L104" s="1"/>
      <c r="M104" s="1"/>
    </row>
    <row r="105" spans="1:13" s="2" customFormat="1" x14ac:dyDescent="0.2">
      <c r="A105" s="24"/>
      <c r="B105" s="1"/>
      <c r="C105" s="14"/>
      <c r="D105" s="25"/>
      <c r="G105" s="1"/>
      <c r="L105" s="1"/>
      <c r="M105" s="1"/>
    </row>
    <row r="106" spans="1:13" s="2" customFormat="1" x14ac:dyDescent="0.2">
      <c r="A106" s="24"/>
      <c r="B106" s="1"/>
      <c r="C106" s="14"/>
      <c r="D106" s="25"/>
      <c r="G106" s="1"/>
      <c r="L106" s="1"/>
      <c r="M106" s="1"/>
    </row>
    <row r="107" spans="1:13" s="2" customFormat="1" x14ac:dyDescent="0.2">
      <c r="A107" s="24"/>
      <c r="B107" s="1"/>
      <c r="C107" s="14"/>
      <c r="D107" s="25"/>
      <c r="G107" s="1"/>
      <c r="L107" s="1"/>
      <c r="M107" s="1"/>
    </row>
    <row r="108" spans="1:13" s="2" customFormat="1" x14ac:dyDescent="0.2">
      <c r="A108" s="24"/>
      <c r="B108" s="1"/>
      <c r="C108" s="14"/>
      <c r="D108" s="25"/>
      <c r="G108" s="1"/>
      <c r="L108" s="1"/>
      <c r="M108" s="1"/>
    </row>
    <row r="109" spans="1:13" s="2" customFormat="1" x14ac:dyDescent="0.2">
      <c r="A109" s="24"/>
      <c r="B109" s="1"/>
      <c r="C109" s="14"/>
      <c r="D109" s="25"/>
      <c r="G109" s="1"/>
      <c r="L109" s="1"/>
      <c r="M109" s="1"/>
    </row>
    <row r="110" spans="1:13" s="2" customFormat="1" x14ac:dyDescent="0.2">
      <c r="A110" s="24"/>
      <c r="B110" s="1"/>
      <c r="C110" s="14"/>
      <c r="D110" s="25"/>
      <c r="G110" s="1"/>
      <c r="L110" s="1"/>
      <c r="M110" s="1"/>
    </row>
    <row r="111" spans="1:13" s="2" customFormat="1" x14ac:dyDescent="0.2">
      <c r="A111" s="24"/>
      <c r="B111" s="1"/>
      <c r="C111" s="14"/>
      <c r="D111" s="25"/>
      <c r="G111" s="1"/>
      <c r="L111" s="1"/>
      <c r="M111" s="1"/>
    </row>
    <row r="112" spans="1:13" s="2" customFormat="1" x14ac:dyDescent="0.2">
      <c r="A112" s="24"/>
      <c r="B112" s="1"/>
      <c r="C112" s="14"/>
      <c r="D112" s="25"/>
      <c r="G112" s="1"/>
      <c r="L112" s="1"/>
      <c r="M112" s="1"/>
    </row>
    <row r="113" spans="1:14" s="2" customFormat="1" x14ac:dyDescent="0.2">
      <c r="A113" s="24"/>
      <c r="B113" s="1"/>
      <c r="C113" s="14"/>
      <c r="D113" s="25"/>
      <c r="G113" s="1"/>
      <c r="L113" s="1"/>
      <c r="M113" s="1"/>
    </row>
    <row r="114" spans="1:14" s="2" customFormat="1" x14ac:dyDescent="0.2">
      <c r="A114" s="24"/>
      <c r="B114" s="1"/>
      <c r="C114" s="14"/>
      <c r="D114" s="25"/>
      <c r="G114" s="1"/>
      <c r="L114" s="1"/>
      <c r="M114" s="1"/>
    </row>
    <row r="115" spans="1:14" s="2" customFormat="1" x14ac:dyDescent="0.2">
      <c r="A115" s="24"/>
      <c r="B115" s="1"/>
      <c r="C115" s="14"/>
      <c r="D115" s="25"/>
      <c r="G115" s="1"/>
      <c r="L115" s="1"/>
      <c r="M115" s="1"/>
    </row>
    <row r="116" spans="1:14" s="2" customFormat="1" x14ac:dyDescent="0.2">
      <c r="A116" s="24"/>
      <c r="B116" s="1"/>
      <c r="C116" s="14"/>
      <c r="D116" s="25"/>
      <c r="G116" s="1"/>
      <c r="L116" s="1"/>
      <c r="M116" s="1"/>
    </row>
    <row r="117" spans="1:14" s="2" customFormat="1" x14ac:dyDescent="0.2">
      <c r="A117" s="24"/>
      <c r="B117" s="1"/>
      <c r="C117" s="14"/>
      <c r="D117" s="25"/>
      <c r="G117" s="1"/>
      <c r="I117" s="1"/>
      <c r="J117" s="1"/>
      <c r="K117" s="1"/>
      <c r="L117" s="1"/>
      <c r="M117" s="1"/>
    </row>
    <row r="118" spans="1:14" s="2" customFormat="1" x14ac:dyDescent="0.2">
      <c r="A118" s="24"/>
      <c r="B118" s="1"/>
      <c r="C118" s="14"/>
      <c r="D118" s="25"/>
      <c r="G118" s="1"/>
    </row>
    <row r="119" spans="1:14" s="2" customFormat="1" x14ac:dyDescent="0.2">
      <c r="A119" s="24"/>
      <c r="B119" s="1"/>
      <c r="C119" s="14"/>
      <c r="D119" s="25"/>
      <c r="G119" s="1"/>
      <c r="I119" s="1"/>
      <c r="J119" s="1"/>
      <c r="K119" s="1"/>
      <c r="L119" s="1"/>
      <c r="M119" s="1"/>
    </row>
    <row r="120" spans="1:14" s="2" customFormat="1" x14ac:dyDescent="0.2">
      <c r="A120" s="24"/>
      <c r="B120" s="1"/>
      <c r="C120" s="14"/>
      <c r="D120" s="25"/>
      <c r="G120" s="54"/>
      <c r="I120" s="1"/>
      <c r="J120" s="1"/>
      <c r="K120" s="1"/>
      <c r="L120" s="1"/>
      <c r="M120" s="1"/>
    </row>
    <row r="121" spans="1:14" s="2" customFormat="1" x14ac:dyDescent="0.2">
      <c r="A121" s="24"/>
      <c r="B121" s="1"/>
      <c r="C121" s="14"/>
      <c r="D121" s="25"/>
      <c r="G121" s="54"/>
      <c r="I121" s="1"/>
      <c r="J121" s="1"/>
      <c r="K121" s="1"/>
      <c r="L121" s="1"/>
      <c r="M121" s="1"/>
    </row>
    <row r="122" spans="1:14" s="2" customFormat="1" x14ac:dyDescent="0.2">
      <c r="A122" s="24"/>
      <c r="B122" s="1"/>
      <c r="C122" s="14"/>
      <c r="D122" s="25"/>
      <c r="G122" s="54"/>
      <c r="I122" s="1"/>
      <c r="J122" s="1"/>
      <c r="K122" s="1"/>
      <c r="L122" s="1"/>
      <c r="M122" s="1"/>
    </row>
    <row r="123" spans="1:14" s="2" customFormat="1" x14ac:dyDescent="0.2">
      <c r="A123" s="24"/>
      <c r="B123" s="1"/>
      <c r="C123" s="14"/>
      <c r="D123" s="25"/>
      <c r="G123" s="54"/>
      <c r="H123" s="2" t="s">
        <v>396</v>
      </c>
      <c r="I123" s="1"/>
      <c r="J123" s="1"/>
      <c r="K123" s="1"/>
      <c r="L123" s="1"/>
      <c r="M123" s="1"/>
      <c r="N123" s="1"/>
    </row>
    <row r="124" spans="1:14" s="2" customFormat="1" x14ac:dyDescent="0.2">
      <c r="A124" s="24"/>
      <c r="B124" s="1"/>
      <c r="C124" s="14"/>
      <c r="D124" s="25"/>
      <c r="G124" s="54"/>
      <c r="H124" s="53"/>
    </row>
    <row r="125" spans="1:14" s="2" customFormat="1" x14ac:dyDescent="0.2">
      <c r="A125" s="24"/>
      <c r="B125" s="1"/>
      <c r="C125" s="14"/>
      <c r="D125" s="25"/>
      <c r="G125" s="54"/>
      <c r="H125" s="53" t="s">
        <v>396</v>
      </c>
      <c r="I125" s="1"/>
      <c r="J125" s="1"/>
      <c r="K125" s="1"/>
      <c r="L125" s="1"/>
      <c r="M125" s="1"/>
      <c r="N125" s="1"/>
    </row>
    <row r="126" spans="1:14" x14ac:dyDescent="0.2">
      <c r="G126" s="54"/>
      <c r="H126" s="53" t="s">
        <v>396</v>
      </c>
      <c r="J126" s="42"/>
    </row>
    <row r="127" spans="1:14" s="2" customFormat="1" x14ac:dyDescent="0.2">
      <c r="A127" s="24"/>
      <c r="B127" s="1"/>
      <c r="C127" s="14"/>
      <c r="D127" s="25"/>
      <c r="G127" s="54"/>
      <c r="H127" s="53"/>
      <c r="I127" s="101"/>
      <c r="J127" s="1"/>
      <c r="K127" s="1"/>
      <c r="L127" s="1"/>
      <c r="M127" s="1"/>
      <c r="N127" s="1"/>
    </row>
    <row r="128" spans="1:14" x14ac:dyDescent="0.2">
      <c r="G128" s="54"/>
      <c r="H128" s="53"/>
    </row>
    <row r="129" spans="7:8" x14ac:dyDescent="0.2">
      <c r="G129" s="54"/>
      <c r="H129" s="53"/>
    </row>
    <row r="130" spans="7:8" x14ac:dyDescent="0.2">
      <c r="G130" s="54"/>
      <c r="H130" s="53"/>
    </row>
  </sheetData>
  <sheetProtection insertRows="0"/>
  <mergeCells count="6">
    <mergeCell ref="C92:F92"/>
    <mergeCell ref="A1:G1"/>
    <mergeCell ref="A3:F3"/>
    <mergeCell ref="A10:F10"/>
    <mergeCell ref="A23:F23"/>
    <mergeCell ref="A87:D87"/>
  </mergeCells>
  <conditionalFormatting sqref="G84:G85">
    <cfRule type="cellIs" dxfId="239" priority="1" operator="lessThan">
      <formula>0</formula>
    </cfRule>
  </conditionalFormatting>
  <conditionalFormatting sqref="C25">
    <cfRule type="duplicateValues" dxfId="238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B00-000000000000}">
  <sheetPr codeName="Sheet467">
    <pageSetUpPr fitToPage="1"/>
  </sheetPr>
  <dimension ref="A1:N139"/>
  <sheetViews>
    <sheetView topLeftCell="C37" zoomScaleNormal="100" workbookViewId="0">
      <selection activeCell="E41" sqref="E41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1" ht="20.25" customHeight="1" x14ac:dyDescent="0.4">
      <c r="A1" s="212" t="s">
        <v>1735</v>
      </c>
      <c r="B1" s="212"/>
      <c r="C1" s="212"/>
      <c r="D1" s="212"/>
      <c r="E1" s="212"/>
      <c r="F1" s="212"/>
      <c r="G1" s="212"/>
      <c r="H1" s="112"/>
      <c r="I1" s="112"/>
    </row>
    <row r="2" spans="1:11" ht="12.75" customHeight="1" x14ac:dyDescent="0.4">
      <c r="H2" s="112"/>
      <c r="I2" s="112"/>
    </row>
    <row r="3" spans="1:11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1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1" s="2" customFormat="1" ht="14.25" customHeight="1" x14ac:dyDescent="0.4">
      <c r="A5" s="89">
        <v>45232</v>
      </c>
      <c r="B5" s="9" t="s">
        <v>6</v>
      </c>
      <c r="C5" s="10" t="s">
        <v>7</v>
      </c>
      <c r="D5" s="11"/>
      <c r="E5" s="12">
        <v>861669.58000000229</v>
      </c>
      <c r="F5" s="12"/>
      <c r="G5" s="1"/>
      <c r="H5" s="112"/>
      <c r="I5" s="112"/>
    </row>
    <row r="6" spans="1:11" s="2" customFormat="1" ht="12.75" customHeight="1" x14ac:dyDescent="0.4">
      <c r="D6" s="15" t="s">
        <v>8</v>
      </c>
      <c r="E6" s="16">
        <f>SUM(E5:E5)</f>
        <v>861669.58000000229</v>
      </c>
      <c r="F6" s="16">
        <f>F5</f>
        <v>0</v>
      </c>
      <c r="G6" s="1"/>
      <c r="H6" s="112"/>
      <c r="I6" s="112"/>
    </row>
    <row r="7" spans="1:11" s="2" customFormat="1" ht="12.75" customHeight="1" x14ac:dyDescent="0.4">
      <c r="A7" s="17"/>
      <c r="B7" s="18"/>
      <c r="C7" s="19" t="s">
        <v>9</v>
      </c>
      <c r="D7" s="20"/>
      <c r="E7" s="21">
        <f>+E6-F6</f>
        <v>861669.58000000229</v>
      </c>
      <c r="F7" s="22"/>
      <c r="G7" s="23"/>
      <c r="H7" s="112"/>
      <c r="I7" s="112"/>
      <c r="J7" s="13"/>
    </row>
    <row r="8" spans="1:11" ht="12.75" customHeight="1" x14ac:dyDescent="0.4">
      <c r="H8" s="112"/>
      <c r="I8" s="112"/>
    </row>
    <row r="9" spans="1:11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69">
        <f>90000000-60000000</f>
        <v>30000000</v>
      </c>
      <c r="J9" s="169" t="s">
        <v>1508</v>
      </c>
    </row>
    <row r="10" spans="1:11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69">
        <v>29635216.170000002</v>
      </c>
      <c r="J10" s="169" t="s">
        <v>1509</v>
      </c>
      <c r="K10" s="124"/>
    </row>
    <row r="11" spans="1:11" s="2" customFormat="1" ht="14.25" customHeight="1" x14ac:dyDescent="0.2">
      <c r="A11" s="89">
        <v>45232</v>
      </c>
      <c r="B11" s="9" t="s">
        <v>6</v>
      </c>
      <c r="C11" s="10" t="s">
        <v>7</v>
      </c>
      <c r="D11" s="11"/>
      <c r="F11" s="12">
        <v>28865082.009999998</v>
      </c>
      <c r="G11" s="1"/>
      <c r="H11" s="130" t="s">
        <v>396</v>
      </c>
      <c r="I11" s="169">
        <f>+I9-I10</f>
        <v>364783.82999999821</v>
      </c>
      <c r="J11" s="169" t="s">
        <v>712</v>
      </c>
      <c r="K11" s="165" t="s">
        <v>1512</v>
      </c>
    </row>
    <row r="12" spans="1:11" s="2" customFormat="1" ht="14.25" customHeight="1" x14ac:dyDescent="0.2">
      <c r="A12" s="89">
        <v>45232</v>
      </c>
      <c r="B12" s="9" t="s">
        <v>6</v>
      </c>
      <c r="C12" s="10" t="s">
        <v>220</v>
      </c>
      <c r="D12" s="11" t="s">
        <v>13</v>
      </c>
      <c r="E12" s="2">
        <v>953569</v>
      </c>
      <c r="F12" s="12"/>
      <c r="G12" s="1"/>
      <c r="H12" s="130"/>
      <c r="I12" s="169"/>
      <c r="J12" s="169"/>
      <c r="K12" s="165"/>
    </row>
    <row r="13" spans="1:11" s="2" customFormat="1" ht="14.25" customHeight="1" x14ac:dyDescent="0.2">
      <c r="A13" s="89">
        <v>45232</v>
      </c>
      <c r="B13" s="9" t="s">
        <v>6</v>
      </c>
      <c r="C13" s="10" t="s">
        <v>1137</v>
      </c>
      <c r="D13" s="11" t="s">
        <v>13</v>
      </c>
      <c r="E13" s="2">
        <v>10482.84</v>
      </c>
      <c r="F13" s="12"/>
      <c r="G13" s="1"/>
      <c r="H13" s="130"/>
      <c r="I13" s="169"/>
      <c r="J13" s="169"/>
      <c r="K13" s="165"/>
    </row>
    <row r="14" spans="1:11" s="2" customFormat="1" ht="14.25" customHeight="1" x14ac:dyDescent="0.2">
      <c r="A14" s="89">
        <v>45232</v>
      </c>
      <c r="B14" s="9" t="s">
        <v>11</v>
      </c>
      <c r="C14" s="10" t="s">
        <v>1137</v>
      </c>
      <c r="D14" s="11" t="s">
        <v>29</v>
      </c>
      <c r="F14" s="12">
        <v>45</v>
      </c>
      <c r="G14" s="1"/>
      <c r="H14" s="130"/>
      <c r="I14" s="169"/>
      <c r="J14" s="169"/>
      <c r="K14" s="165"/>
    </row>
    <row r="15" spans="1:11" s="2" customFormat="1" ht="14.25" customHeight="1" x14ac:dyDescent="0.2">
      <c r="A15" s="89">
        <v>45232</v>
      </c>
      <c r="B15" s="9" t="s">
        <v>11</v>
      </c>
      <c r="C15" s="10" t="s">
        <v>102</v>
      </c>
      <c r="D15" s="11" t="s">
        <v>29</v>
      </c>
      <c r="F15" s="12">
        <v>412614</v>
      </c>
      <c r="G15" s="1"/>
      <c r="H15" s="130"/>
      <c r="I15" s="169"/>
      <c r="J15" s="169"/>
      <c r="K15" s="165"/>
    </row>
    <row r="16" spans="1:11" s="2" customFormat="1" ht="14.25" customHeight="1" x14ac:dyDescent="0.2">
      <c r="A16" s="89">
        <v>45232</v>
      </c>
      <c r="B16" s="9" t="s">
        <v>11</v>
      </c>
      <c r="C16" s="10" t="s">
        <v>1299</v>
      </c>
      <c r="D16" s="11" t="s">
        <v>29</v>
      </c>
      <c r="F16" s="12">
        <v>324625</v>
      </c>
      <c r="G16" s="1"/>
      <c r="H16" s="130"/>
      <c r="I16" s="169"/>
      <c r="J16" s="169"/>
      <c r="K16" s="165"/>
    </row>
    <row r="17" spans="1:14" s="2" customFormat="1" ht="14.25" customHeight="1" x14ac:dyDescent="0.2">
      <c r="A17" s="89">
        <v>45232</v>
      </c>
      <c r="B17" s="9" t="s">
        <v>11</v>
      </c>
      <c r="C17" s="10" t="s">
        <v>1736</v>
      </c>
      <c r="D17" s="11" t="s">
        <v>29</v>
      </c>
      <c r="F17" s="12">
        <v>5900</v>
      </c>
      <c r="G17" s="1"/>
      <c r="H17" s="130"/>
      <c r="I17" s="169"/>
      <c r="J17" s="169"/>
      <c r="K17" s="165"/>
    </row>
    <row r="18" spans="1:14" s="2" customFormat="1" ht="14.25" customHeight="1" x14ac:dyDescent="0.2">
      <c r="A18" s="89">
        <v>45232</v>
      </c>
      <c r="B18" s="9" t="s">
        <v>11</v>
      </c>
      <c r="C18" s="10" t="s">
        <v>1737</v>
      </c>
      <c r="D18" s="11" t="s">
        <v>29</v>
      </c>
      <c r="F18" s="12">
        <v>15600</v>
      </c>
      <c r="G18" s="1"/>
      <c r="H18" s="130"/>
      <c r="I18" s="169"/>
      <c r="J18" s="169"/>
      <c r="K18" s="165"/>
    </row>
    <row r="19" spans="1:14" s="2" customFormat="1" ht="14.25" customHeight="1" x14ac:dyDescent="0.2">
      <c r="A19" s="89">
        <v>45232</v>
      </c>
      <c r="B19" s="9" t="s">
        <v>11</v>
      </c>
      <c r="C19" s="10" t="s">
        <v>367</v>
      </c>
      <c r="D19" s="11" t="s">
        <v>29</v>
      </c>
      <c r="F19" s="12">
        <v>19470</v>
      </c>
      <c r="G19" s="1"/>
      <c r="H19" s="130"/>
      <c r="I19" s="169"/>
      <c r="J19" s="169"/>
      <c r="K19" s="165"/>
    </row>
    <row r="20" spans="1:14" s="2" customFormat="1" ht="14.25" customHeight="1" x14ac:dyDescent="0.2">
      <c r="D20" s="11" t="s">
        <v>8</v>
      </c>
      <c r="E20" s="16">
        <f>SUM(E12:E19)</f>
        <v>964051.84</v>
      </c>
      <c r="F20" s="16">
        <f>SUM(F11:F19)</f>
        <v>29643336.009999998</v>
      </c>
      <c r="G20" s="1"/>
      <c r="H20" s="143"/>
      <c r="I20" s="130"/>
      <c r="J20" s="143"/>
      <c r="K20" s="143"/>
      <c r="L20" s="143"/>
      <c r="M20" s="143"/>
    </row>
    <row r="21" spans="1:14" s="2" customFormat="1" ht="14.25" customHeight="1" x14ac:dyDescent="0.4">
      <c r="A21" s="17"/>
      <c r="B21" s="18"/>
      <c r="C21" s="96" t="s">
        <v>9</v>
      </c>
      <c r="D21" s="20"/>
      <c r="E21" s="21">
        <f>+F20-E20</f>
        <v>28679284.169999998</v>
      </c>
      <c r="G21" s="1"/>
      <c r="I21" s="112"/>
      <c r="J21" s="153" t="s">
        <v>779</v>
      </c>
    </row>
    <row r="22" spans="1:14" s="2" customFormat="1" ht="14.25" customHeight="1" x14ac:dyDescent="0.2">
      <c r="A22" s="36"/>
      <c r="B22" s="28" t="s">
        <v>66</v>
      </c>
      <c r="C22" s="43" t="s">
        <v>1458</v>
      </c>
      <c r="D22" s="43"/>
      <c r="E22" s="12">
        <f>30000000+60000000</f>
        <v>90000000</v>
      </c>
      <c r="F22" s="22"/>
      <c r="G22" s="1"/>
      <c r="I22" s="40">
        <v>28679284.170000002</v>
      </c>
      <c r="J22" s="154">
        <f>I22-E21</f>
        <v>0</v>
      </c>
    </row>
    <row r="23" spans="1:14" s="2" customFormat="1" ht="14.25" customHeight="1" x14ac:dyDescent="0.25">
      <c r="A23" s="36"/>
      <c r="B23" s="28"/>
      <c r="C23" s="44" t="s">
        <v>1541</v>
      </c>
      <c r="D23" s="43"/>
      <c r="E23" s="7">
        <f>+E21+E22</f>
        <v>118679284.17</v>
      </c>
      <c r="F23" s="22"/>
      <c r="G23" s="1"/>
      <c r="H23" s="13" t="s">
        <v>1582</v>
      </c>
      <c r="I23" s="13" t="s">
        <v>1583</v>
      </c>
    </row>
    <row r="24" spans="1:14" s="2" customFormat="1" ht="14.25" customHeight="1" x14ac:dyDescent="0.25">
      <c r="A24" s="36"/>
      <c r="B24" s="28"/>
      <c r="C24" s="44" t="s">
        <v>1511</v>
      </c>
      <c r="D24" s="43"/>
      <c r="E24" s="38">
        <f>+I11</f>
        <v>364783.82999999821</v>
      </c>
      <c r="F24" s="22"/>
      <c r="G24" s="1"/>
      <c r="H24" s="2">
        <v>1162301</v>
      </c>
      <c r="I24" s="2">
        <v>6912796.4000000004</v>
      </c>
      <c r="J24" s="176">
        <f>H24-I24</f>
        <v>-5750495.4000000004</v>
      </c>
    </row>
    <row r="25" spans="1:14" s="2" customFormat="1" ht="14.25" customHeight="1" x14ac:dyDescent="0.2">
      <c r="A25" s="24"/>
      <c r="B25" s="1"/>
      <c r="C25" s="14"/>
      <c r="D25" s="25"/>
      <c r="G25" s="1"/>
      <c r="I25" s="130"/>
      <c r="J25" s="130"/>
    </row>
    <row r="26" spans="1:14" s="2" customFormat="1" x14ac:dyDescent="0.2">
      <c r="A26" s="214" t="s">
        <v>10</v>
      </c>
      <c r="B26" s="214"/>
      <c r="C26" s="214"/>
      <c r="D26" s="214"/>
      <c r="E26" s="214"/>
      <c r="F26" s="214"/>
      <c r="G26" s="1"/>
      <c r="H26" s="159"/>
      <c r="I26" s="160">
        <f>225000000-75000000-50000000</f>
        <v>100000000</v>
      </c>
      <c r="J26" s="160" t="s">
        <v>1506</v>
      </c>
      <c r="K26" s="70"/>
    </row>
    <row r="27" spans="1:14" s="2" customFormat="1" x14ac:dyDescent="0.2">
      <c r="A27" s="26" t="s">
        <v>1</v>
      </c>
      <c r="B27" s="27" t="s">
        <v>2</v>
      </c>
      <c r="C27" s="5"/>
      <c r="D27" s="6" t="s">
        <v>3</v>
      </c>
      <c r="E27" s="7" t="s">
        <v>4</v>
      </c>
      <c r="F27" s="7" t="s">
        <v>5</v>
      </c>
      <c r="G27" s="1"/>
      <c r="H27" s="159"/>
      <c r="I27" s="160">
        <v>47987627.460000001</v>
      </c>
      <c r="J27" s="160" t="s">
        <v>1507</v>
      </c>
      <c r="K27" s="70" t="s">
        <v>1512</v>
      </c>
    </row>
    <row r="28" spans="1:14" s="2" customFormat="1" x14ac:dyDescent="0.2">
      <c r="A28" s="89">
        <v>45232</v>
      </c>
      <c r="B28" s="128" t="s">
        <v>11</v>
      </c>
      <c r="C28" s="29" t="s">
        <v>7</v>
      </c>
      <c r="D28" s="25"/>
      <c r="E28" s="31"/>
      <c r="F28" s="2">
        <v>59596593.00000006</v>
      </c>
      <c r="G28" s="23"/>
      <c r="H28" s="159" t="s">
        <v>1505</v>
      </c>
      <c r="I28" s="160">
        <f>+I26-I27</f>
        <v>52012372.539999999</v>
      </c>
      <c r="J28" s="160"/>
      <c r="K28" s="70"/>
    </row>
    <row r="29" spans="1:14" s="2" customFormat="1" x14ac:dyDescent="0.2">
      <c r="A29" s="89">
        <v>45232</v>
      </c>
      <c r="B29" s="128" t="s">
        <v>6</v>
      </c>
      <c r="C29" s="10" t="s">
        <v>316</v>
      </c>
      <c r="D29" s="11" t="s">
        <v>13</v>
      </c>
      <c r="E29" s="86">
        <v>1067557</v>
      </c>
      <c r="F29" s="70"/>
      <c r="G29" s="1"/>
      <c r="N29" s="1"/>
    </row>
    <row r="30" spans="1:14" s="2" customFormat="1" x14ac:dyDescent="0.2">
      <c r="A30" s="89">
        <v>45232</v>
      </c>
      <c r="B30" s="128" t="s">
        <v>6</v>
      </c>
      <c r="C30" s="10" t="s">
        <v>26</v>
      </c>
      <c r="D30" s="11" t="s">
        <v>13</v>
      </c>
      <c r="E30" s="86">
        <v>2820714.57</v>
      </c>
      <c r="F30" s="70"/>
      <c r="G30" s="1"/>
      <c r="N30" s="1"/>
    </row>
    <row r="31" spans="1:14" s="2" customFormat="1" x14ac:dyDescent="0.2">
      <c r="A31" s="89">
        <v>45232</v>
      </c>
      <c r="B31" s="128" t="s">
        <v>6</v>
      </c>
      <c r="C31" s="10" t="s">
        <v>807</v>
      </c>
      <c r="D31" s="11" t="s">
        <v>13</v>
      </c>
      <c r="E31" s="86">
        <v>69801</v>
      </c>
      <c r="F31" s="70"/>
      <c r="G31" s="1"/>
      <c r="N31" s="1"/>
    </row>
    <row r="32" spans="1:14" s="2" customFormat="1" x14ac:dyDescent="0.2">
      <c r="A32" s="89">
        <v>45232</v>
      </c>
      <c r="B32" s="128" t="s">
        <v>6</v>
      </c>
      <c r="C32" s="10" t="s">
        <v>716</v>
      </c>
      <c r="D32" s="11" t="s">
        <v>13</v>
      </c>
      <c r="E32" s="86">
        <v>25000</v>
      </c>
      <c r="F32" s="70"/>
      <c r="G32" s="1"/>
      <c r="N32" s="1"/>
    </row>
    <row r="33" spans="1:14" s="2" customFormat="1" x14ac:dyDescent="0.2">
      <c r="A33" s="89">
        <v>45232</v>
      </c>
      <c r="B33" s="128" t="s">
        <v>6</v>
      </c>
      <c r="C33" s="10" t="s">
        <v>1123</v>
      </c>
      <c r="D33" s="11" t="s">
        <v>13</v>
      </c>
      <c r="E33" s="86">
        <v>148239</v>
      </c>
      <c r="F33" s="70"/>
      <c r="G33" s="1"/>
      <c r="N33" s="1"/>
    </row>
    <row r="34" spans="1:14" s="2" customFormat="1" x14ac:dyDescent="0.2">
      <c r="A34" s="89">
        <v>45232</v>
      </c>
      <c r="B34" s="128" t="s">
        <v>6</v>
      </c>
      <c r="C34" s="10" t="s">
        <v>1365</v>
      </c>
      <c r="D34" s="11" t="s">
        <v>13</v>
      </c>
      <c r="E34" s="86">
        <v>500000</v>
      </c>
      <c r="F34" s="70"/>
      <c r="G34" s="1"/>
      <c r="N34" s="1"/>
    </row>
    <row r="35" spans="1:14" s="2" customFormat="1" x14ac:dyDescent="0.2">
      <c r="A35" s="89">
        <v>45232</v>
      </c>
      <c r="B35" s="128" t="s">
        <v>6</v>
      </c>
      <c r="C35" s="10" t="s">
        <v>276</v>
      </c>
      <c r="D35" s="11" t="s">
        <v>13</v>
      </c>
      <c r="E35" s="86">
        <v>5245</v>
      </c>
      <c r="F35" s="70"/>
      <c r="G35" s="1"/>
      <c r="N35" s="1"/>
    </row>
    <row r="36" spans="1:14" s="2" customFormat="1" x14ac:dyDescent="0.2">
      <c r="A36" s="89">
        <v>45232</v>
      </c>
      <c r="B36" s="128" t="s">
        <v>6</v>
      </c>
      <c r="C36" s="10" t="s">
        <v>93</v>
      </c>
      <c r="D36" s="11" t="s">
        <v>13</v>
      </c>
      <c r="E36" s="86">
        <v>657056</v>
      </c>
      <c r="F36" s="70"/>
      <c r="G36" s="1"/>
      <c r="N36" s="1"/>
    </row>
    <row r="37" spans="1:14" s="2" customFormat="1" x14ac:dyDescent="0.2">
      <c r="A37" s="89">
        <v>45232</v>
      </c>
      <c r="B37" s="128" t="s">
        <v>6</v>
      </c>
      <c r="C37" s="10" t="s">
        <v>1738</v>
      </c>
      <c r="D37" s="11" t="s">
        <v>13</v>
      </c>
      <c r="E37" s="86">
        <v>2500941.4300000002</v>
      </c>
      <c r="F37" s="70"/>
      <c r="G37" s="1"/>
      <c r="N37" s="1"/>
    </row>
    <row r="38" spans="1:14" s="2" customFormat="1" x14ac:dyDescent="0.2">
      <c r="A38" s="89">
        <v>45232</v>
      </c>
      <c r="B38" s="128" t="s">
        <v>6</v>
      </c>
      <c r="C38" s="10" t="s">
        <v>19</v>
      </c>
      <c r="D38" s="11" t="s">
        <v>13</v>
      </c>
      <c r="E38" s="86">
        <v>7500</v>
      </c>
      <c r="F38" s="70"/>
      <c r="G38" s="1"/>
      <c r="N38" s="1"/>
    </row>
    <row r="39" spans="1:14" s="2" customFormat="1" x14ac:dyDescent="0.2">
      <c r="A39" s="89">
        <v>45232</v>
      </c>
      <c r="B39" s="128" t="s">
        <v>6</v>
      </c>
      <c r="C39" s="10" t="s">
        <v>149</v>
      </c>
      <c r="D39" s="11" t="s">
        <v>13</v>
      </c>
      <c r="E39" s="86">
        <v>8047</v>
      </c>
      <c r="F39" s="70"/>
      <c r="G39" s="1"/>
      <c r="N39" s="1"/>
    </row>
    <row r="40" spans="1:14" s="2" customFormat="1" x14ac:dyDescent="0.2">
      <c r="A40" s="89">
        <v>45232</v>
      </c>
      <c r="B40" s="128" t="s">
        <v>6</v>
      </c>
      <c r="C40" s="10" t="s">
        <v>1621</v>
      </c>
      <c r="D40" s="11" t="s">
        <v>13</v>
      </c>
      <c r="E40" s="86">
        <v>78515</v>
      </c>
      <c r="F40" s="70"/>
      <c r="G40" s="1"/>
      <c r="N40" s="1"/>
    </row>
    <row r="41" spans="1:14" s="2" customFormat="1" x14ac:dyDescent="0.2">
      <c r="A41" s="89">
        <v>45232</v>
      </c>
      <c r="B41" s="128" t="s">
        <v>6</v>
      </c>
      <c r="C41" s="10" t="s">
        <v>1569</v>
      </c>
      <c r="D41" s="11" t="s">
        <v>13</v>
      </c>
      <c r="E41" s="86">
        <v>300000</v>
      </c>
      <c r="F41" s="70"/>
      <c r="G41" s="1"/>
      <c r="N41" s="1"/>
    </row>
    <row r="42" spans="1:14" s="2" customFormat="1" x14ac:dyDescent="0.2">
      <c r="A42" s="89">
        <v>45232</v>
      </c>
      <c r="B42" s="128" t="s">
        <v>6</v>
      </c>
      <c r="C42" s="10" t="s">
        <v>15</v>
      </c>
      <c r="D42" s="11" t="s">
        <v>13</v>
      </c>
      <c r="E42" s="86">
        <v>13206.53</v>
      </c>
      <c r="F42" s="70"/>
      <c r="G42" s="1"/>
      <c r="N42" s="1"/>
    </row>
    <row r="43" spans="1:14" s="2" customFormat="1" x14ac:dyDescent="0.2">
      <c r="A43" s="89">
        <v>45232</v>
      </c>
      <c r="B43" s="128" t="s">
        <v>6</v>
      </c>
      <c r="C43" s="10" t="s">
        <v>111</v>
      </c>
      <c r="D43" s="11" t="s">
        <v>322</v>
      </c>
      <c r="E43" s="86">
        <v>7010738.3099999996</v>
      </c>
      <c r="F43" s="70"/>
      <c r="G43" s="1"/>
      <c r="N43" s="1"/>
    </row>
    <row r="44" spans="1:14" s="2" customFormat="1" x14ac:dyDescent="0.2">
      <c r="A44" s="89">
        <v>45232</v>
      </c>
      <c r="B44" s="128" t="s">
        <v>11</v>
      </c>
      <c r="C44" s="10" t="s">
        <v>15</v>
      </c>
      <c r="D44" s="11" t="s">
        <v>29</v>
      </c>
      <c r="E44" s="86"/>
      <c r="F44" s="70">
        <v>2434.5</v>
      </c>
      <c r="G44" s="1"/>
      <c r="N44" s="1"/>
    </row>
    <row r="45" spans="1:14" s="2" customFormat="1" x14ac:dyDescent="0.2">
      <c r="A45" s="89">
        <v>45232</v>
      </c>
      <c r="B45" s="128" t="s">
        <v>11</v>
      </c>
      <c r="C45" s="10" t="s">
        <v>64</v>
      </c>
      <c r="D45" s="11" t="s">
        <v>29</v>
      </c>
      <c r="E45" s="86"/>
      <c r="F45" s="70">
        <v>11874.8</v>
      </c>
      <c r="G45" s="1"/>
      <c r="N45" s="1"/>
    </row>
    <row r="46" spans="1:14" s="2" customFormat="1" x14ac:dyDescent="0.2">
      <c r="A46" s="89">
        <v>45232</v>
      </c>
      <c r="B46" s="128" t="s">
        <v>11</v>
      </c>
      <c r="C46" s="10" t="s">
        <v>135</v>
      </c>
      <c r="D46" s="11" t="s">
        <v>29</v>
      </c>
      <c r="E46" s="86"/>
      <c r="F46" s="70">
        <v>496547</v>
      </c>
      <c r="G46" s="1"/>
      <c r="N46" s="1"/>
    </row>
    <row r="47" spans="1:14" s="2" customFormat="1" x14ac:dyDescent="0.2">
      <c r="A47" s="89">
        <v>45232</v>
      </c>
      <c r="B47" s="128" t="s">
        <v>11</v>
      </c>
      <c r="C47" s="10" t="s">
        <v>32</v>
      </c>
      <c r="D47" s="11" t="s">
        <v>29</v>
      </c>
      <c r="E47" s="86"/>
      <c r="F47" s="70">
        <v>1957970</v>
      </c>
      <c r="G47" s="1"/>
      <c r="N47" s="1"/>
    </row>
    <row r="48" spans="1:14" s="2" customFormat="1" x14ac:dyDescent="0.2">
      <c r="A48" s="89">
        <v>45232</v>
      </c>
      <c r="B48" s="128" t="s">
        <v>11</v>
      </c>
      <c r="C48" s="10" t="s">
        <v>167</v>
      </c>
      <c r="D48" s="11" t="s">
        <v>29</v>
      </c>
      <c r="E48" s="86"/>
      <c r="F48" s="70">
        <v>65884</v>
      </c>
      <c r="G48" s="1"/>
      <c r="N48" s="1"/>
    </row>
    <row r="49" spans="1:14" s="2" customFormat="1" x14ac:dyDescent="0.2">
      <c r="A49" s="89">
        <v>45232</v>
      </c>
      <c r="B49" s="128" t="s">
        <v>11</v>
      </c>
      <c r="C49" s="10" t="s">
        <v>170</v>
      </c>
      <c r="D49" s="11" t="s">
        <v>29</v>
      </c>
      <c r="E49" s="86"/>
      <c r="F49" s="70">
        <v>10000</v>
      </c>
      <c r="G49" s="1"/>
      <c r="N49" s="1"/>
    </row>
    <row r="50" spans="1:14" s="2" customFormat="1" x14ac:dyDescent="0.2">
      <c r="A50" s="89">
        <v>45232</v>
      </c>
      <c r="B50" s="128" t="s">
        <v>11</v>
      </c>
      <c r="C50" s="10" t="s">
        <v>169</v>
      </c>
      <c r="D50" s="11" t="s">
        <v>29</v>
      </c>
      <c r="E50" s="86"/>
      <c r="F50" s="70">
        <v>8500</v>
      </c>
      <c r="G50" s="1"/>
      <c r="N50" s="1"/>
    </row>
    <row r="51" spans="1:14" s="2" customFormat="1" x14ac:dyDescent="0.2">
      <c r="A51" s="89">
        <v>45232</v>
      </c>
      <c r="B51" s="128" t="s">
        <v>11</v>
      </c>
      <c r="C51" s="10" t="s">
        <v>168</v>
      </c>
      <c r="D51" s="11" t="s">
        <v>29</v>
      </c>
      <c r="E51" s="86"/>
      <c r="F51" s="70">
        <v>3600</v>
      </c>
      <c r="G51" s="1"/>
      <c r="N51" s="1"/>
    </row>
    <row r="52" spans="1:14" s="2" customFormat="1" x14ac:dyDescent="0.2">
      <c r="A52" s="89">
        <v>45232</v>
      </c>
      <c r="B52" s="128" t="s">
        <v>11</v>
      </c>
      <c r="C52" s="10" t="s">
        <v>190</v>
      </c>
      <c r="D52" s="11" t="s">
        <v>29</v>
      </c>
      <c r="E52" s="86"/>
      <c r="F52" s="70">
        <v>1684678</v>
      </c>
      <c r="G52" s="1"/>
      <c r="N52" s="1"/>
    </row>
    <row r="53" spans="1:14" s="2" customFormat="1" x14ac:dyDescent="0.2">
      <c r="A53" s="89">
        <v>45232</v>
      </c>
      <c r="B53" s="128" t="s">
        <v>11</v>
      </c>
      <c r="C53" s="10" t="s">
        <v>664</v>
      </c>
      <c r="D53" s="11" t="s">
        <v>29</v>
      </c>
      <c r="E53" s="86"/>
      <c r="F53" s="70">
        <v>30106</v>
      </c>
      <c r="G53" s="1"/>
      <c r="N53" s="1"/>
    </row>
    <row r="54" spans="1:14" s="2" customFormat="1" x14ac:dyDescent="0.2">
      <c r="A54" s="89">
        <v>45232</v>
      </c>
      <c r="B54" s="128" t="s">
        <v>11</v>
      </c>
      <c r="C54" s="10" t="s">
        <v>387</v>
      </c>
      <c r="D54" s="11" t="s">
        <v>29</v>
      </c>
      <c r="E54" s="86"/>
      <c r="F54" s="70">
        <v>32531</v>
      </c>
      <c r="G54" s="1"/>
      <c r="N54" s="1"/>
    </row>
    <row r="55" spans="1:14" s="2" customFormat="1" x14ac:dyDescent="0.2">
      <c r="A55" s="89">
        <v>45232</v>
      </c>
      <c r="B55" s="128" t="s">
        <v>11</v>
      </c>
      <c r="C55" s="10" t="s">
        <v>804</v>
      </c>
      <c r="D55" s="11" t="s">
        <v>29</v>
      </c>
      <c r="E55" s="86"/>
      <c r="F55" s="70">
        <v>448468</v>
      </c>
      <c r="G55" s="1"/>
      <c r="N55" s="1"/>
    </row>
    <row r="56" spans="1:14" s="2" customFormat="1" x14ac:dyDescent="0.2">
      <c r="A56" s="89">
        <v>45232</v>
      </c>
      <c r="B56" s="128" t="s">
        <v>11</v>
      </c>
      <c r="C56" s="10" t="s">
        <v>184</v>
      </c>
      <c r="D56" s="11" t="s">
        <v>29</v>
      </c>
      <c r="E56" s="86"/>
      <c r="F56" s="70">
        <v>53856</v>
      </c>
      <c r="G56" s="1"/>
      <c r="N56" s="1"/>
    </row>
    <row r="57" spans="1:14" s="2" customFormat="1" x14ac:dyDescent="0.2">
      <c r="A57" s="89">
        <v>45232</v>
      </c>
      <c r="B57" s="128" t="s">
        <v>11</v>
      </c>
      <c r="C57" s="10" t="s">
        <v>185</v>
      </c>
      <c r="D57" s="11" t="s">
        <v>29</v>
      </c>
      <c r="E57" s="86"/>
      <c r="F57" s="70">
        <v>1002929</v>
      </c>
      <c r="G57" s="1"/>
      <c r="N57" s="1"/>
    </row>
    <row r="58" spans="1:14" s="2" customFormat="1" x14ac:dyDescent="0.2">
      <c r="A58" s="89">
        <v>45232</v>
      </c>
      <c r="B58" s="128" t="s">
        <v>11</v>
      </c>
      <c r="C58" s="10" t="s">
        <v>181</v>
      </c>
      <c r="D58" s="11" t="s">
        <v>29</v>
      </c>
      <c r="E58" s="86"/>
      <c r="F58" s="70">
        <v>53100</v>
      </c>
      <c r="G58" s="1"/>
      <c r="N58" s="1"/>
    </row>
    <row r="59" spans="1:14" s="2" customFormat="1" x14ac:dyDescent="0.2">
      <c r="A59" s="89">
        <v>45232</v>
      </c>
      <c r="B59" s="128" t="s">
        <v>11</v>
      </c>
      <c r="C59" s="10" t="s">
        <v>189</v>
      </c>
      <c r="D59" s="11" t="s">
        <v>29</v>
      </c>
      <c r="E59" s="86"/>
      <c r="F59" s="70">
        <v>534434</v>
      </c>
      <c r="G59" s="1"/>
      <c r="N59" s="1"/>
    </row>
    <row r="60" spans="1:14" s="2" customFormat="1" x14ac:dyDescent="0.2">
      <c r="A60" s="89">
        <v>45232</v>
      </c>
      <c r="B60" s="128" t="s">
        <v>11</v>
      </c>
      <c r="C60" s="10" t="s">
        <v>192</v>
      </c>
      <c r="D60" s="11" t="s">
        <v>29</v>
      </c>
      <c r="E60" s="86"/>
      <c r="F60" s="70">
        <v>650624</v>
      </c>
      <c r="G60" s="1"/>
      <c r="N60" s="1"/>
    </row>
    <row r="61" spans="1:14" s="2" customFormat="1" x14ac:dyDescent="0.2">
      <c r="A61" s="89">
        <v>45232</v>
      </c>
      <c r="B61" s="128" t="s">
        <v>11</v>
      </c>
      <c r="C61" s="10" t="s">
        <v>191</v>
      </c>
      <c r="D61" s="11" t="s">
        <v>29</v>
      </c>
      <c r="E61" s="86"/>
      <c r="F61" s="70">
        <v>197178</v>
      </c>
      <c r="G61" s="1"/>
      <c r="N61" s="1"/>
    </row>
    <row r="62" spans="1:14" s="2" customFormat="1" x14ac:dyDescent="0.2">
      <c r="A62" s="89">
        <v>45232</v>
      </c>
      <c r="B62" s="128" t="s">
        <v>11</v>
      </c>
      <c r="C62" s="10" t="s">
        <v>187</v>
      </c>
      <c r="D62" s="11" t="s">
        <v>29</v>
      </c>
      <c r="E62" s="86"/>
      <c r="F62" s="70">
        <v>1330863</v>
      </c>
      <c r="G62" s="1"/>
      <c r="N62" s="1"/>
    </row>
    <row r="63" spans="1:14" s="2" customFormat="1" x14ac:dyDescent="0.2">
      <c r="A63" s="89">
        <v>45232</v>
      </c>
      <c r="B63" s="128" t="s">
        <v>11</v>
      </c>
      <c r="C63" s="10" t="s">
        <v>630</v>
      </c>
      <c r="D63" s="11" t="s">
        <v>29</v>
      </c>
      <c r="E63" s="86"/>
      <c r="F63" s="70">
        <v>22500</v>
      </c>
      <c r="G63" s="1"/>
      <c r="N63" s="1"/>
    </row>
    <row r="64" spans="1:14" s="2" customFormat="1" x14ac:dyDescent="0.2">
      <c r="A64" s="89">
        <v>45232</v>
      </c>
      <c r="B64" s="128" t="s">
        <v>11</v>
      </c>
      <c r="C64" s="10" t="s">
        <v>561</v>
      </c>
      <c r="D64" s="11" t="s">
        <v>29</v>
      </c>
      <c r="E64" s="86"/>
      <c r="F64" s="70">
        <v>448050</v>
      </c>
      <c r="G64" s="1"/>
      <c r="N64" s="1"/>
    </row>
    <row r="65" spans="1:14" s="2" customFormat="1" x14ac:dyDescent="0.2">
      <c r="A65" s="89">
        <v>45232</v>
      </c>
      <c r="B65" s="128" t="s">
        <v>11</v>
      </c>
      <c r="C65" s="10" t="s">
        <v>35</v>
      </c>
      <c r="D65" s="11" t="s">
        <v>29</v>
      </c>
      <c r="E65" s="86"/>
      <c r="F65" s="70">
        <v>90627.8</v>
      </c>
      <c r="G65" s="1"/>
      <c r="N65" s="1"/>
    </row>
    <row r="66" spans="1:14" s="2" customFormat="1" x14ac:dyDescent="0.2">
      <c r="A66" s="89">
        <v>45232</v>
      </c>
      <c r="B66" s="128" t="s">
        <v>11</v>
      </c>
      <c r="C66" s="10" t="s">
        <v>437</v>
      </c>
      <c r="D66" s="11" t="s">
        <v>29</v>
      </c>
      <c r="E66" s="86"/>
      <c r="F66" s="70">
        <v>24720</v>
      </c>
      <c r="G66" s="1"/>
      <c r="N66" s="1"/>
    </row>
    <row r="67" spans="1:14" s="2" customFormat="1" x14ac:dyDescent="0.2">
      <c r="A67" s="89">
        <v>45232</v>
      </c>
      <c r="B67" s="128" t="s">
        <v>11</v>
      </c>
      <c r="C67" s="10" t="s">
        <v>698</v>
      </c>
      <c r="D67" s="11" t="s">
        <v>29</v>
      </c>
      <c r="E67" s="86"/>
      <c r="F67" s="70">
        <v>11480</v>
      </c>
      <c r="G67" s="1"/>
      <c r="N67" s="1"/>
    </row>
    <row r="68" spans="1:14" s="2" customFormat="1" x14ac:dyDescent="0.2">
      <c r="A68" s="89">
        <v>45232</v>
      </c>
      <c r="B68" s="128" t="s">
        <v>11</v>
      </c>
      <c r="C68" s="10" t="s">
        <v>453</v>
      </c>
      <c r="D68" s="11" t="s">
        <v>29</v>
      </c>
      <c r="E68" s="86"/>
      <c r="F68" s="70">
        <v>46542.400000000001</v>
      </c>
      <c r="G68" s="1"/>
      <c r="N68" s="1"/>
    </row>
    <row r="69" spans="1:14" s="2" customFormat="1" x14ac:dyDescent="0.2">
      <c r="A69" s="89">
        <v>45232</v>
      </c>
      <c r="B69" s="128" t="s">
        <v>11</v>
      </c>
      <c r="C69" s="10" t="s">
        <v>302</v>
      </c>
      <c r="D69" s="11" t="s">
        <v>29</v>
      </c>
      <c r="E69" s="86"/>
      <c r="F69" s="70">
        <v>5881</v>
      </c>
      <c r="G69" s="1"/>
      <c r="N69" s="1"/>
    </row>
    <row r="70" spans="1:14" s="2" customFormat="1" x14ac:dyDescent="0.2">
      <c r="A70" s="89">
        <v>45232</v>
      </c>
      <c r="B70" s="128" t="s">
        <v>11</v>
      </c>
      <c r="C70" s="10" t="s">
        <v>392</v>
      </c>
      <c r="D70" s="11" t="s">
        <v>29</v>
      </c>
      <c r="E70" s="86"/>
      <c r="F70" s="70">
        <v>82295</v>
      </c>
      <c r="G70" s="1"/>
      <c r="N70" s="1"/>
    </row>
    <row r="71" spans="1:14" s="2" customFormat="1" x14ac:dyDescent="0.2">
      <c r="A71" s="89">
        <v>45232</v>
      </c>
      <c r="B71" s="128" t="s">
        <v>11</v>
      </c>
      <c r="C71" s="10" t="s">
        <v>1615</v>
      </c>
      <c r="D71" s="11" t="s">
        <v>29</v>
      </c>
      <c r="E71" s="86"/>
      <c r="F71" s="70">
        <v>800000</v>
      </c>
      <c r="G71" s="1"/>
      <c r="N71" s="1"/>
    </row>
    <row r="72" spans="1:14" s="2" customFormat="1" x14ac:dyDescent="0.2">
      <c r="A72" s="89">
        <v>45232</v>
      </c>
      <c r="B72" s="128" t="s">
        <v>11</v>
      </c>
      <c r="C72" s="10" t="s">
        <v>1341</v>
      </c>
      <c r="D72" s="11" t="s">
        <v>29</v>
      </c>
      <c r="E72" s="86"/>
      <c r="F72" s="70">
        <v>46417.2</v>
      </c>
      <c r="G72" s="1"/>
      <c r="N72" s="1"/>
    </row>
    <row r="73" spans="1:14" s="2" customFormat="1" x14ac:dyDescent="0.2">
      <c r="A73" s="32"/>
      <c r="B73" s="33"/>
      <c r="C73" s="14"/>
      <c r="D73" s="34"/>
      <c r="E73" s="16">
        <f>SUM(E28:E72)</f>
        <v>15212560.84</v>
      </c>
      <c r="F73" s="16">
        <f>SUM(F28:F72)</f>
        <v>69750683.700000063</v>
      </c>
      <c r="G73" s="1"/>
      <c r="H73" s="1"/>
      <c r="I73" s="38">
        <v>54538122.859999999</v>
      </c>
      <c r="K73" s="92">
        <f>E74-I73</f>
        <v>5.9604644775390625E-8</v>
      </c>
      <c r="N73" s="1"/>
    </row>
    <row r="74" spans="1:14" s="2" customFormat="1" x14ac:dyDescent="0.2">
      <c r="A74" s="36"/>
      <c r="B74" s="28" t="s">
        <v>11</v>
      </c>
      <c r="C74" s="19" t="s">
        <v>65</v>
      </c>
      <c r="D74" s="37"/>
      <c r="E74" s="38">
        <f>F73-E73</f>
        <v>54538122.860000059</v>
      </c>
      <c r="F74" s="22"/>
      <c r="G74" s="1"/>
      <c r="H74" s="1"/>
      <c r="I74" s="70"/>
      <c r="J74" s="70"/>
      <c r="K74" s="70"/>
      <c r="N74" s="1"/>
    </row>
    <row r="75" spans="1:14" s="2" customFormat="1" x14ac:dyDescent="0.2">
      <c r="A75" s="36"/>
      <c r="B75" s="28" t="s">
        <v>66</v>
      </c>
      <c r="C75" s="19" t="s">
        <v>67</v>
      </c>
      <c r="D75" s="37"/>
      <c r="E75" s="38">
        <v>6500000</v>
      </c>
      <c r="F75" s="22"/>
      <c r="G75" s="1"/>
      <c r="H75" s="70"/>
      <c r="I75" s="70"/>
      <c r="J75" s="70"/>
      <c r="K75" s="70"/>
      <c r="N75" s="1"/>
    </row>
    <row r="76" spans="1:14" s="2" customFormat="1" x14ac:dyDescent="0.2">
      <c r="A76" s="36"/>
      <c r="B76" s="28" t="s">
        <v>66</v>
      </c>
      <c r="C76" s="43" t="s">
        <v>1457</v>
      </c>
      <c r="D76" s="43"/>
      <c r="E76" s="12">
        <f>275000000+75000000+50000000</f>
        <v>400000000</v>
      </c>
      <c r="F76" s="22"/>
      <c r="G76" s="1"/>
      <c r="H76" s="70"/>
      <c r="I76" s="45">
        <v>563.61</v>
      </c>
      <c r="J76" s="46"/>
      <c r="K76" s="46"/>
      <c r="N76" s="1"/>
    </row>
    <row r="77" spans="1:14" s="2" customFormat="1" ht="15" x14ac:dyDescent="0.25">
      <c r="A77" s="36"/>
      <c r="B77" s="28"/>
      <c r="C77" s="44" t="s">
        <v>1541</v>
      </c>
      <c r="D77" s="43"/>
      <c r="E77" s="7">
        <f>+E76+E74+E75</f>
        <v>461038122.86000007</v>
      </c>
      <c r="F77" s="22"/>
      <c r="G77" s="1"/>
      <c r="H77" s="103" t="s">
        <v>69</v>
      </c>
      <c r="I77" s="45">
        <v>0</v>
      </c>
      <c r="J77" s="46"/>
      <c r="K77" s="46"/>
      <c r="N77" s="1"/>
    </row>
    <row r="78" spans="1:14" s="2" customFormat="1" ht="15" x14ac:dyDescent="0.25">
      <c r="A78" s="24"/>
      <c r="B78" s="1"/>
      <c r="C78" s="44" t="s">
        <v>1510</v>
      </c>
      <c r="D78" s="25"/>
      <c r="E78" s="156">
        <f>+I28-E75+H24-I24</f>
        <v>39761877.140000001</v>
      </c>
      <c r="G78" s="1"/>
      <c r="H78" s="35" t="s">
        <v>70</v>
      </c>
      <c r="I78" s="45">
        <v>0</v>
      </c>
      <c r="J78" s="46">
        <f>+I79-D81</f>
        <v>0</v>
      </c>
      <c r="N78" s="1"/>
    </row>
    <row r="79" spans="1:14" s="124" customFormat="1" ht="12.75" customHeight="1" x14ac:dyDescent="0.2">
      <c r="A79" s="24"/>
      <c r="B79" s="1"/>
      <c r="C79" s="56"/>
      <c r="D79" s="56"/>
      <c r="E79" s="104"/>
      <c r="F79" s="2"/>
      <c r="G79" s="166"/>
      <c r="H79" s="70"/>
      <c r="I79" s="49">
        <f>SUM(I76:I78)</f>
        <v>563.61</v>
      </c>
      <c r="J79" s="46"/>
      <c r="K79" s="46"/>
    </row>
    <row r="80" spans="1:14" s="124" customFormat="1" ht="12.75" customHeight="1" x14ac:dyDescent="0.2">
      <c r="A80" s="24"/>
      <c r="B80" s="1"/>
      <c r="C80" s="78" t="s">
        <v>575</v>
      </c>
      <c r="D80" s="48" t="s">
        <v>576</v>
      </c>
      <c r="E80" s="104"/>
      <c r="F80" s="2"/>
      <c r="G80" s="168"/>
      <c r="H80" s="167"/>
      <c r="I80" s="167"/>
      <c r="J80" s="168"/>
    </row>
    <row r="81" spans="1:13" s="124" customFormat="1" ht="12.75" customHeight="1" x14ac:dyDescent="0.2">
      <c r="A81" s="24"/>
      <c r="B81" s="1"/>
      <c r="C81" s="47" t="s">
        <v>570</v>
      </c>
      <c r="D81" s="111">
        <v>563.61</v>
      </c>
      <c r="E81" s="104"/>
      <c r="F81" s="2"/>
      <c r="G81" s="168"/>
      <c r="H81" s="110" t="s">
        <v>581</v>
      </c>
      <c r="I81" s="167"/>
      <c r="J81" s="168"/>
    </row>
    <row r="82" spans="1:13" s="124" customFormat="1" ht="12.75" customHeight="1" x14ac:dyDescent="0.2">
      <c r="A82" s="24"/>
      <c r="B82" s="1"/>
      <c r="C82" s="47" t="s">
        <v>931</v>
      </c>
      <c r="D82" s="111">
        <v>3.02</v>
      </c>
      <c r="E82" s="104"/>
      <c r="F82" s="2"/>
      <c r="G82" s="168"/>
      <c r="H82" s="110" t="s">
        <v>580</v>
      </c>
      <c r="I82" s="167"/>
      <c r="J82" s="168"/>
    </row>
    <row r="83" spans="1:13" s="124" customFormat="1" ht="12.75" customHeight="1" x14ac:dyDescent="0.2">
      <c r="A83" s="24"/>
      <c r="B83" s="1"/>
      <c r="C83" s="47" t="s">
        <v>572</v>
      </c>
      <c r="D83" s="111">
        <f>+D99/100000</f>
        <v>0</v>
      </c>
      <c r="E83" s="104"/>
      <c r="F83" s="2"/>
      <c r="G83" s="166"/>
      <c r="H83" s="90" t="s">
        <v>587</v>
      </c>
      <c r="I83" s="167"/>
      <c r="J83" s="168"/>
    </row>
    <row r="84" spans="1:13" s="2" customFormat="1" x14ac:dyDescent="0.2">
      <c r="A84" s="24"/>
      <c r="B84" s="1"/>
      <c r="C84" s="108" t="s">
        <v>578</v>
      </c>
      <c r="D84" s="48">
        <f>SUM(D81:D83)</f>
        <v>566.63</v>
      </c>
      <c r="E84" s="104"/>
      <c r="G84" s="30"/>
      <c r="I84" s="13"/>
      <c r="J84" s="13"/>
    </row>
    <row r="85" spans="1:13" s="70" customFormat="1" x14ac:dyDescent="0.2">
      <c r="A85" s="24"/>
      <c r="B85" s="1"/>
      <c r="C85" s="47"/>
      <c r="D85" s="107"/>
      <c r="E85" s="104"/>
      <c r="F85" s="2"/>
      <c r="G85" s="30"/>
      <c r="H85" s="2"/>
    </row>
    <row r="86" spans="1:13" s="70" customFormat="1" x14ac:dyDescent="0.2">
      <c r="A86" s="24"/>
      <c r="B86" s="1"/>
      <c r="C86" s="47" t="s">
        <v>932</v>
      </c>
      <c r="D86" s="111">
        <v>161.06</v>
      </c>
      <c r="E86" s="104"/>
      <c r="F86" s="2"/>
      <c r="G86" s="30"/>
      <c r="H86" s="110" t="s">
        <v>581</v>
      </c>
    </row>
    <row r="87" spans="1:13" s="70" customFormat="1" x14ac:dyDescent="0.2">
      <c r="A87" s="24"/>
      <c r="B87" s="1"/>
      <c r="C87" s="136" t="s">
        <v>1142</v>
      </c>
      <c r="D87" s="111">
        <v>707.63</v>
      </c>
      <c r="E87" s="104"/>
      <c r="F87" s="2"/>
      <c r="G87" s="30"/>
      <c r="H87" s="110" t="s">
        <v>581</v>
      </c>
    </row>
    <row r="88" spans="1:13" s="70" customFormat="1" x14ac:dyDescent="0.2">
      <c r="A88" s="24"/>
      <c r="B88" s="1"/>
      <c r="C88" s="78" t="s">
        <v>579</v>
      </c>
      <c r="D88" s="109">
        <f>D86+D87</f>
        <v>868.69</v>
      </c>
      <c r="E88" s="104"/>
      <c r="F88" s="2"/>
      <c r="G88" s="30"/>
    </row>
    <row r="89" spans="1:13" s="70" customFormat="1" x14ac:dyDescent="0.2">
      <c r="A89" s="24"/>
      <c r="B89" s="1"/>
      <c r="C89" s="105"/>
      <c r="D89" s="106"/>
      <c r="E89" s="104"/>
      <c r="F89" s="2"/>
      <c r="G89" s="30"/>
      <c r="I89" s="2"/>
      <c r="J89" s="114" t="s">
        <v>713</v>
      </c>
      <c r="K89" s="2"/>
      <c r="L89" s="2"/>
      <c r="M89" s="2"/>
    </row>
    <row r="90" spans="1:13" s="70" customFormat="1" x14ac:dyDescent="0.2">
      <c r="A90" s="24"/>
      <c r="B90" s="1"/>
      <c r="C90" s="78" t="s">
        <v>577</v>
      </c>
      <c r="D90" s="109">
        <f>D81+D88</f>
        <v>1432.3000000000002</v>
      </c>
      <c r="E90" s="104"/>
      <c r="F90" s="2"/>
      <c r="G90" s="30"/>
      <c r="I90" s="113"/>
      <c r="J90" s="113" t="s">
        <v>709</v>
      </c>
      <c r="K90" s="113" t="s">
        <v>710</v>
      </c>
      <c r="L90" s="113" t="s">
        <v>711</v>
      </c>
      <c r="M90" s="113" t="s">
        <v>712</v>
      </c>
    </row>
    <row r="91" spans="1:13" s="70" customFormat="1" x14ac:dyDescent="0.2">
      <c r="A91" s="24"/>
      <c r="B91" s="1"/>
      <c r="C91" s="56"/>
      <c r="D91" s="56"/>
      <c r="E91" s="104"/>
      <c r="F91" s="2"/>
      <c r="G91" s="30"/>
      <c r="I91" s="113" t="s">
        <v>706</v>
      </c>
      <c r="J91" s="115"/>
      <c r="K91" s="115">
        <v>968.99</v>
      </c>
      <c r="L91" s="115">
        <v>968.99</v>
      </c>
      <c r="M91" s="113">
        <f>+J91+L91-K91</f>
        <v>0</v>
      </c>
    </row>
    <row r="92" spans="1:13" s="70" customFormat="1" ht="38.25" x14ac:dyDescent="0.2">
      <c r="A92" s="24"/>
      <c r="B92" s="1"/>
      <c r="C92" s="79" t="str">
        <f>"Particulars ( 01-04-2021 to "&amp;TEXT(A5,"dd-mm-yyyy")&amp;" )"</f>
        <v>Particulars ( 01-04-2021 to 02-11-2023 )</v>
      </c>
      <c r="D92" s="80" t="s">
        <v>73</v>
      </c>
      <c r="E92" s="80" t="s">
        <v>74</v>
      </c>
      <c r="F92" s="81" t="s">
        <v>75</v>
      </c>
      <c r="G92" s="80" t="s">
        <v>76</v>
      </c>
      <c r="I92" s="113" t="s">
        <v>707</v>
      </c>
      <c r="J92" s="115">
        <v>183.1</v>
      </c>
      <c r="K92" s="115">
        <v>3897.33</v>
      </c>
      <c r="L92" s="115">
        <v>4120.1499999999996</v>
      </c>
      <c r="M92" s="113">
        <f>+J92+L92-K92</f>
        <v>405.92000000000007</v>
      </c>
    </row>
    <row r="93" spans="1:13" s="70" customFormat="1" x14ac:dyDescent="0.2">
      <c r="A93" s="24"/>
      <c r="B93" s="1"/>
      <c r="C93" s="50" t="s">
        <v>444</v>
      </c>
      <c r="D93" s="55">
        <f>+L91+L92+J92</f>
        <v>5272.24</v>
      </c>
      <c r="E93" s="55">
        <f>+K91+K92</f>
        <v>4866.32</v>
      </c>
      <c r="F93" s="55">
        <f>+D93-E93</f>
        <v>405.92000000000007</v>
      </c>
      <c r="G93" s="55">
        <f>1500-F93</f>
        <v>1094.08</v>
      </c>
      <c r="I93" s="113" t="s">
        <v>708</v>
      </c>
      <c r="J93" s="115">
        <v>1371.02</v>
      </c>
      <c r="K93" s="115">
        <v>14744.5</v>
      </c>
      <c r="L93" s="115">
        <v>14555.17</v>
      </c>
      <c r="M93" s="113">
        <f>+J93+L93-K93</f>
        <v>1181.6900000000005</v>
      </c>
    </row>
    <row r="94" spans="1:13" s="70" customFormat="1" ht="12.75" customHeight="1" x14ac:dyDescent="0.2">
      <c r="A94" s="24"/>
      <c r="B94" s="1"/>
      <c r="C94" s="50" t="s">
        <v>71</v>
      </c>
      <c r="D94" s="55">
        <f>+J93+L93</f>
        <v>15926.19</v>
      </c>
      <c r="E94" s="55">
        <f>+K93</f>
        <v>14744.5</v>
      </c>
      <c r="F94" s="55">
        <f>+D94-E94</f>
        <v>1181.6900000000005</v>
      </c>
      <c r="G94" s="55">
        <f>1500+700-F94</f>
        <v>1018.3099999999995</v>
      </c>
      <c r="I94" s="2"/>
      <c r="J94" s="118">
        <f>SUM(J91:J93)</f>
        <v>1554.12</v>
      </c>
      <c r="K94" s="118">
        <f>SUM(K91:K93)</f>
        <v>19610.82</v>
      </c>
      <c r="L94" s="118">
        <f>SUM(L91:L93)</f>
        <v>19644.309999999998</v>
      </c>
      <c r="M94" s="118">
        <f>SUM(M91:M93)</f>
        <v>1587.6100000000006</v>
      </c>
    </row>
    <row r="95" spans="1:13" s="70" customFormat="1" ht="12.75" customHeight="1" x14ac:dyDescent="0.2">
      <c r="A95" s="24"/>
      <c r="B95" s="1"/>
      <c r="C95" s="14"/>
      <c r="D95" s="56"/>
      <c r="E95" s="13"/>
      <c r="F95" s="2"/>
      <c r="G95" s="30"/>
    </row>
    <row r="96" spans="1:13" s="70" customFormat="1" ht="12.75" customHeight="1" x14ac:dyDescent="0.2">
      <c r="A96" s="215" t="s">
        <v>80</v>
      </c>
      <c r="B96" s="216"/>
      <c r="C96" s="216"/>
      <c r="D96" s="217"/>
      <c r="E96" s="69"/>
      <c r="G96" s="30"/>
    </row>
    <row r="97" spans="1:14" s="70" customFormat="1" ht="12.75" customHeight="1" x14ac:dyDescent="0.2">
      <c r="A97" s="71" t="s">
        <v>81</v>
      </c>
      <c r="B97" s="71"/>
      <c r="C97" s="72" t="s">
        <v>82</v>
      </c>
      <c r="D97" s="73" t="s">
        <v>83</v>
      </c>
      <c r="E97" s="69"/>
      <c r="G97" s="30"/>
    </row>
    <row r="98" spans="1:14" s="70" customFormat="1" ht="12.75" customHeight="1" x14ac:dyDescent="0.2">
      <c r="A98" s="87"/>
      <c r="B98" s="120"/>
      <c r="C98" s="75"/>
      <c r="D98" s="88"/>
      <c r="E98" s="2"/>
      <c r="F98" s="2"/>
      <c r="G98" s="30"/>
      <c r="H98" s="2"/>
      <c r="I98" s="2"/>
      <c r="J98" s="2"/>
      <c r="K98" s="2"/>
      <c r="L98" s="41"/>
      <c r="M98" s="42"/>
      <c r="N98" s="2"/>
    </row>
    <row r="99" spans="1:14" s="2" customFormat="1" x14ac:dyDescent="0.2">
      <c r="A99" s="87"/>
      <c r="B99" s="74"/>
      <c r="C99" s="75"/>
      <c r="D99" s="51">
        <f>SUM(D98:D98)</f>
        <v>0</v>
      </c>
      <c r="F99" s="2" t="s">
        <v>396</v>
      </c>
      <c r="G99" s="1"/>
    </row>
    <row r="100" spans="1:14" s="2" customFormat="1" x14ac:dyDescent="0.2">
      <c r="A100" s="24"/>
      <c r="B100" s="1"/>
      <c r="C100" s="14"/>
      <c r="D100" s="56"/>
      <c r="E100" s="13"/>
      <c r="G100" s="1"/>
    </row>
    <row r="101" spans="1:14" s="2" customFormat="1" x14ac:dyDescent="0.2">
      <c r="A101" s="24"/>
      <c r="B101" s="1"/>
      <c r="C101" s="218" t="s">
        <v>77</v>
      </c>
      <c r="D101" s="219"/>
      <c r="E101" s="219"/>
      <c r="F101" s="220"/>
      <c r="H101" s="2" t="s">
        <v>396</v>
      </c>
    </row>
    <row r="102" spans="1:14" s="2" customFormat="1" x14ac:dyDescent="0.2">
      <c r="A102" s="24"/>
      <c r="B102" s="1"/>
      <c r="C102" s="50"/>
      <c r="D102" s="57" t="s">
        <v>78</v>
      </c>
      <c r="E102" s="58" t="s">
        <v>79</v>
      </c>
      <c r="F102" s="57" t="s">
        <v>72</v>
      </c>
      <c r="H102" s="2" t="s">
        <v>396</v>
      </c>
    </row>
    <row r="103" spans="1:14" s="2" customFormat="1" x14ac:dyDescent="0.2">
      <c r="A103" s="24"/>
      <c r="B103" s="1"/>
      <c r="C103" s="59" t="str">
        <f>"01-10-2023 to "&amp;TEXT(A5-2,"dd-mm-yyyy")</f>
        <v>01-10-2023 to 31-10-2023</v>
      </c>
      <c r="D103" s="60">
        <v>2846.36</v>
      </c>
      <c r="E103" s="60">
        <v>521.42999999999995</v>
      </c>
      <c r="F103" s="61">
        <f>SUM(D103:E103)</f>
        <v>3367.79</v>
      </c>
    </row>
    <row r="104" spans="1:14" s="2" customFormat="1" x14ac:dyDescent="0.2">
      <c r="A104" s="24"/>
      <c r="B104" s="1"/>
      <c r="C104" s="62" t="str">
        <f>TEXT(A5-1,"dd-mm-yyyy")</f>
        <v>01-11-2023</v>
      </c>
      <c r="D104" s="60">
        <v>117.14</v>
      </c>
      <c r="E104" s="60">
        <v>19.46</v>
      </c>
      <c r="F104" s="61">
        <f>SUM(D104:E104)</f>
        <v>136.6</v>
      </c>
      <c r="G104" s="1"/>
      <c r="H104" s="53"/>
    </row>
    <row r="105" spans="1:14" s="2" customFormat="1" ht="13.5" thickBot="1" x14ac:dyDescent="0.25">
      <c r="A105" s="24"/>
      <c r="B105" s="1"/>
      <c r="C105" s="63" t="str">
        <f>"01-10-2023 to "&amp;TEXT(A5-1,"dd-mm-yyyy")</f>
        <v>01-10-2023 to 01-11-2023</v>
      </c>
      <c r="D105" s="64">
        <f>SUM(D103:D104)</f>
        <v>2963.5</v>
      </c>
      <c r="E105" s="64">
        <f>SUM(E103:E104)</f>
        <v>540.89</v>
      </c>
      <c r="F105" s="64">
        <f>SUM(F103:F104)</f>
        <v>3504.39</v>
      </c>
      <c r="G105" s="1"/>
      <c r="H105" s="53"/>
    </row>
    <row r="106" spans="1:14" s="2" customFormat="1" ht="13.5" thickTop="1" x14ac:dyDescent="0.2">
      <c r="A106" s="24"/>
      <c r="B106" s="1"/>
      <c r="C106" s="62"/>
      <c r="D106" s="65"/>
      <c r="E106" s="66"/>
      <c r="F106" s="67"/>
      <c r="L106" s="1"/>
      <c r="M106" s="1"/>
    </row>
    <row r="107" spans="1:14" s="2" customFormat="1" x14ac:dyDescent="0.2">
      <c r="A107" s="24"/>
      <c r="B107" s="1"/>
      <c r="C107" s="62" t="str">
        <f>"01-04-2023 to " &amp;C104</f>
        <v>01-04-2023 to 01-11-2023</v>
      </c>
      <c r="D107" s="68">
        <f>+D105+27003.42</f>
        <v>29966.92</v>
      </c>
      <c r="E107" s="68">
        <f>+E105+2028.43</f>
        <v>2569.3200000000002</v>
      </c>
      <c r="F107" s="68">
        <f>+F105+29031.85</f>
        <v>32536.239999999998</v>
      </c>
      <c r="G107" s="1"/>
      <c r="L107" s="1"/>
      <c r="M107" s="1"/>
    </row>
    <row r="108" spans="1:14" s="2" customFormat="1" x14ac:dyDescent="0.2">
      <c r="A108" s="24"/>
      <c r="B108" s="1"/>
      <c r="C108" s="52"/>
      <c r="D108" s="85"/>
      <c r="E108" s="53"/>
      <c r="F108" s="53"/>
      <c r="G108" s="1"/>
      <c r="L108" s="1"/>
      <c r="M108" s="1"/>
    </row>
    <row r="109" spans="1:14" s="2" customFormat="1" x14ac:dyDescent="0.2">
      <c r="A109" s="24"/>
      <c r="B109" s="1"/>
      <c r="C109" s="52"/>
      <c r="D109" s="85"/>
      <c r="E109" s="53"/>
      <c r="F109" s="53"/>
      <c r="G109" s="1"/>
      <c r="L109" s="1"/>
      <c r="M109" s="1"/>
    </row>
    <row r="110" spans="1:14" s="2" customFormat="1" x14ac:dyDescent="0.2">
      <c r="A110" s="24"/>
      <c r="B110" s="1"/>
      <c r="C110" s="52"/>
      <c r="D110" s="85"/>
      <c r="E110" s="53"/>
      <c r="F110" s="53"/>
      <c r="G110" s="1"/>
      <c r="L110" s="1"/>
      <c r="M110" s="1"/>
    </row>
    <row r="111" spans="1:14" s="2" customFormat="1" x14ac:dyDescent="0.2">
      <c r="A111" s="24"/>
      <c r="B111" s="1"/>
      <c r="C111" s="52"/>
      <c r="D111" s="85"/>
      <c r="E111" s="53"/>
      <c r="F111" s="53"/>
      <c r="G111" s="1"/>
      <c r="L111" s="1"/>
      <c r="M111" s="1"/>
    </row>
    <row r="112" spans="1:14" s="2" customFormat="1" x14ac:dyDescent="0.2">
      <c r="A112" s="24"/>
      <c r="B112" s="1"/>
      <c r="C112" s="14"/>
      <c r="D112" s="25"/>
      <c r="G112" s="1"/>
      <c r="L112" s="1"/>
      <c r="M112" s="1"/>
    </row>
    <row r="113" spans="1:13" s="2" customFormat="1" x14ac:dyDescent="0.2">
      <c r="A113" s="24"/>
      <c r="B113" s="1"/>
      <c r="C113" s="14"/>
      <c r="D113" s="25"/>
      <c r="G113" s="1"/>
      <c r="L113" s="1"/>
      <c r="M113" s="1"/>
    </row>
    <row r="114" spans="1:13" s="2" customFormat="1" x14ac:dyDescent="0.2">
      <c r="A114" s="24"/>
      <c r="B114" s="1"/>
      <c r="C114" s="14"/>
      <c r="D114" s="25"/>
      <c r="G114" s="1"/>
      <c r="L114" s="1"/>
      <c r="M114" s="1"/>
    </row>
    <row r="115" spans="1:13" s="2" customFormat="1" x14ac:dyDescent="0.2">
      <c r="A115" s="24"/>
      <c r="B115" s="1"/>
      <c r="C115" s="14"/>
      <c r="D115" s="25"/>
      <c r="G115" s="1"/>
      <c r="L115" s="1"/>
      <c r="M115" s="1"/>
    </row>
    <row r="116" spans="1:13" s="2" customFormat="1" x14ac:dyDescent="0.2">
      <c r="A116" s="24"/>
      <c r="B116" s="1"/>
      <c r="C116" s="14"/>
      <c r="D116" s="25"/>
      <c r="G116" s="1"/>
      <c r="L116" s="1"/>
      <c r="M116" s="1"/>
    </row>
    <row r="117" spans="1:13" s="2" customFormat="1" x14ac:dyDescent="0.2">
      <c r="A117" s="24"/>
      <c r="B117" s="1"/>
      <c r="C117" s="14"/>
      <c r="D117" s="25"/>
      <c r="G117" s="1"/>
      <c r="L117" s="1"/>
      <c r="M117" s="1"/>
    </row>
    <row r="118" spans="1:13" s="2" customFormat="1" x14ac:dyDescent="0.2">
      <c r="A118" s="24"/>
      <c r="B118" s="1"/>
      <c r="C118" s="14"/>
      <c r="D118" s="25"/>
      <c r="G118" s="1"/>
      <c r="L118" s="1"/>
      <c r="M118" s="1"/>
    </row>
    <row r="119" spans="1:13" s="2" customFormat="1" x14ac:dyDescent="0.2">
      <c r="A119" s="24"/>
      <c r="B119" s="1"/>
      <c r="C119" s="14"/>
      <c r="D119" s="25"/>
      <c r="G119" s="1"/>
      <c r="L119" s="1"/>
      <c r="M119" s="1"/>
    </row>
    <row r="120" spans="1:13" s="2" customFormat="1" x14ac:dyDescent="0.2">
      <c r="A120" s="24"/>
      <c r="B120" s="1"/>
      <c r="C120" s="14"/>
      <c r="D120" s="25"/>
      <c r="G120" s="1"/>
      <c r="L120" s="1"/>
      <c r="M120" s="1"/>
    </row>
    <row r="121" spans="1:13" s="2" customFormat="1" x14ac:dyDescent="0.2">
      <c r="A121" s="24"/>
      <c r="B121" s="1"/>
      <c r="C121" s="14"/>
      <c r="D121" s="25"/>
      <c r="G121" s="1"/>
      <c r="L121" s="1"/>
      <c r="M121" s="1"/>
    </row>
    <row r="122" spans="1:13" s="2" customFormat="1" x14ac:dyDescent="0.2">
      <c r="A122" s="24"/>
      <c r="B122" s="1"/>
      <c r="C122" s="14"/>
      <c r="D122" s="25"/>
      <c r="G122" s="1"/>
      <c r="L122" s="1"/>
      <c r="M122" s="1"/>
    </row>
    <row r="123" spans="1:13" s="2" customFormat="1" x14ac:dyDescent="0.2">
      <c r="A123" s="24"/>
      <c r="B123" s="1"/>
      <c r="C123" s="14"/>
      <c r="D123" s="25"/>
      <c r="G123" s="1"/>
      <c r="L123" s="1"/>
      <c r="M123" s="1"/>
    </row>
    <row r="124" spans="1:13" s="2" customFormat="1" x14ac:dyDescent="0.2">
      <c r="A124" s="24"/>
      <c r="B124" s="1"/>
      <c r="C124" s="14"/>
      <c r="D124" s="25"/>
      <c r="G124" s="1"/>
      <c r="L124" s="1"/>
      <c r="M124" s="1"/>
    </row>
    <row r="125" spans="1:13" s="2" customFormat="1" x14ac:dyDescent="0.2">
      <c r="A125" s="24"/>
      <c r="B125" s="1"/>
      <c r="C125" s="14"/>
      <c r="D125" s="25"/>
      <c r="G125" s="1"/>
      <c r="L125" s="1"/>
      <c r="M125" s="1"/>
    </row>
    <row r="126" spans="1:13" s="2" customFormat="1" x14ac:dyDescent="0.2">
      <c r="A126" s="24"/>
      <c r="B126" s="1"/>
      <c r="C126" s="14"/>
      <c r="D126" s="25"/>
      <c r="G126" s="1"/>
      <c r="I126" s="1"/>
      <c r="J126" s="1"/>
      <c r="K126" s="1"/>
      <c r="L126" s="1"/>
      <c r="M126" s="1"/>
    </row>
    <row r="127" spans="1:13" s="2" customFormat="1" x14ac:dyDescent="0.2">
      <c r="A127" s="24"/>
      <c r="B127" s="1"/>
      <c r="C127" s="14"/>
      <c r="D127" s="25"/>
      <c r="G127" s="1"/>
    </row>
    <row r="128" spans="1:13" s="2" customFormat="1" x14ac:dyDescent="0.2">
      <c r="A128" s="24"/>
      <c r="B128" s="1"/>
      <c r="C128" s="14"/>
      <c r="D128" s="25"/>
      <c r="G128" s="1"/>
      <c r="I128" s="1"/>
      <c r="J128" s="1"/>
      <c r="K128" s="1"/>
      <c r="L128" s="1"/>
      <c r="M128" s="1"/>
    </row>
    <row r="129" spans="1:14" s="2" customFormat="1" x14ac:dyDescent="0.2">
      <c r="A129" s="24"/>
      <c r="B129" s="1"/>
      <c r="C129" s="14"/>
      <c r="D129" s="25"/>
      <c r="G129" s="54"/>
      <c r="I129" s="1"/>
      <c r="J129" s="1"/>
      <c r="K129" s="1"/>
      <c r="L129" s="1"/>
      <c r="M129" s="1"/>
    </row>
    <row r="130" spans="1:14" s="2" customFormat="1" x14ac:dyDescent="0.2">
      <c r="A130" s="24"/>
      <c r="B130" s="1"/>
      <c r="C130" s="14"/>
      <c r="D130" s="25"/>
      <c r="G130" s="54"/>
      <c r="I130" s="1"/>
      <c r="J130" s="1"/>
      <c r="K130" s="1"/>
      <c r="L130" s="1"/>
      <c r="M130" s="1"/>
    </row>
    <row r="131" spans="1:14" s="2" customFormat="1" x14ac:dyDescent="0.2">
      <c r="A131" s="24"/>
      <c r="B131" s="1"/>
      <c r="C131" s="14"/>
      <c r="D131" s="25"/>
      <c r="G131" s="54"/>
      <c r="I131" s="1"/>
      <c r="J131" s="1"/>
      <c r="K131" s="1"/>
      <c r="L131" s="1"/>
      <c r="M131" s="1"/>
    </row>
    <row r="132" spans="1:14" s="2" customFormat="1" x14ac:dyDescent="0.2">
      <c r="A132" s="24"/>
      <c r="B132" s="1"/>
      <c r="C132" s="14"/>
      <c r="D132" s="25"/>
      <c r="G132" s="54"/>
      <c r="H132" s="2" t="s">
        <v>396</v>
      </c>
      <c r="I132" s="1"/>
      <c r="J132" s="1"/>
      <c r="K132" s="1"/>
      <c r="L132" s="1"/>
      <c r="M132" s="1"/>
      <c r="N132" s="1"/>
    </row>
    <row r="133" spans="1:14" s="2" customFormat="1" x14ac:dyDescent="0.2">
      <c r="A133" s="24"/>
      <c r="B133" s="1"/>
      <c r="C133" s="14"/>
      <c r="D133" s="25"/>
      <c r="G133" s="54"/>
      <c r="H133" s="53"/>
    </row>
    <row r="134" spans="1:14" s="2" customFormat="1" x14ac:dyDescent="0.2">
      <c r="A134" s="24"/>
      <c r="B134" s="1"/>
      <c r="C134" s="14"/>
      <c r="D134" s="25"/>
      <c r="G134" s="54"/>
      <c r="H134" s="53" t="s">
        <v>396</v>
      </c>
      <c r="I134" s="1"/>
      <c r="J134" s="1"/>
      <c r="K134" s="1"/>
      <c r="L134" s="1"/>
      <c r="M134" s="1"/>
      <c r="N134" s="1"/>
    </row>
    <row r="135" spans="1:14" x14ac:dyDescent="0.2">
      <c r="G135" s="54"/>
      <c r="H135" s="53" t="s">
        <v>396</v>
      </c>
      <c r="J135" s="42"/>
    </row>
    <row r="136" spans="1:14" s="2" customFormat="1" x14ac:dyDescent="0.2">
      <c r="A136" s="24"/>
      <c r="B136" s="1"/>
      <c r="C136" s="14"/>
      <c r="D136" s="25"/>
      <c r="G136" s="54"/>
      <c r="H136" s="53"/>
      <c r="I136" s="101"/>
      <c r="J136" s="1"/>
      <c r="K136" s="1"/>
      <c r="L136" s="1"/>
      <c r="M136" s="1"/>
      <c r="N136" s="1"/>
    </row>
    <row r="137" spans="1:14" x14ac:dyDescent="0.2">
      <c r="G137" s="54"/>
      <c r="H137" s="53"/>
    </row>
    <row r="138" spans="1:14" x14ac:dyDescent="0.2">
      <c r="G138" s="54"/>
      <c r="H138" s="53"/>
    </row>
    <row r="139" spans="1:14" x14ac:dyDescent="0.2">
      <c r="G139" s="54"/>
      <c r="H139" s="53"/>
    </row>
  </sheetData>
  <sheetProtection insertRows="0"/>
  <mergeCells count="6">
    <mergeCell ref="C101:F101"/>
    <mergeCell ref="A1:G1"/>
    <mergeCell ref="A3:F3"/>
    <mergeCell ref="A9:F9"/>
    <mergeCell ref="A26:F26"/>
    <mergeCell ref="A96:D96"/>
  </mergeCells>
  <conditionalFormatting sqref="G93:G94">
    <cfRule type="cellIs" dxfId="237" priority="1" operator="lessThan">
      <formula>0</formula>
    </cfRule>
  </conditionalFormatting>
  <conditionalFormatting sqref="C28">
    <cfRule type="duplicateValues" dxfId="236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C00-000000000000}">
  <sheetPr codeName="Sheet468">
    <pageSetUpPr fitToPage="1"/>
  </sheetPr>
  <dimension ref="A1:N139"/>
  <sheetViews>
    <sheetView topLeftCell="A37" zoomScaleNormal="100" workbookViewId="0">
      <selection activeCell="E38" sqref="E38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1" ht="20.25" customHeight="1" x14ac:dyDescent="0.4">
      <c r="A1" s="212" t="s">
        <v>1739</v>
      </c>
      <c r="B1" s="212"/>
      <c r="C1" s="212"/>
      <c r="D1" s="212"/>
      <c r="E1" s="212"/>
      <c r="F1" s="212"/>
      <c r="G1" s="212"/>
      <c r="H1" s="112"/>
      <c r="I1" s="112"/>
    </row>
    <row r="2" spans="1:11" ht="12.75" customHeight="1" x14ac:dyDescent="0.4">
      <c r="H2" s="112"/>
      <c r="I2" s="112"/>
    </row>
    <row r="3" spans="1:11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1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1" s="2" customFormat="1" ht="14.25" customHeight="1" x14ac:dyDescent="0.4">
      <c r="A5" s="89">
        <v>45233</v>
      </c>
      <c r="B5" s="9" t="s">
        <v>6</v>
      </c>
      <c r="C5" s="10" t="s">
        <v>7</v>
      </c>
      <c r="D5" s="11"/>
      <c r="E5" s="12">
        <v>861669.58000000229</v>
      </c>
      <c r="F5" s="12"/>
      <c r="G5" s="1"/>
      <c r="H5" s="112"/>
      <c r="I5" s="112"/>
    </row>
    <row r="6" spans="1:11" s="2" customFormat="1" ht="12.75" customHeight="1" x14ac:dyDescent="0.4">
      <c r="D6" s="15" t="s">
        <v>8</v>
      </c>
      <c r="E6" s="16">
        <f>SUM(E5:E5)</f>
        <v>861669.58000000229</v>
      </c>
      <c r="F6" s="16">
        <f>F5</f>
        <v>0</v>
      </c>
      <c r="G6" s="1"/>
      <c r="H6" s="112"/>
      <c r="I6" s="112"/>
    </row>
    <row r="7" spans="1:11" s="2" customFormat="1" ht="12.75" customHeight="1" x14ac:dyDescent="0.4">
      <c r="A7" s="17"/>
      <c r="B7" s="18"/>
      <c r="C7" s="19" t="s">
        <v>9</v>
      </c>
      <c r="D7" s="20"/>
      <c r="E7" s="21">
        <f>+E6-F6</f>
        <v>861669.58000000229</v>
      </c>
      <c r="F7" s="22"/>
      <c r="G7" s="23"/>
      <c r="H7" s="112"/>
      <c r="I7" s="112"/>
      <c r="J7" s="13"/>
    </row>
    <row r="8" spans="1:11" ht="12.75" customHeight="1" x14ac:dyDescent="0.4">
      <c r="H8" s="112"/>
      <c r="I8" s="112"/>
    </row>
    <row r="9" spans="1:11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69">
        <f>90000000-60000000</f>
        <v>30000000</v>
      </c>
      <c r="J9" s="169" t="s">
        <v>1508</v>
      </c>
    </row>
    <row r="10" spans="1:11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69">
        <v>23093905.670000002</v>
      </c>
      <c r="J10" s="169" t="s">
        <v>1509</v>
      </c>
      <c r="K10" s="124"/>
    </row>
    <row r="11" spans="1:11" s="2" customFormat="1" ht="14.25" customHeight="1" x14ac:dyDescent="0.2">
      <c r="A11" s="89">
        <v>45233</v>
      </c>
      <c r="B11" s="9" t="s">
        <v>6</v>
      </c>
      <c r="C11" s="10" t="s">
        <v>7</v>
      </c>
      <c r="D11" s="11"/>
      <c r="F11" s="12">
        <v>28679284.169999998</v>
      </c>
      <c r="G11" s="1"/>
      <c r="H11" s="130" t="s">
        <v>396</v>
      </c>
      <c r="I11" s="169">
        <f>+I9-I10</f>
        <v>6906094.3299999982</v>
      </c>
      <c r="J11" s="169" t="s">
        <v>712</v>
      </c>
      <c r="K11" s="165" t="s">
        <v>1512</v>
      </c>
    </row>
    <row r="12" spans="1:11" s="2" customFormat="1" ht="14.25" customHeight="1" x14ac:dyDescent="0.2">
      <c r="A12" s="89">
        <v>45233</v>
      </c>
      <c r="B12" s="9" t="s">
        <v>6</v>
      </c>
      <c r="C12" s="10" t="s">
        <v>158</v>
      </c>
      <c r="D12" s="11" t="s">
        <v>13</v>
      </c>
      <c r="E12" s="2">
        <v>4172503</v>
      </c>
      <c r="F12" s="12"/>
      <c r="G12" s="1"/>
      <c r="H12" s="130"/>
      <c r="I12" s="169"/>
      <c r="J12" s="169"/>
      <c r="K12" s="165"/>
    </row>
    <row r="13" spans="1:11" s="2" customFormat="1" ht="14.25" customHeight="1" x14ac:dyDescent="0.2">
      <c r="A13" s="89">
        <v>45233</v>
      </c>
      <c r="B13" s="9" t="s">
        <v>6</v>
      </c>
      <c r="C13" s="10" t="s">
        <v>1137</v>
      </c>
      <c r="D13" s="11" t="s">
        <v>13</v>
      </c>
      <c r="E13" s="2">
        <v>49333.5</v>
      </c>
      <c r="F13" s="12"/>
      <c r="G13" s="1"/>
      <c r="H13" s="130"/>
      <c r="I13" s="169"/>
      <c r="J13" s="169"/>
      <c r="K13" s="165"/>
    </row>
    <row r="14" spans="1:11" s="2" customFormat="1" ht="14.25" customHeight="1" x14ac:dyDescent="0.2">
      <c r="A14" s="89">
        <v>45233</v>
      </c>
      <c r="B14" s="9" t="s">
        <v>6</v>
      </c>
      <c r="C14" s="10" t="s">
        <v>420</v>
      </c>
      <c r="D14" s="11" t="s">
        <v>13</v>
      </c>
      <c r="E14" s="2">
        <v>1363542</v>
      </c>
      <c r="F14" s="12"/>
      <c r="G14" s="1"/>
      <c r="H14" s="130"/>
      <c r="I14" s="169"/>
      <c r="J14" s="169"/>
      <c r="K14" s="165"/>
    </row>
    <row r="15" spans="1:11" s="2" customFormat="1" ht="14.25" customHeight="1" x14ac:dyDescent="0.2">
      <c r="A15" s="89">
        <v>45233</v>
      </c>
      <c r="B15" s="9" t="s">
        <v>11</v>
      </c>
      <c r="C15" s="10" t="s">
        <v>1740</v>
      </c>
      <c r="D15" s="11" t="s">
        <v>29</v>
      </c>
      <c r="F15" s="12">
        <v>90000</v>
      </c>
      <c r="G15" s="1"/>
      <c r="H15" s="130"/>
      <c r="I15" s="169"/>
      <c r="J15" s="169"/>
      <c r="K15" s="165"/>
    </row>
    <row r="16" spans="1:11" s="2" customFormat="1" ht="14.25" customHeight="1" x14ac:dyDescent="0.2">
      <c r="A16" s="89">
        <v>45233</v>
      </c>
      <c r="B16" s="9" t="s">
        <v>11</v>
      </c>
      <c r="C16" s="10" t="s">
        <v>614</v>
      </c>
      <c r="D16" s="11" t="s">
        <v>29</v>
      </c>
      <c r="F16" s="12">
        <v>78180</v>
      </c>
      <c r="G16" s="1"/>
      <c r="H16" s="130"/>
      <c r="I16" s="169"/>
      <c r="J16" s="169"/>
      <c r="K16" s="165"/>
    </row>
    <row r="17" spans="1:14" s="2" customFormat="1" ht="14.25" customHeight="1" x14ac:dyDescent="0.2">
      <c r="A17" s="89">
        <v>45233</v>
      </c>
      <c r="B17" s="9" t="s">
        <v>11</v>
      </c>
      <c r="C17" s="10" t="s">
        <v>196</v>
      </c>
      <c r="D17" s="11" t="s">
        <v>29</v>
      </c>
      <c r="F17" s="12">
        <v>63910</v>
      </c>
      <c r="G17" s="1"/>
      <c r="H17" s="130"/>
      <c r="I17" s="169"/>
      <c r="J17" s="169"/>
      <c r="K17" s="165"/>
    </row>
    <row r="18" spans="1:14" s="2" customFormat="1" ht="14.25" customHeight="1" x14ac:dyDescent="0.2">
      <c r="A18" s="89">
        <v>45233</v>
      </c>
      <c r="B18" s="9" t="s">
        <v>11</v>
      </c>
      <c r="C18" s="10" t="s">
        <v>1741</v>
      </c>
      <c r="D18" s="11" t="s">
        <v>29</v>
      </c>
      <c r="F18" s="12">
        <v>8850</v>
      </c>
      <c r="G18" s="1"/>
      <c r="H18" s="130"/>
      <c r="I18" s="169"/>
      <c r="J18" s="169"/>
      <c r="K18" s="165"/>
    </row>
    <row r="19" spans="1:14" s="2" customFormat="1" ht="14.25" customHeight="1" x14ac:dyDescent="0.2">
      <c r="A19" s="89">
        <v>45233</v>
      </c>
      <c r="B19" s="9" t="s">
        <v>11</v>
      </c>
      <c r="C19" s="10" t="s">
        <v>1363</v>
      </c>
      <c r="D19" s="11" t="s">
        <v>29</v>
      </c>
      <c r="F19" s="12">
        <v>3395852</v>
      </c>
      <c r="G19" s="1"/>
      <c r="H19" s="130"/>
      <c r="I19" s="169"/>
      <c r="J19" s="169"/>
      <c r="K19" s="165"/>
    </row>
    <row r="20" spans="1:14" s="2" customFormat="1" ht="14.25" customHeight="1" x14ac:dyDescent="0.2">
      <c r="A20" s="89">
        <v>45233</v>
      </c>
      <c r="B20" s="9" t="s">
        <v>11</v>
      </c>
      <c r="C20" s="10" t="s">
        <v>62</v>
      </c>
      <c r="D20" s="11" t="s">
        <v>29</v>
      </c>
      <c r="F20" s="12">
        <v>60000</v>
      </c>
      <c r="G20" s="1"/>
      <c r="H20" s="130"/>
      <c r="I20" s="169"/>
      <c r="J20" s="169"/>
      <c r="K20" s="165"/>
    </row>
    <row r="21" spans="1:14" s="2" customFormat="1" ht="14.25" customHeight="1" x14ac:dyDescent="0.2">
      <c r="D21" s="11" t="s">
        <v>8</v>
      </c>
      <c r="E21" s="16">
        <f>SUM(E12:E20)</f>
        <v>5585378.5</v>
      </c>
      <c r="F21" s="16">
        <f>SUM(F11:F20)</f>
        <v>32376076.169999998</v>
      </c>
      <c r="G21" s="1"/>
      <c r="H21" s="143"/>
      <c r="I21" s="130"/>
      <c r="J21" s="143"/>
      <c r="K21" s="143"/>
      <c r="L21" s="143"/>
      <c r="M21" s="143"/>
    </row>
    <row r="22" spans="1:14" s="2" customFormat="1" ht="14.25" customHeight="1" x14ac:dyDescent="0.4">
      <c r="A22" s="17"/>
      <c r="B22" s="18"/>
      <c r="C22" s="96" t="s">
        <v>9</v>
      </c>
      <c r="D22" s="20"/>
      <c r="E22" s="21">
        <f>+F21-E21</f>
        <v>26790697.669999998</v>
      </c>
      <c r="G22" s="1"/>
      <c r="I22" s="112"/>
      <c r="J22" s="153" t="s">
        <v>779</v>
      </c>
    </row>
    <row r="23" spans="1:14" s="2" customFormat="1" ht="14.25" customHeight="1" x14ac:dyDescent="0.2">
      <c r="A23" s="36"/>
      <c r="B23" s="28" t="s">
        <v>66</v>
      </c>
      <c r="C23" s="43" t="s">
        <v>1458</v>
      </c>
      <c r="D23" s="43"/>
      <c r="E23" s="12">
        <f>30000000+60000000</f>
        <v>90000000</v>
      </c>
      <c r="F23" s="22"/>
      <c r="G23" s="1"/>
      <c r="I23" s="40">
        <v>28679284.170000002</v>
      </c>
      <c r="J23" s="154">
        <f>I23-E22</f>
        <v>1888586.5000000037</v>
      </c>
    </row>
    <row r="24" spans="1:14" s="2" customFormat="1" ht="14.25" customHeight="1" x14ac:dyDescent="0.25">
      <c r="A24" s="36"/>
      <c r="B24" s="28"/>
      <c r="C24" s="44" t="s">
        <v>1541</v>
      </c>
      <c r="D24" s="43"/>
      <c r="E24" s="7">
        <f>+E22+E23</f>
        <v>116790697.67</v>
      </c>
      <c r="F24" s="22"/>
      <c r="G24" s="1"/>
      <c r="H24" s="13" t="s">
        <v>1582</v>
      </c>
      <c r="I24" s="13" t="s">
        <v>1583</v>
      </c>
    </row>
    <row r="25" spans="1:14" s="2" customFormat="1" ht="14.25" customHeight="1" x14ac:dyDescent="0.25">
      <c r="A25" s="36"/>
      <c r="B25" s="28"/>
      <c r="C25" s="44" t="s">
        <v>1511</v>
      </c>
      <c r="D25" s="43"/>
      <c r="E25" s="38">
        <f>+I11-3696800</f>
        <v>3209294.3299999982</v>
      </c>
      <c r="F25" s="22"/>
      <c r="G25" s="1"/>
      <c r="H25" s="2">
        <v>1419253</v>
      </c>
      <c r="I25" s="2">
        <v>29706611.27</v>
      </c>
      <c r="J25" s="176">
        <f>H25-I25</f>
        <v>-28287358.27</v>
      </c>
    </row>
    <row r="26" spans="1:14" s="2" customFormat="1" ht="14.25" customHeight="1" x14ac:dyDescent="0.2">
      <c r="A26" s="24"/>
      <c r="B26" s="1"/>
      <c r="C26" s="14"/>
      <c r="D26" s="25"/>
      <c r="G26" s="1"/>
      <c r="I26" s="130"/>
      <c r="J26" s="130"/>
    </row>
    <row r="27" spans="1:14" s="2" customFormat="1" x14ac:dyDescent="0.2">
      <c r="A27" s="214" t="s">
        <v>10</v>
      </c>
      <c r="B27" s="214"/>
      <c r="C27" s="214"/>
      <c r="D27" s="214"/>
      <c r="E27" s="214"/>
      <c r="F27" s="214"/>
      <c r="G27" s="1"/>
      <c r="H27" s="159"/>
      <c r="I27" s="160">
        <f>225000000-75000000-50000000</f>
        <v>100000000</v>
      </c>
      <c r="J27" s="160" t="s">
        <v>1506</v>
      </c>
      <c r="K27" s="70"/>
    </row>
    <row r="28" spans="1:14" s="2" customFormat="1" x14ac:dyDescent="0.2">
      <c r="A28" s="26" t="s">
        <v>1</v>
      </c>
      <c r="B28" s="27" t="s">
        <v>2</v>
      </c>
      <c r="C28" s="5"/>
      <c r="D28" s="6" t="s">
        <v>3</v>
      </c>
      <c r="E28" s="7" t="s">
        <v>4</v>
      </c>
      <c r="F28" s="7" t="s">
        <v>5</v>
      </c>
      <c r="G28" s="1"/>
      <c r="H28" s="159"/>
      <c r="I28" s="160">
        <v>48786910.969999999</v>
      </c>
      <c r="J28" s="160" t="s">
        <v>1507</v>
      </c>
      <c r="K28" s="70" t="s">
        <v>1512</v>
      </c>
    </row>
    <row r="29" spans="1:14" s="2" customFormat="1" x14ac:dyDescent="0.2">
      <c r="A29" s="89">
        <v>45233</v>
      </c>
      <c r="B29" s="128" t="s">
        <v>11</v>
      </c>
      <c r="C29" s="29" t="s">
        <v>7</v>
      </c>
      <c r="D29" s="25"/>
      <c r="E29" s="31"/>
      <c r="F29" s="2">
        <v>54538122.860000059</v>
      </c>
      <c r="G29" s="23"/>
      <c r="H29" s="159" t="s">
        <v>1505</v>
      </c>
      <c r="I29" s="160">
        <f>+I27-I28</f>
        <v>51213089.030000001</v>
      </c>
      <c r="J29" s="160"/>
      <c r="K29" s="70"/>
    </row>
    <row r="30" spans="1:14" s="2" customFormat="1" x14ac:dyDescent="0.2">
      <c r="A30" s="89">
        <v>45233</v>
      </c>
      <c r="B30" s="128" t="s">
        <v>6</v>
      </c>
      <c r="C30" s="10" t="s">
        <v>1264</v>
      </c>
      <c r="D30" s="11" t="s">
        <v>13</v>
      </c>
      <c r="E30" s="86">
        <v>2263393.84</v>
      </c>
      <c r="F30" s="70"/>
      <c r="G30" s="1"/>
      <c r="N30" s="1"/>
    </row>
    <row r="31" spans="1:14" s="2" customFormat="1" x14ac:dyDescent="0.2">
      <c r="A31" s="89">
        <v>45233</v>
      </c>
      <c r="B31" s="128" t="s">
        <v>6</v>
      </c>
      <c r="C31" s="10" t="s">
        <v>625</v>
      </c>
      <c r="D31" s="11" t="s">
        <v>13</v>
      </c>
      <c r="E31" s="86">
        <v>3704632</v>
      </c>
      <c r="F31" s="70"/>
      <c r="G31" s="1"/>
      <c r="N31" s="1"/>
    </row>
    <row r="32" spans="1:14" s="2" customFormat="1" x14ac:dyDescent="0.2">
      <c r="A32" s="89">
        <v>45233</v>
      </c>
      <c r="B32" s="128" t="s">
        <v>6</v>
      </c>
      <c r="C32" s="10" t="s">
        <v>381</v>
      </c>
      <c r="D32" s="11" t="s">
        <v>13</v>
      </c>
      <c r="E32" s="86">
        <v>77070</v>
      </c>
      <c r="F32" s="70"/>
      <c r="G32" s="1"/>
      <c r="N32" s="1"/>
    </row>
    <row r="33" spans="1:14" s="2" customFormat="1" x14ac:dyDescent="0.2">
      <c r="A33" s="89">
        <v>45233</v>
      </c>
      <c r="B33" s="128" t="s">
        <v>6</v>
      </c>
      <c r="C33" s="10" t="s">
        <v>915</v>
      </c>
      <c r="D33" s="11" t="s">
        <v>13</v>
      </c>
      <c r="E33" s="86">
        <v>88922</v>
      </c>
      <c r="F33" s="70"/>
      <c r="G33" s="1"/>
      <c r="N33" s="1"/>
    </row>
    <row r="34" spans="1:14" s="2" customFormat="1" x14ac:dyDescent="0.2">
      <c r="A34" s="89">
        <v>45233</v>
      </c>
      <c r="B34" s="128" t="s">
        <v>6</v>
      </c>
      <c r="C34" s="10" t="s">
        <v>1742</v>
      </c>
      <c r="D34" s="11" t="s">
        <v>13</v>
      </c>
      <c r="E34" s="86">
        <v>26250</v>
      </c>
      <c r="F34" s="70"/>
      <c r="G34" s="1"/>
      <c r="N34" s="1"/>
    </row>
    <row r="35" spans="1:14" s="2" customFormat="1" x14ac:dyDescent="0.2">
      <c r="A35" s="89">
        <v>45233</v>
      </c>
      <c r="B35" s="128" t="s">
        <v>6</v>
      </c>
      <c r="C35" s="10" t="s">
        <v>765</v>
      </c>
      <c r="D35" s="11" t="s">
        <v>13</v>
      </c>
      <c r="E35" s="86">
        <v>1219252.54</v>
      </c>
      <c r="F35" s="70"/>
      <c r="G35" s="1"/>
      <c r="N35" s="1"/>
    </row>
    <row r="36" spans="1:14" s="2" customFormat="1" x14ac:dyDescent="0.2">
      <c r="A36" s="89">
        <v>45233</v>
      </c>
      <c r="B36" s="128" t="s">
        <v>6</v>
      </c>
      <c r="C36" s="10" t="s">
        <v>764</v>
      </c>
      <c r="D36" s="11" t="s">
        <v>13</v>
      </c>
      <c r="E36" s="86">
        <v>1126965.71</v>
      </c>
      <c r="F36" s="70"/>
      <c r="G36" s="1"/>
      <c r="N36" s="1"/>
    </row>
    <row r="37" spans="1:14" s="2" customFormat="1" x14ac:dyDescent="0.2">
      <c r="A37" s="89">
        <v>45233</v>
      </c>
      <c r="B37" s="128" t="s">
        <v>6</v>
      </c>
      <c r="C37" s="10" t="s">
        <v>146</v>
      </c>
      <c r="D37" s="11" t="s">
        <v>13</v>
      </c>
      <c r="E37" s="86">
        <v>89931.76</v>
      </c>
      <c r="F37" s="70"/>
      <c r="G37" s="1"/>
      <c r="N37" s="1"/>
    </row>
    <row r="38" spans="1:14" s="2" customFormat="1" x14ac:dyDescent="0.2">
      <c r="A38" s="89">
        <v>45233</v>
      </c>
      <c r="B38" s="128" t="s">
        <v>6</v>
      </c>
      <c r="C38" s="10" t="s">
        <v>378</v>
      </c>
      <c r="D38" s="11" t="s">
        <v>13</v>
      </c>
      <c r="E38" s="86">
        <v>893198</v>
      </c>
      <c r="F38" s="70"/>
      <c r="G38" s="1"/>
      <c r="N38" s="1"/>
    </row>
    <row r="39" spans="1:14" s="2" customFormat="1" x14ac:dyDescent="0.2">
      <c r="A39" s="89">
        <v>45233</v>
      </c>
      <c r="B39" s="128" t="s">
        <v>6</v>
      </c>
      <c r="C39" s="10" t="s">
        <v>120</v>
      </c>
      <c r="D39" s="11" t="s">
        <v>13</v>
      </c>
      <c r="E39" s="86">
        <v>174686</v>
      </c>
      <c r="F39" s="70"/>
      <c r="G39" s="1"/>
      <c r="N39" s="1"/>
    </row>
    <row r="40" spans="1:14" s="2" customFormat="1" x14ac:dyDescent="0.2">
      <c r="A40" s="89">
        <v>45233</v>
      </c>
      <c r="B40" s="128" t="s">
        <v>11</v>
      </c>
      <c r="C40" s="10" t="s">
        <v>64</v>
      </c>
      <c r="D40" s="11" t="s">
        <v>29</v>
      </c>
      <c r="E40" s="86"/>
      <c r="F40" s="70">
        <v>5312.36</v>
      </c>
      <c r="G40" s="1"/>
      <c r="N40" s="1"/>
    </row>
    <row r="41" spans="1:14" s="2" customFormat="1" x14ac:dyDescent="0.2">
      <c r="A41" s="89">
        <v>45233</v>
      </c>
      <c r="B41" s="128" t="s">
        <v>11</v>
      </c>
      <c r="C41" s="10" t="s">
        <v>352</v>
      </c>
      <c r="D41" s="11" t="s">
        <v>29</v>
      </c>
      <c r="E41" s="86"/>
      <c r="F41" s="70">
        <v>55638</v>
      </c>
      <c r="G41" s="1"/>
      <c r="N41" s="1"/>
    </row>
    <row r="42" spans="1:14" s="2" customFormat="1" x14ac:dyDescent="0.2">
      <c r="A42" s="89">
        <v>45233</v>
      </c>
      <c r="B42" s="128" t="s">
        <v>11</v>
      </c>
      <c r="C42" s="10" t="s">
        <v>1734</v>
      </c>
      <c r="D42" s="11" t="s">
        <v>29</v>
      </c>
      <c r="E42" s="86"/>
      <c r="F42" s="70">
        <v>567000</v>
      </c>
      <c r="G42" s="1"/>
      <c r="N42" s="1"/>
    </row>
    <row r="43" spans="1:14" s="2" customFormat="1" x14ac:dyDescent="0.2">
      <c r="A43" s="89">
        <v>45233</v>
      </c>
      <c r="B43" s="128" t="s">
        <v>11</v>
      </c>
      <c r="C43" s="10" t="s">
        <v>207</v>
      </c>
      <c r="D43" s="11" t="s">
        <v>29</v>
      </c>
      <c r="E43" s="86"/>
      <c r="F43" s="70">
        <v>222560</v>
      </c>
      <c r="G43" s="1"/>
      <c r="N43" s="1"/>
    </row>
    <row r="44" spans="1:14" s="2" customFormat="1" x14ac:dyDescent="0.2">
      <c r="A44" s="89">
        <v>45233</v>
      </c>
      <c r="B44" s="128" t="s">
        <v>11</v>
      </c>
      <c r="C44" s="10" t="s">
        <v>186</v>
      </c>
      <c r="D44" s="11" t="s">
        <v>29</v>
      </c>
      <c r="E44" s="86"/>
      <c r="F44" s="70">
        <v>626616</v>
      </c>
      <c r="G44" s="1"/>
      <c r="N44" s="1"/>
    </row>
    <row r="45" spans="1:14" s="2" customFormat="1" x14ac:dyDescent="0.2">
      <c r="A45" s="89">
        <v>45233</v>
      </c>
      <c r="B45" s="128" t="s">
        <v>11</v>
      </c>
      <c r="C45" s="10" t="s">
        <v>206</v>
      </c>
      <c r="D45" s="11" t="s">
        <v>29</v>
      </c>
      <c r="E45" s="86"/>
      <c r="F45" s="70">
        <v>847542</v>
      </c>
      <c r="G45" s="1"/>
      <c r="N45" s="1"/>
    </row>
    <row r="46" spans="1:14" s="2" customFormat="1" x14ac:dyDescent="0.2">
      <c r="A46" s="89">
        <v>45233</v>
      </c>
      <c r="B46" s="128" t="s">
        <v>11</v>
      </c>
      <c r="C46" s="10" t="s">
        <v>588</v>
      </c>
      <c r="D46" s="11" t="s">
        <v>29</v>
      </c>
      <c r="E46" s="86"/>
      <c r="F46" s="70">
        <v>163746</v>
      </c>
      <c r="G46" s="1"/>
      <c r="N46" s="1"/>
    </row>
    <row r="47" spans="1:14" s="2" customFormat="1" x14ac:dyDescent="0.2">
      <c r="A47" s="89">
        <v>45233</v>
      </c>
      <c r="B47" s="128" t="s">
        <v>11</v>
      </c>
      <c r="C47" s="10" t="s">
        <v>918</v>
      </c>
      <c r="D47" s="11" t="s">
        <v>29</v>
      </c>
      <c r="E47" s="86"/>
      <c r="F47" s="70">
        <v>153400</v>
      </c>
      <c r="G47" s="1"/>
      <c r="N47" s="1"/>
    </row>
    <row r="48" spans="1:14" s="2" customFormat="1" x14ac:dyDescent="0.2">
      <c r="A48" s="89">
        <v>45233</v>
      </c>
      <c r="B48" s="128" t="s">
        <v>11</v>
      </c>
      <c r="C48" s="10" t="s">
        <v>242</v>
      </c>
      <c r="D48" s="11" t="s">
        <v>29</v>
      </c>
      <c r="E48" s="86"/>
      <c r="F48" s="70">
        <v>14008.96</v>
      </c>
      <c r="G48" s="1"/>
      <c r="N48" s="1"/>
    </row>
    <row r="49" spans="1:14" s="2" customFormat="1" x14ac:dyDescent="0.2">
      <c r="A49" s="89">
        <v>45233</v>
      </c>
      <c r="B49" s="128" t="s">
        <v>11</v>
      </c>
      <c r="C49" s="10" t="s">
        <v>140</v>
      </c>
      <c r="D49" s="11" t="s">
        <v>29</v>
      </c>
      <c r="E49" s="86"/>
      <c r="F49" s="70">
        <v>977271.65</v>
      </c>
      <c r="G49" s="1"/>
      <c r="N49" s="1"/>
    </row>
    <row r="50" spans="1:14" s="2" customFormat="1" x14ac:dyDescent="0.2">
      <c r="A50" s="89">
        <v>45233</v>
      </c>
      <c r="B50" s="128" t="s">
        <v>11</v>
      </c>
      <c r="C50" s="10" t="s">
        <v>194</v>
      </c>
      <c r="D50" s="11" t="s">
        <v>29</v>
      </c>
      <c r="E50" s="86"/>
      <c r="F50" s="70">
        <v>604124</v>
      </c>
      <c r="G50" s="1"/>
      <c r="N50" s="1"/>
    </row>
    <row r="51" spans="1:14" s="2" customFormat="1" x14ac:dyDescent="0.2">
      <c r="A51" s="89">
        <v>45233</v>
      </c>
      <c r="B51" s="128" t="s">
        <v>11</v>
      </c>
      <c r="C51" s="10" t="s">
        <v>1140</v>
      </c>
      <c r="D51" s="11" t="s">
        <v>29</v>
      </c>
      <c r="E51" s="86"/>
      <c r="F51" s="70">
        <v>340270</v>
      </c>
      <c r="G51" s="1"/>
      <c r="N51" s="1"/>
    </row>
    <row r="52" spans="1:14" s="2" customFormat="1" x14ac:dyDescent="0.2">
      <c r="A52" s="89">
        <v>45233</v>
      </c>
      <c r="B52" s="128" t="s">
        <v>11</v>
      </c>
      <c r="C52" s="10" t="s">
        <v>790</v>
      </c>
      <c r="D52" s="11" t="s">
        <v>29</v>
      </c>
      <c r="E52" s="86"/>
      <c r="F52" s="70">
        <v>2005185.76</v>
      </c>
      <c r="G52" s="1"/>
      <c r="N52" s="1"/>
    </row>
    <row r="53" spans="1:14" s="2" customFormat="1" x14ac:dyDescent="0.2">
      <c r="A53" s="89">
        <v>45233</v>
      </c>
      <c r="B53" s="128" t="s">
        <v>11</v>
      </c>
      <c r="C53" s="10" t="s">
        <v>849</v>
      </c>
      <c r="D53" s="11" t="s">
        <v>29</v>
      </c>
      <c r="E53" s="86"/>
      <c r="F53" s="70">
        <v>495033</v>
      </c>
      <c r="G53" s="1"/>
      <c r="N53" s="1"/>
    </row>
    <row r="54" spans="1:14" s="2" customFormat="1" x14ac:dyDescent="0.2">
      <c r="A54" s="89">
        <v>45233</v>
      </c>
      <c r="B54" s="128" t="s">
        <v>11</v>
      </c>
      <c r="C54" s="10" t="s">
        <v>745</v>
      </c>
      <c r="D54" s="11" t="s">
        <v>29</v>
      </c>
      <c r="E54" s="86"/>
      <c r="F54" s="70">
        <v>1032846.5</v>
      </c>
      <c r="G54" s="1"/>
      <c r="N54" s="1"/>
    </row>
    <row r="55" spans="1:14" s="2" customFormat="1" x14ac:dyDescent="0.2">
      <c r="A55" s="89">
        <v>45233</v>
      </c>
      <c r="B55" s="128" t="s">
        <v>11</v>
      </c>
      <c r="C55" s="10" t="s">
        <v>193</v>
      </c>
      <c r="D55" s="11" t="s">
        <v>29</v>
      </c>
      <c r="E55" s="86"/>
      <c r="F55" s="70">
        <v>1097451</v>
      </c>
      <c r="G55" s="1"/>
      <c r="N55" s="1"/>
    </row>
    <row r="56" spans="1:14" s="2" customFormat="1" x14ac:dyDescent="0.2">
      <c r="A56" s="89">
        <v>45233</v>
      </c>
      <c r="B56" s="128" t="s">
        <v>11</v>
      </c>
      <c r="C56" s="10" t="s">
        <v>814</v>
      </c>
      <c r="D56" s="11" t="s">
        <v>29</v>
      </c>
      <c r="E56" s="86"/>
      <c r="F56" s="70">
        <v>338338</v>
      </c>
      <c r="G56" s="1"/>
      <c r="N56" s="1"/>
    </row>
    <row r="57" spans="1:14" s="2" customFormat="1" x14ac:dyDescent="0.2">
      <c r="A57" s="89">
        <v>45233</v>
      </c>
      <c r="B57" s="128" t="s">
        <v>11</v>
      </c>
      <c r="C57" s="10" t="s">
        <v>520</v>
      </c>
      <c r="D57" s="11" t="s">
        <v>29</v>
      </c>
      <c r="E57" s="86"/>
      <c r="F57" s="70">
        <v>883750</v>
      </c>
      <c r="G57" s="1"/>
      <c r="N57" s="1"/>
    </row>
    <row r="58" spans="1:14" s="2" customFormat="1" x14ac:dyDescent="0.2">
      <c r="A58" s="89">
        <v>45233</v>
      </c>
      <c r="B58" s="128" t="s">
        <v>11</v>
      </c>
      <c r="C58" s="10" t="s">
        <v>1058</v>
      </c>
      <c r="D58" s="11" t="s">
        <v>29</v>
      </c>
      <c r="E58" s="86"/>
      <c r="F58" s="70">
        <v>432695</v>
      </c>
      <c r="G58" s="1"/>
      <c r="N58" s="1"/>
    </row>
    <row r="59" spans="1:14" s="2" customFormat="1" x14ac:dyDescent="0.2">
      <c r="A59" s="89">
        <v>45233</v>
      </c>
      <c r="B59" s="128" t="s">
        <v>11</v>
      </c>
      <c r="C59" s="10" t="s">
        <v>300</v>
      </c>
      <c r="D59" s="11" t="s">
        <v>29</v>
      </c>
      <c r="E59" s="86"/>
      <c r="F59" s="70">
        <v>147665</v>
      </c>
      <c r="G59" s="1"/>
      <c r="N59" s="1"/>
    </row>
    <row r="60" spans="1:14" s="2" customFormat="1" x14ac:dyDescent="0.2">
      <c r="A60" s="89">
        <v>45233</v>
      </c>
      <c r="B60" s="128" t="s">
        <v>11</v>
      </c>
      <c r="C60" s="10" t="s">
        <v>138</v>
      </c>
      <c r="D60" s="11" t="s">
        <v>29</v>
      </c>
      <c r="E60" s="86"/>
      <c r="F60" s="70">
        <v>2234295</v>
      </c>
      <c r="G60" s="1"/>
      <c r="N60" s="1"/>
    </row>
    <row r="61" spans="1:14" s="2" customFormat="1" x14ac:dyDescent="0.2">
      <c r="A61" s="89">
        <v>45233</v>
      </c>
      <c r="B61" s="128" t="s">
        <v>11</v>
      </c>
      <c r="C61" s="10" t="s">
        <v>57</v>
      </c>
      <c r="D61" s="11" t="s">
        <v>29</v>
      </c>
      <c r="E61" s="86"/>
      <c r="F61" s="70">
        <v>7500000</v>
      </c>
      <c r="G61" s="1"/>
      <c r="N61" s="1"/>
    </row>
    <row r="62" spans="1:14" s="2" customFormat="1" x14ac:dyDescent="0.2">
      <c r="A62" s="89">
        <v>45233</v>
      </c>
      <c r="B62" s="128" t="s">
        <v>11</v>
      </c>
      <c r="C62" s="10" t="s">
        <v>199</v>
      </c>
      <c r="D62" s="11" t="s">
        <v>29</v>
      </c>
      <c r="E62" s="86"/>
      <c r="F62" s="70">
        <v>1339120</v>
      </c>
      <c r="G62" s="1"/>
      <c r="N62" s="1"/>
    </row>
    <row r="63" spans="1:14" s="2" customFormat="1" x14ac:dyDescent="0.2">
      <c r="A63" s="89">
        <v>45233</v>
      </c>
      <c r="B63" s="128" t="s">
        <v>11</v>
      </c>
      <c r="C63" s="10" t="s">
        <v>1403</v>
      </c>
      <c r="D63" s="11" t="s">
        <v>29</v>
      </c>
      <c r="E63" s="86"/>
      <c r="F63" s="70">
        <v>5011816</v>
      </c>
      <c r="G63" s="1"/>
      <c r="N63" s="1"/>
    </row>
    <row r="64" spans="1:14" s="2" customFormat="1" x14ac:dyDescent="0.2">
      <c r="A64" s="89">
        <v>45233</v>
      </c>
      <c r="B64" s="128" t="s">
        <v>11</v>
      </c>
      <c r="C64" s="10" t="s">
        <v>1131</v>
      </c>
      <c r="D64" s="11" t="s">
        <v>29</v>
      </c>
      <c r="E64" s="86"/>
      <c r="F64" s="70">
        <v>23959</v>
      </c>
      <c r="G64" s="1"/>
      <c r="N64" s="1"/>
    </row>
    <row r="65" spans="1:14" s="2" customFormat="1" x14ac:dyDescent="0.2">
      <c r="A65" s="89">
        <v>45233</v>
      </c>
      <c r="B65" s="128" t="s">
        <v>11</v>
      </c>
      <c r="C65" s="10" t="s">
        <v>1472</v>
      </c>
      <c r="D65" s="11" t="s">
        <v>29</v>
      </c>
      <c r="E65" s="86"/>
      <c r="F65" s="70">
        <v>92333</v>
      </c>
      <c r="G65" s="1"/>
      <c r="N65" s="1"/>
    </row>
    <row r="66" spans="1:14" s="2" customFormat="1" x14ac:dyDescent="0.2">
      <c r="A66" s="89">
        <v>45233</v>
      </c>
      <c r="B66" s="128" t="s">
        <v>11</v>
      </c>
      <c r="C66" s="10" t="s">
        <v>1701</v>
      </c>
      <c r="D66" s="11" t="s">
        <v>29</v>
      </c>
      <c r="E66" s="86"/>
      <c r="F66" s="70">
        <v>1199756</v>
      </c>
      <c r="G66" s="1"/>
      <c r="N66" s="1"/>
    </row>
    <row r="67" spans="1:14" s="2" customFormat="1" x14ac:dyDescent="0.2">
      <c r="A67" s="89">
        <v>45233</v>
      </c>
      <c r="B67" s="128" t="s">
        <v>11</v>
      </c>
      <c r="C67" s="10" t="s">
        <v>412</v>
      </c>
      <c r="D67" s="11" t="s">
        <v>29</v>
      </c>
      <c r="E67" s="86"/>
      <c r="F67" s="70">
        <v>2372560</v>
      </c>
      <c r="G67" s="1"/>
      <c r="N67" s="1"/>
    </row>
    <row r="68" spans="1:14" s="2" customFormat="1" x14ac:dyDescent="0.2">
      <c r="A68" s="89">
        <v>45233</v>
      </c>
      <c r="B68" s="128" t="s">
        <v>11</v>
      </c>
      <c r="C68" s="10" t="s">
        <v>1502</v>
      </c>
      <c r="D68" s="11" t="s">
        <v>29</v>
      </c>
      <c r="E68" s="86"/>
      <c r="F68" s="70">
        <v>196639</v>
      </c>
      <c r="G68" s="1"/>
      <c r="N68" s="1"/>
    </row>
    <row r="69" spans="1:14" s="2" customFormat="1" x14ac:dyDescent="0.2">
      <c r="A69" s="89">
        <v>45233</v>
      </c>
      <c r="B69" s="128" t="s">
        <v>11</v>
      </c>
      <c r="C69" s="10" t="s">
        <v>256</v>
      </c>
      <c r="D69" s="11" t="s">
        <v>29</v>
      </c>
      <c r="E69" s="86"/>
      <c r="F69" s="70">
        <v>347368</v>
      </c>
      <c r="G69" s="1"/>
      <c r="N69" s="1"/>
    </row>
    <row r="70" spans="1:14" s="2" customFormat="1" x14ac:dyDescent="0.2">
      <c r="A70" s="89">
        <v>45233</v>
      </c>
      <c r="B70" s="128" t="s">
        <v>11</v>
      </c>
      <c r="C70" s="10" t="s">
        <v>650</v>
      </c>
      <c r="D70" s="11" t="s">
        <v>29</v>
      </c>
      <c r="E70" s="86"/>
      <c r="F70" s="70">
        <v>704777</v>
      </c>
      <c r="G70" s="1"/>
      <c r="N70" s="1"/>
    </row>
    <row r="71" spans="1:14" s="2" customFormat="1" x14ac:dyDescent="0.2">
      <c r="A71" s="89">
        <v>45233</v>
      </c>
      <c r="B71" s="128" t="s">
        <v>11</v>
      </c>
      <c r="C71" s="10" t="s">
        <v>188</v>
      </c>
      <c r="D71" s="11" t="s">
        <v>29</v>
      </c>
      <c r="E71" s="86"/>
      <c r="F71" s="70">
        <v>167372</v>
      </c>
      <c r="G71" s="1"/>
      <c r="N71" s="1"/>
    </row>
    <row r="72" spans="1:14" s="2" customFormat="1" x14ac:dyDescent="0.2">
      <c r="A72" s="32"/>
      <c r="B72" s="33"/>
      <c r="C72" s="14"/>
      <c r="D72" s="34"/>
      <c r="E72" s="16">
        <f>SUM(E29:E71)</f>
        <v>9664301.8499999996</v>
      </c>
      <c r="F72" s="16">
        <f>SUM(F29:F71)</f>
        <v>86738571.090000063</v>
      </c>
      <c r="G72" s="1"/>
      <c r="H72" s="1"/>
      <c r="I72" s="38">
        <v>77074269.239999995</v>
      </c>
      <c r="K72" s="92">
        <f>E73-I72</f>
        <v>0</v>
      </c>
      <c r="N72" s="1"/>
    </row>
    <row r="73" spans="1:14" s="2" customFormat="1" x14ac:dyDescent="0.2">
      <c r="A73" s="36"/>
      <c r="B73" s="28" t="s">
        <v>11</v>
      </c>
      <c r="C73" s="19" t="s">
        <v>65</v>
      </c>
      <c r="D73" s="37"/>
      <c r="E73" s="38">
        <f>F72-E72</f>
        <v>77074269.240000069</v>
      </c>
      <c r="F73" s="22"/>
      <c r="G73" s="1"/>
      <c r="H73" s="1"/>
      <c r="I73" s="70"/>
      <c r="J73" s="70"/>
      <c r="K73" s="70"/>
      <c r="N73" s="1"/>
    </row>
    <row r="74" spans="1:14" s="2" customFormat="1" x14ac:dyDescent="0.2">
      <c r="A74" s="36"/>
      <c r="B74" s="28" t="s">
        <v>66</v>
      </c>
      <c r="C74" s="19" t="s">
        <v>67</v>
      </c>
      <c r="D74" s="37"/>
      <c r="E74" s="38">
        <v>6500000</v>
      </c>
      <c r="F74" s="22"/>
      <c r="G74" s="1"/>
      <c r="H74" s="70"/>
      <c r="I74" s="70"/>
      <c r="J74" s="70"/>
      <c r="K74" s="70"/>
      <c r="N74" s="1"/>
    </row>
    <row r="75" spans="1:14" s="2" customFormat="1" x14ac:dyDescent="0.2">
      <c r="A75" s="36"/>
      <c r="B75" s="28" t="s">
        <v>66</v>
      </c>
      <c r="C75" s="43" t="s">
        <v>1457</v>
      </c>
      <c r="D75" s="43"/>
      <c r="E75" s="12">
        <f>275000000+75000000+50000000</f>
        <v>400000000</v>
      </c>
      <c r="F75" s="22"/>
      <c r="G75" s="1"/>
      <c r="H75" s="70"/>
      <c r="I75" s="45">
        <v>650.54999999999995</v>
      </c>
      <c r="J75" s="46"/>
      <c r="K75" s="46"/>
      <c r="N75" s="1"/>
    </row>
    <row r="76" spans="1:14" s="2" customFormat="1" ht="15" x14ac:dyDescent="0.25">
      <c r="A76" s="36"/>
      <c r="B76" s="28"/>
      <c r="C76" s="44" t="s">
        <v>1541</v>
      </c>
      <c r="D76" s="43"/>
      <c r="E76" s="7">
        <f>+E75+E73+E74</f>
        <v>483574269.24000007</v>
      </c>
      <c r="F76" s="22"/>
      <c r="G76" s="1"/>
      <c r="H76" s="103" t="s">
        <v>69</v>
      </c>
      <c r="I76" s="45">
        <v>0.78</v>
      </c>
      <c r="J76" s="46"/>
      <c r="K76" s="46"/>
      <c r="N76" s="1"/>
    </row>
    <row r="77" spans="1:14" s="2" customFormat="1" ht="15" x14ac:dyDescent="0.25">
      <c r="A77" s="24"/>
      <c r="B77" s="1"/>
      <c r="C77" s="44" t="s">
        <v>1510</v>
      </c>
      <c r="D77" s="25"/>
      <c r="E77" s="156">
        <f>+I29-E74+H25-I25</f>
        <v>16425730.760000002</v>
      </c>
      <c r="G77" s="1"/>
      <c r="H77" s="35" t="s">
        <v>70</v>
      </c>
      <c r="I77" s="45">
        <v>0</v>
      </c>
      <c r="J77" s="46">
        <f>+I78-D80</f>
        <v>0</v>
      </c>
      <c r="N77" s="1"/>
    </row>
    <row r="78" spans="1:14" s="124" customFormat="1" ht="12.75" customHeight="1" x14ac:dyDescent="0.2">
      <c r="A78" s="24"/>
      <c r="B78" s="1"/>
      <c r="C78" s="56"/>
      <c r="D78" s="56"/>
      <c r="E78" s="104"/>
      <c r="F78" s="2"/>
      <c r="G78" s="166"/>
      <c r="H78" s="70"/>
      <c r="I78" s="49">
        <f>SUM(I75:I77)</f>
        <v>651.32999999999993</v>
      </c>
      <c r="J78" s="46"/>
      <c r="K78" s="46"/>
    </row>
    <row r="79" spans="1:14" s="124" customFormat="1" ht="12.75" customHeight="1" x14ac:dyDescent="0.2">
      <c r="A79" s="24"/>
      <c r="B79" s="1"/>
      <c r="C79" s="78" t="s">
        <v>575</v>
      </c>
      <c r="D79" s="48" t="s">
        <v>576</v>
      </c>
      <c r="E79" s="104"/>
      <c r="F79" s="2"/>
      <c r="G79" s="168"/>
      <c r="H79" s="167"/>
      <c r="I79" s="167"/>
      <c r="J79" s="168"/>
    </row>
    <row r="80" spans="1:14" s="124" customFormat="1" ht="12.75" customHeight="1" x14ac:dyDescent="0.2">
      <c r="A80" s="24"/>
      <c r="B80" s="1"/>
      <c r="C80" s="47" t="s">
        <v>570</v>
      </c>
      <c r="D80" s="111">
        <v>651.33000000000004</v>
      </c>
      <c r="E80" s="104"/>
      <c r="F80" s="2"/>
      <c r="G80" s="168"/>
      <c r="H80" s="110" t="s">
        <v>581</v>
      </c>
      <c r="I80" s="167"/>
      <c r="J80" s="168"/>
    </row>
    <row r="81" spans="1:13" s="124" customFormat="1" ht="12.75" customHeight="1" x14ac:dyDescent="0.2">
      <c r="A81" s="24"/>
      <c r="B81" s="1"/>
      <c r="C81" s="47" t="s">
        <v>931</v>
      </c>
      <c r="D81" s="111">
        <v>3.02</v>
      </c>
      <c r="E81" s="104"/>
      <c r="F81" s="2"/>
      <c r="G81" s="168"/>
      <c r="H81" s="110" t="s">
        <v>580</v>
      </c>
      <c r="I81" s="167"/>
      <c r="J81" s="168"/>
    </row>
    <row r="82" spans="1:13" s="124" customFormat="1" ht="12.75" customHeight="1" x14ac:dyDescent="0.2">
      <c r="A82" s="24"/>
      <c r="B82" s="1"/>
      <c r="C82" s="47" t="s">
        <v>572</v>
      </c>
      <c r="D82" s="111">
        <f>+D99/100000</f>
        <v>5.6755000000000004</v>
      </c>
      <c r="E82" s="104"/>
      <c r="F82" s="2"/>
      <c r="G82" s="166"/>
      <c r="H82" s="90" t="s">
        <v>587</v>
      </c>
      <c r="I82" s="167"/>
      <c r="J82" s="168"/>
    </row>
    <row r="83" spans="1:13" s="2" customFormat="1" x14ac:dyDescent="0.2">
      <c r="A83" s="24"/>
      <c r="B83" s="1"/>
      <c r="C83" s="108" t="s">
        <v>578</v>
      </c>
      <c r="D83" s="48">
        <f>SUM(D80:D82)</f>
        <v>660.02550000000008</v>
      </c>
      <c r="E83" s="104"/>
      <c r="G83" s="30"/>
      <c r="I83" s="13"/>
      <c r="J83" s="13"/>
    </row>
    <row r="84" spans="1:13" s="70" customFormat="1" x14ac:dyDescent="0.2">
      <c r="A84" s="24"/>
      <c r="B84" s="1"/>
      <c r="C84" s="47"/>
      <c r="D84" s="107"/>
      <c r="E84" s="104"/>
      <c r="F84" s="2"/>
      <c r="G84" s="30"/>
      <c r="H84" s="2"/>
    </row>
    <row r="85" spans="1:13" s="70" customFormat="1" x14ac:dyDescent="0.2">
      <c r="A85" s="24"/>
      <c r="B85" s="1"/>
      <c r="C85" s="47" t="s">
        <v>932</v>
      </c>
      <c r="D85" s="111">
        <v>0</v>
      </c>
      <c r="E85" s="104"/>
      <c r="F85" s="2"/>
      <c r="G85" s="30"/>
      <c r="H85" s="110" t="s">
        <v>581</v>
      </c>
    </row>
    <row r="86" spans="1:13" s="70" customFormat="1" x14ac:dyDescent="0.2">
      <c r="A86" s="24"/>
      <c r="B86" s="1"/>
      <c r="C86" s="136" t="s">
        <v>1142</v>
      </c>
      <c r="D86" s="111">
        <v>24.01</v>
      </c>
      <c r="E86" s="104"/>
      <c r="F86" s="2"/>
      <c r="G86" s="30"/>
      <c r="H86" s="110" t="s">
        <v>581</v>
      </c>
    </row>
    <row r="87" spans="1:13" s="70" customFormat="1" x14ac:dyDescent="0.2">
      <c r="A87" s="24"/>
      <c r="B87" s="1"/>
      <c r="C87" s="78" t="s">
        <v>579</v>
      </c>
      <c r="D87" s="109">
        <f>D85+D86</f>
        <v>24.01</v>
      </c>
      <c r="E87" s="104"/>
      <c r="F87" s="2"/>
      <c r="G87" s="30"/>
    </row>
    <row r="88" spans="1:13" s="70" customFormat="1" x14ac:dyDescent="0.2">
      <c r="A88" s="24"/>
      <c r="B88" s="1"/>
      <c r="C88" s="105"/>
      <c r="D88" s="106"/>
      <c r="E88" s="104"/>
      <c r="F88" s="2"/>
      <c r="G88" s="30"/>
      <c r="I88" s="2"/>
      <c r="J88" s="114" t="s">
        <v>713</v>
      </c>
      <c r="K88" s="2"/>
      <c r="L88" s="2"/>
      <c r="M88" s="2"/>
    </row>
    <row r="89" spans="1:13" s="70" customFormat="1" x14ac:dyDescent="0.2">
      <c r="A89" s="24"/>
      <c r="B89" s="1"/>
      <c r="C89" s="78" t="s">
        <v>577</v>
      </c>
      <c r="D89" s="109">
        <f>D80+D87</f>
        <v>675.34</v>
      </c>
      <c r="E89" s="104"/>
      <c r="F89" s="2"/>
      <c r="G89" s="30"/>
      <c r="I89" s="113"/>
      <c r="J89" s="113" t="s">
        <v>709</v>
      </c>
      <c r="K89" s="113" t="s">
        <v>710</v>
      </c>
      <c r="L89" s="113" t="s">
        <v>711</v>
      </c>
      <c r="M89" s="113" t="s">
        <v>712</v>
      </c>
    </row>
    <row r="90" spans="1:13" s="70" customFormat="1" x14ac:dyDescent="0.2">
      <c r="A90" s="24"/>
      <c r="B90" s="1"/>
      <c r="C90" s="56"/>
      <c r="D90" s="56"/>
      <c r="E90" s="104"/>
      <c r="F90" s="2"/>
      <c r="G90" s="30"/>
      <c r="I90" s="113" t="s">
        <v>706</v>
      </c>
      <c r="J90" s="115"/>
      <c r="K90" s="115">
        <v>968.99</v>
      </c>
      <c r="L90" s="115">
        <v>968.99</v>
      </c>
      <c r="M90" s="113">
        <f>+J90+L90-K90</f>
        <v>0</v>
      </c>
    </row>
    <row r="91" spans="1:13" s="70" customFormat="1" ht="38.25" x14ac:dyDescent="0.2">
      <c r="A91" s="24"/>
      <c r="B91" s="1"/>
      <c r="C91" s="79" t="str">
        <f>"Particulars ( 01-04-2021 to "&amp;TEXT(A5,"dd-mm-yyyy")&amp;" )"</f>
        <v>Particulars ( 01-04-2021 to 03-11-2023 )</v>
      </c>
      <c r="D91" s="80" t="s">
        <v>73</v>
      </c>
      <c r="E91" s="80" t="s">
        <v>74</v>
      </c>
      <c r="F91" s="81" t="s">
        <v>75</v>
      </c>
      <c r="G91" s="80" t="s">
        <v>76</v>
      </c>
      <c r="I91" s="113" t="s">
        <v>707</v>
      </c>
      <c r="J91" s="115">
        <v>183.1</v>
      </c>
      <c r="K91" s="115">
        <v>3897.33</v>
      </c>
      <c r="L91" s="115">
        <v>4120.1499999999996</v>
      </c>
      <c r="M91" s="113">
        <f>+J91+L91-K91</f>
        <v>405.92000000000007</v>
      </c>
    </row>
    <row r="92" spans="1:13" s="70" customFormat="1" x14ac:dyDescent="0.2">
      <c r="A92" s="24"/>
      <c r="B92" s="1"/>
      <c r="C92" s="50" t="s">
        <v>444</v>
      </c>
      <c r="D92" s="55">
        <f>+L90+L91+J91</f>
        <v>5272.24</v>
      </c>
      <c r="E92" s="55">
        <f>+K90+K91</f>
        <v>4866.32</v>
      </c>
      <c r="F92" s="55">
        <f>+D92-E92</f>
        <v>405.92000000000007</v>
      </c>
      <c r="G92" s="55">
        <f>1500-F92</f>
        <v>1094.08</v>
      </c>
      <c r="I92" s="113" t="s">
        <v>708</v>
      </c>
      <c r="J92" s="115">
        <v>1371.02</v>
      </c>
      <c r="K92" s="115">
        <v>14750.18</v>
      </c>
      <c r="L92" s="115">
        <v>14579.18</v>
      </c>
      <c r="M92" s="113">
        <f>+J92+L92-K92</f>
        <v>1200.0200000000004</v>
      </c>
    </row>
    <row r="93" spans="1:13" s="70" customFormat="1" ht="12.75" customHeight="1" x14ac:dyDescent="0.2">
      <c r="A93" s="24"/>
      <c r="B93" s="1"/>
      <c r="C93" s="50" t="s">
        <v>71</v>
      </c>
      <c r="D93" s="55">
        <f>+J92+L92</f>
        <v>15950.2</v>
      </c>
      <c r="E93" s="55">
        <f>+K92</f>
        <v>14750.18</v>
      </c>
      <c r="F93" s="55">
        <f>+D93-E93</f>
        <v>1200.0200000000004</v>
      </c>
      <c r="G93" s="55">
        <f>1500+700-F93</f>
        <v>999.97999999999956</v>
      </c>
      <c r="I93" s="2"/>
      <c r="J93" s="118">
        <f>SUM(J90:J92)</f>
        <v>1554.12</v>
      </c>
      <c r="K93" s="118">
        <f>SUM(K90:K92)</f>
        <v>19616.5</v>
      </c>
      <c r="L93" s="118">
        <f>SUM(L90:L92)</f>
        <v>19668.32</v>
      </c>
      <c r="M93" s="118">
        <f>SUM(M90:M92)</f>
        <v>1605.9400000000005</v>
      </c>
    </row>
    <row r="94" spans="1:13" s="70" customFormat="1" ht="12.75" customHeight="1" x14ac:dyDescent="0.2">
      <c r="A94" s="24"/>
      <c r="B94" s="1"/>
      <c r="C94" s="14"/>
      <c r="D94" s="56"/>
      <c r="E94" s="13"/>
      <c r="F94" s="2"/>
      <c r="G94" s="30"/>
    </row>
    <row r="95" spans="1:13" s="70" customFormat="1" ht="12.75" customHeight="1" x14ac:dyDescent="0.2">
      <c r="A95" s="215" t="s">
        <v>80</v>
      </c>
      <c r="B95" s="216"/>
      <c r="C95" s="216"/>
      <c r="D95" s="217"/>
      <c r="E95" s="69"/>
      <c r="G95" s="30"/>
    </row>
    <row r="96" spans="1:13" s="70" customFormat="1" ht="12.75" customHeight="1" x14ac:dyDescent="0.2">
      <c r="A96" s="71" t="s">
        <v>81</v>
      </c>
      <c r="B96" s="71"/>
      <c r="C96" s="72" t="s">
        <v>82</v>
      </c>
      <c r="D96" s="73" t="s">
        <v>83</v>
      </c>
      <c r="E96" s="69"/>
      <c r="G96" s="30"/>
    </row>
    <row r="97" spans="1:14" s="70" customFormat="1" ht="12.75" customHeight="1" x14ac:dyDescent="0.2">
      <c r="A97" s="87">
        <v>45232</v>
      </c>
      <c r="B97" s="120" t="s">
        <v>6</v>
      </c>
      <c r="C97" s="75" t="s">
        <v>767</v>
      </c>
      <c r="D97" s="88">
        <v>515100</v>
      </c>
      <c r="E97" s="2"/>
      <c r="F97" s="2"/>
      <c r="G97" s="30"/>
      <c r="H97" s="2"/>
      <c r="I97" s="2"/>
      <c r="J97" s="2"/>
      <c r="K97" s="2"/>
      <c r="L97" s="41"/>
      <c r="M97" s="42"/>
      <c r="N97" s="2"/>
    </row>
    <row r="98" spans="1:14" s="70" customFormat="1" ht="12.75" customHeight="1" x14ac:dyDescent="0.2">
      <c r="A98" s="87">
        <v>45232</v>
      </c>
      <c r="B98" s="120" t="s">
        <v>6</v>
      </c>
      <c r="C98" s="75" t="s">
        <v>566</v>
      </c>
      <c r="D98" s="88">
        <v>52450</v>
      </c>
      <c r="E98" s="2"/>
      <c r="F98" s="2"/>
      <c r="G98" s="30"/>
      <c r="H98" s="2"/>
      <c r="I98" s="2"/>
      <c r="J98" s="2"/>
      <c r="K98" s="2"/>
      <c r="L98" s="41"/>
      <c r="M98" s="42"/>
      <c r="N98" s="2"/>
    </row>
    <row r="99" spans="1:14" s="2" customFormat="1" x14ac:dyDescent="0.2">
      <c r="A99" s="87"/>
      <c r="B99" s="74"/>
      <c r="C99" s="75"/>
      <c r="D99" s="51">
        <f>SUM(D97:D98)</f>
        <v>567550</v>
      </c>
      <c r="F99" s="2" t="s">
        <v>396</v>
      </c>
      <c r="G99" s="1"/>
    </row>
    <row r="100" spans="1:14" s="2" customFormat="1" x14ac:dyDescent="0.2">
      <c r="A100" s="24"/>
      <c r="B100" s="1"/>
      <c r="C100" s="14"/>
      <c r="D100" s="56"/>
      <c r="E100" s="13"/>
      <c r="G100" s="1"/>
    </row>
    <row r="101" spans="1:14" s="2" customFormat="1" x14ac:dyDescent="0.2">
      <c r="A101" s="24"/>
      <c r="B101" s="1"/>
      <c r="C101" s="218" t="s">
        <v>77</v>
      </c>
      <c r="D101" s="219"/>
      <c r="E101" s="219"/>
      <c r="F101" s="220"/>
      <c r="H101" s="2" t="s">
        <v>396</v>
      </c>
    </row>
    <row r="102" spans="1:14" s="2" customFormat="1" x14ac:dyDescent="0.2">
      <c r="A102" s="24"/>
      <c r="B102" s="1"/>
      <c r="C102" s="50"/>
      <c r="D102" s="57" t="s">
        <v>78</v>
      </c>
      <c r="E102" s="58" t="s">
        <v>79</v>
      </c>
      <c r="F102" s="57" t="s">
        <v>72</v>
      </c>
      <c r="H102" s="2" t="s">
        <v>396</v>
      </c>
    </row>
    <row r="103" spans="1:14" s="2" customFormat="1" x14ac:dyDescent="0.2">
      <c r="A103" s="24"/>
      <c r="B103" s="1"/>
      <c r="C103" s="59" t="str">
        <f>"01-11-2023 to "&amp;TEXT(A5-2,"dd-mm-yyyy")</f>
        <v>01-11-2023 to 01-11-2023</v>
      </c>
      <c r="D103" s="60">
        <v>117.14</v>
      </c>
      <c r="E103" s="60">
        <v>19.46</v>
      </c>
      <c r="F103" s="61">
        <f>SUM(D103:E103)</f>
        <v>136.6</v>
      </c>
    </row>
    <row r="104" spans="1:14" s="2" customFormat="1" x14ac:dyDescent="0.2">
      <c r="A104" s="24"/>
      <c r="B104" s="1"/>
      <c r="C104" s="62" t="str">
        <f>TEXT(A5-1,"dd-mm-yyyy")</f>
        <v>02-11-2023</v>
      </c>
      <c r="D104" s="60">
        <v>72.959999999999994</v>
      </c>
      <c r="E104" s="60">
        <v>11.59</v>
      </c>
      <c r="F104" s="61">
        <f>SUM(D104:E104)</f>
        <v>84.55</v>
      </c>
      <c r="G104" s="1"/>
      <c r="H104" s="53"/>
    </row>
    <row r="105" spans="1:14" s="2" customFormat="1" ht="13.5" thickBot="1" x14ac:dyDescent="0.25">
      <c r="A105" s="24"/>
      <c r="B105" s="1"/>
      <c r="C105" s="63" t="str">
        <f>"01-11-2023 to "&amp;TEXT(A5-1,"dd-mm-yyyy")</f>
        <v>01-11-2023 to 02-11-2023</v>
      </c>
      <c r="D105" s="64">
        <f>SUM(D103:D104)</f>
        <v>190.1</v>
      </c>
      <c r="E105" s="64">
        <f>SUM(E103:E104)</f>
        <v>31.05</v>
      </c>
      <c r="F105" s="64">
        <f>SUM(F103:F104)</f>
        <v>221.14999999999998</v>
      </c>
      <c r="G105" s="1"/>
      <c r="H105" s="53"/>
    </row>
    <row r="106" spans="1:14" s="2" customFormat="1" ht="13.5" thickTop="1" x14ac:dyDescent="0.2">
      <c r="A106" s="24"/>
      <c r="B106" s="1"/>
      <c r="C106" s="62"/>
      <c r="D106" s="65"/>
      <c r="E106" s="66"/>
      <c r="F106" s="67"/>
      <c r="L106" s="1"/>
      <c r="M106" s="1"/>
    </row>
    <row r="107" spans="1:14" s="2" customFormat="1" x14ac:dyDescent="0.2">
      <c r="A107" s="24"/>
      <c r="B107" s="1"/>
      <c r="C107" s="62" t="str">
        <f>"01-04-2023 to " &amp;C104</f>
        <v>01-04-2023 to 02-11-2023</v>
      </c>
      <c r="D107" s="68">
        <f>+D105+29842.21</f>
        <v>30032.309999999998</v>
      </c>
      <c r="E107" s="68">
        <f>+E105+2549.86</f>
        <v>2580.9100000000003</v>
      </c>
      <c r="F107" s="68">
        <f>+F105+32392.07</f>
        <v>32613.22</v>
      </c>
      <c r="G107" s="1"/>
      <c r="L107" s="1"/>
      <c r="M107" s="1"/>
    </row>
    <row r="108" spans="1:14" s="2" customFormat="1" x14ac:dyDescent="0.2">
      <c r="A108" s="24"/>
      <c r="B108" s="1"/>
      <c r="C108" s="52"/>
      <c r="D108" s="85"/>
      <c r="E108" s="53"/>
      <c r="F108" s="53"/>
      <c r="G108" s="1"/>
      <c r="L108" s="1"/>
      <c r="M108" s="1"/>
    </row>
    <row r="109" spans="1:14" s="2" customFormat="1" x14ac:dyDescent="0.2">
      <c r="A109" s="24"/>
      <c r="B109" s="1"/>
      <c r="C109" s="52"/>
      <c r="D109" s="85"/>
      <c r="E109" s="53"/>
      <c r="F109" s="53"/>
      <c r="G109" s="1"/>
      <c r="L109" s="1"/>
      <c r="M109" s="1"/>
    </row>
    <row r="110" spans="1:14" s="2" customFormat="1" x14ac:dyDescent="0.2">
      <c r="A110" s="24"/>
      <c r="B110" s="1"/>
      <c r="C110" s="52"/>
      <c r="D110" s="85"/>
      <c r="E110" s="53"/>
      <c r="F110" s="53"/>
      <c r="G110" s="1"/>
      <c r="L110" s="1"/>
      <c r="M110" s="1"/>
    </row>
    <row r="111" spans="1:14" s="2" customFormat="1" x14ac:dyDescent="0.2">
      <c r="A111" s="24"/>
      <c r="B111" s="1"/>
      <c r="C111" s="52"/>
      <c r="D111" s="85"/>
      <c r="E111" s="53"/>
      <c r="F111" s="53"/>
      <c r="G111" s="1"/>
      <c r="L111" s="1"/>
      <c r="M111" s="1"/>
    </row>
    <row r="112" spans="1:14" s="2" customFormat="1" x14ac:dyDescent="0.2">
      <c r="A112" s="24"/>
      <c r="B112" s="1"/>
      <c r="C112" s="14"/>
      <c r="D112" s="25"/>
      <c r="G112" s="1"/>
      <c r="L112" s="1"/>
      <c r="M112" s="1"/>
    </row>
    <row r="113" spans="1:13" s="2" customFormat="1" x14ac:dyDescent="0.2">
      <c r="A113" s="24"/>
      <c r="B113" s="1"/>
      <c r="C113" s="14"/>
      <c r="D113" s="25"/>
      <c r="G113" s="1"/>
      <c r="L113" s="1"/>
      <c r="M113" s="1"/>
    </row>
    <row r="114" spans="1:13" s="2" customFormat="1" x14ac:dyDescent="0.2">
      <c r="A114" s="24"/>
      <c r="B114" s="1"/>
      <c r="C114" s="14"/>
      <c r="D114" s="25"/>
      <c r="G114" s="1"/>
      <c r="L114" s="1"/>
      <c r="M114" s="1"/>
    </row>
    <row r="115" spans="1:13" s="2" customFormat="1" x14ac:dyDescent="0.2">
      <c r="A115" s="24"/>
      <c r="B115" s="1"/>
      <c r="C115" s="14"/>
      <c r="D115" s="25"/>
      <c r="G115" s="1"/>
      <c r="L115" s="1"/>
      <c r="M115" s="1"/>
    </row>
    <row r="116" spans="1:13" s="2" customFormat="1" x14ac:dyDescent="0.2">
      <c r="A116" s="24"/>
      <c r="B116" s="1"/>
      <c r="C116" s="14"/>
      <c r="D116" s="25"/>
      <c r="G116" s="1"/>
      <c r="L116" s="1"/>
      <c r="M116" s="1"/>
    </row>
    <row r="117" spans="1:13" s="2" customFormat="1" x14ac:dyDescent="0.2">
      <c r="A117" s="24"/>
      <c r="B117" s="1"/>
      <c r="C117" s="14"/>
      <c r="D117" s="25"/>
      <c r="G117" s="1"/>
      <c r="L117" s="1"/>
      <c r="M117" s="1"/>
    </row>
    <row r="118" spans="1:13" s="2" customFormat="1" x14ac:dyDescent="0.2">
      <c r="A118" s="24"/>
      <c r="B118" s="1"/>
      <c r="C118" s="14"/>
      <c r="D118" s="25"/>
      <c r="G118" s="1"/>
      <c r="L118" s="1"/>
      <c r="M118" s="1"/>
    </row>
    <row r="119" spans="1:13" s="2" customFormat="1" x14ac:dyDescent="0.2">
      <c r="A119" s="24"/>
      <c r="B119" s="1"/>
      <c r="C119" s="14"/>
      <c r="D119" s="25"/>
      <c r="G119" s="1"/>
      <c r="L119" s="1"/>
      <c r="M119" s="1"/>
    </row>
    <row r="120" spans="1:13" s="2" customFormat="1" x14ac:dyDescent="0.2">
      <c r="A120" s="24"/>
      <c r="B120" s="1"/>
      <c r="C120" s="14"/>
      <c r="D120" s="25"/>
      <c r="G120" s="1"/>
      <c r="L120" s="1"/>
      <c r="M120" s="1"/>
    </row>
    <row r="121" spans="1:13" s="2" customFormat="1" x14ac:dyDescent="0.2">
      <c r="A121" s="24"/>
      <c r="B121" s="1"/>
      <c r="C121" s="14"/>
      <c r="D121" s="25"/>
      <c r="G121" s="1"/>
      <c r="L121" s="1"/>
      <c r="M121" s="1"/>
    </row>
    <row r="122" spans="1:13" s="2" customFormat="1" x14ac:dyDescent="0.2">
      <c r="A122" s="24"/>
      <c r="B122" s="1"/>
      <c r="C122" s="14"/>
      <c r="D122" s="25"/>
      <c r="G122" s="1"/>
      <c r="L122" s="1"/>
      <c r="M122" s="1"/>
    </row>
    <row r="123" spans="1:13" s="2" customFormat="1" x14ac:dyDescent="0.2">
      <c r="A123" s="24"/>
      <c r="B123" s="1"/>
      <c r="C123" s="14"/>
      <c r="D123" s="25"/>
      <c r="G123" s="1"/>
      <c r="L123" s="1"/>
      <c r="M123" s="1"/>
    </row>
    <row r="124" spans="1:13" s="2" customFormat="1" x14ac:dyDescent="0.2">
      <c r="A124" s="24"/>
      <c r="B124" s="1"/>
      <c r="C124" s="14"/>
      <c r="D124" s="25"/>
      <c r="G124" s="1"/>
      <c r="L124" s="1"/>
      <c r="M124" s="1"/>
    </row>
    <row r="125" spans="1:13" s="2" customFormat="1" x14ac:dyDescent="0.2">
      <c r="A125" s="24"/>
      <c r="B125" s="1"/>
      <c r="C125" s="14"/>
      <c r="D125" s="25"/>
      <c r="G125" s="1"/>
      <c r="L125" s="1"/>
      <c r="M125" s="1"/>
    </row>
    <row r="126" spans="1:13" s="2" customFormat="1" x14ac:dyDescent="0.2">
      <c r="A126" s="24"/>
      <c r="B126" s="1"/>
      <c r="C126" s="14"/>
      <c r="D126" s="25"/>
      <c r="G126" s="1"/>
      <c r="I126" s="1"/>
      <c r="J126" s="1"/>
      <c r="K126" s="1"/>
      <c r="L126" s="1"/>
      <c r="M126" s="1"/>
    </row>
    <row r="127" spans="1:13" s="2" customFormat="1" x14ac:dyDescent="0.2">
      <c r="A127" s="24"/>
      <c r="B127" s="1"/>
      <c r="C127" s="14"/>
      <c r="D127" s="25"/>
      <c r="G127" s="1"/>
    </row>
    <row r="128" spans="1:13" s="2" customFormat="1" x14ac:dyDescent="0.2">
      <c r="A128" s="24"/>
      <c r="B128" s="1"/>
      <c r="C128" s="14"/>
      <c r="D128" s="25"/>
      <c r="G128" s="1"/>
      <c r="I128" s="1"/>
      <c r="J128" s="1"/>
      <c r="K128" s="1"/>
      <c r="L128" s="1"/>
      <c r="M128" s="1"/>
    </row>
    <row r="129" spans="1:14" s="2" customFormat="1" x14ac:dyDescent="0.2">
      <c r="A129" s="24"/>
      <c r="B129" s="1"/>
      <c r="C129" s="14"/>
      <c r="D129" s="25"/>
      <c r="G129" s="54"/>
      <c r="I129" s="1"/>
      <c r="J129" s="1"/>
      <c r="K129" s="1"/>
      <c r="L129" s="1"/>
      <c r="M129" s="1"/>
    </row>
    <row r="130" spans="1:14" s="2" customFormat="1" x14ac:dyDescent="0.2">
      <c r="A130" s="24"/>
      <c r="B130" s="1"/>
      <c r="C130" s="14"/>
      <c r="D130" s="25"/>
      <c r="G130" s="54"/>
      <c r="I130" s="1"/>
      <c r="J130" s="1"/>
      <c r="K130" s="1"/>
      <c r="L130" s="1"/>
      <c r="M130" s="1"/>
    </row>
    <row r="131" spans="1:14" s="2" customFormat="1" x14ac:dyDescent="0.2">
      <c r="A131" s="24"/>
      <c r="B131" s="1"/>
      <c r="C131" s="14"/>
      <c r="D131" s="25"/>
      <c r="G131" s="54"/>
      <c r="I131" s="1"/>
      <c r="J131" s="1"/>
      <c r="K131" s="1"/>
      <c r="L131" s="1"/>
      <c r="M131" s="1"/>
    </row>
    <row r="132" spans="1:14" s="2" customFormat="1" x14ac:dyDescent="0.2">
      <c r="A132" s="24"/>
      <c r="B132" s="1"/>
      <c r="C132" s="14"/>
      <c r="D132" s="25"/>
      <c r="G132" s="54"/>
      <c r="H132" s="2" t="s">
        <v>396</v>
      </c>
      <c r="I132" s="1"/>
      <c r="J132" s="1"/>
      <c r="K132" s="1"/>
      <c r="L132" s="1"/>
      <c r="M132" s="1"/>
      <c r="N132" s="1"/>
    </row>
    <row r="133" spans="1:14" s="2" customFormat="1" x14ac:dyDescent="0.2">
      <c r="A133" s="24"/>
      <c r="B133" s="1"/>
      <c r="C133" s="14"/>
      <c r="D133" s="25"/>
      <c r="G133" s="54"/>
      <c r="H133" s="53"/>
    </row>
    <row r="134" spans="1:14" s="2" customFormat="1" x14ac:dyDescent="0.2">
      <c r="A134" s="24"/>
      <c r="B134" s="1"/>
      <c r="C134" s="14"/>
      <c r="D134" s="25"/>
      <c r="G134" s="54"/>
      <c r="H134" s="53" t="s">
        <v>396</v>
      </c>
      <c r="I134" s="1"/>
      <c r="J134" s="1"/>
      <c r="K134" s="1"/>
      <c r="L134" s="1"/>
      <c r="M134" s="1"/>
      <c r="N134" s="1"/>
    </row>
    <row r="135" spans="1:14" x14ac:dyDescent="0.2">
      <c r="G135" s="54"/>
      <c r="H135" s="53" t="s">
        <v>396</v>
      </c>
      <c r="J135" s="42"/>
    </row>
    <row r="136" spans="1:14" s="2" customFormat="1" x14ac:dyDescent="0.2">
      <c r="A136" s="24"/>
      <c r="B136" s="1"/>
      <c r="C136" s="14"/>
      <c r="D136" s="25"/>
      <c r="G136" s="54"/>
      <c r="H136" s="53"/>
      <c r="I136" s="101"/>
      <c r="J136" s="1"/>
      <c r="K136" s="1"/>
      <c r="L136" s="1"/>
      <c r="M136" s="1"/>
      <c r="N136" s="1"/>
    </row>
    <row r="137" spans="1:14" x14ac:dyDescent="0.2">
      <c r="G137" s="54"/>
      <c r="H137" s="53"/>
    </row>
    <row r="138" spans="1:14" x14ac:dyDescent="0.2">
      <c r="G138" s="54"/>
      <c r="H138" s="53"/>
    </row>
    <row r="139" spans="1:14" x14ac:dyDescent="0.2">
      <c r="G139" s="54"/>
      <c r="H139" s="53"/>
    </row>
  </sheetData>
  <sheetProtection insertRows="0"/>
  <mergeCells count="6">
    <mergeCell ref="C101:F101"/>
    <mergeCell ref="A1:G1"/>
    <mergeCell ref="A3:F3"/>
    <mergeCell ref="A9:F9"/>
    <mergeCell ref="A27:F27"/>
    <mergeCell ref="A95:D95"/>
  </mergeCells>
  <conditionalFormatting sqref="G92:G93">
    <cfRule type="cellIs" dxfId="235" priority="1" operator="lessThan">
      <formula>0</formula>
    </cfRule>
  </conditionalFormatting>
  <conditionalFormatting sqref="C29">
    <cfRule type="duplicateValues" dxfId="234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D00-000000000000}">
  <sheetPr codeName="Sheet469">
    <pageSetUpPr fitToPage="1"/>
  </sheetPr>
  <dimension ref="A1:N139"/>
  <sheetViews>
    <sheetView topLeftCell="A40" zoomScaleNormal="100" workbookViewId="0">
      <selection activeCell="E39" sqref="E39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3" ht="20.25" customHeight="1" x14ac:dyDescent="0.4">
      <c r="A1" s="212" t="s">
        <v>1743</v>
      </c>
      <c r="B1" s="212"/>
      <c r="C1" s="212"/>
      <c r="D1" s="212"/>
      <c r="E1" s="212"/>
      <c r="F1" s="212"/>
      <c r="G1" s="212"/>
      <c r="H1" s="112"/>
      <c r="I1" s="112"/>
    </row>
    <row r="2" spans="1:13" ht="12.75" customHeight="1" x14ac:dyDescent="0.4">
      <c r="H2" s="112"/>
      <c r="I2" s="112"/>
    </row>
    <row r="3" spans="1:13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3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3" s="2" customFormat="1" ht="14.25" customHeight="1" x14ac:dyDescent="0.4">
      <c r="A5" s="89">
        <v>45234</v>
      </c>
      <c r="B5" s="9" t="s">
        <v>6</v>
      </c>
      <c r="C5" s="10" t="s">
        <v>7</v>
      </c>
      <c r="D5" s="11"/>
      <c r="E5" s="12">
        <v>861669.58000000229</v>
      </c>
      <c r="F5" s="12"/>
      <c r="G5" s="1"/>
      <c r="H5" s="112"/>
      <c r="I5" s="112"/>
    </row>
    <row r="6" spans="1:13" s="2" customFormat="1" ht="12.75" customHeight="1" x14ac:dyDescent="0.4">
      <c r="D6" s="15" t="s">
        <v>8</v>
      </c>
      <c r="E6" s="16">
        <f>SUM(E5:E5)</f>
        <v>861669.58000000229</v>
      </c>
      <c r="F6" s="16">
        <f>F5</f>
        <v>0</v>
      </c>
      <c r="G6" s="1"/>
      <c r="H6" s="112"/>
      <c r="I6" s="112"/>
    </row>
    <row r="7" spans="1:13" s="2" customFormat="1" ht="12.75" customHeight="1" x14ac:dyDescent="0.4">
      <c r="A7" s="17"/>
      <c r="B7" s="18"/>
      <c r="C7" s="19" t="s">
        <v>9</v>
      </c>
      <c r="D7" s="20"/>
      <c r="E7" s="21">
        <f>+E6-F6</f>
        <v>861669.58000000229</v>
      </c>
      <c r="F7" s="22"/>
      <c r="G7" s="23"/>
      <c r="H7" s="112"/>
      <c r="I7" s="112"/>
      <c r="J7" s="13"/>
    </row>
    <row r="8" spans="1:13" ht="12.75" customHeight="1" x14ac:dyDescent="0.4">
      <c r="H8" s="112"/>
      <c r="I8" s="112"/>
    </row>
    <row r="9" spans="1:13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69">
        <f>90000000-60000000</f>
        <v>30000000</v>
      </c>
      <c r="J9" s="169" t="s">
        <v>1508</v>
      </c>
    </row>
    <row r="10" spans="1:13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69">
        <v>24326452.670000002</v>
      </c>
      <c r="J10" s="169" t="s">
        <v>1509</v>
      </c>
      <c r="K10" s="124"/>
    </row>
    <row r="11" spans="1:13" s="2" customFormat="1" ht="14.25" customHeight="1" x14ac:dyDescent="0.2">
      <c r="A11" s="89">
        <v>45234</v>
      </c>
      <c r="B11" s="9" t="s">
        <v>6</v>
      </c>
      <c r="C11" s="10" t="s">
        <v>7</v>
      </c>
      <c r="D11" s="11"/>
      <c r="F11" s="12">
        <v>26790697.669999998</v>
      </c>
      <c r="G11" s="1"/>
      <c r="H11" s="130" t="s">
        <v>396</v>
      </c>
      <c r="I11" s="169">
        <f>+I9-I10</f>
        <v>5673547.3299999982</v>
      </c>
      <c r="J11" s="169" t="s">
        <v>712</v>
      </c>
      <c r="K11" s="165" t="s">
        <v>1512</v>
      </c>
    </row>
    <row r="12" spans="1:13" s="2" customFormat="1" ht="14.25" customHeight="1" x14ac:dyDescent="0.2">
      <c r="A12" s="89">
        <v>45234</v>
      </c>
      <c r="B12" s="9" t="s">
        <v>6</v>
      </c>
      <c r="C12" s="10" t="s">
        <v>1255</v>
      </c>
      <c r="D12" s="11" t="s">
        <v>13</v>
      </c>
      <c r="E12" s="2">
        <v>1500000</v>
      </c>
      <c r="F12" s="12"/>
      <c r="G12" s="1"/>
      <c r="H12" s="130"/>
      <c r="I12" s="169"/>
      <c r="J12" s="169"/>
      <c r="K12" s="165"/>
    </row>
    <row r="13" spans="1:13" s="2" customFormat="1" ht="14.25" customHeight="1" x14ac:dyDescent="0.2">
      <c r="A13" s="89">
        <v>45234</v>
      </c>
      <c r="B13" s="9" t="s">
        <v>6</v>
      </c>
      <c r="C13" s="10" t="s">
        <v>763</v>
      </c>
      <c r="D13" s="11" t="s">
        <v>13</v>
      </c>
      <c r="E13" s="2">
        <v>964245</v>
      </c>
      <c r="F13" s="12"/>
      <c r="G13" s="1"/>
      <c r="H13" s="130"/>
      <c r="I13" s="169"/>
      <c r="J13" s="169"/>
      <c r="K13" s="165"/>
    </row>
    <row r="14" spans="1:13" s="2" customFormat="1" ht="14.25" customHeight="1" x14ac:dyDescent="0.2">
      <c r="D14" s="11" t="s">
        <v>8</v>
      </c>
      <c r="E14" s="16">
        <f>SUM(E12:E13)</f>
        <v>2464245</v>
      </c>
      <c r="F14" s="16">
        <f>SUM(F11:F13)</f>
        <v>26790697.669999998</v>
      </c>
      <c r="G14" s="1"/>
      <c r="H14" s="143"/>
      <c r="I14" s="130"/>
      <c r="J14" s="143"/>
      <c r="K14" s="143"/>
      <c r="L14" s="143"/>
      <c r="M14" s="143"/>
    </row>
    <row r="15" spans="1:13" s="2" customFormat="1" ht="14.25" customHeight="1" x14ac:dyDescent="0.4">
      <c r="A15" s="17"/>
      <c r="B15" s="18"/>
      <c r="C15" s="96" t="s">
        <v>9</v>
      </c>
      <c r="D15" s="20"/>
      <c r="E15" s="21">
        <f>+F14-E14</f>
        <v>24326452.669999998</v>
      </c>
      <c r="G15" s="1"/>
      <c r="I15" s="112"/>
      <c r="J15" s="153" t="s">
        <v>779</v>
      </c>
    </row>
    <row r="16" spans="1:13" s="2" customFormat="1" ht="14.25" customHeight="1" x14ac:dyDescent="0.2">
      <c r="A16" s="36"/>
      <c r="B16" s="28" t="s">
        <v>66</v>
      </c>
      <c r="C16" s="43" t="s">
        <v>1458</v>
      </c>
      <c r="D16" s="43"/>
      <c r="E16" s="12">
        <f>30000000+60000000</f>
        <v>90000000</v>
      </c>
      <c r="F16" s="22"/>
      <c r="G16" s="1"/>
      <c r="I16" s="40">
        <v>24326452.670000002</v>
      </c>
      <c r="J16" s="154">
        <f>I16-E15</f>
        <v>0</v>
      </c>
    </row>
    <row r="17" spans="1:14" s="2" customFormat="1" ht="14.25" customHeight="1" x14ac:dyDescent="0.25">
      <c r="A17" s="36"/>
      <c r="B17" s="28"/>
      <c r="C17" s="44" t="s">
        <v>1541</v>
      </c>
      <c r="D17" s="43"/>
      <c r="E17" s="7">
        <f>+E15+E16</f>
        <v>114326452.67</v>
      </c>
      <c r="F17" s="22"/>
      <c r="G17" s="1"/>
      <c r="H17" s="13" t="s">
        <v>1582</v>
      </c>
      <c r="I17" s="13" t="s">
        <v>1583</v>
      </c>
    </row>
    <row r="18" spans="1:14" s="2" customFormat="1" ht="14.25" customHeight="1" x14ac:dyDescent="0.25">
      <c r="A18" s="36"/>
      <c r="B18" s="28"/>
      <c r="C18" s="44" t="s">
        <v>1511</v>
      </c>
      <c r="D18" s="43"/>
      <c r="E18" s="38">
        <f>+I11</f>
        <v>5673547.3299999982</v>
      </c>
      <c r="F18" s="22"/>
      <c r="G18" s="1"/>
      <c r="H18" s="2">
        <v>113720</v>
      </c>
      <c r="I18" s="2">
        <v>1269785</v>
      </c>
      <c r="J18" s="176">
        <f>H18-I18</f>
        <v>-1156065</v>
      </c>
    </row>
    <row r="19" spans="1:14" s="2" customFormat="1" ht="14.25" customHeight="1" x14ac:dyDescent="0.2">
      <c r="A19" s="24"/>
      <c r="B19" s="1"/>
      <c r="C19" s="14"/>
      <c r="D19" s="25"/>
      <c r="G19" s="1"/>
      <c r="I19" s="130"/>
      <c r="J19" s="130"/>
    </row>
    <row r="20" spans="1:14" s="2" customFormat="1" x14ac:dyDescent="0.2">
      <c r="A20" s="214" t="s">
        <v>10</v>
      </c>
      <c r="B20" s="214"/>
      <c r="C20" s="214"/>
      <c r="D20" s="214"/>
      <c r="E20" s="214"/>
      <c r="F20" s="214"/>
      <c r="G20" s="1"/>
      <c r="H20" s="159"/>
      <c r="I20" s="160">
        <f>225000000-75000000-50000000</f>
        <v>100000000</v>
      </c>
      <c r="J20" s="160" t="s">
        <v>1506</v>
      </c>
      <c r="K20" s="70"/>
    </row>
    <row r="21" spans="1:14" s="2" customFormat="1" x14ac:dyDescent="0.2">
      <c r="A21" s="26" t="s">
        <v>1</v>
      </c>
      <c r="B21" s="27" t="s">
        <v>2</v>
      </c>
      <c r="C21" s="5"/>
      <c r="D21" s="6" t="s">
        <v>3</v>
      </c>
      <c r="E21" s="7" t="s">
        <v>4</v>
      </c>
      <c r="F21" s="7" t="s">
        <v>5</v>
      </c>
      <c r="G21" s="1"/>
      <c r="H21" s="159"/>
      <c r="I21" s="160">
        <v>61620256.18</v>
      </c>
      <c r="J21" s="160" t="s">
        <v>1507</v>
      </c>
      <c r="K21" s="70" t="s">
        <v>1512</v>
      </c>
    </row>
    <row r="22" spans="1:14" s="2" customFormat="1" x14ac:dyDescent="0.2">
      <c r="A22" s="89">
        <v>45234</v>
      </c>
      <c r="B22" s="128" t="s">
        <v>11</v>
      </c>
      <c r="C22" s="29" t="s">
        <v>7</v>
      </c>
      <c r="D22" s="25"/>
      <c r="E22" s="31"/>
      <c r="F22" s="2">
        <v>77074269.240000069</v>
      </c>
      <c r="G22" s="23"/>
      <c r="H22" s="159" t="s">
        <v>1505</v>
      </c>
      <c r="I22" s="160">
        <f>+I20-I21</f>
        <v>38379743.82</v>
      </c>
      <c r="J22" s="160"/>
      <c r="K22" s="70"/>
    </row>
    <row r="23" spans="1:14" s="2" customFormat="1" x14ac:dyDescent="0.2">
      <c r="A23" s="89">
        <v>45234</v>
      </c>
      <c r="B23" s="128" t="s">
        <v>6</v>
      </c>
      <c r="C23" s="10" t="s">
        <v>120</v>
      </c>
      <c r="D23" s="11" t="s">
        <v>13</v>
      </c>
      <c r="E23" s="86">
        <v>12473</v>
      </c>
      <c r="F23" s="70"/>
      <c r="G23" s="1"/>
      <c r="N23" s="1"/>
    </row>
    <row r="24" spans="1:14" s="2" customFormat="1" x14ac:dyDescent="0.2">
      <c r="A24" s="89">
        <v>45234</v>
      </c>
      <c r="B24" s="128" t="s">
        <v>6</v>
      </c>
      <c r="C24" s="10" t="s">
        <v>1744</v>
      </c>
      <c r="D24" s="11" t="s">
        <v>13</v>
      </c>
      <c r="E24" s="86">
        <v>8878</v>
      </c>
      <c r="F24" s="70"/>
      <c r="G24" s="1"/>
      <c r="N24" s="1"/>
    </row>
    <row r="25" spans="1:14" s="2" customFormat="1" x14ac:dyDescent="0.2">
      <c r="A25" s="89">
        <v>45234</v>
      </c>
      <c r="B25" s="128" t="s">
        <v>6</v>
      </c>
      <c r="C25" s="10" t="s">
        <v>465</v>
      </c>
      <c r="D25" s="11" t="s">
        <v>13</v>
      </c>
      <c r="E25" s="86">
        <v>600000</v>
      </c>
      <c r="F25" s="70"/>
      <c r="G25" s="1"/>
      <c r="N25" s="1"/>
    </row>
    <row r="26" spans="1:14" s="2" customFormat="1" x14ac:dyDescent="0.2">
      <c r="A26" s="89">
        <v>45234</v>
      </c>
      <c r="B26" s="128" t="s">
        <v>6</v>
      </c>
      <c r="C26" s="10" t="s">
        <v>155</v>
      </c>
      <c r="D26" s="11" t="s">
        <v>13</v>
      </c>
      <c r="E26" s="86">
        <v>58755</v>
      </c>
      <c r="F26" s="70"/>
      <c r="G26" s="1"/>
      <c r="N26" s="1"/>
    </row>
    <row r="27" spans="1:14" s="2" customFormat="1" x14ac:dyDescent="0.2">
      <c r="A27" s="89">
        <v>45234</v>
      </c>
      <c r="B27" s="128" t="s">
        <v>6</v>
      </c>
      <c r="C27" s="10" t="s">
        <v>450</v>
      </c>
      <c r="D27" s="11" t="s">
        <v>13</v>
      </c>
      <c r="E27" s="86">
        <v>13910</v>
      </c>
      <c r="F27" s="70"/>
      <c r="G27" s="1"/>
      <c r="N27" s="1"/>
    </row>
    <row r="28" spans="1:14" s="2" customFormat="1" x14ac:dyDescent="0.2">
      <c r="A28" s="89">
        <v>45234</v>
      </c>
      <c r="B28" s="128" t="s">
        <v>6</v>
      </c>
      <c r="C28" s="10" t="s">
        <v>1246</v>
      </c>
      <c r="D28" s="11" t="s">
        <v>13</v>
      </c>
      <c r="E28" s="86">
        <v>100000</v>
      </c>
      <c r="F28" s="70"/>
      <c r="G28" s="1"/>
      <c r="N28" s="1"/>
    </row>
    <row r="29" spans="1:14" s="2" customFormat="1" x14ac:dyDescent="0.2">
      <c r="A29" s="89">
        <v>45234</v>
      </c>
      <c r="B29" s="128" t="s">
        <v>6</v>
      </c>
      <c r="C29" s="10" t="s">
        <v>15</v>
      </c>
      <c r="D29" s="11" t="s">
        <v>13</v>
      </c>
      <c r="E29" s="86">
        <v>4476.67</v>
      </c>
      <c r="F29" s="70"/>
      <c r="G29" s="1"/>
      <c r="N29" s="1"/>
    </row>
    <row r="30" spans="1:14" s="2" customFormat="1" x14ac:dyDescent="0.2">
      <c r="A30" s="89">
        <v>45234</v>
      </c>
      <c r="B30" s="128" t="s">
        <v>6</v>
      </c>
      <c r="C30" s="10" t="s">
        <v>27</v>
      </c>
      <c r="D30" s="11" t="s">
        <v>13</v>
      </c>
      <c r="E30" s="86">
        <v>127182.9</v>
      </c>
      <c r="F30" s="70"/>
      <c r="G30" s="1"/>
      <c r="N30" s="1"/>
    </row>
    <row r="31" spans="1:14" s="2" customFormat="1" x14ac:dyDescent="0.2">
      <c r="A31" s="89">
        <v>45234</v>
      </c>
      <c r="B31" s="128" t="s">
        <v>6</v>
      </c>
      <c r="C31" s="10" t="s">
        <v>297</v>
      </c>
      <c r="D31" s="11" t="s">
        <v>13</v>
      </c>
      <c r="E31" s="86">
        <v>1103</v>
      </c>
      <c r="F31" s="70"/>
      <c r="G31" s="1"/>
      <c r="N31" s="1"/>
    </row>
    <row r="32" spans="1:14" s="2" customFormat="1" x14ac:dyDescent="0.2">
      <c r="A32" s="89">
        <v>45234</v>
      </c>
      <c r="B32" s="128" t="s">
        <v>6</v>
      </c>
      <c r="C32" s="10" t="s">
        <v>1021</v>
      </c>
      <c r="D32" s="11" t="s">
        <v>13</v>
      </c>
      <c r="E32" s="86">
        <v>43624</v>
      </c>
      <c r="F32" s="70"/>
      <c r="G32" s="1"/>
      <c r="N32" s="1"/>
    </row>
    <row r="33" spans="1:14" s="2" customFormat="1" x14ac:dyDescent="0.2">
      <c r="A33" s="89">
        <v>45234</v>
      </c>
      <c r="B33" s="128" t="s">
        <v>6</v>
      </c>
      <c r="C33" s="10" t="s">
        <v>765</v>
      </c>
      <c r="D33" s="11" t="s">
        <v>13</v>
      </c>
      <c r="E33" s="86">
        <v>38105405.350000001</v>
      </c>
      <c r="F33" s="70"/>
      <c r="G33" s="1"/>
      <c r="N33" s="1"/>
    </row>
    <row r="34" spans="1:14" s="2" customFormat="1" x14ac:dyDescent="0.2">
      <c r="A34" s="89">
        <v>45234</v>
      </c>
      <c r="B34" s="128" t="s">
        <v>6</v>
      </c>
      <c r="C34" s="10" t="s">
        <v>1745</v>
      </c>
      <c r="D34" s="11" t="s">
        <v>13</v>
      </c>
      <c r="E34" s="86">
        <v>24798</v>
      </c>
      <c r="F34" s="70"/>
      <c r="G34" s="1"/>
      <c r="N34" s="1"/>
    </row>
    <row r="35" spans="1:14" s="2" customFormat="1" x14ac:dyDescent="0.2">
      <c r="A35" s="89">
        <v>45234</v>
      </c>
      <c r="B35" s="128" t="s">
        <v>6</v>
      </c>
      <c r="C35" s="10" t="s">
        <v>247</v>
      </c>
      <c r="D35" s="11" t="s">
        <v>13</v>
      </c>
      <c r="E35" s="86">
        <v>980000</v>
      </c>
      <c r="F35" s="70"/>
      <c r="G35" s="1"/>
      <c r="N35" s="1"/>
    </row>
    <row r="36" spans="1:14" s="2" customFormat="1" x14ac:dyDescent="0.2">
      <c r="A36" s="89">
        <v>45234</v>
      </c>
      <c r="B36" s="128" t="s">
        <v>6</v>
      </c>
      <c r="C36" s="10" t="s">
        <v>1721</v>
      </c>
      <c r="D36" s="11" t="s">
        <v>13</v>
      </c>
      <c r="E36" s="86">
        <v>4956</v>
      </c>
      <c r="F36" s="70"/>
      <c r="G36" s="1"/>
      <c r="N36" s="1"/>
    </row>
    <row r="37" spans="1:14" s="2" customFormat="1" x14ac:dyDescent="0.2">
      <c r="A37" s="89">
        <v>45234</v>
      </c>
      <c r="B37" s="128" t="s">
        <v>6</v>
      </c>
      <c r="C37" s="10" t="s">
        <v>565</v>
      </c>
      <c r="D37" s="11" t="s">
        <v>13</v>
      </c>
      <c r="E37" s="86">
        <v>200739</v>
      </c>
      <c r="F37" s="70"/>
      <c r="G37" s="1"/>
      <c r="N37" s="1"/>
    </row>
    <row r="38" spans="1:14" s="2" customFormat="1" x14ac:dyDescent="0.2">
      <c r="A38" s="89">
        <v>45234</v>
      </c>
      <c r="B38" s="128" t="s">
        <v>6</v>
      </c>
      <c r="C38" s="10" t="s">
        <v>1621</v>
      </c>
      <c r="D38" s="11" t="s">
        <v>13</v>
      </c>
      <c r="E38" s="86">
        <v>72041</v>
      </c>
      <c r="F38" s="70"/>
      <c r="G38" s="1"/>
      <c r="N38" s="1"/>
    </row>
    <row r="39" spans="1:14" s="2" customFormat="1" x14ac:dyDescent="0.2">
      <c r="A39" s="89">
        <v>45234</v>
      </c>
      <c r="B39" s="128" t="s">
        <v>6</v>
      </c>
      <c r="C39" s="10" t="s">
        <v>667</v>
      </c>
      <c r="D39" s="11" t="s">
        <v>13</v>
      </c>
      <c r="E39" s="86">
        <v>4140</v>
      </c>
      <c r="F39" s="70"/>
      <c r="G39" s="1"/>
      <c r="N39" s="1"/>
    </row>
    <row r="40" spans="1:14" s="2" customFormat="1" x14ac:dyDescent="0.2">
      <c r="A40" s="89">
        <v>45234</v>
      </c>
      <c r="B40" s="128" t="s">
        <v>11</v>
      </c>
      <c r="C40" s="10" t="s">
        <v>64</v>
      </c>
      <c r="D40" s="11" t="s">
        <v>29</v>
      </c>
      <c r="E40" s="86"/>
      <c r="F40" s="70">
        <v>5310</v>
      </c>
      <c r="G40" s="1"/>
      <c r="N40" s="1"/>
    </row>
    <row r="41" spans="1:14" s="2" customFormat="1" x14ac:dyDescent="0.2">
      <c r="A41" s="89">
        <v>45234</v>
      </c>
      <c r="B41" s="128" t="s">
        <v>11</v>
      </c>
      <c r="C41" s="10" t="s">
        <v>284</v>
      </c>
      <c r="D41" s="11" t="s">
        <v>29</v>
      </c>
      <c r="E41" s="86"/>
      <c r="F41" s="70">
        <v>480573</v>
      </c>
      <c r="G41" s="1"/>
      <c r="N41" s="1"/>
    </row>
    <row r="42" spans="1:14" s="2" customFormat="1" x14ac:dyDescent="0.2">
      <c r="A42" s="89">
        <v>45234</v>
      </c>
      <c r="B42" s="128" t="s">
        <v>11</v>
      </c>
      <c r="C42" s="10" t="s">
        <v>1746</v>
      </c>
      <c r="D42" s="11" t="s">
        <v>29</v>
      </c>
      <c r="E42" s="86"/>
      <c r="F42" s="70">
        <v>513009</v>
      </c>
      <c r="G42" s="1"/>
      <c r="N42" s="1"/>
    </row>
    <row r="43" spans="1:14" s="2" customFormat="1" x14ac:dyDescent="0.2">
      <c r="A43" s="89">
        <v>45234</v>
      </c>
      <c r="B43" s="128" t="s">
        <v>11</v>
      </c>
      <c r="C43" s="10" t="s">
        <v>1363</v>
      </c>
      <c r="D43" s="11" t="s">
        <v>29</v>
      </c>
      <c r="E43" s="86"/>
      <c r="F43" s="70">
        <v>3244148</v>
      </c>
      <c r="G43" s="1"/>
      <c r="N43" s="1"/>
    </row>
    <row r="44" spans="1:14" s="2" customFormat="1" x14ac:dyDescent="0.2">
      <c r="A44" s="89">
        <v>45234</v>
      </c>
      <c r="B44" s="128" t="s">
        <v>11</v>
      </c>
      <c r="C44" s="10" t="s">
        <v>110</v>
      </c>
      <c r="D44" s="11" t="s">
        <v>29</v>
      </c>
      <c r="E44" s="86"/>
      <c r="F44" s="70">
        <v>705538.35</v>
      </c>
      <c r="G44" s="1"/>
      <c r="N44" s="1"/>
    </row>
    <row r="45" spans="1:14" s="2" customFormat="1" x14ac:dyDescent="0.2">
      <c r="A45" s="89">
        <v>45234</v>
      </c>
      <c r="B45" s="128" t="s">
        <v>11</v>
      </c>
      <c r="C45" s="10" t="s">
        <v>58</v>
      </c>
      <c r="D45" s="11" t="s">
        <v>29</v>
      </c>
      <c r="E45" s="86"/>
      <c r="F45" s="70">
        <v>378406</v>
      </c>
      <c r="G45" s="1"/>
      <c r="N45" s="1"/>
    </row>
    <row r="46" spans="1:14" s="2" customFormat="1" x14ac:dyDescent="0.2">
      <c r="A46" s="89">
        <v>45234</v>
      </c>
      <c r="B46" s="128" t="s">
        <v>11</v>
      </c>
      <c r="C46" s="10" t="s">
        <v>649</v>
      </c>
      <c r="D46" s="11" t="s">
        <v>29</v>
      </c>
      <c r="E46" s="86"/>
      <c r="F46" s="70">
        <v>1037876.51</v>
      </c>
      <c r="G46" s="1"/>
      <c r="N46" s="1"/>
    </row>
    <row r="47" spans="1:14" s="2" customFormat="1" x14ac:dyDescent="0.2">
      <c r="A47" s="89">
        <v>45234</v>
      </c>
      <c r="B47" s="128" t="s">
        <v>11</v>
      </c>
      <c r="C47" s="10" t="s">
        <v>780</v>
      </c>
      <c r="D47" s="11" t="s">
        <v>29</v>
      </c>
      <c r="E47" s="86"/>
      <c r="F47" s="70">
        <v>387074</v>
      </c>
      <c r="G47" s="1"/>
      <c r="N47" s="1"/>
    </row>
    <row r="48" spans="1:14" s="2" customFormat="1" x14ac:dyDescent="0.2">
      <c r="A48" s="89">
        <v>45234</v>
      </c>
      <c r="B48" s="128" t="s">
        <v>11</v>
      </c>
      <c r="C48" s="10" t="s">
        <v>97</v>
      </c>
      <c r="D48" s="11" t="s">
        <v>29</v>
      </c>
      <c r="E48" s="86"/>
      <c r="F48" s="70">
        <v>316301</v>
      </c>
      <c r="G48" s="1"/>
      <c r="N48" s="1"/>
    </row>
    <row r="49" spans="1:14" s="2" customFormat="1" x14ac:dyDescent="0.2">
      <c r="A49" s="89">
        <v>45234</v>
      </c>
      <c r="B49" s="128" t="s">
        <v>11</v>
      </c>
      <c r="C49" s="10" t="s">
        <v>123</v>
      </c>
      <c r="D49" s="11" t="s">
        <v>29</v>
      </c>
      <c r="E49" s="86"/>
      <c r="F49" s="70">
        <v>3224469</v>
      </c>
      <c r="G49" s="1"/>
      <c r="N49" s="1"/>
    </row>
    <row r="50" spans="1:14" s="2" customFormat="1" x14ac:dyDescent="0.2">
      <c r="A50" s="89">
        <v>45234</v>
      </c>
      <c r="B50" s="128" t="s">
        <v>11</v>
      </c>
      <c r="C50" s="10" t="s">
        <v>1651</v>
      </c>
      <c r="D50" s="11" t="s">
        <v>29</v>
      </c>
      <c r="E50" s="86"/>
      <c r="F50" s="70">
        <v>310206</v>
      </c>
      <c r="G50" s="1"/>
      <c r="N50" s="1"/>
    </row>
    <row r="51" spans="1:14" s="2" customFormat="1" x14ac:dyDescent="0.2">
      <c r="A51" s="89">
        <v>45234</v>
      </c>
      <c r="B51" s="128" t="s">
        <v>11</v>
      </c>
      <c r="C51" s="10" t="s">
        <v>696</v>
      </c>
      <c r="D51" s="11" t="s">
        <v>29</v>
      </c>
      <c r="E51" s="86"/>
      <c r="F51" s="70">
        <v>1956267</v>
      </c>
      <c r="G51" s="1"/>
      <c r="N51" s="1"/>
    </row>
    <row r="52" spans="1:14" s="2" customFormat="1" x14ac:dyDescent="0.2">
      <c r="A52" s="89">
        <v>45234</v>
      </c>
      <c r="B52" s="128" t="s">
        <v>11</v>
      </c>
      <c r="C52" s="10" t="s">
        <v>301</v>
      </c>
      <c r="D52" s="11" t="s">
        <v>29</v>
      </c>
      <c r="E52" s="86"/>
      <c r="F52" s="70">
        <v>1365440</v>
      </c>
      <c r="G52" s="1"/>
      <c r="N52" s="1"/>
    </row>
    <row r="53" spans="1:14" s="2" customFormat="1" x14ac:dyDescent="0.2">
      <c r="A53" s="89">
        <v>45234</v>
      </c>
      <c r="B53" s="128" t="s">
        <v>11</v>
      </c>
      <c r="C53" s="10" t="s">
        <v>254</v>
      </c>
      <c r="D53" s="11" t="s">
        <v>29</v>
      </c>
      <c r="E53" s="86"/>
      <c r="F53" s="70">
        <v>129347</v>
      </c>
      <c r="G53" s="1"/>
      <c r="N53" s="1"/>
    </row>
    <row r="54" spans="1:14" s="2" customFormat="1" x14ac:dyDescent="0.2">
      <c r="A54" s="89">
        <v>45234</v>
      </c>
      <c r="B54" s="128" t="s">
        <v>11</v>
      </c>
      <c r="C54" s="10" t="s">
        <v>30</v>
      </c>
      <c r="D54" s="11" t="s">
        <v>29</v>
      </c>
      <c r="E54" s="86"/>
      <c r="F54" s="70">
        <v>794706</v>
      </c>
      <c r="G54" s="1"/>
      <c r="N54" s="1"/>
    </row>
    <row r="55" spans="1:14" s="2" customFormat="1" x14ac:dyDescent="0.2">
      <c r="A55" s="89">
        <v>45234</v>
      </c>
      <c r="B55" s="128" t="s">
        <v>11</v>
      </c>
      <c r="C55" s="10" t="s">
        <v>340</v>
      </c>
      <c r="D55" s="11" t="s">
        <v>29</v>
      </c>
      <c r="E55" s="86"/>
      <c r="F55" s="70">
        <v>442125</v>
      </c>
      <c r="G55" s="1"/>
      <c r="N55" s="1"/>
    </row>
    <row r="56" spans="1:14" s="2" customFormat="1" x14ac:dyDescent="0.2">
      <c r="A56" s="89">
        <v>45234</v>
      </c>
      <c r="B56" s="128" t="s">
        <v>11</v>
      </c>
      <c r="C56" s="10" t="s">
        <v>308</v>
      </c>
      <c r="D56" s="11" t="s">
        <v>29</v>
      </c>
      <c r="E56" s="86"/>
      <c r="F56" s="70">
        <v>206500</v>
      </c>
      <c r="G56" s="1"/>
      <c r="N56" s="1"/>
    </row>
    <row r="57" spans="1:14" s="2" customFormat="1" x14ac:dyDescent="0.2">
      <c r="A57" s="89">
        <v>45234</v>
      </c>
      <c r="B57" s="128" t="s">
        <v>11</v>
      </c>
      <c r="C57" s="10" t="s">
        <v>341</v>
      </c>
      <c r="D57" s="11" t="s">
        <v>29</v>
      </c>
      <c r="E57" s="86"/>
      <c r="F57" s="70">
        <v>676423</v>
      </c>
      <c r="G57" s="1"/>
      <c r="N57" s="1"/>
    </row>
    <row r="58" spans="1:14" s="2" customFormat="1" x14ac:dyDescent="0.2">
      <c r="A58" s="89">
        <v>45234</v>
      </c>
      <c r="B58" s="128" t="s">
        <v>11</v>
      </c>
      <c r="C58" s="10" t="s">
        <v>118</v>
      </c>
      <c r="D58" s="11" t="s">
        <v>29</v>
      </c>
      <c r="E58" s="86"/>
      <c r="F58" s="70">
        <v>400000</v>
      </c>
      <c r="G58" s="1"/>
      <c r="N58" s="1"/>
    </row>
    <row r="59" spans="1:14" s="2" customFormat="1" x14ac:dyDescent="0.2">
      <c r="A59" s="89">
        <v>45234</v>
      </c>
      <c r="B59" s="128" t="s">
        <v>11</v>
      </c>
      <c r="C59" s="10" t="s">
        <v>171</v>
      </c>
      <c r="D59" s="11" t="s">
        <v>29</v>
      </c>
      <c r="E59" s="86"/>
      <c r="F59" s="70">
        <v>5519</v>
      </c>
      <c r="G59" s="1"/>
      <c r="N59" s="1"/>
    </row>
    <row r="60" spans="1:14" s="2" customFormat="1" x14ac:dyDescent="0.2">
      <c r="A60" s="89">
        <v>45234</v>
      </c>
      <c r="B60" s="128" t="s">
        <v>11</v>
      </c>
      <c r="C60" s="10" t="s">
        <v>521</v>
      </c>
      <c r="D60" s="11" t="s">
        <v>29</v>
      </c>
      <c r="E60" s="86"/>
      <c r="F60" s="70">
        <v>100920</v>
      </c>
      <c r="G60" s="1"/>
      <c r="N60" s="1"/>
    </row>
    <row r="61" spans="1:14" s="2" customFormat="1" x14ac:dyDescent="0.2">
      <c r="A61" s="89">
        <v>45234</v>
      </c>
      <c r="B61" s="128" t="s">
        <v>11</v>
      </c>
      <c r="C61" s="10" t="s">
        <v>303</v>
      </c>
      <c r="D61" s="11" t="s">
        <v>29</v>
      </c>
      <c r="E61" s="86"/>
      <c r="F61" s="70">
        <v>14938</v>
      </c>
      <c r="G61" s="1"/>
      <c r="N61" s="1"/>
    </row>
    <row r="62" spans="1:14" s="2" customFormat="1" x14ac:dyDescent="0.2">
      <c r="A62" s="89">
        <v>45234</v>
      </c>
      <c r="B62" s="128" t="s">
        <v>11</v>
      </c>
      <c r="C62" s="10" t="s">
        <v>130</v>
      </c>
      <c r="D62" s="11" t="s">
        <v>29</v>
      </c>
      <c r="E62" s="86"/>
      <c r="F62" s="70">
        <v>98592</v>
      </c>
      <c r="G62" s="1"/>
      <c r="N62" s="1"/>
    </row>
    <row r="63" spans="1:14" s="2" customFormat="1" x14ac:dyDescent="0.2">
      <c r="A63" s="89">
        <v>45234</v>
      </c>
      <c r="B63" s="128" t="s">
        <v>11</v>
      </c>
      <c r="C63" s="10" t="s">
        <v>602</v>
      </c>
      <c r="D63" s="11" t="s">
        <v>29</v>
      </c>
      <c r="E63" s="86"/>
      <c r="F63" s="70">
        <v>4010</v>
      </c>
      <c r="G63" s="1"/>
      <c r="N63" s="1"/>
    </row>
    <row r="64" spans="1:14" s="2" customFormat="1" x14ac:dyDescent="0.2">
      <c r="A64" s="89">
        <v>45234</v>
      </c>
      <c r="B64" s="128" t="s">
        <v>11</v>
      </c>
      <c r="C64" s="10" t="s">
        <v>242</v>
      </c>
      <c r="D64" s="11" t="s">
        <v>29</v>
      </c>
      <c r="E64" s="86"/>
      <c r="F64" s="70">
        <v>13850</v>
      </c>
      <c r="G64" s="1"/>
      <c r="N64" s="1"/>
    </row>
    <row r="65" spans="1:14" s="2" customFormat="1" x14ac:dyDescent="0.2">
      <c r="A65" s="89">
        <v>45234</v>
      </c>
      <c r="B65" s="128" t="s">
        <v>11</v>
      </c>
      <c r="C65" s="10" t="s">
        <v>1747</v>
      </c>
      <c r="D65" s="11" t="s">
        <v>29</v>
      </c>
      <c r="E65" s="86"/>
      <c r="F65" s="70">
        <v>10842</v>
      </c>
      <c r="G65" s="1"/>
      <c r="N65" s="1"/>
    </row>
    <row r="66" spans="1:14" s="2" customFormat="1" x14ac:dyDescent="0.2">
      <c r="A66" s="89">
        <v>45234</v>
      </c>
      <c r="B66" s="128" t="s">
        <v>11</v>
      </c>
      <c r="C66" s="10" t="s">
        <v>1403</v>
      </c>
      <c r="D66" s="11" t="s">
        <v>29</v>
      </c>
      <c r="E66" s="86"/>
      <c r="F66" s="70">
        <v>5539751</v>
      </c>
      <c r="G66" s="1"/>
      <c r="N66" s="1"/>
    </row>
    <row r="67" spans="1:14" s="2" customFormat="1" x14ac:dyDescent="0.2">
      <c r="A67" s="89">
        <v>45234</v>
      </c>
      <c r="B67" s="128" t="s">
        <v>11</v>
      </c>
      <c r="C67" s="10" t="s">
        <v>57</v>
      </c>
      <c r="D67" s="11" t="s">
        <v>29</v>
      </c>
      <c r="E67" s="86"/>
      <c r="F67" s="70">
        <v>1000000</v>
      </c>
      <c r="G67" s="1"/>
      <c r="N67" s="1"/>
    </row>
    <row r="68" spans="1:14" s="2" customFormat="1" x14ac:dyDescent="0.2">
      <c r="A68" s="89">
        <v>45234</v>
      </c>
      <c r="B68" s="128" t="s">
        <v>11</v>
      </c>
      <c r="C68" s="10" t="s">
        <v>223</v>
      </c>
      <c r="D68" s="11" t="s">
        <v>29</v>
      </c>
      <c r="E68" s="86"/>
      <c r="F68" s="70">
        <v>2702393</v>
      </c>
      <c r="G68" s="1"/>
      <c r="N68" s="1"/>
    </row>
    <row r="69" spans="1:14" s="2" customFormat="1" x14ac:dyDescent="0.2">
      <c r="A69" s="32"/>
      <c r="B69" s="33"/>
      <c r="C69" s="14"/>
      <c r="D69" s="34"/>
      <c r="E69" s="16">
        <f>SUM(E22:E68)</f>
        <v>40362481.920000002</v>
      </c>
      <c r="F69" s="16">
        <f>SUM(F22:F68)</f>
        <v>103138803.10000007</v>
      </c>
      <c r="G69" s="1"/>
      <c r="H69" s="1"/>
      <c r="I69" s="38">
        <v>62776321.18</v>
      </c>
      <c r="K69" s="92">
        <f>E70-I69</f>
        <v>6.7055225372314453E-8</v>
      </c>
      <c r="N69" s="1"/>
    </row>
    <row r="70" spans="1:14" s="2" customFormat="1" x14ac:dyDescent="0.2">
      <c r="A70" s="36"/>
      <c r="B70" s="28" t="s">
        <v>11</v>
      </c>
      <c r="C70" s="19" t="s">
        <v>65</v>
      </c>
      <c r="D70" s="37"/>
      <c r="E70" s="38">
        <f>F69-E69</f>
        <v>62776321.180000067</v>
      </c>
      <c r="F70" s="22"/>
      <c r="G70" s="1"/>
      <c r="H70" s="1"/>
      <c r="I70" s="70"/>
      <c r="J70" s="70"/>
      <c r="K70" s="70"/>
      <c r="N70" s="1"/>
    </row>
    <row r="71" spans="1:14" s="2" customFormat="1" x14ac:dyDescent="0.2">
      <c r="A71" s="36"/>
      <c r="B71" s="28" t="s">
        <v>66</v>
      </c>
      <c r="C71" s="19" t="s">
        <v>67</v>
      </c>
      <c r="D71" s="37"/>
      <c r="E71" s="38">
        <v>6500000</v>
      </c>
      <c r="F71" s="22"/>
      <c r="G71" s="1"/>
      <c r="H71" s="70"/>
      <c r="I71" s="70"/>
      <c r="J71" s="70"/>
      <c r="K71" s="70"/>
      <c r="N71" s="1"/>
    </row>
    <row r="72" spans="1:14" s="2" customFormat="1" x14ac:dyDescent="0.2">
      <c r="A72" s="36"/>
      <c r="B72" s="28" t="s">
        <v>66</v>
      </c>
      <c r="C72" s="43" t="s">
        <v>1457</v>
      </c>
      <c r="D72" s="43"/>
      <c r="E72" s="12">
        <f>275000000+75000000+50000000</f>
        <v>400000000</v>
      </c>
      <c r="F72" s="22"/>
      <c r="G72" s="1"/>
      <c r="H72" s="70"/>
      <c r="I72" s="45">
        <v>720.41</v>
      </c>
      <c r="J72" s="46"/>
      <c r="K72" s="46"/>
      <c r="N72" s="1"/>
    </row>
    <row r="73" spans="1:14" s="2" customFormat="1" ht="15" x14ac:dyDescent="0.25">
      <c r="A73" s="36"/>
      <c r="B73" s="28"/>
      <c r="C73" s="44" t="s">
        <v>1541</v>
      </c>
      <c r="D73" s="43"/>
      <c r="E73" s="7">
        <f>+E72+E70+E71</f>
        <v>469276321.18000007</v>
      </c>
      <c r="F73" s="22"/>
      <c r="G73" s="1"/>
      <c r="H73" s="103" t="s">
        <v>69</v>
      </c>
      <c r="I73" s="45">
        <v>0.78</v>
      </c>
      <c r="J73" s="46"/>
      <c r="K73" s="46"/>
      <c r="N73" s="1"/>
    </row>
    <row r="74" spans="1:14" s="2" customFormat="1" ht="15" x14ac:dyDescent="0.25">
      <c r="A74" s="24"/>
      <c r="B74" s="1"/>
      <c r="C74" s="44" t="s">
        <v>1510</v>
      </c>
      <c r="D74" s="25"/>
      <c r="E74" s="156">
        <f>+I22-E71+H18-I18</f>
        <v>30723678.82</v>
      </c>
      <c r="G74" s="1"/>
      <c r="H74" s="35" t="s">
        <v>70</v>
      </c>
      <c r="I74" s="45">
        <v>0</v>
      </c>
      <c r="J74" s="46">
        <f>+I75-D77</f>
        <v>0</v>
      </c>
      <c r="N74" s="1"/>
    </row>
    <row r="75" spans="1:14" s="124" customFormat="1" ht="12.75" customHeight="1" x14ac:dyDescent="0.2">
      <c r="A75" s="24"/>
      <c r="B75" s="1"/>
      <c r="C75" s="56"/>
      <c r="D75" s="56"/>
      <c r="E75" s="104"/>
      <c r="F75" s="2"/>
      <c r="G75" s="166"/>
      <c r="H75" s="70"/>
      <c r="I75" s="49">
        <f>SUM(I72:I74)</f>
        <v>721.18999999999994</v>
      </c>
      <c r="J75" s="46"/>
      <c r="K75" s="46"/>
    </row>
    <row r="76" spans="1:14" s="124" customFormat="1" ht="12.75" customHeight="1" x14ac:dyDescent="0.2">
      <c r="A76" s="24"/>
      <c r="B76" s="1"/>
      <c r="C76" s="78" t="s">
        <v>575</v>
      </c>
      <c r="D76" s="48" t="s">
        <v>576</v>
      </c>
      <c r="E76" s="104"/>
      <c r="F76" s="2"/>
      <c r="G76" s="168"/>
      <c r="H76" s="167"/>
      <c r="I76" s="167"/>
      <c r="J76" s="168"/>
    </row>
    <row r="77" spans="1:14" s="124" customFormat="1" ht="12.75" customHeight="1" x14ac:dyDescent="0.2">
      <c r="A77" s="24"/>
      <c r="B77" s="1"/>
      <c r="C77" s="47" t="s">
        <v>570</v>
      </c>
      <c r="D77" s="111">
        <v>721.19</v>
      </c>
      <c r="E77" s="104"/>
      <c r="F77" s="2"/>
      <c r="G77" s="168"/>
      <c r="H77" s="110" t="s">
        <v>581</v>
      </c>
      <c r="I77" s="167"/>
      <c r="J77" s="168"/>
    </row>
    <row r="78" spans="1:14" s="124" customFormat="1" ht="12.75" customHeight="1" x14ac:dyDescent="0.2">
      <c r="A78" s="24"/>
      <c r="B78" s="1"/>
      <c r="C78" s="47" t="s">
        <v>931</v>
      </c>
      <c r="D78" s="111">
        <v>3.02</v>
      </c>
      <c r="E78" s="104"/>
      <c r="F78" s="2"/>
      <c r="G78" s="168"/>
      <c r="H78" s="110" t="s">
        <v>580</v>
      </c>
      <c r="I78" s="167"/>
      <c r="J78" s="168"/>
    </row>
    <row r="79" spans="1:14" s="124" customFormat="1" ht="12.75" customHeight="1" x14ac:dyDescent="0.2">
      <c r="A79" s="24"/>
      <c r="B79" s="1"/>
      <c r="C79" s="47" t="s">
        <v>572</v>
      </c>
      <c r="D79" s="111">
        <f>+D99/100000</f>
        <v>27.98367</v>
      </c>
      <c r="E79" s="104"/>
      <c r="F79" s="2"/>
      <c r="G79" s="166"/>
      <c r="H79" s="90" t="s">
        <v>587</v>
      </c>
      <c r="I79" s="167"/>
      <c r="J79" s="168"/>
    </row>
    <row r="80" spans="1:14" s="2" customFormat="1" x14ac:dyDescent="0.2">
      <c r="A80" s="24"/>
      <c r="B80" s="1"/>
      <c r="C80" s="108" t="s">
        <v>578</v>
      </c>
      <c r="D80" s="48">
        <f>SUM(D77:D79)</f>
        <v>752.19367</v>
      </c>
      <c r="E80" s="104"/>
      <c r="G80" s="30"/>
      <c r="I80" s="13"/>
      <c r="J80" s="13"/>
    </row>
    <row r="81" spans="1:14" s="70" customFormat="1" x14ac:dyDescent="0.2">
      <c r="A81" s="24"/>
      <c r="B81" s="1"/>
      <c r="C81" s="47"/>
      <c r="D81" s="107"/>
      <c r="E81" s="104"/>
      <c r="F81" s="2"/>
      <c r="G81" s="30"/>
      <c r="H81" s="2"/>
    </row>
    <row r="82" spans="1:14" s="70" customFormat="1" x14ac:dyDescent="0.2">
      <c r="A82" s="24"/>
      <c r="B82" s="1"/>
      <c r="C82" s="47" t="s">
        <v>932</v>
      </c>
      <c r="D82" s="111">
        <v>0</v>
      </c>
      <c r="E82" s="104"/>
      <c r="F82" s="2"/>
      <c r="G82" s="30"/>
      <c r="H82" s="110" t="s">
        <v>581</v>
      </c>
    </row>
    <row r="83" spans="1:14" s="70" customFormat="1" x14ac:dyDescent="0.2">
      <c r="A83" s="24"/>
      <c r="B83" s="1"/>
      <c r="C83" s="136" t="s">
        <v>1142</v>
      </c>
      <c r="D83" s="111">
        <v>415.22</v>
      </c>
      <c r="E83" s="104"/>
      <c r="F83" s="2"/>
      <c r="G83" s="30"/>
      <c r="H83" s="110" t="s">
        <v>581</v>
      </c>
    </row>
    <row r="84" spans="1:14" s="70" customFormat="1" x14ac:dyDescent="0.2">
      <c r="A84" s="24"/>
      <c r="B84" s="1"/>
      <c r="C84" s="78" t="s">
        <v>579</v>
      </c>
      <c r="D84" s="109">
        <f>D82+D83</f>
        <v>415.22</v>
      </c>
      <c r="E84" s="104"/>
      <c r="F84" s="2"/>
      <c r="G84" s="30"/>
    </row>
    <row r="85" spans="1:14" s="70" customFormat="1" x14ac:dyDescent="0.2">
      <c r="A85" s="24"/>
      <c r="B85" s="1"/>
      <c r="C85" s="105"/>
      <c r="D85" s="106"/>
      <c r="E85" s="104"/>
      <c r="F85" s="2"/>
      <c r="G85" s="30"/>
      <c r="I85" s="2"/>
      <c r="J85" s="114" t="s">
        <v>713</v>
      </c>
      <c r="K85" s="2"/>
      <c r="L85" s="2"/>
      <c r="M85" s="2"/>
    </row>
    <row r="86" spans="1:14" s="70" customFormat="1" x14ac:dyDescent="0.2">
      <c r="A86" s="24"/>
      <c r="B86" s="1"/>
      <c r="C86" s="78" t="s">
        <v>577</v>
      </c>
      <c r="D86" s="109">
        <f>D77+D84</f>
        <v>1136.4100000000001</v>
      </c>
      <c r="E86" s="104"/>
      <c r="F86" s="2"/>
      <c r="G86" s="30"/>
      <c r="I86" s="113"/>
      <c r="J86" s="113" t="s">
        <v>709</v>
      </c>
      <c r="K86" s="113" t="s">
        <v>710</v>
      </c>
      <c r="L86" s="113" t="s">
        <v>711</v>
      </c>
      <c r="M86" s="113" t="s">
        <v>712</v>
      </c>
    </row>
    <row r="87" spans="1:14" s="70" customFormat="1" x14ac:dyDescent="0.2">
      <c r="A87" s="24"/>
      <c r="B87" s="1"/>
      <c r="C87" s="56"/>
      <c r="D87" s="56"/>
      <c r="E87" s="104"/>
      <c r="F87" s="2"/>
      <c r="G87" s="30"/>
      <c r="I87" s="113" t="s">
        <v>706</v>
      </c>
      <c r="J87" s="115"/>
      <c r="K87" s="115">
        <v>968.99</v>
      </c>
      <c r="L87" s="115">
        <v>968.99</v>
      </c>
      <c r="M87" s="113">
        <f>+J87+L87-K87</f>
        <v>0</v>
      </c>
    </row>
    <row r="88" spans="1:14" s="70" customFormat="1" ht="38.25" x14ac:dyDescent="0.2">
      <c r="A88" s="24"/>
      <c r="B88" s="1"/>
      <c r="C88" s="79" t="str">
        <f>"Particulars ( 01-04-2021 to "&amp;TEXT(A5,"dd-mm-yyyy")&amp;" )"</f>
        <v>Particulars ( 01-04-2021 to 04-11-2023 )</v>
      </c>
      <c r="D88" s="80" t="s">
        <v>73</v>
      </c>
      <c r="E88" s="80" t="s">
        <v>74</v>
      </c>
      <c r="F88" s="81" t="s">
        <v>75</v>
      </c>
      <c r="G88" s="80" t="s">
        <v>76</v>
      </c>
      <c r="I88" s="113" t="s">
        <v>707</v>
      </c>
      <c r="J88" s="115">
        <v>183.1</v>
      </c>
      <c r="K88" s="115">
        <v>3897.33</v>
      </c>
      <c r="L88" s="115">
        <v>4120.1499999999996</v>
      </c>
      <c r="M88" s="113">
        <f>+J88+L88-K88</f>
        <v>405.92000000000007</v>
      </c>
    </row>
    <row r="89" spans="1:14" s="70" customFormat="1" x14ac:dyDescent="0.2">
      <c r="A89" s="24"/>
      <c r="B89" s="1"/>
      <c r="C89" s="50" t="s">
        <v>444</v>
      </c>
      <c r="D89" s="55">
        <f>+L87+L88+J88</f>
        <v>5272.24</v>
      </c>
      <c r="E89" s="55">
        <f>+K87+K88</f>
        <v>4866.32</v>
      </c>
      <c r="F89" s="55">
        <f>+D89-E89</f>
        <v>405.92000000000007</v>
      </c>
      <c r="G89" s="55">
        <f>1500-F89</f>
        <v>1094.08</v>
      </c>
      <c r="I89" s="113" t="s">
        <v>708</v>
      </c>
      <c r="J89" s="115">
        <v>1371.02</v>
      </c>
      <c r="K89" s="115">
        <v>14772.49</v>
      </c>
      <c r="L89" s="115">
        <v>14970.38</v>
      </c>
      <c r="M89" s="113">
        <f>+J89+L89-K89</f>
        <v>1568.9099999999999</v>
      </c>
    </row>
    <row r="90" spans="1:14" s="70" customFormat="1" ht="12.75" customHeight="1" x14ac:dyDescent="0.2">
      <c r="A90" s="24"/>
      <c r="B90" s="1"/>
      <c r="C90" s="50" t="s">
        <v>71</v>
      </c>
      <c r="D90" s="55">
        <f>+J89+L89</f>
        <v>16341.4</v>
      </c>
      <c r="E90" s="55">
        <f>+K89</f>
        <v>14772.49</v>
      </c>
      <c r="F90" s="55">
        <f>+D90-E90</f>
        <v>1568.9099999999999</v>
      </c>
      <c r="G90" s="55">
        <f>1500+700-F90</f>
        <v>631.09000000000015</v>
      </c>
      <c r="I90" s="2"/>
      <c r="J90" s="118">
        <f>SUM(J87:J89)</f>
        <v>1554.12</v>
      </c>
      <c r="K90" s="118">
        <f>SUM(K87:K89)</f>
        <v>19638.809999999998</v>
      </c>
      <c r="L90" s="118">
        <f>SUM(L87:L89)</f>
        <v>20059.519999999997</v>
      </c>
      <c r="M90" s="118">
        <f>SUM(M87:M89)</f>
        <v>1974.83</v>
      </c>
    </row>
    <row r="91" spans="1:14" s="70" customFormat="1" ht="12.75" customHeight="1" x14ac:dyDescent="0.2">
      <c r="A91" s="24"/>
      <c r="B91" s="1"/>
      <c r="C91" s="14"/>
      <c r="D91" s="56"/>
      <c r="E91" s="13"/>
      <c r="F91" s="2"/>
      <c r="G91" s="30"/>
    </row>
    <row r="92" spans="1:14" s="70" customFormat="1" ht="12.75" customHeight="1" x14ac:dyDescent="0.2">
      <c r="A92" s="215" t="s">
        <v>80</v>
      </c>
      <c r="B92" s="216"/>
      <c r="C92" s="216"/>
      <c r="D92" s="217"/>
      <c r="E92" s="69"/>
      <c r="G92" s="30"/>
    </row>
    <row r="93" spans="1:14" s="70" customFormat="1" ht="12.75" customHeight="1" x14ac:dyDescent="0.2">
      <c r="A93" s="71" t="s">
        <v>81</v>
      </c>
      <c r="B93" s="71"/>
      <c r="C93" s="72" t="s">
        <v>82</v>
      </c>
      <c r="D93" s="73" t="s">
        <v>83</v>
      </c>
      <c r="E93" s="69"/>
      <c r="G93" s="30"/>
    </row>
    <row r="94" spans="1:14" s="70" customFormat="1" ht="12.75" customHeight="1" x14ac:dyDescent="0.2">
      <c r="A94" s="87">
        <v>45232</v>
      </c>
      <c r="B94" s="120" t="s">
        <v>6</v>
      </c>
      <c r="C94" s="75" t="s">
        <v>767</v>
      </c>
      <c r="D94" s="88">
        <v>515100</v>
      </c>
      <c r="E94" s="2"/>
      <c r="F94" s="2"/>
      <c r="G94" s="30"/>
      <c r="H94" s="2"/>
      <c r="I94" s="2"/>
      <c r="J94" s="2"/>
      <c r="K94" s="2"/>
      <c r="L94" s="41"/>
      <c r="M94" s="42"/>
      <c r="N94" s="2"/>
    </row>
    <row r="95" spans="1:14" s="70" customFormat="1" ht="12.75" customHeight="1" x14ac:dyDescent="0.2">
      <c r="A95" s="87">
        <v>45232</v>
      </c>
      <c r="B95" s="120" t="s">
        <v>6</v>
      </c>
      <c r="C95" s="75" t="s">
        <v>566</v>
      </c>
      <c r="D95" s="88">
        <v>52450</v>
      </c>
      <c r="E95" s="2"/>
      <c r="F95" s="2"/>
      <c r="G95" s="30"/>
      <c r="H95" s="2"/>
      <c r="I95" s="2"/>
      <c r="J95" s="2"/>
      <c r="K95" s="2"/>
      <c r="L95" s="41"/>
      <c r="M95" s="42"/>
      <c r="N95" s="2"/>
    </row>
    <row r="96" spans="1:14" s="70" customFormat="1" ht="12.75" customHeight="1" x14ac:dyDescent="0.2">
      <c r="A96" s="87">
        <v>45233</v>
      </c>
      <c r="B96" s="120" t="s">
        <v>6</v>
      </c>
      <c r="C96" s="75" t="s">
        <v>1084</v>
      </c>
      <c r="D96" s="88">
        <v>1833799</v>
      </c>
      <c r="E96" s="2"/>
      <c r="F96" s="2"/>
      <c r="G96" s="30"/>
      <c r="H96" s="2"/>
      <c r="I96" s="2"/>
      <c r="J96" s="2"/>
      <c r="K96" s="2"/>
      <c r="L96" s="41"/>
      <c r="M96" s="42"/>
      <c r="N96" s="2"/>
    </row>
    <row r="97" spans="1:14" s="70" customFormat="1" ht="12.75" customHeight="1" x14ac:dyDescent="0.2">
      <c r="A97" s="87">
        <v>45233</v>
      </c>
      <c r="B97" s="120" t="s">
        <v>6</v>
      </c>
      <c r="C97" s="75" t="s">
        <v>909</v>
      </c>
      <c r="D97" s="88">
        <v>366980</v>
      </c>
      <c r="E97" s="2"/>
      <c r="F97" s="2"/>
      <c r="G97" s="30"/>
      <c r="H97" s="2"/>
      <c r="I97" s="2"/>
      <c r="J97" s="2"/>
      <c r="K97" s="2"/>
      <c r="L97" s="41"/>
      <c r="M97" s="42"/>
      <c r="N97" s="2"/>
    </row>
    <row r="98" spans="1:14" s="70" customFormat="1" ht="12.75" customHeight="1" x14ac:dyDescent="0.2">
      <c r="A98" s="87">
        <v>45233</v>
      </c>
      <c r="B98" s="120" t="s">
        <v>6</v>
      </c>
      <c r="C98" s="75" t="s">
        <v>909</v>
      </c>
      <c r="D98" s="88">
        <v>30038</v>
      </c>
      <c r="E98" s="2"/>
      <c r="F98" s="2"/>
      <c r="G98" s="30"/>
      <c r="H98" s="2"/>
      <c r="I98" s="2"/>
      <c r="J98" s="2"/>
      <c r="K98" s="2"/>
      <c r="L98" s="41"/>
      <c r="M98" s="42"/>
      <c r="N98" s="2"/>
    </row>
    <row r="99" spans="1:14" s="2" customFormat="1" x14ac:dyDescent="0.2">
      <c r="A99" s="87"/>
      <c r="B99" s="74"/>
      <c r="C99" s="75"/>
      <c r="D99" s="51">
        <f>SUM(D94:D98)</f>
        <v>2798367</v>
      </c>
      <c r="F99" s="2" t="s">
        <v>396</v>
      </c>
      <c r="G99" s="1"/>
    </row>
    <row r="100" spans="1:14" s="2" customFormat="1" x14ac:dyDescent="0.2">
      <c r="A100" s="24"/>
      <c r="B100" s="1"/>
      <c r="C100" s="14"/>
      <c r="D100" s="56"/>
      <c r="E100" s="13"/>
      <c r="G100" s="1"/>
    </row>
    <row r="101" spans="1:14" s="2" customFormat="1" x14ac:dyDescent="0.2">
      <c r="A101" s="24"/>
      <c r="B101" s="1"/>
      <c r="C101" s="218" t="s">
        <v>77</v>
      </c>
      <c r="D101" s="219"/>
      <c r="E101" s="219"/>
      <c r="F101" s="220"/>
      <c r="H101" s="2" t="s">
        <v>396</v>
      </c>
    </row>
    <row r="102" spans="1:14" s="2" customFormat="1" x14ac:dyDescent="0.2">
      <c r="A102" s="24"/>
      <c r="B102" s="1"/>
      <c r="C102" s="50"/>
      <c r="D102" s="57" t="s">
        <v>78</v>
      </c>
      <c r="E102" s="58" t="s">
        <v>79</v>
      </c>
      <c r="F102" s="57" t="s">
        <v>72</v>
      </c>
      <c r="H102" s="2" t="s">
        <v>396</v>
      </c>
    </row>
    <row r="103" spans="1:14" s="2" customFormat="1" x14ac:dyDescent="0.2">
      <c r="A103" s="24"/>
      <c r="B103" s="1"/>
      <c r="C103" s="59" t="str">
        <f>"01-11-2023 to "&amp;TEXT(A5-2,"dd-mm-yyyy")</f>
        <v>01-11-2023 to 02-11-2023</v>
      </c>
      <c r="D103" s="60">
        <v>190.1</v>
      </c>
      <c r="E103" s="60">
        <v>31.05</v>
      </c>
      <c r="F103" s="61">
        <f>SUM(D103:E103)</f>
        <v>221.15</v>
      </c>
    </row>
    <row r="104" spans="1:14" s="2" customFormat="1" x14ac:dyDescent="0.2">
      <c r="A104" s="24"/>
      <c r="B104" s="1"/>
      <c r="C104" s="62" t="str">
        <f>TEXT(A5-1,"dd-mm-yyyy")</f>
        <v>03-11-2023</v>
      </c>
      <c r="D104" s="60">
        <v>146.85</v>
      </c>
      <c r="E104" s="60">
        <v>22.45</v>
      </c>
      <c r="F104" s="61">
        <f>SUM(D104:E104)</f>
        <v>169.29999999999998</v>
      </c>
      <c r="G104" s="1"/>
      <c r="H104" s="53"/>
    </row>
    <row r="105" spans="1:14" s="2" customFormat="1" ht="13.5" thickBot="1" x14ac:dyDescent="0.25">
      <c r="A105" s="24"/>
      <c r="B105" s="1"/>
      <c r="C105" s="63" t="str">
        <f>"01-11-2023 to "&amp;TEXT(A5-1,"dd-mm-yyyy")</f>
        <v>01-11-2023 to 03-11-2023</v>
      </c>
      <c r="D105" s="64">
        <f>SUM(D103:D104)</f>
        <v>336.95</v>
      </c>
      <c r="E105" s="64">
        <f>SUM(E103:E104)</f>
        <v>53.5</v>
      </c>
      <c r="F105" s="64">
        <f>SUM(F103:F104)</f>
        <v>390.45</v>
      </c>
      <c r="G105" s="1"/>
      <c r="H105" s="53"/>
    </row>
    <row r="106" spans="1:14" s="2" customFormat="1" ht="13.5" thickTop="1" x14ac:dyDescent="0.2">
      <c r="A106" s="24"/>
      <c r="B106" s="1"/>
      <c r="C106" s="62"/>
      <c r="D106" s="65"/>
      <c r="E106" s="66"/>
      <c r="F106" s="67"/>
      <c r="L106" s="1"/>
      <c r="M106" s="1"/>
    </row>
    <row r="107" spans="1:14" s="2" customFormat="1" x14ac:dyDescent="0.2">
      <c r="A107" s="24"/>
      <c r="B107" s="1"/>
      <c r="C107" s="62" t="str">
        <f>"01-04-2023 to " &amp;C104</f>
        <v>01-04-2023 to 03-11-2023</v>
      </c>
      <c r="D107" s="68">
        <f>+D105+29842.21</f>
        <v>30179.16</v>
      </c>
      <c r="E107" s="68">
        <f>+E105+2549.86</f>
        <v>2603.36</v>
      </c>
      <c r="F107" s="68">
        <f>+F105+32392.07</f>
        <v>32782.519999999997</v>
      </c>
      <c r="G107" s="1"/>
      <c r="L107" s="1"/>
      <c r="M107" s="1"/>
    </row>
    <row r="108" spans="1:14" s="2" customFormat="1" x14ac:dyDescent="0.2">
      <c r="A108" s="24"/>
      <c r="B108" s="1"/>
      <c r="C108" s="52"/>
      <c r="D108" s="85"/>
      <c r="E108" s="53"/>
      <c r="F108" s="53"/>
      <c r="G108" s="1"/>
      <c r="L108" s="1"/>
      <c r="M108" s="1"/>
    </row>
    <row r="109" spans="1:14" s="2" customFormat="1" x14ac:dyDescent="0.2">
      <c r="A109" s="24"/>
      <c r="B109" s="1"/>
      <c r="C109" s="52"/>
      <c r="D109" s="85"/>
      <c r="E109" s="53"/>
      <c r="F109" s="53"/>
      <c r="G109" s="1"/>
      <c r="L109" s="1"/>
      <c r="M109" s="1"/>
    </row>
    <row r="110" spans="1:14" s="2" customFormat="1" x14ac:dyDescent="0.2">
      <c r="A110" s="24"/>
      <c r="B110" s="1"/>
      <c r="C110" s="52"/>
      <c r="D110" s="85"/>
      <c r="E110" s="53"/>
      <c r="F110" s="53"/>
      <c r="G110" s="1"/>
      <c r="L110" s="1"/>
      <c r="M110" s="1"/>
    </row>
    <row r="111" spans="1:14" s="2" customFormat="1" x14ac:dyDescent="0.2">
      <c r="A111" s="24"/>
      <c r="B111" s="1"/>
      <c r="C111" s="52"/>
      <c r="D111" s="85"/>
      <c r="E111" s="53"/>
      <c r="F111" s="53"/>
      <c r="G111" s="1"/>
      <c r="L111" s="1"/>
      <c r="M111" s="1"/>
    </row>
    <row r="112" spans="1:14" s="2" customFormat="1" x14ac:dyDescent="0.2">
      <c r="A112" s="24"/>
      <c r="B112" s="1"/>
      <c r="C112" s="14"/>
      <c r="D112" s="25"/>
      <c r="G112" s="1"/>
      <c r="L112" s="1"/>
      <c r="M112" s="1"/>
    </row>
    <row r="113" spans="1:13" s="2" customFormat="1" x14ac:dyDescent="0.2">
      <c r="A113" s="24"/>
      <c r="B113" s="1"/>
      <c r="C113" s="14"/>
      <c r="D113" s="25"/>
      <c r="G113" s="1"/>
      <c r="L113" s="1"/>
      <c r="M113" s="1"/>
    </row>
    <row r="114" spans="1:13" s="2" customFormat="1" x14ac:dyDescent="0.2">
      <c r="A114" s="24"/>
      <c r="B114" s="1"/>
      <c r="C114" s="14"/>
      <c r="D114" s="25"/>
      <c r="G114" s="1"/>
      <c r="L114" s="1"/>
      <c r="M114" s="1"/>
    </row>
    <row r="115" spans="1:13" s="2" customFormat="1" x14ac:dyDescent="0.2">
      <c r="A115" s="24"/>
      <c r="B115" s="1"/>
      <c r="C115" s="14"/>
      <c r="D115" s="25"/>
      <c r="G115" s="1"/>
      <c r="L115" s="1"/>
      <c r="M115" s="1"/>
    </row>
    <row r="116" spans="1:13" s="2" customFormat="1" x14ac:dyDescent="0.2">
      <c r="A116" s="24"/>
      <c r="B116" s="1"/>
      <c r="C116" s="14"/>
      <c r="D116" s="25"/>
      <c r="G116" s="1"/>
      <c r="L116" s="1"/>
      <c r="M116" s="1"/>
    </row>
    <row r="117" spans="1:13" s="2" customFormat="1" x14ac:dyDescent="0.2">
      <c r="A117" s="24"/>
      <c r="B117" s="1"/>
      <c r="C117" s="14"/>
      <c r="D117" s="25"/>
      <c r="G117" s="1"/>
      <c r="L117" s="1"/>
      <c r="M117" s="1"/>
    </row>
    <row r="118" spans="1:13" s="2" customFormat="1" x14ac:dyDescent="0.2">
      <c r="A118" s="24"/>
      <c r="B118" s="1"/>
      <c r="C118" s="14"/>
      <c r="D118" s="25"/>
      <c r="G118" s="1"/>
      <c r="L118" s="1"/>
      <c r="M118" s="1"/>
    </row>
    <row r="119" spans="1:13" s="2" customFormat="1" x14ac:dyDescent="0.2">
      <c r="A119" s="24"/>
      <c r="B119" s="1"/>
      <c r="C119" s="14"/>
      <c r="D119" s="25"/>
      <c r="G119" s="1"/>
      <c r="L119" s="1"/>
      <c r="M119" s="1"/>
    </row>
    <row r="120" spans="1:13" s="2" customFormat="1" x14ac:dyDescent="0.2">
      <c r="A120" s="24"/>
      <c r="B120" s="1"/>
      <c r="C120" s="14"/>
      <c r="D120" s="25"/>
      <c r="G120" s="1"/>
      <c r="L120" s="1"/>
      <c r="M120" s="1"/>
    </row>
    <row r="121" spans="1:13" s="2" customFormat="1" x14ac:dyDescent="0.2">
      <c r="A121" s="24"/>
      <c r="B121" s="1"/>
      <c r="C121" s="14"/>
      <c r="D121" s="25"/>
      <c r="G121" s="1"/>
      <c r="L121" s="1"/>
      <c r="M121" s="1"/>
    </row>
    <row r="122" spans="1:13" s="2" customFormat="1" x14ac:dyDescent="0.2">
      <c r="A122" s="24"/>
      <c r="B122" s="1"/>
      <c r="C122" s="14"/>
      <c r="D122" s="25"/>
      <c r="G122" s="1"/>
      <c r="L122" s="1"/>
      <c r="M122" s="1"/>
    </row>
    <row r="123" spans="1:13" s="2" customFormat="1" x14ac:dyDescent="0.2">
      <c r="A123" s="24"/>
      <c r="B123" s="1"/>
      <c r="C123" s="14"/>
      <c r="D123" s="25"/>
      <c r="G123" s="1"/>
      <c r="L123" s="1"/>
      <c r="M123" s="1"/>
    </row>
    <row r="124" spans="1:13" s="2" customFormat="1" x14ac:dyDescent="0.2">
      <c r="A124" s="24"/>
      <c r="B124" s="1"/>
      <c r="C124" s="14"/>
      <c r="D124" s="25"/>
      <c r="G124" s="1"/>
      <c r="L124" s="1"/>
      <c r="M124" s="1"/>
    </row>
    <row r="125" spans="1:13" s="2" customFormat="1" x14ac:dyDescent="0.2">
      <c r="A125" s="24"/>
      <c r="B125" s="1"/>
      <c r="C125" s="14"/>
      <c r="D125" s="25"/>
      <c r="G125" s="1"/>
      <c r="L125" s="1"/>
      <c r="M125" s="1"/>
    </row>
    <row r="126" spans="1:13" s="2" customFormat="1" x14ac:dyDescent="0.2">
      <c r="A126" s="24"/>
      <c r="B126" s="1"/>
      <c r="C126" s="14"/>
      <c r="D126" s="25"/>
      <c r="G126" s="1"/>
      <c r="I126" s="1"/>
      <c r="J126" s="1"/>
      <c r="K126" s="1"/>
      <c r="L126" s="1"/>
      <c r="M126" s="1"/>
    </row>
    <row r="127" spans="1:13" s="2" customFormat="1" x14ac:dyDescent="0.2">
      <c r="A127" s="24"/>
      <c r="B127" s="1"/>
      <c r="C127" s="14"/>
      <c r="D127" s="25"/>
      <c r="G127" s="1"/>
    </row>
    <row r="128" spans="1:13" s="2" customFormat="1" x14ac:dyDescent="0.2">
      <c r="A128" s="24"/>
      <c r="B128" s="1"/>
      <c r="C128" s="14"/>
      <c r="D128" s="25"/>
      <c r="G128" s="1"/>
      <c r="I128" s="1"/>
      <c r="J128" s="1"/>
      <c r="K128" s="1"/>
      <c r="L128" s="1"/>
      <c r="M128" s="1"/>
    </row>
    <row r="129" spans="1:14" s="2" customFormat="1" x14ac:dyDescent="0.2">
      <c r="A129" s="24"/>
      <c r="B129" s="1"/>
      <c r="C129" s="14"/>
      <c r="D129" s="25"/>
      <c r="G129" s="54"/>
      <c r="I129" s="1"/>
      <c r="J129" s="1"/>
      <c r="K129" s="1"/>
      <c r="L129" s="1"/>
      <c r="M129" s="1"/>
    </row>
    <row r="130" spans="1:14" s="2" customFormat="1" x14ac:dyDescent="0.2">
      <c r="A130" s="24"/>
      <c r="B130" s="1"/>
      <c r="C130" s="14"/>
      <c r="D130" s="25"/>
      <c r="G130" s="54"/>
      <c r="I130" s="1"/>
      <c r="J130" s="1"/>
      <c r="K130" s="1"/>
      <c r="L130" s="1"/>
      <c r="M130" s="1"/>
    </row>
    <row r="131" spans="1:14" s="2" customFormat="1" x14ac:dyDescent="0.2">
      <c r="A131" s="24"/>
      <c r="B131" s="1"/>
      <c r="C131" s="14"/>
      <c r="D131" s="25"/>
      <c r="G131" s="54"/>
      <c r="I131" s="1"/>
      <c r="J131" s="1"/>
      <c r="K131" s="1"/>
      <c r="L131" s="1"/>
      <c r="M131" s="1"/>
    </row>
    <row r="132" spans="1:14" s="2" customFormat="1" x14ac:dyDescent="0.2">
      <c r="A132" s="24"/>
      <c r="B132" s="1"/>
      <c r="C132" s="14"/>
      <c r="D132" s="25"/>
      <c r="G132" s="54"/>
      <c r="H132" s="2" t="s">
        <v>396</v>
      </c>
      <c r="I132" s="1"/>
      <c r="J132" s="1"/>
      <c r="K132" s="1"/>
      <c r="L132" s="1"/>
      <c r="M132" s="1"/>
      <c r="N132" s="1"/>
    </row>
    <row r="133" spans="1:14" s="2" customFormat="1" x14ac:dyDescent="0.2">
      <c r="A133" s="24"/>
      <c r="B133" s="1"/>
      <c r="C133" s="14"/>
      <c r="D133" s="25"/>
      <c r="G133" s="54"/>
      <c r="H133" s="53"/>
    </row>
    <row r="134" spans="1:14" s="2" customFormat="1" x14ac:dyDescent="0.2">
      <c r="A134" s="24"/>
      <c r="B134" s="1"/>
      <c r="C134" s="14"/>
      <c r="D134" s="25"/>
      <c r="G134" s="54"/>
      <c r="H134" s="53" t="s">
        <v>396</v>
      </c>
      <c r="I134" s="1"/>
      <c r="J134" s="1"/>
      <c r="K134" s="1"/>
      <c r="L134" s="1"/>
      <c r="M134" s="1"/>
      <c r="N134" s="1"/>
    </row>
    <row r="135" spans="1:14" x14ac:dyDescent="0.2">
      <c r="G135" s="54"/>
      <c r="H135" s="53" t="s">
        <v>396</v>
      </c>
      <c r="J135" s="42"/>
    </row>
    <row r="136" spans="1:14" s="2" customFormat="1" x14ac:dyDescent="0.2">
      <c r="A136" s="24"/>
      <c r="B136" s="1"/>
      <c r="C136" s="14"/>
      <c r="D136" s="25"/>
      <c r="G136" s="54"/>
      <c r="H136" s="53"/>
      <c r="I136" s="101"/>
      <c r="J136" s="1"/>
      <c r="K136" s="1"/>
      <c r="L136" s="1"/>
      <c r="M136" s="1"/>
      <c r="N136" s="1"/>
    </row>
    <row r="137" spans="1:14" x14ac:dyDescent="0.2">
      <c r="G137" s="54"/>
      <c r="H137" s="53"/>
    </row>
    <row r="138" spans="1:14" x14ac:dyDescent="0.2">
      <c r="G138" s="54"/>
      <c r="H138" s="53"/>
    </row>
    <row r="139" spans="1:14" x14ac:dyDescent="0.2">
      <c r="G139" s="54"/>
      <c r="H139" s="53"/>
    </row>
  </sheetData>
  <sheetProtection insertRows="0"/>
  <mergeCells count="6">
    <mergeCell ref="C101:F101"/>
    <mergeCell ref="A1:G1"/>
    <mergeCell ref="A3:F3"/>
    <mergeCell ref="A9:F9"/>
    <mergeCell ref="A20:F20"/>
    <mergeCell ref="A92:D92"/>
  </mergeCells>
  <conditionalFormatting sqref="G89:G90">
    <cfRule type="cellIs" dxfId="233" priority="1" operator="lessThan">
      <formula>0</formula>
    </cfRule>
  </conditionalFormatting>
  <conditionalFormatting sqref="C22">
    <cfRule type="duplicateValues" dxfId="232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E00-000000000000}">
  <sheetPr codeName="Sheet470">
    <pageSetUpPr fitToPage="1"/>
  </sheetPr>
  <dimension ref="A1:N131"/>
  <sheetViews>
    <sheetView topLeftCell="A25" zoomScaleNormal="100" workbookViewId="0">
      <selection activeCell="E50" sqref="E50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1" ht="20.25" customHeight="1" x14ac:dyDescent="0.4">
      <c r="A1" s="212" t="s">
        <v>1748</v>
      </c>
      <c r="B1" s="212"/>
      <c r="C1" s="212"/>
      <c r="D1" s="212"/>
      <c r="E1" s="212"/>
      <c r="F1" s="212"/>
      <c r="G1" s="212"/>
      <c r="H1" s="112"/>
      <c r="I1" s="112"/>
    </row>
    <row r="2" spans="1:11" ht="12.75" customHeight="1" x14ac:dyDescent="0.4">
      <c r="H2" s="112"/>
      <c r="I2" s="112"/>
    </row>
    <row r="3" spans="1:11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1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1" s="2" customFormat="1" ht="14.25" customHeight="1" x14ac:dyDescent="0.4">
      <c r="A5" s="89">
        <v>45236</v>
      </c>
      <c r="B5" s="9" t="s">
        <v>6</v>
      </c>
      <c r="C5" s="10" t="s">
        <v>7</v>
      </c>
      <c r="D5" s="11"/>
      <c r="E5" s="12">
        <v>861669.58000000229</v>
      </c>
      <c r="F5" s="12"/>
      <c r="G5" s="1"/>
      <c r="H5" s="112"/>
      <c r="I5" s="112"/>
    </row>
    <row r="6" spans="1:11" s="2" customFormat="1" ht="14.25" customHeight="1" x14ac:dyDescent="0.4">
      <c r="A6" s="89">
        <v>45236</v>
      </c>
      <c r="B6" s="9" t="s">
        <v>6</v>
      </c>
      <c r="C6" s="10" t="s">
        <v>400</v>
      </c>
      <c r="D6" s="11" t="s">
        <v>13</v>
      </c>
      <c r="E6" s="12">
        <v>2500000</v>
      </c>
      <c r="F6" s="12"/>
      <c r="G6" s="1"/>
      <c r="H6" s="112"/>
      <c r="I6" s="112"/>
    </row>
    <row r="7" spans="1:11" s="2" customFormat="1" ht="14.25" customHeight="1" x14ac:dyDescent="0.4">
      <c r="A7" s="89">
        <v>45236</v>
      </c>
      <c r="B7" s="9" t="s">
        <v>11</v>
      </c>
      <c r="C7" s="10" t="s">
        <v>380</v>
      </c>
      <c r="D7" s="11" t="s">
        <v>29</v>
      </c>
      <c r="E7" s="12"/>
      <c r="F7" s="12">
        <v>2139710</v>
      </c>
      <c r="G7" s="1"/>
      <c r="H7" s="112"/>
      <c r="I7" s="112"/>
    </row>
    <row r="8" spans="1:11" s="2" customFormat="1" ht="12.75" customHeight="1" x14ac:dyDescent="0.4">
      <c r="D8" s="15" t="s">
        <v>8</v>
      </c>
      <c r="E8" s="16">
        <f>SUM(E5:E7)</f>
        <v>3361669.5800000024</v>
      </c>
      <c r="F8" s="16">
        <f>SUM(F7)</f>
        <v>2139710</v>
      </c>
      <c r="G8" s="1"/>
      <c r="H8" s="112"/>
      <c r="I8" s="112"/>
    </row>
    <row r="9" spans="1:11" s="2" customFormat="1" ht="12.75" customHeight="1" x14ac:dyDescent="0.4">
      <c r="A9" s="17"/>
      <c r="B9" s="18"/>
      <c r="C9" s="19" t="s">
        <v>9</v>
      </c>
      <c r="D9" s="20"/>
      <c r="E9" s="21">
        <f>+E8-F8</f>
        <v>1221959.5800000024</v>
      </c>
      <c r="F9" s="22"/>
      <c r="G9" s="23"/>
      <c r="H9" s="112"/>
      <c r="I9" s="112"/>
      <c r="J9" s="13"/>
    </row>
    <row r="10" spans="1:11" ht="12.75" customHeight="1" x14ac:dyDescent="0.4">
      <c r="H10" s="112"/>
      <c r="I10" s="112"/>
    </row>
    <row r="11" spans="1:11" ht="18" customHeight="1" x14ac:dyDescent="0.4">
      <c r="A11" s="213" t="s">
        <v>1037</v>
      </c>
      <c r="B11" s="213"/>
      <c r="C11" s="213"/>
      <c r="D11" s="213"/>
      <c r="E11" s="213"/>
      <c r="F11" s="213"/>
      <c r="H11" s="112"/>
      <c r="I11" s="169">
        <f>90000000-60000000</f>
        <v>30000000</v>
      </c>
      <c r="J11" s="169" t="s">
        <v>1508</v>
      </c>
    </row>
    <row r="12" spans="1:11" ht="12.75" customHeight="1" x14ac:dyDescent="0.4">
      <c r="A12" s="3" t="s">
        <v>1</v>
      </c>
      <c r="B12" s="4" t="s">
        <v>2</v>
      </c>
      <c r="C12" s="5"/>
      <c r="D12" s="6" t="s">
        <v>3</v>
      </c>
      <c r="E12" s="7" t="s">
        <v>4</v>
      </c>
      <c r="F12" s="7" t="s">
        <v>5</v>
      </c>
      <c r="H12" s="112"/>
      <c r="I12" s="169">
        <v>24301803.920000002</v>
      </c>
      <c r="J12" s="169" t="s">
        <v>1509</v>
      </c>
      <c r="K12" s="124"/>
    </row>
    <row r="13" spans="1:11" s="2" customFormat="1" ht="14.25" customHeight="1" x14ac:dyDescent="0.2">
      <c r="A13" s="89">
        <v>45235</v>
      </c>
      <c r="B13" s="9" t="s">
        <v>6</v>
      </c>
      <c r="C13" s="10" t="s">
        <v>7</v>
      </c>
      <c r="D13" s="11"/>
      <c r="F13" s="12">
        <v>24326452.669999998</v>
      </c>
      <c r="G13" s="1"/>
      <c r="H13" s="130" t="s">
        <v>396</v>
      </c>
      <c r="I13" s="169">
        <f>+I11-I12</f>
        <v>5698196.0799999982</v>
      </c>
      <c r="J13" s="169" t="s">
        <v>712</v>
      </c>
      <c r="K13" s="165" t="s">
        <v>1512</v>
      </c>
    </row>
    <row r="14" spans="1:11" s="2" customFormat="1" ht="14.25" customHeight="1" x14ac:dyDescent="0.2">
      <c r="A14" s="89">
        <v>45235</v>
      </c>
      <c r="B14" s="9" t="s">
        <v>6</v>
      </c>
      <c r="C14" s="10" t="s">
        <v>1749</v>
      </c>
      <c r="D14" s="11" t="s">
        <v>13</v>
      </c>
      <c r="E14" s="2">
        <v>722006</v>
      </c>
      <c r="F14" s="12"/>
      <c r="G14" s="1"/>
      <c r="H14" s="130"/>
      <c r="I14" s="169"/>
      <c r="J14" s="169"/>
      <c r="K14" s="165"/>
    </row>
    <row r="15" spans="1:11" s="2" customFormat="1" ht="14.25" customHeight="1" x14ac:dyDescent="0.2">
      <c r="A15" s="89">
        <v>45235</v>
      </c>
      <c r="B15" s="9" t="s">
        <v>6</v>
      </c>
      <c r="C15" s="10" t="s">
        <v>220</v>
      </c>
      <c r="D15" s="11" t="s">
        <v>13</v>
      </c>
      <c r="E15" s="2">
        <v>1390767</v>
      </c>
      <c r="F15" s="12"/>
      <c r="G15" s="1"/>
      <c r="H15" s="130"/>
      <c r="I15" s="169"/>
      <c r="J15" s="169"/>
      <c r="K15" s="165"/>
    </row>
    <row r="16" spans="1:11" s="2" customFormat="1" ht="14.25" customHeight="1" x14ac:dyDescent="0.2">
      <c r="A16" s="89">
        <v>45235</v>
      </c>
      <c r="B16" s="9" t="s">
        <v>6</v>
      </c>
      <c r="C16" s="10" t="s">
        <v>15</v>
      </c>
      <c r="D16" s="11" t="s">
        <v>13</v>
      </c>
      <c r="E16" s="2">
        <v>24693.75</v>
      </c>
      <c r="F16" s="12"/>
      <c r="G16" s="1"/>
      <c r="H16" s="130"/>
      <c r="I16" s="169"/>
      <c r="J16" s="169"/>
      <c r="K16" s="165"/>
    </row>
    <row r="17" spans="1:14" s="2" customFormat="1" ht="14.25" customHeight="1" x14ac:dyDescent="0.2">
      <c r="A17" s="89">
        <v>45235</v>
      </c>
      <c r="B17" s="9" t="s">
        <v>11</v>
      </c>
      <c r="C17" s="10" t="s">
        <v>15</v>
      </c>
      <c r="D17" s="11" t="s">
        <v>13</v>
      </c>
      <c r="F17" s="12">
        <v>45</v>
      </c>
      <c r="G17" s="1"/>
      <c r="H17" s="130"/>
      <c r="I17" s="169"/>
      <c r="J17" s="169"/>
      <c r="K17" s="165"/>
    </row>
    <row r="18" spans="1:14" s="2" customFormat="1" ht="14.25" customHeight="1" x14ac:dyDescent="0.2">
      <c r="D18" s="11" t="s">
        <v>8</v>
      </c>
      <c r="E18" s="16">
        <f>SUM(E14:E17)</f>
        <v>2137466.75</v>
      </c>
      <c r="F18" s="16">
        <f>SUM(F13:F17)</f>
        <v>24326497.669999998</v>
      </c>
      <c r="G18" s="1"/>
      <c r="H18" s="143"/>
      <c r="I18" s="130"/>
      <c r="J18" s="143"/>
      <c r="K18" s="143"/>
      <c r="L18" s="143"/>
      <c r="M18" s="143"/>
    </row>
    <row r="19" spans="1:14" s="2" customFormat="1" ht="14.25" customHeight="1" x14ac:dyDescent="0.4">
      <c r="A19" s="17"/>
      <c r="B19" s="18"/>
      <c r="C19" s="96" t="s">
        <v>9</v>
      </c>
      <c r="D19" s="20"/>
      <c r="E19" s="21">
        <f>+F18-E18</f>
        <v>22189030.919999998</v>
      </c>
      <c r="G19" s="1"/>
      <c r="I19" s="112"/>
      <c r="J19" s="153" t="s">
        <v>779</v>
      </c>
    </row>
    <row r="20" spans="1:14" s="2" customFormat="1" ht="14.25" customHeight="1" x14ac:dyDescent="0.2">
      <c r="A20" s="36"/>
      <c r="B20" s="28" t="s">
        <v>66</v>
      </c>
      <c r="C20" s="43" t="s">
        <v>1458</v>
      </c>
      <c r="D20" s="43"/>
      <c r="E20" s="12">
        <f>30000000+60000000</f>
        <v>90000000</v>
      </c>
      <c r="F20" s="22"/>
      <c r="G20" s="1"/>
      <c r="I20" s="40">
        <v>22189030.920000002</v>
      </c>
      <c r="J20" s="154">
        <f>I20-E19</f>
        <v>0</v>
      </c>
    </row>
    <row r="21" spans="1:14" s="2" customFormat="1" ht="14.25" customHeight="1" x14ac:dyDescent="0.25">
      <c r="A21" s="36"/>
      <c r="B21" s="28"/>
      <c r="C21" s="44" t="s">
        <v>1541</v>
      </c>
      <c r="D21" s="43"/>
      <c r="E21" s="7">
        <f>+E19+E20</f>
        <v>112189030.92</v>
      </c>
      <c r="F21" s="22"/>
      <c r="G21" s="1"/>
      <c r="H21" s="13" t="s">
        <v>1582</v>
      </c>
      <c r="I21" s="13" t="s">
        <v>1583</v>
      </c>
    </row>
    <row r="22" spans="1:14" s="2" customFormat="1" ht="14.25" customHeight="1" x14ac:dyDescent="0.25">
      <c r="A22" s="36"/>
      <c r="B22" s="28"/>
      <c r="C22" s="44" t="s">
        <v>1511</v>
      </c>
      <c r="D22" s="43"/>
      <c r="E22" s="38">
        <f>+I13</f>
        <v>5698196.0799999982</v>
      </c>
      <c r="F22" s="22"/>
      <c r="G22" s="1"/>
      <c r="H22" s="2">
        <v>11153139</v>
      </c>
      <c r="I22" s="2">
        <v>5299834</v>
      </c>
      <c r="J22" s="176">
        <f>H22-I22</f>
        <v>5853305</v>
      </c>
    </row>
    <row r="23" spans="1:14" s="2" customFormat="1" ht="14.25" customHeight="1" x14ac:dyDescent="0.2">
      <c r="A23" s="24"/>
      <c r="B23" s="1"/>
      <c r="C23" s="14"/>
      <c r="D23" s="25"/>
      <c r="G23" s="1"/>
      <c r="I23" s="130"/>
      <c r="J23" s="130"/>
    </row>
    <row r="24" spans="1:14" s="2" customFormat="1" x14ac:dyDescent="0.2">
      <c r="A24" s="214" t="s">
        <v>10</v>
      </c>
      <c r="B24" s="214"/>
      <c r="C24" s="214"/>
      <c r="D24" s="214"/>
      <c r="E24" s="214"/>
      <c r="F24" s="214"/>
      <c r="G24" s="1"/>
      <c r="H24" s="159"/>
      <c r="I24" s="160">
        <f>225000000-75000000-50000000</f>
        <v>100000000</v>
      </c>
      <c r="J24" s="160" t="s">
        <v>1506</v>
      </c>
      <c r="K24" s="70"/>
    </row>
    <row r="25" spans="1:14" s="2" customFormat="1" x14ac:dyDescent="0.2">
      <c r="A25" s="26" t="s">
        <v>1</v>
      </c>
      <c r="B25" s="27" t="s">
        <v>2</v>
      </c>
      <c r="C25" s="5"/>
      <c r="D25" s="6" t="s">
        <v>3</v>
      </c>
      <c r="E25" s="7" t="s">
        <v>4</v>
      </c>
      <c r="F25" s="7" t="s">
        <v>5</v>
      </c>
      <c r="G25" s="1"/>
      <c r="H25" s="159"/>
      <c r="I25" s="160">
        <v>65438044.43</v>
      </c>
      <c r="J25" s="160" t="s">
        <v>1507</v>
      </c>
      <c r="K25" s="70" t="s">
        <v>1512</v>
      </c>
    </row>
    <row r="26" spans="1:14" s="2" customFormat="1" x14ac:dyDescent="0.2">
      <c r="A26" s="89">
        <v>45236</v>
      </c>
      <c r="B26" s="128" t="s">
        <v>11</v>
      </c>
      <c r="C26" s="29" t="s">
        <v>7</v>
      </c>
      <c r="D26" s="25"/>
      <c r="E26" s="31"/>
      <c r="F26" s="2">
        <v>62776321.180000067</v>
      </c>
      <c r="G26" s="23"/>
      <c r="H26" s="159" t="s">
        <v>1505</v>
      </c>
      <c r="I26" s="160">
        <f>+I24-I25</f>
        <v>34561955.57</v>
      </c>
      <c r="J26" s="160"/>
      <c r="K26" s="70"/>
    </row>
    <row r="27" spans="1:14" s="2" customFormat="1" x14ac:dyDescent="0.2">
      <c r="A27" s="89">
        <v>45236</v>
      </c>
      <c r="B27" s="128" t="s">
        <v>6</v>
      </c>
      <c r="C27" s="10" t="s">
        <v>381</v>
      </c>
      <c r="D27" s="11" t="s">
        <v>13</v>
      </c>
      <c r="E27" s="86">
        <v>21840</v>
      </c>
      <c r="F27" s="70"/>
      <c r="G27" s="1"/>
      <c r="N27" s="1"/>
    </row>
    <row r="28" spans="1:14" s="2" customFormat="1" x14ac:dyDescent="0.2">
      <c r="A28" s="89">
        <v>45236</v>
      </c>
      <c r="B28" s="128" t="s">
        <v>6</v>
      </c>
      <c r="C28" s="10" t="s">
        <v>62</v>
      </c>
      <c r="D28" s="11" t="s">
        <v>13</v>
      </c>
      <c r="E28" s="86">
        <v>24000</v>
      </c>
      <c r="F28" s="70"/>
      <c r="G28" s="1"/>
      <c r="N28" s="1"/>
    </row>
    <row r="29" spans="1:14" s="2" customFormat="1" x14ac:dyDescent="0.2">
      <c r="A29" s="89">
        <v>45236</v>
      </c>
      <c r="B29" s="128" t="s">
        <v>6</v>
      </c>
      <c r="C29" s="10" t="s">
        <v>1332</v>
      </c>
      <c r="D29" s="11" t="s">
        <v>13</v>
      </c>
      <c r="E29" s="86">
        <v>100000</v>
      </c>
      <c r="F29" s="70"/>
      <c r="G29" s="1"/>
      <c r="N29" s="1"/>
    </row>
    <row r="30" spans="1:14" s="2" customFormat="1" x14ac:dyDescent="0.2">
      <c r="A30" s="89">
        <v>45236</v>
      </c>
      <c r="B30" s="128" t="s">
        <v>6</v>
      </c>
      <c r="C30" s="10" t="s">
        <v>332</v>
      </c>
      <c r="D30" s="11" t="s">
        <v>13</v>
      </c>
      <c r="E30" s="86">
        <v>36715</v>
      </c>
      <c r="F30" s="70"/>
      <c r="G30" s="1"/>
      <c r="N30" s="1"/>
    </row>
    <row r="31" spans="1:14" s="2" customFormat="1" x14ac:dyDescent="0.2">
      <c r="A31" s="89">
        <v>45236</v>
      </c>
      <c r="B31" s="128" t="s">
        <v>6</v>
      </c>
      <c r="C31" s="10" t="s">
        <v>12</v>
      </c>
      <c r="D31" s="11" t="s">
        <v>13</v>
      </c>
      <c r="E31" s="86">
        <v>364873.11</v>
      </c>
      <c r="F31" s="70"/>
      <c r="G31" s="1"/>
      <c r="N31" s="1"/>
    </row>
    <row r="32" spans="1:14" s="2" customFormat="1" x14ac:dyDescent="0.2">
      <c r="A32" s="89">
        <v>45236</v>
      </c>
      <c r="B32" s="128" t="s">
        <v>6</v>
      </c>
      <c r="C32" s="10" t="s">
        <v>177</v>
      </c>
      <c r="D32" s="11" t="s">
        <v>13</v>
      </c>
      <c r="E32" s="86">
        <v>927100</v>
      </c>
      <c r="F32" s="70"/>
      <c r="G32" s="1"/>
      <c r="N32" s="1"/>
    </row>
    <row r="33" spans="1:14" s="2" customFormat="1" x14ac:dyDescent="0.2">
      <c r="A33" s="89">
        <v>45236</v>
      </c>
      <c r="B33" s="128" t="s">
        <v>6</v>
      </c>
      <c r="C33" s="10" t="s">
        <v>106</v>
      </c>
      <c r="D33" s="11" t="s">
        <v>13</v>
      </c>
      <c r="E33" s="86">
        <v>1400000</v>
      </c>
      <c r="F33" s="70"/>
      <c r="G33" s="1"/>
      <c r="N33" s="1"/>
    </row>
    <row r="34" spans="1:14" s="2" customFormat="1" x14ac:dyDescent="0.2">
      <c r="A34" s="89">
        <v>45236</v>
      </c>
      <c r="B34" s="128" t="s">
        <v>6</v>
      </c>
      <c r="C34" s="10" t="s">
        <v>1584</v>
      </c>
      <c r="D34" s="11" t="s">
        <v>13</v>
      </c>
      <c r="E34" s="86">
        <v>29302.89</v>
      </c>
      <c r="F34" s="70"/>
      <c r="G34" s="1"/>
      <c r="N34" s="1"/>
    </row>
    <row r="35" spans="1:14" s="2" customFormat="1" x14ac:dyDescent="0.2">
      <c r="A35" s="89">
        <v>45236</v>
      </c>
      <c r="B35" s="128" t="s">
        <v>6</v>
      </c>
      <c r="C35" s="10" t="s">
        <v>1750</v>
      </c>
      <c r="D35" s="11" t="s">
        <v>13</v>
      </c>
      <c r="E35" s="86">
        <v>516396</v>
      </c>
      <c r="F35" s="70"/>
      <c r="G35" s="1"/>
      <c r="N35" s="1"/>
    </row>
    <row r="36" spans="1:14" s="2" customFormat="1" x14ac:dyDescent="0.2">
      <c r="A36" s="89">
        <v>45236</v>
      </c>
      <c r="B36" s="128" t="s">
        <v>6</v>
      </c>
      <c r="C36" s="10" t="s">
        <v>144</v>
      </c>
      <c r="D36" s="11" t="s">
        <v>13</v>
      </c>
      <c r="E36" s="86">
        <v>1328307</v>
      </c>
      <c r="F36" s="70"/>
      <c r="G36" s="1"/>
      <c r="N36" s="1"/>
    </row>
    <row r="37" spans="1:14" s="2" customFormat="1" x14ac:dyDescent="0.2">
      <c r="A37" s="89">
        <v>45236</v>
      </c>
      <c r="B37" s="128" t="s">
        <v>6</v>
      </c>
      <c r="C37" s="10" t="s">
        <v>830</v>
      </c>
      <c r="D37" s="11" t="s">
        <v>13</v>
      </c>
      <c r="E37" s="86">
        <v>382252.02</v>
      </c>
      <c r="F37" s="70"/>
      <c r="G37" s="1"/>
      <c r="N37" s="1"/>
    </row>
    <row r="38" spans="1:14" s="2" customFormat="1" x14ac:dyDescent="0.2">
      <c r="A38" s="89">
        <v>45236</v>
      </c>
      <c r="B38" s="128" t="s">
        <v>6</v>
      </c>
      <c r="C38" s="10" t="s">
        <v>555</v>
      </c>
      <c r="D38" s="11" t="s">
        <v>13</v>
      </c>
      <c r="E38" s="86">
        <v>1148057</v>
      </c>
      <c r="F38" s="70"/>
      <c r="G38" s="1"/>
      <c r="N38" s="1"/>
    </row>
    <row r="39" spans="1:14" s="2" customFormat="1" x14ac:dyDescent="0.2">
      <c r="A39" s="89">
        <v>45236</v>
      </c>
      <c r="B39" s="128" t="s">
        <v>6</v>
      </c>
      <c r="C39" s="10" t="s">
        <v>1690</v>
      </c>
      <c r="D39" s="11" t="s">
        <v>13</v>
      </c>
      <c r="E39" s="86">
        <v>701547</v>
      </c>
      <c r="F39" s="70"/>
      <c r="G39" s="1"/>
      <c r="N39" s="1"/>
    </row>
    <row r="40" spans="1:14" s="2" customFormat="1" x14ac:dyDescent="0.2">
      <c r="A40" s="89">
        <v>45236</v>
      </c>
      <c r="B40" s="128" t="s">
        <v>6</v>
      </c>
      <c r="C40" s="10" t="s">
        <v>1033</v>
      </c>
      <c r="D40" s="11" t="s">
        <v>13</v>
      </c>
      <c r="E40" s="86">
        <v>1550736</v>
      </c>
      <c r="F40" s="70"/>
      <c r="G40" s="1"/>
      <c r="N40" s="1"/>
    </row>
    <row r="41" spans="1:14" s="2" customFormat="1" x14ac:dyDescent="0.2">
      <c r="A41" s="89">
        <v>45236</v>
      </c>
      <c r="B41" s="128" t="s">
        <v>6</v>
      </c>
      <c r="C41" s="10" t="s">
        <v>469</v>
      </c>
      <c r="D41" s="11" t="s">
        <v>13</v>
      </c>
      <c r="E41" s="86">
        <v>740352</v>
      </c>
      <c r="F41" s="70"/>
      <c r="G41" s="1"/>
      <c r="N41" s="1"/>
    </row>
    <row r="42" spans="1:14" s="2" customFormat="1" x14ac:dyDescent="0.2">
      <c r="A42" s="89">
        <v>45236</v>
      </c>
      <c r="B42" s="128" t="s">
        <v>6</v>
      </c>
      <c r="C42" s="10" t="s">
        <v>1229</v>
      </c>
      <c r="D42" s="11" t="s">
        <v>13</v>
      </c>
      <c r="E42" s="86">
        <v>2412395</v>
      </c>
      <c r="F42" s="70"/>
      <c r="G42" s="1"/>
      <c r="N42" s="1"/>
    </row>
    <row r="43" spans="1:14" s="2" customFormat="1" x14ac:dyDescent="0.2">
      <c r="A43" s="89">
        <v>45236</v>
      </c>
      <c r="B43" s="128" t="s">
        <v>6</v>
      </c>
      <c r="C43" s="10" t="s">
        <v>1751</v>
      </c>
      <c r="D43" s="11" t="s">
        <v>13</v>
      </c>
      <c r="E43" s="86">
        <v>1330551</v>
      </c>
      <c r="F43" s="70"/>
      <c r="G43" s="1"/>
      <c r="N43" s="1"/>
    </row>
    <row r="44" spans="1:14" s="2" customFormat="1" x14ac:dyDescent="0.2">
      <c r="A44" s="89">
        <v>45236</v>
      </c>
      <c r="B44" s="128" t="s">
        <v>6</v>
      </c>
      <c r="C44" s="10" t="s">
        <v>947</v>
      </c>
      <c r="D44" s="11" t="s">
        <v>13</v>
      </c>
      <c r="E44" s="86">
        <v>1748694</v>
      </c>
      <c r="F44" s="70"/>
      <c r="G44" s="1"/>
      <c r="N44" s="1"/>
    </row>
    <row r="45" spans="1:14" s="2" customFormat="1" x14ac:dyDescent="0.2">
      <c r="A45" s="89">
        <v>45236</v>
      </c>
      <c r="B45" s="128" t="s">
        <v>6</v>
      </c>
      <c r="C45" s="10" t="s">
        <v>684</v>
      </c>
      <c r="D45" s="11" t="s">
        <v>13</v>
      </c>
      <c r="E45" s="86">
        <v>662310</v>
      </c>
      <c r="F45" s="70"/>
      <c r="G45" s="1"/>
      <c r="N45" s="1"/>
    </row>
    <row r="46" spans="1:14" s="2" customFormat="1" x14ac:dyDescent="0.2">
      <c r="A46" s="89">
        <v>45236</v>
      </c>
      <c r="B46" s="128" t="s">
        <v>6</v>
      </c>
      <c r="C46" s="10" t="s">
        <v>785</v>
      </c>
      <c r="D46" s="11" t="s">
        <v>13</v>
      </c>
      <c r="E46" s="86">
        <v>407455</v>
      </c>
      <c r="F46" s="70"/>
      <c r="G46" s="1"/>
      <c r="N46" s="1"/>
    </row>
    <row r="47" spans="1:14" s="2" customFormat="1" x14ac:dyDescent="0.2">
      <c r="A47" s="89">
        <v>45236</v>
      </c>
      <c r="B47" s="128" t="s">
        <v>6</v>
      </c>
      <c r="C47" s="10" t="s">
        <v>819</v>
      </c>
      <c r="D47" s="11" t="s">
        <v>13</v>
      </c>
      <c r="E47" s="86">
        <v>652952</v>
      </c>
      <c r="F47" s="70"/>
      <c r="G47" s="1"/>
      <c r="N47" s="1"/>
    </row>
    <row r="48" spans="1:14" s="2" customFormat="1" x14ac:dyDescent="0.2">
      <c r="A48" s="89">
        <v>45236</v>
      </c>
      <c r="B48" s="128" t="s">
        <v>6</v>
      </c>
      <c r="C48" s="10" t="s">
        <v>756</v>
      </c>
      <c r="D48" s="11" t="s">
        <v>13</v>
      </c>
      <c r="E48" s="86">
        <v>22050</v>
      </c>
      <c r="F48" s="70"/>
      <c r="G48" s="1"/>
      <c r="N48" s="1"/>
    </row>
    <row r="49" spans="1:14" s="2" customFormat="1" x14ac:dyDescent="0.2">
      <c r="A49" s="89">
        <v>45236</v>
      </c>
      <c r="B49" s="128" t="s">
        <v>6</v>
      </c>
      <c r="C49" s="10" t="s">
        <v>200</v>
      </c>
      <c r="D49" s="11" t="s">
        <v>13</v>
      </c>
      <c r="E49" s="86">
        <v>66977</v>
      </c>
      <c r="F49" s="70"/>
      <c r="G49" s="1"/>
      <c r="N49" s="1"/>
    </row>
    <row r="50" spans="1:14" s="2" customFormat="1" x14ac:dyDescent="0.2">
      <c r="A50" s="89">
        <v>45236</v>
      </c>
      <c r="B50" s="128" t="s">
        <v>6</v>
      </c>
      <c r="C50" s="10" t="s">
        <v>1752</v>
      </c>
      <c r="D50" s="11" t="s">
        <v>13</v>
      </c>
      <c r="E50" s="86">
        <v>1000000</v>
      </c>
      <c r="F50" s="70"/>
      <c r="G50" s="1"/>
      <c r="N50" s="1"/>
    </row>
    <row r="51" spans="1:14" s="2" customFormat="1" x14ac:dyDescent="0.2">
      <c r="A51" s="89">
        <v>45236</v>
      </c>
      <c r="B51" s="128" t="s">
        <v>11</v>
      </c>
      <c r="C51" s="10" t="s">
        <v>64</v>
      </c>
      <c r="D51" s="11" t="s">
        <v>29</v>
      </c>
      <c r="E51" s="86"/>
      <c r="F51" s="70">
        <f>12864.56-2360</f>
        <v>10504.56</v>
      </c>
      <c r="G51" s="1"/>
      <c r="N51" s="1"/>
    </row>
    <row r="52" spans="1:14" s="2" customFormat="1" x14ac:dyDescent="0.2">
      <c r="A52" s="89">
        <v>45236</v>
      </c>
      <c r="B52" s="128" t="s">
        <v>11</v>
      </c>
      <c r="C52" s="10" t="s">
        <v>183</v>
      </c>
      <c r="D52" s="11" t="s">
        <v>29</v>
      </c>
      <c r="E52" s="86"/>
      <c r="F52" s="70">
        <v>20623</v>
      </c>
      <c r="G52" s="1"/>
      <c r="N52" s="1"/>
    </row>
    <row r="53" spans="1:14" s="2" customFormat="1" x14ac:dyDescent="0.2">
      <c r="A53" s="89">
        <v>45236</v>
      </c>
      <c r="B53" s="128" t="s">
        <v>11</v>
      </c>
      <c r="C53" s="10" t="s">
        <v>284</v>
      </c>
      <c r="D53" s="11" t="s">
        <v>29</v>
      </c>
      <c r="E53" s="86"/>
      <c r="F53" s="70">
        <v>684030</v>
      </c>
      <c r="G53" s="1"/>
      <c r="N53" s="1"/>
    </row>
    <row r="54" spans="1:14" s="2" customFormat="1" x14ac:dyDescent="0.2">
      <c r="A54" s="89">
        <v>45236</v>
      </c>
      <c r="B54" s="128" t="s">
        <v>11</v>
      </c>
      <c r="C54" s="10" t="s">
        <v>109</v>
      </c>
      <c r="D54" s="11" t="s">
        <v>29</v>
      </c>
      <c r="E54" s="86"/>
      <c r="F54" s="70">
        <v>2948286</v>
      </c>
      <c r="G54" s="1"/>
      <c r="N54" s="1"/>
    </row>
    <row r="55" spans="1:14" s="2" customFormat="1" x14ac:dyDescent="0.2">
      <c r="A55" s="89">
        <v>45236</v>
      </c>
      <c r="B55" s="128" t="s">
        <v>11</v>
      </c>
      <c r="C55" s="10" t="s">
        <v>223</v>
      </c>
      <c r="D55" s="11" t="s">
        <v>29</v>
      </c>
      <c r="E55" s="86"/>
      <c r="F55" s="70">
        <v>3115321</v>
      </c>
      <c r="G55" s="1"/>
      <c r="N55" s="1"/>
    </row>
    <row r="56" spans="1:14" s="2" customFormat="1" x14ac:dyDescent="0.2">
      <c r="A56" s="89">
        <v>45236</v>
      </c>
      <c r="B56" s="128" t="s">
        <v>11</v>
      </c>
      <c r="C56" s="10" t="s">
        <v>402</v>
      </c>
      <c r="D56" s="11" t="s">
        <v>29</v>
      </c>
      <c r="E56" s="86"/>
      <c r="F56" s="70">
        <v>2500000</v>
      </c>
      <c r="G56" s="1"/>
      <c r="N56" s="1"/>
    </row>
    <row r="57" spans="1:14" s="2" customFormat="1" x14ac:dyDescent="0.2">
      <c r="A57" s="89">
        <v>45236</v>
      </c>
      <c r="B57" s="128" t="s">
        <v>11</v>
      </c>
      <c r="C57" s="10" t="s">
        <v>1670</v>
      </c>
      <c r="D57" s="11" t="s">
        <v>29</v>
      </c>
      <c r="E57" s="86"/>
      <c r="F57" s="70">
        <v>99000</v>
      </c>
      <c r="G57" s="1"/>
      <c r="N57" s="1"/>
    </row>
    <row r="58" spans="1:14" s="2" customFormat="1" x14ac:dyDescent="0.2">
      <c r="A58" s="89">
        <v>45236</v>
      </c>
      <c r="B58" s="128" t="s">
        <v>11</v>
      </c>
      <c r="C58" s="10" t="s">
        <v>63</v>
      </c>
      <c r="D58" s="11" t="s">
        <v>29</v>
      </c>
      <c r="E58" s="86"/>
      <c r="F58" s="70">
        <v>3500000</v>
      </c>
      <c r="G58" s="1"/>
      <c r="N58" s="1"/>
    </row>
    <row r="59" spans="1:14" s="2" customFormat="1" x14ac:dyDescent="0.2">
      <c r="A59" s="89">
        <v>45236</v>
      </c>
      <c r="B59" s="128" t="s">
        <v>11</v>
      </c>
      <c r="C59" s="10" t="s">
        <v>57</v>
      </c>
      <c r="D59" s="11" t="s">
        <v>29</v>
      </c>
      <c r="E59" s="86"/>
      <c r="F59" s="70">
        <v>500000</v>
      </c>
      <c r="G59" s="1"/>
      <c r="N59" s="1"/>
    </row>
    <row r="60" spans="1:14" s="2" customFormat="1" x14ac:dyDescent="0.2">
      <c r="A60" s="89">
        <v>45236</v>
      </c>
      <c r="B60" s="128" t="s">
        <v>11</v>
      </c>
      <c r="C60" s="10" t="s">
        <v>15</v>
      </c>
      <c r="D60" s="11" t="s">
        <v>29</v>
      </c>
      <c r="E60" s="86"/>
      <c r="F60" s="70">
        <v>5515.71</v>
      </c>
      <c r="G60" s="1"/>
      <c r="N60" s="1"/>
    </row>
    <row r="61" spans="1:14" s="2" customFormat="1" x14ac:dyDescent="0.2">
      <c r="A61" s="32"/>
      <c r="B61" s="33"/>
      <c r="C61" s="14"/>
      <c r="D61" s="34"/>
      <c r="E61" s="16">
        <f>SUM(E26:E60)</f>
        <v>17574862.02</v>
      </c>
      <c r="F61" s="16">
        <f>SUM(F26:F60)</f>
        <v>76159601.450000063</v>
      </c>
      <c r="G61" s="1"/>
      <c r="H61" s="1"/>
      <c r="I61" s="38">
        <v>58584739.43</v>
      </c>
      <c r="K61" s="92">
        <f>E62-I61</f>
        <v>6.7055225372314453E-8</v>
      </c>
      <c r="N61" s="1"/>
    </row>
    <row r="62" spans="1:14" s="2" customFormat="1" x14ac:dyDescent="0.2">
      <c r="A62" s="36"/>
      <c r="B62" s="28" t="s">
        <v>11</v>
      </c>
      <c r="C62" s="19" t="s">
        <v>65</v>
      </c>
      <c r="D62" s="37"/>
      <c r="E62" s="38">
        <f>F61-E61</f>
        <v>58584739.430000067</v>
      </c>
      <c r="F62" s="22"/>
      <c r="G62" s="1"/>
      <c r="H62" s="1"/>
      <c r="I62" s="70"/>
      <c r="J62" s="70"/>
      <c r="K62" s="70"/>
      <c r="N62" s="1"/>
    </row>
    <row r="63" spans="1:14" s="2" customFormat="1" x14ac:dyDescent="0.2">
      <c r="A63" s="36"/>
      <c r="B63" s="28" t="s">
        <v>66</v>
      </c>
      <c r="C63" s="19" t="s">
        <v>67</v>
      </c>
      <c r="D63" s="37"/>
      <c r="E63" s="38">
        <v>6500000</v>
      </c>
      <c r="F63" s="22"/>
      <c r="G63" s="1"/>
      <c r="H63" s="70"/>
      <c r="I63" s="70"/>
      <c r="J63" s="70"/>
      <c r="K63" s="70"/>
      <c r="N63" s="1"/>
    </row>
    <row r="64" spans="1:14" s="2" customFormat="1" x14ac:dyDescent="0.2">
      <c r="A64" s="36"/>
      <c r="B64" s="28" t="s">
        <v>66</v>
      </c>
      <c r="C64" s="43" t="s">
        <v>1457</v>
      </c>
      <c r="D64" s="43"/>
      <c r="E64" s="12">
        <f>275000000+75000000+50000000</f>
        <v>400000000</v>
      </c>
      <c r="F64" s="22"/>
      <c r="G64" s="1"/>
      <c r="H64" s="70"/>
      <c r="I64" s="45">
        <v>913.37</v>
      </c>
      <c r="J64" s="46"/>
      <c r="K64" s="46"/>
      <c r="N64" s="1"/>
    </row>
    <row r="65" spans="1:14" s="2" customFormat="1" ht="15" x14ac:dyDescent="0.25">
      <c r="A65" s="36"/>
      <c r="B65" s="28"/>
      <c r="C65" s="44" t="s">
        <v>1541</v>
      </c>
      <c r="D65" s="43"/>
      <c r="E65" s="7">
        <f>+E64+E62+E63</f>
        <v>465084739.43000007</v>
      </c>
      <c r="F65" s="22"/>
      <c r="G65" s="1"/>
      <c r="H65" s="103" t="s">
        <v>69</v>
      </c>
      <c r="I65" s="45">
        <v>0.78</v>
      </c>
      <c r="J65" s="46"/>
      <c r="K65" s="46"/>
      <c r="N65" s="1"/>
    </row>
    <row r="66" spans="1:14" s="2" customFormat="1" ht="15" x14ac:dyDescent="0.25">
      <c r="A66" s="24"/>
      <c r="B66" s="1"/>
      <c r="C66" s="44" t="s">
        <v>1510</v>
      </c>
      <c r="D66" s="25"/>
      <c r="E66" s="156">
        <f>+I26-E63+H22-I22</f>
        <v>33915260.57</v>
      </c>
      <c r="G66" s="1"/>
      <c r="H66" s="35" t="s">
        <v>70</v>
      </c>
      <c r="I66" s="45">
        <v>0</v>
      </c>
      <c r="J66" s="46">
        <f>+I67-D69</f>
        <v>0</v>
      </c>
      <c r="N66" s="1"/>
    </row>
    <row r="67" spans="1:14" s="124" customFormat="1" ht="12.75" customHeight="1" x14ac:dyDescent="0.2">
      <c r="A67" s="24"/>
      <c r="B67" s="1"/>
      <c r="C67" s="56"/>
      <c r="D67" s="56"/>
      <c r="E67" s="104"/>
      <c r="F67" s="2"/>
      <c r="G67" s="166"/>
      <c r="H67" s="70"/>
      <c r="I67" s="49">
        <f>SUM(I64:I66)</f>
        <v>914.15</v>
      </c>
      <c r="J67" s="46"/>
      <c r="K67" s="46"/>
    </row>
    <row r="68" spans="1:14" s="124" customFormat="1" ht="12.75" customHeight="1" x14ac:dyDescent="0.2">
      <c r="A68" s="24"/>
      <c r="B68" s="1"/>
      <c r="C68" s="78" t="s">
        <v>575</v>
      </c>
      <c r="D68" s="48" t="s">
        <v>576</v>
      </c>
      <c r="E68" s="104"/>
      <c r="F68" s="2"/>
      <c r="G68" s="168"/>
      <c r="H68" s="167"/>
      <c r="I68" s="167"/>
      <c r="J68" s="168"/>
    </row>
    <row r="69" spans="1:14" s="124" customFormat="1" ht="12.75" customHeight="1" x14ac:dyDescent="0.2">
      <c r="A69" s="24"/>
      <c r="B69" s="1"/>
      <c r="C69" s="47" t="s">
        <v>570</v>
      </c>
      <c r="D69" s="111">
        <v>914.15</v>
      </c>
      <c r="E69" s="104"/>
      <c r="F69" s="2"/>
      <c r="G69" s="168"/>
      <c r="H69" s="110" t="s">
        <v>581</v>
      </c>
      <c r="I69" s="167"/>
      <c r="J69" s="168"/>
    </row>
    <row r="70" spans="1:14" s="124" customFormat="1" ht="12.75" customHeight="1" x14ac:dyDescent="0.2">
      <c r="A70" s="24"/>
      <c r="B70" s="1"/>
      <c r="C70" s="47" t="s">
        <v>931</v>
      </c>
      <c r="D70" s="111">
        <v>0</v>
      </c>
      <c r="E70" s="104"/>
      <c r="F70" s="2"/>
      <c r="G70" s="168"/>
      <c r="H70" s="110" t="s">
        <v>580</v>
      </c>
      <c r="I70" s="167"/>
      <c r="J70" s="168"/>
    </row>
    <row r="71" spans="1:14" s="124" customFormat="1" ht="12.75" customHeight="1" x14ac:dyDescent="0.2">
      <c r="A71" s="24"/>
      <c r="B71" s="1"/>
      <c r="C71" s="47" t="s">
        <v>572</v>
      </c>
      <c r="D71" s="111">
        <f>+D91/100000</f>
        <v>27.98367</v>
      </c>
      <c r="E71" s="104"/>
      <c r="F71" s="2"/>
      <c r="G71" s="166"/>
      <c r="H71" s="90" t="s">
        <v>587</v>
      </c>
      <c r="I71" s="167"/>
      <c r="J71" s="168"/>
    </row>
    <row r="72" spans="1:14" s="2" customFormat="1" x14ac:dyDescent="0.2">
      <c r="A72" s="24"/>
      <c r="B72" s="1"/>
      <c r="C72" s="108" t="s">
        <v>578</v>
      </c>
      <c r="D72" s="48">
        <f>SUM(D69:D71)</f>
        <v>942.13366999999994</v>
      </c>
      <c r="E72" s="104"/>
      <c r="G72" s="30"/>
      <c r="I72" s="13"/>
      <c r="J72" s="13"/>
    </row>
    <row r="73" spans="1:14" s="70" customFormat="1" x14ac:dyDescent="0.2">
      <c r="A73" s="24"/>
      <c r="B73" s="1"/>
      <c r="C73" s="47"/>
      <c r="D73" s="107"/>
      <c r="E73" s="104"/>
      <c r="F73" s="2"/>
      <c r="G73" s="30"/>
      <c r="H73" s="2"/>
    </row>
    <row r="74" spans="1:14" s="70" customFormat="1" x14ac:dyDescent="0.2">
      <c r="A74" s="24"/>
      <c r="B74" s="1"/>
      <c r="C74" s="47" t="s">
        <v>932</v>
      </c>
      <c r="D74" s="111">
        <v>4.07</v>
      </c>
      <c r="E74" s="104"/>
      <c r="F74" s="2"/>
      <c r="G74" s="30"/>
      <c r="H74" s="110" t="s">
        <v>581</v>
      </c>
    </row>
    <row r="75" spans="1:14" s="70" customFormat="1" x14ac:dyDescent="0.2">
      <c r="A75" s="24"/>
      <c r="B75" s="1"/>
      <c r="C75" s="136" t="s">
        <v>1142</v>
      </c>
      <c r="D75" s="111">
        <v>415.22</v>
      </c>
      <c r="E75" s="104"/>
      <c r="F75" s="2"/>
      <c r="G75" s="30"/>
      <c r="H75" s="110" t="s">
        <v>581</v>
      </c>
    </row>
    <row r="76" spans="1:14" s="70" customFormat="1" x14ac:dyDescent="0.2">
      <c r="A76" s="24"/>
      <c r="B76" s="1"/>
      <c r="C76" s="78" t="s">
        <v>579</v>
      </c>
      <c r="D76" s="109">
        <f>D74+D75</f>
        <v>419.29</v>
      </c>
      <c r="E76" s="104"/>
      <c r="F76" s="2"/>
      <c r="G76" s="30"/>
    </row>
    <row r="77" spans="1:14" s="70" customFormat="1" x14ac:dyDescent="0.2">
      <c r="A77" s="24"/>
      <c r="B77" s="1"/>
      <c r="C77" s="105"/>
      <c r="D77" s="106"/>
      <c r="E77" s="104"/>
      <c r="F77" s="2"/>
      <c r="G77" s="30"/>
      <c r="I77" s="2"/>
      <c r="J77" s="114" t="s">
        <v>713</v>
      </c>
      <c r="K77" s="2"/>
      <c r="L77" s="2"/>
      <c r="M77" s="2"/>
    </row>
    <row r="78" spans="1:14" s="70" customFormat="1" x14ac:dyDescent="0.2">
      <c r="A78" s="24"/>
      <c r="B78" s="1"/>
      <c r="C78" s="78" t="s">
        <v>577</v>
      </c>
      <c r="D78" s="109">
        <f>D69+D76</f>
        <v>1333.44</v>
      </c>
      <c r="E78" s="104"/>
      <c r="F78" s="2"/>
      <c r="G78" s="30"/>
      <c r="I78" s="113"/>
      <c r="J78" s="113" t="s">
        <v>709</v>
      </c>
      <c r="K78" s="113" t="s">
        <v>710</v>
      </c>
      <c r="L78" s="113" t="s">
        <v>711</v>
      </c>
      <c r="M78" s="113" t="s">
        <v>712</v>
      </c>
    </row>
    <row r="79" spans="1:14" s="70" customFormat="1" x14ac:dyDescent="0.2">
      <c r="A79" s="24"/>
      <c r="B79" s="1"/>
      <c r="C79" s="56"/>
      <c r="D79" s="56"/>
      <c r="E79" s="104"/>
      <c r="F79" s="2"/>
      <c r="G79" s="30"/>
      <c r="I79" s="113" t="s">
        <v>706</v>
      </c>
      <c r="J79" s="115"/>
      <c r="K79" s="115">
        <v>968.99</v>
      </c>
      <c r="L79" s="115">
        <v>968.99</v>
      </c>
      <c r="M79" s="113">
        <f>+J79+L79-K79</f>
        <v>0</v>
      </c>
    </row>
    <row r="80" spans="1:14" s="70" customFormat="1" ht="38.25" x14ac:dyDescent="0.2">
      <c r="A80" s="24"/>
      <c r="B80" s="1"/>
      <c r="C80" s="79" t="str">
        <f>"Particulars ( 01-04-2021 to "&amp;TEXT(A5,"dd-mm-yyyy")&amp;" )"</f>
        <v>Particulars ( 01-04-2021 to 06-11-2023 )</v>
      </c>
      <c r="D80" s="80" t="s">
        <v>73</v>
      </c>
      <c r="E80" s="80" t="s">
        <v>74</v>
      </c>
      <c r="F80" s="81" t="s">
        <v>75</v>
      </c>
      <c r="G80" s="80" t="s">
        <v>76</v>
      </c>
      <c r="I80" s="113" t="s">
        <v>707</v>
      </c>
      <c r="J80" s="115">
        <v>183.1</v>
      </c>
      <c r="K80" s="115">
        <v>3897.33</v>
      </c>
      <c r="L80" s="115">
        <v>4124.33</v>
      </c>
      <c r="M80" s="113">
        <f>+J80+L80-K80</f>
        <v>410.10000000000036</v>
      </c>
    </row>
    <row r="81" spans="1:14" s="70" customFormat="1" x14ac:dyDescent="0.2">
      <c r="A81" s="24"/>
      <c r="B81" s="1"/>
      <c r="C81" s="50" t="s">
        <v>444</v>
      </c>
      <c r="D81" s="55">
        <f>+L79+L80+J80</f>
        <v>5276.42</v>
      </c>
      <c r="E81" s="55">
        <f>+K79+K80</f>
        <v>4866.32</v>
      </c>
      <c r="F81" s="55">
        <f>+D81-E81</f>
        <v>410.10000000000036</v>
      </c>
      <c r="G81" s="55">
        <f>1500-F81</f>
        <v>1089.8999999999996</v>
      </c>
      <c r="I81" s="113" t="s">
        <v>708</v>
      </c>
      <c r="J81" s="115">
        <v>1371.02</v>
      </c>
      <c r="K81" s="115">
        <v>14772.49</v>
      </c>
      <c r="L81" s="115">
        <v>14970.38</v>
      </c>
      <c r="M81" s="113">
        <f>+J81+L81-K81</f>
        <v>1568.9099999999999</v>
      </c>
    </row>
    <row r="82" spans="1:14" s="70" customFormat="1" ht="12.75" customHeight="1" x14ac:dyDescent="0.2">
      <c r="A82" s="24"/>
      <c r="B82" s="1"/>
      <c r="C82" s="50" t="s">
        <v>71</v>
      </c>
      <c r="D82" s="55">
        <f>+J81+L81</f>
        <v>16341.4</v>
      </c>
      <c r="E82" s="55">
        <f>+K81</f>
        <v>14772.49</v>
      </c>
      <c r="F82" s="55">
        <f>+D82-E82</f>
        <v>1568.9099999999999</v>
      </c>
      <c r="G82" s="55">
        <f>1500+700-F82</f>
        <v>631.09000000000015</v>
      </c>
      <c r="I82" s="2"/>
      <c r="J82" s="118">
        <f>SUM(J79:J81)</f>
        <v>1554.12</v>
      </c>
      <c r="K82" s="118">
        <f>SUM(K79:K81)</f>
        <v>19638.809999999998</v>
      </c>
      <c r="L82" s="118">
        <f>SUM(L79:L81)</f>
        <v>20063.699999999997</v>
      </c>
      <c r="M82" s="118">
        <f>SUM(M79:M81)</f>
        <v>1979.0100000000002</v>
      </c>
    </row>
    <row r="83" spans="1:14" s="70" customFormat="1" ht="12.75" customHeight="1" x14ac:dyDescent="0.2">
      <c r="A83" s="24"/>
      <c r="B83" s="1"/>
      <c r="C83" s="14"/>
      <c r="D83" s="56"/>
      <c r="E83" s="13"/>
      <c r="F83" s="2"/>
      <c r="G83" s="30"/>
    </row>
    <row r="84" spans="1:14" s="70" customFormat="1" ht="12.75" customHeight="1" x14ac:dyDescent="0.2">
      <c r="A84" s="215" t="s">
        <v>80</v>
      </c>
      <c r="B84" s="216"/>
      <c r="C84" s="216"/>
      <c r="D84" s="217"/>
      <c r="E84" s="69"/>
      <c r="G84" s="30"/>
    </row>
    <row r="85" spans="1:14" s="70" customFormat="1" ht="12.75" customHeight="1" x14ac:dyDescent="0.2">
      <c r="A85" s="71" t="s">
        <v>81</v>
      </c>
      <c r="B85" s="71"/>
      <c r="C85" s="72" t="s">
        <v>82</v>
      </c>
      <c r="D85" s="73" t="s">
        <v>83</v>
      </c>
      <c r="E85" s="69"/>
      <c r="G85" s="30"/>
    </row>
    <row r="86" spans="1:14" s="70" customFormat="1" ht="12.75" customHeight="1" x14ac:dyDescent="0.2">
      <c r="A86" s="87">
        <v>45232</v>
      </c>
      <c r="B86" s="120" t="s">
        <v>6</v>
      </c>
      <c r="C86" s="75" t="s">
        <v>767</v>
      </c>
      <c r="D86" s="88">
        <v>515100</v>
      </c>
      <c r="E86" s="2"/>
      <c r="F86" s="2"/>
      <c r="G86" s="30"/>
      <c r="H86" s="2"/>
      <c r="I86" s="2"/>
      <c r="J86" s="2"/>
      <c r="K86" s="2"/>
      <c r="L86" s="41"/>
      <c r="M86" s="42"/>
      <c r="N86" s="2"/>
    </row>
    <row r="87" spans="1:14" s="70" customFormat="1" ht="12.75" customHeight="1" x14ac:dyDescent="0.2">
      <c r="A87" s="87">
        <v>45232</v>
      </c>
      <c r="B87" s="120" t="s">
        <v>6</v>
      </c>
      <c r="C87" s="75" t="s">
        <v>566</v>
      </c>
      <c r="D87" s="88">
        <v>52450</v>
      </c>
      <c r="E87" s="2"/>
      <c r="F87" s="2"/>
      <c r="G87" s="30"/>
      <c r="H87" s="2"/>
      <c r="I87" s="2"/>
      <c r="J87" s="2"/>
      <c r="K87" s="2"/>
      <c r="L87" s="41"/>
      <c r="M87" s="42"/>
      <c r="N87" s="2"/>
    </row>
    <row r="88" spans="1:14" s="70" customFormat="1" ht="12.75" customHeight="1" x14ac:dyDescent="0.2">
      <c r="A88" s="87">
        <v>45233</v>
      </c>
      <c r="B88" s="120" t="s">
        <v>6</v>
      </c>
      <c r="C88" s="75" t="s">
        <v>1084</v>
      </c>
      <c r="D88" s="88">
        <v>1833799</v>
      </c>
      <c r="E88" s="2"/>
      <c r="F88" s="2"/>
      <c r="G88" s="30"/>
      <c r="H88" s="2"/>
      <c r="I88" s="2"/>
      <c r="J88" s="2"/>
      <c r="K88" s="2"/>
      <c r="L88" s="41"/>
      <c r="M88" s="42"/>
      <c r="N88" s="2"/>
    </row>
    <row r="89" spans="1:14" s="70" customFormat="1" ht="12.75" customHeight="1" x14ac:dyDescent="0.2">
      <c r="A89" s="87">
        <v>45233</v>
      </c>
      <c r="B89" s="120" t="s">
        <v>6</v>
      </c>
      <c r="C89" s="75" t="s">
        <v>909</v>
      </c>
      <c r="D89" s="88">
        <v>366980</v>
      </c>
      <c r="E89" s="2"/>
      <c r="F89" s="2"/>
      <c r="G89" s="30"/>
      <c r="H89" s="2"/>
      <c r="I89" s="2"/>
      <c r="J89" s="2"/>
      <c r="K89" s="2"/>
      <c r="L89" s="41"/>
      <c r="M89" s="42"/>
      <c r="N89" s="2"/>
    </row>
    <row r="90" spans="1:14" s="70" customFormat="1" ht="12.75" customHeight="1" x14ac:dyDescent="0.2">
      <c r="A90" s="87">
        <v>45233</v>
      </c>
      <c r="B90" s="120" t="s">
        <v>6</v>
      </c>
      <c r="C90" s="75" t="s">
        <v>909</v>
      </c>
      <c r="D90" s="88">
        <v>30038</v>
      </c>
      <c r="E90" s="2"/>
      <c r="F90" s="2"/>
      <c r="G90" s="30"/>
      <c r="H90" s="2"/>
      <c r="I90" s="2"/>
      <c r="J90" s="2"/>
      <c r="K90" s="2"/>
      <c r="L90" s="41"/>
      <c r="M90" s="42"/>
      <c r="N90" s="2"/>
    </row>
    <row r="91" spans="1:14" s="2" customFormat="1" x14ac:dyDescent="0.2">
      <c r="A91" s="87"/>
      <c r="B91" s="74"/>
      <c r="C91" s="75"/>
      <c r="D91" s="51">
        <f>SUM(D86:D90)</f>
        <v>2798367</v>
      </c>
      <c r="F91" s="2" t="s">
        <v>396</v>
      </c>
      <c r="G91" s="1"/>
    </row>
    <row r="92" spans="1:14" s="2" customFormat="1" x14ac:dyDescent="0.2">
      <c r="A92" s="24"/>
      <c r="B92" s="1"/>
      <c r="C92" s="14"/>
      <c r="D92" s="56"/>
      <c r="E92" s="13"/>
      <c r="G92" s="1"/>
    </row>
    <row r="93" spans="1:14" s="2" customFormat="1" x14ac:dyDescent="0.2">
      <c r="A93" s="24"/>
      <c r="B93" s="1"/>
      <c r="C93" s="218" t="s">
        <v>77</v>
      </c>
      <c r="D93" s="219"/>
      <c r="E93" s="219"/>
      <c r="F93" s="220"/>
      <c r="H93" s="2" t="s">
        <v>396</v>
      </c>
    </row>
    <row r="94" spans="1:14" s="2" customFormat="1" x14ac:dyDescent="0.2">
      <c r="A94" s="24"/>
      <c r="B94" s="1"/>
      <c r="C94" s="50"/>
      <c r="D94" s="57" t="s">
        <v>78</v>
      </c>
      <c r="E94" s="58" t="s">
        <v>79</v>
      </c>
      <c r="F94" s="57" t="s">
        <v>72</v>
      </c>
      <c r="H94" s="2" t="s">
        <v>396</v>
      </c>
    </row>
    <row r="95" spans="1:14" s="2" customFormat="1" x14ac:dyDescent="0.2">
      <c r="A95" s="24"/>
      <c r="B95" s="1"/>
      <c r="C95" s="59" t="str">
        <f>"01-11-2023 to "&amp;TEXT(A5-2,"dd-mm-yyyy")</f>
        <v>01-11-2023 to 04-11-2023</v>
      </c>
      <c r="D95" s="60">
        <v>506.2</v>
      </c>
      <c r="E95" s="60">
        <v>66.97</v>
      </c>
      <c r="F95" s="61">
        <f>SUM(D95:E95)</f>
        <v>573.16999999999996</v>
      </c>
    </row>
    <row r="96" spans="1:14" s="2" customFormat="1" x14ac:dyDescent="0.2">
      <c r="A96" s="24"/>
      <c r="B96" s="1"/>
      <c r="C96" s="62" t="str">
        <f>TEXT(A5-1,"dd-mm-yyyy")</f>
        <v>05-11-2023</v>
      </c>
      <c r="D96" s="60">
        <v>0</v>
      </c>
      <c r="E96" s="60">
        <v>0</v>
      </c>
      <c r="F96" s="61">
        <f>SUM(D96:E96)</f>
        <v>0</v>
      </c>
      <c r="G96" s="1"/>
      <c r="H96" s="53"/>
    </row>
    <row r="97" spans="1:13" s="2" customFormat="1" ht="13.5" thickBot="1" x14ac:dyDescent="0.25">
      <c r="A97" s="24"/>
      <c r="B97" s="1"/>
      <c r="C97" s="63" t="str">
        <f>"01-11-2023 to "&amp;TEXT(A5-1,"dd-mm-yyyy")</f>
        <v>01-11-2023 to 05-11-2023</v>
      </c>
      <c r="D97" s="64">
        <f>SUM(D95:D96)</f>
        <v>506.2</v>
      </c>
      <c r="E97" s="64">
        <f>SUM(E95:E96)</f>
        <v>66.97</v>
      </c>
      <c r="F97" s="64">
        <f>SUM(F95:F96)</f>
        <v>573.16999999999996</v>
      </c>
      <c r="G97" s="1"/>
      <c r="H97" s="53"/>
    </row>
    <row r="98" spans="1:13" s="2" customFormat="1" ht="13.5" thickTop="1" x14ac:dyDescent="0.2">
      <c r="A98" s="24"/>
      <c r="B98" s="1"/>
      <c r="C98" s="62"/>
      <c r="D98" s="65"/>
      <c r="E98" s="66"/>
      <c r="F98" s="67"/>
      <c r="L98" s="1"/>
      <c r="M98" s="1"/>
    </row>
    <row r="99" spans="1:13" s="2" customFormat="1" x14ac:dyDescent="0.2">
      <c r="A99" s="24"/>
      <c r="B99" s="1"/>
      <c r="C99" s="62" t="str">
        <f>"01-04-2023 to " &amp;C96</f>
        <v>01-04-2023 to 05-11-2023</v>
      </c>
      <c r="D99" s="68">
        <f>+D97+29842.21</f>
        <v>30348.41</v>
      </c>
      <c r="E99" s="68">
        <f>+E97+2549.86</f>
        <v>2616.83</v>
      </c>
      <c r="F99" s="68">
        <f>+F97+32392.07</f>
        <v>32965.24</v>
      </c>
      <c r="G99" s="1"/>
      <c r="L99" s="1"/>
      <c r="M99" s="1"/>
    </row>
    <row r="100" spans="1:13" s="2" customFormat="1" x14ac:dyDescent="0.2">
      <c r="A100" s="24"/>
      <c r="B100" s="1"/>
      <c r="C100" s="52"/>
      <c r="D100" s="85"/>
      <c r="E100" s="53"/>
      <c r="F100" s="53"/>
      <c r="G100" s="1"/>
      <c r="L100" s="1"/>
      <c r="M100" s="1"/>
    </row>
    <row r="101" spans="1:13" s="2" customFormat="1" x14ac:dyDescent="0.2">
      <c r="A101" s="24"/>
      <c r="B101" s="1"/>
      <c r="C101" s="52"/>
      <c r="D101" s="85"/>
      <c r="E101" s="53"/>
      <c r="F101" s="53"/>
      <c r="G101" s="1"/>
      <c r="L101" s="1"/>
      <c r="M101" s="1"/>
    </row>
    <row r="102" spans="1:13" s="2" customFormat="1" x14ac:dyDescent="0.2">
      <c r="A102" s="24"/>
      <c r="B102" s="1"/>
      <c r="C102" s="52"/>
      <c r="D102" s="85"/>
      <c r="E102" s="53"/>
      <c r="F102" s="53"/>
      <c r="G102" s="1"/>
      <c r="L102" s="1"/>
      <c r="M102" s="1"/>
    </row>
    <row r="103" spans="1:13" s="2" customFormat="1" x14ac:dyDescent="0.2">
      <c r="A103" s="24"/>
      <c r="B103" s="1"/>
      <c r="C103" s="52"/>
      <c r="D103" s="85"/>
      <c r="E103" s="53"/>
      <c r="F103" s="53"/>
      <c r="G103" s="1"/>
      <c r="L103" s="1"/>
      <c r="M103" s="1"/>
    </row>
    <row r="104" spans="1:13" s="2" customFormat="1" x14ac:dyDescent="0.2">
      <c r="A104" s="24"/>
      <c r="B104" s="1"/>
      <c r="C104" s="14"/>
      <c r="D104" s="25">
        <f>SUM(D101:D103)</f>
        <v>0</v>
      </c>
      <c r="E104" s="2">
        <f>SUM(E101:E103)</f>
        <v>0</v>
      </c>
      <c r="G104" s="1"/>
      <c r="L104" s="1"/>
      <c r="M104" s="1"/>
    </row>
    <row r="105" spans="1:13" s="2" customFormat="1" x14ac:dyDescent="0.2">
      <c r="A105" s="24"/>
      <c r="B105" s="1"/>
      <c r="C105" s="14"/>
      <c r="D105" s="25"/>
      <c r="G105" s="1"/>
      <c r="L105" s="1"/>
      <c r="M105" s="1"/>
    </row>
    <row r="106" spans="1:13" s="2" customFormat="1" x14ac:dyDescent="0.2">
      <c r="A106" s="24"/>
      <c r="B106" s="1"/>
      <c r="C106" s="14"/>
      <c r="D106" s="25"/>
      <c r="G106" s="1"/>
      <c r="L106" s="1"/>
      <c r="M106" s="1"/>
    </row>
    <row r="107" spans="1:13" s="2" customFormat="1" x14ac:dyDescent="0.2">
      <c r="A107" s="24"/>
      <c r="B107" s="1"/>
      <c r="C107" s="14"/>
      <c r="D107" s="25"/>
      <c r="G107" s="1"/>
      <c r="L107" s="1"/>
      <c r="M107" s="1"/>
    </row>
    <row r="108" spans="1:13" s="2" customFormat="1" x14ac:dyDescent="0.2">
      <c r="A108" s="24"/>
      <c r="B108" s="1"/>
      <c r="C108" s="14"/>
      <c r="D108" s="25"/>
      <c r="G108" s="1"/>
      <c r="L108" s="1"/>
      <c r="M108" s="1"/>
    </row>
    <row r="109" spans="1:13" s="2" customFormat="1" x14ac:dyDescent="0.2">
      <c r="A109" s="24"/>
      <c r="B109" s="1"/>
      <c r="C109" s="14"/>
      <c r="D109" s="25"/>
      <c r="G109" s="1"/>
      <c r="L109" s="1"/>
      <c r="M109" s="1"/>
    </row>
    <row r="110" spans="1:13" s="2" customFormat="1" x14ac:dyDescent="0.2">
      <c r="A110" s="24"/>
      <c r="B110" s="1"/>
      <c r="C110" s="14"/>
      <c r="D110" s="25"/>
      <c r="G110" s="1"/>
      <c r="L110" s="1"/>
      <c r="M110" s="1"/>
    </row>
    <row r="111" spans="1:13" s="2" customFormat="1" x14ac:dyDescent="0.2">
      <c r="A111" s="24"/>
      <c r="B111" s="1"/>
      <c r="C111" s="14"/>
      <c r="D111" s="25"/>
      <c r="G111" s="1"/>
      <c r="L111" s="1"/>
      <c r="M111" s="1"/>
    </row>
    <row r="112" spans="1:13" s="2" customFormat="1" x14ac:dyDescent="0.2">
      <c r="A112" s="24"/>
      <c r="B112" s="1"/>
      <c r="C112" s="14"/>
      <c r="D112" s="25"/>
      <c r="G112" s="1"/>
      <c r="L112" s="1"/>
      <c r="M112" s="1"/>
    </row>
    <row r="113" spans="1:14" s="2" customFormat="1" x14ac:dyDescent="0.2">
      <c r="A113" s="24"/>
      <c r="B113" s="1"/>
      <c r="C113" s="14"/>
      <c r="D113" s="25"/>
      <c r="G113" s="1"/>
      <c r="L113" s="1"/>
      <c r="M113" s="1"/>
    </row>
    <row r="114" spans="1:14" s="2" customFormat="1" x14ac:dyDescent="0.2">
      <c r="A114" s="24"/>
      <c r="B114" s="1"/>
      <c r="C114" s="14"/>
      <c r="D114" s="25"/>
      <c r="G114" s="1"/>
      <c r="L114" s="1"/>
      <c r="M114" s="1"/>
    </row>
    <row r="115" spans="1:14" s="2" customFormat="1" x14ac:dyDescent="0.2">
      <c r="A115" s="24"/>
      <c r="B115" s="1"/>
      <c r="C115" s="14"/>
      <c r="D115" s="25"/>
      <c r="G115" s="1"/>
      <c r="L115" s="1"/>
      <c r="M115" s="1"/>
    </row>
    <row r="116" spans="1:14" s="2" customFormat="1" x14ac:dyDescent="0.2">
      <c r="A116" s="24"/>
      <c r="B116" s="1"/>
      <c r="C116" s="14"/>
      <c r="D116" s="25"/>
      <c r="G116" s="1"/>
      <c r="L116" s="1"/>
      <c r="M116" s="1"/>
    </row>
    <row r="117" spans="1:14" s="2" customFormat="1" x14ac:dyDescent="0.2">
      <c r="A117" s="24"/>
      <c r="B117" s="1"/>
      <c r="C117" s="14"/>
      <c r="D117" s="25"/>
      <c r="G117" s="1"/>
      <c r="L117" s="1"/>
      <c r="M117" s="1"/>
    </row>
    <row r="118" spans="1:14" s="2" customFormat="1" x14ac:dyDescent="0.2">
      <c r="A118" s="24"/>
      <c r="B118" s="1"/>
      <c r="C118" s="14"/>
      <c r="D118" s="25"/>
      <c r="G118" s="1"/>
      <c r="I118" s="1"/>
      <c r="J118" s="1"/>
      <c r="K118" s="1"/>
      <c r="L118" s="1"/>
      <c r="M118" s="1"/>
    </row>
    <row r="119" spans="1:14" s="2" customFormat="1" x14ac:dyDescent="0.2">
      <c r="A119" s="24"/>
      <c r="B119" s="1"/>
      <c r="C119" s="14"/>
      <c r="D119" s="25"/>
      <c r="G119" s="1"/>
    </row>
    <row r="120" spans="1:14" s="2" customFormat="1" x14ac:dyDescent="0.2">
      <c r="A120" s="24"/>
      <c r="B120" s="1"/>
      <c r="C120" s="14"/>
      <c r="D120" s="25"/>
      <c r="G120" s="1"/>
      <c r="I120" s="1"/>
      <c r="J120" s="1"/>
      <c r="K120" s="1"/>
      <c r="L120" s="1"/>
      <c r="M120" s="1"/>
    </row>
    <row r="121" spans="1:14" s="2" customFormat="1" x14ac:dyDescent="0.2">
      <c r="A121" s="24"/>
      <c r="B121" s="1"/>
      <c r="C121" s="14"/>
      <c r="D121" s="25"/>
      <c r="G121" s="54"/>
      <c r="I121" s="1"/>
      <c r="J121" s="1"/>
      <c r="K121" s="1"/>
      <c r="L121" s="1"/>
      <c r="M121" s="1"/>
    </row>
    <row r="122" spans="1:14" s="2" customFormat="1" x14ac:dyDescent="0.2">
      <c r="A122" s="24"/>
      <c r="B122" s="1"/>
      <c r="C122" s="14"/>
      <c r="D122" s="25"/>
      <c r="G122" s="54"/>
      <c r="I122" s="1"/>
      <c r="J122" s="1"/>
      <c r="K122" s="1"/>
      <c r="L122" s="1"/>
      <c r="M122" s="1"/>
    </row>
    <row r="123" spans="1:14" s="2" customFormat="1" x14ac:dyDescent="0.2">
      <c r="A123" s="24"/>
      <c r="B123" s="1"/>
      <c r="C123" s="14"/>
      <c r="D123" s="25"/>
      <c r="G123" s="54"/>
      <c r="I123" s="1"/>
      <c r="J123" s="1"/>
      <c r="K123" s="1"/>
      <c r="L123" s="1"/>
      <c r="M123" s="1"/>
    </row>
    <row r="124" spans="1:14" s="2" customFormat="1" x14ac:dyDescent="0.2">
      <c r="A124" s="24"/>
      <c r="B124" s="1"/>
      <c r="C124" s="14"/>
      <c r="D124" s="25"/>
      <c r="G124" s="54"/>
      <c r="H124" s="2" t="s">
        <v>396</v>
      </c>
      <c r="I124" s="1"/>
      <c r="J124" s="1"/>
      <c r="K124" s="1"/>
      <c r="L124" s="1"/>
      <c r="M124" s="1"/>
      <c r="N124" s="1"/>
    </row>
    <row r="125" spans="1:14" s="2" customFormat="1" x14ac:dyDescent="0.2">
      <c r="A125" s="24"/>
      <c r="B125" s="1"/>
      <c r="C125" s="14"/>
      <c r="D125" s="25"/>
      <c r="G125" s="54"/>
      <c r="H125" s="53"/>
    </row>
    <row r="126" spans="1:14" s="2" customFormat="1" x14ac:dyDescent="0.2">
      <c r="A126" s="24"/>
      <c r="B126" s="1"/>
      <c r="C126" s="14"/>
      <c r="D126" s="25"/>
      <c r="G126" s="54"/>
      <c r="H126" s="53" t="s">
        <v>396</v>
      </c>
      <c r="I126" s="1"/>
      <c r="J126" s="1"/>
      <c r="K126" s="1"/>
      <c r="L126" s="1"/>
      <c r="M126" s="1"/>
      <c r="N126" s="1"/>
    </row>
    <row r="127" spans="1:14" x14ac:dyDescent="0.2">
      <c r="G127" s="54"/>
      <c r="H127" s="53" t="s">
        <v>396</v>
      </c>
      <c r="J127" s="42"/>
    </row>
    <row r="128" spans="1:14" s="2" customFormat="1" x14ac:dyDescent="0.2">
      <c r="A128" s="24"/>
      <c r="B128" s="1"/>
      <c r="C128" s="14"/>
      <c r="D128" s="25"/>
      <c r="G128" s="54"/>
      <c r="H128" s="53"/>
      <c r="I128" s="101"/>
      <c r="J128" s="1"/>
      <c r="K128" s="1"/>
      <c r="L128" s="1"/>
      <c r="M128" s="1"/>
      <c r="N128" s="1"/>
    </row>
    <row r="129" spans="7:8" x14ac:dyDescent="0.2">
      <c r="G129" s="54"/>
      <c r="H129" s="53"/>
    </row>
    <row r="130" spans="7:8" x14ac:dyDescent="0.2">
      <c r="G130" s="54"/>
      <c r="H130" s="53"/>
    </row>
    <row r="131" spans="7:8" x14ac:dyDescent="0.2">
      <c r="G131" s="54"/>
      <c r="H131" s="53"/>
    </row>
  </sheetData>
  <sheetProtection insertRows="0"/>
  <mergeCells count="6">
    <mergeCell ref="C93:F93"/>
    <mergeCell ref="A1:G1"/>
    <mergeCell ref="A3:F3"/>
    <mergeCell ref="A11:F11"/>
    <mergeCell ref="A24:F24"/>
    <mergeCell ref="A84:D84"/>
  </mergeCells>
  <conditionalFormatting sqref="G81:G82">
    <cfRule type="cellIs" dxfId="231" priority="1" operator="lessThan">
      <formula>0</formula>
    </cfRule>
  </conditionalFormatting>
  <conditionalFormatting sqref="C26">
    <cfRule type="duplicateValues" dxfId="230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F00-000000000000}">
  <sheetPr codeName="Sheet471">
    <pageSetUpPr fitToPage="1"/>
  </sheetPr>
  <dimension ref="A1:N207"/>
  <sheetViews>
    <sheetView topLeftCell="A73" zoomScaleNormal="100" workbookViewId="0">
      <selection activeCell="E76" sqref="E76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1" ht="20.25" customHeight="1" x14ac:dyDescent="0.4">
      <c r="A1" s="212" t="s">
        <v>1753</v>
      </c>
      <c r="B1" s="212"/>
      <c r="C1" s="212"/>
      <c r="D1" s="212"/>
      <c r="E1" s="212"/>
      <c r="F1" s="212"/>
      <c r="G1" s="212"/>
      <c r="H1" s="112"/>
      <c r="I1" s="112"/>
    </row>
    <row r="2" spans="1:11" ht="12.75" customHeight="1" x14ac:dyDescent="0.4">
      <c r="H2" s="112"/>
      <c r="I2" s="112"/>
    </row>
    <row r="3" spans="1:11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1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1" s="2" customFormat="1" ht="14.25" customHeight="1" x14ac:dyDescent="0.4">
      <c r="A5" s="89">
        <v>45238</v>
      </c>
      <c r="B5" s="9" t="s">
        <v>6</v>
      </c>
      <c r="C5" s="10" t="s">
        <v>7</v>
      </c>
      <c r="D5" s="11"/>
      <c r="E5" s="12">
        <v>1221959.5800000024</v>
      </c>
      <c r="F5" s="12"/>
      <c r="G5" s="1"/>
      <c r="H5" s="112"/>
      <c r="I5" s="112"/>
    </row>
    <row r="6" spans="1:11" s="2" customFormat="1" ht="14.25" customHeight="1" x14ac:dyDescent="0.4">
      <c r="A6" s="89">
        <v>45238</v>
      </c>
      <c r="B6" s="9" t="s">
        <v>11</v>
      </c>
      <c r="C6" s="10" t="s">
        <v>380</v>
      </c>
      <c r="D6" s="11" t="s">
        <v>29</v>
      </c>
      <c r="E6" s="12"/>
      <c r="F6" s="12">
        <v>851431</v>
      </c>
      <c r="G6" s="1"/>
      <c r="H6" s="112"/>
      <c r="I6" s="112"/>
    </row>
    <row r="7" spans="1:11" s="2" customFormat="1" ht="12.75" customHeight="1" x14ac:dyDescent="0.4">
      <c r="D7" s="15" t="s">
        <v>8</v>
      </c>
      <c r="E7" s="16">
        <f>SUM(E5:E6)</f>
        <v>1221959.5800000024</v>
      </c>
      <c r="F7" s="16">
        <f>SUM(F6)</f>
        <v>851431</v>
      </c>
      <c r="G7" s="1"/>
      <c r="H7" s="112"/>
      <c r="I7" s="112"/>
    </row>
    <row r="8" spans="1:11" s="2" customFormat="1" ht="12.75" customHeight="1" x14ac:dyDescent="0.4">
      <c r="A8" s="17"/>
      <c r="B8" s="18"/>
      <c r="C8" s="19" t="s">
        <v>9</v>
      </c>
      <c r="D8" s="20"/>
      <c r="E8" s="21">
        <f>+E7-F7</f>
        <v>370528.5800000024</v>
      </c>
      <c r="F8" s="22"/>
      <c r="G8" s="23"/>
      <c r="H8" s="112"/>
      <c r="I8" s="112"/>
      <c r="J8" s="13"/>
    </row>
    <row r="9" spans="1:11" ht="12.75" customHeight="1" x14ac:dyDescent="0.4">
      <c r="H9" s="112"/>
      <c r="I9" s="112"/>
    </row>
    <row r="10" spans="1:11" ht="18" customHeight="1" x14ac:dyDescent="0.4">
      <c r="A10" s="213" t="s">
        <v>1037</v>
      </c>
      <c r="B10" s="213"/>
      <c r="C10" s="213"/>
      <c r="D10" s="213"/>
      <c r="E10" s="213"/>
      <c r="F10" s="213"/>
      <c r="H10" s="112"/>
      <c r="I10" s="169">
        <f>90000000-60000000</f>
        <v>30000000</v>
      </c>
      <c r="J10" s="169" t="s">
        <v>1508</v>
      </c>
    </row>
    <row r="11" spans="1:11" ht="12.75" customHeight="1" x14ac:dyDescent="0.4">
      <c r="A11" s="3" t="s">
        <v>1</v>
      </c>
      <c r="B11" s="4" t="s">
        <v>2</v>
      </c>
      <c r="C11" s="5"/>
      <c r="D11" s="6" t="s">
        <v>3</v>
      </c>
      <c r="E11" s="7" t="s">
        <v>4</v>
      </c>
      <c r="F11" s="7" t="s">
        <v>5</v>
      </c>
      <c r="H11" s="112"/>
      <c r="I11" s="169">
        <v>29829616.91</v>
      </c>
      <c r="J11" s="169" t="s">
        <v>1509</v>
      </c>
      <c r="K11" s="124"/>
    </row>
    <row r="12" spans="1:11" s="2" customFormat="1" ht="14.25" customHeight="1" x14ac:dyDescent="0.2">
      <c r="A12" s="89">
        <v>45238</v>
      </c>
      <c r="B12" s="9" t="s">
        <v>6</v>
      </c>
      <c r="C12" s="10" t="s">
        <v>7</v>
      </c>
      <c r="D12" s="11"/>
      <c r="F12" s="12">
        <v>22189030.919999998</v>
      </c>
      <c r="G12" s="1"/>
      <c r="H12" s="130" t="s">
        <v>396</v>
      </c>
      <c r="I12" s="169">
        <f>+I10-I11</f>
        <v>170383.08999999985</v>
      </c>
      <c r="J12" s="169" t="s">
        <v>712</v>
      </c>
      <c r="K12" s="165" t="s">
        <v>1512</v>
      </c>
    </row>
    <row r="13" spans="1:11" s="2" customFormat="1" ht="14.25" customHeight="1" x14ac:dyDescent="0.2">
      <c r="A13" s="89">
        <v>45238</v>
      </c>
      <c r="B13" s="9" t="s">
        <v>6</v>
      </c>
      <c r="C13" s="10" t="s">
        <v>1002</v>
      </c>
      <c r="D13" s="11" t="s">
        <v>13</v>
      </c>
      <c r="E13" s="2">
        <v>1730762</v>
      </c>
      <c r="F13" s="12"/>
      <c r="G13" s="1"/>
      <c r="H13" s="130"/>
      <c r="I13" s="169"/>
      <c r="J13" s="169"/>
      <c r="K13" s="165"/>
    </row>
    <row r="14" spans="1:11" s="2" customFormat="1" ht="14.25" customHeight="1" x14ac:dyDescent="0.2">
      <c r="A14" s="89">
        <v>45238</v>
      </c>
      <c r="B14" s="9" t="s">
        <v>6</v>
      </c>
      <c r="C14" s="10" t="s">
        <v>1754</v>
      </c>
      <c r="D14" s="11" t="s">
        <v>13</v>
      </c>
      <c r="E14" s="2">
        <v>1183739.6399999999</v>
      </c>
      <c r="F14" s="12"/>
      <c r="G14" s="1"/>
      <c r="H14" s="130"/>
      <c r="I14" s="169"/>
      <c r="J14" s="169"/>
      <c r="K14" s="165"/>
    </row>
    <row r="15" spans="1:11" s="2" customFormat="1" ht="14.25" customHeight="1" x14ac:dyDescent="0.2">
      <c r="A15" s="89">
        <v>45238</v>
      </c>
      <c r="B15" s="9" t="s">
        <v>11</v>
      </c>
      <c r="C15" s="10" t="s">
        <v>1305</v>
      </c>
      <c r="D15" s="11" t="s">
        <v>29</v>
      </c>
      <c r="F15" s="12">
        <v>307239</v>
      </c>
      <c r="G15" s="1"/>
      <c r="H15" s="130"/>
      <c r="I15" s="169"/>
      <c r="J15" s="169"/>
      <c r="K15" s="165"/>
    </row>
    <row r="16" spans="1:11" s="2" customFormat="1" ht="14.25" customHeight="1" x14ac:dyDescent="0.2">
      <c r="A16" s="89">
        <v>45238</v>
      </c>
      <c r="B16" s="9" t="s">
        <v>11</v>
      </c>
      <c r="C16" s="10" t="s">
        <v>592</v>
      </c>
      <c r="D16" s="11" t="s">
        <v>29</v>
      </c>
      <c r="F16" s="12">
        <v>620969</v>
      </c>
      <c r="G16" s="1"/>
      <c r="H16" s="130"/>
      <c r="I16" s="169"/>
      <c r="J16" s="169"/>
      <c r="K16" s="165"/>
    </row>
    <row r="17" spans="1:11" s="2" customFormat="1" ht="14.25" customHeight="1" x14ac:dyDescent="0.2">
      <c r="A17" s="89">
        <v>45238</v>
      </c>
      <c r="B17" s="9" t="s">
        <v>11</v>
      </c>
      <c r="C17" s="10" t="s">
        <v>1046</v>
      </c>
      <c r="D17" s="11" t="s">
        <v>29</v>
      </c>
      <c r="F17" s="12">
        <v>189669</v>
      </c>
      <c r="G17" s="1"/>
      <c r="H17" s="130"/>
      <c r="I17" s="169"/>
      <c r="J17" s="169"/>
      <c r="K17" s="165"/>
    </row>
    <row r="18" spans="1:11" s="2" customFormat="1" ht="14.25" customHeight="1" x14ac:dyDescent="0.2">
      <c r="A18" s="89">
        <v>45238</v>
      </c>
      <c r="B18" s="9" t="s">
        <v>11</v>
      </c>
      <c r="C18" s="10" t="s">
        <v>1047</v>
      </c>
      <c r="D18" s="11" t="s">
        <v>29</v>
      </c>
      <c r="F18" s="12">
        <v>188569</v>
      </c>
      <c r="G18" s="1"/>
      <c r="H18" s="130"/>
      <c r="I18" s="169"/>
      <c r="J18" s="169"/>
      <c r="K18" s="165"/>
    </row>
    <row r="19" spans="1:11" s="2" customFormat="1" ht="14.25" customHeight="1" x14ac:dyDescent="0.2">
      <c r="A19" s="89">
        <v>45238</v>
      </c>
      <c r="B19" s="9" t="s">
        <v>11</v>
      </c>
      <c r="C19" s="10" t="s">
        <v>591</v>
      </c>
      <c r="D19" s="11" t="s">
        <v>29</v>
      </c>
      <c r="F19" s="12">
        <v>106138</v>
      </c>
      <c r="G19" s="1"/>
      <c r="H19" s="130"/>
      <c r="I19" s="169"/>
      <c r="J19" s="169"/>
      <c r="K19" s="165"/>
    </row>
    <row r="20" spans="1:11" s="2" customFormat="1" ht="14.25" customHeight="1" x14ac:dyDescent="0.2">
      <c r="A20" s="89">
        <v>45238</v>
      </c>
      <c r="B20" s="9" t="s">
        <v>11</v>
      </c>
      <c r="C20" s="10" t="s">
        <v>1303</v>
      </c>
      <c r="D20" s="11" t="s">
        <v>29</v>
      </c>
      <c r="F20" s="12">
        <v>338169</v>
      </c>
      <c r="G20" s="1"/>
      <c r="H20" s="130"/>
      <c r="I20" s="169"/>
      <c r="J20" s="169"/>
      <c r="K20" s="165"/>
    </row>
    <row r="21" spans="1:11" s="2" customFormat="1" ht="14.25" customHeight="1" x14ac:dyDescent="0.2">
      <c r="A21" s="89">
        <v>45238</v>
      </c>
      <c r="B21" s="9" t="s">
        <v>11</v>
      </c>
      <c r="C21" s="10" t="s">
        <v>1304</v>
      </c>
      <c r="D21" s="11" t="s">
        <v>29</v>
      </c>
      <c r="F21" s="12">
        <v>603669</v>
      </c>
      <c r="G21" s="1"/>
      <c r="H21" s="130"/>
      <c r="I21" s="169"/>
      <c r="J21" s="169"/>
      <c r="K21" s="165"/>
    </row>
    <row r="22" spans="1:11" s="2" customFormat="1" ht="14.25" customHeight="1" x14ac:dyDescent="0.2">
      <c r="A22" s="89">
        <v>45238</v>
      </c>
      <c r="B22" s="9" t="s">
        <v>11</v>
      </c>
      <c r="C22" s="10" t="s">
        <v>330</v>
      </c>
      <c r="D22" s="11" t="s">
        <v>29</v>
      </c>
      <c r="F22" s="12">
        <v>1000000</v>
      </c>
      <c r="G22" s="1"/>
      <c r="H22" s="130"/>
      <c r="I22" s="169"/>
      <c r="J22" s="169"/>
      <c r="K22" s="165"/>
    </row>
    <row r="23" spans="1:11" s="2" customFormat="1" ht="14.25" customHeight="1" x14ac:dyDescent="0.2">
      <c r="A23" s="89">
        <v>45238</v>
      </c>
      <c r="B23" s="9" t="s">
        <v>11</v>
      </c>
      <c r="C23" s="10" t="s">
        <v>923</v>
      </c>
      <c r="D23" s="11" t="s">
        <v>29</v>
      </c>
      <c r="F23" s="12">
        <v>300000</v>
      </c>
      <c r="G23" s="1"/>
      <c r="H23" s="130"/>
      <c r="I23" s="169"/>
      <c r="J23" s="169"/>
      <c r="K23" s="165"/>
    </row>
    <row r="24" spans="1:11" s="2" customFormat="1" ht="14.25" customHeight="1" x14ac:dyDescent="0.2">
      <c r="A24" s="89">
        <v>45238</v>
      </c>
      <c r="B24" s="9" t="s">
        <v>11</v>
      </c>
      <c r="C24" s="10" t="s">
        <v>1137</v>
      </c>
      <c r="D24" s="11" t="s">
        <v>29</v>
      </c>
      <c r="F24" s="12">
        <v>4307.54</v>
      </c>
      <c r="G24" s="1"/>
      <c r="H24" s="130"/>
      <c r="I24" s="169"/>
      <c r="J24" s="169"/>
      <c r="K24" s="165"/>
    </row>
    <row r="25" spans="1:11" s="2" customFormat="1" ht="14.25" customHeight="1" x14ac:dyDescent="0.2">
      <c r="A25" s="89">
        <v>45238</v>
      </c>
      <c r="B25" s="9" t="s">
        <v>11</v>
      </c>
      <c r="C25" s="10" t="s">
        <v>1091</v>
      </c>
      <c r="D25" s="11" t="s">
        <v>29</v>
      </c>
      <c r="F25" s="12">
        <v>49856.07</v>
      </c>
      <c r="G25" s="1"/>
      <c r="H25" s="130"/>
      <c r="I25" s="169"/>
      <c r="J25" s="169"/>
      <c r="K25" s="165"/>
    </row>
    <row r="26" spans="1:11" s="2" customFormat="1" ht="14.25" customHeight="1" x14ac:dyDescent="0.2">
      <c r="A26" s="89">
        <v>45238</v>
      </c>
      <c r="B26" s="9" t="s">
        <v>11</v>
      </c>
      <c r="C26" s="10" t="s">
        <v>134</v>
      </c>
      <c r="D26" s="11" t="s">
        <v>29</v>
      </c>
      <c r="F26" s="12">
        <v>2000000</v>
      </c>
      <c r="G26" s="1"/>
      <c r="H26" s="130"/>
      <c r="I26" s="169"/>
      <c r="J26" s="169"/>
      <c r="K26" s="165"/>
    </row>
    <row r="27" spans="1:11" s="2" customFormat="1" ht="14.25" customHeight="1" x14ac:dyDescent="0.2">
      <c r="A27" s="89">
        <v>45238</v>
      </c>
      <c r="B27" s="9" t="s">
        <v>11</v>
      </c>
      <c r="C27" s="10" t="s">
        <v>494</v>
      </c>
      <c r="D27" s="11" t="s">
        <v>29</v>
      </c>
      <c r="F27" s="12">
        <v>11865.79</v>
      </c>
      <c r="G27" s="1"/>
      <c r="H27" s="130"/>
      <c r="I27" s="169"/>
      <c r="J27" s="169"/>
      <c r="K27" s="165"/>
    </row>
    <row r="28" spans="1:11" s="2" customFormat="1" ht="14.25" customHeight="1" x14ac:dyDescent="0.2">
      <c r="A28" s="89">
        <v>45238</v>
      </c>
      <c r="B28" s="9" t="s">
        <v>11</v>
      </c>
      <c r="C28" s="10" t="s">
        <v>659</v>
      </c>
      <c r="D28" s="11" t="s">
        <v>29</v>
      </c>
      <c r="F28" s="12">
        <v>16201</v>
      </c>
      <c r="G28" s="1"/>
      <c r="H28" s="130"/>
      <c r="I28" s="169"/>
      <c r="J28" s="169"/>
      <c r="K28" s="165"/>
    </row>
    <row r="29" spans="1:11" s="2" customFormat="1" ht="14.25" customHeight="1" x14ac:dyDescent="0.2">
      <c r="A29" s="89">
        <v>45238</v>
      </c>
      <c r="B29" s="9" t="s">
        <v>11</v>
      </c>
      <c r="C29" s="10" t="s">
        <v>34</v>
      </c>
      <c r="D29" s="11" t="s">
        <v>29</v>
      </c>
      <c r="F29" s="12">
        <v>30000</v>
      </c>
      <c r="G29" s="1"/>
      <c r="H29" s="130"/>
      <c r="I29" s="169"/>
      <c r="J29" s="169"/>
      <c r="K29" s="165"/>
    </row>
    <row r="30" spans="1:11" s="2" customFormat="1" ht="14.25" customHeight="1" x14ac:dyDescent="0.2">
      <c r="A30" s="89">
        <v>45238</v>
      </c>
      <c r="B30" s="9" t="s">
        <v>11</v>
      </c>
      <c r="C30" s="10" t="s">
        <v>235</v>
      </c>
      <c r="D30" s="11" t="s">
        <v>29</v>
      </c>
      <c r="F30" s="12">
        <v>6432</v>
      </c>
      <c r="G30" s="1"/>
      <c r="H30" s="130"/>
      <c r="I30" s="169"/>
      <c r="J30" s="169"/>
      <c r="K30" s="165"/>
    </row>
    <row r="31" spans="1:11" s="2" customFormat="1" ht="14.25" customHeight="1" x14ac:dyDescent="0.2">
      <c r="A31" s="89">
        <v>45238</v>
      </c>
      <c r="B31" s="9" t="s">
        <v>11</v>
      </c>
      <c r="C31" s="10" t="s">
        <v>112</v>
      </c>
      <c r="D31" s="11" t="s">
        <v>29</v>
      </c>
      <c r="F31" s="12">
        <v>2835</v>
      </c>
      <c r="G31" s="1"/>
      <c r="H31" s="130"/>
      <c r="I31" s="169"/>
      <c r="J31" s="169"/>
      <c r="K31" s="165"/>
    </row>
    <row r="32" spans="1:11" s="2" customFormat="1" ht="14.25" customHeight="1" x14ac:dyDescent="0.2">
      <c r="A32" s="89">
        <v>45238</v>
      </c>
      <c r="B32" s="9" t="s">
        <v>11</v>
      </c>
      <c r="C32" s="10" t="s">
        <v>729</v>
      </c>
      <c r="D32" s="11" t="s">
        <v>29</v>
      </c>
      <c r="F32" s="12">
        <v>4100</v>
      </c>
      <c r="G32" s="1"/>
      <c r="H32" s="130"/>
      <c r="I32" s="169"/>
      <c r="J32" s="169"/>
      <c r="K32" s="165"/>
    </row>
    <row r="33" spans="1:13" s="2" customFormat="1" ht="14.25" customHeight="1" x14ac:dyDescent="0.2">
      <c r="A33" s="89">
        <v>45238</v>
      </c>
      <c r="B33" s="9" t="s">
        <v>11</v>
      </c>
      <c r="C33" s="10" t="s">
        <v>987</v>
      </c>
      <c r="D33" s="11" t="s">
        <v>29</v>
      </c>
      <c r="F33" s="12">
        <v>64900</v>
      </c>
      <c r="G33" s="1"/>
      <c r="H33" s="130"/>
      <c r="I33" s="169"/>
      <c r="J33" s="169"/>
      <c r="K33" s="165"/>
    </row>
    <row r="34" spans="1:13" s="2" customFormat="1" ht="14.25" customHeight="1" x14ac:dyDescent="0.2">
      <c r="A34" s="89">
        <v>45238</v>
      </c>
      <c r="B34" s="9" t="s">
        <v>11</v>
      </c>
      <c r="C34" s="10" t="s">
        <v>243</v>
      </c>
      <c r="D34" s="11" t="s">
        <v>29</v>
      </c>
      <c r="F34" s="12">
        <v>4089.73</v>
      </c>
      <c r="G34" s="1"/>
      <c r="H34" s="130"/>
      <c r="I34" s="169"/>
      <c r="J34" s="169"/>
      <c r="K34" s="165"/>
    </row>
    <row r="35" spans="1:13" s="2" customFormat="1" ht="14.25" customHeight="1" x14ac:dyDescent="0.2">
      <c r="A35" s="89">
        <v>45238</v>
      </c>
      <c r="B35" s="9" t="s">
        <v>11</v>
      </c>
      <c r="C35" s="10" t="s">
        <v>1755</v>
      </c>
      <c r="D35" s="11" t="s">
        <v>29</v>
      </c>
      <c r="F35" s="12">
        <v>37587.5</v>
      </c>
      <c r="G35" s="1"/>
      <c r="H35" s="130"/>
      <c r="I35" s="169"/>
      <c r="J35" s="169"/>
      <c r="K35" s="165"/>
    </row>
    <row r="36" spans="1:13" s="2" customFormat="1" ht="14.25" customHeight="1" x14ac:dyDescent="0.2">
      <c r="A36" s="89">
        <v>45238</v>
      </c>
      <c r="B36" s="9" t="s">
        <v>11</v>
      </c>
      <c r="C36" s="10" t="s">
        <v>1257</v>
      </c>
      <c r="D36" s="11" t="s">
        <v>29</v>
      </c>
      <c r="F36" s="12">
        <v>16860</v>
      </c>
      <c r="G36" s="1"/>
      <c r="H36" s="130"/>
      <c r="I36" s="169"/>
      <c r="J36" s="169"/>
      <c r="K36" s="165"/>
    </row>
    <row r="37" spans="1:13" s="2" customFormat="1" ht="14.25" customHeight="1" x14ac:dyDescent="0.2">
      <c r="A37" s="89">
        <v>45238</v>
      </c>
      <c r="B37" s="9" t="s">
        <v>11</v>
      </c>
      <c r="C37" s="10" t="s">
        <v>262</v>
      </c>
      <c r="D37" s="11" t="s">
        <v>29</v>
      </c>
      <c r="F37" s="12">
        <v>34511</v>
      </c>
      <c r="G37" s="1"/>
      <c r="H37" s="130"/>
      <c r="I37" s="169"/>
      <c r="J37" s="169"/>
      <c r="K37" s="165"/>
    </row>
    <row r="38" spans="1:13" s="2" customFormat="1" ht="14.25" customHeight="1" x14ac:dyDescent="0.2">
      <c r="A38" s="89">
        <v>45238</v>
      </c>
      <c r="B38" s="9" t="s">
        <v>11</v>
      </c>
      <c r="C38" s="10" t="s">
        <v>57</v>
      </c>
      <c r="D38" s="11" t="s">
        <v>29</v>
      </c>
      <c r="F38" s="12">
        <v>4500000</v>
      </c>
      <c r="G38" s="1"/>
      <c r="H38" s="130"/>
      <c r="I38" s="169"/>
      <c r="J38" s="169"/>
      <c r="K38" s="165"/>
    </row>
    <row r="39" spans="1:13" s="2" customFormat="1" ht="14.25" customHeight="1" x14ac:dyDescent="0.2">
      <c r="A39" s="89">
        <v>45238</v>
      </c>
      <c r="B39" s="9" t="s">
        <v>11</v>
      </c>
      <c r="C39" s="10" t="s">
        <v>1228</v>
      </c>
      <c r="D39" s="11" t="s">
        <v>29</v>
      </c>
      <c r="F39" s="12">
        <v>117120</v>
      </c>
      <c r="G39" s="1"/>
      <c r="H39" s="130"/>
      <c r="I39" s="169"/>
      <c r="J39" s="169"/>
      <c r="K39" s="165"/>
    </row>
    <row r="40" spans="1:13" s="2" customFormat="1" ht="14.25" customHeight="1" x14ac:dyDescent="0.2">
      <c r="D40" s="11" t="s">
        <v>8</v>
      </c>
      <c r="E40" s="16">
        <f>SUM(E13:E39)</f>
        <v>2914501.6399999997</v>
      </c>
      <c r="F40" s="16">
        <f>SUM(F12:F39)</f>
        <v>32744118.549999997</v>
      </c>
      <c r="G40" s="1"/>
      <c r="H40" s="143"/>
      <c r="I40" s="130"/>
      <c r="J40" s="143"/>
      <c r="K40" s="143"/>
      <c r="L40" s="143"/>
      <c r="M40" s="143"/>
    </row>
    <row r="41" spans="1:13" s="2" customFormat="1" ht="14.25" customHeight="1" x14ac:dyDescent="0.4">
      <c r="A41" s="17"/>
      <c r="B41" s="18"/>
      <c r="C41" s="96" t="s">
        <v>9</v>
      </c>
      <c r="D41" s="20"/>
      <c r="E41" s="21">
        <f>+F40-E40</f>
        <v>29829616.909999996</v>
      </c>
      <c r="G41" s="1"/>
      <c r="I41" s="112"/>
      <c r="J41" s="153" t="s">
        <v>779</v>
      </c>
    </row>
    <row r="42" spans="1:13" s="2" customFormat="1" ht="14.25" customHeight="1" x14ac:dyDescent="0.2">
      <c r="A42" s="36"/>
      <c r="B42" s="28" t="s">
        <v>66</v>
      </c>
      <c r="C42" s="43" t="s">
        <v>1458</v>
      </c>
      <c r="D42" s="43"/>
      <c r="E42" s="12">
        <f>30000000+60000000</f>
        <v>90000000</v>
      </c>
      <c r="F42" s="22"/>
      <c r="G42" s="1"/>
      <c r="I42" s="40">
        <v>29829616.91</v>
      </c>
      <c r="J42" s="154">
        <f>I42-E41</f>
        <v>0</v>
      </c>
    </row>
    <row r="43" spans="1:13" s="2" customFormat="1" ht="14.25" customHeight="1" x14ac:dyDescent="0.25">
      <c r="A43" s="36"/>
      <c r="B43" s="28"/>
      <c r="C43" s="44" t="s">
        <v>1541</v>
      </c>
      <c r="D43" s="43"/>
      <c r="E43" s="7">
        <f>+E41+E42</f>
        <v>119829616.91</v>
      </c>
      <c r="F43" s="22"/>
      <c r="G43" s="1"/>
      <c r="H43" s="13" t="s">
        <v>1582</v>
      </c>
      <c r="I43" s="13" t="s">
        <v>1583</v>
      </c>
    </row>
    <row r="44" spans="1:13" s="2" customFormat="1" ht="14.25" customHeight="1" x14ac:dyDescent="0.25">
      <c r="A44" s="36"/>
      <c r="B44" s="28"/>
      <c r="C44" s="44" t="s">
        <v>1511</v>
      </c>
      <c r="D44" s="43"/>
      <c r="E44" s="38">
        <f>+I12</f>
        <v>170383.08999999985</v>
      </c>
      <c r="F44" s="22"/>
      <c r="G44" s="1"/>
      <c r="H44" s="2">
        <v>9540505</v>
      </c>
      <c r="I44" s="2">
        <v>1413502.76</v>
      </c>
      <c r="J44" s="176">
        <f>H44-I44</f>
        <v>8127002.2400000002</v>
      </c>
    </row>
    <row r="45" spans="1:13" s="2" customFormat="1" ht="14.25" customHeight="1" x14ac:dyDescent="0.2">
      <c r="A45" s="24"/>
      <c r="B45" s="1"/>
      <c r="C45" s="14"/>
      <c r="D45" s="25"/>
      <c r="G45" s="1"/>
      <c r="I45" s="130"/>
      <c r="J45" s="130"/>
    </row>
    <row r="46" spans="1:13" s="2" customFormat="1" x14ac:dyDescent="0.2">
      <c r="A46" s="214" t="s">
        <v>10</v>
      </c>
      <c r="B46" s="214"/>
      <c r="C46" s="214"/>
      <c r="D46" s="214"/>
      <c r="E46" s="214"/>
      <c r="F46" s="214"/>
      <c r="G46" s="1"/>
      <c r="H46" s="159"/>
      <c r="I46" s="160">
        <f>225000000-75000000-50000000+25000000</f>
        <v>125000000</v>
      </c>
      <c r="J46" s="160" t="s">
        <v>1506</v>
      </c>
      <c r="K46" s="70"/>
    </row>
    <row r="47" spans="1:13" s="2" customFormat="1" x14ac:dyDescent="0.2">
      <c r="A47" s="26" t="s">
        <v>1</v>
      </c>
      <c r="B47" s="27" t="s">
        <v>2</v>
      </c>
      <c r="C47" s="5"/>
      <c r="D47" s="6" t="s">
        <v>3</v>
      </c>
      <c r="E47" s="7" t="s">
        <v>4</v>
      </c>
      <c r="F47" s="7" t="s">
        <v>5</v>
      </c>
      <c r="G47" s="1"/>
      <c r="H47" s="159"/>
      <c r="I47" s="160">
        <v>113271892</v>
      </c>
      <c r="J47" s="160" t="s">
        <v>1507</v>
      </c>
      <c r="K47" s="70" t="s">
        <v>1512</v>
      </c>
    </row>
    <row r="48" spans="1:13" s="2" customFormat="1" x14ac:dyDescent="0.2">
      <c r="A48" s="89">
        <v>45238</v>
      </c>
      <c r="B48" s="128" t="s">
        <v>11</v>
      </c>
      <c r="C48" s="29" t="s">
        <v>7</v>
      </c>
      <c r="D48" s="25"/>
      <c r="E48" s="31"/>
      <c r="F48" s="2">
        <v>58584739.430000067</v>
      </c>
      <c r="G48" s="23"/>
      <c r="H48" s="159" t="s">
        <v>1505</v>
      </c>
      <c r="I48" s="160">
        <f>+I46-I47</f>
        <v>11728108</v>
      </c>
      <c r="J48" s="160"/>
      <c r="K48" s="70"/>
    </row>
    <row r="49" spans="1:14" s="2" customFormat="1" x14ac:dyDescent="0.2">
      <c r="A49" s="89">
        <v>45238</v>
      </c>
      <c r="B49" s="128" t="s">
        <v>6</v>
      </c>
      <c r="C49" s="10" t="s">
        <v>1382</v>
      </c>
      <c r="D49" s="11" t="s">
        <v>13</v>
      </c>
      <c r="E49" s="86">
        <v>36252</v>
      </c>
      <c r="F49" s="70"/>
      <c r="G49" s="1"/>
      <c r="N49" s="1"/>
    </row>
    <row r="50" spans="1:14" s="2" customFormat="1" x14ac:dyDescent="0.2">
      <c r="A50" s="89">
        <v>45238</v>
      </c>
      <c r="B50" s="128" t="s">
        <v>6</v>
      </c>
      <c r="C50" s="10" t="s">
        <v>120</v>
      </c>
      <c r="D50" s="11" t="s">
        <v>13</v>
      </c>
      <c r="E50" s="86">
        <v>14591013</v>
      </c>
      <c r="F50" s="70"/>
      <c r="G50" s="1"/>
      <c r="N50" s="1"/>
    </row>
    <row r="51" spans="1:14" s="2" customFormat="1" x14ac:dyDescent="0.2">
      <c r="A51" s="89">
        <v>45238</v>
      </c>
      <c r="B51" s="128" t="s">
        <v>6</v>
      </c>
      <c r="C51" s="10" t="s">
        <v>947</v>
      </c>
      <c r="D51" s="11" t="s">
        <v>13</v>
      </c>
      <c r="E51" s="86">
        <v>3801423</v>
      </c>
      <c r="F51" s="70"/>
      <c r="G51" s="1"/>
      <c r="N51" s="1"/>
    </row>
    <row r="52" spans="1:14" s="2" customFormat="1" x14ac:dyDescent="0.2">
      <c r="A52" s="89">
        <v>45238</v>
      </c>
      <c r="B52" s="128" t="s">
        <v>6</v>
      </c>
      <c r="C52" s="10" t="s">
        <v>727</v>
      </c>
      <c r="D52" s="11" t="s">
        <v>13</v>
      </c>
      <c r="E52" s="86">
        <v>175000</v>
      </c>
      <c r="F52" s="70"/>
      <c r="G52" s="1"/>
      <c r="N52" s="1"/>
    </row>
    <row r="53" spans="1:14" s="2" customFormat="1" x14ac:dyDescent="0.2">
      <c r="A53" s="89">
        <v>45238</v>
      </c>
      <c r="B53" s="128" t="s">
        <v>6</v>
      </c>
      <c r="C53" s="10" t="s">
        <v>364</v>
      </c>
      <c r="D53" s="11" t="s">
        <v>13</v>
      </c>
      <c r="E53" s="86">
        <v>3638</v>
      </c>
      <c r="F53" s="70"/>
      <c r="G53" s="1"/>
      <c r="N53" s="1"/>
    </row>
    <row r="54" spans="1:14" s="2" customFormat="1" x14ac:dyDescent="0.2">
      <c r="A54" s="89">
        <v>45238</v>
      </c>
      <c r="B54" s="128" t="s">
        <v>6</v>
      </c>
      <c r="C54" s="10" t="s">
        <v>264</v>
      </c>
      <c r="D54" s="11" t="s">
        <v>13</v>
      </c>
      <c r="E54" s="86">
        <v>2000000</v>
      </c>
      <c r="F54" s="70"/>
      <c r="G54" s="1"/>
      <c r="N54" s="1"/>
    </row>
    <row r="55" spans="1:14" s="2" customFormat="1" x14ac:dyDescent="0.2">
      <c r="A55" s="89">
        <v>45238</v>
      </c>
      <c r="B55" s="128" t="s">
        <v>6</v>
      </c>
      <c r="C55" s="10" t="s">
        <v>785</v>
      </c>
      <c r="D55" s="11" t="s">
        <v>13</v>
      </c>
      <c r="E55" s="86">
        <v>791692</v>
      </c>
      <c r="F55" s="70"/>
      <c r="G55" s="1"/>
      <c r="N55" s="1"/>
    </row>
    <row r="56" spans="1:14" s="2" customFormat="1" x14ac:dyDescent="0.2">
      <c r="A56" s="89">
        <v>45238</v>
      </c>
      <c r="B56" s="128" t="s">
        <v>6</v>
      </c>
      <c r="C56" s="10" t="s">
        <v>1596</v>
      </c>
      <c r="D56" s="11" t="s">
        <v>13</v>
      </c>
      <c r="E56" s="86">
        <v>63000</v>
      </c>
      <c r="F56" s="70"/>
      <c r="G56" s="1"/>
      <c r="N56" s="1"/>
    </row>
    <row r="57" spans="1:14" s="2" customFormat="1" x14ac:dyDescent="0.2">
      <c r="A57" s="89">
        <v>45238</v>
      </c>
      <c r="B57" s="128" t="s">
        <v>6</v>
      </c>
      <c r="C57" s="10" t="s">
        <v>276</v>
      </c>
      <c r="D57" s="11" t="s">
        <v>13</v>
      </c>
      <c r="E57" s="86">
        <v>33516</v>
      </c>
      <c r="F57" s="70"/>
      <c r="G57" s="1"/>
      <c r="N57" s="1"/>
    </row>
    <row r="58" spans="1:14" s="2" customFormat="1" x14ac:dyDescent="0.2">
      <c r="A58" s="89">
        <v>45238</v>
      </c>
      <c r="B58" s="128" t="s">
        <v>6</v>
      </c>
      <c r="C58" s="10" t="s">
        <v>469</v>
      </c>
      <c r="D58" s="11" t="s">
        <v>13</v>
      </c>
      <c r="E58" s="86">
        <v>87993</v>
      </c>
      <c r="F58" s="70"/>
      <c r="G58" s="1"/>
      <c r="N58" s="1"/>
    </row>
    <row r="59" spans="1:14" s="2" customFormat="1" x14ac:dyDescent="0.2">
      <c r="A59" s="89">
        <v>45238</v>
      </c>
      <c r="B59" s="128" t="s">
        <v>6</v>
      </c>
      <c r="C59" s="10" t="s">
        <v>1430</v>
      </c>
      <c r="D59" s="11" t="s">
        <v>13</v>
      </c>
      <c r="E59" s="86">
        <v>11498</v>
      </c>
      <c r="F59" s="70"/>
      <c r="G59" s="1"/>
      <c r="N59" s="1"/>
    </row>
    <row r="60" spans="1:14" s="2" customFormat="1" x14ac:dyDescent="0.2">
      <c r="A60" s="89">
        <v>45238</v>
      </c>
      <c r="B60" s="128" t="s">
        <v>6</v>
      </c>
      <c r="C60" s="10" t="s">
        <v>633</v>
      </c>
      <c r="D60" s="11" t="s">
        <v>13</v>
      </c>
      <c r="E60" s="86">
        <v>92375</v>
      </c>
      <c r="F60" s="70"/>
      <c r="G60" s="1"/>
      <c r="N60" s="1"/>
    </row>
    <row r="61" spans="1:14" s="2" customFormat="1" x14ac:dyDescent="0.2">
      <c r="A61" s="89">
        <v>45238</v>
      </c>
      <c r="B61" s="128" t="s">
        <v>6</v>
      </c>
      <c r="C61" s="10" t="s">
        <v>538</v>
      </c>
      <c r="D61" s="11" t="s">
        <v>13</v>
      </c>
      <c r="E61" s="86">
        <v>13429</v>
      </c>
      <c r="F61" s="70"/>
      <c r="G61" s="1"/>
      <c r="N61" s="1"/>
    </row>
    <row r="62" spans="1:14" s="2" customFormat="1" x14ac:dyDescent="0.2">
      <c r="A62" s="89">
        <v>45238</v>
      </c>
      <c r="B62" s="128" t="s">
        <v>6</v>
      </c>
      <c r="C62" s="10" t="s">
        <v>144</v>
      </c>
      <c r="D62" s="11" t="s">
        <v>13</v>
      </c>
      <c r="E62" s="86">
        <v>26749</v>
      </c>
      <c r="F62" s="70"/>
      <c r="G62" s="1"/>
      <c r="N62" s="1"/>
    </row>
    <row r="63" spans="1:14" s="2" customFormat="1" x14ac:dyDescent="0.2">
      <c r="A63" s="89">
        <v>45238</v>
      </c>
      <c r="B63" s="128" t="s">
        <v>6</v>
      </c>
      <c r="C63" s="10" t="s">
        <v>366</v>
      </c>
      <c r="D63" s="11" t="s">
        <v>13</v>
      </c>
      <c r="E63" s="86">
        <v>2507787</v>
      </c>
      <c r="F63" s="70"/>
      <c r="G63" s="1"/>
      <c r="N63" s="1"/>
    </row>
    <row r="64" spans="1:14" s="2" customFormat="1" x14ac:dyDescent="0.2">
      <c r="A64" s="89">
        <v>45238</v>
      </c>
      <c r="B64" s="128" t="s">
        <v>6</v>
      </c>
      <c r="C64" s="10" t="s">
        <v>26</v>
      </c>
      <c r="D64" s="11" t="s">
        <v>13</v>
      </c>
      <c r="E64" s="86">
        <v>743824.97</v>
      </c>
      <c r="F64" s="70"/>
      <c r="G64" s="1"/>
      <c r="N64" s="1"/>
    </row>
    <row r="65" spans="1:14" s="2" customFormat="1" x14ac:dyDescent="0.2">
      <c r="A65" s="89">
        <v>45238</v>
      </c>
      <c r="B65" s="128" t="s">
        <v>6</v>
      </c>
      <c r="C65" s="10" t="s">
        <v>149</v>
      </c>
      <c r="D65" s="11" t="s">
        <v>13</v>
      </c>
      <c r="E65" s="86">
        <v>19985</v>
      </c>
      <c r="F65" s="70"/>
      <c r="G65" s="1"/>
      <c r="N65" s="1"/>
    </row>
    <row r="66" spans="1:14" s="2" customFormat="1" x14ac:dyDescent="0.2">
      <c r="A66" s="89">
        <v>45238</v>
      </c>
      <c r="B66" s="128" t="s">
        <v>6</v>
      </c>
      <c r="C66" s="10" t="s">
        <v>474</v>
      </c>
      <c r="D66" s="11" t="s">
        <v>13</v>
      </c>
      <c r="E66" s="86">
        <v>1971198</v>
      </c>
      <c r="F66" s="70"/>
      <c r="G66" s="1"/>
      <c r="N66" s="1"/>
    </row>
    <row r="67" spans="1:14" s="2" customFormat="1" x14ac:dyDescent="0.2">
      <c r="A67" s="89">
        <v>45238</v>
      </c>
      <c r="B67" s="128" t="s">
        <v>6</v>
      </c>
      <c r="C67" s="10" t="s">
        <v>332</v>
      </c>
      <c r="D67" s="11" t="s">
        <v>13</v>
      </c>
      <c r="E67" s="86">
        <v>199842</v>
      </c>
      <c r="F67" s="70"/>
      <c r="G67" s="1"/>
      <c r="N67" s="1"/>
    </row>
    <row r="68" spans="1:14" s="2" customFormat="1" x14ac:dyDescent="0.2">
      <c r="A68" s="89">
        <v>45238</v>
      </c>
      <c r="B68" s="128" t="s">
        <v>6</v>
      </c>
      <c r="C68" s="10" t="s">
        <v>1645</v>
      </c>
      <c r="D68" s="11" t="s">
        <v>13</v>
      </c>
      <c r="E68" s="86">
        <v>5250</v>
      </c>
      <c r="F68" s="70"/>
      <c r="G68" s="1"/>
      <c r="N68" s="1"/>
    </row>
    <row r="69" spans="1:14" s="2" customFormat="1" x14ac:dyDescent="0.2">
      <c r="A69" s="89">
        <v>45238</v>
      </c>
      <c r="B69" s="128" t="s">
        <v>6</v>
      </c>
      <c r="C69" s="10" t="s">
        <v>351</v>
      </c>
      <c r="D69" s="11" t="s">
        <v>13</v>
      </c>
      <c r="E69" s="86">
        <v>100000</v>
      </c>
      <c r="F69" s="70"/>
      <c r="G69" s="1"/>
      <c r="N69" s="1"/>
    </row>
    <row r="70" spans="1:14" s="2" customFormat="1" x14ac:dyDescent="0.2">
      <c r="A70" s="89">
        <v>45238</v>
      </c>
      <c r="B70" s="128" t="s">
        <v>6</v>
      </c>
      <c r="C70" s="10" t="s">
        <v>1625</v>
      </c>
      <c r="D70" s="11" t="s">
        <v>13</v>
      </c>
      <c r="E70" s="86">
        <v>11025</v>
      </c>
      <c r="F70" s="70"/>
      <c r="G70" s="1"/>
      <c r="N70" s="1"/>
    </row>
    <row r="71" spans="1:14" s="2" customFormat="1" x14ac:dyDescent="0.2">
      <c r="A71" s="89">
        <v>45238</v>
      </c>
      <c r="B71" s="128" t="s">
        <v>6</v>
      </c>
      <c r="C71" s="10" t="s">
        <v>421</v>
      </c>
      <c r="D71" s="11" t="s">
        <v>13</v>
      </c>
      <c r="E71" s="86">
        <v>500000</v>
      </c>
      <c r="F71" s="70"/>
      <c r="G71" s="1"/>
      <c r="N71" s="1"/>
    </row>
    <row r="72" spans="1:14" s="2" customFormat="1" x14ac:dyDescent="0.2">
      <c r="A72" s="89">
        <v>45238</v>
      </c>
      <c r="B72" s="128" t="s">
        <v>6</v>
      </c>
      <c r="C72" s="10" t="s">
        <v>761</v>
      </c>
      <c r="D72" s="11" t="s">
        <v>13</v>
      </c>
      <c r="E72" s="86">
        <v>2415637</v>
      </c>
      <c r="F72" s="70"/>
      <c r="G72" s="1"/>
      <c r="N72" s="1"/>
    </row>
    <row r="73" spans="1:14" s="2" customFormat="1" x14ac:dyDescent="0.2">
      <c r="A73" s="89">
        <v>45238</v>
      </c>
      <c r="B73" s="128" t="s">
        <v>6</v>
      </c>
      <c r="C73" s="10" t="s">
        <v>656</v>
      </c>
      <c r="D73" s="11" t="s">
        <v>13</v>
      </c>
      <c r="E73" s="86">
        <v>192360</v>
      </c>
      <c r="F73" s="70"/>
      <c r="G73" s="1"/>
      <c r="N73" s="1"/>
    </row>
    <row r="74" spans="1:14" s="2" customFormat="1" x14ac:dyDescent="0.2">
      <c r="A74" s="89">
        <v>45238</v>
      </c>
      <c r="B74" s="128" t="s">
        <v>6</v>
      </c>
      <c r="C74" s="10" t="s">
        <v>1750</v>
      </c>
      <c r="D74" s="11" t="s">
        <v>13</v>
      </c>
      <c r="E74" s="86">
        <v>228228</v>
      </c>
      <c r="F74" s="70"/>
      <c r="G74" s="1"/>
      <c r="N74" s="1"/>
    </row>
    <row r="75" spans="1:14" s="2" customFormat="1" x14ac:dyDescent="0.2">
      <c r="A75" s="89">
        <v>45238</v>
      </c>
      <c r="B75" s="128" t="s">
        <v>6</v>
      </c>
      <c r="C75" s="10" t="s">
        <v>177</v>
      </c>
      <c r="D75" s="11" t="s">
        <v>13</v>
      </c>
      <c r="E75" s="86">
        <v>1279657</v>
      </c>
      <c r="F75" s="70"/>
      <c r="G75" s="1"/>
      <c r="N75" s="1"/>
    </row>
    <row r="76" spans="1:14" s="2" customFormat="1" x14ac:dyDescent="0.2">
      <c r="A76" s="89">
        <v>45238</v>
      </c>
      <c r="B76" s="128" t="s">
        <v>6</v>
      </c>
      <c r="C76" s="10" t="s">
        <v>957</v>
      </c>
      <c r="D76" s="11" t="s">
        <v>13</v>
      </c>
      <c r="E76" s="86">
        <v>140769</v>
      </c>
      <c r="F76" s="70"/>
      <c r="G76" s="1"/>
      <c r="N76" s="1"/>
    </row>
    <row r="77" spans="1:14" s="2" customFormat="1" x14ac:dyDescent="0.2">
      <c r="A77" s="89">
        <v>45238</v>
      </c>
      <c r="B77" s="128" t="s">
        <v>6</v>
      </c>
      <c r="C77" s="10" t="s">
        <v>1270</v>
      </c>
      <c r="D77" s="11" t="s">
        <v>13</v>
      </c>
      <c r="E77" s="86">
        <v>332975</v>
      </c>
      <c r="F77" s="70"/>
      <c r="G77" s="1"/>
      <c r="N77" s="1"/>
    </row>
    <row r="78" spans="1:14" s="2" customFormat="1" x14ac:dyDescent="0.2">
      <c r="A78" s="89">
        <v>45238</v>
      </c>
      <c r="B78" s="128" t="s">
        <v>6</v>
      </c>
      <c r="C78" s="10" t="s">
        <v>121</v>
      </c>
      <c r="D78" s="11" t="s">
        <v>13</v>
      </c>
      <c r="E78" s="86">
        <v>200000</v>
      </c>
      <c r="F78" s="70"/>
      <c r="G78" s="1"/>
      <c r="N78" s="1"/>
    </row>
    <row r="79" spans="1:14" s="2" customFormat="1" x14ac:dyDescent="0.2">
      <c r="A79" s="89">
        <v>45238</v>
      </c>
      <c r="B79" s="128" t="s">
        <v>6</v>
      </c>
      <c r="C79" s="10" t="s">
        <v>27</v>
      </c>
      <c r="D79" s="11" t="s">
        <v>13</v>
      </c>
      <c r="E79" s="86">
        <v>3018945.22</v>
      </c>
      <c r="F79" s="70"/>
      <c r="G79" s="1"/>
      <c r="N79" s="1"/>
    </row>
    <row r="80" spans="1:14" s="2" customFormat="1" x14ac:dyDescent="0.2">
      <c r="A80" s="89">
        <v>45238</v>
      </c>
      <c r="B80" s="128" t="s">
        <v>6</v>
      </c>
      <c r="C80" s="10" t="s">
        <v>1756</v>
      </c>
      <c r="D80" s="11" t="s">
        <v>13</v>
      </c>
      <c r="E80" s="86">
        <v>1000000</v>
      </c>
      <c r="F80" s="70"/>
      <c r="G80" s="1"/>
      <c r="N80" s="1"/>
    </row>
    <row r="81" spans="1:14" s="2" customFormat="1" x14ac:dyDescent="0.2">
      <c r="A81" s="89">
        <v>45238</v>
      </c>
      <c r="B81" s="128" t="s">
        <v>6</v>
      </c>
      <c r="C81" s="10" t="s">
        <v>15</v>
      </c>
      <c r="D81" s="11" t="s">
        <v>29</v>
      </c>
      <c r="E81" s="86">
        <f>22784.63-6085.13</f>
        <v>16699.5</v>
      </c>
      <c r="F81" s="70"/>
      <c r="G81" s="1"/>
      <c r="N81" s="1"/>
    </row>
    <row r="82" spans="1:14" s="2" customFormat="1" x14ac:dyDescent="0.2">
      <c r="A82" s="89">
        <v>45238</v>
      </c>
      <c r="B82" s="128" t="s">
        <v>11</v>
      </c>
      <c r="C82" s="10" t="s">
        <v>748</v>
      </c>
      <c r="D82" s="11" t="s">
        <v>29</v>
      </c>
      <c r="E82" s="86"/>
      <c r="F82" s="70">
        <v>1782925.2</v>
      </c>
      <c r="G82" s="1"/>
      <c r="N82" s="1"/>
    </row>
    <row r="83" spans="1:14" s="2" customFormat="1" x14ac:dyDescent="0.2">
      <c r="A83" s="89">
        <v>45238</v>
      </c>
      <c r="B83" s="128" t="s">
        <v>11</v>
      </c>
      <c r="C83" s="10" t="s">
        <v>15</v>
      </c>
      <c r="D83" s="11" t="s">
        <v>29</v>
      </c>
      <c r="E83" s="86"/>
      <c r="F83" s="70">
        <f>11595.58+6085.13</f>
        <v>17680.71</v>
      </c>
      <c r="G83" s="1"/>
      <c r="N83" s="1"/>
    </row>
    <row r="84" spans="1:14" s="2" customFormat="1" x14ac:dyDescent="0.2">
      <c r="A84" s="89">
        <v>45238</v>
      </c>
      <c r="B84" s="128" t="s">
        <v>11</v>
      </c>
      <c r="C84" s="10" t="s">
        <v>764</v>
      </c>
      <c r="D84" s="11" t="s">
        <v>29</v>
      </c>
      <c r="E84" s="86"/>
      <c r="F84" s="70">
        <v>1466869.4</v>
      </c>
      <c r="G84" s="1"/>
      <c r="N84" s="1"/>
    </row>
    <row r="85" spans="1:14" s="2" customFormat="1" x14ac:dyDescent="0.2">
      <c r="A85" s="89">
        <v>45238</v>
      </c>
      <c r="B85" s="128" t="s">
        <v>11</v>
      </c>
      <c r="C85" s="10" t="s">
        <v>750</v>
      </c>
      <c r="D85" s="11" t="s">
        <v>29</v>
      </c>
      <c r="E85" s="86"/>
      <c r="F85" s="70">
        <v>1227011.3999999999</v>
      </c>
      <c r="G85" s="1"/>
      <c r="N85" s="1"/>
    </row>
    <row r="86" spans="1:14" s="2" customFormat="1" x14ac:dyDescent="0.2">
      <c r="A86" s="89">
        <v>45238</v>
      </c>
      <c r="B86" s="128" t="s">
        <v>11</v>
      </c>
      <c r="C86" s="10" t="s">
        <v>232</v>
      </c>
      <c r="D86" s="11" t="s">
        <v>29</v>
      </c>
      <c r="E86" s="86"/>
      <c r="F86" s="70">
        <v>11775</v>
      </c>
      <c r="G86" s="1"/>
      <c r="N86" s="1"/>
    </row>
    <row r="87" spans="1:14" s="2" customFormat="1" x14ac:dyDescent="0.2">
      <c r="A87" s="89">
        <v>45238</v>
      </c>
      <c r="B87" s="128" t="s">
        <v>11</v>
      </c>
      <c r="C87" s="10" t="s">
        <v>32</v>
      </c>
      <c r="D87" s="11" t="s">
        <v>29</v>
      </c>
      <c r="E87" s="86"/>
      <c r="F87" s="70">
        <v>829130</v>
      </c>
      <c r="G87" s="1"/>
      <c r="N87" s="1"/>
    </row>
    <row r="88" spans="1:14" s="2" customFormat="1" x14ac:dyDescent="0.2">
      <c r="A88" s="89">
        <v>45238</v>
      </c>
      <c r="B88" s="128" t="s">
        <v>11</v>
      </c>
      <c r="C88" s="10" t="s">
        <v>350</v>
      </c>
      <c r="D88" s="11" t="s">
        <v>29</v>
      </c>
      <c r="E88" s="86"/>
      <c r="F88" s="70">
        <v>3482</v>
      </c>
      <c r="G88" s="1"/>
      <c r="N88" s="1"/>
    </row>
    <row r="89" spans="1:14" s="2" customFormat="1" x14ac:dyDescent="0.2">
      <c r="A89" s="89">
        <v>45238</v>
      </c>
      <c r="B89" s="128" t="s">
        <v>11</v>
      </c>
      <c r="C89" s="10" t="s">
        <v>691</v>
      </c>
      <c r="D89" s="11" t="s">
        <v>29</v>
      </c>
      <c r="E89" s="86"/>
      <c r="F89" s="70">
        <v>73604</v>
      </c>
      <c r="G89" s="1"/>
      <c r="N89" s="1"/>
    </row>
    <row r="90" spans="1:14" s="2" customFormat="1" x14ac:dyDescent="0.2">
      <c r="A90" s="89">
        <v>45238</v>
      </c>
      <c r="B90" s="128" t="s">
        <v>11</v>
      </c>
      <c r="C90" s="10" t="s">
        <v>346</v>
      </c>
      <c r="D90" s="11" t="s">
        <v>29</v>
      </c>
      <c r="E90" s="86"/>
      <c r="F90" s="70">
        <v>623467</v>
      </c>
      <c r="G90" s="1"/>
      <c r="N90" s="1"/>
    </row>
    <row r="91" spans="1:14" s="2" customFormat="1" x14ac:dyDescent="0.2">
      <c r="A91" s="89">
        <v>45238</v>
      </c>
      <c r="B91" s="128" t="s">
        <v>11</v>
      </c>
      <c r="C91" s="10" t="s">
        <v>460</v>
      </c>
      <c r="D91" s="11" t="s">
        <v>29</v>
      </c>
      <c r="E91" s="86"/>
      <c r="F91" s="70">
        <v>523697</v>
      </c>
      <c r="G91" s="1"/>
      <c r="N91" s="1"/>
    </row>
    <row r="92" spans="1:14" s="2" customFormat="1" x14ac:dyDescent="0.2">
      <c r="A92" s="89">
        <v>45238</v>
      </c>
      <c r="B92" s="128" t="s">
        <v>11</v>
      </c>
      <c r="C92" s="10" t="s">
        <v>127</v>
      </c>
      <c r="D92" s="11" t="s">
        <v>29</v>
      </c>
      <c r="E92" s="86"/>
      <c r="F92" s="70">
        <v>9483501</v>
      </c>
      <c r="G92" s="1"/>
      <c r="N92" s="1"/>
    </row>
    <row r="93" spans="1:14" s="2" customFormat="1" x14ac:dyDescent="0.2">
      <c r="A93" s="89">
        <v>45238</v>
      </c>
      <c r="B93" s="128" t="s">
        <v>11</v>
      </c>
      <c r="C93" s="10" t="s">
        <v>870</v>
      </c>
      <c r="D93" s="11" t="s">
        <v>29</v>
      </c>
      <c r="E93" s="86"/>
      <c r="F93" s="70">
        <v>16015</v>
      </c>
      <c r="G93" s="1"/>
      <c r="N93" s="1"/>
    </row>
    <row r="94" spans="1:14" s="2" customFormat="1" x14ac:dyDescent="0.2">
      <c r="A94" s="89">
        <v>45238</v>
      </c>
      <c r="B94" s="128" t="s">
        <v>11</v>
      </c>
      <c r="C94" s="10" t="s">
        <v>398</v>
      </c>
      <c r="D94" s="11" t="s">
        <v>29</v>
      </c>
      <c r="E94" s="86"/>
      <c r="F94" s="70">
        <v>34352.160000000003</v>
      </c>
      <c r="G94" s="1"/>
      <c r="N94" s="1"/>
    </row>
    <row r="95" spans="1:14" s="2" customFormat="1" x14ac:dyDescent="0.2">
      <c r="A95" s="89">
        <v>45238</v>
      </c>
      <c r="B95" s="128" t="s">
        <v>11</v>
      </c>
      <c r="C95" s="10" t="s">
        <v>1164</v>
      </c>
      <c r="D95" s="11" t="s">
        <v>29</v>
      </c>
      <c r="E95" s="86"/>
      <c r="F95" s="70">
        <v>49091</v>
      </c>
      <c r="G95" s="1"/>
      <c r="N95" s="1"/>
    </row>
    <row r="96" spans="1:14" s="2" customFormat="1" x14ac:dyDescent="0.2">
      <c r="A96" s="89">
        <v>45238</v>
      </c>
      <c r="B96" s="128" t="s">
        <v>11</v>
      </c>
      <c r="C96" s="10" t="s">
        <v>129</v>
      </c>
      <c r="D96" s="11" t="s">
        <v>29</v>
      </c>
      <c r="E96" s="86"/>
      <c r="F96" s="70">
        <v>20756</v>
      </c>
      <c r="G96" s="1"/>
      <c r="N96" s="1"/>
    </row>
    <row r="97" spans="1:14" s="2" customFormat="1" x14ac:dyDescent="0.2">
      <c r="A97" s="89">
        <v>45238</v>
      </c>
      <c r="B97" s="128" t="s">
        <v>11</v>
      </c>
      <c r="C97" s="10" t="s">
        <v>42</v>
      </c>
      <c r="D97" s="11" t="s">
        <v>29</v>
      </c>
      <c r="E97" s="86"/>
      <c r="F97" s="70">
        <v>46623</v>
      </c>
      <c r="G97" s="1"/>
      <c r="N97" s="1"/>
    </row>
    <row r="98" spans="1:14" s="2" customFormat="1" x14ac:dyDescent="0.2">
      <c r="A98" s="89">
        <v>45238</v>
      </c>
      <c r="B98" s="128" t="s">
        <v>11</v>
      </c>
      <c r="C98" s="10" t="s">
        <v>137</v>
      </c>
      <c r="D98" s="11" t="s">
        <v>29</v>
      </c>
      <c r="E98" s="86"/>
      <c r="F98" s="70">
        <v>186150</v>
      </c>
      <c r="G98" s="1"/>
      <c r="N98" s="1"/>
    </row>
    <row r="99" spans="1:14" s="2" customFormat="1" x14ac:dyDescent="0.2">
      <c r="A99" s="89">
        <v>45238</v>
      </c>
      <c r="B99" s="128" t="s">
        <v>11</v>
      </c>
      <c r="C99" s="10" t="s">
        <v>64</v>
      </c>
      <c r="D99" s="11" t="s">
        <v>29</v>
      </c>
      <c r="E99" s="86"/>
      <c r="F99" s="70">
        <v>7646.5300000000007</v>
      </c>
      <c r="G99" s="1"/>
      <c r="N99" s="1"/>
    </row>
    <row r="100" spans="1:14" s="2" customFormat="1" x14ac:dyDescent="0.2">
      <c r="A100" s="89">
        <v>45238</v>
      </c>
      <c r="B100" s="128" t="s">
        <v>11</v>
      </c>
      <c r="C100" s="10" t="s">
        <v>1155</v>
      </c>
      <c r="D100" s="11" t="s">
        <v>29</v>
      </c>
      <c r="E100" s="86"/>
      <c r="F100" s="70">
        <v>25000000</v>
      </c>
      <c r="G100" s="1"/>
      <c r="N100" s="1"/>
    </row>
    <row r="101" spans="1:14" s="2" customFormat="1" x14ac:dyDescent="0.2">
      <c r="A101" s="89">
        <v>45238</v>
      </c>
      <c r="B101" s="128" t="s">
        <v>11</v>
      </c>
      <c r="C101" s="10" t="s">
        <v>102</v>
      </c>
      <c r="D101" s="11" t="s">
        <v>29</v>
      </c>
      <c r="E101" s="86"/>
      <c r="F101" s="70">
        <v>38424.65</v>
      </c>
      <c r="G101" s="1"/>
      <c r="N101" s="1"/>
    </row>
    <row r="102" spans="1:14" s="2" customFormat="1" x14ac:dyDescent="0.2">
      <c r="A102" s="89">
        <v>45238</v>
      </c>
      <c r="B102" s="128" t="s">
        <v>11</v>
      </c>
      <c r="C102" s="10" t="s">
        <v>57</v>
      </c>
      <c r="D102" s="11" t="s">
        <v>29</v>
      </c>
      <c r="E102" s="86"/>
      <c r="F102" s="70">
        <v>15000000</v>
      </c>
      <c r="G102" s="1"/>
      <c r="N102" s="1"/>
    </row>
    <row r="103" spans="1:14" s="2" customFormat="1" x14ac:dyDescent="0.2">
      <c r="A103" s="89">
        <v>45238</v>
      </c>
      <c r="B103" s="128" t="s">
        <v>11</v>
      </c>
      <c r="C103" s="10" t="s">
        <v>111</v>
      </c>
      <c r="D103" s="11" t="s">
        <v>29</v>
      </c>
      <c r="E103" s="86"/>
      <c r="F103" s="70">
        <v>7688917.4800000004</v>
      </c>
      <c r="G103" s="1"/>
      <c r="N103" s="1"/>
    </row>
    <row r="104" spans="1:14" s="2" customFormat="1" x14ac:dyDescent="0.2">
      <c r="A104" s="89">
        <v>45238</v>
      </c>
      <c r="B104" s="128" t="s">
        <v>11</v>
      </c>
      <c r="C104" s="10" t="s">
        <v>476</v>
      </c>
      <c r="D104" s="11" t="s">
        <v>29</v>
      </c>
      <c r="E104" s="86"/>
      <c r="F104" s="70">
        <v>15048</v>
      </c>
      <c r="G104" s="1"/>
      <c r="N104" s="1"/>
    </row>
    <row r="105" spans="1:14" s="2" customFormat="1" x14ac:dyDescent="0.2">
      <c r="A105" s="89">
        <v>45238</v>
      </c>
      <c r="B105" s="128" t="s">
        <v>11</v>
      </c>
      <c r="C105" s="10" t="s">
        <v>616</v>
      </c>
      <c r="D105" s="11" t="s">
        <v>29</v>
      </c>
      <c r="E105" s="86"/>
      <c r="F105" s="70">
        <v>58558</v>
      </c>
      <c r="G105" s="1"/>
      <c r="N105" s="1"/>
    </row>
    <row r="106" spans="1:14" s="2" customFormat="1" x14ac:dyDescent="0.2">
      <c r="A106" s="89">
        <v>45238</v>
      </c>
      <c r="B106" s="128" t="s">
        <v>11</v>
      </c>
      <c r="C106" s="10" t="s">
        <v>452</v>
      </c>
      <c r="D106" s="11" t="s">
        <v>29</v>
      </c>
      <c r="E106" s="86"/>
      <c r="F106" s="70">
        <v>108239</v>
      </c>
      <c r="G106" s="1"/>
      <c r="N106" s="1"/>
    </row>
    <row r="107" spans="1:14" s="2" customFormat="1" x14ac:dyDescent="0.2">
      <c r="A107" s="89">
        <v>45238</v>
      </c>
      <c r="B107" s="128" t="s">
        <v>11</v>
      </c>
      <c r="C107" s="10" t="s">
        <v>268</v>
      </c>
      <c r="D107" s="11" t="s">
        <v>29</v>
      </c>
      <c r="E107" s="86"/>
      <c r="F107" s="70">
        <v>107545</v>
      </c>
      <c r="G107" s="1"/>
      <c r="N107" s="1"/>
    </row>
    <row r="108" spans="1:14" s="2" customFormat="1" x14ac:dyDescent="0.2">
      <c r="A108" s="89">
        <v>45238</v>
      </c>
      <c r="B108" s="128" t="s">
        <v>11</v>
      </c>
      <c r="C108" s="10" t="s">
        <v>130</v>
      </c>
      <c r="D108" s="11" t="s">
        <v>29</v>
      </c>
      <c r="E108" s="86"/>
      <c r="F108" s="70">
        <v>42181</v>
      </c>
      <c r="G108" s="1"/>
      <c r="N108" s="1"/>
    </row>
    <row r="109" spans="1:14" s="2" customFormat="1" x14ac:dyDescent="0.2">
      <c r="A109" s="89">
        <v>45238</v>
      </c>
      <c r="B109" s="128" t="s">
        <v>11</v>
      </c>
      <c r="C109" s="10" t="s">
        <v>339</v>
      </c>
      <c r="D109" s="11" t="s">
        <v>29</v>
      </c>
      <c r="E109" s="86"/>
      <c r="F109" s="70">
        <v>36619.54</v>
      </c>
      <c r="G109" s="1"/>
      <c r="N109" s="1"/>
    </row>
    <row r="110" spans="1:14" s="2" customFormat="1" x14ac:dyDescent="0.2">
      <c r="A110" s="89">
        <v>45238</v>
      </c>
      <c r="B110" s="128" t="s">
        <v>11</v>
      </c>
      <c r="C110" s="10" t="s">
        <v>970</v>
      </c>
      <c r="D110" s="11" t="s">
        <v>29</v>
      </c>
      <c r="E110" s="86"/>
      <c r="F110" s="70">
        <v>56917</v>
      </c>
      <c r="G110" s="1"/>
      <c r="N110" s="1"/>
    </row>
    <row r="111" spans="1:14" s="2" customFormat="1" x14ac:dyDescent="0.2">
      <c r="A111" s="89">
        <v>45238</v>
      </c>
      <c r="B111" s="128" t="s">
        <v>11</v>
      </c>
      <c r="C111" s="10" t="s">
        <v>1757</v>
      </c>
      <c r="D111" s="11" t="s">
        <v>29</v>
      </c>
      <c r="E111" s="86"/>
      <c r="F111" s="70">
        <v>183279</v>
      </c>
      <c r="G111" s="1"/>
      <c r="N111" s="1"/>
    </row>
    <row r="112" spans="1:14" s="2" customFormat="1" x14ac:dyDescent="0.2">
      <c r="A112" s="89">
        <v>45238</v>
      </c>
      <c r="B112" s="128" t="s">
        <v>11</v>
      </c>
      <c r="C112" s="10" t="s">
        <v>55</v>
      </c>
      <c r="D112" s="11" t="s">
        <v>29</v>
      </c>
      <c r="E112" s="86"/>
      <c r="F112" s="70">
        <v>2102196</v>
      </c>
      <c r="G112" s="1"/>
      <c r="N112" s="1"/>
    </row>
    <row r="113" spans="1:14" s="2" customFormat="1" x14ac:dyDescent="0.2">
      <c r="A113" s="89">
        <v>45238</v>
      </c>
      <c r="B113" s="128" t="s">
        <v>11</v>
      </c>
      <c r="C113" s="10" t="s">
        <v>442</v>
      </c>
      <c r="D113" s="11" t="s">
        <v>29</v>
      </c>
      <c r="E113" s="86"/>
      <c r="F113" s="70">
        <v>431284</v>
      </c>
      <c r="G113" s="1"/>
      <c r="N113" s="1"/>
    </row>
    <row r="114" spans="1:14" s="2" customFormat="1" x14ac:dyDescent="0.2">
      <c r="A114" s="89">
        <v>45238</v>
      </c>
      <c r="B114" s="128" t="s">
        <v>11</v>
      </c>
      <c r="C114" s="10" t="s">
        <v>368</v>
      </c>
      <c r="D114" s="11" t="s">
        <v>29</v>
      </c>
      <c r="E114" s="86"/>
      <c r="F114" s="70">
        <v>1997022</v>
      </c>
      <c r="G114" s="1"/>
      <c r="N114" s="1"/>
    </row>
    <row r="115" spans="1:14" s="2" customFormat="1" x14ac:dyDescent="0.2">
      <c r="A115" s="89">
        <v>45238</v>
      </c>
      <c r="B115" s="128" t="s">
        <v>11</v>
      </c>
      <c r="C115" s="10" t="s">
        <v>441</v>
      </c>
      <c r="D115" s="11" t="s">
        <v>29</v>
      </c>
      <c r="E115" s="86"/>
      <c r="F115" s="70">
        <v>1666.44</v>
      </c>
      <c r="G115" s="1"/>
      <c r="N115" s="1"/>
    </row>
    <row r="116" spans="1:14" s="2" customFormat="1" x14ac:dyDescent="0.2">
      <c r="A116" s="89">
        <v>45238</v>
      </c>
      <c r="B116" s="128" t="s">
        <v>11</v>
      </c>
      <c r="C116" s="10" t="s">
        <v>789</v>
      </c>
      <c r="D116" s="11" t="s">
        <v>29</v>
      </c>
      <c r="E116" s="86"/>
      <c r="F116" s="70">
        <v>636732</v>
      </c>
      <c r="G116" s="1"/>
      <c r="N116" s="1"/>
    </row>
    <row r="117" spans="1:14" s="2" customFormat="1" x14ac:dyDescent="0.2">
      <c r="A117" s="89">
        <v>45238</v>
      </c>
      <c r="B117" s="128" t="s">
        <v>11</v>
      </c>
      <c r="C117" s="10" t="s">
        <v>1758</v>
      </c>
      <c r="D117" s="11" t="s">
        <v>29</v>
      </c>
      <c r="E117" s="86"/>
      <c r="F117" s="70">
        <v>1000000</v>
      </c>
      <c r="G117" s="1"/>
      <c r="N117" s="1"/>
    </row>
    <row r="118" spans="1:14" s="2" customFormat="1" x14ac:dyDescent="0.2">
      <c r="A118" s="89">
        <v>45238</v>
      </c>
      <c r="B118" s="128" t="s">
        <v>11</v>
      </c>
      <c r="C118" s="10" t="s">
        <v>199</v>
      </c>
      <c r="D118" s="11" t="s">
        <v>29</v>
      </c>
      <c r="E118" s="86"/>
      <c r="F118" s="70">
        <v>2565525</v>
      </c>
      <c r="G118" s="1"/>
      <c r="N118" s="1"/>
    </row>
    <row r="119" spans="1:14" s="2" customFormat="1" x14ac:dyDescent="0.2">
      <c r="A119" s="89">
        <v>45238</v>
      </c>
      <c r="B119" s="128" t="s">
        <v>11</v>
      </c>
      <c r="C119" s="10" t="s">
        <v>250</v>
      </c>
      <c r="D119" s="11" t="s">
        <v>29</v>
      </c>
      <c r="E119" s="86"/>
      <c r="F119" s="70">
        <v>5018</v>
      </c>
      <c r="G119" s="1"/>
      <c r="N119" s="1"/>
    </row>
    <row r="120" spans="1:14" s="2" customFormat="1" x14ac:dyDescent="0.2">
      <c r="A120" s="89">
        <v>45238</v>
      </c>
      <c r="B120" s="128" t="s">
        <v>11</v>
      </c>
      <c r="C120" s="10" t="s">
        <v>814</v>
      </c>
      <c r="D120" s="11" t="s">
        <v>29</v>
      </c>
      <c r="E120" s="86"/>
      <c r="F120" s="70">
        <v>365257.75</v>
      </c>
      <c r="G120" s="1"/>
      <c r="N120" s="1"/>
    </row>
    <row r="121" spans="1:14" s="2" customFormat="1" x14ac:dyDescent="0.2">
      <c r="A121" s="89">
        <v>45238</v>
      </c>
      <c r="B121" s="128" t="s">
        <v>11</v>
      </c>
      <c r="C121" s="10" t="s">
        <v>1472</v>
      </c>
      <c r="D121" s="11" t="s">
        <v>29</v>
      </c>
      <c r="E121" s="86"/>
      <c r="F121" s="70">
        <v>299490</v>
      </c>
      <c r="G121" s="1"/>
      <c r="N121" s="1"/>
    </row>
    <row r="122" spans="1:14" s="2" customFormat="1" x14ac:dyDescent="0.2">
      <c r="A122" s="89">
        <v>45238</v>
      </c>
      <c r="B122" s="128" t="s">
        <v>11</v>
      </c>
      <c r="C122" s="10" t="s">
        <v>110</v>
      </c>
      <c r="D122" s="11" t="s">
        <v>29</v>
      </c>
      <c r="E122" s="86"/>
      <c r="F122" s="70">
        <v>1081462.76</v>
      </c>
      <c r="G122" s="1"/>
      <c r="N122" s="1"/>
    </row>
    <row r="123" spans="1:14" s="2" customFormat="1" x14ac:dyDescent="0.2">
      <c r="A123" s="89">
        <v>45238</v>
      </c>
      <c r="B123" s="128" t="s">
        <v>11</v>
      </c>
      <c r="C123" s="10" t="s">
        <v>194</v>
      </c>
      <c r="D123" s="11" t="s">
        <v>29</v>
      </c>
      <c r="E123" s="86"/>
      <c r="F123" s="70">
        <v>442071</v>
      </c>
      <c r="G123" s="1"/>
      <c r="N123" s="1"/>
    </row>
    <row r="124" spans="1:14" s="2" customFormat="1" x14ac:dyDescent="0.2">
      <c r="A124" s="89">
        <v>45238</v>
      </c>
      <c r="B124" s="128" t="s">
        <v>11</v>
      </c>
      <c r="C124" s="10" t="s">
        <v>193</v>
      </c>
      <c r="D124" s="11" t="s">
        <v>29</v>
      </c>
      <c r="E124" s="86"/>
      <c r="F124" s="70">
        <v>567533</v>
      </c>
      <c r="G124" s="1"/>
      <c r="N124" s="1"/>
    </row>
    <row r="125" spans="1:14" s="2" customFormat="1" x14ac:dyDescent="0.2">
      <c r="A125" s="89">
        <v>45238</v>
      </c>
      <c r="B125" s="128" t="s">
        <v>11</v>
      </c>
      <c r="C125" s="10" t="s">
        <v>745</v>
      </c>
      <c r="D125" s="11" t="s">
        <v>29</v>
      </c>
      <c r="E125" s="86"/>
      <c r="F125" s="70">
        <v>901363</v>
      </c>
      <c r="G125" s="1"/>
      <c r="N125" s="1"/>
    </row>
    <row r="126" spans="1:14" s="2" customFormat="1" x14ac:dyDescent="0.2">
      <c r="A126" s="89">
        <v>45238</v>
      </c>
      <c r="B126" s="128" t="s">
        <v>11</v>
      </c>
      <c r="C126" s="10" t="s">
        <v>790</v>
      </c>
      <c r="D126" s="11" t="s">
        <v>29</v>
      </c>
      <c r="E126" s="86"/>
      <c r="F126" s="70">
        <v>1990865</v>
      </c>
      <c r="G126" s="1"/>
      <c r="N126" s="1"/>
    </row>
    <row r="127" spans="1:14" s="2" customFormat="1" x14ac:dyDescent="0.2">
      <c r="A127" s="89">
        <v>45238</v>
      </c>
      <c r="B127" s="128" t="s">
        <v>11</v>
      </c>
      <c r="C127" s="10" t="s">
        <v>300</v>
      </c>
      <c r="D127" s="11" t="s">
        <v>29</v>
      </c>
      <c r="E127" s="86"/>
      <c r="F127" s="70">
        <v>275656</v>
      </c>
      <c r="G127" s="1"/>
      <c r="N127" s="1"/>
    </row>
    <row r="128" spans="1:14" s="2" customFormat="1" x14ac:dyDescent="0.2">
      <c r="A128" s="89">
        <v>45238</v>
      </c>
      <c r="B128" s="128" t="s">
        <v>11</v>
      </c>
      <c r="C128" s="10" t="s">
        <v>1140</v>
      </c>
      <c r="D128" s="11" t="s">
        <v>29</v>
      </c>
      <c r="E128" s="86"/>
      <c r="F128" s="70">
        <v>265860</v>
      </c>
      <c r="G128" s="1"/>
      <c r="N128" s="1"/>
    </row>
    <row r="129" spans="1:14" s="2" customFormat="1" x14ac:dyDescent="0.2">
      <c r="A129" s="89">
        <v>45238</v>
      </c>
      <c r="B129" s="128" t="s">
        <v>11</v>
      </c>
      <c r="C129" s="10" t="s">
        <v>56</v>
      </c>
      <c r="D129" s="11" t="s">
        <v>29</v>
      </c>
      <c r="E129" s="86"/>
      <c r="F129" s="70">
        <v>134545</v>
      </c>
      <c r="G129" s="1"/>
      <c r="N129" s="1"/>
    </row>
    <row r="130" spans="1:14" s="2" customFormat="1" x14ac:dyDescent="0.2">
      <c r="A130" s="89">
        <v>45238</v>
      </c>
      <c r="B130" s="128" t="s">
        <v>11</v>
      </c>
      <c r="C130" s="10" t="s">
        <v>1058</v>
      </c>
      <c r="D130" s="11" t="s">
        <v>29</v>
      </c>
      <c r="E130" s="86"/>
      <c r="F130" s="70">
        <v>427480</v>
      </c>
      <c r="G130" s="1"/>
      <c r="N130" s="1"/>
    </row>
    <row r="131" spans="1:14" s="2" customFormat="1" x14ac:dyDescent="0.2">
      <c r="A131" s="89">
        <v>45238</v>
      </c>
      <c r="B131" s="128" t="s">
        <v>11</v>
      </c>
      <c r="C131" s="10" t="s">
        <v>849</v>
      </c>
      <c r="D131" s="11" t="s">
        <v>29</v>
      </c>
      <c r="E131" s="86"/>
      <c r="F131" s="70">
        <v>317779</v>
      </c>
      <c r="G131" s="1"/>
      <c r="N131" s="1"/>
    </row>
    <row r="132" spans="1:14" s="2" customFormat="1" x14ac:dyDescent="0.2">
      <c r="A132" s="89">
        <v>45238</v>
      </c>
      <c r="B132" s="128" t="s">
        <v>11</v>
      </c>
      <c r="C132" s="10" t="s">
        <v>496</v>
      </c>
      <c r="D132" s="11" t="s">
        <v>29</v>
      </c>
      <c r="E132" s="86"/>
      <c r="F132" s="70">
        <v>368160</v>
      </c>
      <c r="G132" s="1"/>
      <c r="N132" s="1"/>
    </row>
    <row r="133" spans="1:14" s="2" customFormat="1" x14ac:dyDescent="0.2">
      <c r="A133" s="89">
        <v>45238</v>
      </c>
      <c r="B133" s="128" t="s">
        <v>11</v>
      </c>
      <c r="C133" s="10" t="s">
        <v>663</v>
      </c>
      <c r="D133" s="11" t="s">
        <v>29</v>
      </c>
      <c r="E133" s="86"/>
      <c r="F133" s="70">
        <v>55440</v>
      </c>
      <c r="G133" s="1"/>
      <c r="N133" s="1"/>
    </row>
    <row r="134" spans="1:14" s="2" customFormat="1" x14ac:dyDescent="0.2">
      <c r="A134" s="89">
        <v>45238</v>
      </c>
      <c r="B134" s="128" t="s">
        <v>11</v>
      </c>
      <c r="C134" s="10" t="s">
        <v>1219</v>
      </c>
      <c r="D134" s="11" t="s">
        <v>29</v>
      </c>
      <c r="E134" s="86"/>
      <c r="F134" s="70">
        <v>1000000</v>
      </c>
      <c r="G134" s="1"/>
      <c r="N134" s="1"/>
    </row>
    <row r="135" spans="1:14" s="2" customFormat="1" x14ac:dyDescent="0.2">
      <c r="A135" s="89">
        <v>45238</v>
      </c>
      <c r="B135" s="128" t="s">
        <v>11</v>
      </c>
      <c r="C135" s="10" t="s">
        <v>1348</v>
      </c>
      <c r="D135" s="11" t="s">
        <v>29</v>
      </c>
      <c r="E135" s="86"/>
      <c r="F135" s="70">
        <v>500000</v>
      </c>
      <c r="G135" s="1"/>
      <c r="N135" s="1"/>
    </row>
    <row r="136" spans="1:14" s="2" customFormat="1" x14ac:dyDescent="0.2">
      <c r="A136" s="89">
        <v>45238</v>
      </c>
      <c r="B136" s="128" t="s">
        <v>11</v>
      </c>
      <c r="C136" s="10" t="s">
        <v>486</v>
      </c>
      <c r="D136" s="11" t="s">
        <v>29</v>
      </c>
      <c r="E136" s="86"/>
      <c r="F136" s="70">
        <v>700000</v>
      </c>
      <c r="G136" s="1"/>
      <c r="N136" s="1"/>
    </row>
    <row r="137" spans="1:14" s="2" customFormat="1" x14ac:dyDescent="0.2">
      <c r="A137" s="32"/>
      <c r="B137" s="33"/>
      <c r="C137" s="14"/>
      <c r="D137" s="34"/>
      <c r="E137" s="16">
        <f>SUM(E48:E136)</f>
        <v>36611760.689999998</v>
      </c>
      <c r="F137" s="16">
        <f>SUM(F48:F136)</f>
        <v>141756650.45000011</v>
      </c>
      <c r="G137" s="1"/>
      <c r="H137" s="1"/>
      <c r="I137" s="38">
        <v>105132719.5</v>
      </c>
      <c r="K137" s="92">
        <f>E138-I137</f>
        <v>12170.260000109673</v>
      </c>
      <c r="N137" s="1"/>
    </row>
    <row r="138" spans="1:14" s="2" customFormat="1" x14ac:dyDescent="0.2">
      <c r="A138" s="36"/>
      <c r="B138" s="28" t="s">
        <v>11</v>
      </c>
      <c r="C138" s="19" t="s">
        <v>65</v>
      </c>
      <c r="D138" s="37"/>
      <c r="E138" s="38">
        <f>F137-E137</f>
        <v>105144889.76000011</v>
      </c>
      <c r="F138" s="22"/>
      <c r="G138" s="1"/>
      <c r="H138" s="1"/>
      <c r="I138" s="70"/>
      <c r="J138" s="70"/>
      <c r="K138" s="70"/>
      <c r="N138" s="1"/>
    </row>
    <row r="139" spans="1:14" s="2" customFormat="1" x14ac:dyDescent="0.2">
      <c r="A139" s="36"/>
      <c r="B139" s="28" t="s">
        <v>66</v>
      </c>
      <c r="C139" s="19" t="s">
        <v>67</v>
      </c>
      <c r="D139" s="37"/>
      <c r="E139" s="38">
        <v>6500000</v>
      </c>
      <c r="F139" s="22"/>
      <c r="G139" s="1"/>
      <c r="H139" s="70"/>
      <c r="I139" s="70"/>
      <c r="J139" s="70"/>
      <c r="K139" s="70"/>
      <c r="N139" s="1"/>
    </row>
    <row r="140" spans="1:14" s="2" customFormat="1" x14ac:dyDescent="0.2">
      <c r="A140" s="36"/>
      <c r="B140" s="28" t="s">
        <v>66</v>
      </c>
      <c r="C140" s="43" t="s">
        <v>1457</v>
      </c>
      <c r="D140" s="43"/>
      <c r="E140" s="12">
        <f>275000000+75000000+50000000-25000000</f>
        <v>375000000</v>
      </c>
      <c r="F140" s="22"/>
      <c r="G140" s="1"/>
      <c r="H140" s="70"/>
      <c r="I140" s="45">
        <v>913.37</v>
      </c>
      <c r="J140" s="46"/>
      <c r="K140" s="46"/>
      <c r="N140" s="1"/>
    </row>
    <row r="141" spans="1:14" s="2" customFormat="1" ht="15" x14ac:dyDescent="0.25">
      <c r="A141" s="36"/>
      <c r="B141" s="28"/>
      <c r="C141" s="44" t="s">
        <v>1541</v>
      </c>
      <c r="D141" s="43"/>
      <c r="E141" s="7">
        <f>+E140+E138+E139</f>
        <v>486644889.76000011</v>
      </c>
      <c r="F141" s="22"/>
      <c r="G141" s="1"/>
      <c r="H141" s="103" t="s">
        <v>69</v>
      </c>
      <c r="I141" s="45">
        <v>0.78</v>
      </c>
      <c r="J141" s="46"/>
      <c r="K141" s="46"/>
      <c r="N141" s="1"/>
    </row>
    <row r="142" spans="1:14" s="2" customFormat="1" ht="15" x14ac:dyDescent="0.25">
      <c r="A142" s="24"/>
      <c r="B142" s="1"/>
      <c r="C142" s="44" t="s">
        <v>1510</v>
      </c>
      <c r="D142" s="25"/>
      <c r="E142" s="156">
        <f>+I48-E139+H44-I44</f>
        <v>13355110.24</v>
      </c>
      <c r="G142" s="1"/>
      <c r="H142" s="35" t="s">
        <v>70</v>
      </c>
      <c r="I142" s="45">
        <v>0</v>
      </c>
      <c r="J142" s="46">
        <f>+I143-D145</f>
        <v>0</v>
      </c>
      <c r="N142" s="1"/>
    </row>
    <row r="143" spans="1:14" s="124" customFormat="1" ht="12.75" customHeight="1" x14ac:dyDescent="0.2">
      <c r="A143" s="24"/>
      <c r="B143" s="1"/>
      <c r="C143" s="56"/>
      <c r="D143" s="56"/>
      <c r="E143" s="104"/>
      <c r="F143" s="2"/>
      <c r="G143" s="166"/>
      <c r="H143" s="70"/>
      <c r="I143" s="49">
        <f>SUM(I140:I142)</f>
        <v>914.15</v>
      </c>
      <c r="J143" s="46"/>
      <c r="K143" s="46"/>
    </row>
    <row r="144" spans="1:14" s="124" customFormat="1" ht="12.75" customHeight="1" x14ac:dyDescent="0.2">
      <c r="A144" s="24"/>
      <c r="B144" s="1"/>
      <c r="C144" s="78" t="s">
        <v>575</v>
      </c>
      <c r="D144" s="48" t="s">
        <v>576</v>
      </c>
      <c r="E144" s="104"/>
      <c r="F144" s="2"/>
      <c r="G144" s="168"/>
      <c r="H144" s="167"/>
      <c r="I144" s="167"/>
      <c r="J144" s="168"/>
    </row>
    <row r="145" spans="1:13" s="124" customFormat="1" ht="12.75" customHeight="1" x14ac:dyDescent="0.2">
      <c r="A145" s="24"/>
      <c r="B145" s="1"/>
      <c r="C145" s="47" t="s">
        <v>570</v>
      </c>
      <c r="D145" s="111">
        <v>914.15</v>
      </c>
      <c r="E145" s="104"/>
      <c r="F145" s="2"/>
      <c r="G145" s="168"/>
      <c r="H145" s="110" t="s">
        <v>581</v>
      </c>
      <c r="I145" s="167"/>
      <c r="J145" s="168"/>
    </row>
    <row r="146" spans="1:13" s="124" customFormat="1" ht="12.75" customHeight="1" x14ac:dyDescent="0.2">
      <c r="A146" s="24"/>
      <c r="B146" s="1"/>
      <c r="C146" s="47" t="s">
        <v>931</v>
      </c>
      <c r="D146" s="111">
        <v>0</v>
      </c>
      <c r="E146" s="104"/>
      <c r="F146" s="2"/>
      <c r="G146" s="168"/>
      <c r="H146" s="110" t="s">
        <v>580</v>
      </c>
      <c r="I146" s="167"/>
      <c r="J146" s="168"/>
    </row>
    <row r="147" spans="1:13" s="124" customFormat="1" ht="12.75" customHeight="1" x14ac:dyDescent="0.2">
      <c r="A147" s="24"/>
      <c r="B147" s="1"/>
      <c r="C147" s="47" t="s">
        <v>572</v>
      </c>
      <c r="D147" s="111">
        <f>+D167/100000</f>
        <v>27.98367</v>
      </c>
      <c r="E147" s="104"/>
      <c r="F147" s="2"/>
      <c r="G147" s="166"/>
      <c r="H147" s="90" t="s">
        <v>587</v>
      </c>
      <c r="I147" s="167"/>
      <c r="J147" s="168"/>
    </row>
    <row r="148" spans="1:13" s="2" customFormat="1" x14ac:dyDescent="0.2">
      <c r="A148" s="24"/>
      <c r="B148" s="1"/>
      <c r="C148" s="108" t="s">
        <v>578</v>
      </c>
      <c r="D148" s="48">
        <f>SUM(D145:D147)</f>
        <v>942.13366999999994</v>
      </c>
      <c r="E148" s="104"/>
      <c r="G148" s="30"/>
      <c r="I148" s="13"/>
      <c r="J148" s="13"/>
    </row>
    <row r="149" spans="1:13" s="70" customFormat="1" x14ac:dyDescent="0.2">
      <c r="A149" s="24"/>
      <c r="B149" s="1"/>
      <c r="C149" s="47"/>
      <c r="D149" s="107"/>
      <c r="E149" s="104"/>
      <c r="F149" s="2"/>
      <c r="G149" s="30"/>
      <c r="H149" s="2"/>
    </row>
    <row r="150" spans="1:13" s="70" customFormat="1" x14ac:dyDescent="0.2">
      <c r="A150" s="24"/>
      <c r="B150" s="1"/>
      <c r="C150" s="47" t="s">
        <v>932</v>
      </c>
      <c r="D150" s="111">
        <v>4.07</v>
      </c>
      <c r="E150" s="104"/>
      <c r="F150" s="2"/>
      <c r="G150" s="30"/>
      <c r="H150" s="110" t="s">
        <v>581</v>
      </c>
    </row>
    <row r="151" spans="1:13" s="70" customFormat="1" x14ac:dyDescent="0.2">
      <c r="A151" s="24"/>
      <c r="B151" s="1"/>
      <c r="C151" s="136" t="s">
        <v>1142</v>
      </c>
      <c r="D151" s="111">
        <v>415.22</v>
      </c>
      <c r="E151" s="104"/>
      <c r="F151" s="2"/>
      <c r="G151" s="30"/>
      <c r="H151" s="110" t="s">
        <v>581</v>
      </c>
    </row>
    <row r="152" spans="1:13" s="70" customFormat="1" x14ac:dyDescent="0.2">
      <c r="A152" s="24"/>
      <c r="B152" s="1"/>
      <c r="C152" s="78" t="s">
        <v>579</v>
      </c>
      <c r="D152" s="109">
        <f>D150+D151</f>
        <v>419.29</v>
      </c>
      <c r="E152" s="104"/>
      <c r="F152" s="2"/>
      <c r="G152" s="30"/>
    </row>
    <row r="153" spans="1:13" s="70" customFormat="1" x14ac:dyDescent="0.2">
      <c r="A153" s="24"/>
      <c r="B153" s="1"/>
      <c r="C153" s="105"/>
      <c r="D153" s="106"/>
      <c r="E153" s="104"/>
      <c r="F153" s="2"/>
      <c r="G153" s="30"/>
      <c r="I153" s="2"/>
      <c r="J153" s="114" t="s">
        <v>713</v>
      </c>
      <c r="K153" s="2"/>
      <c r="L153" s="2"/>
      <c r="M153" s="2"/>
    </row>
    <row r="154" spans="1:13" s="70" customFormat="1" x14ac:dyDescent="0.2">
      <c r="A154" s="24"/>
      <c r="B154" s="1"/>
      <c r="C154" s="78" t="s">
        <v>577</v>
      </c>
      <c r="D154" s="109">
        <f>D145+D152</f>
        <v>1333.44</v>
      </c>
      <c r="E154" s="104"/>
      <c r="F154" s="2"/>
      <c r="G154" s="30"/>
      <c r="I154" s="113"/>
      <c r="J154" s="113" t="s">
        <v>709</v>
      </c>
      <c r="K154" s="113" t="s">
        <v>710</v>
      </c>
      <c r="L154" s="113" t="s">
        <v>711</v>
      </c>
      <c r="M154" s="113" t="s">
        <v>712</v>
      </c>
    </row>
    <row r="155" spans="1:13" s="70" customFormat="1" x14ac:dyDescent="0.2">
      <c r="A155" s="24"/>
      <c r="B155" s="1"/>
      <c r="C155" s="56"/>
      <c r="D155" s="56"/>
      <c r="E155" s="104"/>
      <c r="F155" s="2"/>
      <c r="G155" s="30"/>
      <c r="I155" s="113" t="s">
        <v>706</v>
      </c>
      <c r="J155" s="115"/>
      <c r="K155" s="115">
        <v>968.99</v>
      </c>
      <c r="L155" s="115">
        <v>968.99</v>
      </c>
      <c r="M155" s="113">
        <f>+J155+L155-K155</f>
        <v>0</v>
      </c>
    </row>
    <row r="156" spans="1:13" s="70" customFormat="1" ht="38.25" x14ac:dyDescent="0.2">
      <c r="A156" s="24"/>
      <c r="B156" s="1"/>
      <c r="C156" s="79" t="str">
        <f>"Particulars ( 01-04-2021 to "&amp;TEXT(A5,"dd-mm-yyyy")&amp;" )"</f>
        <v>Particulars ( 01-04-2021 to 08-11-2023 )</v>
      </c>
      <c r="D156" s="80" t="s">
        <v>73</v>
      </c>
      <c r="E156" s="80" t="s">
        <v>74</v>
      </c>
      <c r="F156" s="81" t="s">
        <v>75</v>
      </c>
      <c r="G156" s="80" t="s">
        <v>76</v>
      </c>
      <c r="I156" s="113" t="s">
        <v>707</v>
      </c>
      <c r="J156" s="115">
        <v>183.1</v>
      </c>
      <c r="K156" s="115">
        <v>3897.33</v>
      </c>
      <c r="L156" s="115">
        <v>4124.33</v>
      </c>
      <c r="M156" s="113">
        <f>+J156+L156-K156</f>
        <v>410.10000000000036</v>
      </c>
    </row>
    <row r="157" spans="1:13" s="70" customFormat="1" x14ac:dyDescent="0.2">
      <c r="A157" s="24"/>
      <c r="B157" s="1"/>
      <c r="C157" s="50" t="s">
        <v>444</v>
      </c>
      <c r="D157" s="55">
        <f>+L155+L156+J156</f>
        <v>5276.42</v>
      </c>
      <c r="E157" s="55">
        <f>+K155+K156</f>
        <v>4866.32</v>
      </c>
      <c r="F157" s="55">
        <f>+D157-E157</f>
        <v>410.10000000000036</v>
      </c>
      <c r="G157" s="55">
        <f>1500-F157</f>
        <v>1089.8999999999996</v>
      </c>
      <c r="I157" s="113" t="s">
        <v>708</v>
      </c>
      <c r="J157" s="115">
        <v>1371.02</v>
      </c>
      <c r="K157" s="115">
        <v>14772.49</v>
      </c>
      <c r="L157" s="115">
        <v>14970.38</v>
      </c>
      <c r="M157" s="113">
        <f>+J157+L157-K157</f>
        <v>1568.9099999999999</v>
      </c>
    </row>
    <row r="158" spans="1:13" s="70" customFormat="1" ht="12.75" customHeight="1" x14ac:dyDescent="0.2">
      <c r="A158" s="24"/>
      <c r="B158" s="1"/>
      <c r="C158" s="50" t="s">
        <v>71</v>
      </c>
      <c r="D158" s="55">
        <f>+J157+L157</f>
        <v>16341.4</v>
      </c>
      <c r="E158" s="55">
        <f>+K157</f>
        <v>14772.49</v>
      </c>
      <c r="F158" s="55">
        <f>+D158-E158</f>
        <v>1568.9099999999999</v>
      </c>
      <c r="G158" s="55">
        <f>1500+700-F158</f>
        <v>631.09000000000015</v>
      </c>
      <c r="I158" s="2"/>
      <c r="J158" s="118">
        <f>SUM(J155:J157)</f>
        <v>1554.12</v>
      </c>
      <c r="K158" s="118">
        <f>SUM(K155:K157)</f>
        <v>19638.809999999998</v>
      </c>
      <c r="L158" s="118">
        <f>SUM(L155:L157)</f>
        <v>20063.699999999997</v>
      </c>
      <c r="M158" s="118">
        <f>SUM(M155:M157)</f>
        <v>1979.0100000000002</v>
      </c>
    </row>
    <row r="159" spans="1:13" s="70" customFormat="1" ht="12.75" customHeight="1" x14ac:dyDescent="0.2">
      <c r="A159" s="24"/>
      <c r="B159" s="1"/>
      <c r="C159" s="14"/>
      <c r="D159" s="56"/>
      <c r="E159" s="13"/>
      <c r="F159" s="2"/>
      <c r="G159" s="30"/>
    </row>
    <row r="160" spans="1:13" s="70" customFormat="1" ht="12.75" customHeight="1" x14ac:dyDescent="0.2">
      <c r="A160" s="215" t="s">
        <v>80</v>
      </c>
      <c r="B160" s="216"/>
      <c r="C160" s="216"/>
      <c r="D160" s="217"/>
      <c r="E160" s="69"/>
      <c r="G160" s="30"/>
    </row>
    <row r="161" spans="1:14" s="70" customFormat="1" ht="12.75" customHeight="1" x14ac:dyDescent="0.2">
      <c r="A161" s="71" t="s">
        <v>81</v>
      </c>
      <c r="B161" s="71"/>
      <c r="C161" s="72" t="s">
        <v>82</v>
      </c>
      <c r="D161" s="73" t="s">
        <v>83</v>
      </c>
      <c r="E161" s="69"/>
      <c r="G161" s="30"/>
    </row>
    <row r="162" spans="1:14" s="70" customFormat="1" ht="12.75" customHeight="1" x14ac:dyDescent="0.2">
      <c r="A162" s="87">
        <v>45232</v>
      </c>
      <c r="B162" s="120" t="s">
        <v>6</v>
      </c>
      <c r="C162" s="75" t="s">
        <v>767</v>
      </c>
      <c r="D162" s="88">
        <v>515100</v>
      </c>
      <c r="E162" s="2"/>
      <c r="F162" s="2"/>
      <c r="G162" s="30"/>
      <c r="H162" s="2"/>
      <c r="I162" s="2"/>
      <c r="J162" s="2"/>
      <c r="K162" s="2"/>
      <c r="L162" s="41"/>
      <c r="M162" s="42"/>
      <c r="N162" s="2"/>
    </row>
    <row r="163" spans="1:14" s="70" customFormat="1" ht="12.75" customHeight="1" x14ac:dyDescent="0.2">
      <c r="A163" s="87">
        <v>45232</v>
      </c>
      <c r="B163" s="120" t="s">
        <v>6</v>
      </c>
      <c r="C163" s="75" t="s">
        <v>566</v>
      </c>
      <c r="D163" s="88">
        <v>52450</v>
      </c>
      <c r="E163" s="2"/>
      <c r="F163" s="2"/>
      <c r="G163" s="30"/>
      <c r="H163" s="2"/>
      <c r="I163" s="2"/>
      <c r="J163" s="2"/>
      <c r="K163" s="2"/>
      <c r="L163" s="41"/>
      <c r="M163" s="42"/>
      <c r="N163" s="2"/>
    </row>
    <row r="164" spans="1:14" s="70" customFormat="1" ht="12.75" customHeight="1" x14ac:dyDescent="0.2">
      <c r="A164" s="87">
        <v>45233</v>
      </c>
      <c r="B164" s="120" t="s">
        <v>6</v>
      </c>
      <c r="C164" s="75" t="s">
        <v>1084</v>
      </c>
      <c r="D164" s="88">
        <v>1833799</v>
      </c>
      <c r="E164" s="2"/>
      <c r="F164" s="2"/>
      <c r="G164" s="30"/>
      <c r="H164" s="2"/>
      <c r="I164" s="2"/>
      <c r="J164" s="2"/>
      <c r="K164" s="2"/>
      <c r="L164" s="41"/>
      <c r="M164" s="42"/>
      <c r="N164" s="2"/>
    </row>
    <row r="165" spans="1:14" s="70" customFormat="1" ht="12.75" customHeight="1" x14ac:dyDescent="0.2">
      <c r="A165" s="87">
        <v>45233</v>
      </c>
      <c r="B165" s="120" t="s">
        <v>6</v>
      </c>
      <c r="C165" s="75" t="s">
        <v>909</v>
      </c>
      <c r="D165" s="88">
        <v>366980</v>
      </c>
      <c r="E165" s="2"/>
      <c r="F165" s="2"/>
      <c r="G165" s="30"/>
      <c r="H165" s="2"/>
      <c r="I165" s="2"/>
      <c r="J165" s="2"/>
      <c r="K165" s="2"/>
      <c r="L165" s="41"/>
      <c r="M165" s="42"/>
      <c r="N165" s="2"/>
    </row>
    <row r="166" spans="1:14" s="70" customFormat="1" ht="12.75" customHeight="1" x14ac:dyDescent="0.2">
      <c r="A166" s="87">
        <v>45233</v>
      </c>
      <c r="B166" s="120" t="s">
        <v>6</v>
      </c>
      <c r="C166" s="75" t="s">
        <v>909</v>
      </c>
      <c r="D166" s="88">
        <v>30038</v>
      </c>
      <c r="E166" s="2"/>
      <c r="F166" s="2"/>
      <c r="G166" s="30"/>
      <c r="H166" s="2"/>
      <c r="I166" s="2"/>
      <c r="J166" s="2"/>
      <c r="K166" s="2"/>
      <c r="L166" s="41"/>
      <c r="M166" s="42"/>
      <c r="N166" s="2"/>
    </row>
    <row r="167" spans="1:14" s="2" customFormat="1" x14ac:dyDescent="0.2">
      <c r="A167" s="87"/>
      <c r="B167" s="74"/>
      <c r="C167" s="75"/>
      <c r="D167" s="51">
        <f>SUM(D162:D166)</f>
        <v>2798367</v>
      </c>
      <c r="F167" s="2" t="s">
        <v>396</v>
      </c>
      <c r="G167" s="1"/>
    </row>
    <row r="168" spans="1:14" s="2" customFormat="1" x14ac:dyDescent="0.2">
      <c r="A168" s="24"/>
      <c r="B168" s="1"/>
      <c r="C168" s="14"/>
      <c r="D168" s="56"/>
      <c r="E168" s="13"/>
      <c r="G168" s="1"/>
    </row>
    <row r="169" spans="1:14" s="2" customFormat="1" x14ac:dyDescent="0.2">
      <c r="A169" s="24"/>
      <c r="B169" s="1"/>
      <c r="C169" s="218" t="s">
        <v>77</v>
      </c>
      <c r="D169" s="219"/>
      <c r="E169" s="219"/>
      <c r="F169" s="220"/>
      <c r="H169" s="2" t="s">
        <v>396</v>
      </c>
    </row>
    <row r="170" spans="1:14" s="2" customFormat="1" x14ac:dyDescent="0.2">
      <c r="A170" s="24"/>
      <c r="B170" s="1"/>
      <c r="C170" s="50"/>
      <c r="D170" s="57" t="s">
        <v>78</v>
      </c>
      <c r="E170" s="58" t="s">
        <v>79</v>
      </c>
      <c r="F170" s="57" t="s">
        <v>72</v>
      </c>
      <c r="H170" s="2" t="s">
        <v>396</v>
      </c>
    </row>
    <row r="171" spans="1:14" s="2" customFormat="1" x14ac:dyDescent="0.2">
      <c r="A171" s="24"/>
      <c r="B171" s="1"/>
      <c r="C171" s="59" t="str">
        <f>"01-11-2023 to "&amp;TEXT(A5-2,"dd-mm-yyyy")</f>
        <v>01-11-2023 to 06-11-2023</v>
      </c>
      <c r="D171" s="60">
        <f>527.58+30.37</f>
        <v>557.95000000000005</v>
      </c>
      <c r="E171" s="60">
        <v>91.58</v>
      </c>
      <c r="F171" s="61">
        <f>SUM(D171:E171)</f>
        <v>649.53000000000009</v>
      </c>
    </row>
    <row r="172" spans="1:14" s="2" customFormat="1" x14ac:dyDescent="0.2">
      <c r="A172" s="24"/>
      <c r="B172" s="1"/>
      <c r="C172" s="62" t="str">
        <f>TEXT(A5-1,"dd-mm-yyyy")</f>
        <v>07-11-2023</v>
      </c>
      <c r="D172" s="60">
        <f>75.3+19.52</f>
        <v>94.82</v>
      </c>
      <c r="E172" s="60">
        <v>23.28</v>
      </c>
      <c r="F172" s="61">
        <f>SUM(D172:E172)</f>
        <v>118.1</v>
      </c>
      <c r="G172" s="1"/>
      <c r="H172" s="53"/>
    </row>
    <row r="173" spans="1:14" s="2" customFormat="1" ht="13.5" thickBot="1" x14ac:dyDescent="0.25">
      <c r="A173" s="24"/>
      <c r="B173" s="1"/>
      <c r="C173" s="63" t="str">
        <f>"01-11-2023 to "&amp;TEXT(A5-1,"dd-mm-yyyy")</f>
        <v>01-11-2023 to 07-11-2023</v>
      </c>
      <c r="D173" s="64">
        <f>SUM(D171:D172)</f>
        <v>652.77</v>
      </c>
      <c r="E173" s="64">
        <f>SUM(E171:E172)</f>
        <v>114.86</v>
      </c>
      <c r="F173" s="64">
        <f>SUM(F171:F172)</f>
        <v>767.63000000000011</v>
      </c>
      <c r="G173" s="1"/>
      <c r="H173" s="53"/>
    </row>
    <row r="174" spans="1:14" s="2" customFormat="1" ht="13.5" thickTop="1" x14ac:dyDescent="0.2">
      <c r="A174" s="24"/>
      <c r="B174" s="1"/>
      <c r="C174" s="62"/>
      <c r="D174" s="65"/>
      <c r="E174" s="66"/>
      <c r="F174" s="67"/>
      <c r="L174" s="1"/>
      <c r="M174" s="1"/>
    </row>
    <row r="175" spans="1:14" s="2" customFormat="1" x14ac:dyDescent="0.2">
      <c r="A175" s="24"/>
      <c r="B175" s="1"/>
      <c r="C175" s="62" t="str">
        <f>"01-04-2023 to " &amp;C172</f>
        <v>01-04-2023 to 07-11-2023</v>
      </c>
      <c r="D175" s="68">
        <f>+D173+29842.21</f>
        <v>30494.98</v>
      </c>
      <c r="E175" s="68">
        <f>+E173+2549.86</f>
        <v>2664.7200000000003</v>
      </c>
      <c r="F175" s="68">
        <f>+F173+32392.07</f>
        <v>33159.699999999997</v>
      </c>
      <c r="G175" s="1"/>
      <c r="L175" s="1"/>
      <c r="M175" s="1"/>
    </row>
    <row r="176" spans="1:14" s="2" customFormat="1" x14ac:dyDescent="0.2">
      <c r="A176" s="24"/>
      <c r="B176" s="1"/>
      <c r="C176" s="52"/>
      <c r="D176" s="85"/>
      <c r="E176" s="53"/>
      <c r="F176" s="53"/>
      <c r="G176" s="1"/>
      <c r="L176" s="1"/>
      <c r="M176" s="1"/>
    </row>
    <row r="177" spans="1:13" s="2" customFormat="1" x14ac:dyDescent="0.2">
      <c r="A177" s="24"/>
      <c r="B177" s="1"/>
      <c r="C177" s="52"/>
      <c r="D177" s="85"/>
      <c r="E177" s="53"/>
      <c r="F177" s="53"/>
      <c r="G177" s="1"/>
      <c r="L177" s="1"/>
      <c r="M177" s="1"/>
    </row>
    <row r="178" spans="1:13" s="2" customFormat="1" x14ac:dyDescent="0.2">
      <c r="A178" s="24"/>
      <c r="B178" s="1"/>
      <c r="C178" s="52"/>
      <c r="D178" s="85"/>
      <c r="E178" s="53"/>
      <c r="F178" s="53"/>
      <c r="G178" s="1"/>
      <c r="L178" s="1"/>
      <c r="M178" s="1"/>
    </row>
    <row r="179" spans="1:13" s="2" customFormat="1" x14ac:dyDescent="0.2">
      <c r="A179" s="24"/>
      <c r="B179" s="1"/>
      <c r="C179" s="52"/>
      <c r="D179" s="85"/>
      <c r="E179" s="53"/>
      <c r="F179" s="53"/>
      <c r="G179" s="1"/>
      <c r="L179" s="1"/>
      <c r="M179" s="1"/>
    </row>
    <row r="180" spans="1:13" s="2" customFormat="1" x14ac:dyDescent="0.2">
      <c r="A180" s="24"/>
      <c r="B180" s="1"/>
      <c r="C180" s="14"/>
      <c r="D180" s="25">
        <f>SUM(D177:D179)</f>
        <v>0</v>
      </c>
      <c r="E180" s="2">
        <f>SUM(E177:E179)</f>
        <v>0</v>
      </c>
      <c r="G180" s="1"/>
      <c r="L180" s="1"/>
      <c r="M180" s="1"/>
    </row>
    <row r="181" spans="1:13" s="2" customFormat="1" x14ac:dyDescent="0.2">
      <c r="A181" s="24"/>
      <c r="B181" s="1"/>
      <c r="C181" s="14"/>
      <c r="D181" s="25"/>
      <c r="G181" s="1"/>
      <c r="L181" s="1"/>
      <c r="M181" s="1"/>
    </row>
    <row r="182" spans="1:13" s="2" customFormat="1" x14ac:dyDescent="0.2">
      <c r="A182" s="24"/>
      <c r="B182" s="1"/>
      <c r="C182" s="14"/>
      <c r="D182" s="25"/>
      <c r="G182" s="1"/>
      <c r="L182" s="1"/>
      <c r="M182" s="1"/>
    </row>
    <row r="183" spans="1:13" s="2" customFormat="1" x14ac:dyDescent="0.2">
      <c r="A183" s="24"/>
      <c r="B183" s="1"/>
      <c r="C183" s="14"/>
      <c r="D183" s="25"/>
      <c r="G183" s="1"/>
      <c r="L183" s="1"/>
      <c r="M183" s="1"/>
    </row>
    <row r="184" spans="1:13" s="2" customFormat="1" x14ac:dyDescent="0.2">
      <c r="A184" s="24"/>
      <c r="B184" s="1"/>
      <c r="C184" s="14"/>
      <c r="D184" s="25"/>
      <c r="G184" s="1"/>
      <c r="L184" s="1"/>
      <c r="M184" s="1"/>
    </row>
    <row r="185" spans="1:13" s="2" customFormat="1" x14ac:dyDescent="0.2">
      <c r="A185" s="24"/>
      <c r="B185" s="1"/>
      <c r="C185" s="14"/>
      <c r="D185" s="25"/>
      <c r="G185" s="1"/>
      <c r="L185" s="1"/>
      <c r="M185" s="1"/>
    </row>
    <row r="186" spans="1:13" s="2" customFormat="1" x14ac:dyDescent="0.2">
      <c r="A186" s="24"/>
      <c r="B186" s="1"/>
      <c r="C186" s="14"/>
      <c r="D186" s="25"/>
      <c r="G186" s="1"/>
      <c r="L186" s="1"/>
      <c r="M186" s="1"/>
    </row>
    <row r="187" spans="1:13" s="2" customFormat="1" x14ac:dyDescent="0.2">
      <c r="A187" s="24"/>
      <c r="B187" s="1"/>
      <c r="C187" s="14"/>
      <c r="D187" s="25"/>
      <c r="G187" s="1"/>
      <c r="L187" s="1"/>
      <c r="M187" s="1"/>
    </row>
    <row r="188" spans="1:13" s="2" customFormat="1" x14ac:dyDescent="0.2">
      <c r="A188" s="24"/>
      <c r="B188" s="1"/>
      <c r="C188" s="14"/>
      <c r="D188" s="25"/>
      <c r="G188" s="1"/>
      <c r="L188" s="1"/>
      <c r="M188" s="1"/>
    </row>
    <row r="189" spans="1:13" s="2" customFormat="1" x14ac:dyDescent="0.2">
      <c r="A189" s="24"/>
      <c r="B189" s="1"/>
      <c r="C189" s="14"/>
      <c r="D189" s="25"/>
      <c r="G189" s="1"/>
      <c r="L189" s="1"/>
      <c r="M189" s="1"/>
    </row>
    <row r="190" spans="1:13" s="2" customFormat="1" x14ac:dyDescent="0.2">
      <c r="A190" s="24"/>
      <c r="B190" s="1"/>
      <c r="C190" s="14"/>
      <c r="D190" s="25"/>
      <c r="G190" s="1"/>
      <c r="L190" s="1"/>
      <c r="M190" s="1"/>
    </row>
    <row r="191" spans="1:13" s="2" customFormat="1" x14ac:dyDescent="0.2">
      <c r="A191" s="24"/>
      <c r="B191" s="1"/>
      <c r="C191" s="14"/>
      <c r="D191" s="25"/>
      <c r="G191" s="1"/>
      <c r="L191" s="1"/>
      <c r="M191" s="1"/>
    </row>
    <row r="192" spans="1:13" s="2" customFormat="1" x14ac:dyDescent="0.2">
      <c r="A192" s="24"/>
      <c r="B192" s="1"/>
      <c r="C192" s="14"/>
      <c r="D192" s="25"/>
      <c r="G192" s="1"/>
      <c r="L192" s="1"/>
      <c r="M192" s="1"/>
    </row>
    <row r="193" spans="1:14" s="2" customFormat="1" x14ac:dyDescent="0.2">
      <c r="A193" s="24"/>
      <c r="B193" s="1"/>
      <c r="C193" s="14"/>
      <c r="D193" s="25"/>
      <c r="G193" s="1"/>
      <c r="L193" s="1"/>
      <c r="M193" s="1"/>
    </row>
    <row r="194" spans="1:14" s="2" customFormat="1" x14ac:dyDescent="0.2">
      <c r="A194" s="24"/>
      <c r="B194" s="1"/>
      <c r="C194" s="14"/>
      <c r="D194" s="25"/>
      <c r="G194" s="1"/>
      <c r="I194" s="1"/>
      <c r="J194" s="1"/>
      <c r="K194" s="1"/>
      <c r="L194" s="1"/>
      <c r="M194" s="1"/>
    </row>
    <row r="195" spans="1:14" s="2" customFormat="1" x14ac:dyDescent="0.2">
      <c r="A195" s="24"/>
      <c r="B195" s="1"/>
      <c r="C195" s="14"/>
      <c r="D195" s="25"/>
      <c r="G195" s="1"/>
    </row>
    <row r="196" spans="1:14" s="2" customFormat="1" x14ac:dyDescent="0.2">
      <c r="A196" s="24"/>
      <c r="B196" s="1"/>
      <c r="C196" s="14"/>
      <c r="D196" s="25"/>
      <c r="G196" s="1"/>
      <c r="I196" s="1"/>
      <c r="J196" s="1"/>
      <c r="K196" s="1"/>
      <c r="L196" s="1"/>
      <c r="M196" s="1"/>
    </row>
    <row r="197" spans="1:14" s="2" customFormat="1" x14ac:dyDescent="0.2">
      <c r="A197" s="24"/>
      <c r="B197" s="1"/>
      <c r="C197" s="14"/>
      <c r="D197" s="25"/>
      <c r="G197" s="54"/>
      <c r="I197" s="1"/>
      <c r="J197" s="1"/>
      <c r="K197" s="1"/>
      <c r="L197" s="1"/>
      <c r="M197" s="1"/>
    </row>
    <row r="198" spans="1:14" s="2" customFormat="1" x14ac:dyDescent="0.2">
      <c r="A198" s="24"/>
      <c r="B198" s="1"/>
      <c r="C198" s="14"/>
      <c r="D198" s="25"/>
      <c r="G198" s="54"/>
      <c r="I198" s="1"/>
      <c r="J198" s="1"/>
      <c r="K198" s="1"/>
      <c r="L198" s="1"/>
      <c r="M198" s="1"/>
    </row>
    <row r="199" spans="1:14" s="2" customFormat="1" x14ac:dyDescent="0.2">
      <c r="A199" s="24"/>
      <c r="B199" s="1"/>
      <c r="C199" s="14"/>
      <c r="D199" s="25"/>
      <c r="G199" s="54"/>
      <c r="I199" s="1"/>
      <c r="J199" s="1"/>
      <c r="K199" s="1"/>
      <c r="L199" s="1"/>
      <c r="M199" s="1"/>
    </row>
    <row r="200" spans="1:14" s="2" customFormat="1" x14ac:dyDescent="0.2">
      <c r="A200" s="24"/>
      <c r="B200" s="1"/>
      <c r="C200" s="14"/>
      <c r="D200" s="25"/>
      <c r="G200" s="54"/>
      <c r="H200" s="2" t="s">
        <v>396</v>
      </c>
      <c r="I200" s="1"/>
      <c r="J200" s="1"/>
      <c r="K200" s="1"/>
      <c r="L200" s="1"/>
      <c r="M200" s="1"/>
      <c r="N200" s="1"/>
    </row>
    <row r="201" spans="1:14" s="2" customFormat="1" x14ac:dyDescent="0.2">
      <c r="A201" s="24"/>
      <c r="B201" s="1"/>
      <c r="C201" s="14"/>
      <c r="D201" s="25"/>
      <c r="G201" s="54"/>
      <c r="H201" s="53"/>
    </row>
    <row r="202" spans="1:14" s="2" customFormat="1" x14ac:dyDescent="0.2">
      <c r="A202" s="24"/>
      <c r="B202" s="1"/>
      <c r="C202" s="14"/>
      <c r="D202" s="25"/>
      <c r="G202" s="54"/>
      <c r="H202" s="53" t="s">
        <v>396</v>
      </c>
      <c r="I202" s="1"/>
      <c r="J202" s="1"/>
      <c r="K202" s="1"/>
      <c r="L202" s="1"/>
      <c r="M202" s="1"/>
      <c r="N202" s="1"/>
    </row>
    <row r="203" spans="1:14" x14ac:dyDescent="0.2">
      <c r="G203" s="54"/>
      <c r="H203" s="53" t="s">
        <v>396</v>
      </c>
      <c r="J203" s="42"/>
    </row>
    <row r="204" spans="1:14" s="2" customFormat="1" x14ac:dyDescent="0.2">
      <c r="A204" s="24"/>
      <c r="B204" s="1"/>
      <c r="C204" s="14"/>
      <c r="D204" s="25"/>
      <c r="G204" s="54"/>
      <c r="H204" s="53"/>
      <c r="I204" s="101"/>
      <c r="J204" s="1"/>
      <c r="K204" s="1"/>
      <c r="L204" s="1"/>
      <c r="M204" s="1"/>
      <c r="N204" s="1"/>
    </row>
    <row r="205" spans="1:14" x14ac:dyDescent="0.2">
      <c r="G205" s="54"/>
      <c r="H205" s="53"/>
    </row>
    <row r="206" spans="1:14" x14ac:dyDescent="0.2">
      <c r="G206" s="54"/>
      <c r="H206" s="53"/>
    </row>
    <row r="207" spans="1:14" x14ac:dyDescent="0.2">
      <c r="G207" s="54"/>
      <c r="H207" s="53"/>
    </row>
  </sheetData>
  <sheetProtection insertRows="0"/>
  <mergeCells count="6">
    <mergeCell ref="C169:F169"/>
    <mergeCell ref="A1:G1"/>
    <mergeCell ref="A3:F3"/>
    <mergeCell ref="A10:F10"/>
    <mergeCell ref="A46:F46"/>
    <mergeCell ref="A160:D160"/>
  </mergeCells>
  <conditionalFormatting sqref="G157:G158">
    <cfRule type="cellIs" dxfId="229" priority="1" operator="lessThan">
      <formula>0</formula>
    </cfRule>
  </conditionalFormatting>
  <conditionalFormatting sqref="C48">
    <cfRule type="duplicateValues" dxfId="228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000-000000000000}">
  <sheetPr codeName="Sheet472">
    <pageSetUpPr fitToPage="1"/>
  </sheetPr>
  <dimension ref="A1:N131"/>
  <sheetViews>
    <sheetView topLeftCell="A37" zoomScaleNormal="100" workbookViewId="0">
      <selection activeCell="E60" sqref="E60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3" ht="20.25" customHeight="1" x14ac:dyDescent="0.4">
      <c r="A1" s="212" t="s">
        <v>1759</v>
      </c>
      <c r="B1" s="212"/>
      <c r="C1" s="212"/>
      <c r="D1" s="212"/>
      <c r="E1" s="212"/>
      <c r="F1" s="212"/>
      <c r="G1" s="212"/>
      <c r="H1" s="112"/>
      <c r="I1" s="112"/>
    </row>
    <row r="2" spans="1:13" ht="12.75" customHeight="1" x14ac:dyDescent="0.4">
      <c r="H2" s="112"/>
      <c r="I2" s="112"/>
    </row>
    <row r="3" spans="1:13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3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3" s="2" customFormat="1" ht="14.25" customHeight="1" x14ac:dyDescent="0.4">
      <c r="A5" s="89">
        <v>45239</v>
      </c>
      <c r="B5" s="9" t="s">
        <v>6</v>
      </c>
      <c r="C5" s="10" t="s">
        <v>7</v>
      </c>
      <c r="D5" s="11"/>
      <c r="E5" s="12">
        <v>370528.5800000024</v>
      </c>
      <c r="F5" s="12"/>
      <c r="G5" s="1"/>
      <c r="H5" s="112"/>
      <c r="I5" s="112"/>
    </row>
    <row r="6" spans="1:13" s="2" customFormat="1" ht="14.25" customHeight="1" x14ac:dyDescent="0.4">
      <c r="A6" s="89">
        <v>45239</v>
      </c>
      <c r="B6" s="9" t="s">
        <v>6</v>
      </c>
      <c r="C6" s="10" t="s">
        <v>683</v>
      </c>
      <c r="D6" s="11" t="s">
        <v>29</v>
      </c>
      <c r="E6" s="12">
        <v>4116612.9</v>
      </c>
      <c r="F6" s="12"/>
      <c r="G6" s="1"/>
      <c r="H6" s="112"/>
      <c r="I6" s="112"/>
    </row>
    <row r="7" spans="1:13" s="2" customFormat="1" ht="12.75" customHeight="1" x14ac:dyDescent="0.4">
      <c r="D7" s="15" t="s">
        <v>8</v>
      </c>
      <c r="E7" s="16">
        <f>SUM(E5:E6)</f>
        <v>4487141.4800000023</v>
      </c>
      <c r="F7" s="16">
        <f>SUM(F6)</f>
        <v>0</v>
      </c>
      <c r="G7" s="1"/>
      <c r="H7" s="112"/>
      <c r="I7" s="112"/>
    </row>
    <row r="8" spans="1:13" s="2" customFormat="1" ht="12.75" customHeight="1" x14ac:dyDescent="0.4">
      <c r="A8" s="17"/>
      <c r="B8" s="18"/>
      <c r="C8" s="19" t="s">
        <v>9</v>
      </c>
      <c r="D8" s="20"/>
      <c r="E8" s="21">
        <f>+E7-F7</f>
        <v>4487141.4800000023</v>
      </c>
      <c r="F8" s="22"/>
      <c r="G8" s="23"/>
      <c r="H8" s="112"/>
      <c r="I8" s="112"/>
      <c r="J8" s="13"/>
    </row>
    <row r="9" spans="1:13" ht="12.75" customHeight="1" x14ac:dyDescent="0.4">
      <c r="H9" s="112"/>
      <c r="I9" s="112"/>
    </row>
    <row r="10" spans="1:13" ht="18" customHeight="1" x14ac:dyDescent="0.4">
      <c r="A10" s="213" t="s">
        <v>1037</v>
      </c>
      <c r="B10" s="213"/>
      <c r="C10" s="213"/>
      <c r="D10" s="213"/>
      <c r="E10" s="213"/>
      <c r="F10" s="213"/>
      <c r="H10" s="112"/>
      <c r="I10" s="169">
        <f>90000000-60000000</f>
        <v>30000000</v>
      </c>
      <c r="J10" s="169" t="s">
        <v>1508</v>
      </c>
    </row>
    <row r="11" spans="1:13" ht="12.75" customHeight="1" x14ac:dyDescent="0.4">
      <c r="A11" s="3" t="s">
        <v>1</v>
      </c>
      <c r="B11" s="4" t="s">
        <v>2</v>
      </c>
      <c r="C11" s="5"/>
      <c r="D11" s="6" t="s">
        <v>3</v>
      </c>
      <c r="E11" s="7" t="s">
        <v>4</v>
      </c>
      <c r="F11" s="7" t="s">
        <v>5</v>
      </c>
      <c r="H11" s="112"/>
      <c r="I11" s="169">
        <v>29804953.16</v>
      </c>
      <c r="J11" s="169" t="s">
        <v>1509</v>
      </c>
      <c r="K11" s="124"/>
    </row>
    <row r="12" spans="1:13" s="2" customFormat="1" ht="14.25" customHeight="1" x14ac:dyDescent="0.2">
      <c r="A12" s="89">
        <v>45239</v>
      </c>
      <c r="B12" s="9" t="s">
        <v>6</v>
      </c>
      <c r="C12" s="10" t="s">
        <v>7</v>
      </c>
      <c r="D12" s="11"/>
      <c r="F12" s="12">
        <v>29829616.909999996</v>
      </c>
      <c r="G12" s="1"/>
      <c r="H12" s="130" t="s">
        <v>396</v>
      </c>
      <c r="I12" s="169">
        <f>+I10-I11</f>
        <v>195046.83999999985</v>
      </c>
      <c r="J12" s="169" t="s">
        <v>712</v>
      </c>
      <c r="K12" s="165" t="s">
        <v>1512</v>
      </c>
    </row>
    <row r="13" spans="1:13" s="2" customFormat="1" ht="14.25" customHeight="1" x14ac:dyDescent="0.2">
      <c r="A13" s="89">
        <v>45239</v>
      </c>
      <c r="B13" s="9" t="s">
        <v>6</v>
      </c>
      <c r="C13" s="10" t="s">
        <v>1137</v>
      </c>
      <c r="D13" s="11" t="s">
        <v>13</v>
      </c>
      <c r="E13" s="2">
        <v>24708.75</v>
      </c>
      <c r="F13" s="12"/>
      <c r="G13" s="1"/>
      <c r="H13" s="130"/>
      <c r="I13" s="169"/>
      <c r="J13" s="169"/>
      <c r="K13" s="165"/>
    </row>
    <row r="14" spans="1:13" s="2" customFormat="1" ht="14.25" customHeight="1" x14ac:dyDescent="0.2">
      <c r="A14" s="89">
        <v>45239</v>
      </c>
      <c r="B14" s="9" t="s">
        <v>11</v>
      </c>
      <c r="C14" s="10" t="s">
        <v>1137</v>
      </c>
      <c r="D14" s="11" t="s">
        <v>13</v>
      </c>
      <c r="F14" s="12">
        <v>45</v>
      </c>
      <c r="G14" s="1"/>
      <c r="H14" s="130"/>
      <c r="I14" s="169"/>
      <c r="J14" s="169"/>
      <c r="K14" s="165"/>
    </row>
    <row r="15" spans="1:13" s="2" customFormat="1" ht="14.25" customHeight="1" x14ac:dyDescent="0.2">
      <c r="D15" s="11" t="s">
        <v>8</v>
      </c>
      <c r="E15" s="16">
        <f>SUM(E13:E14)</f>
        <v>24708.75</v>
      </c>
      <c r="F15" s="16">
        <f>SUM(F12:F14)</f>
        <v>29829661.909999996</v>
      </c>
      <c r="G15" s="1"/>
      <c r="H15" s="143"/>
      <c r="I15" s="130"/>
      <c r="J15" s="143"/>
      <c r="K15" s="143"/>
      <c r="L15" s="143"/>
      <c r="M15" s="143"/>
    </row>
    <row r="16" spans="1:13" s="2" customFormat="1" ht="14.25" customHeight="1" x14ac:dyDescent="0.4">
      <c r="A16" s="17"/>
      <c r="B16" s="18"/>
      <c r="C16" s="96" t="s">
        <v>9</v>
      </c>
      <c r="D16" s="20"/>
      <c r="E16" s="21">
        <f>+F15-E15</f>
        <v>29804953.159999996</v>
      </c>
      <c r="G16" s="1"/>
      <c r="I16" s="112"/>
      <c r="J16" s="153" t="s">
        <v>779</v>
      </c>
    </row>
    <row r="17" spans="1:14" s="2" customFormat="1" ht="14.25" customHeight="1" x14ac:dyDescent="0.2">
      <c r="A17" s="36"/>
      <c r="B17" s="28" t="s">
        <v>66</v>
      </c>
      <c r="C17" s="43" t="s">
        <v>1458</v>
      </c>
      <c r="D17" s="43"/>
      <c r="E17" s="12">
        <f>30000000+60000000</f>
        <v>90000000</v>
      </c>
      <c r="F17" s="22"/>
      <c r="G17" s="1"/>
      <c r="I17" s="40">
        <v>29804953.16</v>
      </c>
      <c r="J17" s="154">
        <f>I17-E16</f>
        <v>0</v>
      </c>
    </row>
    <row r="18" spans="1:14" s="2" customFormat="1" ht="14.25" customHeight="1" x14ac:dyDescent="0.25">
      <c r="A18" s="36"/>
      <c r="B18" s="28"/>
      <c r="C18" s="44" t="s">
        <v>1541</v>
      </c>
      <c r="D18" s="43"/>
      <c r="E18" s="7">
        <f>+E16+E17</f>
        <v>119804953.16</v>
      </c>
      <c r="F18" s="22"/>
      <c r="G18" s="1"/>
      <c r="H18" s="13" t="s">
        <v>1582</v>
      </c>
      <c r="I18" s="13" t="s">
        <v>1583</v>
      </c>
    </row>
    <row r="19" spans="1:14" s="2" customFormat="1" ht="14.25" customHeight="1" x14ac:dyDescent="0.25">
      <c r="A19" s="36"/>
      <c r="B19" s="28"/>
      <c r="C19" s="44" t="s">
        <v>1511</v>
      </c>
      <c r="D19" s="43"/>
      <c r="E19" s="38">
        <f>+I12</f>
        <v>195046.83999999985</v>
      </c>
      <c r="F19" s="22"/>
      <c r="G19" s="1"/>
      <c r="H19" s="2">
        <v>592146</v>
      </c>
      <c r="I19" s="2">
        <v>3429129</v>
      </c>
      <c r="J19" s="176">
        <f>H19-I19</f>
        <v>-2836983</v>
      </c>
    </row>
    <row r="20" spans="1:14" s="2" customFormat="1" ht="14.25" customHeight="1" x14ac:dyDescent="0.2">
      <c r="A20" s="24"/>
      <c r="B20" s="1"/>
      <c r="C20" s="14"/>
      <c r="D20" s="25"/>
      <c r="G20" s="1"/>
      <c r="I20" s="130"/>
      <c r="J20" s="130"/>
    </row>
    <row r="21" spans="1:14" s="2" customFormat="1" x14ac:dyDescent="0.2">
      <c r="A21" s="214" t="s">
        <v>10</v>
      </c>
      <c r="B21" s="214"/>
      <c r="C21" s="214"/>
      <c r="D21" s="214"/>
      <c r="E21" s="214"/>
      <c r="F21" s="214"/>
      <c r="G21" s="1"/>
      <c r="H21" s="159"/>
      <c r="I21" s="160">
        <f>225000000-75000000-50000000+25000000</f>
        <v>125000000</v>
      </c>
      <c r="J21" s="160" t="s">
        <v>1506</v>
      </c>
      <c r="K21" s="70"/>
    </row>
    <row r="22" spans="1:14" s="2" customFormat="1" x14ac:dyDescent="0.2">
      <c r="A22" s="26" t="s">
        <v>1</v>
      </c>
      <c r="B22" s="27" t="s">
        <v>2</v>
      </c>
      <c r="C22" s="5"/>
      <c r="D22" s="6" t="s">
        <v>3</v>
      </c>
      <c r="E22" s="7" t="s">
        <v>4</v>
      </c>
      <c r="F22" s="7" t="s">
        <v>5</v>
      </c>
      <c r="G22" s="1"/>
      <c r="H22" s="159"/>
      <c r="I22" s="160">
        <v>105616075.09</v>
      </c>
      <c r="J22" s="160" t="s">
        <v>1507</v>
      </c>
      <c r="K22" s="70" t="s">
        <v>1512</v>
      </c>
    </row>
    <row r="23" spans="1:14" s="2" customFormat="1" x14ac:dyDescent="0.2">
      <c r="A23" s="89">
        <v>45239</v>
      </c>
      <c r="B23" s="128" t="s">
        <v>11</v>
      </c>
      <c r="C23" s="29" t="s">
        <v>7</v>
      </c>
      <c r="D23" s="25"/>
      <c r="E23" s="31"/>
      <c r="F23" s="2">
        <v>105144889.76000011</v>
      </c>
      <c r="G23" s="23"/>
      <c r="H23" s="159" t="s">
        <v>1505</v>
      </c>
      <c r="I23" s="160">
        <f>+I21-I22</f>
        <v>19383924.909999996</v>
      </c>
      <c r="J23" s="160"/>
      <c r="K23" s="70"/>
    </row>
    <row r="24" spans="1:14" s="2" customFormat="1" x14ac:dyDescent="0.2">
      <c r="A24" s="89">
        <v>45239</v>
      </c>
      <c r="B24" s="128" t="s">
        <v>6</v>
      </c>
      <c r="C24" s="10" t="s">
        <v>27</v>
      </c>
      <c r="D24" s="11" t="s">
        <v>13</v>
      </c>
      <c r="E24" s="86">
        <v>7024017.7999999998</v>
      </c>
      <c r="F24" s="70"/>
      <c r="G24" s="1"/>
      <c r="N24" s="1"/>
    </row>
    <row r="25" spans="1:14" s="2" customFormat="1" x14ac:dyDescent="0.2">
      <c r="A25" s="89">
        <v>45239</v>
      </c>
      <c r="B25" s="128" t="s">
        <v>6</v>
      </c>
      <c r="C25" s="10" t="s">
        <v>15</v>
      </c>
      <c r="D25" s="11" t="s">
        <v>13</v>
      </c>
      <c r="E25" s="86">
        <v>1888.38</v>
      </c>
      <c r="F25" s="70"/>
      <c r="G25" s="1"/>
      <c r="N25" s="1"/>
    </row>
    <row r="26" spans="1:14" s="2" customFormat="1" x14ac:dyDescent="0.2">
      <c r="A26" s="89">
        <v>45239</v>
      </c>
      <c r="B26" s="128" t="s">
        <v>6</v>
      </c>
      <c r="C26" s="10" t="s">
        <v>1760</v>
      </c>
      <c r="D26" s="11" t="s">
        <v>13</v>
      </c>
      <c r="E26" s="86">
        <v>102250</v>
      </c>
      <c r="F26" s="70"/>
      <c r="G26" s="1"/>
      <c r="N26" s="1"/>
    </row>
    <row r="27" spans="1:14" s="2" customFormat="1" x14ac:dyDescent="0.2">
      <c r="A27" s="89">
        <v>45239</v>
      </c>
      <c r="B27" s="128" t="s">
        <v>6</v>
      </c>
      <c r="C27" s="10" t="s">
        <v>688</v>
      </c>
      <c r="D27" s="11" t="s">
        <v>13</v>
      </c>
      <c r="E27" s="86">
        <v>500125</v>
      </c>
      <c r="F27" s="70"/>
      <c r="G27" s="1"/>
      <c r="N27" s="1"/>
    </row>
    <row r="28" spans="1:14" s="2" customFormat="1" x14ac:dyDescent="0.2">
      <c r="A28" s="89">
        <v>45239</v>
      </c>
      <c r="B28" s="128" t="s">
        <v>6</v>
      </c>
      <c r="C28" s="10" t="s">
        <v>16</v>
      </c>
      <c r="D28" s="11" t="s">
        <v>13</v>
      </c>
      <c r="E28" s="86">
        <v>18900</v>
      </c>
      <c r="F28" s="70"/>
      <c r="G28" s="1"/>
      <c r="N28" s="1"/>
    </row>
    <row r="29" spans="1:14" s="2" customFormat="1" x14ac:dyDescent="0.2">
      <c r="A29" s="89">
        <v>45239</v>
      </c>
      <c r="B29" s="128" t="s">
        <v>6</v>
      </c>
      <c r="C29" s="10" t="s">
        <v>381</v>
      </c>
      <c r="D29" s="11" t="s">
        <v>13</v>
      </c>
      <c r="E29" s="86">
        <v>23683</v>
      </c>
      <c r="F29" s="70"/>
      <c r="G29" s="1"/>
      <c r="N29" s="1"/>
    </row>
    <row r="30" spans="1:14" s="2" customFormat="1" x14ac:dyDescent="0.2">
      <c r="A30" s="89">
        <v>45239</v>
      </c>
      <c r="B30" s="128" t="s">
        <v>6</v>
      </c>
      <c r="C30" s="10" t="s">
        <v>1365</v>
      </c>
      <c r="D30" s="11" t="s">
        <v>13</v>
      </c>
      <c r="E30" s="86">
        <v>500000</v>
      </c>
      <c r="F30" s="70"/>
      <c r="G30" s="1"/>
      <c r="N30" s="1"/>
    </row>
    <row r="31" spans="1:14" s="2" customFormat="1" x14ac:dyDescent="0.2">
      <c r="A31" s="89">
        <v>45239</v>
      </c>
      <c r="B31" s="128" t="s">
        <v>6</v>
      </c>
      <c r="C31" s="10" t="s">
        <v>86</v>
      </c>
      <c r="D31" s="11" t="s">
        <v>13</v>
      </c>
      <c r="E31" s="86">
        <v>92146</v>
      </c>
      <c r="F31" s="70"/>
      <c r="G31" s="1"/>
      <c r="N31" s="1"/>
    </row>
    <row r="32" spans="1:14" s="2" customFormat="1" x14ac:dyDescent="0.2">
      <c r="A32" s="89">
        <v>45239</v>
      </c>
      <c r="B32" s="128" t="s">
        <v>6</v>
      </c>
      <c r="C32" s="10" t="s">
        <v>332</v>
      </c>
      <c r="D32" s="11" t="s">
        <v>13</v>
      </c>
      <c r="E32" s="86">
        <v>35971</v>
      </c>
      <c r="F32" s="70"/>
      <c r="G32" s="1"/>
      <c r="N32" s="1"/>
    </row>
    <row r="33" spans="1:14" s="2" customFormat="1" x14ac:dyDescent="0.2">
      <c r="A33" s="89">
        <v>45239</v>
      </c>
      <c r="B33" s="128" t="s">
        <v>6</v>
      </c>
      <c r="C33" s="10" t="s">
        <v>358</v>
      </c>
      <c r="D33" s="11" t="s">
        <v>13</v>
      </c>
      <c r="E33" s="86">
        <v>180773</v>
      </c>
      <c r="F33" s="70"/>
      <c r="G33" s="1"/>
      <c r="N33" s="1"/>
    </row>
    <row r="34" spans="1:14" s="2" customFormat="1" x14ac:dyDescent="0.2">
      <c r="A34" s="89">
        <v>45239</v>
      </c>
      <c r="B34" s="128" t="s">
        <v>6</v>
      </c>
      <c r="C34" s="10" t="s">
        <v>120</v>
      </c>
      <c r="D34" s="11" t="s">
        <v>13</v>
      </c>
      <c r="E34" s="86">
        <v>6639560</v>
      </c>
      <c r="F34" s="70"/>
      <c r="G34" s="1"/>
      <c r="N34" s="1"/>
    </row>
    <row r="35" spans="1:14" s="2" customFormat="1" x14ac:dyDescent="0.2">
      <c r="A35" s="89">
        <v>45239</v>
      </c>
      <c r="B35" s="128" t="s">
        <v>6</v>
      </c>
      <c r="C35" s="10" t="s">
        <v>1761</v>
      </c>
      <c r="D35" s="11" t="s">
        <v>13</v>
      </c>
      <c r="E35" s="86">
        <v>3807</v>
      </c>
      <c r="F35" s="70"/>
      <c r="G35" s="1"/>
      <c r="N35" s="1"/>
    </row>
    <row r="36" spans="1:14" s="2" customFormat="1" x14ac:dyDescent="0.2">
      <c r="A36" s="89">
        <v>45239</v>
      </c>
      <c r="B36" s="128" t="s">
        <v>6</v>
      </c>
      <c r="C36" s="10" t="s">
        <v>1762</v>
      </c>
      <c r="D36" s="11" t="s">
        <v>13</v>
      </c>
      <c r="E36" s="86">
        <v>8190</v>
      </c>
      <c r="F36" s="70"/>
      <c r="G36" s="1"/>
      <c r="N36" s="1"/>
    </row>
    <row r="37" spans="1:14" s="2" customFormat="1" x14ac:dyDescent="0.2">
      <c r="A37" s="89">
        <v>45239</v>
      </c>
      <c r="B37" s="128" t="s">
        <v>6</v>
      </c>
      <c r="C37" s="10" t="s">
        <v>947</v>
      </c>
      <c r="D37" s="11" t="s">
        <v>13</v>
      </c>
      <c r="E37" s="86">
        <v>653314</v>
      </c>
      <c r="F37" s="70"/>
      <c r="G37" s="1"/>
      <c r="N37" s="1"/>
    </row>
    <row r="38" spans="1:14" s="2" customFormat="1" x14ac:dyDescent="0.2">
      <c r="A38" s="89">
        <v>45239</v>
      </c>
      <c r="B38" s="128" t="s">
        <v>6</v>
      </c>
      <c r="C38" s="10" t="s">
        <v>796</v>
      </c>
      <c r="D38" s="11" t="s">
        <v>13</v>
      </c>
      <c r="E38" s="86">
        <v>98804</v>
      </c>
      <c r="F38" s="70"/>
      <c r="G38" s="1"/>
      <c r="N38" s="1"/>
    </row>
    <row r="39" spans="1:14" s="2" customFormat="1" x14ac:dyDescent="0.2">
      <c r="A39" s="89">
        <v>45239</v>
      </c>
      <c r="B39" s="128" t="s">
        <v>11</v>
      </c>
      <c r="C39" s="10" t="s">
        <v>64</v>
      </c>
      <c r="D39" s="11" t="s">
        <v>29</v>
      </c>
      <c r="E39" s="86"/>
      <c r="F39" s="70">
        <v>4738.88</v>
      </c>
      <c r="G39" s="1"/>
      <c r="N39" s="1"/>
    </row>
    <row r="40" spans="1:14" s="2" customFormat="1" x14ac:dyDescent="0.2">
      <c r="A40" s="89">
        <v>45239</v>
      </c>
      <c r="B40" s="128" t="s">
        <v>11</v>
      </c>
      <c r="C40" s="10" t="s">
        <v>156</v>
      </c>
      <c r="D40" s="11" t="s">
        <v>29</v>
      </c>
      <c r="E40" s="86"/>
      <c r="F40" s="70">
        <v>329.91</v>
      </c>
      <c r="G40" s="1"/>
      <c r="N40" s="1"/>
    </row>
    <row r="41" spans="1:14" s="2" customFormat="1" x14ac:dyDescent="0.2">
      <c r="A41" s="89">
        <v>45239</v>
      </c>
      <c r="B41" s="128" t="s">
        <v>11</v>
      </c>
      <c r="C41" s="10" t="s">
        <v>449</v>
      </c>
      <c r="D41" s="11" t="s">
        <v>29</v>
      </c>
      <c r="E41" s="86"/>
      <c r="F41" s="70">
        <v>266563.56</v>
      </c>
      <c r="G41" s="1"/>
      <c r="N41" s="1"/>
    </row>
    <row r="42" spans="1:14" s="2" customFormat="1" x14ac:dyDescent="0.2">
      <c r="A42" s="89">
        <v>45239</v>
      </c>
      <c r="B42" s="128" t="s">
        <v>11</v>
      </c>
      <c r="C42" s="10" t="s">
        <v>555</v>
      </c>
      <c r="D42" s="11" t="s">
        <v>29</v>
      </c>
      <c r="E42" s="86"/>
      <c r="F42" s="70">
        <v>1148057</v>
      </c>
      <c r="G42" s="1"/>
      <c r="N42" s="1"/>
    </row>
    <row r="43" spans="1:14" s="2" customFormat="1" x14ac:dyDescent="0.2">
      <c r="A43" s="89">
        <v>45239</v>
      </c>
      <c r="B43" s="128" t="s">
        <v>11</v>
      </c>
      <c r="C43" s="10" t="s">
        <v>1615</v>
      </c>
      <c r="D43" s="11" t="s">
        <v>29</v>
      </c>
      <c r="E43" s="86"/>
      <c r="F43" s="70">
        <v>780800</v>
      </c>
      <c r="G43" s="1"/>
      <c r="N43" s="1"/>
    </row>
    <row r="44" spans="1:14" s="2" customFormat="1" x14ac:dyDescent="0.2">
      <c r="A44" s="89">
        <v>45239</v>
      </c>
      <c r="B44" s="128" t="s">
        <v>11</v>
      </c>
      <c r="C44" s="10" t="s">
        <v>1698</v>
      </c>
      <c r="D44" s="11" t="s">
        <v>29</v>
      </c>
      <c r="E44" s="86"/>
      <c r="F44" s="70">
        <v>840068</v>
      </c>
      <c r="G44" s="1"/>
      <c r="N44" s="1"/>
    </row>
    <row r="45" spans="1:14" s="2" customFormat="1" x14ac:dyDescent="0.2">
      <c r="A45" s="89">
        <v>45239</v>
      </c>
      <c r="B45" s="128" t="s">
        <v>11</v>
      </c>
      <c r="C45" s="10" t="s">
        <v>109</v>
      </c>
      <c r="D45" s="11" t="s">
        <v>29</v>
      </c>
      <c r="E45" s="86"/>
      <c r="F45" s="70">
        <v>1737357</v>
      </c>
      <c r="G45" s="1"/>
      <c r="N45" s="1"/>
    </row>
    <row r="46" spans="1:14" s="2" customFormat="1" x14ac:dyDescent="0.2">
      <c r="A46" s="89">
        <v>45239</v>
      </c>
      <c r="B46" s="128" t="s">
        <v>11</v>
      </c>
      <c r="C46" s="10" t="s">
        <v>1746</v>
      </c>
      <c r="D46" s="11" t="s">
        <v>29</v>
      </c>
      <c r="E46" s="86"/>
      <c r="F46" s="70">
        <v>819154</v>
      </c>
      <c r="G46" s="1"/>
      <c r="N46" s="1"/>
    </row>
    <row r="47" spans="1:14" s="2" customFormat="1" x14ac:dyDescent="0.2">
      <c r="A47" s="89">
        <v>45239</v>
      </c>
      <c r="B47" s="128" t="s">
        <v>11</v>
      </c>
      <c r="C47" s="10" t="s">
        <v>363</v>
      </c>
      <c r="D47" s="11" t="s">
        <v>29</v>
      </c>
      <c r="E47" s="86"/>
      <c r="F47" s="70">
        <v>32769</v>
      </c>
      <c r="G47" s="1"/>
      <c r="N47" s="1"/>
    </row>
    <row r="48" spans="1:14" s="2" customFormat="1" x14ac:dyDescent="0.2">
      <c r="A48" s="89">
        <v>45239</v>
      </c>
      <c r="B48" s="128" t="s">
        <v>11</v>
      </c>
      <c r="C48" s="10" t="s">
        <v>476</v>
      </c>
      <c r="D48" s="11" t="s">
        <v>29</v>
      </c>
      <c r="E48" s="86"/>
      <c r="F48" s="70">
        <v>151817</v>
      </c>
      <c r="G48" s="1"/>
      <c r="N48" s="1"/>
    </row>
    <row r="49" spans="1:14" s="2" customFormat="1" x14ac:dyDescent="0.2">
      <c r="A49" s="89">
        <v>45239</v>
      </c>
      <c r="B49" s="128" t="s">
        <v>11</v>
      </c>
      <c r="C49" s="10" t="s">
        <v>95</v>
      </c>
      <c r="D49" s="11" t="s">
        <v>29</v>
      </c>
      <c r="E49" s="86"/>
      <c r="F49" s="70">
        <v>59400</v>
      </c>
      <c r="G49" s="1"/>
      <c r="N49" s="1"/>
    </row>
    <row r="50" spans="1:14" s="2" customFormat="1" x14ac:dyDescent="0.2">
      <c r="A50" s="89">
        <v>45239</v>
      </c>
      <c r="B50" s="128" t="s">
        <v>11</v>
      </c>
      <c r="C50" s="10" t="s">
        <v>210</v>
      </c>
      <c r="D50" s="11" t="s">
        <v>29</v>
      </c>
      <c r="E50" s="86"/>
      <c r="F50" s="70">
        <v>10148</v>
      </c>
      <c r="G50" s="1"/>
      <c r="N50" s="1"/>
    </row>
    <row r="51" spans="1:14" s="2" customFormat="1" x14ac:dyDescent="0.2">
      <c r="A51" s="89">
        <v>45239</v>
      </c>
      <c r="B51" s="128" t="s">
        <v>11</v>
      </c>
      <c r="C51" s="10" t="s">
        <v>540</v>
      </c>
      <c r="D51" s="11" t="s">
        <v>29</v>
      </c>
      <c r="E51" s="86"/>
      <c r="F51" s="70">
        <v>72000</v>
      </c>
      <c r="G51" s="1"/>
      <c r="N51" s="1"/>
    </row>
    <row r="52" spans="1:14" s="2" customFormat="1" x14ac:dyDescent="0.2">
      <c r="A52" s="89">
        <v>45239</v>
      </c>
      <c r="B52" s="128" t="s">
        <v>11</v>
      </c>
      <c r="C52" s="10" t="s">
        <v>242</v>
      </c>
      <c r="D52" s="11" t="s">
        <v>29</v>
      </c>
      <c r="E52" s="86"/>
      <c r="F52" s="70">
        <v>58712.03</v>
      </c>
      <c r="G52" s="1"/>
      <c r="N52" s="1"/>
    </row>
    <row r="53" spans="1:14" s="2" customFormat="1" x14ac:dyDescent="0.2">
      <c r="A53" s="89">
        <v>45239</v>
      </c>
      <c r="B53" s="128" t="s">
        <v>11</v>
      </c>
      <c r="C53" s="10" t="s">
        <v>25</v>
      </c>
      <c r="D53" s="11" t="s">
        <v>29</v>
      </c>
      <c r="E53" s="86"/>
      <c r="F53" s="70">
        <v>1100000</v>
      </c>
      <c r="G53" s="1"/>
      <c r="N53" s="1"/>
    </row>
    <row r="54" spans="1:14" s="2" customFormat="1" x14ac:dyDescent="0.2">
      <c r="A54" s="89">
        <v>45239</v>
      </c>
      <c r="B54" s="128" t="s">
        <v>11</v>
      </c>
      <c r="C54" s="10" t="s">
        <v>44</v>
      </c>
      <c r="D54" s="11" t="s">
        <v>29</v>
      </c>
      <c r="E54" s="86"/>
      <c r="F54" s="70">
        <v>1033887</v>
      </c>
      <c r="G54" s="1"/>
      <c r="N54" s="1"/>
    </row>
    <row r="55" spans="1:14" s="2" customFormat="1" x14ac:dyDescent="0.2">
      <c r="A55" s="89">
        <v>45239</v>
      </c>
      <c r="B55" s="128" t="s">
        <v>11</v>
      </c>
      <c r="C55" s="10" t="s">
        <v>147</v>
      </c>
      <c r="D55" s="11" t="s">
        <v>29</v>
      </c>
      <c r="E55" s="86"/>
      <c r="F55" s="70">
        <v>1071842</v>
      </c>
      <c r="G55" s="1"/>
      <c r="N55" s="1"/>
    </row>
    <row r="56" spans="1:14" s="2" customFormat="1" x14ac:dyDescent="0.2">
      <c r="A56" s="89">
        <v>45239</v>
      </c>
      <c r="B56" s="128" t="s">
        <v>11</v>
      </c>
      <c r="C56" s="10" t="s">
        <v>111</v>
      </c>
      <c r="D56" s="11" t="s">
        <v>29</v>
      </c>
      <c r="E56" s="86"/>
      <c r="F56" s="70">
        <v>9468414.1300000008</v>
      </c>
      <c r="G56" s="1"/>
      <c r="N56" s="1"/>
    </row>
    <row r="57" spans="1:14" s="2" customFormat="1" x14ac:dyDescent="0.2">
      <c r="A57" s="89">
        <v>45239</v>
      </c>
      <c r="B57" s="128" t="s">
        <v>11</v>
      </c>
      <c r="C57" s="10" t="s">
        <v>302</v>
      </c>
      <c r="D57" s="11" t="s">
        <v>29</v>
      </c>
      <c r="E57" s="86"/>
      <c r="F57" s="70">
        <v>6804</v>
      </c>
      <c r="G57" s="1"/>
      <c r="N57" s="1"/>
    </row>
    <row r="58" spans="1:14" s="2" customFormat="1" x14ac:dyDescent="0.2">
      <c r="A58" s="89">
        <v>45239</v>
      </c>
      <c r="B58" s="128" t="s">
        <v>11</v>
      </c>
      <c r="C58" s="10" t="s">
        <v>279</v>
      </c>
      <c r="D58" s="11" t="s">
        <v>29</v>
      </c>
      <c r="E58" s="86"/>
      <c r="F58" s="70">
        <v>528736</v>
      </c>
      <c r="G58" s="1"/>
      <c r="N58" s="1"/>
    </row>
    <row r="59" spans="1:14" s="2" customFormat="1" x14ac:dyDescent="0.2">
      <c r="A59" s="32"/>
      <c r="B59" s="33"/>
      <c r="C59" s="14"/>
      <c r="D59" s="34"/>
      <c r="E59" s="16">
        <f>SUM(E23:E58)</f>
        <v>15883429.18</v>
      </c>
      <c r="F59" s="16">
        <f>SUM(F23:F58)</f>
        <v>124336487.2700001</v>
      </c>
      <c r="G59" s="1"/>
      <c r="H59" s="1"/>
      <c r="I59" s="38">
        <v>108453058.09</v>
      </c>
      <c r="K59" s="92">
        <f>E60-I59</f>
        <v>0</v>
      </c>
      <c r="N59" s="1"/>
    </row>
    <row r="60" spans="1:14" s="2" customFormat="1" x14ac:dyDescent="0.2">
      <c r="A60" s="36"/>
      <c r="B60" s="28" t="s">
        <v>11</v>
      </c>
      <c r="C60" s="19" t="s">
        <v>65</v>
      </c>
      <c r="D60" s="37"/>
      <c r="E60" s="38">
        <f>F59-E59</f>
        <v>108453058.09000009</v>
      </c>
      <c r="F60" s="22"/>
      <c r="G60" s="1"/>
      <c r="H60" s="1"/>
      <c r="I60" s="70"/>
      <c r="J60" s="70"/>
      <c r="K60" s="70"/>
      <c r="N60" s="1"/>
    </row>
    <row r="61" spans="1:14" s="2" customFormat="1" x14ac:dyDescent="0.2">
      <c r="A61" s="36"/>
      <c r="B61" s="28" t="s">
        <v>66</v>
      </c>
      <c r="C61" s="19" t="s">
        <v>67</v>
      </c>
      <c r="D61" s="37"/>
      <c r="E61" s="38">
        <v>6500000</v>
      </c>
      <c r="F61" s="22"/>
      <c r="G61" s="1"/>
      <c r="H61" s="70"/>
      <c r="I61" s="70"/>
      <c r="J61" s="70"/>
      <c r="K61" s="70"/>
      <c r="N61" s="1"/>
    </row>
    <row r="62" spans="1:14" s="2" customFormat="1" x14ac:dyDescent="0.2">
      <c r="A62" s="36"/>
      <c r="B62" s="28" t="s">
        <v>66</v>
      </c>
      <c r="C62" s="43" t="s">
        <v>1457</v>
      </c>
      <c r="D62" s="43"/>
      <c r="E62" s="12">
        <f>275000000+75000000+50000000-25000000</f>
        <v>375000000</v>
      </c>
      <c r="F62" s="22"/>
      <c r="G62" s="1"/>
      <c r="H62" s="70"/>
      <c r="I62" s="45">
        <v>1406.72</v>
      </c>
      <c r="J62" s="46"/>
      <c r="K62" s="46"/>
      <c r="N62" s="1"/>
    </row>
    <row r="63" spans="1:14" s="2" customFormat="1" ht="15" x14ac:dyDescent="0.25">
      <c r="A63" s="36"/>
      <c r="B63" s="28"/>
      <c r="C63" s="44" t="s">
        <v>1541</v>
      </c>
      <c r="D63" s="43"/>
      <c r="E63" s="7">
        <f>+E62+E60+E61</f>
        <v>489953058.09000009</v>
      </c>
      <c r="F63" s="22"/>
      <c r="G63" s="1"/>
      <c r="H63" s="103" t="s">
        <v>69</v>
      </c>
      <c r="I63" s="45">
        <v>-10.72</v>
      </c>
      <c r="J63" s="46"/>
      <c r="K63" s="46"/>
      <c r="N63" s="1"/>
    </row>
    <row r="64" spans="1:14" s="2" customFormat="1" ht="15" x14ac:dyDescent="0.25">
      <c r="A64" s="24"/>
      <c r="B64" s="1"/>
      <c r="C64" s="44" t="s">
        <v>1510</v>
      </c>
      <c r="D64" s="25"/>
      <c r="E64" s="156">
        <f>+I23-E61+H19-I19</f>
        <v>10046941.909999996</v>
      </c>
      <c r="G64" s="1"/>
      <c r="H64" s="35" t="s">
        <v>70</v>
      </c>
      <c r="I64" s="45">
        <v>22.98</v>
      </c>
      <c r="J64" s="46">
        <f>+I65-D67</f>
        <v>0</v>
      </c>
      <c r="N64" s="1"/>
    </row>
    <row r="65" spans="1:13" s="124" customFormat="1" ht="12.75" customHeight="1" x14ac:dyDescent="0.2">
      <c r="A65" s="24"/>
      <c r="B65" s="1"/>
      <c r="C65" s="56"/>
      <c r="D65" s="56"/>
      <c r="E65" s="104"/>
      <c r="F65" s="2"/>
      <c r="G65" s="166"/>
      <c r="H65" s="70"/>
      <c r="I65" s="49">
        <f>SUM(I62:I64)</f>
        <v>1418.98</v>
      </c>
      <c r="J65" s="46"/>
      <c r="K65" s="46"/>
    </row>
    <row r="66" spans="1:13" s="124" customFormat="1" ht="12.75" customHeight="1" x14ac:dyDescent="0.2">
      <c r="A66" s="24"/>
      <c r="B66" s="1"/>
      <c r="C66" s="78" t="s">
        <v>575</v>
      </c>
      <c r="D66" s="48" t="s">
        <v>576</v>
      </c>
      <c r="E66" s="104"/>
      <c r="F66" s="2"/>
      <c r="G66" s="168"/>
      <c r="H66" s="167"/>
      <c r="I66" s="167"/>
      <c r="J66" s="168"/>
    </row>
    <row r="67" spans="1:13" s="124" customFormat="1" ht="12.75" customHeight="1" x14ac:dyDescent="0.2">
      <c r="A67" s="24"/>
      <c r="B67" s="1"/>
      <c r="C67" s="47" t="s">
        <v>570</v>
      </c>
      <c r="D67" s="111">
        <v>1418.98</v>
      </c>
      <c r="E67" s="104"/>
      <c r="F67" s="2"/>
      <c r="G67" s="168"/>
      <c r="H67" s="110" t="s">
        <v>581</v>
      </c>
      <c r="I67" s="167"/>
      <c r="J67" s="168"/>
    </row>
    <row r="68" spans="1:13" s="124" customFormat="1" ht="12.75" customHeight="1" x14ac:dyDescent="0.2">
      <c r="A68" s="24"/>
      <c r="B68" s="1"/>
      <c r="C68" s="47" t="s">
        <v>931</v>
      </c>
      <c r="D68" s="111">
        <v>28.72</v>
      </c>
      <c r="E68" s="104"/>
      <c r="F68" s="2"/>
      <c r="G68" s="168"/>
      <c r="H68" s="110" t="s">
        <v>580</v>
      </c>
      <c r="I68" s="167"/>
      <c r="J68" s="168"/>
    </row>
    <row r="69" spans="1:13" s="124" customFormat="1" ht="12.75" customHeight="1" x14ac:dyDescent="0.2">
      <c r="A69" s="24"/>
      <c r="B69" s="1"/>
      <c r="C69" s="47" t="s">
        <v>572</v>
      </c>
      <c r="D69" s="111">
        <f>+D91/100000</f>
        <v>188.96583949999999</v>
      </c>
      <c r="E69" s="104"/>
      <c r="F69" s="2"/>
      <c r="G69" s="166"/>
      <c r="H69" s="90" t="s">
        <v>587</v>
      </c>
      <c r="I69" s="167"/>
      <c r="J69" s="168"/>
    </row>
    <row r="70" spans="1:13" s="2" customFormat="1" x14ac:dyDescent="0.2">
      <c r="A70" s="24"/>
      <c r="B70" s="1"/>
      <c r="C70" s="108" t="s">
        <v>578</v>
      </c>
      <c r="D70" s="48">
        <f>SUM(D67:D69)</f>
        <v>1636.6658394999999</v>
      </c>
      <c r="E70" s="104"/>
      <c r="G70" s="30"/>
      <c r="I70" s="13"/>
      <c r="J70" s="13"/>
    </row>
    <row r="71" spans="1:13" s="70" customFormat="1" x14ac:dyDescent="0.2">
      <c r="A71" s="24"/>
      <c r="B71" s="1"/>
      <c r="C71" s="47"/>
      <c r="D71" s="107"/>
      <c r="E71" s="104"/>
      <c r="F71" s="2"/>
      <c r="G71" s="30"/>
      <c r="H71" s="2"/>
    </row>
    <row r="72" spans="1:13" s="70" customFormat="1" x14ac:dyDescent="0.2">
      <c r="A72" s="24"/>
      <c r="B72" s="1"/>
      <c r="C72" s="47" t="s">
        <v>932</v>
      </c>
      <c r="D72" s="111">
        <v>11.99</v>
      </c>
      <c r="E72" s="104"/>
      <c r="F72" s="2"/>
      <c r="G72" s="30"/>
      <c r="H72" s="110" t="s">
        <v>581</v>
      </c>
    </row>
    <row r="73" spans="1:13" s="70" customFormat="1" x14ac:dyDescent="0.2">
      <c r="A73" s="24"/>
      <c r="B73" s="1"/>
      <c r="C73" s="136" t="s">
        <v>1142</v>
      </c>
      <c r="D73" s="111">
        <f>515.65-44.77</f>
        <v>470.88</v>
      </c>
      <c r="E73" s="104"/>
      <c r="F73" s="2"/>
      <c r="G73" s="30"/>
      <c r="H73" s="110" t="s">
        <v>581</v>
      </c>
    </row>
    <row r="74" spans="1:13" s="70" customFormat="1" x14ac:dyDescent="0.2">
      <c r="A74" s="24"/>
      <c r="B74" s="1"/>
      <c r="C74" s="78" t="s">
        <v>579</v>
      </c>
      <c r="D74" s="109">
        <f>D72+D73</f>
        <v>482.87</v>
      </c>
      <c r="E74" s="104"/>
      <c r="F74" s="2"/>
      <c r="G74" s="30"/>
    </row>
    <row r="75" spans="1:13" s="70" customFormat="1" x14ac:dyDescent="0.2">
      <c r="A75" s="24"/>
      <c r="B75" s="1"/>
      <c r="C75" s="105"/>
      <c r="D75" s="106"/>
      <c r="E75" s="104"/>
      <c r="F75" s="2"/>
      <c r="G75" s="30"/>
      <c r="I75" s="2"/>
      <c r="J75" s="114" t="s">
        <v>713</v>
      </c>
      <c r="K75" s="2"/>
      <c r="L75" s="2"/>
      <c r="M75" s="2"/>
    </row>
    <row r="76" spans="1:13" s="70" customFormat="1" x14ac:dyDescent="0.2">
      <c r="A76" s="24"/>
      <c r="B76" s="1"/>
      <c r="C76" s="78" t="s">
        <v>577</v>
      </c>
      <c r="D76" s="109">
        <f>D67+D74</f>
        <v>1901.85</v>
      </c>
      <c r="E76" s="104"/>
      <c r="F76" s="2"/>
      <c r="G76" s="30"/>
      <c r="I76" s="113"/>
      <c r="J76" s="113" t="s">
        <v>709</v>
      </c>
      <c r="K76" s="113" t="s">
        <v>710</v>
      </c>
      <c r="L76" s="113" t="s">
        <v>711</v>
      </c>
      <c r="M76" s="113" t="s">
        <v>712</v>
      </c>
    </row>
    <row r="77" spans="1:13" s="70" customFormat="1" x14ac:dyDescent="0.2">
      <c r="A77" s="24"/>
      <c r="B77" s="1"/>
      <c r="C77" s="56"/>
      <c r="D77" s="56"/>
      <c r="E77" s="104"/>
      <c r="F77" s="2"/>
      <c r="G77" s="30"/>
      <c r="I77" s="113" t="s">
        <v>706</v>
      </c>
      <c r="J77" s="115"/>
      <c r="K77" s="115">
        <v>968.99</v>
      </c>
      <c r="L77" s="115">
        <v>968.99</v>
      </c>
      <c r="M77" s="113">
        <f>+J77+L77-K77</f>
        <v>0</v>
      </c>
    </row>
    <row r="78" spans="1:13" s="70" customFormat="1" ht="38.25" x14ac:dyDescent="0.2">
      <c r="A78" s="24"/>
      <c r="B78" s="1"/>
      <c r="C78" s="79" t="str">
        <f>"Particulars ( 01-04-2021 to "&amp;TEXT(A5,"dd-mm-yyyy")&amp;" )"</f>
        <v>Particulars ( 01-04-2021 to 09-11-2023 )</v>
      </c>
      <c r="D78" s="80" t="s">
        <v>73</v>
      </c>
      <c r="E78" s="80" t="s">
        <v>74</v>
      </c>
      <c r="F78" s="81" t="s">
        <v>75</v>
      </c>
      <c r="G78" s="80" t="s">
        <v>76</v>
      </c>
      <c r="I78" s="113" t="s">
        <v>707</v>
      </c>
      <c r="J78" s="115">
        <v>183.1</v>
      </c>
      <c r="K78" s="115">
        <v>3926.04</v>
      </c>
      <c r="L78" s="115">
        <v>4132.1400000000003</v>
      </c>
      <c r="M78" s="113">
        <f>+J78+L78-K78</f>
        <v>389.20000000000073</v>
      </c>
    </row>
    <row r="79" spans="1:13" s="70" customFormat="1" x14ac:dyDescent="0.2">
      <c r="A79" s="24"/>
      <c r="B79" s="1"/>
      <c r="C79" s="50" t="s">
        <v>444</v>
      </c>
      <c r="D79" s="55">
        <f>+L77+L78+J78</f>
        <v>5284.2300000000005</v>
      </c>
      <c r="E79" s="55">
        <f>+K77+K78</f>
        <v>4895.03</v>
      </c>
      <c r="F79" s="55">
        <f>+D79-E79</f>
        <v>389.20000000000073</v>
      </c>
      <c r="G79" s="55">
        <f>1500-F79</f>
        <v>1110.7999999999993</v>
      </c>
      <c r="I79" s="113" t="s">
        <v>708</v>
      </c>
      <c r="J79" s="115">
        <v>1371.02</v>
      </c>
      <c r="K79" s="115">
        <v>14978.24</v>
      </c>
      <c r="L79" s="115">
        <v>15070.81</v>
      </c>
      <c r="M79" s="113">
        <f>+J79+L79-K79</f>
        <v>1463.5899999999983</v>
      </c>
    </row>
    <row r="80" spans="1:13" s="70" customFormat="1" ht="12.75" customHeight="1" x14ac:dyDescent="0.2">
      <c r="A80" s="24"/>
      <c r="B80" s="1"/>
      <c r="C80" s="50" t="s">
        <v>71</v>
      </c>
      <c r="D80" s="55">
        <f>+J79+L79</f>
        <v>16441.829999999998</v>
      </c>
      <c r="E80" s="55">
        <f>+K79</f>
        <v>14978.24</v>
      </c>
      <c r="F80" s="55">
        <f>+D80-E80</f>
        <v>1463.5899999999983</v>
      </c>
      <c r="G80" s="55">
        <f>1500+700-F80</f>
        <v>736.41000000000167</v>
      </c>
      <c r="I80" s="2"/>
      <c r="J80" s="118">
        <f>SUM(J77:J79)</f>
        <v>1554.12</v>
      </c>
      <c r="K80" s="118">
        <f>SUM(K77:K79)</f>
        <v>19873.27</v>
      </c>
      <c r="L80" s="118">
        <f>SUM(L77:L79)</f>
        <v>20171.939999999999</v>
      </c>
      <c r="M80" s="118">
        <f>SUM(M77:M79)</f>
        <v>1852.7899999999991</v>
      </c>
    </row>
    <row r="81" spans="1:14" s="70" customFormat="1" ht="12.75" customHeight="1" x14ac:dyDescent="0.2">
      <c r="A81" s="24"/>
      <c r="B81" s="1"/>
      <c r="C81" s="14"/>
      <c r="D81" s="56"/>
      <c r="E81" s="13"/>
      <c r="F81" s="2"/>
      <c r="G81" s="30"/>
    </row>
    <row r="82" spans="1:14" s="70" customFormat="1" ht="12.75" customHeight="1" x14ac:dyDescent="0.2">
      <c r="A82" s="215" t="s">
        <v>80</v>
      </c>
      <c r="B82" s="216"/>
      <c r="C82" s="216"/>
      <c r="D82" s="217"/>
      <c r="E82" s="69"/>
      <c r="G82" s="30"/>
    </row>
    <row r="83" spans="1:14" s="70" customFormat="1" ht="12.75" customHeight="1" x14ac:dyDescent="0.2">
      <c r="A83" s="71" t="s">
        <v>81</v>
      </c>
      <c r="B83" s="71"/>
      <c r="C83" s="72" t="s">
        <v>82</v>
      </c>
      <c r="D83" s="73" t="s">
        <v>83</v>
      </c>
      <c r="E83" s="69"/>
      <c r="G83" s="30"/>
    </row>
    <row r="84" spans="1:14" s="70" customFormat="1" ht="12.75" customHeight="1" x14ac:dyDescent="0.2">
      <c r="A84" s="87">
        <v>45232</v>
      </c>
      <c r="B84" s="120" t="s">
        <v>6</v>
      </c>
      <c r="C84" s="75" t="s">
        <v>767</v>
      </c>
      <c r="D84" s="88">
        <v>515100</v>
      </c>
      <c r="E84" s="2"/>
      <c r="F84" s="2"/>
      <c r="G84" s="30"/>
      <c r="H84" s="2"/>
      <c r="I84" s="2"/>
      <c r="J84" s="2"/>
      <c r="K84" s="2"/>
      <c r="L84" s="41"/>
      <c r="M84" s="42"/>
      <c r="N84" s="2"/>
    </row>
    <row r="85" spans="1:14" s="70" customFormat="1" ht="12.75" customHeight="1" x14ac:dyDescent="0.2">
      <c r="A85" s="87">
        <v>45232</v>
      </c>
      <c r="B85" s="120" t="s">
        <v>6</v>
      </c>
      <c r="C85" s="75" t="s">
        <v>566</v>
      </c>
      <c r="D85" s="88">
        <v>52450</v>
      </c>
      <c r="E85" s="2"/>
      <c r="F85" s="2"/>
      <c r="G85" s="30"/>
      <c r="H85" s="2"/>
      <c r="I85" s="2"/>
      <c r="J85" s="2"/>
      <c r="K85" s="2"/>
      <c r="L85" s="41"/>
      <c r="M85" s="42"/>
      <c r="N85" s="2"/>
    </row>
    <row r="86" spans="1:14" s="70" customFormat="1" ht="12.75" customHeight="1" x14ac:dyDescent="0.2">
      <c r="A86" s="87">
        <v>45233</v>
      </c>
      <c r="B86" s="120" t="s">
        <v>6</v>
      </c>
      <c r="C86" s="75" t="s">
        <v>1084</v>
      </c>
      <c r="D86" s="88">
        <v>1833799</v>
      </c>
      <c r="E86" s="2"/>
      <c r="F86" s="2"/>
      <c r="G86" s="30"/>
      <c r="H86" s="2"/>
      <c r="I86" s="2"/>
      <c r="J86" s="2"/>
      <c r="K86" s="2"/>
      <c r="L86" s="41"/>
      <c r="M86" s="42"/>
      <c r="N86" s="2"/>
    </row>
    <row r="87" spans="1:14" s="70" customFormat="1" ht="12.75" customHeight="1" x14ac:dyDescent="0.2">
      <c r="A87" s="87">
        <v>45233</v>
      </c>
      <c r="B87" s="120" t="s">
        <v>6</v>
      </c>
      <c r="C87" s="75" t="s">
        <v>909</v>
      </c>
      <c r="D87" s="88">
        <v>366980</v>
      </c>
      <c r="E87" s="2"/>
      <c r="F87" s="2"/>
      <c r="G87" s="30"/>
      <c r="H87" s="2"/>
      <c r="I87" s="2"/>
      <c r="J87" s="2"/>
      <c r="K87" s="2"/>
      <c r="L87" s="41"/>
      <c r="M87" s="42"/>
      <c r="N87" s="2"/>
    </row>
    <row r="88" spans="1:14" s="70" customFormat="1" ht="12.75" customHeight="1" x14ac:dyDescent="0.2">
      <c r="A88" s="87">
        <v>45233</v>
      </c>
      <c r="B88" s="120" t="s">
        <v>6</v>
      </c>
      <c r="C88" s="75" t="s">
        <v>909</v>
      </c>
      <c r="D88" s="88">
        <v>30038</v>
      </c>
      <c r="E88" s="2"/>
      <c r="F88" s="2"/>
      <c r="G88" s="30"/>
      <c r="H88" s="2"/>
      <c r="I88" s="2"/>
      <c r="J88" s="2"/>
      <c r="K88" s="2"/>
      <c r="L88" s="41"/>
      <c r="M88" s="42"/>
      <c r="N88" s="2"/>
    </row>
    <row r="89" spans="1:14" s="70" customFormat="1" ht="12.75" customHeight="1" x14ac:dyDescent="0.2">
      <c r="A89" s="87">
        <v>45237</v>
      </c>
      <c r="B89" s="120" t="s">
        <v>6</v>
      </c>
      <c r="C89" s="75" t="s">
        <v>888</v>
      </c>
      <c r="D89" s="88">
        <v>14999721.949999999</v>
      </c>
      <c r="E89" s="2"/>
      <c r="F89" s="2"/>
      <c r="G89" s="30"/>
      <c r="H89" s="2"/>
      <c r="I89" s="2"/>
      <c r="J89" s="2"/>
      <c r="K89" s="2"/>
      <c r="L89" s="41"/>
      <c r="M89" s="42"/>
      <c r="N89" s="2"/>
    </row>
    <row r="90" spans="1:14" s="70" customFormat="1" ht="12.75" customHeight="1" x14ac:dyDescent="0.2">
      <c r="A90" s="87">
        <v>45238</v>
      </c>
      <c r="B90" s="120" t="s">
        <v>6</v>
      </c>
      <c r="C90" s="75" t="s">
        <v>606</v>
      </c>
      <c r="D90" s="88">
        <v>1098495</v>
      </c>
      <c r="E90" s="2"/>
      <c r="F90" s="2"/>
      <c r="G90" s="30"/>
      <c r="H90" s="2"/>
      <c r="I90" s="2"/>
      <c r="J90" s="2"/>
      <c r="K90" s="2"/>
      <c r="L90" s="41"/>
      <c r="M90" s="42"/>
      <c r="N90" s="2"/>
    </row>
    <row r="91" spans="1:14" s="2" customFormat="1" x14ac:dyDescent="0.2">
      <c r="A91" s="87"/>
      <c r="B91" s="74"/>
      <c r="C91" s="75"/>
      <c r="D91" s="51">
        <f>SUM(D84:D90)</f>
        <v>18896583.949999999</v>
      </c>
      <c r="F91" s="2" t="s">
        <v>396</v>
      </c>
      <c r="G91" s="1"/>
    </row>
    <row r="92" spans="1:14" s="2" customFormat="1" x14ac:dyDescent="0.2">
      <c r="A92" s="24"/>
      <c r="B92" s="1"/>
      <c r="C92" s="14"/>
      <c r="D92" s="56"/>
      <c r="E92" s="13"/>
      <c r="G92" s="1"/>
    </row>
    <row r="93" spans="1:14" s="2" customFormat="1" x14ac:dyDescent="0.2">
      <c r="A93" s="24"/>
      <c r="B93" s="1"/>
      <c r="C93" s="218" t="s">
        <v>77</v>
      </c>
      <c r="D93" s="219"/>
      <c r="E93" s="219"/>
      <c r="F93" s="220"/>
      <c r="H93" s="2" t="s">
        <v>396</v>
      </c>
    </row>
    <row r="94" spans="1:14" s="2" customFormat="1" x14ac:dyDescent="0.2">
      <c r="A94" s="24"/>
      <c r="B94" s="1"/>
      <c r="C94" s="50"/>
      <c r="D94" s="57" t="s">
        <v>78</v>
      </c>
      <c r="E94" s="58" t="s">
        <v>79</v>
      </c>
      <c r="F94" s="57" t="s">
        <v>72</v>
      </c>
      <c r="H94" s="2" t="s">
        <v>396</v>
      </c>
    </row>
    <row r="95" spans="1:14" s="2" customFormat="1" x14ac:dyDescent="0.2">
      <c r="A95" s="24"/>
      <c r="B95" s="1"/>
      <c r="C95" s="59" t="str">
        <f>"01-11-2023 to "&amp;TEXT(A5-2,"dd-mm-yyyy")</f>
        <v>01-11-2023 to 07-11-2023</v>
      </c>
      <c r="D95" s="60">
        <v>652.78</v>
      </c>
      <c r="E95" s="60">
        <v>114.95</v>
      </c>
      <c r="F95" s="61">
        <f>SUM(D95:E95)</f>
        <v>767.73</v>
      </c>
    </row>
    <row r="96" spans="1:14" s="2" customFormat="1" x14ac:dyDescent="0.2">
      <c r="A96" s="24"/>
      <c r="B96" s="1"/>
      <c r="C96" s="62" t="str">
        <f>TEXT(A5-1,"dd-mm-yyyy")</f>
        <v>08-11-2023</v>
      </c>
      <c r="D96" s="60">
        <v>167.68</v>
      </c>
      <c r="E96" s="60">
        <v>23.66</v>
      </c>
      <c r="F96" s="61">
        <f>SUM(D96:E96)</f>
        <v>191.34</v>
      </c>
      <c r="G96" s="1"/>
      <c r="H96" s="53"/>
    </row>
    <row r="97" spans="1:13" s="2" customFormat="1" ht="13.5" thickBot="1" x14ac:dyDescent="0.25">
      <c r="A97" s="24"/>
      <c r="B97" s="1"/>
      <c r="C97" s="63" t="str">
        <f>"01-11-2023 to "&amp;TEXT(A5-1,"dd-mm-yyyy")</f>
        <v>01-11-2023 to 08-11-2023</v>
      </c>
      <c r="D97" s="64">
        <f>SUM(D95:D96)</f>
        <v>820.46</v>
      </c>
      <c r="E97" s="64">
        <f>SUM(E95:E96)</f>
        <v>138.61000000000001</v>
      </c>
      <c r="F97" s="64">
        <f>SUM(F95:F96)</f>
        <v>959.07</v>
      </c>
      <c r="G97" s="1"/>
      <c r="H97" s="53"/>
    </row>
    <row r="98" spans="1:13" s="2" customFormat="1" ht="13.5" thickTop="1" x14ac:dyDescent="0.2">
      <c r="A98" s="24"/>
      <c r="B98" s="1"/>
      <c r="C98" s="62"/>
      <c r="D98" s="65"/>
      <c r="E98" s="66"/>
      <c r="F98" s="67"/>
      <c r="L98" s="1"/>
      <c r="M98" s="1"/>
    </row>
    <row r="99" spans="1:13" s="2" customFormat="1" x14ac:dyDescent="0.2">
      <c r="A99" s="24"/>
      <c r="B99" s="1"/>
      <c r="C99" s="62" t="str">
        <f>"01-04-2023 to " &amp;C96</f>
        <v>01-04-2023 to 08-11-2023</v>
      </c>
      <c r="D99" s="68">
        <f>+D97+29842.21</f>
        <v>30662.67</v>
      </c>
      <c r="E99" s="68">
        <f>+E97+2549.86</f>
        <v>2688.4700000000003</v>
      </c>
      <c r="F99" s="68">
        <f>+F97+32392.07</f>
        <v>33351.14</v>
      </c>
      <c r="G99" s="1"/>
      <c r="L99" s="1"/>
      <c r="M99" s="1"/>
    </row>
    <row r="100" spans="1:13" s="2" customFormat="1" x14ac:dyDescent="0.2">
      <c r="A100" s="24"/>
      <c r="B100" s="1"/>
      <c r="C100" s="52"/>
      <c r="D100" s="85"/>
      <c r="E100" s="53"/>
      <c r="F100" s="53"/>
      <c r="G100" s="1"/>
      <c r="L100" s="1"/>
      <c r="M100" s="1"/>
    </row>
    <row r="101" spans="1:13" s="2" customFormat="1" x14ac:dyDescent="0.2">
      <c r="A101" s="24"/>
      <c r="B101" s="1"/>
      <c r="C101" s="52"/>
      <c r="D101" s="85"/>
      <c r="E101" s="53"/>
      <c r="F101" s="53"/>
      <c r="G101" s="1"/>
      <c r="L101" s="1"/>
      <c r="M101" s="1"/>
    </row>
    <row r="102" spans="1:13" s="2" customFormat="1" x14ac:dyDescent="0.2">
      <c r="A102" s="24"/>
      <c r="B102" s="1"/>
      <c r="C102" s="52"/>
      <c r="D102" s="85"/>
      <c r="E102" s="53"/>
      <c r="F102" s="53"/>
      <c r="G102" s="1"/>
      <c r="L102" s="1"/>
      <c r="M102" s="1"/>
    </row>
    <row r="103" spans="1:13" s="2" customFormat="1" x14ac:dyDescent="0.2">
      <c r="A103" s="24"/>
      <c r="B103" s="1"/>
      <c r="C103" s="52"/>
      <c r="D103" s="85"/>
      <c r="E103" s="53"/>
      <c r="F103" s="53"/>
      <c r="G103" s="1"/>
      <c r="L103" s="1"/>
      <c r="M103" s="1"/>
    </row>
    <row r="104" spans="1:13" s="2" customFormat="1" x14ac:dyDescent="0.2">
      <c r="A104" s="24"/>
      <c r="B104" s="1"/>
      <c r="C104" s="14"/>
      <c r="D104" s="25">
        <f>SUM(D101:D103)</f>
        <v>0</v>
      </c>
      <c r="E104" s="2">
        <f>SUM(E101:E103)</f>
        <v>0</v>
      </c>
      <c r="G104" s="1"/>
      <c r="L104" s="1"/>
      <c r="M104" s="1"/>
    </row>
    <row r="105" spans="1:13" s="2" customFormat="1" x14ac:dyDescent="0.2">
      <c r="A105" s="24"/>
      <c r="B105" s="1"/>
      <c r="C105" s="14"/>
      <c r="D105" s="25"/>
      <c r="G105" s="1"/>
      <c r="L105" s="1"/>
      <c r="M105" s="1"/>
    </row>
    <row r="106" spans="1:13" s="2" customFormat="1" x14ac:dyDescent="0.2">
      <c r="A106" s="24"/>
      <c r="B106" s="1"/>
      <c r="C106" s="14"/>
      <c r="D106" s="25"/>
      <c r="G106" s="1"/>
      <c r="L106" s="1"/>
      <c r="M106" s="1"/>
    </row>
    <row r="107" spans="1:13" s="2" customFormat="1" x14ac:dyDescent="0.2">
      <c r="A107" s="24"/>
      <c r="B107" s="1"/>
      <c r="C107" s="14"/>
      <c r="D107" s="25"/>
      <c r="G107" s="1"/>
      <c r="L107" s="1"/>
      <c r="M107" s="1"/>
    </row>
    <row r="108" spans="1:13" s="2" customFormat="1" x14ac:dyDescent="0.2">
      <c r="A108" s="24"/>
      <c r="B108" s="1"/>
      <c r="C108" s="14"/>
      <c r="D108" s="25"/>
      <c r="G108" s="1"/>
      <c r="L108" s="1"/>
      <c r="M108" s="1"/>
    </row>
    <row r="109" spans="1:13" s="2" customFormat="1" x14ac:dyDescent="0.2">
      <c r="A109" s="24"/>
      <c r="B109" s="1"/>
      <c r="C109" s="14"/>
      <c r="D109" s="25"/>
      <c r="G109" s="1"/>
      <c r="L109" s="1"/>
      <c r="M109" s="1"/>
    </row>
    <row r="110" spans="1:13" s="2" customFormat="1" x14ac:dyDescent="0.2">
      <c r="A110" s="24"/>
      <c r="B110" s="1"/>
      <c r="C110" s="14"/>
      <c r="D110" s="25"/>
      <c r="G110" s="1"/>
      <c r="L110" s="1"/>
      <c r="M110" s="1"/>
    </row>
    <row r="111" spans="1:13" s="2" customFormat="1" x14ac:dyDescent="0.2">
      <c r="A111" s="24"/>
      <c r="B111" s="1"/>
      <c r="C111" s="14"/>
      <c r="D111" s="25"/>
      <c r="G111" s="1"/>
      <c r="L111" s="1"/>
      <c r="M111" s="1"/>
    </row>
    <row r="112" spans="1:13" s="2" customFormat="1" x14ac:dyDescent="0.2">
      <c r="A112" s="24"/>
      <c r="B112" s="1"/>
      <c r="C112" s="14"/>
      <c r="D112" s="25"/>
      <c r="G112" s="1"/>
      <c r="L112" s="1"/>
      <c r="M112" s="1"/>
    </row>
    <row r="113" spans="1:14" s="2" customFormat="1" x14ac:dyDescent="0.2">
      <c r="A113" s="24"/>
      <c r="B113" s="1"/>
      <c r="C113" s="14"/>
      <c r="D113" s="25"/>
      <c r="G113" s="1"/>
      <c r="L113" s="1"/>
      <c r="M113" s="1"/>
    </row>
    <row r="114" spans="1:14" s="2" customFormat="1" x14ac:dyDescent="0.2">
      <c r="A114" s="24"/>
      <c r="B114" s="1"/>
      <c r="C114" s="14"/>
      <c r="D114" s="25"/>
      <c r="G114" s="1"/>
      <c r="L114" s="1"/>
      <c r="M114" s="1"/>
    </row>
    <row r="115" spans="1:14" s="2" customFormat="1" x14ac:dyDescent="0.2">
      <c r="A115" s="24"/>
      <c r="B115" s="1"/>
      <c r="C115" s="14"/>
      <c r="D115" s="25"/>
      <c r="G115" s="1"/>
      <c r="L115" s="1"/>
      <c r="M115" s="1"/>
    </row>
    <row r="116" spans="1:14" s="2" customFormat="1" x14ac:dyDescent="0.2">
      <c r="A116" s="24"/>
      <c r="B116" s="1"/>
      <c r="C116" s="14"/>
      <c r="D116" s="25"/>
      <c r="G116" s="1"/>
      <c r="L116" s="1"/>
      <c r="M116" s="1"/>
    </row>
    <row r="117" spans="1:14" s="2" customFormat="1" x14ac:dyDescent="0.2">
      <c r="A117" s="24"/>
      <c r="B117" s="1"/>
      <c r="C117" s="14"/>
      <c r="D117" s="25"/>
      <c r="G117" s="1"/>
      <c r="L117" s="1"/>
      <c r="M117" s="1"/>
    </row>
    <row r="118" spans="1:14" s="2" customFormat="1" x14ac:dyDescent="0.2">
      <c r="A118" s="24"/>
      <c r="B118" s="1"/>
      <c r="C118" s="14"/>
      <c r="D118" s="25"/>
      <c r="G118" s="1"/>
      <c r="I118" s="1"/>
      <c r="J118" s="1"/>
      <c r="K118" s="1"/>
      <c r="L118" s="1"/>
      <c r="M118" s="1"/>
    </row>
    <row r="119" spans="1:14" s="2" customFormat="1" x14ac:dyDescent="0.2">
      <c r="A119" s="24"/>
      <c r="B119" s="1"/>
      <c r="C119" s="14"/>
      <c r="D119" s="25"/>
      <c r="G119" s="1"/>
    </row>
    <row r="120" spans="1:14" s="2" customFormat="1" x14ac:dyDescent="0.2">
      <c r="A120" s="24"/>
      <c r="B120" s="1"/>
      <c r="C120" s="14"/>
      <c r="D120" s="25"/>
      <c r="G120" s="1"/>
      <c r="I120" s="1"/>
      <c r="J120" s="1"/>
      <c r="K120" s="1"/>
      <c r="L120" s="1"/>
      <c r="M120" s="1"/>
    </row>
    <row r="121" spans="1:14" s="2" customFormat="1" x14ac:dyDescent="0.2">
      <c r="A121" s="24"/>
      <c r="B121" s="1"/>
      <c r="C121" s="14"/>
      <c r="D121" s="25"/>
      <c r="G121" s="54"/>
      <c r="I121" s="1"/>
      <c r="J121" s="1"/>
      <c r="K121" s="1"/>
      <c r="L121" s="1"/>
      <c r="M121" s="1"/>
    </row>
    <row r="122" spans="1:14" s="2" customFormat="1" x14ac:dyDescent="0.2">
      <c r="A122" s="24"/>
      <c r="B122" s="1"/>
      <c r="C122" s="14"/>
      <c r="D122" s="25"/>
      <c r="G122" s="54"/>
      <c r="I122" s="1"/>
      <c r="J122" s="1"/>
      <c r="K122" s="1"/>
      <c r="L122" s="1"/>
      <c r="M122" s="1"/>
    </row>
    <row r="123" spans="1:14" s="2" customFormat="1" x14ac:dyDescent="0.2">
      <c r="A123" s="24"/>
      <c r="B123" s="1"/>
      <c r="C123" s="14"/>
      <c r="D123" s="25"/>
      <c r="G123" s="54"/>
      <c r="I123" s="1"/>
      <c r="J123" s="1"/>
      <c r="K123" s="1"/>
      <c r="L123" s="1"/>
      <c r="M123" s="1"/>
    </row>
    <row r="124" spans="1:14" s="2" customFormat="1" x14ac:dyDescent="0.2">
      <c r="A124" s="24"/>
      <c r="B124" s="1"/>
      <c r="C124" s="14"/>
      <c r="D124" s="25"/>
      <c r="G124" s="54"/>
      <c r="H124" s="2" t="s">
        <v>396</v>
      </c>
      <c r="I124" s="1"/>
      <c r="J124" s="1"/>
      <c r="K124" s="1"/>
      <c r="L124" s="1"/>
      <c r="M124" s="1"/>
      <c r="N124" s="1"/>
    </row>
    <row r="125" spans="1:14" s="2" customFormat="1" x14ac:dyDescent="0.2">
      <c r="A125" s="24"/>
      <c r="B125" s="1"/>
      <c r="C125" s="14"/>
      <c r="D125" s="25"/>
      <c r="G125" s="54"/>
      <c r="H125" s="53"/>
    </row>
    <row r="126" spans="1:14" s="2" customFormat="1" x14ac:dyDescent="0.2">
      <c r="A126" s="24"/>
      <c r="B126" s="1"/>
      <c r="C126" s="14"/>
      <c r="D126" s="25"/>
      <c r="G126" s="54"/>
      <c r="H126" s="53" t="s">
        <v>396</v>
      </c>
      <c r="I126" s="1"/>
      <c r="J126" s="1"/>
      <c r="K126" s="1"/>
      <c r="L126" s="1"/>
      <c r="M126" s="1"/>
      <c r="N126" s="1"/>
    </row>
    <row r="127" spans="1:14" x14ac:dyDescent="0.2">
      <c r="G127" s="54"/>
      <c r="H127" s="53" t="s">
        <v>396</v>
      </c>
      <c r="J127" s="42"/>
    </row>
    <row r="128" spans="1:14" s="2" customFormat="1" x14ac:dyDescent="0.2">
      <c r="A128" s="24"/>
      <c r="B128" s="1"/>
      <c r="C128" s="14"/>
      <c r="D128" s="25"/>
      <c r="G128" s="54"/>
      <c r="H128" s="53"/>
      <c r="I128" s="101"/>
      <c r="J128" s="1"/>
      <c r="K128" s="1"/>
      <c r="L128" s="1"/>
      <c r="M128" s="1"/>
      <c r="N128" s="1"/>
    </row>
    <row r="129" spans="7:8" x14ac:dyDescent="0.2">
      <c r="G129" s="54"/>
      <c r="H129" s="53"/>
    </row>
    <row r="130" spans="7:8" x14ac:dyDescent="0.2">
      <c r="G130" s="54"/>
      <c r="H130" s="53"/>
    </row>
    <row r="131" spans="7:8" x14ac:dyDescent="0.2">
      <c r="G131" s="54"/>
      <c r="H131" s="53"/>
    </row>
  </sheetData>
  <sheetProtection insertRows="0"/>
  <mergeCells count="6">
    <mergeCell ref="C93:F93"/>
    <mergeCell ref="A1:G1"/>
    <mergeCell ref="A3:F3"/>
    <mergeCell ref="A10:F10"/>
    <mergeCell ref="A21:F21"/>
    <mergeCell ref="A82:D82"/>
  </mergeCells>
  <conditionalFormatting sqref="G79:G80">
    <cfRule type="cellIs" dxfId="227" priority="1" operator="lessThan">
      <formula>0</formula>
    </cfRule>
  </conditionalFormatting>
  <conditionalFormatting sqref="C23">
    <cfRule type="duplicateValues" dxfId="226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100-000000000000}">
  <sheetPr codeName="Sheet473">
    <pageSetUpPr fitToPage="1"/>
  </sheetPr>
  <dimension ref="A1:N160"/>
  <sheetViews>
    <sheetView topLeftCell="B71" zoomScaleNormal="100" workbookViewId="0">
      <selection activeCell="E91" sqref="E91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1" ht="20.25" customHeight="1" x14ac:dyDescent="0.4">
      <c r="A1" s="212" t="s">
        <v>1763</v>
      </c>
      <c r="B1" s="212"/>
      <c r="C1" s="212"/>
      <c r="D1" s="212"/>
      <c r="E1" s="212"/>
      <c r="F1" s="212"/>
      <c r="G1" s="212"/>
      <c r="H1" s="112"/>
      <c r="I1" s="112"/>
    </row>
    <row r="2" spans="1:11" ht="12.75" customHeight="1" x14ac:dyDescent="0.4">
      <c r="H2" s="112"/>
      <c r="I2" s="112"/>
    </row>
    <row r="3" spans="1:11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1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1" s="2" customFormat="1" ht="14.25" customHeight="1" x14ac:dyDescent="0.4">
      <c r="A5" s="89">
        <v>45245</v>
      </c>
      <c r="B5" s="9" t="s">
        <v>6</v>
      </c>
      <c r="C5" s="10" t="s">
        <v>7</v>
      </c>
      <c r="D5" s="11"/>
      <c r="E5" s="12">
        <v>4487141.4800000023</v>
      </c>
      <c r="F5" s="12"/>
      <c r="G5" s="1"/>
      <c r="H5" s="112"/>
      <c r="I5" s="112"/>
    </row>
    <row r="6" spans="1:11" s="2" customFormat="1" ht="14.25" customHeight="1" x14ac:dyDescent="0.4">
      <c r="A6" s="89">
        <v>45245</v>
      </c>
      <c r="B6" s="9" t="s">
        <v>11</v>
      </c>
      <c r="C6" s="10" t="s">
        <v>1764</v>
      </c>
      <c r="D6" s="11" t="s">
        <v>29</v>
      </c>
      <c r="E6" s="12"/>
      <c r="F6" s="12">
        <v>3500000</v>
      </c>
      <c r="G6" s="1"/>
      <c r="H6" s="112"/>
      <c r="I6" s="112"/>
    </row>
    <row r="7" spans="1:11" s="2" customFormat="1" ht="12.75" customHeight="1" x14ac:dyDescent="0.4">
      <c r="D7" s="15" t="s">
        <v>8</v>
      </c>
      <c r="E7" s="16">
        <f>SUM(E5:E6)</f>
        <v>4487141.4800000023</v>
      </c>
      <c r="F7" s="16">
        <f>SUM(F6)</f>
        <v>3500000</v>
      </c>
      <c r="G7" s="1"/>
      <c r="H7" s="112"/>
      <c r="I7" s="112"/>
    </row>
    <row r="8" spans="1:11" s="2" customFormat="1" ht="12.75" customHeight="1" x14ac:dyDescent="0.4">
      <c r="A8" s="17"/>
      <c r="B8" s="18"/>
      <c r="C8" s="19" t="s">
        <v>9</v>
      </c>
      <c r="D8" s="20"/>
      <c r="E8" s="21">
        <f>+E7-F7</f>
        <v>987141.48000000231</v>
      </c>
      <c r="F8" s="22"/>
      <c r="G8" s="23"/>
      <c r="H8" s="112"/>
      <c r="I8" s="112"/>
      <c r="J8" s="13"/>
    </row>
    <row r="9" spans="1:11" ht="12.75" customHeight="1" x14ac:dyDescent="0.4">
      <c r="H9" s="112"/>
      <c r="I9" s="112"/>
    </row>
    <row r="10" spans="1:11" ht="18" customHeight="1" x14ac:dyDescent="0.4">
      <c r="A10" s="213" t="s">
        <v>1037</v>
      </c>
      <c r="B10" s="213"/>
      <c r="C10" s="213"/>
      <c r="D10" s="213"/>
      <c r="E10" s="213"/>
      <c r="F10" s="213"/>
      <c r="H10" s="112"/>
      <c r="I10" s="169">
        <f>90000000-60000000</f>
        <v>30000000</v>
      </c>
      <c r="J10" s="169" t="s">
        <v>1508</v>
      </c>
    </row>
    <row r="11" spans="1:11" ht="12.75" customHeight="1" x14ac:dyDescent="0.4">
      <c r="A11" s="3" t="s">
        <v>1</v>
      </c>
      <c r="B11" s="4" t="s">
        <v>2</v>
      </c>
      <c r="C11" s="5"/>
      <c r="D11" s="6" t="s">
        <v>3</v>
      </c>
      <c r="E11" s="7" t="s">
        <v>4</v>
      </c>
      <c r="F11" s="7" t="s">
        <v>5</v>
      </c>
      <c r="H11" s="112"/>
      <c r="I11" s="169">
        <v>29804953.16</v>
      </c>
      <c r="J11" s="169" t="s">
        <v>1509</v>
      </c>
      <c r="K11" s="124"/>
    </row>
    <row r="12" spans="1:11" s="2" customFormat="1" ht="14.25" customHeight="1" x14ac:dyDescent="0.2">
      <c r="A12" s="89">
        <v>45245</v>
      </c>
      <c r="B12" s="9" t="s">
        <v>6</v>
      </c>
      <c r="C12" s="10" t="s">
        <v>7</v>
      </c>
      <c r="D12" s="11"/>
      <c r="F12" s="12">
        <v>29804953.159999996</v>
      </c>
      <c r="G12" s="1"/>
      <c r="H12" s="130" t="s">
        <v>396</v>
      </c>
      <c r="I12" s="169">
        <f>+I10-I11</f>
        <v>195046.83999999985</v>
      </c>
      <c r="J12" s="169" t="s">
        <v>712</v>
      </c>
      <c r="K12" s="165" t="s">
        <v>1512</v>
      </c>
    </row>
    <row r="13" spans="1:11" s="2" customFormat="1" ht="14.25" customHeight="1" x14ac:dyDescent="0.2">
      <c r="A13" s="89">
        <v>45245</v>
      </c>
      <c r="B13" s="9" t="s">
        <v>6</v>
      </c>
      <c r="C13" s="29" t="s">
        <v>1255</v>
      </c>
      <c r="D13" s="84" t="s">
        <v>13</v>
      </c>
      <c r="E13" s="86">
        <v>2500000</v>
      </c>
      <c r="F13" s="86"/>
      <c r="G13" s="1"/>
      <c r="H13" s="130"/>
      <c r="I13" s="169"/>
      <c r="J13" s="169"/>
      <c r="K13" s="165"/>
    </row>
    <row r="14" spans="1:11" s="2" customFormat="1" ht="14.25" customHeight="1" x14ac:dyDescent="0.2">
      <c r="A14" s="89">
        <v>45245</v>
      </c>
      <c r="B14" s="9" t="s">
        <v>11</v>
      </c>
      <c r="C14" s="29" t="s">
        <v>486</v>
      </c>
      <c r="D14" s="84" t="s">
        <v>29</v>
      </c>
      <c r="E14" s="86"/>
      <c r="F14" s="86">
        <v>500000</v>
      </c>
      <c r="G14" s="1"/>
      <c r="H14" s="130"/>
      <c r="I14" s="169"/>
      <c r="J14" s="169"/>
      <c r="K14" s="165"/>
    </row>
    <row r="15" spans="1:11" s="2" customFormat="1" ht="14.25" customHeight="1" x14ac:dyDescent="0.2">
      <c r="A15" s="89">
        <v>45245</v>
      </c>
      <c r="B15" s="9" t="s">
        <v>11</v>
      </c>
      <c r="C15" s="29" t="s">
        <v>1348</v>
      </c>
      <c r="D15" s="84" t="s">
        <v>29</v>
      </c>
      <c r="E15" s="86"/>
      <c r="F15" s="86">
        <v>1500000</v>
      </c>
      <c r="G15" s="1"/>
      <c r="H15" s="130"/>
      <c r="I15" s="169"/>
      <c r="J15" s="169"/>
      <c r="K15" s="165"/>
    </row>
    <row r="16" spans="1:11" s="2" customFormat="1" ht="14.25" customHeight="1" x14ac:dyDescent="0.2">
      <c r="A16" s="89">
        <v>45245</v>
      </c>
      <c r="B16" s="9" t="s">
        <v>11</v>
      </c>
      <c r="C16" s="29" t="s">
        <v>49</v>
      </c>
      <c r="D16" s="84" t="s">
        <v>29</v>
      </c>
      <c r="E16" s="86"/>
      <c r="F16" s="86">
        <v>134402</v>
      </c>
      <c r="G16" s="1"/>
      <c r="H16" s="130"/>
      <c r="I16" s="169"/>
      <c r="J16" s="169"/>
      <c r="K16" s="165"/>
    </row>
    <row r="17" spans="1:14" s="2" customFormat="1" ht="14.25" customHeight="1" x14ac:dyDescent="0.2">
      <c r="A17" s="89">
        <v>45245</v>
      </c>
      <c r="B17" s="9" t="s">
        <v>11</v>
      </c>
      <c r="C17" s="29" t="s">
        <v>225</v>
      </c>
      <c r="D17" s="84" t="s">
        <v>29</v>
      </c>
      <c r="E17" s="86"/>
      <c r="F17" s="86">
        <v>85550</v>
      </c>
      <c r="G17" s="1"/>
      <c r="H17" s="130"/>
      <c r="I17" s="169"/>
      <c r="J17" s="169"/>
      <c r="K17" s="165"/>
    </row>
    <row r="18" spans="1:14" s="2" customFormat="1" ht="14.25" customHeight="1" x14ac:dyDescent="0.2">
      <c r="A18" s="89">
        <v>45245</v>
      </c>
      <c r="B18" s="9" t="s">
        <v>11</v>
      </c>
      <c r="C18" s="29" t="s">
        <v>937</v>
      </c>
      <c r="D18" s="84" t="s">
        <v>29</v>
      </c>
      <c r="E18" s="86"/>
      <c r="F18" s="86">
        <v>4920</v>
      </c>
      <c r="G18" s="1"/>
      <c r="H18" s="130"/>
      <c r="I18" s="169"/>
      <c r="J18" s="169"/>
      <c r="K18" s="165"/>
    </row>
    <row r="19" spans="1:14" s="2" customFormat="1" ht="14.25" customHeight="1" x14ac:dyDescent="0.2">
      <c r="A19" s="89">
        <v>45245</v>
      </c>
      <c r="B19" s="9" t="s">
        <v>11</v>
      </c>
      <c r="C19" s="29" t="s">
        <v>672</v>
      </c>
      <c r="D19" s="84" t="s">
        <v>29</v>
      </c>
      <c r="E19" s="86"/>
      <c r="F19" s="86">
        <v>2037.31</v>
      </c>
      <c r="G19" s="1"/>
      <c r="H19" s="130"/>
      <c r="I19" s="169"/>
      <c r="J19" s="169"/>
      <c r="K19" s="165"/>
    </row>
    <row r="20" spans="1:14" s="2" customFormat="1" ht="14.25" customHeight="1" x14ac:dyDescent="0.2">
      <c r="A20" s="89">
        <v>45245</v>
      </c>
      <c r="B20" s="9" t="s">
        <v>11</v>
      </c>
      <c r="C20" s="29" t="s">
        <v>1639</v>
      </c>
      <c r="D20" s="84" t="s">
        <v>29</v>
      </c>
      <c r="E20" s="86"/>
      <c r="F20" s="86">
        <v>310225</v>
      </c>
      <c r="G20" s="1"/>
      <c r="H20" s="130"/>
      <c r="I20" s="169"/>
      <c r="J20" s="169"/>
      <c r="K20" s="165"/>
    </row>
    <row r="21" spans="1:14" s="2" customFormat="1" ht="14.25" customHeight="1" x14ac:dyDescent="0.2">
      <c r="D21" s="11" t="s">
        <v>8</v>
      </c>
      <c r="E21" s="16">
        <f>SUM(E13:E20)</f>
        <v>2500000</v>
      </c>
      <c r="F21" s="16">
        <f>SUM(F12:F20)</f>
        <v>32342087.469999995</v>
      </c>
      <c r="G21" s="1"/>
      <c r="H21" s="143"/>
      <c r="I21" s="130"/>
      <c r="J21" s="143"/>
      <c r="K21" s="143"/>
      <c r="L21" s="143"/>
      <c r="M21" s="143"/>
    </row>
    <row r="22" spans="1:14" s="2" customFormat="1" ht="14.25" customHeight="1" x14ac:dyDescent="0.4">
      <c r="A22" s="17"/>
      <c r="B22" s="18"/>
      <c r="C22" s="96" t="s">
        <v>9</v>
      </c>
      <c r="D22" s="20"/>
      <c r="E22" s="21">
        <f>+F21-E21</f>
        <v>29842087.469999995</v>
      </c>
      <c r="G22" s="1"/>
      <c r="I22" s="112"/>
      <c r="J22" s="153" t="s">
        <v>779</v>
      </c>
    </row>
    <row r="23" spans="1:14" s="2" customFormat="1" ht="14.25" customHeight="1" x14ac:dyDescent="0.2">
      <c r="A23" s="36"/>
      <c r="B23" s="28" t="s">
        <v>66</v>
      </c>
      <c r="C23" s="43" t="s">
        <v>1458</v>
      </c>
      <c r="D23" s="43"/>
      <c r="E23" s="12">
        <f>30000000+60000000</f>
        <v>90000000</v>
      </c>
      <c r="F23" s="22"/>
      <c r="G23" s="1"/>
      <c r="I23" s="40">
        <v>29804953.16</v>
      </c>
      <c r="J23" s="154">
        <f>I23-E22</f>
        <v>-37134.309999994934</v>
      </c>
    </row>
    <row r="24" spans="1:14" s="2" customFormat="1" ht="14.25" customHeight="1" x14ac:dyDescent="0.25">
      <c r="A24" s="36"/>
      <c r="B24" s="28"/>
      <c r="C24" s="44" t="s">
        <v>1541</v>
      </c>
      <c r="D24" s="43"/>
      <c r="E24" s="7">
        <f>+E22+E23</f>
        <v>119842087.47</v>
      </c>
      <c r="F24" s="22"/>
      <c r="G24" s="1"/>
      <c r="H24" s="13" t="s">
        <v>1582</v>
      </c>
      <c r="I24" s="13" t="s">
        <v>1583</v>
      </c>
    </row>
    <row r="25" spans="1:14" s="2" customFormat="1" ht="14.25" customHeight="1" x14ac:dyDescent="0.25">
      <c r="A25" s="36"/>
      <c r="B25" s="28"/>
      <c r="C25" s="44" t="s">
        <v>1511</v>
      </c>
      <c r="D25" s="43"/>
      <c r="E25" s="38">
        <f>+I12</f>
        <v>195046.83999999985</v>
      </c>
      <c r="F25" s="22"/>
      <c r="G25" s="1"/>
      <c r="H25" s="2">
        <v>592146</v>
      </c>
      <c r="I25" s="2">
        <v>3429129</v>
      </c>
      <c r="J25" s="176">
        <f>H25-I25</f>
        <v>-2836983</v>
      </c>
    </row>
    <row r="26" spans="1:14" s="2" customFormat="1" ht="14.25" customHeight="1" x14ac:dyDescent="0.2">
      <c r="A26" s="24"/>
      <c r="B26" s="1"/>
      <c r="C26" s="14"/>
      <c r="D26" s="25"/>
      <c r="G26" s="1"/>
      <c r="I26" s="130"/>
      <c r="J26" s="130"/>
    </row>
    <row r="27" spans="1:14" s="2" customFormat="1" x14ac:dyDescent="0.2">
      <c r="A27" s="214" t="s">
        <v>10</v>
      </c>
      <c r="B27" s="214"/>
      <c r="C27" s="214"/>
      <c r="D27" s="214"/>
      <c r="E27" s="214"/>
      <c r="F27" s="214"/>
      <c r="G27" s="1"/>
      <c r="H27" s="159"/>
      <c r="I27" s="160">
        <f>225000000-75000000-50000000+25000000</f>
        <v>125000000</v>
      </c>
      <c r="J27" s="160" t="s">
        <v>1506</v>
      </c>
      <c r="K27" s="70"/>
    </row>
    <row r="28" spans="1:14" s="2" customFormat="1" x14ac:dyDescent="0.2">
      <c r="A28" s="26" t="s">
        <v>1</v>
      </c>
      <c r="B28" s="27" t="s">
        <v>2</v>
      </c>
      <c r="C28" s="5"/>
      <c r="D28" s="6" t="s">
        <v>3</v>
      </c>
      <c r="E28" s="7" t="s">
        <v>4</v>
      </c>
      <c r="F28" s="7" t="s">
        <v>5</v>
      </c>
      <c r="G28" s="1"/>
      <c r="H28" s="159"/>
      <c r="I28" s="160">
        <v>105616075.09</v>
      </c>
      <c r="J28" s="160" t="s">
        <v>1507</v>
      </c>
      <c r="K28" s="70" t="s">
        <v>1512</v>
      </c>
    </row>
    <row r="29" spans="1:14" s="2" customFormat="1" x14ac:dyDescent="0.2">
      <c r="A29" s="89">
        <v>45245</v>
      </c>
      <c r="B29" s="128" t="s">
        <v>11</v>
      </c>
      <c r="C29" s="29" t="s">
        <v>7</v>
      </c>
      <c r="D29" s="25"/>
      <c r="E29" s="31"/>
      <c r="F29" s="2">
        <v>108453058.09000009</v>
      </c>
      <c r="G29" s="23"/>
      <c r="H29" s="159" t="s">
        <v>1505</v>
      </c>
      <c r="I29" s="160">
        <f>+I27-I28</f>
        <v>19383924.909999996</v>
      </c>
      <c r="J29" s="160"/>
      <c r="K29" s="70"/>
    </row>
    <row r="30" spans="1:14" s="2" customFormat="1" x14ac:dyDescent="0.2">
      <c r="A30" s="89">
        <v>45245</v>
      </c>
      <c r="B30" s="128" t="s">
        <v>6</v>
      </c>
      <c r="C30" s="10" t="s">
        <v>15</v>
      </c>
      <c r="D30" s="11" t="s">
        <v>13</v>
      </c>
      <c r="E30" s="86">
        <v>148986.34999999998</v>
      </c>
      <c r="F30" s="70"/>
      <c r="G30" s="1"/>
      <c r="N30" s="1"/>
    </row>
    <row r="31" spans="1:14" s="2" customFormat="1" x14ac:dyDescent="0.2">
      <c r="A31" s="89">
        <v>45245</v>
      </c>
      <c r="B31" s="128" t="s">
        <v>6</v>
      </c>
      <c r="C31" s="10" t="s">
        <v>120</v>
      </c>
      <c r="D31" s="11" t="s">
        <v>13</v>
      </c>
      <c r="E31" s="86">
        <v>15000916</v>
      </c>
      <c r="F31" s="70"/>
      <c r="G31" s="1"/>
      <c r="N31" s="1"/>
    </row>
    <row r="32" spans="1:14" s="2" customFormat="1" x14ac:dyDescent="0.2">
      <c r="A32" s="89">
        <v>45245</v>
      </c>
      <c r="B32" s="128" t="s">
        <v>6</v>
      </c>
      <c r="C32" s="10" t="s">
        <v>391</v>
      </c>
      <c r="D32" s="11" t="s">
        <v>13</v>
      </c>
      <c r="E32" s="86">
        <v>4799</v>
      </c>
      <c r="F32" s="70"/>
      <c r="G32" s="1"/>
      <c r="N32" s="1"/>
    </row>
    <row r="33" spans="1:14" s="2" customFormat="1" x14ac:dyDescent="0.2">
      <c r="A33" s="89">
        <v>45245</v>
      </c>
      <c r="B33" s="128" t="s">
        <v>6</v>
      </c>
      <c r="C33" s="10" t="s">
        <v>947</v>
      </c>
      <c r="D33" s="11" t="s">
        <v>13</v>
      </c>
      <c r="E33" s="86">
        <v>960544</v>
      </c>
      <c r="F33" s="70"/>
      <c r="G33" s="1"/>
      <c r="N33" s="1"/>
    </row>
    <row r="34" spans="1:14" s="2" customFormat="1" x14ac:dyDescent="0.2">
      <c r="A34" s="89">
        <v>45245</v>
      </c>
      <c r="B34" s="128" t="s">
        <v>6</v>
      </c>
      <c r="C34" s="10" t="s">
        <v>164</v>
      </c>
      <c r="D34" s="11" t="s">
        <v>13</v>
      </c>
      <c r="E34" s="86">
        <v>2000000</v>
      </c>
      <c r="F34" s="70"/>
      <c r="G34" s="1"/>
      <c r="N34" s="1"/>
    </row>
    <row r="35" spans="1:14" s="2" customFormat="1" x14ac:dyDescent="0.2">
      <c r="A35" s="89">
        <v>45245</v>
      </c>
      <c r="B35" s="128" t="s">
        <v>6</v>
      </c>
      <c r="C35" s="10" t="s">
        <v>1332</v>
      </c>
      <c r="D35" s="11" t="s">
        <v>13</v>
      </c>
      <c r="E35" s="86">
        <v>299644</v>
      </c>
      <c r="F35" s="70"/>
      <c r="G35" s="1"/>
      <c r="N35" s="1"/>
    </row>
    <row r="36" spans="1:14" s="2" customFormat="1" x14ac:dyDescent="0.2">
      <c r="A36" s="89">
        <v>45245</v>
      </c>
      <c r="B36" s="128" t="s">
        <v>6</v>
      </c>
      <c r="C36" s="10" t="s">
        <v>675</v>
      </c>
      <c r="D36" s="11" t="s">
        <v>13</v>
      </c>
      <c r="E36" s="86">
        <v>50000</v>
      </c>
      <c r="F36" s="70"/>
      <c r="G36" s="1"/>
      <c r="N36" s="1"/>
    </row>
    <row r="37" spans="1:14" s="2" customFormat="1" x14ac:dyDescent="0.2">
      <c r="A37" s="89">
        <v>45245</v>
      </c>
      <c r="B37" s="128" t="s">
        <v>6</v>
      </c>
      <c r="C37" s="10" t="s">
        <v>238</v>
      </c>
      <c r="D37" s="11" t="s">
        <v>13</v>
      </c>
      <c r="E37" s="86">
        <v>650000</v>
      </c>
      <c r="F37" s="70"/>
      <c r="G37" s="1"/>
      <c r="N37" s="1"/>
    </row>
    <row r="38" spans="1:14" s="2" customFormat="1" x14ac:dyDescent="0.2">
      <c r="A38" s="89">
        <v>45245</v>
      </c>
      <c r="B38" s="128" t="s">
        <v>6</v>
      </c>
      <c r="C38" s="10" t="s">
        <v>1765</v>
      </c>
      <c r="D38" s="11" t="s">
        <v>13</v>
      </c>
      <c r="E38" s="86">
        <v>1110161</v>
      </c>
      <c r="F38" s="70"/>
      <c r="G38" s="1"/>
      <c r="N38" s="1"/>
    </row>
    <row r="39" spans="1:14" s="2" customFormat="1" x14ac:dyDescent="0.2">
      <c r="A39" s="89">
        <v>45245</v>
      </c>
      <c r="B39" s="128" t="s">
        <v>6</v>
      </c>
      <c r="C39" s="10" t="s">
        <v>418</v>
      </c>
      <c r="D39" s="11" t="s">
        <v>13</v>
      </c>
      <c r="E39" s="86">
        <v>6195</v>
      </c>
      <c r="F39" s="70"/>
      <c r="G39" s="1"/>
      <c r="N39" s="1"/>
    </row>
    <row r="40" spans="1:14" s="2" customFormat="1" x14ac:dyDescent="0.2">
      <c r="A40" s="89">
        <v>45245</v>
      </c>
      <c r="B40" s="128" t="s">
        <v>6</v>
      </c>
      <c r="C40" s="10" t="s">
        <v>1396</v>
      </c>
      <c r="D40" s="11" t="s">
        <v>13</v>
      </c>
      <c r="E40" s="86">
        <v>78160</v>
      </c>
      <c r="F40" s="70"/>
      <c r="G40" s="1"/>
      <c r="N40" s="1"/>
    </row>
    <row r="41" spans="1:14" s="2" customFormat="1" x14ac:dyDescent="0.2">
      <c r="A41" s="89">
        <v>45245</v>
      </c>
      <c r="B41" s="128" t="s">
        <v>6</v>
      </c>
      <c r="C41" s="10" t="s">
        <v>402</v>
      </c>
      <c r="D41" s="11" t="s">
        <v>13</v>
      </c>
      <c r="E41" s="86">
        <v>3500000</v>
      </c>
      <c r="F41" s="70"/>
      <c r="G41" s="1"/>
      <c r="N41" s="1"/>
    </row>
    <row r="42" spans="1:14" s="2" customFormat="1" x14ac:dyDescent="0.2">
      <c r="A42" s="89">
        <v>45245</v>
      </c>
      <c r="B42" s="128" t="s">
        <v>6</v>
      </c>
      <c r="C42" s="10" t="s">
        <v>332</v>
      </c>
      <c r="D42" s="11" t="s">
        <v>13</v>
      </c>
      <c r="E42" s="86">
        <v>34881</v>
      </c>
      <c r="F42" s="70"/>
      <c r="G42" s="1"/>
      <c r="N42" s="1"/>
    </row>
    <row r="43" spans="1:14" s="2" customFormat="1" x14ac:dyDescent="0.2">
      <c r="A43" s="89">
        <v>45245</v>
      </c>
      <c r="B43" s="128" t="s">
        <v>6</v>
      </c>
      <c r="C43" s="10" t="s">
        <v>966</v>
      </c>
      <c r="D43" s="11" t="s">
        <v>13</v>
      </c>
      <c r="E43" s="86">
        <v>13125</v>
      </c>
      <c r="F43" s="70"/>
      <c r="G43" s="1"/>
      <c r="N43" s="1"/>
    </row>
    <row r="44" spans="1:14" s="2" customFormat="1" x14ac:dyDescent="0.2">
      <c r="A44" s="89">
        <v>45245</v>
      </c>
      <c r="B44" s="128" t="s">
        <v>6</v>
      </c>
      <c r="C44" s="10" t="s">
        <v>219</v>
      </c>
      <c r="D44" s="11" t="s">
        <v>13</v>
      </c>
      <c r="E44" s="86">
        <v>371580</v>
      </c>
      <c r="F44" s="70"/>
      <c r="G44" s="1"/>
      <c r="N44" s="1"/>
    </row>
    <row r="45" spans="1:14" s="2" customFormat="1" x14ac:dyDescent="0.2">
      <c r="A45" s="89">
        <v>45245</v>
      </c>
      <c r="B45" s="128" t="s">
        <v>6</v>
      </c>
      <c r="C45" s="10" t="s">
        <v>318</v>
      </c>
      <c r="D45" s="11" t="s">
        <v>13</v>
      </c>
      <c r="E45" s="86">
        <v>487877</v>
      </c>
      <c r="F45" s="70"/>
      <c r="G45" s="1"/>
      <c r="N45" s="1"/>
    </row>
    <row r="46" spans="1:14" s="2" customFormat="1" x14ac:dyDescent="0.2">
      <c r="A46" s="89">
        <v>45245</v>
      </c>
      <c r="B46" s="128" t="s">
        <v>6</v>
      </c>
      <c r="C46" s="10" t="s">
        <v>746</v>
      </c>
      <c r="D46" s="11" t="s">
        <v>13</v>
      </c>
      <c r="E46" s="86">
        <v>450000</v>
      </c>
      <c r="F46" s="70"/>
      <c r="G46" s="1"/>
      <c r="N46" s="1"/>
    </row>
    <row r="47" spans="1:14" s="2" customFormat="1" x14ac:dyDescent="0.2">
      <c r="A47" s="89">
        <v>45245</v>
      </c>
      <c r="B47" s="128" t="s">
        <v>6</v>
      </c>
      <c r="C47" s="10" t="s">
        <v>1155</v>
      </c>
      <c r="D47" s="11" t="s">
        <v>13</v>
      </c>
      <c r="E47" s="86">
        <v>25000000</v>
      </c>
      <c r="F47" s="70"/>
      <c r="G47" s="1"/>
      <c r="N47" s="1"/>
    </row>
    <row r="48" spans="1:14" s="2" customFormat="1" x14ac:dyDescent="0.2">
      <c r="A48" s="89">
        <v>45245</v>
      </c>
      <c r="B48" s="128" t="s">
        <v>6</v>
      </c>
      <c r="C48" s="10" t="s">
        <v>146</v>
      </c>
      <c r="D48" s="11" t="s">
        <v>13</v>
      </c>
      <c r="E48" s="86">
        <v>248203.68</v>
      </c>
      <c r="F48" s="70"/>
      <c r="G48" s="1"/>
      <c r="N48" s="1"/>
    </row>
    <row r="49" spans="1:14" s="2" customFormat="1" x14ac:dyDescent="0.2">
      <c r="A49" s="89">
        <v>45245</v>
      </c>
      <c r="B49" s="128" t="s">
        <v>6</v>
      </c>
      <c r="C49" s="10" t="s">
        <v>1569</v>
      </c>
      <c r="D49" s="11" t="s">
        <v>13</v>
      </c>
      <c r="E49" s="86">
        <v>639442</v>
      </c>
      <c r="F49" s="70"/>
      <c r="G49" s="1"/>
      <c r="N49" s="1"/>
    </row>
    <row r="50" spans="1:14" s="2" customFormat="1" x14ac:dyDescent="0.2">
      <c r="A50" s="89">
        <v>45245</v>
      </c>
      <c r="B50" s="128" t="s">
        <v>6</v>
      </c>
      <c r="C50" s="10" t="s">
        <v>1331</v>
      </c>
      <c r="D50" s="11" t="s">
        <v>13</v>
      </c>
      <c r="E50" s="86">
        <v>200000</v>
      </c>
      <c r="F50" s="70"/>
      <c r="G50" s="1"/>
      <c r="N50" s="1"/>
    </row>
    <row r="51" spans="1:14" s="2" customFormat="1" x14ac:dyDescent="0.2">
      <c r="A51" s="89">
        <v>45245</v>
      </c>
      <c r="B51" s="128" t="s">
        <v>6</v>
      </c>
      <c r="C51" s="10" t="s">
        <v>678</v>
      </c>
      <c r="D51" s="11" t="s">
        <v>13</v>
      </c>
      <c r="E51" s="86">
        <v>200000</v>
      </c>
      <c r="F51" s="70"/>
      <c r="G51" s="1"/>
      <c r="N51" s="1"/>
    </row>
    <row r="52" spans="1:14" s="2" customFormat="1" x14ac:dyDescent="0.2">
      <c r="A52" s="89">
        <v>45245</v>
      </c>
      <c r="B52" s="128" t="s">
        <v>6</v>
      </c>
      <c r="C52" s="10" t="s">
        <v>1592</v>
      </c>
      <c r="D52" s="11" t="s">
        <v>13</v>
      </c>
      <c r="E52" s="86">
        <v>619290</v>
      </c>
      <c r="F52" s="70"/>
      <c r="G52" s="1"/>
      <c r="N52" s="1"/>
    </row>
    <row r="53" spans="1:14" s="2" customFormat="1" x14ac:dyDescent="0.2">
      <c r="A53" s="89">
        <v>45245</v>
      </c>
      <c r="B53" s="128" t="s">
        <v>6</v>
      </c>
      <c r="C53" s="10" t="s">
        <v>480</v>
      </c>
      <c r="D53" s="11" t="s">
        <v>13</v>
      </c>
      <c r="E53" s="86">
        <v>178000</v>
      </c>
      <c r="F53" s="70"/>
      <c r="G53" s="1"/>
      <c r="N53" s="1"/>
    </row>
    <row r="54" spans="1:14" s="2" customFormat="1" x14ac:dyDescent="0.2">
      <c r="A54" s="89">
        <v>45245</v>
      </c>
      <c r="B54" s="128" t="s">
        <v>6</v>
      </c>
      <c r="C54" s="10" t="s">
        <v>1708</v>
      </c>
      <c r="D54" s="11" t="s">
        <v>13</v>
      </c>
      <c r="E54" s="86">
        <v>194198</v>
      </c>
      <c r="F54" s="70"/>
      <c r="G54" s="1"/>
      <c r="N54" s="1"/>
    </row>
    <row r="55" spans="1:14" s="2" customFormat="1" x14ac:dyDescent="0.2">
      <c r="A55" s="89">
        <v>45245</v>
      </c>
      <c r="B55" s="128" t="s">
        <v>6</v>
      </c>
      <c r="C55" s="10" t="s">
        <v>1766</v>
      </c>
      <c r="D55" s="11" t="s">
        <v>13</v>
      </c>
      <c r="E55" s="86">
        <v>250000</v>
      </c>
      <c r="F55" s="70"/>
      <c r="G55" s="1"/>
      <c r="N55" s="1"/>
    </row>
    <row r="56" spans="1:14" s="2" customFormat="1" x14ac:dyDescent="0.2">
      <c r="A56" s="89">
        <v>45245</v>
      </c>
      <c r="B56" s="128" t="s">
        <v>6</v>
      </c>
      <c r="C56" s="10" t="s">
        <v>19</v>
      </c>
      <c r="D56" s="11" t="s">
        <v>13</v>
      </c>
      <c r="E56" s="86">
        <v>35193</v>
      </c>
      <c r="F56" s="70"/>
      <c r="G56" s="1"/>
      <c r="N56" s="1"/>
    </row>
    <row r="57" spans="1:14" s="2" customFormat="1" x14ac:dyDescent="0.2">
      <c r="A57" s="89">
        <v>45245</v>
      </c>
      <c r="B57" s="128" t="s">
        <v>6</v>
      </c>
      <c r="C57" s="10" t="s">
        <v>632</v>
      </c>
      <c r="D57" s="11" t="s">
        <v>13</v>
      </c>
      <c r="E57" s="86">
        <v>3990</v>
      </c>
      <c r="F57" s="70"/>
      <c r="G57" s="1"/>
      <c r="N57" s="1"/>
    </row>
    <row r="58" spans="1:14" s="2" customFormat="1" x14ac:dyDescent="0.2">
      <c r="A58" s="89">
        <v>45245</v>
      </c>
      <c r="B58" s="128" t="s">
        <v>6</v>
      </c>
      <c r="C58" s="10" t="s">
        <v>1745</v>
      </c>
      <c r="D58" s="11" t="s">
        <v>13</v>
      </c>
      <c r="E58" s="86">
        <v>1355496</v>
      </c>
      <c r="F58" s="70"/>
      <c r="G58" s="1"/>
      <c r="N58" s="1"/>
    </row>
    <row r="59" spans="1:14" s="2" customFormat="1" x14ac:dyDescent="0.2">
      <c r="A59" s="89">
        <v>45245</v>
      </c>
      <c r="B59" s="128" t="s">
        <v>6</v>
      </c>
      <c r="C59" s="10" t="s">
        <v>1271</v>
      </c>
      <c r="D59" s="11" t="s">
        <v>13</v>
      </c>
      <c r="E59" s="86">
        <v>200000</v>
      </c>
      <c r="F59" s="70"/>
      <c r="G59" s="1"/>
      <c r="N59" s="1"/>
    </row>
    <row r="60" spans="1:14" s="2" customFormat="1" x14ac:dyDescent="0.2">
      <c r="A60" s="89">
        <v>45245</v>
      </c>
      <c r="B60" s="128" t="s">
        <v>6</v>
      </c>
      <c r="C60" s="10" t="s">
        <v>101</v>
      </c>
      <c r="D60" s="11" t="s">
        <v>13</v>
      </c>
      <c r="E60" s="86">
        <v>97005</v>
      </c>
      <c r="F60" s="70"/>
      <c r="G60" s="1"/>
      <c r="N60" s="1"/>
    </row>
    <row r="61" spans="1:14" s="2" customFormat="1" x14ac:dyDescent="0.2">
      <c r="A61" s="89">
        <v>45245</v>
      </c>
      <c r="B61" s="128" t="s">
        <v>6</v>
      </c>
      <c r="C61" s="10" t="s">
        <v>336</v>
      </c>
      <c r="D61" s="11" t="s">
        <v>13</v>
      </c>
      <c r="E61" s="86">
        <v>26251</v>
      </c>
      <c r="F61" s="70"/>
      <c r="G61" s="1"/>
      <c r="N61" s="1"/>
    </row>
    <row r="62" spans="1:14" s="2" customFormat="1" x14ac:dyDescent="0.2">
      <c r="A62" s="89">
        <v>45245</v>
      </c>
      <c r="B62" s="128" t="s">
        <v>6</v>
      </c>
      <c r="C62" s="10" t="s">
        <v>261</v>
      </c>
      <c r="D62" s="11" t="s">
        <v>13</v>
      </c>
      <c r="E62" s="86">
        <v>272982</v>
      </c>
      <c r="F62" s="70"/>
      <c r="G62" s="1"/>
      <c r="N62" s="1"/>
    </row>
    <row r="63" spans="1:14" s="2" customFormat="1" x14ac:dyDescent="0.2">
      <c r="A63" s="89">
        <v>45245</v>
      </c>
      <c r="B63" s="128" t="s">
        <v>6</v>
      </c>
      <c r="C63" s="10" t="s">
        <v>16</v>
      </c>
      <c r="D63" s="11" t="s">
        <v>29</v>
      </c>
      <c r="E63" s="86">
        <v>149063.67999999999</v>
      </c>
      <c r="F63" s="70"/>
      <c r="G63" s="40"/>
      <c r="N63" s="1"/>
    </row>
    <row r="64" spans="1:14" s="2" customFormat="1" x14ac:dyDescent="0.2">
      <c r="A64" s="89">
        <v>45245</v>
      </c>
      <c r="B64" s="128" t="s">
        <v>11</v>
      </c>
      <c r="C64" s="10" t="s">
        <v>27</v>
      </c>
      <c r="D64" s="11" t="s">
        <v>29</v>
      </c>
      <c r="E64" s="86"/>
      <c r="F64" s="70">
        <v>4032147.3000000003</v>
      </c>
      <c r="G64" s="40"/>
      <c r="N64" s="1"/>
    </row>
    <row r="65" spans="1:14" s="2" customFormat="1" x14ac:dyDescent="0.2">
      <c r="A65" s="89">
        <v>45245</v>
      </c>
      <c r="B65" s="128" t="s">
        <v>11</v>
      </c>
      <c r="C65" s="10" t="s">
        <v>216</v>
      </c>
      <c r="D65" s="11" t="s">
        <v>29</v>
      </c>
      <c r="E65" s="86"/>
      <c r="F65" s="70">
        <v>201889</v>
      </c>
      <c r="G65" s="1"/>
      <c r="N65" s="1"/>
    </row>
    <row r="66" spans="1:14" s="2" customFormat="1" x14ac:dyDescent="0.2">
      <c r="A66" s="89">
        <v>45245</v>
      </c>
      <c r="B66" s="128" t="s">
        <v>11</v>
      </c>
      <c r="C66" s="10" t="s">
        <v>218</v>
      </c>
      <c r="D66" s="11" t="s">
        <v>29</v>
      </c>
      <c r="E66" s="86"/>
      <c r="F66" s="70">
        <v>53355</v>
      </c>
      <c r="G66" s="1"/>
      <c r="N66" s="1"/>
    </row>
    <row r="67" spans="1:14" s="2" customFormat="1" x14ac:dyDescent="0.2">
      <c r="A67" s="89">
        <v>45245</v>
      </c>
      <c r="B67" s="128" t="s">
        <v>11</v>
      </c>
      <c r="C67" s="10" t="s">
        <v>217</v>
      </c>
      <c r="D67" s="11" t="s">
        <v>29</v>
      </c>
      <c r="E67" s="86"/>
      <c r="F67" s="70">
        <v>51995</v>
      </c>
      <c r="G67" s="1"/>
      <c r="N67" s="1"/>
    </row>
    <row r="68" spans="1:14" s="2" customFormat="1" x14ac:dyDescent="0.2">
      <c r="A68" s="89">
        <v>45245</v>
      </c>
      <c r="B68" s="128" t="s">
        <v>11</v>
      </c>
      <c r="C68" s="10" t="s">
        <v>156</v>
      </c>
      <c r="D68" s="11" t="s">
        <v>29</v>
      </c>
      <c r="E68" s="86"/>
      <c r="F68" s="70">
        <v>5</v>
      </c>
      <c r="G68" s="1"/>
      <c r="N68" s="1"/>
    </row>
    <row r="69" spans="1:14" s="2" customFormat="1" x14ac:dyDescent="0.2">
      <c r="A69" s="89">
        <v>45245</v>
      </c>
      <c r="B69" s="128" t="s">
        <v>11</v>
      </c>
      <c r="C69" s="10" t="s">
        <v>64</v>
      </c>
      <c r="D69" s="11" t="s">
        <v>29</v>
      </c>
      <c r="E69" s="86"/>
      <c r="F69" s="70">
        <v>4651.76</v>
      </c>
      <c r="G69" s="1"/>
      <c r="N69" s="1"/>
    </row>
    <row r="70" spans="1:14" s="2" customFormat="1" x14ac:dyDescent="0.2">
      <c r="A70" s="89">
        <v>45245</v>
      </c>
      <c r="B70" s="128" t="s">
        <v>11</v>
      </c>
      <c r="C70" s="10" t="s">
        <v>1181</v>
      </c>
      <c r="D70" s="11" t="s">
        <v>29</v>
      </c>
      <c r="E70" s="86"/>
      <c r="F70" s="70">
        <v>55480</v>
      </c>
      <c r="G70" s="1"/>
      <c r="N70" s="1"/>
    </row>
    <row r="71" spans="1:14" s="2" customFormat="1" x14ac:dyDescent="0.2">
      <c r="A71" s="89">
        <v>45245</v>
      </c>
      <c r="B71" s="128" t="s">
        <v>11</v>
      </c>
      <c r="C71" s="10" t="s">
        <v>107</v>
      </c>
      <c r="D71" s="11" t="s">
        <v>29</v>
      </c>
      <c r="E71" s="86"/>
      <c r="F71" s="70">
        <v>1380942.2999999998</v>
      </c>
      <c r="G71" s="1"/>
      <c r="N71" s="1"/>
    </row>
    <row r="72" spans="1:14" s="2" customFormat="1" x14ac:dyDescent="0.2">
      <c r="A72" s="89">
        <v>45245</v>
      </c>
      <c r="B72" s="128" t="s">
        <v>11</v>
      </c>
      <c r="C72" s="10" t="s">
        <v>723</v>
      </c>
      <c r="D72" s="11" t="s">
        <v>29</v>
      </c>
      <c r="E72" s="86"/>
      <c r="F72" s="70">
        <v>3020285.36</v>
      </c>
      <c r="G72" s="1"/>
      <c r="N72" s="1"/>
    </row>
    <row r="73" spans="1:14" s="2" customFormat="1" x14ac:dyDescent="0.2">
      <c r="A73" s="89">
        <v>45245</v>
      </c>
      <c r="B73" s="128" t="s">
        <v>11</v>
      </c>
      <c r="C73" s="10" t="s">
        <v>111</v>
      </c>
      <c r="D73" s="11" t="s">
        <v>29</v>
      </c>
      <c r="E73" s="86"/>
      <c r="F73" s="70">
        <v>8468033.0600000005</v>
      </c>
      <c r="G73" s="1"/>
      <c r="N73" s="1"/>
    </row>
    <row r="74" spans="1:14" s="2" customFormat="1" x14ac:dyDescent="0.2">
      <c r="A74" s="89">
        <v>45245</v>
      </c>
      <c r="B74" s="128" t="s">
        <v>11</v>
      </c>
      <c r="C74" s="10" t="s">
        <v>57</v>
      </c>
      <c r="D74" s="11" t="s">
        <v>29</v>
      </c>
      <c r="E74" s="86"/>
      <c r="F74" s="70">
        <v>7000000</v>
      </c>
      <c r="G74" s="1"/>
      <c r="N74" s="1"/>
    </row>
    <row r="75" spans="1:14" s="2" customFormat="1" x14ac:dyDescent="0.2">
      <c r="A75" s="89">
        <v>45245</v>
      </c>
      <c r="B75" s="128" t="s">
        <v>11</v>
      </c>
      <c r="C75" s="10" t="s">
        <v>1403</v>
      </c>
      <c r="D75" s="11" t="s">
        <v>29</v>
      </c>
      <c r="E75" s="86"/>
      <c r="F75" s="70">
        <v>3613259</v>
      </c>
      <c r="G75" s="1"/>
      <c r="N75" s="1"/>
    </row>
    <row r="76" spans="1:14" s="2" customFormat="1" x14ac:dyDescent="0.2">
      <c r="A76" s="89">
        <v>45245</v>
      </c>
      <c r="B76" s="128" t="s">
        <v>11</v>
      </c>
      <c r="C76" s="10" t="s">
        <v>199</v>
      </c>
      <c r="D76" s="11" t="s">
        <v>29</v>
      </c>
      <c r="E76" s="86"/>
      <c r="F76" s="70">
        <v>2335843</v>
      </c>
      <c r="G76" s="1"/>
      <c r="N76" s="1"/>
    </row>
    <row r="77" spans="1:14" s="2" customFormat="1" x14ac:dyDescent="0.2">
      <c r="A77" s="89">
        <v>45245</v>
      </c>
      <c r="B77" s="128" t="s">
        <v>11</v>
      </c>
      <c r="C77" s="10" t="s">
        <v>209</v>
      </c>
      <c r="D77" s="11" t="s">
        <v>29</v>
      </c>
      <c r="E77" s="86"/>
      <c r="F77" s="70">
        <v>50000</v>
      </c>
      <c r="G77" s="1"/>
      <c r="N77" s="1"/>
    </row>
    <row r="78" spans="1:14" s="2" customFormat="1" x14ac:dyDescent="0.2">
      <c r="A78" s="89">
        <v>45245</v>
      </c>
      <c r="B78" s="128" t="s">
        <v>11</v>
      </c>
      <c r="C78" s="10" t="s">
        <v>1734</v>
      </c>
      <c r="D78" s="11" t="s">
        <v>29</v>
      </c>
      <c r="E78" s="86"/>
      <c r="F78" s="70">
        <v>1169755</v>
      </c>
      <c r="G78" s="1"/>
      <c r="N78" s="1"/>
    </row>
    <row r="79" spans="1:14" s="2" customFormat="1" x14ac:dyDescent="0.2">
      <c r="A79" s="89">
        <v>45245</v>
      </c>
      <c r="B79" s="128" t="s">
        <v>11</v>
      </c>
      <c r="C79" s="10" t="s">
        <v>1746</v>
      </c>
      <c r="D79" s="11" t="s">
        <v>29</v>
      </c>
      <c r="E79" s="86"/>
      <c r="F79" s="70">
        <v>1072874</v>
      </c>
      <c r="G79" s="1"/>
      <c r="N79" s="1"/>
    </row>
    <row r="80" spans="1:14" s="2" customFormat="1" x14ac:dyDescent="0.2">
      <c r="A80" s="89">
        <v>45245</v>
      </c>
      <c r="B80" s="128" t="s">
        <v>11</v>
      </c>
      <c r="C80" s="10" t="s">
        <v>759</v>
      </c>
      <c r="D80" s="11" t="s">
        <v>29</v>
      </c>
      <c r="E80" s="86"/>
      <c r="F80" s="70">
        <v>1020389.9</v>
      </c>
      <c r="G80" s="1"/>
      <c r="N80" s="1"/>
    </row>
    <row r="81" spans="1:14" s="2" customFormat="1" x14ac:dyDescent="0.2">
      <c r="A81" s="89">
        <v>45245</v>
      </c>
      <c r="B81" s="128" t="s">
        <v>11</v>
      </c>
      <c r="C81" s="10" t="s">
        <v>764</v>
      </c>
      <c r="D81" s="11" t="s">
        <v>29</v>
      </c>
      <c r="E81" s="86"/>
      <c r="F81" s="70">
        <v>627831</v>
      </c>
      <c r="G81" s="1"/>
      <c r="N81" s="1"/>
    </row>
    <row r="82" spans="1:14" s="2" customFormat="1" x14ac:dyDescent="0.2">
      <c r="A82" s="89">
        <v>45245</v>
      </c>
      <c r="B82" s="128" t="s">
        <v>11</v>
      </c>
      <c r="C82" s="10" t="s">
        <v>765</v>
      </c>
      <c r="D82" s="11" t="s">
        <v>29</v>
      </c>
      <c r="E82" s="86"/>
      <c r="F82" s="70">
        <v>572516.5</v>
      </c>
      <c r="G82" s="1"/>
      <c r="N82" s="1"/>
    </row>
    <row r="83" spans="1:14" s="2" customFormat="1" x14ac:dyDescent="0.2">
      <c r="A83" s="89">
        <v>45245</v>
      </c>
      <c r="B83" s="128" t="s">
        <v>11</v>
      </c>
      <c r="C83" s="10" t="s">
        <v>260</v>
      </c>
      <c r="D83" s="11" t="s">
        <v>29</v>
      </c>
      <c r="E83" s="86"/>
      <c r="F83" s="70">
        <v>4267408.87</v>
      </c>
      <c r="G83" s="1"/>
      <c r="N83" s="1"/>
    </row>
    <row r="84" spans="1:14" s="2" customFormat="1" x14ac:dyDescent="0.2">
      <c r="A84" s="89">
        <v>45245</v>
      </c>
      <c r="B84" s="128" t="s">
        <v>11</v>
      </c>
      <c r="C84" s="10" t="s">
        <v>754</v>
      </c>
      <c r="D84" s="11" t="s">
        <v>29</v>
      </c>
      <c r="E84" s="86"/>
      <c r="F84" s="70">
        <v>1671709.18</v>
      </c>
      <c r="G84" s="1"/>
      <c r="N84" s="1"/>
    </row>
    <row r="85" spans="1:14" s="2" customFormat="1" x14ac:dyDescent="0.2">
      <c r="A85" s="32"/>
      <c r="B85" s="33"/>
      <c r="C85" s="14"/>
      <c r="D85" s="34"/>
      <c r="E85" s="16">
        <f>SUM(E29:E84)</f>
        <v>54835982.710000001</v>
      </c>
      <c r="F85" s="16">
        <f>SUM(F29:F84)</f>
        <v>149123428.32000011</v>
      </c>
      <c r="G85" s="1"/>
      <c r="H85" s="1"/>
      <c r="I85" s="38">
        <v>94287445.609999999</v>
      </c>
      <c r="K85" s="92">
        <f>E86-I85</f>
        <v>0</v>
      </c>
      <c r="N85" s="1"/>
    </row>
    <row r="86" spans="1:14" s="2" customFormat="1" x14ac:dyDescent="0.2">
      <c r="A86" s="36"/>
      <c r="B86" s="28" t="s">
        <v>11</v>
      </c>
      <c r="C86" s="19" t="s">
        <v>65</v>
      </c>
      <c r="D86" s="37"/>
      <c r="E86" s="38">
        <f>F85-E85</f>
        <v>94287445.610000104</v>
      </c>
      <c r="F86" s="22"/>
      <c r="G86" s="1"/>
      <c r="H86" s="1"/>
      <c r="I86" s="70"/>
      <c r="J86" s="70"/>
      <c r="K86" s="70"/>
      <c r="N86" s="1"/>
    </row>
    <row r="87" spans="1:14" s="2" customFormat="1" x14ac:dyDescent="0.2">
      <c r="A87" s="36"/>
      <c r="B87" s="28" t="s">
        <v>66</v>
      </c>
      <c r="C87" s="19" t="s">
        <v>67</v>
      </c>
      <c r="D87" s="37"/>
      <c r="E87" s="38">
        <v>6500000</v>
      </c>
      <c r="F87" s="22"/>
      <c r="G87" s="1"/>
      <c r="H87" s="70"/>
      <c r="I87" s="70"/>
      <c r="J87" s="70"/>
      <c r="K87" s="70"/>
      <c r="N87" s="1"/>
    </row>
    <row r="88" spans="1:14" s="2" customFormat="1" x14ac:dyDescent="0.2">
      <c r="A88" s="36"/>
      <c r="B88" s="28" t="s">
        <v>66</v>
      </c>
      <c r="C88" s="43" t="s">
        <v>1457</v>
      </c>
      <c r="D88" s="43"/>
      <c r="E88" s="12">
        <f>275000000+75000000+50000000-25000000</f>
        <v>375000000</v>
      </c>
      <c r="F88" s="22"/>
      <c r="G88" s="1"/>
      <c r="H88" s="70"/>
      <c r="I88" s="45">
        <v>1687.12</v>
      </c>
      <c r="J88" s="46"/>
      <c r="K88" s="46"/>
      <c r="N88" s="1"/>
    </row>
    <row r="89" spans="1:14" s="2" customFormat="1" ht="15" x14ac:dyDescent="0.25">
      <c r="A89" s="36"/>
      <c r="B89" s="28"/>
      <c r="C89" s="44" t="s">
        <v>1541</v>
      </c>
      <c r="D89" s="43"/>
      <c r="E89" s="7">
        <f>+E88+E86+E87</f>
        <v>475787445.61000013</v>
      </c>
      <c r="F89" s="22"/>
      <c r="G89" s="1"/>
      <c r="H89" s="103" t="s">
        <v>69</v>
      </c>
      <c r="I89" s="45">
        <v>-10.72</v>
      </c>
      <c r="J89" s="46"/>
      <c r="K89" s="46"/>
      <c r="N89" s="1"/>
    </row>
    <row r="90" spans="1:14" s="2" customFormat="1" ht="15" x14ac:dyDescent="0.25">
      <c r="A90" s="24"/>
      <c r="B90" s="1"/>
      <c r="C90" s="44" t="s">
        <v>1510</v>
      </c>
      <c r="D90" s="25"/>
      <c r="E90" s="156">
        <f>+I29-E87+H25-I25</f>
        <v>10046941.909999996</v>
      </c>
      <c r="G90" s="1"/>
      <c r="H90" s="35" t="s">
        <v>70</v>
      </c>
      <c r="I90" s="45">
        <v>22.98</v>
      </c>
      <c r="J90" s="46">
        <f>+I91-D93</f>
        <v>280.39999999999986</v>
      </c>
      <c r="N90" s="1"/>
    </row>
    <row r="91" spans="1:14" s="124" customFormat="1" ht="12.75" customHeight="1" x14ac:dyDescent="0.2">
      <c r="A91" s="24"/>
      <c r="B91" s="1"/>
      <c r="C91" s="56"/>
      <c r="D91" s="56"/>
      <c r="E91" s="104"/>
      <c r="F91" s="2"/>
      <c r="G91" s="166"/>
      <c r="H91" s="70"/>
      <c r="I91" s="49">
        <f>SUM(I88:I90)</f>
        <v>1699.3799999999999</v>
      </c>
      <c r="J91" s="46"/>
      <c r="K91" s="46"/>
    </row>
    <row r="92" spans="1:14" s="124" customFormat="1" ht="12.75" customHeight="1" x14ac:dyDescent="0.2">
      <c r="A92" s="24"/>
      <c r="B92" s="1"/>
      <c r="C92" s="78" t="s">
        <v>575</v>
      </c>
      <c r="D92" s="48" t="s">
        <v>576</v>
      </c>
      <c r="E92" s="104"/>
      <c r="F92" s="2"/>
      <c r="G92" s="168"/>
      <c r="H92" s="167"/>
      <c r="I92" s="167"/>
      <c r="J92" s="168"/>
    </row>
    <row r="93" spans="1:14" s="124" customFormat="1" ht="12.75" customHeight="1" x14ac:dyDescent="0.2">
      <c r="A93" s="24"/>
      <c r="B93" s="1"/>
      <c r="C93" s="47" t="s">
        <v>570</v>
      </c>
      <c r="D93" s="111">
        <v>1418.98</v>
      </c>
      <c r="E93" s="104"/>
      <c r="F93" s="2"/>
      <c r="G93" s="168"/>
      <c r="H93" s="110" t="s">
        <v>581</v>
      </c>
      <c r="I93" s="167"/>
      <c r="J93" s="168"/>
    </row>
    <row r="94" spans="1:14" s="124" customFormat="1" ht="12.75" customHeight="1" x14ac:dyDescent="0.2">
      <c r="A94" s="24"/>
      <c r="B94" s="1"/>
      <c r="C94" s="47" t="s">
        <v>931</v>
      </c>
      <c r="D94" s="111">
        <v>28.72</v>
      </c>
      <c r="E94" s="104"/>
      <c r="F94" s="2"/>
      <c r="G94" s="168"/>
      <c r="H94" s="110" t="s">
        <v>580</v>
      </c>
      <c r="I94" s="167"/>
      <c r="J94" s="168"/>
    </row>
    <row r="95" spans="1:14" s="124" customFormat="1" ht="12.75" customHeight="1" x14ac:dyDescent="0.2">
      <c r="A95" s="24"/>
      <c r="B95" s="1"/>
      <c r="C95" s="47" t="s">
        <v>572</v>
      </c>
      <c r="D95" s="111">
        <f>+D120/100000</f>
        <v>204.3038195</v>
      </c>
      <c r="E95" s="104"/>
      <c r="F95" s="2"/>
      <c r="G95" s="166"/>
      <c r="H95" s="90" t="s">
        <v>587</v>
      </c>
      <c r="I95" s="167"/>
      <c r="J95" s="168"/>
    </row>
    <row r="96" spans="1:14" s="2" customFormat="1" x14ac:dyDescent="0.2">
      <c r="A96" s="24"/>
      <c r="B96" s="1"/>
      <c r="C96" s="108" t="s">
        <v>578</v>
      </c>
      <c r="D96" s="48">
        <f>SUM(D93:D95)</f>
        <v>1652.0038195</v>
      </c>
      <c r="E96" s="104"/>
      <c r="G96" s="30"/>
      <c r="I96" s="13"/>
      <c r="J96" s="13"/>
    </row>
    <row r="97" spans="1:14" s="70" customFormat="1" x14ac:dyDescent="0.2">
      <c r="A97" s="24"/>
      <c r="B97" s="1"/>
      <c r="C97" s="47"/>
      <c r="D97" s="107"/>
      <c r="E97" s="104"/>
      <c r="F97" s="2"/>
      <c r="G97" s="30"/>
      <c r="H97" s="2"/>
    </row>
    <row r="98" spans="1:14" s="70" customFormat="1" x14ac:dyDescent="0.2">
      <c r="A98" s="24"/>
      <c r="B98" s="1"/>
      <c r="C98" s="47" t="s">
        <v>932</v>
      </c>
      <c r="D98" s="111">
        <v>11.99</v>
      </c>
      <c r="E98" s="104"/>
      <c r="F98" s="2"/>
      <c r="G98" s="30"/>
      <c r="H98" s="110" t="s">
        <v>581</v>
      </c>
    </row>
    <row r="99" spans="1:14" s="70" customFormat="1" x14ac:dyDescent="0.2">
      <c r="A99" s="24"/>
      <c r="B99" s="1"/>
      <c r="C99" s="136" t="s">
        <v>1142</v>
      </c>
      <c r="D99" s="111">
        <f>525.45-117.09</f>
        <v>408.36</v>
      </c>
      <c r="E99" s="104"/>
      <c r="F99" s="2"/>
      <c r="G99" s="30"/>
      <c r="H99" s="110" t="s">
        <v>581</v>
      </c>
    </row>
    <row r="100" spans="1:14" s="70" customFormat="1" x14ac:dyDescent="0.2">
      <c r="A100" s="24"/>
      <c r="B100" s="1"/>
      <c r="C100" s="78" t="s">
        <v>579</v>
      </c>
      <c r="D100" s="109">
        <f>D98+D99</f>
        <v>420.35</v>
      </c>
      <c r="E100" s="104"/>
      <c r="F100" s="2"/>
      <c r="G100" s="30"/>
    </row>
    <row r="101" spans="1:14" s="70" customFormat="1" x14ac:dyDescent="0.2">
      <c r="A101" s="24"/>
      <c r="B101" s="1"/>
      <c r="C101" s="105"/>
      <c r="D101" s="106"/>
      <c r="E101" s="104"/>
      <c r="F101" s="2"/>
      <c r="G101" s="30"/>
      <c r="I101" s="2"/>
      <c r="J101" s="114" t="s">
        <v>713</v>
      </c>
      <c r="K101" s="2"/>
      <c r="L101" s="2"/>
      <c r="M101" s="2"/>
    </row>
    <row r="102" spans="1:14" s="70" customFormat="1" x14ac:dyDescent="0.2">
      <c r="A102" s="24"/>
      <c r="B102" s="1"/>
      <c r="C102" s="78" t="s">
        <v>577</v>
      </c>
      <c r="D102" s="109">
        <f>D93+D100</f>
        <v>1839.33</v>
      </c>
      <c r="E102" s="104"/>
      <c r="F102" s="2"/>
      <c r="G102" s="30"/>
      <c r="I102" s="113"/>
      <c r="J102" s="113" t="s">
        <v>709</v>
      </c>
      <c r="K102" s="113" t="s">
        <v>710</v>
      </c>
      <c r="L102" s="113" t="s">
        <v>711</v>
      </c>
      <c r="M102" s="113" t="s">
        <v>712</v>
      </c>
    </row>
    <row r="103" spans="1:14" s="70" customFormat="1" x14ac:dyDescent="0.2">
      <c r="A103" s="24"/>
      <c r="B103" s="1"/>
      <c r="C103" s="56"/>
      <c r="D103" s="56"/>
      <c r="E103" s="104"/>
      <c r="F103" s="2"/>
      <c r="G103" s="30"/>
      <c r="I103" s="113" t="s">
        <v>706</v>
      </c>
      <c r="J103" s="115"/>
      <c r="K103" s="115">
        <v>968.99</v>
      </c>
      <c r="L103" s="115">
        <v>968.99</v>
      </c>
      <c r="M103" s="113">
        <f>+J103+L103-K103</f>
        <v>0</v>
      </c>
    </row>
    <row r="104" spans="1:14" s="70" customFormat="1" ht="38.25" x14ac:dyDescent="0.2">
      <c r="A104" s="24"/>
      <c r="B104" s="1"/>
      <c r="C104" s="79" t="str">
        <f>"Particulars ( 01-04-2021 to "&amp;TEXT(A5,"dd-mm-yyyy")&amp;" )"</f>
        <v>Particulars ( 01-04-2021 to 15-11-2023 )</v>
      </c>
      <c r="D104" s="80" t="s">
        <v>73</v>
      </c>
      <c r="E104" s="80" t="s">
        <v>74</v>
      </c>
      <c r="F104" s="81" t="s">
        <v>75</v>
      </c>
      <c r="G104" s="80" t="s">
        <v>76</v>
      </c>
      <c r="I104" s="113" t="s">
        <v>707</v>
      </c>
      <c r="J104" s="115">
        <v>183.1</v>
      </c>
      <c r="K104" s="115">
        <v>3945.44</v>
      </c>
      <c r="L104" s="115">
        <v>4132.1400000000003</v>
      </c>
      <c r="M104" s="113">
        <f>+J104+L104-K104</f>
        <v>369.80000000000064</v>
      </c>
    </row>
    <row r="105" spans="1:14" s="70" customFormat="1" x14ac:dyDescent="0.2">
      <c r="A105" s="24"/>
      <c r="B105" s="1"/>
      <c r="C105" s="50" t="s">
        <v>444</v>
      </c>
      <c r="D105" s="55">
        <f>+L103+L104+J104</f>
        <v>5284.2300000000005</v>
      </c>
      <c r="E105" s="55">
        <f>+K103+K104</f>
        <v>4914.43</v>
      </c>
      <c r="F105" s="55">
        <f>+D105-E105</f>
        <v>369.80000000000018</v>
      </c>
      <c r="G105" s="55">
        <f>1500-F105</f>
        <v>1130.1999999999998</v>
      </c>
      <c r="I105" s="113" t="s">
        <v>708</v>
      </c>
      <c r="J105" s="115">
        <v>1371.02</v>
      </c>
      <c r="K105" s="115">
        <f>14764.53+301.37</f>
        <v>15065.900000000001</v>
      </c>
      <c r="L105" s="115">
        <f>14587.38+493.23</f>
        <v>15080.609999999999</v>
      </c>
      <c r="M105" s="113">
        <f>+J105+L105-K105</f>
        <v>1385.7299999999959</v>
      </c>
    </row>
    <row r="106" spans="1:14" s="70" customFormat="1" ht="12.75" customHeight="1" x14ac:dyDescent="0.2">
      <c r="A106" s="24"/>
      <c r="B106" s="1"/>
      <c r="C106" s="50" t="s">
        <v>71</v>
      </c>
      <c r="D106" s="55">
        <f>+J105+L105</f>
        <v>16451.629999999997</v>
      </c>
      <c r="E106" s="55">
        <f>+K105</f>
        <v>15065.900000000001</v>
      </c>
      <c r="F106" s="55">
        <f>+D106-E106</f>
        <v>1385.7299999999959</v>
      </c>
      <c r="G106" s="55">
        <f>1500+700-F106</f>
        <v>814.27000000000407</v>
      </c>
      <c r="I106" s="2"/>
      <c r="J106" s="118">
        <f>SUM(J103:J105)</f>
        <v>1554.12</v>
      </c>
      <c r="K106" s="118">
        <f>SUM(K103:K105)</f>
        <v>19980.330000000002</v>
      </c>
      <c r="L106" s="118">
        <f>SUM(L103:L105)</f>
        <v>20181.739999999998</v>
      </c>
      <c r="M106" s="118">
        <f>SUM(M103:M105)</f>
        <v>1755.5299999999966</v>
      </c>
    </row>
    <row r="107" spans="1:14" s="70" customFormat="1" ht="12.75" customHeight="1" x14ac:dyDescent="0.2">
      <c r="A107" s="24"/>
      <c r="B107" s="1"/>
      <c r="C107" s="14"/>
      <c r="D107" s="56"/>
      <c r="E107" s="13"/>
      <c r="F107" s="2"/>
      <c r="G107" s="30"/>
    </row>
    <row r="108" spans="1:14" s="70" customFormat="1" ht="12.75" customHeight="1" x14ac:dyDescent="0.2">
      <c r="A108" s="215" t="s">
        <v>80</v>
      </c>
      <c r="B108" s="216"/>
      <c r="C108" s="216"/>
      <c r="D108" s="217"/>
      <c r="E108" s="69"/>
      <c r="G108" s="30"/>
    </row>
    <row r="109" spans="1:14" s="70" customFormat="1" ht="12.75" customHeight="1" x14ac:dyDescent="0.2">
      <c r="A109" s="71" t="s">
        <v>81</v>
      </c>
      <c r="B109" s="71"/>
      <c r="C109" s="72" t="s">
        <v>82</v>
      </c>
      <c r="D109" s="73" t="s">
        <v>83</v>
      </c>
      <c r="E109" s="69"/>
      <c r="G109" s="30"/>
    </row>
    <row r="110" spans="1:14" s="70" customFormat="1" ht="12.75" customHeight="1" x14ac:dyDescent="0.2">
      <c r="A110" s="87">
        <v>45232</v>
      </c>
      <c r="B110" s="120" t="s">
        <v>6</v>
      </c>
      <c r="C110" s="75" t="s">
        <v>767</v>
      </c>
      <c r="D110" s="88">
        <v>515100</v>
      </c>
      <c r="E110" s="2"/>
      <c r="F110" s="2"/>
      <c r="G110" s="30"/>
      <c r="H110" s="2"/>
      <c r="I110" s="2"/>
      <c r="J110" s="2"/>
      <c r="K110" s="2"/>
      <c r="L110" s="41"/>
      <c r="M110" s="42"/>
      <c r="N110" s="2"/>
    </row>
    <row r="111" spans="1:14" s="70" customFormat="1" ht="12.75" customHeight="1" x14ac:dyDescent="0.2">
      <c r="A111" s="87">
        <v>45232</v>
      </c>
      <c r="B111" s="120" t="s">
        <v>6</v>
      </c>
      <c r="C111" s="75" t="s">
        <v>566</v>
      </c>
      <c r="D111" s="88">
        <v>52450</v>
      </c>
      <c r="E111" s="2"/>
      <c r="F111" s="2"/>
      <c r="G111" s="30"/>
      <c r="H111" s="2"/>
      <c r="I111" s="2"/>
      <c r="J111" s="2"/>
      <c r="K111" s="2"/>
      <c r="L111" s="41"/>
      <c r="M111" s="42"/>
      <c r="N111" s="2"/>
    </row>
    <row r="112" spans="1:14" s="70" customFormat="1" ht="12.75" customHeight="1" x14ac:dyDescent="0.2">
      <c r="A112" s="87">
        <v>45233</v>
      </c>
      <c r="B112" s="120" t="s">
        <v>6</v>
      </c>
      <c r="C112" s="75" t="s">
        <v>1084</v>
      </c>
      <c r="D112" s="88">
        <v>1833799</v>
      </c>
      <c r="E112" s="2"/>
      <c r="F112" s="2"/>
      <c r="G112" s="30"/>
      <c r="H112" s="2"/>
      <c r="I112" s="2"/>
      <c r="J112" s="2"/>
      <c r="K112" s="2"/>
      <c r="L112" s="41"/>
      <c r="M112" s="42"/>
      <c r="N112" s="2"/>
    </row>
    <row r="113" spans="1:14" s="70" customFormat="1" ht="12.75" customHeight="1" x14ac:dyDescent="0.2">
      <c r="A113" s="87">
        <v>45233</v>
      </c>
      <c r="B113" s="120" t="s">
        <v>6</v>
      </c>
      <c r="C113" s="75" t="s">
        <v>909</v>
      </c>
      <c r="D113" s="88">
        <v>366980</v>
      </c>
      <c r="E113" s="2"/>
      <c r="F113" s="2"/>
      <c r="G113" s="30"/>
      <c r="H113" s="2"/>
      <c r="I113" s="2"/>
      <c r="J113" s="2"/>
      <c r="K113" s="2"/>
      <c r="L113" s="41"/>
      <c r="M113" s="42"/>
      <c r="N113" s="2"/>
    </row>
    <row r="114" spans="1:14" s="70" customFormat="1" ht="12.75" customHeight="1" x14ac:dyDescent="0.2">
      <c r="A114" s="87">
        <v>45233</v>
      </c>
      <c r="B114" s="120" t="s">
        <v>6</v>
      </c>
      <c r="C114" s="75" t="s">
        <v>909</v>
      </c>
      <c r="D114" s="88">
        <v>30038</v>
      </c>
      <c r="E114" s="2"/>
      <c r="F114" s="2"/>
      <c r="G114" s="30"/>
      <c r="H114" s="2"/>
      <c r="I114" s="2"/>
      <c r="J114" s="2"/>
      <c r="K114" s="2"/>
      <c r="L114" s="41"/>
      <c r="M114" s="42"/>
      <c r="N114" s="2"/>
    </row>
    <row r="115" spans="1:14" s="70" customFormat="1" ht="12.75" customHeight="1" x14ac:dyDescent="0.2">
      <c r="A115" s="87">
        <v>45237</v>
      </c>
      <c r="B115" s="120" t="s">
        <v>6</v>
      </c>
      <c r="C115" s="75" t="s">
        <v>888</v>
      </c>
      <c r="D115" s="88">
        <v>14999721.949999999</v>
      </c>
      <c r="E115" s="2"/>
      <c r="F115" s="2"/>
      <c r="G115" s="30"/>
      <c r="H115" s="2"/>
      <c r="I115" s="2"/>
      <c r="J115" s="2"/>
      <c r="K115" s="2"/>
      <c r="L115" s="41"/>
      <c r="M115" s="42"/>
      <c r="N115" s="2"/>
    </row>
    <row r="116" spans="1:14" s="70" customFormat="1" ht="12.75" customHeight="1" x14ac:dyDescent="0.2">
      <c r="A116" s="87">
        <v>45238</v>
      </c>
      <c r="B116" s="120" t="s">
        <v>6</v>
      </c>
      <c r="C116" s="75" t="s">
        <v>606</v>
      </c>
      <c r="D116" s="88">
        <v>1098495</v>
      </c>
      <c r="E116" s="2"/>
      <c r="F116" s="2"/>
      <c r="G116" s="30"/>
      <c r="H116" s="2"/>
      <c r="I116" s="2"/>
      <c r="J116" s="2"/>
      <c r="K116" s="2"/>
      <c r="L116" s="41"/>
      <c r="M116" s="42"/>
      <c r="N116" s="2"/>
    </row>
    <row r="117" spans="1:14" s="70" customFormat="1" ht="12.75" customHeight="1" x14ac:dyDescent="0.2">
      <c r="A117" s="87">
        <v>45239</v>
      </c>
      <c r="B117" s="120" t="s">
        <v>6</v>
      </c>
      <c r="C117" s="75" t="s">
        <v>566</v>
      </c>
      <c r="D117" s="88">
        <f>183507+63254</f>
        <v>246761</v>
      </c>
      <c r="E117" s="2"/>
      <c r="F117" s="2"/>
      <c r="G117" s="30"/>
      <c r="H117" s="2"/>
      <c r="I117" s="2"/>
      <c r="J117" s="2"/>
      <c r="K117" s="2"/>
      <c r="L117" s="41"/>
      <c r="M117" s="42"/>
      <c r="N117" s="2"/>
    </row>
    <row r="118" spans="1:14" s="70" customFormat="1" ht="12.75" customHeight="1" x14ac:dyDescent="0.2">
      <c r="A118" s="87">
        <v>45240</v>
      </c>
      <c r="B118" s="120" t="s">
        <v>6</v>
      </c>
      <c r="C118" s="75" t="s">
        <v>767</v>
      </c>
      <c r="D118" s="88">
        <v>287037</v>
      </c>
      <c r="E118" s="2"/>
      <c r="F118" s="2"/>
      <c r="G118" s="30"/>
      <c r="H118" s="2"/>
      <c r="I118" s="2"/>
      <c r="J118" s="2"/>
      <c r="K118" s="2"/>
      <c r="L118" s="41"/>
      <c r="M118" s="42"/>
      <c r="N118" s="2"/>
    </row>
    <row r="119" spans="1:14" s="70" customFormat="1" ht="12.75" customHeight="1" x14ac:dyDescent="0.2">
      <c r="A119" s="87">
        <v>45240</v>
      </c>
      <c r="B119" s="120" t="s">
        <v>6</v>
      </c>
      <c r="C119" s="75" t="s">
        <v>1767</v>
      </c>
      <c r="D119" s="88">
        <v>1000000</v>
      </c>
      <c r="E119" s="2"/>
      <c r="F119" s="2"/>
      <c r="G119" s="30"/>
      <c r="H119" s="2"/>
      <c r="I119" s="2"/>
      <c r="J119" s="2"/>
      <c r="K119" s="2"/>
      <c r="L119" s="41"/>
      <c r="M119" s="42"/>
      <c r="N119" s="2"/>
    </row>
    <row r="120" spans="1:14" s="2" customFormat="1" x14ac:dyDescent="0.2">
      <c r="A120" s="87"/>
      <c r="B120" s="74"/>
      <c r="C120" s="75"/>
      <c r="D120" s="51">
        <f>SUM(D110:D119)</f>
        <v>20430381.949999999</v>
      </c>
      <c r="F120" s="2" t="s">
        <v>396</v>
      </c>
      <c r="G120" s="1"/>
    </row>
    <row r="121" spans="1:14" s="2" customFormat="1" x14ac:dyDescent="0.2">
      <c r="A121" s="24"/>
      <c r="B121" s="1"/>
      <c r="C121" s="14"/>
      <c r="D121" s="56"/>
      <c r="E121" s="13"/>
      <c r="G121" s="1"/>
    </row>
    <row r="122" spans="1:14" s="2" customFormat="1" x14ac:dyDescent="0.2">
      <c r="A122" s="24"/>
      <c r="B122" s="1"/>
      <c r="C122" s="218" t="s">
        <v>77</v>
      </c>
      <c r="D122" s="219"/>
      <c r="E122" s="219"/>
      <c r="F122" s="220"/>
      <c r="H122" s="2" t="s">
        <v>396</v>
      </c>
    </row>
    <row r="123" spans="1:14" s="2" customFormat="1" x14ac:dyDescent="0.2">
      <c r="A123" s="24"/>
      <c r="B123" s="1"/>
      <c r="C123" s="50"/>
      <c r="D123" s="57" t="s">
        <v>78</v>
      </c>
      <c r="E123" s="58" t="s">
        <v>79</v>
      </c>
      <c r="F123" s="57" t="s">
        <v>72</v>
      </c>
      <c r="H123" s="2" t="s">
        <v>396</v>
      </c>
    </row>
    <row r="124" spans="1:14" s="2" customFormat="1" x14ac:dyDescent="0.2">
      <c r="A124" s="24"/>
      <c r="B124" s="1"/>
      <c r="C124" s="59" t="str">
        <f>"01-11-2023 to "&amp;TEXT(A5-2,"dd-mm-yyyy")</f>
        <v>01-11-2023 to 13-11-2023</v>
      </c>
      <c r="D124" s="60">
        <v>1012.2</v>
      </c>
      <c r="E124" s="60">
        <v>207.38</v>
      </c>
      <c r="F124" s="61">
        <f>SUM(D124:E124)</f>
        <v>1219.58</v>
      </c>
    </row>
    <row r="125" spans="1:14" s="2" customFormat="1" x14ac:dyDescent="0.2">
      <c r="A125" s="24"/>
      <c r="B125" s="1"/>
      <c r="C125" s="62" t="str">
        <f>TEXT(A5-1,"dd-mm-yyyy")</f>
        <v>14-11-2023</v>
      </c>
      <c r="D125" s="60">
        <v>0</v>
      </c>
      <c r="E125" s="60">
        <v>1.3</v>
      </c>
      <c r="F125" s="61">
        <f>SUM(D125:E125)</f>
        <v>1.3</v>
      </c>
      <c r="G125" s="1"/>
      <c r="H125" s="53"/>
    </row>
    <row r="126" spans="1:14" s="2" customFormat="1" ht="13.5" thickBot="1" x14ac:dyDescent="0.25">
      <c r="A126" s="24"/>
      <c r="B126" s="1"/>
      <c r="C126" s="63" t="str">
        <f>"01-11-2023 to "&amp;TEXT(A5-1,"dd-mm-yyyy")</f>
        <v>01-11-2023 to 14-11-2023</v>
      </c>
      <c r="D126" s="64">
        <f>SUM(D124:D125)</f>
        <v>1012.2</v>
      </c>
      <c r="E126" s="64">
        <f>SUM(E124:E125)</f>
        <v>208.68</v>
      </c>
      <c r="F126" s="64">
        <f>SUM(F124:F125)</f>
        <v>1220.8799999999999</v>
      </c>
      <c r="G126" s="1"/>
      <c r="H126" s="53"/>
    </row>
    <row r="127" spans="1:14" s="2" customFormat="1" ht="13.5" thickTop="1" x14ac:dyDescent="0.2">
      <c r="A127" s="24"/>
      <c r="B127" s="1"/>
      <c r="C127" s="62"/>
      <c r="D127" s="65"/>
      <c r="E127" s="66"/>
      <c r="F127" s="67"/>
      <c r="L127" s="1"/>
      <c r="M127" s="1"/>
    </row>
    <row r="128" spans="1:14" s="2" customFormat="1" x14ac:dyDescent="0.2">
      <c r="A128" s="24"/>
      <c r="B128" s="1"/>
      <c r="C128" s="62" t="str">
        <f>"01-04-2023 to " &amp;C125</f>
        <v>01-04-2023 to 14-11-2023</v>
      </c>
      <c r="D128" s="68">
        <f>+D126+29842.21</f>
        <v>30854.41</v>
      </c>
      <c r="E128" s="68">
        <f>+E126+2549.86</f>
        <v>2758.54</v>
      </c>
      <c r="F128" s="68">
        <f>+F126+32392.07</f>
        <v>33612.949999999997</v>
      </c>
      <c r="G128" s="1"/>
      <c r="L128" s="1"/>
      <c r="M128" s="1"/>
    </row>
    <row r="129" spans="1:13" s="2" customFormat="1" x14ac:dyDescent="0.2">
      <c r="A129" s="24"/>
      <c r="B129" s="1"/>
      <c r="C129" s="52"/>
      <c r="D129" s="85"/>
      <c r="E129" s="53"/>
      <c r="F129" s="53"/>
      <c r="G129" s="1"/>
      <c r="L129" s="1"/>
      <c r="M129" s="1"/>
    </row>
    <row r="130" spans="1:13" s="2" customFormat="1" x14ac:dyDescent="0.2">
      <c r="A130" s="24"/>
      <c r="B130" s="1"/>
      <c r="C130" s="52"/>
      <c r="D130" s="85"/>
      <c r="E130" s="53"/>
      <c r="F130" s="53"/>
      <c r="G130" s="1"/>
      <c r="L130" s="1"/>
      <c r="M130" s="1"/>
    </row>
    <row r="131" spans="1:13" s="2" customFormat="1" x14ac:dyDescent="0.2">
      <c r="A131" s="24"/>
      <c r="B131" s="1"/>
      <c r="C131" s="52"/>
      <c r="D131" s="85"/>
      <c r="E131" s="53"/>
      <c r="F131" s="53"/>
      <c r="G131" s="1"/>
      <c r="L131" s="1"/>
      <c r="M131" s="1"/>
    </row>
    <row r="132" spans="1:13" s="2" customFormat="1" x14ac:dyDescent="0.2">
      <c r="A132" s="24"/>
      <c r="B132" s="1"/>
      <c r="C132" s="52"/>
      <c r="D132" s="85"/>
      <c r="E132" s="53"/>
      <c r="F132" s="53"/>
      <c r="G132" s="1"/>
      <c r="L132" s="1"/>
      <c r="M132" s="1"/>
    </row>
    <row r="133" spans="1:13" s="2" customFormat="1" x14ac:dyDescent="0.2">
      <c r="A133" s="24"/>
      <c r="B133" s="1"/>
      <c r="C133" s="14"/>
      <c r="D133" s="25">
        <f>SUM(D130:D132)</f>
        <v>0</v>
      </c>
      <c r="E133" s="2">
        <f>SUM(E130:E132)</f>
        <v>0</v>
      </c>
      <c r="G133" s="1"/>
      <c r="L133" s="1"/>
      <c r="M133" s="1"/>
    </row>
    <row r="134" spans="1:13" s="2" customFormat="1" x14ac:dyDescent="0.2">
      <c r="A134" s="24"/>
      <c r="B134" s="1"/>
      <c r="C134" s="14"/>
      <c r="D134" s="25"/>
      <c r="G134" s="1"/>
      <c r="L134" s="1"/>
      <c r="M134" s="1"/>
    </row>
    <row r="135" spans="1:13" s="2" customFormat="1" x14ac:dyDescent="0.2">
      <c r="A135" s="24"/>
      <c r="B135" s="1"/>
      <c r="C135" s="14"/>
      <c r="D135" s="25"/>
      <c r="G135" s="1"/>
      <c r="L135" s="1"/>
      <c r="M135" s="1"/>
    </row>
    <row r="136" spans="1:13" s="2" customFormat="1" x14ac:dyDescent="0.2">
      <c r="A136" s="24"/>
      <c r="B136" s="1"/>
      <c r="C136" s="14"/>
      <c r="D136" s="25"/>
      <c r="G136" s="1"/>
      <c r="L136" s="1"/>
      <c r="M136" s="1"/>
    </row>
    <row r="137" spans="1:13" s="2" customFormat="1" x14ac:dyDescent="0.2">
      <c r="A137" s="24"/>
      <c r="B137" s="1"/>
      <c r="C137" s="14"/>
      <c r="D137" s="25"/>
      <c r="G137" s="1"/>
      <c r="L137" s="1"/>
      <c r="M137" s="1"/>
    </row>
    <row r="138" spans="1:13" s="2" customFormat="1" x14ac:dyDescent="0.2">
      <c r="A138" s="24"/>
      <c r="B138" s="1"/>
      <c r="C138" s="14"/>
      <c r="D138" s="25"/>
      <c r="G138" s="1"/>
      <c r="L138" s="1"/>
      <c r="M138" s="1"/>
    </row>
    <row r="139" spans="1:13" s="2" customFormat="1" x14ac:dyDescent="0.2">
      <c r="A139" s="24"/>
      <c r="B139" s="1"/>
      <c r="C139" s="14"/>
      <c r="D139" s="25"/>
      <c r="G139" s="1"/>
      <c r="L139" s="1"/>
      <c r="M139" s="1"/>
    </row>
    <row r="140" spans="1:13" s="2" customFormat="1" x14ac:dyDescent="0.2">
      <c r="A140" s="24"/>
      <c r="B140" s="1"/>
      <c r="C140" s="14"/>
      <c r="D140" s="25"/>
      <c r="G140" s="1"/>
      <c r="L140" s="1"/>
      <c r="M140" s="1"/>
    </row>
    <row r="141" spans="1:13" s="2" customFormat="1" x14ac:dyDescent="0.2">
      <c r="A141" s="24"/>
      <c r="B141" s="1"/>
      <c r="C141" s="14"/>
      <c r="D141" s="25"/>
      <c r="G141" s="1"/>
      <c r="L141" s="1"/>
      <c r="M141" s="1"/>
    </row>
    <row r="142" spans="1:13" s="2" customFormat="1" x14ac:dyDescent="0.2">
      <c r="A142" s="24"/>
      <c r="B142" s="1"/>
      <c r="C142" s="14"/>
      <c r="D142" s="25"/>
      <c r="G142" s="1"/>
      <c r="L142" s="1"/>
      <c r="M142" s="1"/>
    </row>
    <row r="143" spans="1:13" s="2" customFormat="1" x14ac:dyDescent="0.2">
      <c r="A143" s="24"/>
      <c r="B143" s="1"/>
      <c r="C143" s="14"/>
      <c r="D143" s="25"/>
      <c r="G143" s="1"/>
      <c r="L143" s="1"/>
      <c r="M143" s="1"/>
    </row>
    <row r="144" spans="1:13" s="2" customFormat="1" x14ac:dyDescent="0.2">
      <c r="A144" s="24"/>
      <c r="B144" s="1"/>
      <c r="C144" s="14"/>
      <c r="D144" s="25"/>
      <c r="G144" s="1"/>
      <c r="L144" s="1"/>
      <c r="M144" s="1"/>
    </row>
    <row r="145" spans="1:14" s="2" customFormat="1" x14ac:dyDescent="0.2">
      <c r="A145" s="24"/>
      <c r="B145" s="1"/>
      <c r="C145" s="14"/>
      <c r="D145" s="25"/>
      <c r="G145" s="1"/>
      <c r="L145" s="1"/>
      <c r="M145" s="1"/>
    </row>
    <row r="146" spans="1:14" s="2" customFormat="1" x14ac:dyDescent="0.2">
      <c r="A146" s="24"/>
      <c r="B146" s="1"/>
      <c r="C146" s="14"/>
      <c r="D146" s="25"/>
      <c r="G146" s="1"/>
      <c r="L146" s="1"/>
      <c r="M146" s="1"/>
    </row>
    <row r="147" spans="1:14" s="2" customFormat="1" x14ac:dyDescent="0.2">
      <c r="A147" s="24"/>
      <c r="B147" s="1"/>
      <c r="C147" s="14"/>
      <c r="D147" s="25"/>
      <c r="G147" s="1"/>
      <c r="I147" s="1"/>
      <c r="J147" s="1"/>
      <c r="K147" s="1"/>
      <c r="L147" s="1"/>
      <c r="M147" s="1"/>
    </row>
    <row r="148" spans="1:14" s="2" customFormat="1" x14ac:dyDescent="0.2">
      <c r="A148" s="24"/>
      <c r="B148" s="1"/>
      <c r="C148" s="14"/>
      <c r="D148" s="25"/>
      <c r="G148" s="1"/>
    </row>
    <row r="149" spans="1:14" s="2" customFormat="1" x14ac:dyDescent="0.2">
      <c r="A149" s="24"/>
      <c r="B149" s="1"/>
      <c r="C149" s="14"/>
      <c r="D149" s="25"/>
      <c r="G149" s="1"/>
      <c r="I149" s="1"/>
      <c r="J149" s="1"/>
      <c r="K149" s="1"/>
      <c r="L149" s="1"/>
      <c r="M149" s="1"/>
    </row>
    <row r="150" spans="1:14" s="2" customFormat="1" x14ac:dyDescent="0.2">
      <c r="A150" s="24"/>
      <c r="B150" s="1"/>
      <c r="C150" s="14"/>
      <c r="D150" s="25"/>
      <c r="G150" s="54"/>
      <c r="I150" s="1"/>
      <c r="J150" s="1"/>
      <c r="K150" s="1"/>
      <c r="L150" s="1"/>
      <c r="M150" s="1"/>
    </row>
    <row r="151" spans="1:14" s="2" customFormat="1" x14ac:dyDescent="0.2">
      <c r="A151" s="24"/>
      <c r="B151" s="1"/>
      <c r="C151" s="14"/>
      <c r="D151" s="25"/>
      <c r="G151" s="54"/>
      <c r="I151" s="1"/>
      <c r="J151" s="1"/>
      <c r="K151" s="1"/>
      <c r="L151" s="1"/>
      <c r="M151" s="1"/>
    </row>
    <row r="152" spans="1:14" s="2" customFormat="1" x14ac:dyDescent="0.2">
      <c r="A152" s="24"/>
      <c r="B152" s="1"/>
      <c r="C152" s="14"/>
      <c r="D152" s="25"/>
      <c r="G152" s="54"/>
      <c r="I152" s="1"/>
      <c r="J152" s="1"/>
      <c r="K152" s="1"/>
      <c r="L152" s="1"/>
      <c r="M152" s="1"/>
    </row>
    <row r="153" spans="1:14" s="2" customFormat="1" x14ac:dyDescent="0.2">
      <c r="A153" s="24"/>
      <c r="B153" s="1"/>
      <c r="C153" s="14"/>
      <c r="D153" s="25"/>
      <c r="G153" s="54"/>
      <c r="H153" s="2" t="s">
        <v>396</v>
      </c>
      <c r="I153" s="1"/>
      <c r="J153" s="1"/>
      <c r="K153" s="1"/>
      <c r="L153" s="1"/>
      <c r="M153" s="1"/>
      <c r="N153" s="1"/>
    </row>
    <row r="154" spans="1:14" s="2" customFormat="1" x14ac:dyDescent="0.2">
      <c r="A154" s="24"/>
      <c r="B154" s="1"/>
      <c r="C154" s="14"/>
      <c r="D154" s="25"/>
      <c r="G154" s="54"/>
      <c r="H154" s="53"/>
    </row>
    <row r="155" spans="1:14" s="2" customFormat="1" x14ac:dyDescent="0.2">
      <c r="A155" s="24"/>
      <c r="B155" s="1"/>
      <c r="C155" s="14"/>
      <c r="D155" s="25"/>
      <c r="G155" s="54"/>
      <c r="H155" s="53" t="s">
        <v>396</v>
      </c>
      <c r="I155" s="1"/>
      <c r="J155" s="1"/>
      <c r="K155" s="1"/>
      <c r="L155" s="1"/>
      <c r="M155" s="1"/>
      <c r="N155" s="1"/>
    </row>
    <row r="156" spans="1:14" x14ac:dyDescent="0.2">
      <c r="G156" s="54"/>
      <c r="H156" s="53" t="s">
        <v>396</v>
      </c>
      <c r="J156" s="42"/>
    </row>
    <row r="157" spans="1:14" s="2" customFormat="1" x14ac:dyDescent="0.2">
      <c r="A157" s="24"/>
      <c r="B157" s="1"/>
      <c r="C157" s="14"/>
      <c r="D157" s="25"/>
      <c r="G157" s="54"/>
      <c r="H157" s="53"/>
      <c r="I157" s="101"/>
      <c r="J157" s="1"/>
      <c r="K157" s="1"/>
      <c r="L157" s="1"/>
      <c r="M157" s="1"/>
      <c r="N157" s="1"/>
    </row>
    <row r="158" spans="1:14" x14ac:dyDescent="0.2">
      <c r="G158" s="54"/>
      <c r="H158" s="53"/>
    </row>
    <row r="159" spans="1:14" x14ac:dyDescent="0.2">
      <c r="G159" s="54"/>
      <c r="H159" s="53"/>
    </row>
    <row r="160" spans="1:14" x14ac:dyDescent="0.2">
      <c r="G160" s="54"/>
      <c r="H160" s="53"/>
    </row>
  </sheetData>
  <sheetProtection insertRows="0"/>
  <mergeCells count="6">
    <mergeCell ref="C122:F122"/>
    <mergeCell ref="A1:G1"/>
    <mergeCell ref="A3:F3"/>
    <mergeCell ref="A10:F10"/>
    <mergeCell ref="A27:F27"/>
    <mergeCell ref="A108:D108"/>
  </mergeCells>
  <conditionalFormatting sqref="G105:G106">
    <cfRule type="cellIs" dxfId="225" priority="1" operator="lessThan">
      <formula>0</formula>
    </cfRule>
  </conditionalFormatting>
  <conditionalFormatting sqref="C29">
    <cfRule type="duplicateValues" dxfId="224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200-000000000000}">
  <sheetPr codeName="Sheet474">
    <pageSetUpPr fitToPage="1"/>
  </sheetPr>
  <dimension ref="A1:N120"/>
  <sheetViews>
    <sheetView zoomScaleNormal="100" workbookViewId="0">
      <selection sqref="A1:G1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3" ht="20.25" customHeight="1" x14ac:dyDescent="0.4">
      <c r="A1" s="212" t="s">
        <v>1768</v>
      </c>
      <c r="B1" s="212"/>
      <c r="C1" s="212"/>
      <c r="D1" s="212"/>
      <c r="E1" s="212"/>
      <c r="F1" s="212"/>
      <c r="G1" s="212"/>
      <c r="H1" s="112"/>
      <c r="I1" s="112"/>
    </row>
    <row r="2" spans="1:13" ht="12.75" customHeight="1" x14ac:dyDescent="0.4">
      <c r="H2" s="112"/>
      <c r="I2" s="112"/>
    </row>
    <row r="3" spans="1:13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3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3" s="2" customFormat="1" ht="14.25" customHeight="1" x14ac:dyDescent="0.4">
      <c r="A5" s="89">
        <v>45246</v>
      </c>
      <c r="B5" s="9" t="s">
        <v>6</v>
      </c>
      <c r="C5" s="10" t="s">
        <v>7</v>
      </c>
      <c r="D5" s="11"/>
      <c r="E5" s="12">
        <v>987141.48000000231</v>
      </c>
      <c r="F5" s="12"/>
      <c r="G5" s="1"/>
      <c r="H5" s="112"/>
      <c r="I5" s="112"/>
    </row>
    <row r="6" spans="1:13" s="2" customFormat="1" ht="14.25" customHeight="1" x14ac:dyDescent="0.4">
      <c r="A6" s="89">
        <v>45246</v>
      </c>
      <c r="B6" s="9" t="s">
        <v>6</v>
      </c>
      <c r="C6" s="10" t="s">
        <v>683</v>
      </c>
      <c r="D6" s="84" t="s">
        <v>13</v>
      </c>
      <c r="E6" s="12">
        <v>308528.76</v>
      </c>
      <c r="F6" s="12"/>
      <c r="G6" s="1"/>
      <c r="H6" s="112"/>
      <c r="I6" s="112"/>
    </row>
    <row r="7" spans="1:13" s="2" customFormat="1" ht="14.25" customHeight="1" x14ac:dyDescent="0.4">
      <c r="A7" s="89">
        <v>45246</v>
      </c>
      <c r="B7" s="9" t="s">
        <v>11</v>
      </c>
      <c r="C7" s="10" t="s">
        <v>1764</v>
      </c>
      <c r="D7" s="11" t="s">
        <v>29</v>
      </c>
      <c r="E7" s="12"/>
      <c r="F7" s="12">
        <v>57.82</v>
      </c>
      <c r="G7" s="1"/>
      <c r="H7" s="112"/>
      <c r="I7" s="112"/>
    </row>
    <row r="8" spans="1:13" s="2" customFormat="1" ht="12.75" customHeight="1" x14ac:dyDescent="0.4">
      <c r="D8" s="15" t="s">
        <v>8</v>
      </c>
      <c r="E8" s="16">
        <f>SUM(E5:E7)</f>
        <v>1295670.2400000023</v>
      </c>
      <c r="F8" s="16">
        <f>SUM(F7)</f>
        <v>57.82</v>
      </c>
      <c r="G8" s="1"/>
      <c r="H8" s="112"/>
      <c r="I8" s="112"/>
    </row>
    <row r="9" spans="1:13" s="2" customFormat="1" ht="12.75" customHeight="1" x14ac:dyDescent="0.4">
      <c r="A9" s="17"/>
      <c r="B9" s="18"/>
      <c r="C9" s="19" t="s">
        <v>9</v>
      </c>
      <c r="D9" s="20"/>
      <c r="E9" s="21">
        <f>+E8-F8</f>
        <v>1295612.4200000023</v>
      </c>
      <c r="F9" s="22"/>
      <c r="G9" s="23"/>
      <c r="H9" s="112"/>
      <c r="I9" s="112"/>
      <c r="J9" s="13"/>
    </row>
    <row r="10" spans="1:13" ht="12.75" customHeight="1" x14ac:dyDescent="0.4">
      <c r="H10" s="112"/>
      <c r="I10" s="112"/>
    </row>
    <row r="11" spans="1:13" ht="18" customHeight="1" x14ac:dyDescent="0.4">
      <c r="A11" s="213" t="s">
        <v>1037</v>
      </c>
      <c r="B11" s="213"/>
      <c r="C11" s="213"/>
      <c r="D11" s="213"/>
      <c r="E11" s="213"/>
      <c r="F11" s="213"/>
      <c r="H11" s="112"/>
      <c r="I11" s="169">
        <f>90000000-60000000</f>
        <v>30000000</v>
      </c>
      <c r="J11" s="169" t="s">
        <v>1508</v>
      </c>
    </row>
    <row r="12" spans="1:13" ht="12.75" customHeight="1" x14ac:dyDescent="0.4">
      <c r="A12" s="3" t="s">
        <v>1</v>
      </c>
      <c r="B12" s="4" t="s">
        <v>2</v>
      </c>
      <c r="C12" s="5"/>
      <c r="D12" s="6" t="s">
        <v>3</v>
      </c>
      <c r="E12" s="7" t="s">
        <v>4</v>
      </c>
      <c r="F12" s="7" t="s">
        <v>5</v>
      </c>
      <c r="H12" s="112"/>
      <c r="I12" s="169">
        <v>29842087.469999999</v>
      </c>
      <c r="J12" s="169" t="s">
        <v>1509</v>
      </c>
      <c r="K12" s="124"/>
    </row>
    <row r="13" spans="1:13" s="2" customFormat="1" ht="14.25" customHeight="1" x14ac:dyDescent="0.2">
      <c r="A13" s="89">
        <v>45246</v>
      </c>
      <c r="B13" s="9" t="s">
        <v>6</v>
      </c>
      <c r="C13" s="10" t="s">
        <v>7</v>
      </c>
      <c r="D13" s="11"/>
      <c r="F13" s="12">
        <v>29842087.469999995</v>
      </c>
      <c r="G13" s="1"/>
      <c r="H13" s="130" t="s">
        <v>396</v>
      </c>
      <c r="I13" s="169">
        <f>+I11-I12</f>
        <v>157912.53000000119</v>
      </c>
      <c r="J13" s="169" t="s">
        <v>712</v>
      </c>
      <c r="K13" s="165" t="s">
        <v>1512</v>
      </c>
    </row>
    <row r="14" spans="1:13" s="2" customFormat="1" ht="14.25" customHeight="1" x14ac:dyDescent="0.2">
      <c r="D14" s="11" t="s">
        <v>8</v>
      </c>
      <c r="E14" s="16">
        <f>E13</f>
        <v>0</v>
      </c>
      <c r="F14" s="16">
        <f>SUM(F13:F13)</f>
        <v>29842087.469999995</v>
      </c>
      <c r="G14" s="1"/>
      <c r="H14" s="143"/>
      <c r="I14" s="130"/>
      <c r="J14" s="143"/>
      <c r="K14" s="143"/>
      <c r="L14" s="143"/>
      <c r="M14" s="143"/>
    </row>
    <row r="15" spans="1:13" s="2" customFormat="1" ht="14.25" customHeight="1" x14ac:dyDescent="0.4">
      <c r="A15" s="17"/>
      <c r="B15" s="18"/>
      <c r="C15" s="96" t="s">
        <v>9</v>
      </c>
      <c r="D15" s="20"/>
      <c r="E15" s="21">
        <f>+F14-E14</f>
        <v>29842087.469999995</v>
      </c>
      <c r="G15" s="1"/>
      <c r="I15" s="112"/>
      <c r="J15" s="153" t="s">
        <v>779</v>
      </c>
    </row>
    <row r="16" spans="1:13" s="2" customFormat="1" ht="14.25" customHeight="1" x14ac:dyDescent="0.2">
      <c r="A16" s="36"/>
      <c r="B16" s="28" t="s">
        <v>66</v>
      </c>
      <c r="C16" s="43" t="s">
        <v>1458</v>
      </c>
      <c r="D16" s="43"/>
      <c r="E16" s="12">
        <f>30000000+60000000</f>
        <v>90000000</v>
      </c>
      <c r="F16" s="22"/>
      <c r="G16" s="1"/>
      <c r="I16" s="40">
        <v>29842087.469999999</v>
      </c>
      <c r="J16" s="154">
        <f>I16-E15</f>
        <v>0</v>
      </c>
    </row>
    <row r="17" spans="1:14" s="2" customFormat="1" ht="14.25" customHeight="1" x14ac:dyDescent="0.25">
      <c r="A17" s="36"/>
      <c r="B17" s="28"/>
      <c r="C17" s="44" t="s">
        <v>1541</v>
      </c>
      <c r="D17" s="43"/>
      <c r="E17" s="7">
        <f>+E15+E16</f>
        <v>119842087.47</v>
      </c>
      <c r="F17" s="22"/>
      <c r="G17" s="1"/>
      <c r="H17" s="13" t="s">
        <v>1582</v>
      </c>
      <c r="I17" s="13" t="s">
        <v>1583</v>
      </c>
    </row>
    <row r="18" spans="1:14" s="2" customFormat="1" ht="14.25" customHeight="1" x14ac:dyDescent="0.25">
      <c r="A18" s="36"/>
      <c r="B18" s="28"/>
      <c r="C18" s="44" t="s">
        <v>1511</v>
      </c>
      <c r="D18" s="43"/>
      <c r="E18" s="38">
        <f>+I13</f>
        <v>157912.53000000119</v>
      </c>
      <c r="F18" s="22"/>
      <c r="G18" s="1"/>
      <c r="H18" s="2">
        <v>2223120</v>
      </c>
      <c r="I18" s="2">
        <v>2039559.55</v>
      </c>
      <c r="J18" s="176">
        <f>H18-I18</f>
        <v>183560.44999999995</v>
      </c>
    </row>
    <row r="19" spans="1:14" s="2" customFormat="1" ht="14.25" customHeight="1" x14ac:dyDescent="0.2">
      <c r="A19" s="24"/>
      <c r="B19" s="1"/>
      <c r="C19" s="14"/>
      <c r="D19" s="25"/>
      <c r="G19" s="1"/>
      <c r="I19" s="130"/>
      <c r="J19" s="130"/>
    </row>
    <row r="20" spans="1:14" s="2" customFormat="1" x14ac:dyDescent="0.2">
      <c r="A20" s="214" t="s">
        <v>10</v>
      </c>
      <c r="B20" s="214"/>
      <c r="C20" s="214"/>
      <c r="D20" s="214"/>
      <c r="E20" s="214"/>
      <c r="F20" s="214"/>
      <c r="G20" s="1"/>
      <c r="H20" s="159"/>
      <c r="I20" s="160">
        <f>225000000-75000000-50000000</f>
        <v>100000000</v>
      </c>
      <c r="J20" s="160" t="s">
        <v>1506</v>
      </c>
      <c r="K20" s="70"/>
    </row>
    <row r="21" spans="1:14" s="2" customFormat="1" x14ac:dyDescent="0.2">
      <c r="A21" s="26" t="s">
        <v>1</v>
      </c>
      <c r="B21" s="27" t="s">
        <v>2</v>
      </c>
      <c r="C21" s="5"/>
      <c r="D21" s="6" t="s">
        <v>3</v>
      </c>
      <c r="E21" s="7" t="s">
        <v>4</v>
      </c>
      <c r="F21" s="7" t="s">
        <v>5</v>
      </c>
      <c r="G21" s="1"/>
      <c r="H21" s="159"/>
      <c r="I21" s="160">
        <v>91164114.799999997</v>
      </c>
      <c r="J21" s="160" t="s">
        <v>1507</v>
      </c>
      <c r="K21" s="70" t="s">
        <v>1512</v>
      </c>
    </row>
    <row r="22" spans="1:14" s="2" customFormat="1" x14ac:dyDescent="0.2">
      <c r="A22" s="89">
        <v>45246</v>
      </c>
      <c r="B22" s="128" t="s">
        <v>11</v>
      </c>
      <c r="C22" s="29" t="s">
        <v>7</v>
      </c>
      <c r="D22" s="25"/>
      <c r="E22" s="31"/>
      <c r="F22" s="2">
        <v>94287445.610000104</v>
      </c>
      <c r="G22" s="23"/>
      <c r="H22" s="159" t="s">
        <v>1505</v>
      </c>
      <c r="I22" s="160">
        <f>+I20-I21</f>
        <v>8835885.200000003</v>
      </c>
      <c r="J22" s="160"/>
      <c r="K22" s="70"/>
    </row>
    <row r="23" spans="1:14" s="2" customFormat="1" x14ac:dyDescent="0.2">
      <c r="A23" s="89">
        <v>45246</v>
      </c>
      <c r="B23" s="128" t="s">
        <v>6</v>
      </c>
      <c r="C23" s="10" t="s">
        <v>177</v>
      </c>
      <c r="D23" s="11" t="s">
        <v>13</v>
      </c>
      <c r="E23" s="86">
        <v>1215385</v>
      </c>
      <c r="F23" s="70"/>
      <c r="G23" s="1"/>
      <c r="N23" s="1"/>
    </row>
    <row r="24" spans="1:14" s="2" customFormat="1" x14ac:dyDescent="0.2">
      <c r="A24" s="89">
        <v>45246</v>
      </c>
      <c r="B24" s="128" t="s">
        <v>6</v>
      </c>
      <c r="C24" s="10" t="s">
        <v>149</v>
      </c>
      <c r="D24" s="11" t="s">
        <v>13</v>
      </c>
      <c r="E24" s="86">
        <v>2401</v>
      </c>
      <c r="F24" s="70"/>
      <c r="G24" s="1"/>
      <c r="N24" s="1"/>
    </row>
    <row r="25" spans="1:14" s="2" customFormat="1" x14ac:dyDescent="0.2">
      <c r="A25" s="89">
        <v>45246</v>
      </c>
      <c r="B25" s="128" t="s">
        <v>6</v>
      </c>
      <c r="C25" s="10" t="s">
        <v>15</v>
      </c>
      <c r="D25" s="11" t="s">
        <v>13</v>
      </c>
      <c r="E25" s="86">
        <v>83826.81</v>
      </c>
      <c r="F25" s="70"/>
      <c r="G25" s="1"/>
      <c r="N25" s="1"/>
    </row>
    <row r="26" spans="1:14" s="2" customFormat="1" x14ac:dyDescent="0.2">
      <c r="A26" s="89">
        <v>45246</v>
      </c>
      <c r="B26" s="128" t="s">
        <v>6</v>
      </c>
      <c r="C26" s="10" t="s">
        <v>244</v>
      </c>
      <c r="D26" s="11" t="s">
        <v>13</v>
      </c>
      <c r="E26" s="86">
        <v>199769</v>
      </c>
      <c r="F26" s="70"/>
      <c r="G26" s="1"/>
      <c r="N26" s="1"/>
    </row>
    <row r="27" spans="1:14" s="2" customFormat="1" x14ac:dyDescent="0.2">
      <c r="A27" s="89">
        <v>45246</v>
      </c>
      <c r="B27" s="128" t="s">
        <v>6</v>
      </c>
      <c r="C27" s="10" t="s">
        <v>1365</v>
      </c>
      <c r="D27" s="11" t="s">
        <v>13</v>
      </c>
      <c r="E27" s="86">
        <v>500000</v>
      </c>
      <c r="F27" s="70"/>
      <c r="G27" s="1"/>
      <c r="N27" s="1"/>
    </row>
    <row r="28" spans="1:14" s="2" customFormat="1" x14ac:dyDescent="0.2">
      <c r="A28" s="89">
        <v>45246</v>
      </c>
      <c r="B28" s="128" t="s">
        <v>6</v>
      </c>
      <c r="C28" s="10" t="s">
        <v>418</v>
      </c>
      <c r="D28" s="11" t="s">
        <v>13</v>
      </c>
      <c r="E28" s="86">
        <v>43019</v>
      </c>
      <c r="F28" s="70"/>
      <c r="G28" s="1"/>
      <c r="N28" s="1"/>
    </row>
    <row r="29" spans="1:14" s="2" customFormat="1" x14ac:dyDescent="0.2">
      <c r="A29" s="89">
        <v>45246</v>
      </c>
      <c r="B29" s="128" t="s">
        <v>6</v>
      </c>
      <c r="C29" s="10" t="s">
        <v>519</v>
      </c>
      <c r="D29" s="11" t="s">
        <v>13</v>
      </c>
      <c r="E29" s="86">
        <v>7350</v>
      </c>
      <c r="F29" s="70"/>
      <c r="G29" s="1"/>
      <c r="N29" s="1"/>
    </row>
    <row r="30" spans="1:14" s="2" customFormat="1" x14ac:dyDescent="0.2">
      <c r="A30" s="89">
        <v>45246</v>
      </c>
      <c r="B30" s="128" t="s">
        <v>6</v>
      </c>
      <c r="C30" s="10" t="s">
        <v>694</v>
      </c>
      <c r="D30" s="11" t="s">
        <v>13</v>
      </c>
      <c r="E30" s="86">
        <v>1200000</v>
      </c>
      <c r="F30" s="70"/>
      <c r="G30" s="1"/>
      <c r="N30" s="1"/>
    </row>
    <row r="31" spans="1:14" s="2" customFormat="1" x14ac:dyDescent="0.2">
      <c r="A31" s="89">
        <v>45246</v>
      </c>
      <c r="B31" s="128" t="s">
        <v>6</v>
      </c>
      <c r="C31" s="10" t="s">
        <v>213</v>
      </c>
      <c r="D31" s="11" t="s">
        <v>13</v>
      </c>
      <c r="E31" s="86">
        <v>42266</v>
      </c>
      <c r="F31" s="70"/>
      <c r="G31" s="1"/>
      <c r="N31" s="1"/>
    </row>
    <row r="32" spans="1:14" s="2" customFormat="1" x14ac:dyDescent="0.2">
      <c r="A32" s="89">
        <v>45246</v>
      </c>
      <c r="B32" s="128" t="s">
        <v>6</v>
      </c>
      <c r="C32" s="10" t="s">
        <v>120</v>
      </c>
      <c r="D32" s="11" t="s">
        <v>13</v>
      </c>
      <c r="E32" s="86">
        <v>2956169</v>
      </c>
      <c r="F32" s="70"/>
      <c r="G32" s="1"/>
      <c r="N32" s="1"/>
    </row>
    <row r="33" spans="1:14" s="2" customFormat="1" x14ac:dyDescent="0.2">
      <c r="A33" s="89">
        <v>45246</v>
      </c>
      <c r="B33" s="128" t="s">
        <v>6</v>
      </c>
      <c r="C33" s="10" t="s">
        <v>19</v>
      </c>
      <c r="D33" s="11" t="s">
        <v>13</v>
      </c>
      <c r="E33" s="86">
        <v>2360</v>
      </c>
      <c r="F33" s="70"/>
      <c r="G33" s="1"/>
      <c r="N33" s="1"/>
    </row>
    <row r="34" spans="1:14" s="2" customFormat="1" x14ac:dyDescent="0.2">
      <c r="A34" s="89">
        <v>45246</v>
      </c>
      <c r="B34" s="128" t="s">
        <v>6</v>
      </c>
      <c r="C34" s="10" t="s">
        <v>378</v>
      </c>
      <c r="D34" s="11" t="s">
        <v>13</v>
      </c>
      <c r="E34" s="86">
        <v>935290</v>
      </c>
      <c r="F34" s="70"/>
      <c r="G34" s="1"/>
      <c r="N34" s="1"/>
    </row>
    <row r="35" spans="1:14" s="2" customFormat="1" x14ac:dyDescent="0.2">
      <c r="A35" s="89">
        <v>45246</v>
      </c>
      <c r="B35" s="128" t="s">
        <v>6</v>
      </c>
      <c r="C35" s="10" t="s">
        <v>62</v>
      </c>
      <c r="D35" s="11" t="s">
        <v>13</v>
      </c>
      <c r="E35" s="86">
        <v>10000</v>
      </c>
      <c r="F35" s="70"/>
      <c r="G35" s="1"/>
      <c r="N35" s="1"/>
    </row>
    <row r="36" spans="1:14" s="2" customFormat="1" x14ac:dyDescent="0.2">
      <c r="A36" s="89">
        <v>45246</v>
      </c>
      <c r="B36" s="128" t="s">
        <v>6</v>
      </c>
      <c r="C36" s="10" t="s">
        <v>1551</v>
      </c>
      <c r="D36" s="11" t="s">
        <v>13</v>
      </c>
      <c r="E36" s="86">
        <v>111048</v>
      </c>
      <c r="F36" s="70"/>
      <c r="G36" s="1"/>
      <c r="N36" s="1"/>
    </row>
    <row r="37" spans="1:14" s="2" customFormat="1" x14ac:dyDescent="0.2">
      <c r="A37" s="89">
        <v>45246</v>
      </c>
      <c r="B37" s="128" t="s">
        <v>6</v>
      </c>
      <c r="C37" s="10" t="s">
        <v>927</v>
      </c>
      <c r="D37" s="11" t="s">
        <v>13</v>
      </c>
      <c r="E37" s="86">
        <v>100000</v>
      </c>
      <c r="F37" s="70"/>
      <c r="G37" s="1"/>
      <c r="N37" s="1"/>
    </row>
    <row r="38" spans="1:14" s="2" customFormat="1" x14ac:dyDescent="0.2">
      <c r="A38" s="89">
        <v>45246</v>
      </c>
      <c r="B38" s="128" t="s">
        <v>6</v>
      </c>
      <c r="C38" s="10" t="s">
        <v>163</v>
      </c>
      <c r="D38" s="11" t="s">
        <v>13</v>
      </c>
      <c r="E38" s="86">
        <v>30135</v>
      </c>
      <c r="F38" s="70"/>
      <c r="G38" s="1"/>
      <c r="N38" s="1"/>
    </row>
    <row r="39" spans="1:14" s="2" customFormat="1" x14ac:dyDescent="0.2">
      <c r="A39" s="89">
        <v>45246</v>
      </c>
      <c r="B39" s="128" t="s">
        <v>6</v>
      </c>
      <c r="C39" s="10" t="s">
        <v>1769</v>
      </c>
      <c r="D39" s="11" t="s">
        <v>322</v>
      </c>
      <c r="E39" s="86">
        <v>22532</v>
      </c>
      <c r="F39" s="70"/>
      <c r="G39" s="1"/>
      <c r="N39" s="1"/>
    </row>
    <row r="40" spans="1:14" s="2" customFormat="1" x14ac:dyDescent="0.2">
      <c r="A40" s="89">
        <v>45246</v>
      </c>
      <c r="B40" s="128" t="s">
        <v>11</v>
      </c>
      <c r="C40" s="10" t="s">
        <v>110</v>
      </c>
      <c r="D40" s="11" t="s">
        <v>29</v>
      </c>
      <c r="E40" s="86"/>
      <c r="F40" s="70">
        <v>1988548.55</v>
      </c>
      <c r="G40" s="1"/>
      <c r="N40" s="1"/>
    </row>
    <row r="41" spans="1:14" s="2" customFormat="1" x14ac:dyDescent="0.2">
      <c r="A41" s="89">
        <v>45246</v>
      </c>
      <c r="B41" s="128" t="s">
        <v>11</v>
      </c>
      <c r="C41" s="10" t="s">
        <v>127</v>
      </c>
      <c r="D41" s="11" t="s">
        <v>29</v>
      </c>
      <c r="E41" s="86"/>
      <c r="F41" s="70">
        <v>40993</v>
      </c>
      <c r="G41" s="1"/>
      <c r="N41" s="1"/>
    </row>
    <row r="42" spans="1:14" s="2" customFormat="1" x14ac:dyDescent="0.2">
      <c r="A42" s="89">
        <v>45246</v>
      </c>
      <c r="B42" s="128" t="s">
        <v>11</v>
      </c>
      <c r="C42" s="10" t="s">
        <v>525</v>
      </c>
      <c r="D42" s="11" t="s">
        <v>29</v>
      </c>
      <c r="E42" s="86"/>
      <c r="F42" s="70">
        <v>1500000</v>
      </c>
      <c r="G42" s="1"/>
      <c r="N42" s="1"/>
    </row>
    <row r="43" spans="1:14" s="2" customFormat="1" x14ac:dyDescent="0.2">
      <c r="A43" s="89">
        <v>45246</v>
      </c>
      <c r="B43" s="128" t="s">
        <v>11</v>
      </c>
      <c r="C43" s="10" t="s">
        <v>64</v>
      </c>
      <c r="D43" s="11" t="s">
        <v>29</v>
      </c>
      <c r="E43" s="86"/>
      <c r="F43" s="70">
        <v>118</v>
      </c>
      <c r="G43" s="1"/>
      <c r="N43" s="1"/>
    </row>
    <row r="44" spans="1:14" s="2" customFormat="1" x14ac:dyDescent="0.2">
      <c r="A44" s="89">
        <v>45246</v>
      </c>
      <c r="B44" s="128" t="s">
        <v>11</v>
      </c>
      <c r="C44" s="10" t="s">
        <v>593</v>
      </c>
      <c r="D44" s="11" t="s">
        <v>29</v>
      </c>
      <c r="E44" s="86"/>
      <c r="F44" s="70">
        <v>625000</v>
      </c>
      <c r="G44" s="1"/>
      <c r="N44" s="1"/>
    </row>
    <row r="45" spans="1:14" s="2" customFormat="1" x14ac:dyDescent="0.2">
      <c r="A45" s="32"/>
      <c r="B45" s="33"/>
      <c r="C45" s="14"/>
      <c r="D45" s="34"/>
      <c r="E45" s="16">
        <f>SUM(E22:E44)</f>
        <v>7461550.8100000005</v>
      </c>
      <c r="F45" s="16">
        <f>SUM(F22:F44)</f>
        <v>98442105.160000101</v>
      </c>
      <c r="G45" s="1"/>
      <c r="H45" s="1"/>
      <c r="I45" s="38">
        <v>90980554.349999994</v>
      </c>
      <c r="K45" s="92">
        <f>E46-I45</f>
        <v>0</v>
      </c>
      <c r="N45" s="1"/>
    </row>
    <row r="46" spans="1:14" s="2" customFormat="1" x14ac:dyDescent="0.2">
      <c r="A46" s="36"/>
      <c r="B46" s="28" t="s">
        <v>11</v>
      </c>
      <c r="C46" s="19" t="s">
        <v>65</v>
      </c>
      <c r="D46" s="37"/>
      <c r="E46" s="38">
        <f>F45-E45</f>
        <v>90980554.350000098</v>
      </c>
      <c r="F46" s="22"/>
      <c r="G46" s="1"/>
      <c r="H46" s="1"/>
      <c r="I46" s="70"/>
      <c r="J46" s="70"/>
      <c r="K46" s="70"/>
      <c r="N46" s="1"/>
    </row>
    <row r="47" spans="1:14" s="2" customFormat="1" x14ac:dyDescent="0.2">
      <c r="A47" s="36"/>
      <c r="B47" s="28" t="s">
        <v>66</v>
      </c>
      <c r="C47" s="19" t="s">
        <v>67</v>
      </c>
      <c r="D47" s="37"/>
      <c r="E47" s="38">
        <v>6500000</v>
      </c>
      <c r="F47" s="22"/>
      <c r="G47" s="1"/>
      <c r="H47" s="70"/>
      <c r="I47" s="70"/>
      <c r="J47" s="70"/>
      <c r="K47" s="70"/>
      <c r="N47" s="1"/>
    </row>
    <row r="48" spans="1:14" s="2" customFormat="1" x14ac:dyDescent="0.2">
      <c r="A48" s="36"/>
      <c r="B48" s="28" t="s">
        <v>66</v>
      </c>
      <c r="C48" s="43" t="s">
        <v>1457</v>
      </c>
      <c r="D48" s="43"/>
      <c r="E48" s="12">
        <f>275000000+75000000+50000000</f>
        <v>400000000</v>
      </c>
      <c r="F48" s="22"/>
      <c r="G48" s="1"/>
      <c r="H48" s="70"/>
      <c r="I48" s="45">
        <v>1762.14</v>
      </c>
      <c r="J48" s="46"/>
      <c r="K48" s="46"/>
      <c r="N48" s="1"/>
    </row>
    <row r="49" spans="1:14" s="2" customFormat="1" ht="15" x14ac:dyDescent="0.25">
      <c r="A49" s="36"/>
      <c r="B49" s="28"/>
      <c r="C49" s="44" t="s">
        <v>1541</v>
      </c>
      <c r="D49" s="43"/>
      <c r="E49" s="7">
        <f>+E48+E46+E47</f>
        <v>497480554.35000008</v>
      </c>
      <c r="F49" s="22"/>
      <c r="G49" s="1"/>
      <c r="H49" s="103" t="s">
        <v>69</v>
      </c>
      <c r="I49" s="45">
        <v>-10.72</v>
      </c>
      <c r="J49" s="46"/>
      <c r="K49" s="46"/>
      <c r="N49" s="1"/>
    </row>
    <row r="50" spans="1:14" s="2" customFormat="1" ht="15" x14ac:dyDescent="0.25">
      <c r="A50" s="24"/>
      <c r="B50" s="1"/>
      <c r="C50" s="44" t="s">
        <v>1510</v>
      </c>
      <c r="D50" s="25"/>
      <c r="E50" s="156">
        <f>+I22-E47+H18-I18</f>
        <v>2519445.6500000032</v>
      </c>
      <c r="G50" s="1"/>
      <c r="H50" s="35" t="s">
        <v>70</v>
      </c>
      <c r="I50" s="45">
        <v>22.98</v>
      </c>
      <c r="J50" s="46">
        <f>+I51-D53</f>
        <v>0</v>
      </c>
      <c r="N50" s="1"/>
    </row>
    <row r="51" spans="1:14" s="124" customFormat="1" ht="12.75" customHeight="1" x14ac:dyDescent="0.2">
      <c r="A51" s="24"/>
      <c r="B51" s="1"/>
      <c r="C51" s="56"/>
      <c r="D51" s="56"/>
      <c r="E51" s="104"/>
      <c r="F51" s="2"/>
      <c r="G51" s="166"/>
      <c r="H51" s="70"/>
      <c r="I51" s="49">
        <f>SUM(I48:I50)</f>
        <v>1774.4</v>
      </c>
      <c r="J51" s="46"/>
      <c r="K51" s="46"/>
    </row>
    <row r="52" spans="1:14" s="124" customFormat="1" ht="12.75" customHeight="1" x14ac:dyDescent="0.2">
      <c r="A52" s="24"/>
      <c r="B52" s="1"/>
      <c r="C52" s="78" t="s">
        <v>575</v>
      </c>
      <c r="D52" s="48" t="s">
        <v>576</v>
      </c>
      <c r="E52" s="104"/>
      <c r="F52" s="2"/>
      <c r="G52" s="168"/>
      <c r="H52" s="167"/>
      <c r="I52" s="167"/>
      <c r="J52" s="168"/>
    </row>
    <row r="53" spans="1:14" s="124" customFormat="1" ht="12.75" customHeight="1" x14ac:dyDescent="0.2">
      <c r="A53" s="24"/>
      <c r="B53" s="1"/>
      <c r="C53" s="47" t="s">
        <v>570</v>
      </c>
      <c r="D53" s="111">
        <v>1774.4</v>
      </c>
      <c r="E53" s="104"/>
      <c r="F53" s="2"/>
      <c r="G53" s="168"/>
      <c r="H53" s="110" t="s">
        <v>581</v>
      </c>
      <c r="I53" s="167"/>
      <c r="J53" s="168"/>
    </row>
    <row r="54" spans="1:14" s="124" customFormat="1" ht="12.75" customHeight="1" x14ac:dyDescent="0.2">
      <c r="A54" s="24"/>
      <c r="B54" s="1"/>
      <c r="C54" s="47" t="s">
        <v>931</v>
      </c>
      <c r="D54" s="111">
        <v>111.32</v>
      </c>
      <c r="E54" s="104"/>
      <c r="F54" s="2"/>
      <c r="G54" s="168"/>
      <c r="H54" s="110" t="s">
        <v>580</v>
      </c>
      <c r="I54" s="167"/>
      <c r="J54" s="168"/>
    </row>
    <row r="55" spans="1:14" s="124" customFormat="1" ht="12.75" customHeight="1" x14ac:dyDescent="0.2">
      <c r="A55" s="24"/>
      <c r="B55" s="1"/>
      <c r="C55" s="47" t="s">
        <v>572</v>
      </c>
      <c r="D55" s="111">
        <f>+D80/100000</f>
        <v>204.3038195</v>
      </c>
      <c r="E55" s="104"/>
      <c r="F55" s="2"/>
      <c r="G55" s="166"/>
      <c r="H55" s="90" t="s">
        <v>587</v>
      </c>
      <c r="I55" s="167"/>
      <c r="J55" s="168"/>
    </row>
    <row r="56" spans="1:14" s="2" customFormat="1" x14ac:dyDescent="0.2">
      <c r="A56" s="24"/>
      <c r="B56" s="1"/>
      <c r="C56" s="108" t="s">
        <v>578</v>
      </c>
      <c r="D56" s="48">
        <f>SUM(D53:D55)</f>
        <v>2090.0238195000002</v>
      </c>
      <c r="E56" s="104"/>
      <c r="G56" s="30"/>
      <c r="I56" s="13"/>
      <c r="J56" s="13"/>
    </row>
    <row r="57" spans="1:14" s="70" customFormat="1" x14ac:dyDescent="0.2">
      <c r="A57" s="24"/>
      <c r="B57" s="1"/>
      <c r="C57" s="47"/>
      <c r="D57" s="107"/>
      <c r="E57" s="104"/>
      <c r="F57" s="2"/>
      <c r="G57" s="30"/>
      <c r="H57" s="2"/>
    </row>
    <row r="58" spans="1:14" s="70" customFormat="1" x14ac:dyDescent="0.2">
      <c r="A58" s="24"/>
      <c r="B58" s="1"/>
      <c r="C58" s="47" t="s">
        <v>932</v>
      </c>
      <c r="D58" s="111">
        <v>11.99</v>
      </c>
      <c r="E58" s="104"/>
      <c r="F58" s="2"/>
      <c r="G58" s="30"/>
      <c r="H58" s="110" t="s">
        <v>581</v>
      </c>
    </row>
    <row r="59" spans="1:14" s="70" customFormat="1" x14ac:dyDescent="0.2">
      <c r="A59" s="24"/>
      <c r="B59" s="1"/>
      <c r="C59" s="136" t="s">
        <v>1142</v>
      </c>
      <c r="D59" s="111">
        <v>412.19</v>
      </c>
      <c r="E59" s="104"/>
      <c r="F59" s="2"/>
      <c r="G59" s="30"/>
      <c r="H59" s="110" t="s">
        <v>581</v>
      </c>
    </row>
    <row r="60" spans="1:14" s="70" customFormat="1" x14ac:dyDescent="0.2">
      <c r="A60" s="24"/>
      <c r="B60" s="1"/>
      <c r="C60" s="78" t="s">
        <v>579</v>
      </c>
      <c r="D60" s="109">
        <f>D58+D59</f>
        <v>424.18</v>
      </c>
      <c r="E60" s="104"/>
      <c r="F60" s="2"/>
      <c r="G60" s="30"/>
    </row>
    <row r="61" spans="1:14" s="70" customFormat="1" x14ac:dyDescent="0.2">
      <c r="A61" s="24"/>
      <c r="B61" s="1"/>
      <c r="C61" s="105"/>
      <c r="D61" s="106"/>
      <c r="E61" s="104"/>
      <c r="F61" s="2"/>
      <c r="G61" s="30"/>
      <c r="I61" s="2"/>
      <c r="J61" s="114" t="s">
        <v>713</v>
      </c>
      <c r="K61" s="2"/>
      <c r="L61" s="2"/>
      <c r="M61" s="2"/>
    </row>
    <row r="62" spans="1:14" s="70" customFormat="1" x14ac:dyDescent="0.2">
      <c r="A62" s="24"/>
      <c r="B62" s="1"/>
      <c r="C62" s="78" t="s">
        <v>577</v>
      </c>
      <c r="D62" s="109">
        <f>D53+D60</f>
        <v>2198.58</v>
      </c>
      <c r="E62" s="104"/>
      <c r="F62" s="2"/>
      <c r="G62" s="30"/>
      <c r="I62" s="113"/>
      <c r="J62" s="113" t="s">
        <v>709</v>
      </c>
      <c r="K62" s="113" t="s">
        <v>710</v>
      </c>
      <c r="L62" s="113" t="s">
        <v>711</v>
      </c>
      <c r="M62" s="113" t="s">
        <v>712</v>
      </c>
    </row>
    <row r="63" spans="1:14" s="70" customFormat="1" x14ac:dyDescent="0.2">
      <c r="A63" s="24"/>
      <c r="B63" s="1"/>
      <c r="C63" s="56"/>
      <c r="D63" s="56"/>
      <c r="E63" s="104"/>
      <c r="F63" s="2"/>
      <c r="G63" s="30"/>
      <c r="I63" s="113" t="s">
        <v>706</v>
      </c>
      <c r="J63" s="115"/>
      <c r="K63" s="115">
        <v>968.99</v>
      </c>
      <c r="L63" s="115">
        <v>968.99</v>
      </c>
      <c r="M63" s="113">
        <f>+J63+L63-K63</f>
        <v>0</v>
      </c>
    </row>
    <row r="64" spans="1:14" s="70" customFormat="1" ht="38.25" x14ac:dyDescent="0.2">
      <c r="A64" s="24"/>
      <c r="B64" s="1"/>
      <c r="C64" s="79" t="str">
        <f>"Particulars ( 01-04-2021 to "&amp;TEXT(A5,"dd-mm-yyyy")&amp;" )"</f>
        <v>Particulars ( 01-04-2021 to 16-11-2023 )</v>
      </c>
      <c r="D64" s="80" t="s">
        <v>73</v>
      </c>
      <c r="E64" s="80" t="s">
        <v>74</v>
      </c>
      <c r="F64" s="81" t="s">
        <v>75</v>
      </c>
      <c r="G64" s="80" t="s">
        <v>76</v>
      </c>
      <c r="I64" s="113" t="s">
        <v>707</v>
      </c>
      <c r="J64" s="115">
        <v>183.1</v>
      </c>
      <c r="K64" s="115">
        <v>4008.64</v>
      </c>
      <c r="L64" s="115">
        <v>4132.1499999999996</v>
      </c>
      <c r="M64" s="113">
        <f>+J64+L64-K64</f>
        <v>306.61000000000013</v>
      </c>
    </row>
    <row r="65" spans="1:14" s="70" customFormat="1" x14ac:dyDescent="0.2">
      <c r="A65" s="24"/>
      <c r="B65" s="1"/>
      <c r="C65" s="50" t="s">
        <v>444</v>
      </c>
      <c r="D65" s="55">
        <f>+L63+L64+J64</f>
        <v>5284.24</v>
      </c>
      <c r="E65" s="55">
        <f>+K63+K64</f>
        <v>4977.63</v>
      </c>
      <c r="F65" s="55">
        <f>+D65-E65</f>
        <v>306.60999999999967</v>
      </c>
      <c r="G65" s="55">
        <f>1500-F65</f>
        <v>1193.3900000000003</v>
      </c>
      <c r="I65" s="113" t="s">
        <v>708</v>
      </c>
      <c r="J65" s="115">
        <v>1371.02</v>
      </c>
      <c r="K65" s="115">
        <f>14764.53+301.37</f>
        <v>15065.900000000001</v>
      </c>
      <c r="L65" s="115">
        <v>15084.44</v>
      </c>
      <c r="M65" s="113">
        <f>+J65+L65-K65</f>
        <v>1389.5599999999977</v>
      </c>
    </row>
    <row r="66" spans="1:14" s="70" customFormat="1" ht="12.75" customHeight="1" x14ac:dyDescent="0.2">
      <c r="A66" s="24"/>
      <c r="B66" s="1"/>
      <c r="C66" s="50" t="s">
        <v>71</v>
      </c>
      <c r="D66" s="55">
        <f>+J65+L65</f>
        <v>16455.46</v>
      </c>
      <c r="E66" s="55">
        <f>+K65</f>
        <v>15065.900000000001</v>
      </c>
      <c r="F66" s="55">
        <f>+D66-E66</f>
        <v>1389.5599999999977</v>
      </c>
      <c r="G66" s="55">
        <f>1500+700-F66</f>
        <v>810.44000000000233</v>
      </c>
      <c r="I66" s="2"/>
      <c r="J66" s="118">
        <f>SUM(J63:J65)</f>
        <v>1554.12</v>
      </c>
      <c r="K66" s="118">
        <f>SUM(K63:K65)</f>
        <v>20043.530000000002</v>
      </c>
      <c r="L66" s="118">
        <f>SUM(L63:L65)</f>
        <v>20185.580000000002</v>
      </c>
      <c r="M66" s="118">
        <f>SUM(M63:M65)</f>
        <v>1696.1699999999978</v>
      </c>
    </row>
    <row r="67" spans="1:14" s="70" customFormat="1" ht="12.75" customHeight="1" x14ac:dyDescent="0.2">
      <c r="A67" s="24"/>
      <c r="B67" s="1"/>
      <c r="C67" s="14"/>
      <c r="D67" s="56"/>
      <c r="E67" s="13"/>
      <c r="F67" s="2"/>
      <c r="G67" s="30"/>
    </row>
    <row r="68" spans="1:14" s="70" customFormat="1" ht="12.75" customHeight="1" x14ac:dyDescent="0.2">
      <c r="A68" s="215" t="s">
        <v>80</v>
      </c>
      <c r="B68" s="216"/>
      <c r="C68" s="216"/>
      <c r="D68" s="217"/>
      <c r="E68" s="69"/>
      <c r="G68" s="30"/>
    </row>
    <row r="69" spans="1:14" s="70" customFormat="1" ht="12.75" customHeight="1" x14ac:dyDescent="0.2">
      <c r="A69" s="71" t="s">
        <v>81</v>
      </c>
      <c r="B69" s="71"/>
      <c r="C69" s="72" t="s">
        <v>82</v>
      </c>
      <c r="D69" s="73" t="s">
        <v>83</v>
      </c>
      <c r="E69" s="69"/>
      <c r="G69" s="30"/>
    </row>
    <row r="70" spans="1:14" s="70" customFormat="1" ht="12.75" customHeight="1" x14ac:dyDescent="0.2">
      <c r="A70" s="87">
        <v>45232</v>
      </c>
      <c r="B70" s="120" t="s">
        <v>6</v>
      </c>
      <c r="C70" s="75" t="s">
        <v>767</v>
      </c>
      <c r="D70" s="88">
        <v>515100</v>
      </c>
      <c r="E70" s="2"/>
      <c r="F70" s="2"/>
      <c r="G70" s="30"/>
      <c r="H70" s="2"/>
      <c r="I70" s="2"/>
      <c r="J70" s="2"/>
      <c r="K70" s="2"/>
      <c r="L70" s="41"/>
      <c r="M70" s="42"/>
      <c r="N70" s="2"/>
    </row>
    <row r="71" spans="1:14" s="70" customFormat="1" ht="12.75" customHeight="1" x14ac:dyDescent="0.2">
      <c r="A71" s="87">
        <v>45232</v>
      </c>
      <c r="B71" s="120" t="s">
        <v>6</v>
      </c>
      <c r="C71" s="75" t="s">
        <v>566</v>
      </c>
      <c r="D71" s="88">
        <v>52450</v>
      </c>
      <c r="E71" s="2"/>
      <c r="F71" s="2"/>
      <c r="G71" s="30"/>
      <c r="H71" s="2"/>
      <c r="I71" s="2"/>
      <c r="J71" s="2"/>
      <c r="K71" s="2"/>
      <c r="L71" s="41"/>
      <c r="M71" s="42"/>
      <c r="N71" s="2"/>
    </row>
    <row r="72" spans="1:14" s="70" customFormat="1" ht="12.75" customHeight="1" x14ac:dyDescent="0.2">
      <c r="A72" s="87">
        <v>45233</v>
      </c>
      <c r="B72" s="120" t="s">
        <v>6</v>
      </c>
      <c r="C72" s="75" t="s">
        <v>1084</v>
      </c>
      <c r="D72" s="88">
        <v>1833799</v>
      </c>
      <c r="E72" s="2"/>
      <c r="F72" s="2"/>
      <c r="G72" s="30"/>
      <c r="H72" s="2"/>
      <c r="I72" s="2"/>
      <c r="J72" s="2"/>
      <c r="K72" s="2"/>
      <c r="L72" s="41"/>
      <c r="M72" s="42"/>
      <c r="N72" s="2"/>
    </row>
    <row r="73" spans="1:14" s="70" customFormat="1" ht="12.75" customHeight="1" x14ac:dyDescent="0.2">
      <c r="A73" s="87">
        <v>45233</v>
      </c>
      <c r="B73" s="120" t="s">
        <v>6</v>
      </c>
      <c r="C73" s="75" t="s">
        <v>909</v>
      </c>
      <c r="D73" s="88">
        <v>366980</v>
      </c>
      <c r="E73" s="2"/>
      <c r="F73" s="2"/>
      <c r="G73" s="30"/>
      <c r="H73" s="2"/>
      <c r="I73" s="2"/>
      <c r="J73" s="2"/>
      <c r="K73" s="2"/>
      <c r="L73" s="41"/>
      <c r="M73" s="42"/>
      <c r="N73" s="2"/>
    </row>
    <row r="74" spans="1:14" s="70" customFormat="1" ht="12.75" customHeight="1" x14ac:dyDescent="0.2">
      <c r="A74" s="87">
        <v>45233</v>
      </c>
      <c r="B74" s="120" t="s">
        <v>6</v>
      </c>
      <c r="C74" s="75" t="s">
        <v>909</v>
      </c>
      <c r="D74" s="88">
        <v>30038</v>
      </c>
      <c r="E74" s="2"/>
      <c r="F74" s="2"/>
      <c r="G74" s="30"/>
      <c r="H74" s="2"/>
      <c r="I74" s="2"/>
      <c r="J74" s="2"/>
      <c r="K74" s="2"/>
      <c r="L74" s="41"/>
      <c r="M74" s="42"/>
      <c r="N74" s="2"/>
    </row>
    <row r="75" spans="1:14" s="70" customFormat="1" ht="12.75" customHeight="1" x14ac:dyDescent="0.2">
      <c r="A75" s="87">
        <v>45237</v>
      </c>
      <c r="B75" s="120" t="s">
        <v>6</v>
      </c>
      <c r="C75" s="75" t="s">
        <v>888</v>
      </c>
      <c r="D75" s="88">
        <v>14999721.949999999</v>
      </c>
      <c r="E75" s="2"/>
      <c r="F75" s="2"/>
      <c r="G75" s="30"/>
      <c r="H75" s="2"/>
      <c r="I75" s="2"/>
      <c r="J75" s="2"/>
      <c r="K75" s="2"/>
      <c r="L75" s="41"/>
      <c r="M75" s="42"/>
      <c r="N75" s="2"/>
    </row>
    <row r="76" spans="1:14" s="70" customFormat="1" ht="12.75" customHeight="1" x14ac:dyDescent="0.2">
      <c r="A76" s="87">
        <v>45238</v>
      </c>
      <c r="B76" s="120" t="s">
        <v>6</v>
      </c>
      <c r="C76" s="75" t="s">
        <v>606</v>
      </c>
      <c r="D76" s="88">
        <v>1098495</v>
      </c>
      <c r="E76" s="2"/>
      <c r="F76" s="2"/>
      <c r="G76" s="30"/>
      <c r="H76" s="2"/>
      <c r="I76" s="2"/>
      <c r="J76" s="2"/>
      <c r="K76" s="2"/>
      <c r="L76" s="41"/>
      <c r="M76" s="42"/>
      <c r="N76" s="2"/>
    </row>
    <row r="77" spans="1:14" s="70" customFormat="1" ht="12.75" customHeight="1" x14ac:dyDescent="0.2">
      <c r="A77" s="87">
        <v>45239</v>
      </c>
      <c r="B77" s="120" t="s">
        <v>6</v>
      </c>
      <c r="C77" s="75" t="s">
        <v>566</v>
      </c>
      <c r="D77" s="88">
        <f>183507+63254</f>
        <v>246761</v>
      </c>
      <c r="E77" s="2"/>
      <c r="F77" s="2"/>
      <c r="G77" s="30"/>
      <c r="H77" s="2"/>
      <c r="I77" s="2"/>
      <c r="J77" s="2"/>
      <c r="K77" s="2"/>
      <c r="L77" s="41"/>
      <c r="M77" s="42"/>
      <c r="N77" s="2"/>
    </row>
    <row r="78" spans="1:14" s="70" customFormat="1" ht="12.75" customHeight="1" x14ac:dyDescent="0.2">
      <c r="A78" s="87">
        <v>45240</v>
      </c>
      <c r="B78" s="120" t="s">
        <v>6</v>
      </c>
      <c r="C78" s="75" t="s">
        <v>767</v>
      </c>
      <c r="D78" s="88">
        <v>287037</v>
      </c>
      <c r="E78" s="2"/>
      <c r="F78" s="2"/>
      <c r="G78" s="30"/>
      <c r="H78" s="2"/>
      <c r="I78" s="2"/>
      <c r="J78" s="2"/>
      <c r="K78" s="2"/>
      <c r="L78" s="41"/>
      <c r="M78" s="42"/>
      <c r="N78" s="2"/>
    </row>
    <row r="79" spans="1:14" s="70" customFormat="1" ht="12.75" customHeight="1" x14ac:dyDescent="0.2">
      <c r="A79" s="87">
        <v>45240</v>
      </c>
      <c r="B79" s="120" t="s">
        <v>6</v>
      </c>
      <c r="C79" s="75" t="s">
        <v>1767</v>
      </c>
      <c r="D79" s="88">
        <v>1000000</v>
      </c>
      <c r="E79" s="2"/>
      <c r="F79" s="2"/>
      <c r="G79" s="30"/>
      <c r="H79" s="2"/>
      <c r="I79" s="2"/>
      <c r="J79" s="2"/>
      <c r="K79" s="2"/>
      <c r="L79" s="41"/>
      <c r="M79" s="42"/>
      <c r="N79" s="2"/>
    </row>
    <row r="80" spans="1:14" s="2" customFormat="1" x14ac:dyDescent="0.2">
      <c r="A80" s="87"/>
      <c r="B80" s="74"/>
      <c r="C80" s="75"/>
      <c r="D80" s="51">
        <f>SUM(D70:D79)</f>
        <v>20430381.949999999</v>
      </c>
      <c r="F80" s="2" t="s">
        <v>396</v>
      </c>
      <c r="G80" s="1"/>
    </row>
    <row r="81" spans="1:13" s="2" customFormat="1" x14ac:dyDescent="0.2">
      <c r="A81" s="24"/>
      <c r="B81" s="1"/>
      <c r="C81" s="14"/>
      <c r="D81" s="56"/>
      <c r="E81" s="13"/>
      <c r="G81" s="1"/>
    </row>
    <row r="82" spans="1:13" s="2" customFormat="1" x14ac:dyDescent="0.2">
      <c r="A82" s="24"/>
      <c r="B82" s="1"/>
      <c r="C82" s="218" t="s">
        <v>77</v>
      </c>
      <c r="D82" s="219"/>
      <c r="E82" s="219"/>
      <c r="F82" s="220"/>
      <c r="H82" s="2" t="s">
        <v>396</v>
      </c>
    </row>
    <row r="83" spans="1:13" s="2" customFormat="1" x14ac:dyDescent="0.2">
      <c r="A83" s="24"/>
      <c r="B83" s="1"/>
      <c r="C83" s="50"/>
      <c r="D83" s="57" t="s">
        <v>78</v>
      </c>
      <c r="E83" s="58" t="s">
        <v>79</v>
      </c>
      <c r="F83" s="57" t="s">
        <v>72</v>
      </c>
      <c r="H83" s="2" t="s">
        <v>396</v>
      </c>
    </row>
    <row r="84" spans="1:13" s="2" customFormat="1" x14ac:dyDescent="0.2">
      <c r="A84" s="24"/>
      <c r="B84" s="1"/>
      <c r="C84" s="59" t="str">
        <f>"01-11-2023 to "&amp;TEXT(A5-2,"dd-mm-yyyy")</f>
        <v>01-11-2023 to 14-11-2023</v>
      </c>
      <c r="D84" s="60">
        <v>1012.2</v>
      </c>
      <c r="E84" s="60">
        <v>208.68</v>
      </c>
      <c r="F84" s="61">
        <f>SUM(D84:E84)</f>
        <v>1220.8800000000001</v>
      </c>
    </row>
    <row r="85" spans="1:13" s="2" customFormat="1" x14ac:dyDescent="0.2">
      <c r="A85" s="24"/>
      <c r="B85" s="1"/>
      <c r="C85" s="62" t="str">
        <f>TEXT(A5-1,"dd-mm-yyyy")</f>
        <v>15-11-2023</v>
      </c>
      <c r="D85" s="60">
        <v>73.760000000000005</v>
      </c>
      <c r="E85" s="60">
        <v>6.85</v>
      </c>
      <c r="F85" s="61">
        <f>SUM(D85:E85)</f>
        <v>80.61</v>
      </c>
      <c r="G85" s="1"/>
      <c r="H85" s="53"/>
    </row>
    <row r="86" spans="1:13" s="2" customFormat="1" ht="13.5" thickBot="1" x14ac:dyDescent="0.25">
      <c r="A86" s="24"/>
      <c r="B86" s="1"/>
      <c r="C86" s="63" t="str">
        <f>"01-11-2023 to "&amp;TEXT(A5-1,"dd-mm-yyyy")</f>
        <v>01-11-2023 to 15-11-2023</v>
      </c>
      <c r="D86" s="64">
        <f>SUM(D84:D85)</f>
        <v>1085.96</v>
      </c>
      <c r="E86" s="64">
        <f>SUM(E84:E85)</f>
        <v>215.53</v>
      </c>
      <c r="F86" s="64">
        <f>SUM(F84:F85)</f>
        <v>1301.49</v>
      </c>
      <c r="G86" s="1"/>
      <c r="H86" s="53"/>
    </row>
    <row r="87" spans="1:13" s="2" customFormat="1" ht="13.5" thickTop="1" x14ac:dyDescent="0.2">
      <c r="A87" s="24"/>
      <c r="B87" s="1"/>
      <c r="C87" s="62"/>
      <c r="D87" s="65"/>
      <c r="E87" s="66"/>
      <c r="F87" s="67"/>
      <c r="L87" s="1"/>
      <c r="M87" s="1"/>
    </row>
    <row r="88" spans="1:13" s="2" customFormat="1" x14ac:dyDescent="0.2">
      <c r="A88" s="24"/>
      <c r="B88" s="1"/>
      <c r="C88" s="62" t="str">
        <f>"01-04-2023 to " &amp;C85</f>
        <v>01-04-2023 to 15-11-2023</v>
      </c>
      <c r="D88" s="68">
        <f>+D86+29842.21</f>
        <v>30928.17</v>
      </c>
      <c r="E88" s="68">
        <f>+E86+2549.86</f>
        <v>2765.3900000000003</v>
      </c>
      <c r="F88" s="68">
        <f>+F86+32392.07</f>
        <v>33693.56</v>
      </c>
      <c r="G88" s="1"/>
      <c r="L88" s="1"/>
      <c r="M88" s="1"/>
    </row>
    <row r="89" spans="1:13" s="2" customFormat="1" x14ac:dyDescent="0.2">
      <c r="A89" s="24"/>
      <c r="B89" s="1"/>
      <c r="C89" s="52"/>
      <c r="D89" s="85"/>
      <c r="E89" s="53"/>
      <c r="F89" s="53"/>
      <c r="G89" s="1"/>
      <c r="L89" s="1"/>
      <c r="M89" s="1"/>
    </row>
    <row r="90" spans="1:13" s="2" customFormat="1" x14ac:dyDescent="0.2">
      <c r="A90" s="24"/>
      <c r="B90" s="1"/>
      <c r="C90" s="52"/>
      <c r="D90" s="85"/>
      <c r="E90" s="53"/>
      <c r="F90" s="53"/>
      <c r="G90" s="1"/>
      <c r="L90" s="1"/>
      <c r="M90" s="1"/>
    </row>
    <row r="91" spans="1:13" s="2" customFormat="1" x14ac:dyDescent="0.2">
      <c r="A91" s="24"/>
      <c r="B91" s="1"/>
      <c r="C91" s="52"/>
      <c r="D91" s="85"/>
      <c r="E91" s="53"/>
      <c r="F91" s="53"/>
      <c r="G91" s="1"/>
      <c r="L91" s="1"/>
      <c r="M91" s="1"/>
    </row>
    <row r="92" spans="1:13" s="2" customFormat="1" x14ac:dyDescent="0.2">
      <c r="A92" s="24"/>
      <c r="B92" s="1"/>
      <c r="C92" s="52"/>
      <c r="D92" s="85"/>
      <c r="E92" s="53"/>
      <c r="F92" s="53"/>
      <c r="G92" s="1"/>
      <c r="L92" s="1"/>
      <c r="M92" s="1"/>
    </row>
    <row r="93" spans="1:13" s="2" customFormat="1" x14ac:dyDescent="0.2">
      <c r="A93" s="24"/>
      <c r="B93" s="1"/>
      <c r="C93" s="14"/>
      <c r="D93" s="25">
        <f>SUM(D90:D92)</f>
        <v>0</v>
      </c>
      <c r="E93" s="2">
        <f>SUM(E90:E92)</f>
        <v>0</v>
      </c>
      <c r="G93" s="1"/>
      <c r="L93" s="1"/>
      <c r="M93" s="1"/>
    </row>
    <row r="94" spans="1:13" s="2" customFormat="1" x14ac:dyDescent="0.2">
      <c r="A94" s="24"/>
      <c r="B94" s="1"/>
      <c r="C94" s="14"/>
      <c r="D94" s="25"/>
      <c r="G94" s="1"/>
      <c r="L94" s="1"/>
      <c r="M94" s="1"/>
    </row>
    <row r="95" spans="1:13" s="2" customFormat="1" x14ac:dyDescent="0.2">
      <c r="A95" s="24"/>
      <c r="B95" s="1"/>
      <c r="C95" s="14"/>
      <c r="D95" s="25"/>
      <c r="G95" s="1"/>
      <c r="L95" s="1"/>
      <c r="M95" s="1"/>
    </row>
    <row r="96" spans="1:13" s="2" customFormat="1" x14ac:dyDescent="0.2">
      <c r="A96" s="24"/>
      <c r="B96" s="1"/>
      <c r="C96" s="14"/>
      <c r="D96" s="25"/>
      <c r="G96" s="1"/>
      <c r="L96" s="1"/>
      <c r="M96" s="1"/>
    </row>
    <row r="97" spans="1:13" s="2" customFormat="1" x14ac:dyDescent="0.2">
      <c r="A97" s="24"/>
      <c r="B97" s="1"/>
      <c r="C97" s="14"/>
      <c r="D97" s="25"/>
      <c r="G97" s="1"/>
      <c r="L97" s="1"/>
      <c r="M97" s="1"/>
    </row>
    <row r="98" spans="1:13" s="2" customFormat="1" x14ac:dyDescent="0.2">
      <c r="A98" s="24"/>
      <c r="B98" s="1"/>
      <c r="C98" s="14"/>
      <c r="D98" s="25"/>
      <c r="G98" s="1"/>
      <c r="L98" s="1"/>
      <c r="M98" s="1"/>
    </row>
    <row r="99" spans="1:13" s="2" customFormat="1" x14ac:dyDescent="0.2">
      <c r="A99" s="24"/>
      <c r="B99" s="1"/>
      <c r="C99" s="14"/>
      <c r="D99" s="25"/>
      <c r="G99" s="1"/>
      <c r="L99" s="1"/>
      <c r="M99" s="1"/>
    </row>
    <row r="100" spans="1:13" s="2" customFormat="1" x14ac:dyDescent="0.2">
      <c r="A100" s="24"/>
      <c r="B100" s="1"/>
      <c r="C100" s="14"/>
      <c r="D100" s="25"/>
      <c r="G100" s="1"/>
      <c r="L100" s="1"/>
      <c r="M100" s="1"/>
    </row>
    <row r="101" spans="1:13" s="2" customFormat="1" x14ac:dyDescent="0.2">
      <c r="A101" s="24"/>
      <c r="B101" s="1"/>
      <c r="C101" s="14"/>
      <c r="D101" s="25"/>
      <c r="G101" s="1"/>
      <c r="L101" s="1"/>
      <c r="M101" s="1"/>
    </row>
    <row r="102" spans="1:13" s="2" customFormat="1" x14ac:dyDescent="0.2">
      <c r="A102" s="24"/>
      <c r="B102" s="1"/>
      <c r="C102" s="14"/>
      <c r="D102" s="25"/>
      <c r="G102" s="1"/>
      <c r="L102" s="1"/>
      <c r="M102" s="1"/>
    </row>
    <row r="103" spans="1:13" s="2" customFormat="1" x14ac:dyDescent="0.2">
      <c r="A103" s="24"/>
      <c r="B103" s="1"/>
      <c r="C103" s="14"/>
      <c r="D103" s="25"/>
      <c r="G103" s="1"/>
      <c r="L103" s="1"/>
      <c r="M103" s="1"/>
    </row>
    <row r="104" spans="1:13" s="2" customFormat="1" x14ac:dyDescent="0.2">
      <c r="A104" s="24"/>
      <c r="B104" s="1"/>
      <c r="C104" s="14"/>
      <c r="D104" s="25"/>
      <c r="G104" s="1"/>
      <c r="L104" s="1"/>
      <c r="M104" s="1"/>
    </row>
    <row r="105" spans="1:13" s="2" customFormat="1" x14ac:dyDescent="0.2">
      <c r="A105" s="24"/>
      <c r="B105" s="1"/>
      <c r="C105" s="14"/>
      <c r="D105" s="25"/>
      <c r="G105" s="1"/>
      <c r="L105" s="1"/>
      <c r="M105" s="1"/>
    </row>
    <row r="106" spans="1:13" s="2" customFormat="1" x14ac:dyDescent="0.2">
      <c r="A106" s="24"/>
      <c r="B106" s="1"/>
      <c r="C106" s="14"/>
      <c r="D106" s="25"/>
      <c r="G106" s="1"/>
      <c r="L106" s="1"/>
      <c r="M106" s="1"/>
    </row>
    <row r="107" spans="1:13" s="2" customFormat="1" x14ac:dyDescent="0.2">
      <c r="A107" s="24"/>
      <c r="B107" s="1"/>
      <c r="C107" s="14"/>
      <c r="D107" s="25"/>
      <c r="G107" s="1"/>
      <c r="I107" s="1"/>
      <c r="J107" s="1"/>
      <c r="K107" s="1"/>
      <c r="L107" s="1"/>
      <c r="M107" s="1"/>
    </row>
    <row r="108" spans="1:13" s="2" customFormat="1" x14ac:dyDescent="0.2">
      <c r="A108" s="24"/>
      <c r="B108" s="1"/>
      <c r="C108" s="14"/>
      <c r="D108" s="25"/>
      <c r="G108" s="1"/>
    </row>
    <row r="109" spans="1:13" s="2" customFormat="1" x14ac:dyDescent="0.2">
      <c r="A109" s="24"/>
      <c r="B109" s="1"/>
      <c r="C109" s="14"/>
      <c r="D109" s="25"/>
      <c r="G109" s="1"/>
      <c r="I109" s="1"/>
      <c r="J109" s="1"/>
      <c r="K109" s="1"/>
      <c r="L109" s="1"/>
      <c r="M109" s="1"/>
    </row>
    <row r="110" spans="1:13" s="2" customFormat="1" x14ac:dyDescent="0.2">
      <c r="A110" s="24"/>
      <c r="B110" s="1"/>
      <c r="C110" s="14"/>
      <c r="D110" s="25"/>
      <c r="G110" s="54"/>
      <c r="I110" s="1"/>
      <c r="J110" s="1"/>
      <c r="K110" s="1"/>
      <c r="L110" s="1"/>
      <c r="M110" s="1"/>
    </row>
    <row r="111" spans="1:13" s="2" customFormat="1" x14ac:dyDescent="0.2">
      <c r="A111" s="24"/>
      <c r="B111" s="1"/>
      <c r="C111" s="14"/>
      <c r="D111" s="25"/>
      <c r="G111" s="54"/>
      <c r="I111" s="1"/>
      <c r="J111" s="1"/>
      <c r="K111" s="1"/>
      <c r="L111" s="1"/>
      <c r="M111" s="1"/>
    </row>
    <row r="112" spans="1:13" s="2" customFormat="1" x14ac:dyDescent="0.2">
      <c r="A112" s="24"/>
      <c r="B112" s="1"/>
      <c r="C112" s="14"/>
      <c r="D112" s="25"/>
      <c r="G112" s="54"/>
      <c r="I112" s="1"/>
      <c r="J112" s="1"/>
      <c r="K112" s="1"/>
      <c r="L112" s="1"/>
      <c r="M112" s="1"/>
    </row>
    <row r="113" spans="1:14" s="2" customFormat="1" x14ac:dyDescent="0.2">
      <c r="A113" s="24"/>
      <c r="B113" s="1"/>
      <c r="C113" s="14"/>
      <c r="D113" s="25"/>
      <c r="G113" s="54"/>
      <c r="H113" s="2" t="s">
        <v>396</v>
      </c>
      <c r="I113" s="1"/>
      <c r="J113" s="1"/>
      <c r="K113" s="1"/>
      <c r="L113" s="1"/>
      <c r="M113" s="1"/>
      <c r="N113" s="1"/>
    </row>
    <row r="114" spans="1:14" s="2" customFormat="1" x14ac:dyDescent="0.2">
      <c r="A114" s="24"/>
      <c r="B114" s="1"/>
      <c r="C114" s="14"/>
      <c r="D114" s="25"/>
      <c r="G114" s="54"/>
      <c r="H114" s="53"/>
    </row>
    <row r="115" spans="1:14" s="2" customFormat="1" x14ac:dyDescent="0.2">
      <c r="A115" s="24"/>
      <c r="B115" s="1"/>
      <c r="C115" s="14"/>
      <c r="D115" s="25"/>
      <c r="G115" s="54"/>
      <c r="H115" s="53" t="s">
        <v>396</v>
      </c>
      <c r="I115" s="1"/>
      <c r="J115" s="1"/>
      <c r="K115" s="1"/>
      <c r="L115" s="1"/>
      <c r="M115" s="1"/>
      <c r="N115" s="1"/>
    </row>
    <row r="116" spans="1:14" x14ac:dyDescent="0.2">
      <c r="G116" s="54"/>
      <c r="H116" s="53" t="s">
        <v>396</v>
      </c>
      <c r="J116" s="42"/>
    </row>
    <row r="117" spans="1:14" s="2" customFormat="1" x14ac:dyDescent="0.2">
      <c r="A117" s="24"/>
      <c r="B117" s="1"/>
      <c r="C117" s="14"/>
      <c r="D117" s="25"/>
      <c r="G117" s="54"/>
      <c r="H117" s="53"/>
      <c r="I117" s="101"/>
      <c r="J117" s="1"/>
      <c r="K117" s="1"/>
      <c r="L117" s="1"/>
      <c r="M117" s="1"/>
      <c r="N117" s="1"/>
    </row>
    <row r="118" spans="1:14" x14ac:dyDescent="0.2">
      <c r="G118" s="54"/>
      <c r="H118" s="53"/>
    </row>
    <row r="119" spans="1:14" x14ac:dyDescent="0.2">
      <c r="G119" s="54"/>
      <c r="H119" s="53"/>
    </row>
    <row r="120" spans="1:14" x14ac:dyDescent="0.2">
      <c r="G120" s="54"/>
      <c r="H120" s="53"/>
    </row>
  </sheetData>
  <sheetProtection insertRows="0"/>
  <mergeCells count="6">
    <mergeCell ref="C82:F82"/>
    <mergeCell ref="A1:G1"/>
    <mergeCell ref="A3:F3"/>
    <mergeCell ref="A11:F11"/>
    <mergeCell ref="A20:F20"/>
    <mergeCell ref="A68:D68"/>
  </mergeCells>
  <conditionalFormatting sqref="G65:G66">
    <cfRule type="cellIs" dxfId="223" priority="1" operator="lessThan">
      <formula>0</formula>
    </cfRule>
  </conditionalFormatting>
  <conditionalFormatting sqref="C22">
    <cfRule type="duplicateValues" dxfId="222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300-000000000000}">
  <sheetPr codeName="Sheet475">
    <pageSetUpPr fitToPage="1"/>
  </sheetPr>
  <dimension ref="A1:N138"/>
  <sheetViews>
    <sheetView topLeftCell="A28" zoomScaleNormal="100" workbookViewId="0">
      <selection activeCell="E55" sqref="E55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1" ht="20.25" customHeight="1" x14ac:dyDescent="0.4">
      <c r="A1" s="212" t="s">
        <v>1770</v>
      </c>
      <c r="B1" s="212"/>
      <c r="C1" s="212"/>
      <c r="D1" s="212"/>
      <c r="E1" s="212"/>
      <c r="F1" s="212"/>
      <c r="G1" s="212"/>
      <c r="H1" s="112"/>
      <c r="I1" s="112"/>
    </row>
    <row r="2" spans="1:11" ht="12.75" customHeight="1" x14ac:dyDescent="0.4">
      <c r="H2" s="112"/>
      <c r="I2" s="112"/>
    </row>
    <row r="3" spans="1:11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1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1" s="2" customFormat="1" ht="14.25" customHeight="1" x14ac:dyDescent="0.4">
      <c r="A5" s="89">
        <v>45247</v>
      </c>
      <c r="B5" s="9" t="s">
        <v>6</v>
      </c>
      <c r="C5" s="10" t="s">
        <v>7</v>
      </c>
      <c r="D5" s="11"/>
      <c r="E5" s="12">
        <v>1295670.2400000023</v>
      </c>
      <c r="F5" s="12"/>
      <c r="G5" s="1"/>
      <c r="H5" s="112"/>
      <c r="I5" s="112"/>
    </row>
    <row r="6" spans="1:11" s="2" customFormat="1" ht="14.25" customHeight="1" x14ac:dyDescent="0.4">
      <c r="A6" s="89">
        <v>45247</v>
      </c>
      <c r="B6" s="9" t="s">
        <v>11</v>
      </c>
      <c r="C6" s="10" t="s">
        <v>156</v>
      </c>
      <c r="D6" s="11"/>
      <c r="E6" s="12"/>
      <c r="F6" s="12">
        <v>57.82</v>
      </c>
      <c r="G6" s="1"/>
      <c r="H6" s="112"/>
      <c r="I6" s="112"/>
    </row>
    <row r="7" spans="1:11" s="2" customFormat="1" ht="14.25" customHeight="1" x14ac:dyDescent="0.4">
      <c r="A7" s="89">
        <v>45247</v>
      </c>
      <c r="B7" s="9" t="s">
        <v>11</v>
      </c>
      <c r="C7" s="10" t="s">
        <v>1775</v>
      </c>
      <c r="D7" s="11"/>
      <c r="E7" s="12"/>
      <c r="F7" s="12">
        <v>245297</v>
      </c>
      <c r="G7" s="1"/>
      <c r="H7" s="112"/>
      <c r="I7" s="112"/>
    </row>
    <row r="8" spans="1:11" s="2" customFormat="1" ht="12.75" customHeight="1" x14ac:dyDescent="0.4">
      <c r="D8" s="15" t="s">
        <v>8</v>
      </c>
      <c r="E8" s="16">
        <f>SUM(E5:E5)</f>
        <v>1295670.2400000023</v>
      </c>
      <c r="F8" s="16">
        <f>SUM(F6:F7)</f>
        <v>245354.82</v>
      </c>
      <c r="G8" s="1"/>
      <c r="H8" s="112"/>
      <c r="I8" s="112"/>
    </row>
    <row r="9" spans="1:11" s="2" customFormat="1" ht="12.75" customHeight="1" x14ac:dyDescent="0.4">
      <c r="A9" s="17"/>
      <c r="B9" s="18"/>
      <c r="C9" s="19" t="s">
        <v>9</v>
      </c>
      <c r="D9" s="20"/>
      <c r="E9" s="21">
        <f>+E8-F8</f>
        <v>1050315.4200000023</v>
      </c>
      <c r="F9" s="22"/>
      <c r="G9" s="23"/>
      <c r="H9" s="112"/>
      <c r="I9" s="112"/>
      <c r="J9" s="13"/>
    </row>
    <row r="10" spans="1:11" ht="12.75" customHeight="1" x14ac:dyDescent="0.4">
      <c r="H10" s="112"/>
      <c r="I10" s="112"/>
    </row>
    <row r="11" spans="1:11" ht="18" customHeight="1" x14ac:dyDescent="0.4">
      <c r="A11" s="213" t="s">
        <v>1037</v>
      </c>
      <c r="B11" s="213"/>
      <c r="C11" s="213"/>
      <c r="D11" s="213"/>
      <c r="E11" s="213"/>
      <c r="F11" s="213"/>
      <c r="H11" s="112"/>
      <c r="I11" s="169">
        <f>90000000-60000000</f>
        <v>30000000</v>
      </c>
      <c r="J11" s="169" t="s">
        <v>1508</v>
      </c>
    </row>
    <row r="12" spans="1:11" ht="12.75" customHeight="1" x14ac:dyDescent="0.4">
      <c r="A12" s="3" t="s">
        <v>1</v>
      </c>
      <c r="B12" s="4" t="s">
        <v>2</v>
      </c>
      <c r="C12" s="5"/>
      <c r="D12" s="6" t="s">
        <v>3</v>
      </c>
      <c r="E12" s="7" t="s">
        <v>4</v>
      </c>
      <c r="F12" s="7" t="s">
        <v>5</v>
      </c>
      <c r="H12" s="112"/>
      <c r="I12" s="169">
        <v>29992844.07</v>
      </c>
      <c r="J12" s="169" t="s">
        <v>1509</v>
      </c>
      <c r="K12" s="124"/>
    </row>
    <row r="13" spans="1:11" s="2" customFormat="1" ht="14.25" customHeight="1" x14ac:dyDescent="0.2">
      <c r="A13" s="89">
        <v>45247</v>
      </c>
      <c r="B13" s="9" t="s">
        <v>6</v>
      </c>
      <c r="C13" s="10" t="s">
        <v>7</v>
      </c>
      <c r="D13" s="11"/>
      <c r="F13" s="12">
        <v>29842087.469999995</v>
      </c>
      <c r="G13" s="1"/>
      <c r="H13" s="130" t="s">
        <v>396</v>
      </c>
      <c r="I13" s="169">
        <f>+I11-I12</f>
        <v>7155.929999999702</v>
      </c>
      <c r="J13" s="169" t="s">
        <v>712</v>
      </c>
      <c r="K13" s="165" t="s">
        <v>1512</v>
      </c>
    </row>
    <row r="14" spans="1:11" s="2" customFormat="1" ht="14.25" customHeight="1" x14ac:dyDescent="0.2">
      <c r="A14" s="89">
        <v>45247</v>
      </c>
      <c r="B14" s="9" t="s">
        <v>6</v>
      </c>
      <c r="C14" s="76" t="s">
        <v>1255</v>
      </c>
      <c r="D14" s="11" t="s">
        <v>13</v>
      </c>
      <c r="E14" s="2">
        <v>2000000</v>
      </c>
      <c r="F14" s="12"/>
      <c r="G14" s="1"/>
      <c r="H14" s="130"/>
      <c r="I14" s="169"/>
      <c r="J14" s="169"/>
      <c r="K14" s="165"/>
    </row>
    <row r="15" spans="1:11" s="2" customFormat="1" ht="14.25" customHeight="1" x14ac:dyDescent="0.2">
      <c r="A15" s="89">
        <v>45247</v>
      </c>
      <c r="B15" s="9" t="s">
        <v>11</v>
      </c>
      <c r="C15" s="76" t="s">
        <v>62</v>
      </c>
      <c r="D15" s="11" t="s">
        <v>29</v>
      </c>
      <c r="F15" s="12">
        <v>30000</v>
      </c>
      <c r="G15" s="1"/>
      <c r="H15" s="130"/>
      <c r="I15" s="169"/>
      <c r="J15" s="169"/>
      <c r="K15" s="165"/>
    </row>
    <row r="16" spans="1:11" s="2" customFormat="1" ht="14.25" customHeight="1" x14ac:dyDescent="0.2">
      <c r="A16" s="89">
        <v>45247</v>
      </c>
      <c r="B16" s="9" t="s">
        <v>11</v>
      </c>
      <c r="C16" s="76" t="s">
        <v>685</v>
      </c>
      <c r="D16" s="11" t="s">
        <v>29</v>
      </c>
      <c r="F16" s="12">
        <v>79980</v>
      </c>
      <c r="G16" s="1"/>
      <c r="H16" s="130"/>
      <c r="I16" s="169"/>
      <c r="J16" s="169"/>
      <c r="K16" s="165"/>
    </row>
    <row r="17" spans="1:13" s="2" customFormat="1" ht="14.25" customHeight="1" x14ac:dyDescent="0.2">
      <c r="A17" s="89">
        <v>45247</v>
      </c>
      <c r="B17" s="9" t="s">
        <v>11</v>
      </c>
      <c r="C17" s="76" t="s">
        <v>525</v>
      </c>
      <c r="D17" s="11" t="s">
        <v>29</v>
      </c>
      <c r="F17" s="12">
        <v>1000000</v>
      </c>
      <c r="G17" s="1"/>
      <c r="H17" s="130"/>
      <c r="I17" s="169"/>
      <c r="J17" s="169"/>
      <c r="K17" s="165"/>
    </row>
    <row r="18" spans="1:13" s="2" customFormat="1" ht="14.25" customHeight="1" x14ac:dyDescent="0.2">
      <c r="A18" s="89">
        <v>45247</v>
      </c>
      <c r="B18" s="9" t="s">
        <v>11</v>
      </c>
      <c r="C18" s="76" t="s">
        <v>57</v>
      </c>
      <c r="D18" s="11" t="s">
        <v>29</v>
      </c>
      <c r="F18" s="12">
        <v>100000</v>
      </c>
      <c r="G18" s="1"/>
      <c r="H18" s="130"/>
      <c r="I18" s="169"/>
      <c r="J18" s="169"/>
      <c r="K18" s="165"/>
    </row>
    <row r="19" spans="1:13" s="2" customFormat="1" ht="14.25" customHeight="1" x14ac:dyDescent="0.2">
      <c r="A19" s="89">
        <v>45247</v>
      </c>
      <c r="B19" s="9" t="s">
        <v>11</v>
      </c>
      <c r="C19" s="76" t="s">
        <v>1111</v>
      </c>
      <c r="D19" s="11" t="s">
        <v>29</v>
      </c>
      <c r="F19" s="12">
        <v>33660</v>
      </c>
      <c r="G19" s="1"/>
      <c r="H19" s="130"/>
      <c r="I19" s="169"/>
      <c r="J19" s="169"/>
      <c r="K19" s="165"/>
    </row>
    <row r="20" spans="1:13" s="2" customFormat="1" ht="14.25" customHeight="1" x14ac:dyDescent="0.2">
      <c r="A20" s="89">
        <v>45247</v>
      </c>
      <c r="B20" s="9" t="s">
        <v>11</v>
      </c>
      <c r="C20" s="76" t="s">
        <v>1703</v>
      </c>
      <c r="D20" s="11" t="s">
        <v>29</v>
      </c>
      <c r="F20" s="12">
        <v>1665</v>
      </c>
      <c r="G20" s="1"/>
      <c r="H20" s="130"/>
      <c r="I20" s="169"/>
      <c r="J20" s="169"/>
      <c r="K20" s="165"/>
    </row>
    <row r="21" spans="1:13" s="2" customFormat="1" ht="14.25" customHeight="1" x14ac:dyDescent="0.2">
      <c r="A21" s="89">
        <v>45247</v>
      </c>
      <c r="B21" s="9" t="s">
        <v>11</v>
      </c>
      <c r="C21" s="76" t="s">
        <v>1771</v>
      </c>
      <c r="D21" s="11" t="s">
        <v>29</v>
      </c>
      <c r="F21" s="12">
        <v>726288</v>
      </c>
      <c r="G21" s="1"/>
      <c r="H21" s="130"/>
      <c r="I21" s="169"/>
      <c r="J21" s="169"/>
      <c r="K21" s="165"/>
    </row>
    <row r="22" spans="1:13" s="2" customFormat="1" ht="14.25" customHeight="1" x14ac:dyDescent="0.2">
      <c r="A22" s="89">
        <v>45247</v>
      </c>
      <c r="B22" s="9" t="s">
        <v>11</v>
      </c>
      <c r="C22" s="76" t="s">
        <v>1772</v>
      </c>
      <c r="D22" s="11" t="s">
        <v>29</v>
      </c>
      <c r="F22" s="12">
        <v>13895.1</v>
      </c>
      <c r="G22" s="1"/>
      <c r="H22" s="130"/>
      <c r="I22" s="169"/>
      <c r="J22" s="169"/>
      <c r="K22" s="165"/>
    </row>
    <row r="23" spans="1:13" s="2" customFormat="1" ht="14.25" customHeight="1" x14ac:dyDescent="0.2">
      <c r="A23" s="89">
        <v>45247</v>
      </c>
      <c r="B23" s="9" t="s">
        <v>11</v>
      </c>
      <c r="C23" s="76" t="s">
        <v>774</v>
      </c>
      <c r="D23" s="11" t="s">
        <v>29</v>
      </c>
      <c r="F23" s="12">
        <v>50000</v>
      </c>
      <c r="G23" s="1"/>
      <c r="H23" s="130"/>
      <c r="I23" s="169"/>
      <c r="J23" s="169"/>
      <c r="K23" s="165"/>
    </row>
    <row r="24" spans="1:13" s="2" customFormat="1" ht="14.25" customHeight="1" x14ac:dyDescent="0.2">
      <c r="A24" s="89">
        <v>45247</v>
      </c>
      <c r="B24" s="9" t="s">
        <v>11</v>
      </c>
      <c r="C24" s="76" t="s">
        <v>171</v>
      </c>
      <c r="D24" s="11" t="s">
        <v>29</v>
      </c>
      <c r="F24" s="12">
        <v>5000</v>
      </c>
      <c r="G24" s="1"/>
      <c r="H24" s="130"/>
      <c r="I24" s="169"/>
      <c r="J24" s="169"/>
      <c r="K24" s="165"/>
    </row>
    <row r="25" spans="1:13" s="2" customFormat="1" ht="14.25" customHeight="1" x14ac:dyDescent="0.2">
      <c r="A25" s="89">
        <v>45247</v>
      </c>
      <c r="B25" s="9" t="s">
        <v>11</v>
      </c>
      <c r="C25" s="76" t="s">
        <v>1137</v>
      </c>
      <c r="D25" s="11" t="s">
        <v>29</v>
      </c>
      <c r="F25" s="12">
        <v>110268.5</v>
      </c>
      <c r="G25" s="1"/>
      <c r="H25" s="130"/>
      <c r="I25" s="169"/>
      <c r="J25" s="169"/>
      <c r="K25" s="165"/>
    </row>
    <row r="26" spans="1:13" s="2" customFormat="1" ht="14.25" customHeight="1" x14ac:dyDescent="0.2">
      <c r="D26" s="11" t="s">
        <v>8</v>
      </c>
      <c r="E26" s="16">
        <f>SUM(E14:E25)</f>
        <v>2000000</v>
      </c>
      <c r="F26" s="16">
        <f>SUM(F13:F25)</f>
        <v>31992844.069999997</v>
      </c>
      <c r="G26" s="1"/>
      <c r="H26" s="143"/>
      <c r="I26" s="130"/>
      <c r="J26" s="143"/>
      <c r="K26" s="143"/>
      <c r="L26" s="143"/>
      <c r="M26" s="143"/>
    </row>
    <row r="27" spans="1:13" s="2" customFormat="1" ht="14.25" customHeight="1" x14ac:dyDescent="0.4">
      <c r="A27" s="17"/>
      <c r="B27" s="18"/>
      <c r="C27" s="96" t="s">
        <v>9</v>
      </c>
      <c r="D27" s="20"/>
      <c r="E27" s="21">
        <f>+F26-E26</f>
        <v>29992844.069999997</v>
      </c>
      <c r="G27" s="1"/>
      <c r="I27" s="112"/>
      <c r="J27" s="153" t="s">
        <v>779</v>
      </c>
    </row>
    <row r="28" spans="1:13" s="2" customFormat="1" ht="14.25" customHeight="1" x14ac:dyDescent="0.2">
      <c r="A28" s="36"/>
      <c r="B28" s="28" t="s">
        <v>66</v>
      </c>
      <c r="C28" s="43" t="s">
        <v>1458</v>
      </c>
      <c r="D28" s="43"/>
      <c r="E28" s="12">
        <f>30000000+60000000</f>
        <v>90000000</v>
      </c>
      <c r="F28" s="22"/>
      <c r="G28" s="1"/>
      <c r="I28" s="40">
        <v>29992844.07</v>
      </c>
      <c r="J28" s="154">
        <f>I28-E27</f>
        <v>0</v>
      </c>
    </row>
    <row r="29" spans="1:13" s="2" customFormat="1" ht="14.25" customHeight="1" x14ac:dyDescent="0.25">
      <c r="A29" s="36"/>
      <c r="B29" s="28"/>
      <c r="C29" s="44" t="s">
        <v>1541</v>
      </c>
      <c r="D29" s="43"/>
      <c r="E29" s="7">
        <f>+E27+E28</f>
        <v>119992844.06999999</v>
      </c>
      <c r="F29" s="22"/>
      <c r="G29" s="1"/>
      <c r="H29" s="13" t="s">
        <v>1582</v>
      </c>
      <c r="I29" s="13" t="s">
        <v>1583</v>
      </c>
    </row>
    <row r="30" spans="1:13" s="2" customFormat="1" ht="14.25" customHeight="1" x14ac:dyDescent="0.25">
      <c r="A30" s="36"/>
      <c r="B30" s="28"/>
      <c r="C30" s="44" t="s">
        <v>1511</v>
      </c>
      <c r="D30" s="43"/>
      <c r="E30" s="38">
        <f>+I13</f>
        <v>7155.929999999702</v>
      </c>
      <c r="F30" s="22"/>
      <c r="G30" s="1"/>
      <c r="H30" s="2">
        <v>2836774</v>
      </c>
      <c r="I30" s="2">
        <v>51011</v>
      </c>
      <c r="J30" s="176">
        <f>H30-I30</f>
        <v>2785763</v>
      </c>
    </row>
    <row r="31" spans="1:13" s="2" customFormat="1" ht="14.25" customHeight="1" x14ac:dyDescent="0.2">
      <c r="A31" s="24"/>
      <c r="B31" s="1"/>
      <c r="C31" s="14"/>
      <c r="D31" s="25"/>
      <c r="G31" s="1"/>
      <c r="I31" s="130"/>
      <c r="J31" s="130"/>
    </row>
    <row r="32" spans="1:13" s="2" customFormat="1" x14ac:dyDescent="0.2">
      <c r="A32" s="214" t="s">
        <v>10</v>
      </c>
      <c r="B32" s="214"/>
      <c r="C32" s="214"/>
      <c r="D32" s="214"/>
      <c r="E32" s="214"/>
      <c r="F32" s="214"/>
      <c r="G32" s="1"/>
      <c r="H32" s="159"/>
      <c r="I32" s="160">
        <f>225000000-75000000-50000000</f>
        <v>100000000</v>
      </c>
      <c r="J32" s="160" t="s">
        <v>1506</v>
      </c>
      <c r="K32" s="70"/>
    </row>
    <row r="33" spans="1:14" s="2" customFormat="1" x14ac:dyDescent="0.2">
      <c r="A33" s="26" t="s">
        <v>1</v>
      </c>
      <c r="B33" s="27" t="s">
        <v>2</v>
      </c>
      <c r="C33" s="5"/>
      <c r="D33" s="6" t="s">
        <v>3</v>
      </c>
      <c r="E33" s="7" t="s">
        <v>4</v>
      </c>
      <c r="F33" s="7" t="s">
        <v>5</v>
      </c>
      <c r="G33" s="1"/>
      <c r="H33" s="159"/>
      <c r="I33" s="160">
        <v>86618918.359999999</v>
      </c>
      <c r="J33" s="160" t="s">
        <v>1507</v>
      </c>
      <c r="K33" s="70" t="s">
        <v>1512</v>
      </c>
    </row>
    <row r="34" spans="1:14" s="2" customFormat="1" x14ac:dyDescent="0.2">
      <c r="A34" s="89">
        <v>45247</v>
      </c>
      <c r="B34" s="128" t="s">
        <v>11</v>
      </c>
      <c r="C34" s="29" t="s">
        <v>7</v>
      </c>
      <c r="D34" s="25"/>
      <c r="E34" s="31"/>
      <c r="F34" s="2">
        <v>90980554.350000098</v>
      </c>
      <c r="G34" s="23"/>
      <c r="H34" s="159" t="s">
        <v>1505</v>
      </c>
      <c r="I34" s="160">
        <f>+I32-I33</f>
        <v>13381081.640000001</v>
      </c>
      <c r="J34" s="160"/>
      <c r="K34" s="70"/>
    </row>
    <row r="35" spans="1:14" s="2" customFormat="1" x14ac:dyDescent="0.2">
      <c r="A35" s="89">
        <v>45247</v>
      </c>
      <c r="B35" s="128" t="s">
        <v>6</v>
      </c>
      <c r="C35" s="10" t="s">
        <v>749</v>
      </c>
      <c r="D35" s="11" t="s">
        <v>13</v>
      </c>
      <c r="E35" s="86">
        <v>1860732.98</v>
      </c>
      <c r="F35" s="70"/>
      <c r="G35" s="1"/>
      <c r="N35" s="1"/>
    </row>
    <row r="36" spans="1:14" s="2" customFormat="1" x14ac:dyDescent="0.2">
      <c r="A36" s="89">
        <v>45247</v>
      </c>
      <c r="B36" s="128" t="s">
        <v>6</v>
      </c>
      <c r="C36" s="10" t="s">
        <v>765</v>
      </c>
      <c r="D36" s="11" t="s">
        <v>13</v>
      </c>
      <c r="E36" s="86">
        <v>2663929.71</v>
      </c>
      <c r="F36" s="70"/>
      <c r="G36" s="1"/>
      <c r="N36" s="1"/>
    </row>
    <row r="37" spans="1:14" s="2" customFormat="1" x14ac:dyDescent="0.2">
      <c r="A37" s="89">
        <v>45247</v>
      </c>
      <c r="B37" s="128" t="s">
        <v>6</v>
      </c>
      <c r="C37" s="10" t="s">
        <v>748</v>
      </c>
      <c r="D37" s="11" t="s">
        <v>13</v>
      </c>
      <c r="E37" s="86">
        <v>1155631.82</v>
      </c>
      <c r="F37" s="70"/>
      <c r="G37" s="1"/>
      <c r="N37" s="1"/>
    </row>
    <row r="38" spans="1:14" s="2" customFormat="1" x14ac:dyDescent="0.2">
      <c r="A38" s="89">
        <v>45247</v>
      </c>
      <c r="B38" s="128" t="s">
        <v>6</v>
      </c>
      <c r="C38" s="10" t="s">
        <v>759</v>
      </c>
      <c r="D38" s="11" t="s">
        <v>13</v>
      </c>
      <c r="E38" s="86">
        <v>906206.92</v>
      </c>
      <c r="F38" s="70"/>
      <c r="G38" s="1"/>
      <c r="N38" s="1"/>
    </row>
    <row r="39" spans="1:14" s="2" customFormat="1" x14ac:dyDescent="0.2">
      <c r="A39" s="89">
        <v>45247</v>
      </c>
      <c r="B39" s="128" t="s">
        <v>6</v>
      </c>
      <c r="C39" s="10" t="s">
        <v>757</v>
      </c>
      <c r="D39" s="11" t="s">
        <v>13</v>
      </c>
      <c r="E39" s="86">
        <v>495212.06</v>
      </c>
      <c r="F39" s="70"/>
      <c r="G39" s="1"/>
      <c r="N39" s="1"/>
    </row>
    <row r="40" spans="1:14" s="2" customFormat="1" x14ac:dyDescent="0.2">
      <c r="A40" s="89">
        <v>45247</v>
      </c>
      <c r="B40" s="128" t="s">
        <v>6</v>
      </c>
      <c r="C40" s="10" t="s">
        <v>332</v>
      </c>
      <c r="D40" s="11" t="s">
        <v>13</v>
      </c>
      <c r="E40" s="86">
        <v>54661</v>
      </c>
      <c r="F40" s="70"/>
      <c r="G40" s="1"/>
      <c r="N40" s="1"/>
    </row>
    <row r="41" spans="1:14" s="2" customFormat="1" x14ac:dyDescent="0.2">
      <c r="A41" s="89">
        <v>45247</v>
      </c>
      <c r="B41" s="128" t="s">
        <v>6</v>
      </c>
      <c r="C41" s="10" t="s">
        <v>516</v>
      </c>
      <c r="D41" s="11" t="s">
        <v>13</v>
      </c>
      <c r="E41" s="86">
        <v>60000</v>
      </c>
      <c r="F41" s="70"/>
      <c r="G41" s="1"/>
      <c r="N41" s="1"/>
    </row>
    <row r="42" spans="1:14" s="2" customFormat="1" x14ac:dyDescent="0.2">
      <c r="A42" s="89">
        <v>45247</v>
      </c>
      <c r="B42" s="128" t="s">
        <v>6</v>
      </c>
      <c r="C42" s="10" t="s">
        <v>555</v>
      </c>
      <c r="D42" s="11" t="s">
        <v>13</v>
      </c>
      <c r="E42" s="86">
        <v>1148057</v>
      </c>
      <c r="F42" s="70"/>
      <c r="G42" s="1"/>
      <c r="N42" s="1"/>
    </row>
    <row r="43" spans="1:14" s="2" customFormat="1" x14ac:dyDescent="0.2">
      <c r="A43" s="89">
        <v>45247</v>
      </c>
      <c r="B43" s="128" t="s">
        <v>6</v>
      </c>
      <c r="C43" s="10" t="s">
        <v>105</v>
      </c>
      <c r="D43" s="11" t="s">
        <v>13</v>
      </c>
      <c r="E43" s="86">
        <v>202591</v>
      </c>
      <c r="F43" s="70"/>
      <c r="G43" s="1"/>
      <c r="N43" s="1"/>
    </row>
    <row r="44" spans="1:14" s="2" customFormat="1" x14ac:dyDescent="0.2">
      <c r="A44" s="89">
        <v>45247</v>
      </c>
      <c r="B44" s="128" t="s">
        <v>6</v>
      </c>
      <c r="C44" s="10" t="s">
        <v>385</v>
      </c>
      <c r="D44" s="11" t="s">
        <v>13</v>
      </c>
      <c r="E44" s="86">
        <v>278776</v>
      </c>
      <c r="F44" s="70"/>
      <c r="G44" s="1"/>
      <c r="N44" s="1"/>
    </row>
    <row r="45" spans="1:14" s="2" customFormat="1" x14ac:dyDescent="0.2">
      <c r="A45" s="89">
        <v>45247</v>
      </c>
      <c r="B45" s="128" t="s">
        <v>6</v>
      </c>
      <c r="C45" s="10" t="s">
        <v>1185</v>
      </c>
      <c r="D45" s="11" t="s">
        <v>13</v>
      </c>
      <c r="E45" s="86">
        <v>263159</v>
      </c>
      <c r="F45" s="70"/>
      <c r="G45" s="1"/>
      <c r="N45" s="1"/>
    </row>
    <row r="46" spans="1:14" s="2" customFormat="1" x14ac:dyDescent="0.2">
      <c r="A46" s="89">
        <v>45247</v>
      </c>
      <c r="B46" s="128" t="s">
        <v>6</v>
      </c>
      <c r="C46" s="10" t="s">
        <v>955</v>
      </c>
      <c r="D46" s="11" t="s">
        <v>13</v>
      </c>
      <c r="E46" s="86">
        <v>1134932.92</v>
      </c>
      <c r="F46" s="70"/>
      <c r="G46" s="1"/>
      <c r="N46" s="1"/>
    </row>
    <row r="47" spans="1:14" s="2" customFormat="1" x14ac:dyDescent="0.2">
      <c r="A47" s="89">
        <v>45247</v>
      </c>
      <c r="B47" s="128" t="s">
        <v>6</v>
      </c>
      <c r="C47" s="10" t="s">
        <v>681</v>
      </c>
      <c r="D47" s="11" t="s">
        <v>13</v>
      </c>
      <c r="E47" s="86">
        <v>584900.24</v>
      </c>
      <c r="F47" s="70"/>
      <c r="G47" s="1"/>
      <c r="N47" s="1"/>
    </row>
    <row r="48" spans="1:14" s="2" customFormat="1" x14ac:dyDescent="0.2">
      <c r="A48" s="89">
        <v>45247</v>
      </c>
      <c r="B48" s="128" t="s">
        <v>6</v>
      </c>
      <c r="C48" s="10" t="s">
        <v>149</v>
      </c>
      <c r="D48" s="11" t="s">
        <v>13</v>
      </c>
      <c r="E48" s="86">
        <v>103336</v>
      </c>
      <c r="F48" s="70"/>
      <c r="G48" s="1"/>
      <c r="N48" s="1"/>
    </row>
    <row r="49" spans="1:14" s="2" customFormat="1" x14ac:dyDescent="0.2">
      <c r="A49" s="89">
        <v>45247</v>
      </c>
      <c r="B49" s="128" t="s">
        <v>6</v>
      </c>
      <c r="C49" s="10" t="s">
        <v>120</v>
      </c>
      <c r="D49" s="11" t="s">
        <v>13</v>
      </c>
      <c r="E49" s="86">
        <v>1432140</v>
      </c>
      <c r="F49" s="70"/>
      <c r="G49" s="1"/>
      <c r="N49" s="1"/>
    </row>
    <row r="50" spans="1:14" s="2" customFormat="1" x14ac:dyDescent="0.2">
      <c r="A50" s="89">
        <v>45247</v>
      </c>
      <c r="B50" s="128" t="s">
        <v>6</v>
      </c>
      <c r="C50" s="10" t="s">
        <v>389</v>
      </c>
      <c r="D50" s="11" t="s">
        <v>13</v>
      </c>
      <c r="E50" s="86">
        <v>2450489.58</v>
      </c>
      <c r="F50" s="70"/>
      <c r="G50" s="1"/>
      <c r="N50" s="1"/>
    </row>
    <row r="51" spans="1:14" s="2" customFormat="1" x14ac:dyDescent="0.2">
      <c r="A51" s="89">
        <v>45247</v>
      </c>
      <c r="B51" s="128" t="s">
        <v>6</v>
      </c>
      <c r="C51" s="10" t="s">
        <v>379</v>
      </c>
      <c r="D51" s="11" t="s">
        <v>13</v>
      </c>
      <c r="E51" s="86">
        <v>372744.93</v>
      </c>
      <c r="F51" s="70"/>
      <c r="G51" s="1"/>
      <c r="N51" s="1"/>
    </row>
    <row r="52" spans="1:14" s="2" customFormat="1" x14ac:dyDescent="0.2">
      <c r="A52" s="89">
        <v>45247</v>
      </c>
      <c r="B52" s="128" t="s">
        <v>6</v>
      </c>
      <c r="C52" s="10" t="s">
        <v>1773</v>
      </c>
      <c r="D52" s="11" t="s">
        <v>13</v>
      </c>
      <c r="E52" s="86">
        <v>898692.56</v>
      </c>
      <c r="F52" s="70"/>
      <c r="G52" s="1"/>
      <c r="N52" s="1"/>
    </row>
    <row r="53" spans="1:14" s="2" customFormat="1" x14ac:dyDescent="0.2">
      <c r="A53" s="89">
        <v>45247</v>
      </c>
      <c r="B53" s="128" t="s">
        <v>6</v>
      </c>
      <c r="C53" s="10" t="s">
        <v>19</v>
      </c>
      <c r="D53" s="11" t="s">
        <v>13</v>
      </c>
      <c r="E53" s="86">
        <v>2360</v>
      </c>
      <c r="F53" s="70"/>
      <c r="G53" s="1"/>
      <c r="N53" s="1"/>
    </row>
    <row r="54" spans="1:14" s="2" customFormat="1" x14ac:dyDescent="0.2">
      <c r="A54" s="89">
        <v>45247</v>
      </c>
      <c r="B54" s="128" t="s">
        <v>6</v>
      </c>
      <c r="C54" s="10" t="s">
        <v>947</v>
      </c>
      <c r="D54" s="11" t="s">
        <v>13</v>
      </c>
      <c r="E54" s="86">
        <v>1967</v>
      </c>
      <c r="F54" s="70"/>
      <c r="G54" s="1"/>
      <c r="N54" s="1"/>
    </row>
    <row r="55" spans="1:14" s="2" customFormat="1" x14ac:dyDescent="0.2">
      <c r="A55" s="89">
        <v>45247</v>
      </c>
      <c r="B55" s="128" t="s">
        <v>6</v>
      </c>
      <c r="C55" s="10" t="s">
        <v>1706</v>
      </c>
      <c r="D55" s="11" t="s">
        <v>13</v>
      </c>
      <c r="E55" s="86">
        <v>2115436</v>
      </c>
      <c r="F55" s="70"/>
      <c r="G55" s="1"/>
      <c r="N55" s="1"/>
    </row>
    <row r="56" spans="1:14" s="2" customFormat="1" x14ac:dyDescent="0.2">
      <c r="A56" s="89">
        <v>45247</v>
      </c>
      <c r="B56" s="128" t="s">
        <v>6</v>
      </c>
      <c r="C56" s="10" t="s">
        <v>771</v>
      </c>
      <c r="D56" s="11" t="s">
        <v>13</v>
      </c>
      <c r="E56" s="86">
        <v>57299</v>
      </c>
      <c r="F56" s="70"/>
      <c r="G56" s="1"/>
      <c r="N56" s="1"/>
    </row>
    <row r="57" spans="1:14" s="2" customFormat="1" x14ac:dyDescent="0.2">
      <c r="A57" s="89">
        <v>45247</v>
      </c>
      <c r="B57" s="128" t="s">
        <v>6</v>
      </c>
      <c r="C57" s="10" t="s">
        <v>1774</v>
      </c>
      <c r="D57" s="11" t="s">
        <v>13</v>
      </c>
      <c r="E57" s="86">
        <v>175173.76000000001</v>
      </c>
      <c r="F57" s="70"/>
      <c r="G57" s="1"/>
      <c r="N57" s="1"/>
    </row>
    <row r="58" spans="1:14" s="2" customFormat="1" x14ac:dyDescent="0.2">
      <c r="A58" s="89">
        <v>45247</v>
      </c>
      <c r="B58" s="128" t="s">
        <v>6</v>
      </c>
      <c r="C58" s="10" t="s">
        <v>64</v>
      </c>
      <c r="D58" s="11" t="s">
        <v>29</v>
      </c>
      <c r="E58" s="86"/>
      <c r="F58" s="70">
        <v>37682.11</v>
      </c>
      <c r="G58" s="1"/>
      <c r="N58" s="1"/>
    </row>
    <row r="59" spans="1:14" s="2" customFormat="1" x14ac:dyDescent="0.2">
      <c r="A59" s="89">
        <v>45247</v>
      </c>
      <c r="B59" s="128" t="s">
        <v>11</v>
      </c>
      <c r="C59" s="10" t="s">
        <v>32</v>
      </c>
      <c r="D59" s="11" t="s">
        <v>29</v>
      </c>
      <c r="E59" s="86"/>
      <c r="F59" s="70">
        <v>765396</v>
      </c>
      <c r="G59" s="1"/>
      <c r="N59" s="1"/>
    </row>
    <row r="60" spans="1:14" s="2" customFormat="1" x14ac:dyDescent="0.2">
      <c r="A60" s="89">
        <v>45247</v>
      </c>
      <c r="B60" s="128" t="s">
        <v>11</v>
      </c>
      <c r="C60" s="10" t="s">
        <v>279</v>
      </c>
      <c r="D60" s="11" t="s">
        <v>29</v>
      </c>
      <c r="E60" s="86"/>
      <c r="F60" s="70">
        <v>2831565</v>
      </c>
      <c r="G60" s="1"/>
      <c r="N60" s="1"/>
    </row>
    <row r="61" spans="1:14" s="2" customFormat="1" x14ac:dyDescent="0.2">
      <c r="A61" s="89">
        <v>45247</v>
      </c>
      <c r="B61" s="128" t="s">
        <v>11</v>
      </c>
      <c r="C61" s="10" t="s">
        <v>57</v>
      </c>
      <c r="D61" s="11" t="s">
        <v>29</v>
      </c>
      <c r="E61" s="86"/>
      <c r="F61" s="70">
        <v>2000000</v>
      </c>
      <c r="G61" s="1"/>
      <c r="N61" s="1"/>
    </row>
    <row r="62" spans="1:14" s="2" customFormat="1" x14ac:dyDescent="0.2">
      <c r="A62" s="89">
        <v>45247</v>
      </c>
      <c r="B62" s="128" t="s">
        <v>11</v>
      </c>
      <c r="C62" s="10" t="s">
        <v>111</v>
      </c>
      <c r="D62" s="11" t="s">
        <v>29</v>
      </c>
      <c r="E62" s="86"/>
      <c r="F62" s="70">
        <v>5636387.3799999999</v>
      </c>
      <c r="G62" s="1"/>
      <c r="N62" s="1"/>
    </row>
    <row r="63" spans="1:14" s="2" customFormat="1" x14ac:dyDescent="0.2">
      <c r="A63" s="32"/>
      <c r="B63" s="33"/>
      <c r="C63" s="14"/>
      <c r="D63" s="34"/>
      <c r="E63" s="16">
        <f>SUM(E34:E62)</f>
        <v>18418429.48</v>
      </c>
      <c r="F63" s="16">
        <f>SUM(F34:F62)</f>
        <v>102251584.84000009</v>
      </c>
      <c r="G63" s="1"/>
      <c r="H63" s="1"/>
      <c r="I63" s="38">
        <v>83833155.359999999</v>
      </c>
      <c r="K63" s="92">
        <f>E64-I63</f>
        <v>0</v>
      </c>
      <c r="N63" s="1"/>
    </row>
    <row r="64" spans="1:14" s="2" customFormat="1" x14ac:dyDescent="0.2">
      <c r="A64" s="36"/>
      <c r="B64" s="28" t="s">
        <v>11</v>
      </c>
      <c r="C64" s="19" t="s">
        <v>65</v>
      </c>
      <c r="D64" s="37"/>
      <c r="E64" s="38">
        <f>F63-E63</f>
        <v>83833155.360000089</v>
      </c>
      <c r="F64" s="22"/>
      <c r="G64" s="1"/>
      <c r="H64" s="1"/>
      <c r="I64" s="70"/>
      <c r="J64" s="70"/>
      <c r="K64" s="70"/>
      <c r="N64" s="1"/>
    </row>
    <row r="65" spans="1:14" s="2" customFormat="1" x14ac:dyDescent="0.2">
      <c r="A65" s="36"/>
      <c r="B65" s="28" t="s">
        <v>66</v>
      </c>
      <c r="C65" s="19" t="s">
        <v>67</v>
      </c>
      <c r="D65" s="37"/>
      <c r="E65" s="38">
        <v>6500000</v>
      </c>
      <c r="F65" s="22"/>
      <c r="G65" s="1"/>
      <c r="H65" s="70"/>
      <c r="I65" s="70"/>
      <c r="J65" s="70"/>
      <c r="K65" s="70"/>
      <c r="N65" s="1"/>
    </row>
    <row r="66" spans="1:14" s="2" customFormat="1" x14ac:dyDescent="0.2">
      <c r="A66" s="36"/>
      <c r="B66" s="28" t="s">
        <v>66</v>
      </c>
      <c r="C66" s="43" t="s">
        <v>1457</v>
      </c>
      <c r="D66" s="43"/>
      <c r="E66" s="12">
        <f>275000000+75000000+50000000</f>
        <v>400000000</v>
      </c>
      <c r="F66" s="22"/>
      <c r="G66" s="1"/>
      <c r="H66" s="70"/>
      <c r="I66" s="45">
        <v>1894.98</v>
      </c>
      <c r="J66" s="46"/>
      <c r="K66" s="46"/>
      <c r="N66" s="1"/>
    </row>
    <row r="67" spans="1:14" s="2" customFormat="1" ht="15" x14ac:dyDescent="0.25">
      <c r="A67" s="36"/>
      <c r="B67" s="28"/>
      <c r="C67" s="44" t="s">
        <v>1541</v>
      </c>
      <c r="D67" s="43"/>
      <c r="E67" s="7">
        <f>+E66+E64+E65</f>
        <v>490333155.36000007</v>
      </c>
      <c r="F67" s="22"/>
      <c r="G67" s="1"/>
      <c r="H67" s="103" t="s">
        <v>69</v>
      </c>
      <c r="I67" s="45">
        <v>-10.72</v>
      </c>
      <c r="J67" s="46"/>
      <c r="K67" s="46"/>
      <c r="N67" s="1"/>
    </row>
    <row r="68" spans="1:14" s="2" customFormat="1" ht="15" x14ac:dyDescent="0.25">
      <c r="A68" s="24"/>
      <c r="B68" s="1"/>
      <c r="C68" s="44" t="s">
        <v>1510</v>
      </c>
      <c r="D68" s="25"/>
      <c r="E68" s="156">
        <f>+I34-E65+H30-I30</f>
        <v>9666844.6400000006</v>
      </c>
      <c r="G68" s="1"/>
      <c r="H68" s="35" t="s">
        <v>70</v>
      </c>
      <c r="I68" s="45">
        <v>22.98</v>
      </c>
      <c r="J68" s="46">
        <f>+I69-D71</f>
        <v>0</v>
      </c>
      <c r="N68" s="1"/>
    </row>
    <row r="69" spans="1:14" s="124" customFormat="1" ht="12.75" customHeight="1" x14ac:dyDescent="0.2">
      <c r="A69" s="24"/>
      <c r="B69" s="1"/>
      <c r="C69" s="56"/>
      <c r="D69" s="56"/>
      <c r="E69" s="104"/>
      <c r="F69" s="2"/>
      <c r="G69" s="166"/>
      <c r="H69" s="70"/>
      <c r="I69" s="49">
        <f>SUM(I66:I68)</f>
        <v>1907.24</v>
      </c>
      <c r="J69" s="46"/>
      <c r="K69" s="46"/>
    </row>
    <row r="70" spans="1:14" s="124" customFormat="1" ht="12.75" customHeight="1" x14ac:dyDescent="0.2">
      <c r="A70" s="24"/>
      <c r="B70" s="1"/>
      <c r="C70" s="78" t="s">
        <v>575</v>
      </c>
      <c r="D70" s="48" t="s">
        <v>576</v>
      </c>
      <c r="E70" s="104"/>
      <c r="F70" s="2"/>
      <c r="G70" s="168"/>
      <c r="H70" s="167"/>
      <c r="I70" s="167"/>
      <c r="J70" s="168"/>
    </row>
    <row r="71" spans="1:14" s="124" customFormat="1" ht="12.75" customHeight="1" x14ac:dyDescent="0.2">
      <c r="A71" s="24"/>
      <c r="B71" s="1"/>
      <c r="C71" s="47" t="s">
        <v>570</v>
      </c>
      <c r="D71" s="111">
        <v>1907.24</v>
      </c>
      <c r="E71" s="104"/>
      <c r="F71" s="2"/>
      <c r="G71" s="168"/>
      <c r="H71" s="110" t="s">
        <v>581</v>
      </c>
      <c r="I71" s="167"/>
      <c r="J71" s="168"/>
    </row>
    <row r="72" spans="1:14" s="124" customFormat="1" ht="12.75" customHeight="1" x14ac:dyDescent="0.2">
      <c r="A72" s="24"/>
      <c r="B72" s="1"/>
      <c r="C72" s="47" t="s">
        <v>931</v>
      </c>
      <c r="D72" s="111">
        <v>111.32</v>
      </c>
      <c r="E72" s="104"/>
      <c r="F72" s="2"/>
      <c r="G72" s="168"/>
      <c r="H72" s="110" t="s">
        <v>580</v>
      </c>
      <c r="I72" s="167"/>
      <c r="J72" s="168"/>
    </row>
    <row r="73" spans="1:14" s="124" customFormat="1" ht="12.75" customHeight="1" x14ac:dyDescent="0.2">
      <c r="A73" s="24"/>
      <c r="B73" s="1"/>
      <c r="C73" s="47" t="s">
        <v>572</v>
      </c>
      <c r="D73" s="111">
        <f>+D98/100000</f>
        <v>204.3038195</v>
      </c>
      <c r="E73" s="104"/>
      <c r="F73" s="2"/>
      <c r="G73" s="166"/>
      <c r="H73" s="90" t="s">
        <v>587</v>
      </c>
      <c r="I73" s="167"/>
      <c r="J73" s="168"/>
    </row>
    <row r="74" spans="1:14" s="2" customFormat="1" x14ac:dyDescent="0.2">
      <c r="A74" s="24"/>
      <c r="B74" s="1"/>
      <c r="C74" s="108" t="s">
        <v>578</v>
      </c>
      <c r="D74" s="48">
        <f>SUM(D71:D73)</f>
        <v>2222.8638194999999</v>
      </c>
      <c r="E74" s="104"/>
      <c r="G74" s="30"/>
      <c r="I74" s="13"/>
      <c r="J74" s="13"/>
    </row>
    <row r="75" spans="1:14" s="70" customFormat="1" x14ac:dyDescent="0.2">
      <c r="A75" s="24"/>
      <c r="B75" s="1"/>
      <c r="C75" s="47"/>
      <c r="D75" s="107"/>
      <c r="E75" s="104"/>
      <c r="F75" s="2"/>
      <c r="G75" s="30"/>
      <c r="H75" s="2"/>
    </row>
    <row r="76" spans="1:14" s="70" customFormat="1" x14ac:dyDescent="0.2">
      <c r="A76" s="24"/>
      <c r="B76" s="1"/>
      <c r="C76" s="47" t="s">
        <v>932</v>
      </c>
      <c r="D76" s="111">
        <v>11.99</v>
      </c>
      <c r="E76" s="104"/>
      <c r="F76" s="2"/>
      <c r="G76" s="30"/>
      <c r="H76" s="110" t="s">
        <v>581</v>
      </c>
    </row>
    <row r="77" spans="1:14" s="70" customFormat="1" x14ac:dyDescent="0.2">
      <c r="A77" s="24"/>
      <c r="B77" s="1"/>
      <c r="C77" s="136" t="s">
        <v>1142</v>
      </c>
      <c r="D77" s="111">
        <v>484.6</v>
      </c>
      <c r="E77" s="104"/>
      <c r="F77" s="2"/>
      <c r="G77" s="30"/>
      <c r="H77" s="110" t="s">
        <v>581</v>
      </c>
    </row>
    <row r="78" spans="1:14" s="70" customFormat="1" x14ac:dyDescent="0.2">
      <c r="A78" s="24"/>
      <c r="B78" s="1"/>
      <c r="C78" s="78" t="s">
        <v>579</v>
      </c>
      <c r="D78" s="109">
        <f>D76+D77</f>
        <v>496.59000000000003</v>
      </c>
      <c r="E78" s="104"/>
      <c r="F78" s="2"/>
      <c r="G78" s="30"/>
    </row>
    <row r="79" spans="1:14" s="70" customFormat="1" x14ac:dyDescent="0.2">
      <c r="A79" s="24"/>
      <c r="B79" s="1"/>
      <c r="C79" s="105"/>
      <c r="D79" s="106"/>
      <c r="E79" s="104"/>
      <c r="F79" s="2"/>
      <c r="G79" s="30"/>
      <c r="I79" s="2"/>
      <c r="J79" s="114" t="s">
        <v>713</v>
      </c>
      <c r="K79" s="2"/>
      <c r="L79" s="2"/>
      <c r="M79" s="2"/>
    </row>
    <row r="80" spans="1:14" s="70" customFormat="1" x14ac:dyDescent="0.2">
      <c r="A80" s="24"/>
      <c r="B80" s="1"/>
      <c r="C80" s="78" t="s">
        <v>577</v>
      </c>
      <c r="D80" s="109">
        <f>D71+D78</f>
        <v>2403.83</v>
      </c>
      <c r="E80" s="104"/>
      <c r="F80" s="2"/>
      <c r="G80" s="30"/>
      <c r="I80" s="113"/>
      <c r="J80" s="113" t="s">
        <v>709</v>
      </c>
      <c r="K80" s="113" t="s">
        <v>710</v>
      </c>
      <c r="L80" s="113" t="s">
        <v>711</v>
      </c>
      <c r="M80" s="113" t="s">
        <v>712</v>
      </c>
    </row>
    <row r="81" spans="1:14" s="70" customFormat="1" x14ac:dyDescent="0.2">
      <c r="A81" s="24"/>
      <c r="B81" s="1"/>
      <c r="C81" s="56"/>
      <c r="D81" s="56"/>
      <c r="E81" s="104"/>
      <c r="F81" s="2"/>
      <c r="G81" s="30"/>
      <c r="I81" s="113" t="s">
        <v>706</v>
      </c>
      <c r="J81" s="115"/>
      <c r="K81" s="115">
        <v>968.99</v>
      </c>
      <c r="L81" s="115">
        <v>968.99</v>
      </c>
      <c r="M81" s="113">
        <f>+J81+L81-K81</f>
        <v>0</v>
      </c>
    </row>
    <row r="82" spans="1:14" s="70" customFormat="1" ht="38.25" x14ac:dyDescent="0.2">
      <c r="A82" s="24"/>
      <c r="B82" s="1"/>
      <c r="C82" s="79" t="str">
        <f>"Particulars ( 01-04-2021 to "&amp;TEXT(A5,"dd-mm-yyyy")&amp;" )"</f>
        <v>Particulars ( 01-04-2021 to 17-11-2023 )</v>
      </c>
      <c r="D82" s="80" t="s">
        <v>73</v>
      </c>
      <c r="E82" s="80" t="s">
        <v>74</v>
      </c>
      <c r="F82" s="81" t="s">
        <v>75</v>
      </c>
      <c r="G82" s="80" t="s">
        <v>76</v>
      </c>
      <c r="I82" s="113" t="s">
        <v>707</v>
      </c>
      <c r="J82" s="115">
        <v>183.1</v>
      </c>
      <c r="K82" s="115">
        <v>4008.64</v>
      </c>
      <c r="L82" s="115">
        <v>4132.1499999999996</v>
      </c>
      <c r="M82" s="113">
        <f>+J82+L82-K82</f>
        <v>306.61000000000013</v>
      </c>
    </row>
    <row r="83" spans="1:14" s="70" customFormat="1" x14ac:dyDescent="0.2">
      <c r="A83" s="24"/>
      <c r="B83" s="1"/>
      <c r="C83" s="50" t="s">
        <v>444</v>
      </c>
      <c r="D83" s="55">
        <f>+L81+L82+J82</f>
        <v>5284.24</v>
      </c>
      <c r="E83" s="55">
        <f>+K81+K82</f>
        <v>4977.63</v>
      </c>
      <c r="F83" s="55">
        <f>+D83-E83</f>
        <v>306.60999999999967</v>
      </c>
      <c r="G83" s="55">
        <f>1500-F83</f>
        <v>1193.3900000000003</v>
      </c>
      <c r="I83" s="113" t="s">
        <v>708</v>
      </c>
      <c r="J83" s="115">
        <v>1371.02</v>
      </c>
      <c r="K83" s="115">
        <f>14764.53+301.37</f>
        <v>15065.900000000001</v>
      </c>
      <c r="L83" s="115">
        <v>15156.85</v>
      </c>
      <c r="M83" s="113">
        <f>+J83+L83-K83</f>
        <v>1461.9699999999975</v>
      </c>
    </row>
    <row r="84" spans="1:14" s="70" customFormat="1" ht="12.75" customHeight="1" x14ac:dyDescent="0.2">
      <c r="A84" s="24"/>
      <c r="B84" s="1"/>
      <c r="C84" s="50" t="s">
        <v>71</v>
      </c>
      <c r="D84" s="55">
        <f>+J83+L83</f>
        <v>16527.87</v>
      </c>
      <c r="E84" s="55">
        <f>+K83</f>
        <v>15065.900000000001</v>
      </c>
      <c r="F84" s="55">
        <f>+D84-E84</f>
        <v>1461.9699999999975</v>
      </c>
      <c r="G84" s="55">
        <f>1500+700-F84</f>
        <v>738.03000000000247</v>
      </c>
      <c r="I84" s="2"/>
      <c r="J84" s="118">
        <f>SUM(J81:J83)</f>
        <v>1554.12</v>
      </c>
      <c r="K84" s="118">
        <f>SUM(K81:K83)</f>
        <v>20043.530000000002</v>
      </c>
      <c r="L84" s="118">
        <f>SUM(L81:L83)</f>
        <v>20257.989999999998</v>
      </c>
      <c r="M84" s="118">
        <f>SUM(M81:M83)</f>
        <v>1768.5799999999977</v>
      </c>
    </row>
    <row r="85" spans="1:14" s="70" customFormat="1" ht="12.75" customHeight="1" x14ac:dyDescent="0.2">
      <c r="A85" s="24"/>
      <c r="B85" s="1"/>
      <c r="C85" s="14"/>
      <c r="D85" s="56"/>
      <c r="E85" s="13"/>
      <c r="F85" s="2"/>
      <c r="G85" s="30"/>
    </row>
    <row r="86" spans="1:14" s="70" customFormat="1" ht="12.75" customHeight="1" x14ac:dyDescent="0.2">
      <c r="A86" s="215" t="s">
        <v>80</v>
      </c>
      <c r="B86" s="216"/>
      <c r="C86" s="216"/>
      <c r="D86" s="217"/>
      <c r="E86" s="69"/>
      <c r="G86" s="30"/>
    </row>
    <row r="87" spans="1:14" s="70" customFormat="1" ht="12.75" customHeight="1" x14ac:dyDescent="0.2">
      <c r="A87" s="71" t="s">
        <v>81</v>
      </c>
      <c r="B87" s="71"/>
      <c r="C87" s="72" t="s">
        <v>82</v>
      </c>
      <c r="D87" s="73" t="s">
        <v>83</v>
      </c>
      <c r="E87" s="69"/>
      <c r="G87" s="30"/>
    </row>
    <row r="88" spans="1:14" s="70" customFormat="1" ht="12.75" customHeight="1" x14ac:dyDescent="0.2">
      <c r="A88" s="87">
        <v>45232</v>
      </c>
      <c r="B88" s="120" t="s">
        <v>6</v>
      </c>
      <c r="C88" s="75" t="s">
        <v>767</v>
      </c>
      <c r="D88" s="88">
        <v>515100</v>
      </c>
      <c r="E88" s="2"/>
      <c r="F88" s="2"/>
      <c r="G88" s="30"/>
      <c r="H88" s="2"/>
      <c r="I88" s="2"/>
      <c r="J88" s="2"/>
      <c r="K88" s="2"/>
      <c r="L88" s="41"/>
      <c r="M88" s="42"/>
      <c r="N88" s="2"/>
    </row>
    <row r="89" spans="1:14" s="70" customFormat="1" ht="12.75" customHeight="1" x14ac:dyDescent="0.2">
      <c r="A89" s="87">
        <v>45232</v>
      </c>
      <c r="B89" s="120" t="s">
        <v>6</v>
      </c>
      <c r="C89" s="75" t="s">
        <v>566</v>
      </c>
      <c r="D89" s="88">
        <v>52450</v>
      </c>
      <c r="E89" s="2"/>
      <c r="F89" s="2"/>
      <c r="G89" s="30"/>
      <c r="H89" s="2"/>
      <c r="I89" s="2"/>
      <c r="J89" s="2"/>
      <c r="K89" s="2"/>
      <c r="L89" s="41"/>
      <c r="M89" s="42"/>
      <c r="N89" s="2"/>
    </row>
    <row r="90" spans="1:14" s="70" customFormat="1" ht="12.75" customHeight="1" x14ac:dyDescent="0.2">
      <c r="A90" s="87">
        <v>45233</v>
      </c>
      <c r="B90" s="120" t="s">
        <v>6</v>
      </c>
      <c r="C90" s="75" t="s">
        <v>1084</v>
      </c>
      <c r="D90" s="88">
        <v>1833799</v>
      </c>
      <c r="E90" s="2"/>
      <c r="F90" s="2"/>
      <c r="G90" s="30"/>
      <c r="H90" s="2"/>
      <c r="I90" s="2"/>
      <c r="J90" s="2"/>
      <c r="K90" s="2"/>
      <c r="L90" s="41"/>
      <c r="M90" s="42"/>
      <c r="N90" s="2"/>
    </row>
    <row r="91" spans="1:14" s="70" customFormat="1" ht="12.75" customHeight="1" x14ac:dyDescent="0.2">
      <c r="A91" s="87">
        <v>45233</v>
      </c>
      <c r="B91" s="120" t="s">
        <v>6</v>
      </c>
      <c r="C91" s="75" t="s">
        <v>909</v>
      </c>
      <c r="D91" s="88">
        <v>366980</v>
      </c>
      <c r="E91" s="2"/>
      <c r="F91" s="2"/>
      <c r="G91" s="30"/>
      <c r="H91" s="2"/>
      <c r="I91" s="2"/>
      <c r="J91" s="2"/>
      <c r="K91" s="2"/>
      <c r="L91" s="41"/>
      <c r="M91" s="42"/>
      <c r="N91" s="2"/>
    </row>
    <row r="92" spans="1:14" s="70" customFormat="1" ht="12.75" customHeight="1" x14ac:dyDescent="0.2">
      <c r="A92" s="87">
        <v>45233</v>
      </c>
      <c r="B92" s="120" t="s">
        <v>6</v>
      </c>
      <c r="C92" s="75" t="s">
        <v>909</v>
      </c>
      <c r="D92" s="88">
        <v>30038</v>
      </c>
      <c r="E92" s="2"/>
      <c r="F92" s="2"/>
      <c r="G92" s="30"/>
      <c r="H92" s="2"/>
      <c r="I92" s="2"/>
      <c r="J92" s="2"/>
      <c r="K92" s="2"/>
      <c r="L92" s="41"/>
      <c r="M92" s="42"/>
      <c r="N92" s="2"/>
    </row>
    <row r="93" spans="1:14" s="70" customFormat="1" ht="12.75" customHeight="1" x14ac:dyDescent="0.2">
      <c r="A93" s="87">
        <v>45237</v>
      </c>
      <c r="B93" s="120" t="s">
        <v>6</v>
      </c>
      <c r="C93" s="75" t="s">
        <v>888</v>
      </c>
      <c r="D93" s="88">
        <v>14999721.949999999</v>
      </c>
      <c r="E93" s="2"/>
      <c r="F93" s="2"/>
      <c r="G93" s="30"/>
      <c r="H93" s="2"/>
      <c r="I93" s="2"/>
      <c r="J93" s="2"/>
      <c r="K93" s="2"/>
      <c r="L93" s="41"/>
      <c r="M93" s="42"/>
      <c r="N93" s="2"/>
    </row>
    <row r="94" spans="1:14" s="70" customFormat="1" ht="12.75" customHeight="1" x14ac:dyDescent="0.2">
      <c r="A94" s="87">
        <v>45238</v>
      </c>
      <c r="B94" s="120" t="s">
        <v>6</v>
      </c>
      <c r="C94" s="75" t="s">
        <v>606</v>
      </c>
      <c r="D94" s="88">
        <v>1098495</v>
      </c>
      <c r="E94" s="2"/>
      <c r="F94" s="2"/>
      <c r="G94" s="30"/>
      <c r="H94" s="2"/>
      <c r="I94" s="2"/>
      <c r="J94" s="2"/>
      <c r="K94" s="2"/>
      <c r="L94" s="41"/>
      <c r="M94" s="42"/>
      <c r="N94" s="2"/>
    </row>
    <row r="95" spans="1:14" s="70" customFormat="1" ht="12.75" customHeight="1" x14ac:dyDescent="0.2">
      <c r="A95" s="87">
        <v>45239</v>
      </c>
      <c r="B95" s="120" t="s">
        <v>6</v>
      </c>
      <c r="C95" s="75" t="s">
        <v>566</v>
      </c>
      <c r="D95" s="88">
        <f>183507+63254</f>
        <v>246761</v>
      </c>
      <c r="E95" s="2"/>
      <c r="F95" s="2"/>
      <c r="G95" s="30"/>
      <c r="H95" s="2"/>
      <c r="I95" s="2"/>
      <c r="J95" s="2"/>
      <c r="K95" s="2"/>
      <c r="L95" s="41"/>
      <c r="M95" s="42"/>
      <c r="N95" s="2"/>
    </row>
    <row r="96" spans="1:14" s="70" customFormat="1" ht="12.75" customHeight="1" x14ac:dyDescent="0.2">
      <c r="A96" s="87">
        <v>45240</v>
      </c>
      <c r="B96" s="120" t="s">
        <v>6</v>
      </c>
      <c r="C96" s="75" t="s">
        <v>767</v>
      </c>
      <c r="D96" s="88">
        <v>287037</v>
      </c>
      <c r="E96" s="2"/>
      <c r="F96" s="2"/>
      <c r="G96" s="30"/>
      <c r="H96" s="2"/>
      <c r="I96" s="2"/>
      <c r="J96" s="2"/>
      <c r="K96" s="2"/>
      <c r="L96" s="41"/>
      <c r="M96" s="42"/>
      <c r="N96" s="2"/>
    </row>
    <row r="97" spans="1:14" s="70" customFormat="1" ht="12.75" customHeight="1" x14ac:dyDescent="0.2">
      <c r="A97" s="87">
        <v>45240</v>
      </c>
      <c r="B97" s="120" t="s">
        <v>6</v>
      </c>
      <c r="C97" s="75" t="s">
        <v>1767</v>
      </c>
      <c r="D97" s="88">
        <v>1000000</v>
      </c>
      <c r="E97" s="2"/>
      <c r="F97" s="2"/>
      <c r="G97" s="30"/>
      <c r="H97" s="2"/>
      <c r="I97" s="2"/>
      <c r="J97" s="2"/>
      <c r="K97" s="2"/>
      <c r="L97" s="41"/>
      <c r="M97" s="42"/>
      <c r="N97" s="2"/>
    </row>
    <row r="98" spans="1:14" s="2" customFormat="1" x14ac:dyDescent="0.2">
      <c r="A98" s="87"/>
      <c r="B98" s="74"/>
      <c r="C98" s="75"/>
      <c r="D98" s="51">
        <f>SUM(D88:D97)</f>
        <v>20430381.949999999</v>
      </c>
      <c r="F98" s="2" t="s">
        <v>396</v>
      </c>
      <c r="G98" s="1"/>
    </row>
    <row r="99" spans="1:14" s="2" customFormat="1" x14ac:dyDescent="0.2">
      <c r="A99" s="24"/>
      <c r="B99" s="1"/>
      <c r="C99" s="14"/>
      <c r="D99" s="56"/>
      <c r="E99" s="13"/>
      <c r="G99" s="1"/>
    </row>
    <row r="100" spans="1:14" s="2" customFormat="1" x14ac:dyDescent="0.2">
      <c r="A100" s="24"/>
      <c r="B100" s="1"/>
      <c r="C100" s="218" t="s">
        <v>77</v>
      </c>
      <c r="D100" s="219"/>
      <c r="E100" s="219"/>
      <c r="F100" s="220"/>
      <c r="H100" s="2" t="s">
        <v>396</v>
      </c>
    </row>
    <row r="101" spans="1:14" s="2" customFormat="1" x14ac:dyDescent="0.2">
      <c r="A101" s="24"/>
      <c r="B101" s="1"/>
      <c r="C101" s="50"/>
      <c r="D101" s="57" t="s">
        <v>78</v>
      </c>
      <c r="E101" s="58" t="s">
        <v>79</v>
      </c>
      <c r="F101" s="57" t="s">
        <v>72</v>
      </c>
      <c r="H101" s="2" t="s">
        <v>396</v>
      </c>
    </row>
    <row r="102" spans="1:14" s="2" customFormat="1" x14ac:dyDescent="0.2">
      <c r="A102" s="24"/>
      <c r="B102" s="1"/>
      <c r="C102" s="59" t="str">
        <f>"01-11-2023 to "&amp;TEXT(A5-2,"dd-mm-yyyy")</f>
        <v>01-11-2023 to 15-11-2023</v>
      </c>
      <c r="D102" s="60">
        <v>1085.95</v>
      </c>
      <c r="E102" s="60">
        <v>215.53</v>
      </c>
      <c r="F102" s="61">
        <f>SUM(D102:E102)</f>
        <v>1301.48</v>
      </c>
    </row>
    <row r="103" spans="1:14" s="2" customFormat="1" x14ac:dyDescent="0.2">
      <c r="A103" s="24"/>
      <c r="B103" s="1"/>
      <c r="C103" s="62" t="str">
        <f>TEXT(A5-1,"dd-mm-yyyy")</f>
        <v>16-11-2023</v>
      </c>
      <c r="D103" s="60">
        <v>73.02</v>
      </c>
      <c r="E103" s="60">
        <v>10.46</v>
      </c>
      <c r="F103" s="61">
        <f>SUM(D103:E103)</f>
        <v>83.47999999999999</v>
      </c>
      <c r="G103" s="1"/>
      <c r="H103" s="53"/>
    </row>
    <row r="104" spans="1:14" s="2" customFormat="1" ht="13.5" thickBot="1" x14ac:dyDescent="0.25">
      <c r="A104" s="24"/>
      <c r="B104" s="1"/>
      <c r="C104" s="63" t="str">
        <f>"01-11-2023 to "&amp;TEXT(A5-1,"dd-mm-yyyy")</f>
        <v>01-11-2023 to 16-11-2023</v>
      </c>
      <c r="D104" s="64">
        <f>SUM(D102:D103)</f>
        <v>1158.97</v>
      </c>
      <c r="E104" s="64">
        <f>SUM(E102:E103)</f>
        <v>225.99</v>
      </c>
      <c r="F104" s="64">
        <f>SUM(F102:F103)</f>
        <v>1384.96</v>
      </c>
      <c r="G104" s="1"/>
      <c r="H104" s="53"/>
    </row>
    <row r="105" spans="1:14" s="2" customFormat="1" ht="13.5" thickTop="1" x14ac:dyDescent="0.2">
      <c r="A105" s="24"/>
      <c r="B105" s="1"/>
      <c r="C105" s="62"/>
      <c r="D105" s="65"/>
      <c r="E105" s="66"/>
      <c r="F105" s="67"/>
      <c r="L105" s="1"/>
      <c r="M105" s="1"/>
    </row>
    <row r="106" spans="1:14" s="2" customFormat="1" x14ac:dyDescent="0.2">
      <c r="A106" s="24"/>
      <c r="B106" s="1"/>
      <c r="C106" s="62" t="str">
        <f>"01-04-2023 to " &amp;C103</f>
        <v>01-04-2023 to 16-11-2023</v>
      </c>
      <c r="D106" s="68">
        <f>+D104+29859.78</f>
        <v>31018.75</v>
      </c>
      <c r="E106" s="68">
        <f>+E104+2548.34</f>
        <v>2774.33</v>
      </c>
      <c r="F106" s="68">
        <f>+F104+32392.07</f>
        <v>33777.03</v>
      </c>
      <c r="G106" s="1"/>
      <c r="L106" s="1"/>
      <c r="M106" s="1"/>
    </row>
    <row r="107" spans="1:14" s="2" customFormat="1" x14ac:dyDescent="0.2">
      <c r="A107" s="24"/>
      <c r="B107" s="1"/>
      <c r="C107" s="52"/>
      <c r="D107" s="85"/>
      <c r="E107" s="53"/>
      <c r="F107" s="53"/>
      <c r="G107" s="1"/>
      <c r="L107" s="1"/>
      <c r="M107" s="1"/>
    </row>
    <row r="108" spans="1:14" s="2" customFormat="1" x14ac:dyDescent="0.2">
      <c r="A108" s="24"/>
      <c r="B108" s="1"/>
      <c r="C108" s="52"/>
      <c r="D108" s="85"/>
      <c r="E108" s="53"/>
      <c r="F108" s="53"/>
      <c r="G108" s="1"/>
      <c r="L108" s="1"/>
      <c r="M108" s="1"/>
    </row>
    <row r="109" spans="1:14" s="2" customFormat="1" x14ac:dyDescent="0.2">
      <c r="A109" s="24"/>
      <c r="B109" s="1"/>
      <c r="C109" s="52"/>
      <c r="D109" s="85"/>
      <c r="E109" s="53"/>
      <c r="F109" s="53"/>
      <c r="G109" s="1"/>
      <c r="L109" s="1"/>
      <c r="M109" s="1"/>
    </row>
    <row r="110" spans="1:14" s="2" customFormat="1" x14ac:dyDescent="0.2">
      <c r="A110" s="24"/>
      <c r="B110" s="1"/>
      <c r="C110" s="52"/>
      <c r="D110" s="85"/>
      <c r="E110" s="53"/>
      <c r="F110" s="53"/>
      <c r="G110" s="1"/>
      <c r="L110" s="1"/>
      <c r="M110" s="1"/>
    </row>
    <row r="111" spans="1:14" s="2" customFormat="1" x14ac:dyDescent="0.2">
      <c r="A111" s="24"/>
      <c r="B111" s="1"/>
      <c r="C111" s="14"/>
      <c r="D111" s="25">
        <f>SUM(D108:D110)</f>
        <v>0</v>
      </c>
      <c r="E111" s="2">
        <f>SUM(E108:E110)</f>
        <v>0</v>
      </c>
      <c r="G111" s="1"/>
      <c r="L111" s="1"/>
      <c r="M111" s="1"/>
    </row>
    <row r="112" spans="1:14" s="2" customFormat="1" x14ac:dyDescent="0.2">
      <c r="A112" s="24"/>
      <c r="B112" s="1"/>
      <c r="C112" s="14"/>
      <c r="D112" s="25"/>
      <c r="G112" s="1"/>
      <c r="L112" s="1"/>
      <c r="M112" s="1"/>
    </row>
    <row r="113" spans="1:13" s="2" customFormat="1" x14ac:dyDescent="0.2">
      <c r="A113" s="24"/>
      <c r="B113" s="1"/>
      <c r="C113" s="14"/>
      <c r="D113" s="25"/>
      <c r="G113" s="1"/>
      <c r="L113" s="1"/>
      <c r="M113" s="1"/>
    </row>
    <row r="114" spans="1:13" s="2" customFormat="1" x14ac:dyDescent="0.2">
      <c r="A114" s="24"/>
      <c r="B114" s="1"/>
      <c r="C114" s="14"/>
      <c r="D114" s="25"/>
      <c r="G114" s="1"/>
      <c r="L114" s="1"/>
      <c r="M114" s="1"/>
    </row>
    <row r="115" spans="1:13" s="2" customFormat="1" x14ac:dyDescent="0.2">
      <c r="A115" s="24"/>
      <c r="B115" s="1"/>
      <c r="C115" s="14"/>
      <c r="D115" s="25"/>
      <c r="G115" s="1"/>
      <c r="L115" s="1"/>
      <c r="M115" s="1"/>
    </row>
    <row r="116" spans="1:13" s="2" customFormat="1" x14ac:dyDescent="0.2">
      <c r="A116" s="24"/>
      <c r="B116" s="1"/>
      <c r="C116" s="14"/>
      <c r="D116" s="25"/>
      <c r="G116" s="1"/>
      <c r="L116" s="1"/>
      <c r="M116" s="1"/>
    </row>
    <row r="117" spans="1:13" s="2" customFormat="1" x14ac:dyDescent="0.2">
      <c r="A117" s="24"/>
      <c r="B117" s="1"/>
      <c r="C117" s="14"/>
      <c r="D117" s="25"/>
      <c r="G117" s="1"/>
      <c r="L117" s="1"/>
      <c r="M117" s="1"/>
    </row>
    <row r="118" spans="1:13" s="2" customFormat="1" x14ac:dyDescent="0.2">
      <c r="A118" s="24"/>
      <c r="B118" s="1"/>
      <c r="C118" s="14"/>
      <c r="D118" s="25"/>
      <c r="G118" s="1"/>
      <c r="L118" s="1"/>
      <c r="M118" s="1"/>
    </row>
    <row r="119" spans="1:13" s="2" customFormat="1" x14ac:dyDescent="0.2">
      <c r="A119" s="24"/>
      <c r="B119" s="1"/>
      <c r="C119" s="14"/>
      <c r="D119" s="25"/>
      <c r="G119" s="1"/>
      <c r="L119" s="1"/>
      <c r="M119" s="1"/>
    </row>
    <row r="120" spans="1:13" s="2" customFormat="1" x14ac:dyDescent="0.2">
      <c r="A120" s="24"/>
      <c r="B120" s="1"/>
      <c r="C120" s="14"/>
      <c r="D120" s="25"/>
      <c r="G120" s="1"/>
      <c r="L120" s="1"/>
      <c r="M120" s="1"/>
    </row>
    <row r="121" spans="1:13" s="2" customFormat="1" x14ac:dyDescent="0.2">
      <c r="A121" s="24"/>
      <c r="B121" s="1"/>
      <c r="C121" s="14"/>
      <c r="D121" s="25"/>
      <c r="G121" s="1"/>
      <c r="L121" s="1"/>
      <c r="M121" s="1"/>
    </row>
    <row r="122" spans="1:13" s="2" customFormat="1" x14ac:dyDescent="0.2">
      <c r="A122" s="24"/>
      <c r="B122" s="1"/>
      <c r="C122" s="14"/>
      <c r="D122" s="25"/>
      <c r="G122" s="1"/>
      <c r="L122" s="1"/>
      <c r="M122" s="1"/>
    </row>
    <row r="123" spans="1:13" s="2" customFormat="1" x14ac:dyDescent="0.2">
      <c r="A123" s="24"/>
      <c r="B123" s="1"/>
      <c r="C123" s="14"/>
      <c r="D123" s="25"/>
      <c r="G123" s="1"/>
      <c r="L123" s="1"/>
      <c r="M123" s="1"/>
    </row>
    <row r="124" spans="1:13" s="2" customFormat="1" x14ac:dyDescent="0.2">
      <c r="A124" s="24"/>
      <c r="B124" s="1"/>
      <c r="C124" s="14"/>
      <c r="D124" s="25"/>
      <c r="G124" s="1"/>
      <c r="L124" s="1"/>
      <c r="M124" s="1"/>
    </row>
    <row r="125" spans="1:13" s="2" customFormat="1" x14ac:dyDescent="0.2">
      <c r="A125" s="24"/>
      <c r="B125" s="1"/>
      <c r="C125" s="14"/>
      <c r="D125" s="25"/>
      <c r="G125" s="1"/>
      <c r="I125" s="1"/>
      <c r="J125" s="1"/>
      <c r="K125" s="1"/>
      <c r="L125" s="1"/>
      <c r="M125" s="1"/>
    </row>
    <row r="126" spans="1:13" s="2" customFormat="1" x14ac:dyDescent="0.2">
      <c r="A126" s="24"/>
      <c r="B126" s="1"/>
      <c r="C126" s="14"/>
      <c r="D126" s="25"/>
      <c r="G126" s="1"/>
    </row>
    <row r="127" spans="1:13" s="2" customFormat="1" x14ac:dyDescent="0.2">
      <c r="A127" s="24"/>
      <c r="B127" s="1"/>
      <c r="C127" s="14"/>
      <c r="D127" s="25"/>
      <c r="G127" s="1"/>
      <c r="I127" s="1"/>
      <c r="J127" s="1"/>
      <c r="K127" s="1"/>
      <c r="L127" s="1"/>
      <c r="M127" s="1"/>
    </row>
    <row r="128" spans="1:13" s="2" customFormat="1" x14ac:dyDescent="0.2">
      <c r="A128" s="24"/>
      <c r="B128" s="1"/>
      <c r="C128" s="14"/>
      <c r="D128" s="25"/>
      <c r="G128" s="54"/>
      <c r="I128" s="1"/>
      <c r="J128" s="1"/>
      <c r="K128" s="1"/>
      <c r="L128" s="1"/>
      <c r="M128" s="1"/>
    </row>
    <row r="129" spans="1:14" s="2" customFormat="1" x14ac:dyDescent="0.2">
      <c r="A129" s="24"/>
      <c r="B129" s="1"/>
      <c r="C129" s="14"/>
      <c r="D129" s="25"/>
      <c r="G129" s="54"/>
      <c r="I129" s="1"/>
      <c r="J129" s="1"/>
      <c r="K129" s="1"/>
      <c r="L129" s="1"/>
      <c r="M129" s="1"/>
    </row>
    <row r="130" spans="1:14" s="2" customFormat="1" x14ac:dyDescent="0.2">
      <c r="A130" s="24"/>
      <c r="B130" s="1"/>
      <c r="C130" s="14"/>
      <c r="D130" s="25"/>
      <c r="G130" s="54"/>
      <c r="I130" s="1"/>
      <c r="J130" s="1"/>
      <c r="K130" s="1"/>
      <c r="L130" s="1"/>
      <c r="M130" s="1"/>
    </row>
    <row r="131" spans="1:14" s="2" customFormat="1" x14ac:dyDescent="0.2">
      <c r="A131" s="24"/>
      <c r="B131" s="1"/>
      <c r="C131" s="14"/>
      <c r="D131" s="25"/>
      <c r="G131" s="54"/>
      <c r="H131" s="2" t="s">
        <v>396</v>
      </c>
      <c r="I131" s="1"/>
      <c r="J131" s="1"/>
      <c r="K131" s="1"/>
      <c r="L131" s="1"/>
      <c r="M131" s="1"/>
      <c r="N131" s="1"/>
    </row>
    <row r="132" spans="1:14" s="2" customFormat="1" x14ac:dyDescent="0.2">
      <c r="A132" s="24"/>
      <c r="B132" s="1"/>
      <c r="C132" s="14"/>
      <c r="D132" s="25"/>
      <c r="G132" s="54"/>
      <c r="H132" s="53"/>
    </row>
    <row r="133" spans="1:14" s="2" customFormat="1" x14ac:dyDescent="0.2">
      <c r="A133" s="24"/>
      <c r="B133" s="1"/>
      <c r="C133" s="14"/>
      <c r="D133" s="25"/>
      <c r="G133" s="54"/>
      <c r="H133" s="53" t="s">
        <v>396</v>
      </c>
      <c r="I133" s="1"/>
      <c r="J133" s="1"/>
      <c r="K133" s="1"/>
      <c r="L133" s="1"/>
      <c r="M133" s="1"/>
      <c r="N133" s="1"/>
    </row>
    <row r="134" spans="1:14" x14ac:dyDescent="0.2">
      <c r="G134" s="54"/>
      <c r="H134" s="53" t="s">
        <v>396</v>
      </c>
      <c r="J134" s="42"/>
    </row>
    <row r="135" spans="1:14" s="2" customFormat="1" x14ac:dyDescent="0.2">
      <c r="A135" s="24"/>
      <c r="B135" s="1"/>
      <c r="C135" s="14"/>
      <c r="D135" s="25"/>
      <c r="G135" s="54"/>
      <c r="H135" s="53"/>
      <c r="I135" s="101"/>
      <c r="J135" s="1"/>
      <c r="K135" s="1"/>
      <c r="L135" s="1"/>
      <c r="M135" s="1"/>
      <c r="N135" s="1"/>
    </row>
    <row r="136" spans="1:14" x14ac:dyDescent="0.2">
      <c r="G136" s="54"/>
      <c r="H136" s="53"/>
    </row>
    <row r="137" spans="1:14" x14ac:dyDescent="0.2">
      <c r="G137" s="54"/>
      <c r="H137" s="53"/>
    </row>
    <row r="138" spans="1:14" x14ac:dyDescent="0.2">
      <c r="G138" s="54"/>
      <c r="H138" s="53"/>
    </row>
  </sheetData>
  <sheetProtection insertRows="0"/>
  <mergeCells count="6">
    <mergeCell ref="C100:F100"/>
    <mergeCell ref="A1:G1"/>
    <mergeCell ref="A3:F3"/>
    <mergeCell ref="A11:F11"/>
    <mergeCell ref="A32:F32"/>
    <mergeCell ref="A86:D86"/>
  </mergeCells>
  <conditionalFormatting sqref="G83:G84">
    <cfRule type="cellIs" dxfId="221" priority="1" operator="lessThan">
      <formula>0</formula>
    </cfRule>
  </conditionalFormatting>
  <conditionalFormatting sqref="C34">
    <cfRule type="duplicateValues" dxfId="220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400-000000000000}">
  <sheetPr codeName="Sheet476">
    <pageSetUpPr fitToPage="1"/>
  </sheetPr>
  <dimension ref="A1:N140"/>
  <sheetViews>
    <sheetView topLeftCell="A16" zoomScaleNormal="100" workbookViewId="0">
      <selection activeCell="E42" sqref="E42:E44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1" ht="20.25" customHeight="1" x14ac:dyDescent="0.4">
      <c r="A1" s="212" t="s">
        <v>1776</v>
      </c>
      <c r="B1" s="212"/>
      <c r="C1" s="212"/>
      <c r="D1" s="212"/>
      <c r="E1" s="212"/>
      <c r="F1" s="212"/>
      <c r="G1" s="212"/>
      <c r="H1" s="112"/>
      <c r="I1" s="112"/>
    </row>
    <row r="2" spans="1:11" ht="12.75" customHeight="1" x14ac:dyDescent="0.4">
      <c r="H2" s="112"/>
      <c r="I2" s="112"/>
    </row>
    <row r="3" spans="1:11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1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1" s="2" customFormat="1" ht="14.25" customHeight="1" x14ac:dyDescent="0.4">
      <c r="A5" s="89">
        <v>45248</v>
      </c>
      <c r="B5" s="9" t="s">
        <v>6</v>
      </c>
      <c r="C5" s="10" t="s">
        <v>7</v>
      </c>
      <c r="D5" s="11"/>
      <c r="E5" s="12">
        <v>1050315.4200000023</v>
      </c>
      <c r="F5" s="12"/>
      <c r="G5" s="1"/>
      <c r="H5" s="112"/>
      <c r="I5" s="112"/>
    </row>
    <row r="6" spans="1:11" s="2" customFormat="1" ht="12.75" customHeight="1" x14ac:dyDescent="0.4">
      <c r="D6" s="15" t="s">
        <v>8</v>
      </c>
      <c r="E6" s="16">
        <f>SUM(E5:E5)</f>
        <v>1050315.4200000023</v>
      </c>
      <c r="F6" s="16">
        <f>F5</f>
        <v>0</v>
      </c>
      <c r="G6" s="1"/>
      <c r="H6" s="112"/>
      <c r="I6" s="112"/>
    </row>
    <row r="7" spans="1:11" s="2" customFormat="1" ht="12.75" customHeight="1" x14ac:dyDescent="0.4">
      <c r="A7" s="17"/>
      <c r="B7" s="18"/>
      <c r="C7" s="19" t="s">
        <v>9</v>
      </c>
      <c r="D7" s="20"/>
      <c r="E7" s="21">
        <f>+E6-F6</f>
        <v>1050315.4200000023</v>
      </c>
      <c r="F7" s="22"/>
      <c r="G7" s="23"/>
      <c r="H7" s="112"/>
      <c r="I7" s="112"/>
      <c r="J7" s="13"/>
    </row>
    <row r="8" spans="1:11" ht="12.75" customHeight="1" x14ac:dyDescent="0.4">
      <c r="H8" s="112"/>
      <c r="I8" s="112"/>
    </row>
    <row r="9" spans="1:11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69">
        <f>90000000-60000000</f>
        <v>30000000</v>
      </c>
      <c r="J9" s="169" t="s">
        <v>1508</v>
      </c>
    </row>
    <row r="10" spans="1:11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69">
        <v>26083152.940000001</v>
      </c>
      <c r="J10" s="169" t="s">
        <v>1509</v>
      </c>
      <c r="K10" s="124"/>
    </row>
    <row r="11" spans="1:11" s="2" customFormat="1" ht="14.25" customHeight="1" x14ac:dyDescent="0.2">
      <c r="A11" s="89">
        <v>45248</v>
      </c>
      <c r="B11" s="9" t="s">
        <v>6</v>
      </c>
      <c r="C11" s="10" t="s">
        <v>7</v>
      </c>
      <c r="D11" s="11"/>
      <c r="F11" s="12">
        <v>29992844.069999997</v>
      </c>
      <c r="G11" s="1"/>
      <c r="H11" s="130" t="s">
        <v>396</v>
      </c>
      <c r="I11" s="169">
        <f>+I9-I10</f>
        <v>3916847.0599999987</v>
      </c>
      <c r="J11" s="169" t="s">
        <v>712</v>
      </c>
      <c r="K11" s="165" t="s">
        <v>1512</v>
      </c>
    </row>
    <row r="12" spans="1:11" s="2" customFormat="1" ht="14.25" customHeight="1" x14ac:dyDescent="0.2">
      <c r="A12" s="89">
        <v>45248</v>
      </c>
      <c r="B12" s="9" t="s">
        <v>6</v>
      </c>
      <c r="C12" s="76" t="s">
        <v>1002</v>
      </c>
      <c r="D12" s="11" t="s">
        <v>13</v>
      </c>
      <c r="E12" s="2">
        <v>2832526.94</v>
      </c>
      <c r="F12" s="12"/>
      <c r="G12" s="1"/>
      <c r="H12" s="130"/>
      <c r="I12" s="169"/>
      <c r="J12" s="169"/>
      <c r="K12" s="165"/>
    </row>
    <row r="13" spans="1:11" s="2" customFormat="1" ht="14.25" customHeight="1" x14ac:dyDescent="0.2">
      <c r="A13" s="89">
        <v>45248</v>
      </c>
      <c r="B13" s="9" t="s">
        <v>6</v>
      </c>
      <c r="C13" s="76" t="s">
        <v>21</v>
      </c>
      <c r="D13" s="11" t="s">
        <v>13</v>
      </c>
      <c r="E13" s="2">
        <v>500000</v>
      </c>
      <c r="F13" s="12"/>
      <c r="G13" s="1"/>
      <c r="H13" s="130"/>
      <c r="I13" s="169"/>
      <c r="J13" s="169"/>
      <c r="K13" s="165"/>
    </row>
    <row r="14" spans="1:11" s="2" customFormat="1" ht="14.25" customHeight="1" x14ac:dyDescent="0.2">
      <c r="A14" s="89">
        <v>45248</v>
      </c>
      <c r="B14" s="9" t="s">
        <v>6</v>
      </c>
      <c r="C14" s="76" t="s">
        <v>158</v>
      </c>
      <c r="D14" s="11" t="s">
        <v>13</v>
      </c>
      <c r="E14" s="2">
        <v>2137312</v>
      </c>
      <c r="F14" s="12"/>
      <c r="G14" s="1"/>
      <c r="H14" s="130"/>
      <c r="I14" s="169"/>
      <c r="J14" s="169"/>
      <c r="K14" s="165"/>
    </row>
    <row r="15" spans="1:11" s="2" customFormat="1" ht="14.25" customHeight="1" x14ac:dyDescent="0.2">
      <c r="A15" s="89">
        <v>45248</v>
      </c>
      <c r="B15" s="9" t="s">
        <v>11</v>
      </c>
      <c r="C15" s="76" t="s">
        <v>1137</v>
      </c>
      <c r="D15" s="11" t="s">
        <v>29</v>
      </c>
      <c r="F15" s="12">
        <v>13816.809999999998</v>
      </c>
      <c r="G15" s="1"/>
      <c r="H15" s="130"/>
      <c r="I15" s="169"/>
      <c r="J15" s="169"/>
      <c r="K15" s="165"/>
    </row>
    <row r="16" spans="1:11" s="2" customFormat="1" ht="14.25" customHeight="1" x14ac:dyDescent="0.2">
      <c r="A16" s="89">
        <v>45248</v>
      </c>
      <c r="B16" s="9" t="s">
        <v>11</v>
      </c>
      <c r="C16" s="76" t="s">
        <v>62</v>
      </c>
      <c r="D16" s="11" t="s">
        <v>29</v>
      </c>
      <c r="F16" s="12">
        <v>35000</v>
      </c>
      <c r="G16" s="1"/>
      <c r="H16" s="130"/>
      <c r="I16" s="169"/>
      <c r="J16" s="169"/>
      <c r="K16" s="165"/>
    </row>
    <row r="17" spans="1:14" s="2" customFormat="1" ht="14.25" customHeight="1" x14ac:dyDescent="0.2">
      <c r="A17" s="89">
        <v>45248</v>
      </c>
      <c r="B17" s="9" t="s">
        <v>11</v>
      </c>
      <c r="C17" s="76" t="s">
        <v>1777</v>
      </c>
      <c r="D17" s="11" t="s">
        <v>29</v>
      </c>
      <c r="F17" s="12">
        <v>3812</v>
      </c>
      <c r="G17" s="1"/>
      <c r="H17" s="130"/>
      <c r="I17" s="169"/>
      <c r="J17" s="169"/>
      <c r="K17" s="165"/>
    </row>
    <row r="18" spans="1:14" s="2" customFormat="1" ht="14.25" customHeight="1" x14ac:dyDescent="0.2">
      <c r="A18" s="89">
        <v>45248</v>
      </c>
      <c r="B18" s="9" t="s">
        <v>11</v>
      </c>
      <c r="C18" s="76" t="s">
        <v>1687</v>
      </c>
      <c r="D18" s="11" t="s">
        <v>29</v>
      </c>
      <c r="F18" s="12">
        <v>2913</v>
      </c>
      <c r="G18" s="1"/>
      <c r="H18" s="130"/>
      <c r="I18" s="169"/>
      <c r="J18" s="169"/>
      <c r="K18" s="165"/>
    </row>
    <row r="19" spans="1:14" s="2" customFormat="1" ht="14.25" customHeight="1" x14ac:dyDescent="0.2">
      <c r="A19" s="89">
        <v>45248</v>
      </c>
      <c r="B19" s="9" t="s">
        <v>11</v>
      </c>
      <c r="C19" s="76" t="s">
        <v>1547</v>
      </c>
      <c r="D19" s="11" t="s">
        <v>29</v>
      </c>
      <c r="F19" s="12">
        <v>27708</v>
      </c>
      <c r="G19" s="1"/>
      <c r="H19" s="130"/>
      <c r="I19" s="169"/>
      <c r="J19" s="169"/>
      <c r="K19" s="165"/>
    </row>
    <row r="20" spans="1:14" s="2" customFormat="1" ht="14.25" customHeight="1" x14ac:dyDescent="0.2">
      <c r="A20" s="89">
        <v>45248</v>
      </c>
      <c r="B20" s="9" t="s">
        <v>11</v>
      </c>
      <c r="C20" s="76" t="s">
        <v>1299</v>
      </c>
      <c r="D20" s="11" t="s">
        <v>29</v>
      </c>
      <c r="F20" s="12">
        <v>237346</v>
      </c>
      <c r="G20" s="1"/>
      <c r="H20" s="130"/>
      <c r="I20" s="169"/>
      <c r="J20" s="169"/>
      <c r="K20" s="165"/>
    </row>
    <row r="21" spans="1:14" s="2" customFormat="1" ht="14.25" customHeight="1" x14ac:dyDescent="0.2">
      <c r="A21" s="89">
        <v>45248</v>
      </c>
      <c r="B21" s="9" t="s">
        <v>11</v>
      </c>
      <c r="C21" s="76" t="s">
        <v>356</v>
      </c>
      <c r="D21" s="11" t="s">
        <v>29</v>
      </c>
      <c r="F21" s="12">
        <v>1239552</v>
      </c>
      <c r="G21" s="1"/>
      <c r="H21" s="130"/>
      <c r="I21" s="169"/>
      <c r="J21" s="169"/>
      <c r="K21" s="165"/>
    </row>
    <row r="22" spans="1:14" s="2" customFormat="1" ht="14.25" customHeight="1" x14ac:dyDescent="0.2">
      <c r="D22" s="11" t="s">
        <v>8</v>
      </c>
      <c r="E22" s="16">
        <f>SUM(E12:E21)</f>
        <v>5469838.9399999995</v>
      </c>
      <c r="F22" s="16">
        <f>SUM(F11:F21)</f>
        <v>31552991.879999995</v>
      </c>
      <c r="G22" s="1"/>
      <c r="H22" s="143"/>
      <c r="I22" s="130"/>
      <c r="J22" s="143"/>
      <c r="K22" s="143"/>
      <c r="L22" s="143"/>
      <c r="M22" s="143"/>
    </row>
    <row r="23" spans="1:14" s="2" customFormat="1" ht="14.25" customHeight="1" x14ac:dyDescent="0.4">
      <c r="A23" s="17"/>
      <c r="B23" s="18"/>
      <c r="C23" s="96" t="s">
        <v>9</v>
      </c>
      <c r="D23" s="20"/>
      <c r="E23" s="21">
        <f>+F22-E22</f>
        <v>26083152.939999998</v>
      </c>
      <c r="G23" s="1"/>
      <c r="I23" s="112"/>
      <c r="J23" s="153" t="s">
        <v>779</v>
      </c>
    </row>
    <row r="24" spans="1:14" s="2" customFormat="1" ht="14.25" customHeight="1" x14ac:dyDescent="0.2">
      <c r="A24" s="36"/>
      <c r="B24" s="28" t="s">
        <v>66</v>
      </c>
      <c r="C24" s="43" t="s">
        <v>1458</v>
      </c>
      <c r="D24" s="43"/>
      <c r="E24" s="12">
        <f>30000000+60000000</f>
        <v>90000000</v>
      </c>
      <c r="F24" s="22"/>
      <c r="G24" s="1"/>
      <c r="I24" s="40">
        <v>26083152.940000001</v>
      </c>
      <c r="J24" s="154">
        <f>I24-E23</f>
        <v>0</v>
      </c>
    </row>
    <row r="25" spans="1:14" s="2" customFormat="1" ht="14.25" customHeight="1" x14ac:dyDescent="0.25">
      <c r="A25" s="36"/>
      <c r="B25" s="28"/>
      <c r="C25" s="44" t="s">
        <v>1541</v>
      </c>
      <c r="D25" s="43"/>
      <c r="E25" s="7">
        <f>+E23+E24</f>
        <v>116083152.94</v>
      </c>
      <c r="F25" s="22"/>
      <c r="G25" s="1"/>
      <c r="H25" s="13" t="s">
        <v>1582</v>
      </c>
      <c r="I25" s="13" t="s">
        <v>1583</v>
      </c>
    </row>
    <row r="26" spans="1:14" s="2" customFormat="1" ht="14.25" customHeight="1" x14ac:dyDescent="0.25">
      <c r="A26" s="36"/>
      <c r="B26" s="28"/>
      <c r="C26" s="44" t="s">
        <v>1511</v>
      </c>
      <c r="D26" s="43"/>
      <c r="E26" s="38">
        <f>+I11</f>
        <v>3916847.0599999987</v>
      </c>
      <c r="F26" s="22"/>
      <c r="G26" s="1"/>
      <c r="H26" s="2">
        <v>3963811</v>
      </c>
      <c r="I26" s="2">
        <v>1122517</v>
      </c>
      <c r="J26" s="176">
        <f>H26-I26</f>
        <v>2841294</v>
      </c>
    </row>
    <row r="27" spans="1:14" s="2" customFormat="1" ht="14.25" customHeight="1" x14ac:dyDescent="0.2">
      <c r="A27" s="24"/>
      <c r="B27" s="1"/>
      <c r="C27" s="14"/>
      <c r="D27" s="25"/>
      <c r="G27" s="1"/>
      <c r="I27" s="130"/>
      <c r="J27" s="130"/>
    </row>
    <row r="28" spans="1:14" s="2" customFormat="1" x14ac:dyDescent="0.2">
      <c r="A28" s="214" t="s">
        <v>10</v>
      </c>
      <c r="B28" s="214"/>
      <c r="C28" s="214"/>
      <c r="D28" s="214"/>
      <c r="E28" s="214"/>
      <c r="F28" s="214"/>
      <c r="G28" s="1"/>
      <c r="H28" s="159"/>
      <c r="I28" s="160">
        <f>225000000-75000000-50000000</f>
        <v>100000000</v>
      </c>
      <c r="J28" s="160" t="s">
        <v>1506</v>
      </c>
      <c r="K28" s="70"/>
    </row>
    <row r="29" spans="1:14" s="2" customFormat="1" x14ac:dyDescent="0.2">
      <c r="A29" s="26" t="s">
        <v>1</v>
      </c>
      <c r="B29" s="27" t="s">
        <v>2</v>
      </c>
      <c r="C29" s="5"/>
      <c r="D29" s="6" t="s">
        <v>3</v>
      </c>
      <c r="E29" s="7" t="s">
        <v>4</v>
      </c>
      <c r="F29" s="7" t="s">
        <v>5</v>
      </c>
      <c r="G29" s="1"/>
      <c r="H29" s="159"/>
      <c r="I29" s="160">
        <v>88367236.129999995</v>
      </c>
      <c r="J29" s="160" t="s">
        <v>1507</v>
      </c>
      <c r="K29" s="70" t="s">
        <v>1512</v>
      </c>
    </row>
    <row r="30" spans="1:14" s="2" customFormat="1" x14ac:dyDescent="0.2">
      <c r="A30" s="89">
        <v>45248</v>
      </c>
      <c r="B30" s="128" t="s">
        <v>11</v>
      </c>
      <c r="C30" s="29" t="s">
        <v>7</v>
      </c>
      <c r="D30" s="25"/>
      <c r="E30" s="31"/>
      <c r="F30" s="2">
        <v>83833155.360000089</v>
      </c>
      <c r="G30" s="23"/>
      <c r="H30" s="159" t="s">
        <v>1505</v>
      </c>
      <c r="I30" s="160">
        <f>+I28-I29</f>
        <v>11632763.870000005</v>
      </c>
      <c r="J30" s="160"/>
      <c r="K30" s="70"/>
    </row>
    <row r="31" spans="1:14" s="2" customFormat="1" x14ac:dyDescent="0.2">
      <c r="A31" s="89">
        <v>45248</v>
      </c>
      <c r="B31" s="128" t="s">
        <v>6</v>
      </c>
      <c r="C31" s="10" t="s">
        <v>1706</v>
      </c>
      <c r="D31" s="11" t="s">
        <v>13</v>
      </c>
      <c r="E31" s="86">
        <v>259626</v>
      </c>
      <c r="F31" s="70"/>
      <c r="G31" s="1"/>
      <c r="N31" s="1"/>
    </row>
    <row r="32" spans="1:14" s="2" customFormat="1" x14ac:dyDescent="0.2">
      <c r="A32" s="89">
        <v>45248</v>
      </c>
      <c r="B32" s="128" t="s">
        <v>6</v>
      </c>
      <c r="C32" s="10" t="s">
        <v>200</v>
      </c>
      <c r="D32" s="11" t="s">
        <v>13</v>
      </c>
      <c r="E32" s="86">
        <v>38997</v>
      </c>
      <c r="F32" s="70"/>
      <c r="G32" s="1"/>
      <c r="N32" s="1"/>
    </row>
    <row r="33" spans="1:14" s="2" customFormat="1" x14ac:dyDescent="0.2">
      <c r="A33" s="89">
        <v>45248</v>
      </c>
      <c r="B33" s="128" t="s">
        <v>6</v>
      </c>
      <c r="C33" s="10" t="s">
        <v>955</v>
      </c>
      <c r="D33" s="11" t="s">
        <v>13</v>
      </c>
      <c r="E33" s="86">
        <v>59977.279999999999</v>
      </c>
      <c r="F33" s="70"/>
      <c r="G33" s="1"/>
      <c r="N33" s="1"/>
    </row>
    <row r="34" spans="1:14" s="2" customFormat="1" x14ac:dyDescent="0.2">
      <c r="A34" s="89">
        <v>45248</v>
      </c>
      <c r="B34" s="128" t="s">
        <v>6</v>
      </c>
      <c r="C34" s="10" t="s">
        <v>1779</v>
      </c>
      <c r="D34" s="11" t="s">
        <v>13</v>
      </c>
      <c r="E34" s="86">
        <v>247072</v>
      </c>
      <c r="F34" s="70"/>
      <c r="G34" s="1"/>
      <c r="N34" s="1"/>
    </row>
    <row r="35" spans="1:14" s="2" customFormat="1" x14ac:dyDescent="0.2">
      <c r="A35" s="89">
        <v>45248</v>
      </c>
      <c r="B35" s="128" t="s">
        <v>6</v>
      </c>
      <c r="C35" s="10" t="s">
        <v>586</v>
      </c>
      <c r="D35" s="11" t="s">
        <v>13</v>
      </c>
      <c r="E35" s="86">
        <v>177340</v>
      </c>
      <c r="F35" s="70"/>
      <c r="G35" s="1"/>
      <c r="N35" s="1"/>
    </row>
    <row r="36" spans="1:14" s="2" customFormat="1" x14ac:dyDescent="0.2">
      <c r="A36" s="89">
        <v>45248</v>
      </c>
      <c r="B36" s="128" t="s">
        <v>6</v>
      </c>
      <c r="C36" s="10" t="s">
        <v>633</v>
      </c>
      <c r="D36" s="11" t="s">
        <v>13</v>
      </c>
      <c r="E36" s="86">
        <v>130224</v>
      </c>
      <c r="F36" s="70"/>
      <c r="G36" s="1"/>
      <c r="N36" s="1"/>
    </row>
    <row r="37" spans="1:14" s="2" customFormat="1" x14ac:dyDescent="0.2">
      <c r="A37" s="89">
        <v>45248</v>
      </c>
      <c r="B37" s="128" t="s">
        <v>6</v>
      </c>
      <c r="C37" s="10" t="s">
        <v>469</v>
      </c>
      <c r="D37" s="11" t="s">
        <v>13</v>
      </c>
      <c r="E37" s="86">
        <v>1395203</v>
      </c>
      <c r="F37" s="70"/>
      <c r="G37" s="1"/>
      <c r="N37" s="1"/>
    </row>
    <row r="38" spans="1:14" s="2" customFormat="1" x14ac:dyDescent="0.2">
      <c r="A38" s="89">
        <v>45248</v>
      </c>
      <c r="B38" s="128" t="s">
        <v>6</v>
      </c>
      <c r="C38" s="10" t="s">
        <v>1229</v>
      </c>
      <c r="D38" s="11" t="s">
        <v>13</v>
      </c>
      <c r="E38" s="86">
        <v>787522</v>
      </c>
      <c r="F38" s="70"/>
      <c r="G38" s="1"/>
      <c r="N38" s="1"/>
    </row>
    <row r="39" spans="1:14" s="2" customFormat="1" x14ac:dyDescent="0.2">
      <c r="A39" s="89">
        <v>45248</v>
      </c>
      <c r="B39" s="128" t="s">
        <v>6</v>
      </c>
      <c r="C39" s="10" t="s">
        <v>320</v>
      </c>
      <c r="D39" s="11" t="s">
        <v>13</v>
      </c>
      <c r="E39" s="86">
        <v>562084</v>
      </c>
      <c r="F39" s="70"/>
      <c r="G39" s="1"/>
      <c r="N39" s="1"/>
    </row>
    <row r="40" spans="1:14" s="2" customFormat="1" x14ac:dyDescent="0.2">
      <c r="A40" s="89">
        <v>45248</v>
      </c>
      <c r="B40" s="128" t="s">
        <v>6</v>
      </c>
      <c r="C40" s="10" t="s">
        <v>234</v>
      </c>
      <c r="D40" s="11" t="s">
        <v>13</v>
      </c>
      <c r="E40" s="86">
        <v>422721</v>
      </c>
      <c r="F40" s="70"/>
      <c r="G40" s="1"/>
      <c r="N40" s="1"/>
    </row>
    <row r="41" spans="1:14" s="2" customFormat="1" x14ac:dyDescent="0.2">
      <c r="A41" s="89">
        <v>45248</v>
      </c>
      <c r="B41" s="128" t="s">
        <v>6</v>
      </c>
      <c r="C41" s="10" t="s">
        <v>1778</v>
      </c>
      <c r="D41" s="11" t="s">
        <v>13</v>
      </c>
      <c r="E41" s="86">
        <v>111387</v>
      </c>
      <c r="F41" s="70"/>
      <c r="G41" s="1"/>
      <c r="N41" s="1"/>
    </row>
    <row r="42" spans="1:14" s="2" customFormat="1" x14ac:dyDescent="0.2">
      <c r="A42" s="89">
        <v>45248</v>
      </c>
      <c r="B42" s="128" t="s">
        <v>6</v>
      </c>
      <c r="C42" s="10" t="s">
        <v>820</v>
      </c>
      <c r="D42" s="11" t="s">
        <v>13</v>
      </c>
      <c r="E42" s="86">
        <v>350000</v>
      </c>
      <c r="F42" s="70"/>
      <c r="G42" s="1"/>
      <c r="N42" s="1"/>
    </row>
    <row r="43" spans="1:14" s="2" customFormat="1" x14ac:dyDescent="0.2">
      <c r="A43" s="89">
        <v>45248</v>
      </c>
      <c r="B43" s="128" t="s">
        <v>6</v>
      </c>
      <c r="C43" s="10" t="s">
        <v>164</v>
      </c>
      <c r="D43" s="11" t="s">
        <v>13</v>
      </c>
      <c r="E43" s="86">
        <v>1000000</v>
      </c>
      <c r="F43" s="70"/>
      <c r="G43" s="1"/>
      <c r="N43" s="1"/>
    </row>
    <row r="44" spans="1:14" s="2" customFormat="1" x14ac:dyDescent="0.2">
      <c r="A44" s="89">
        <v>45248</v>
      </c>
      <c r="B44" s="128" t="s">
        <v>6</v>
      </c>
      <c r="C44" s="10" t="s">
        <v>583</v>
      </c>
      <c r="D44" s="11" t="s">
        <v>13</v>
      </c>
      <c r="E44" s="86">
        <v>1000000</v>
      </c>
      <c r="F44" s="70"/>
      <c r="G44" s="1"/>
      <c r="N44" s="1"/>
    </row>
    <row r="45" spans="1:14" s="2" customFormat="1" x14ac:dyDescent="0.2">
      <c r="A45" s="89">
        <v>45248</v>
      </c>
      <c r="B45" s="128" t="s">
        <v>11</v>
      </c>
      <c r="C45" s="10" t="s">
        <v>64</v>
      </c>
      <c r="D45" s="11" t="s">
        <v>29</v>
      </c>
      <c r="E45" s="86"/>
      <c r="F45" s="70">
        <v>704.26</v>
      </c>
      <c r="G45" s="1"/>
      <c r="N45" s="1"/>
    </row>
    <row r="46" spans="1:14" s="2" customFormat="1" x14ac:dyDescent="0.2">
      <c r="A46" s="89">
        <v>45248</v>
      </c>
      <c r="B46" s="128" t="s">
        <v>11</v>
      </c>
      <c r="C46" s="10" t="s">
        <v>284</v>
      </c>
      <c r="D46" s="11" t="s">
        <v>29</v>
      </c>
      <c r="E46" s="86"/>
      <c r="F46" s="70">
        <v>1076524</v>
      </c>
      <c r="G46" s="1"/>
      <c r="N46" s="1"/>
    </row>
    <row r="47" spans="1:14" s="2" customFormat="1" x14ac:dyDescent="0.2">
      <c r="A47" s="89">
        <v>45248</v>
      </c>
      <c r="B47" s="128" t="s">
        <v>11</v>
      </c>
      <c r="C47" s="10" t="s">
        <v>1361</v>
      </c>
      <c r="D47" s="11" t="s">
        <v>29</v>
      </c>
      <c r="E47" s="86"/>
      <c r="F47" s="70">
        <v>194862</v>
      </c>
      <c r="G47" s="1"/>
      <c r="N47" s="1"/>
    </row>
    <row r="48" spans="1:14" s="2" customFormat="1" x14ac:dyDescent="0.2">
      <c r="A48" s="89">
        <v>45248</v>
      </c>
      <c r="B48" s="128" t="s">
        <v>11</v>
      </c>
      <c r="C48" s="10" t="s">
        <v>801</v>
      </c>
      <c r="D48" s="11" t="s">
        <v>29</v>
      </c>
      <c r="E48" s="86"/>
      <c r="F48" s="70">
        <v>74324</v>
      </c>
      <c r="G48" s="1"/>
      <c r="N48" s="1"/>
    </row>
    <row r="49" spans="1:14" s="2" customFormat="1" x14ac:dyDescent="0.2">
      <c r="A49" s="89">
        <v>45248</v>
      </c>
      <c r="B49" s="128" t="s">
        <v>11</v>
      </c>
      <c r="C49" s="10" t="s">
        <v>349</v>
      </c>
      <c r="D49" s="11" t="s">
        <v>29</v>
      </c>
      <c r="E49" s="86"/>
      <c r="F49" s="70">
        <v>11692</v>
      </c>
      <c r="G49" s="1"/>
      <c r="N49" s="1"/>
    </row>
    <row r="50" spans="1:14" s="2" customFormat="1" x14ac:dyDescent="0.2">
      <c r="A50" s="89">
        <v>45248</v>
      </c>
      <c r="B50" s="128" t="s">
        <v>11</v>
      </c>
      <c r="C50" s="10" t="s">
        <v>113</v>
      </c>
      <c r="D50" s="11" t="s">
        <v>29</v>
      </c>
      <c r="E50" s="86"/>
      <c r="F50" s="70">
        <v>28636</v>
      </c>
      <c r="G50" s="1"/>
      <c r="N50" s="1"/>
    </row>
    <row r="51" spans="1:14" s="2" customFormat="1" x14ac:dyDescent="0.2">
      <c r="A51" s="89">
        <v>45248</v>
      </c>
      <c r="B51" s="128" t="s">
        <v>11</v>
      </c>
      <c r="C51" s="10" t="s">
        <v>509</v>
      </c>
      <c r="D51" s="11" t="s">
        <v>29</v>
      </c>
      <c r="E51" s="86"/>
      <c r="F51" s="70">
        <v>11198.2</v>
      </c>
      <c r="G51" s="1"/>
      <c r="N51" s="1"/>
    </row>
    <row r="52" spans="1:14" s="2" customFormat="1" x14ac:dyDescent="0.2">
      <c r="A52" s="89">
        <v>45248</v>
      </c>
      <c r="B52" s="128" t="s">
        <v>11</v>
      </c>
      <c r="C52" s="10" t="s">
        <v>731</v>
      </c>
      <c r="D52" s="11" t="s">
        <v>29</v>
      </c>
      <c r="E52" s="86"/>
      <c r="F52" s="70">
        <v>108900</v>
      </c>
      <c r="G52" s="1"/>
      <c r="N52" s="1"/>
    </row>
    <row r="53" spans="1:14" s="2" customFormat="1" x14ac:dyDescent="0.2">
      <c r="A53" s="89">
        <v>45248</v>
      </c>
      <c r="B53" s="128" t="s">
        <v>11</v>
      </c>
      <c r="C53" s="10" t="s">
        <v>348</v>
      </c>
      <c r="D53" s="11" t="s">
        <v>29</v>
      </c>
      <c r="E53" s="86"/>
      <c r="F53" s="70">
        <v>88110</v>
      </c>
      <c r="G53" s="1"/>
      <c r="N53" s="1"/>
    </row>
    <row r="54" spans="1:14" s="2" customFormat="1" x14ac:dyDescent="0.2">
      <c r="A54" s="89">
        <v>45248</v>
      </c>
      <c r="B54" s="128" t="s">
        <v>11</v>
      </c>
      <c r="C54" s="10" t="s">
        <v>242</v>
      </c>
      <c r="D54" s="11" t="s">
        <v>29</v>
      </c>
      <c r="E54" s="86"/>
      <c r="F54" s="70">
        <v>90609.2</v>
      </c>
      <c r="G54" s="1"/>
      <c r="N54" s="1"/>
    </row>
    <row r="55" spans="1:14" s="2" customFormat="1" x14ac:dyDescent="0.2">
      <c r="A55" s="89">
        <v>45248</v>
      </c>
      <c r="B55" s="128" t="s">
        <v>11</v>
      </c>
      <c r="C55" s="10" t="s">
        <v>370</v>
      </c>
      <c r="D55" s="11" t="s">
        <v>29</v>
      </c>
      <c r="E55" s="86"/>
      <c r="F55" s="70">
        <v>10000</v>
      </c>
      <c r="G55" s="1"/>
      <c r="N55" s="1"/>
    </row>
    <row r="56" spans="1:14" s="2" customFormat="1" x14ac:dyDescent="0.2">
      <c r="A56" s="89">
        <v>45248</v>
      </c>
      <c r="B56" s="128" t="s">
        <v>11</v>
      </c>
      <c r="C56" s="10" t="s">
        <v>339</v>
      </c>
      <c r="D56" s="11" t="s">
        <v>29</v>
      </c>
      <c r="E56" s="86"/>
      <c r="F56" s="70">
        <v>53606.62</v>
      </c>
      <c r="G56" s="1"/>
      <c r="N56" s="1"/>
    </row>
    <row r="57" spans="1:14" s="2" customFormat="1" x14ac:dyDescent="0.2">
      <c r="A57" s="89">
        <v>45248</v>
      </c>
      <c r="B57" s="128" t="s">
        <v>11</v>
      </c>
      <c r="C57" s="10" t="s">
        <v>885</v>
      </c>
      <c r="D57" s="11" t="s">
        <v>29</v>
      </c>
      <c r="E57" s="86"/>
      <c r="F57" s="70">
        <v>3500</v>
      </c>
      <c r="G57" s="1"/>
      <c r="N57" s="1"/>
    </row>
    <row r="58" spans="1:14" s="2" customFormat="1" x14ac:dyDescent="0.2">
      <c r="A58" s="89">
        <v>45248</v>
      </c>
      <c r="B58" s="128" t="s">
        <v>11</v>
      </c>
      <c r="C58" s="10" t="s">
        <v>362</v>
      </c>
      <c r="D58" s="11" t="s">
        <v>29</v>
      </c>
      <c r="E58" s="86"/>
      <c r="F58" s="70">
        <v>1392</v>
      </c>
      <c r="G58" s="1"/>
      <c r="N58" s="1"/>
    </row>
    <row r="59" spans="1:14" s="2" customFormat="1" x14ac:dyDescent="0.2">
      <c r="A59" s="89">
        <v>45248</v>
      </c>
      <c r="B59" s="128" t="s">
        <v>11</v>
      </c>
      <c r="C59" s="10" t="s">
        <v>970</v>
      </c>
      <c r="D59" s="11" t="s">
        <v>29</v>
      </c>
      <c r="E59" s="86"/>
      <c r="F59" s="70">
        <v>40536</v>
      </c>
      <c r="G59" s="1"/>
      <c r="N59" s="1"/>
    </row>
    <row r="60" spans="1:14" s="2" customFormat="1" x14ac:dyDescent="0.2">
      <c r="A60" s="89">
        <v>45248</v>
      </c>
      <c r="B60" s="128" t="s">
        <v>11</v>
      </c>
      <c r="C60" s="10" t="s">
        <v>823</v>
      </c>
      <c r="D60" s="11" t="s">
        <v>29</v>
      </c>
      <c r="E60" s="86"/>
      <c r="F60" s="70">
        <v>17766</v>
      </c>
      <c r="G60" s="1"/>
      <c r="N60" s="1"/>
    </row>
    <row r="61" spans="1:14" s="2" customFormat="1" x14ac:dyDescent="0.2">
      <c r="A61" s="89">
        <v>45248</v>
      </c>
      <c r="B61" s="128" t="s">
        <v>11</v>
      </c>
      <c r="C61" s="10" t="s">
        <v>57</v>
      </c>
      <c r="D61" s="11" t="s">
        <v>29</v>
      </c>
      <c r="E61" s="86"/>
      <c r="F61" s="70">
        <v>3000000</v>
      </c>
      <c r="G61" s="1"/>
      <c r="N61" s="1"/>
    </row>
    <row r="62" spans="1:14" s="2" customFormat="1" x14ac:dyDescent="0.2">
      <c r="A62" s="89">
        <v>45248</v>
      </c>
      <c r="B62" s="128" t="s">
        <v>11</v>
      </c>
      <c r="C62" s="10" t="s">
        <v>937</v>
      </c>
      <c r="D62" s="11" t="s">
        <v>29</v>
      </c>
      <c r="E62" s="86"/>
      <c r="F62" s="70">
        <v>3084</v>
      </c>
      <c r="G62" s="1"/>
      <c r="N62" s="1"/>
    </row>
    <row r="63" spans="1:14" s="2" customFormat="1" x14ac:dyDescent="0.2">
      <c r="A63" s="89">
        <v>45248</v>
      </c>
      <c r="B63" s="128" t="s">
        <v>11</v>
      </c>
      <c r="C63" s="10" t="s">
        <v>1758</v>
      </c>
      <c r="D63" s="11" t="s">
        <v>29</v>
      </c>
      <c r="E63" s="86"/>
      <c r="F63" s="70">
        <v>500000</v>
      </c>
      <c r="G63" s="1"/>
      <c r="N63" s="1"/>
    </row>
    <row r="64" spans="1:14" s="2" customFormat="1" x14ac:dyDescent="0.2">
      <c r="A64" s="89">
        <v>45248</v>
      </c>
      <c r="B64" s="128" t="s">
        <v>11</v>
      </c>
      <c r="C64" s="10" t="s">
        <v>111</v>
      </c>
      <c r="D64" s="11" t="s">
        <v>29</v>
      </c>
      <c r="E64" s="86"/>
      <c r="F64" s="70">
        <v>2919495.77</v>
      </c>
      <c r="G64" s="1"/>
      <c r="N64" s="1"/>
    </row>
    <row r="65" spans="1:14" s="2" customFormat="1" x14ac:dyDescent="0.2">
      <c r="A65" s="32"/>
      <c r="B65" s="33"/>
      <c r="C65" s="14"/>
      <c r="D65" s="34"/>
      <c r="E65" s="16">
        <f>SUM(E30:E64)</f>
        <v>6542153.2800000003</v>
      </c>
      <c r="F65" s="16">
        <f>SUM(F30:F64)</f>
        <v>92068095.410000101</v>
      </c>
      <c r="G65" s="1"/>
      <c r="H65" s="1"/>
      <c r="I65" s="38">
        <v>85525942.129999995</v>
      </c>
      <c r="K65" s="92">
        <f>E66-I65</f>
        <v>0</v>
      </c>
      <c r="N65" s="1"/>
    </row>
    <row r="66" spans="1:14" s="2" customFormat="1" x14ac:dyDescent="0.2">
      <c r="A66" s="36"/>
      <c r="B66" s="28" t="s">
        <v>11</v>
      </c>
      <c r="C66" s="19" t="s">
        <v>65</v>
      </c>
      <c r="D66" s="37"/>
      <c r="E66" s="38">
        <f>F65-E65</f>
        <v>85525942.1300001</v>
      </c>
      <c r="F66" s="22"/>
      <c r="G66" s="1"/>
      <c r="H66" s="1"/>
      <c r="I66" s="70"/>
      <c r="J66" s="70"/>
      <c r="K66" s="70"/>
      <c r="N66" s="1"/>
    </row>
    <row r="67" spans="1:14" s="2" customFormat="1" x14ac:dyDescent="0.2">
      <c r="A67" s="36"/>
      <c r="B67" s="28" t="s">
        <v>66</v>
      </c>
      <c r="C67" s="19" t="s">
        <v>67</v>
      </c>
      <c r="D67" s="37"/>
      <c r="E67" s="38">
        <v>6500000</v>
      </c>
      <c r="F67" s="22"/>
      <c r="G67" s="1"/>
      <c r="H67" s="70"/>
      <c r="I67" s="70"/>
      <c r="J67" s="70"/>
      <c r="K67" s="70"/>
      <c r="N67" s="1"/>
    </row>
    <row r="68" spans="1:14" s="2" customFormat="1" x14ac:dyDescent="0.2">
      <c r="A68" s="36"/>
      <c r="B68" s="28" t="s">
        <v>66</v>
      </c>
      <c r="C68" s="43" t="s">
        <v>1457</v>
      </c>
      <c r="D68" s="43"/>
      <c r="E68" s="12">
        <f>275000000+75000000+50000000</f>
        <v>400000000</v>
      </c>
      <c r="F68" s="22"/>
      <c r="G68" s="1"/>
      <c r="H68" s="70"/>
      <c r="I68" s="45">
        <v>2013.54</v>
      </c>
      <c r="J68" s="46"/>
      <c r="K68" s="46"/>
      <c r="N68" s="1"/>
    </row>
    <row r="69" spans="1:14" s="2" customFormat="1" ht="15" x14ac:dyDescent="0.25">
      <c r="A69" s="36"/>
      <c r="B69" s="28"/>
      <c r="C69" s="44" t="s">
        <v>1541</v>
      </c>
      <c r="D69" s="43"/>
      <c r="E69" s="7">
        <f>+E68+E66+E67</f>
        <v>492025942.13000011</v>
      </c>
      <c r="F69" s="22"/>
      <c r="G69" s="1"/>
      <c r="H69" s="103" t="s">
        <v>69</v>
      </c>
      <c r="I69" s="45">
        <v>-10.72</v>
      </c>
      <c r="J69" s="46"/>
      <c r="K69" s="46"/>
      <c r="N69" s="1"/>
    </row>
    <row r="70" spans="1:14" s="2" customFormat="1" ht="15" x14ac:dyDescent="0.25">
      <c r="A70" s="24"/>
      <c r="B70" s="1"/>
      <c r="C70" s="44" t="s">
        <v>1510</v>
      </c>
      <c r="D70" s="25"/>
      <c r="E70" s="156">
        <f>+I30-E67+H26-I26</f>
        <v>7974057.8700000048</v>
      </c>
      <c r="G70" s="1"/>
      <c r="H70" s="35" t="s">
        <v>70</v>
      </c>
      <c r="I70" s="45">
        <v>22.98</v>
      </c>
      <c r="J70" s="46">
        <f>+I71-D73</f>
        <v>0</v>
      </c>
      <c r="N70" s="1"/>
    </row>
    <row r="71" spans="1:14" s="124" customFormat="1" ht="12.75" customHeight="1" x14ac:dyDescent="0.2">
      <c r="A71" s="24"/>
      <c r="B71" s="1"/>
      <c r="C71" s="56"/>
      <c r="D71" s="56"/>
      <c r="E71" s="104"/>
      <c r="F71" s="2"/>
      <c r="G71" s="166"/>
      <c r="H71" s="70"/>
      <c r="I71" s="49">
        <f>SUM(I68:I70)</f>
        <v>2025.8</v>
      </c>
      <c r="J71" s="46"/>
      <c r="K71" s="46"/>
    </row>
    <row r="72" spans="1:14" s="124" customFormat="1" ht="12.75" customHeight="1" x14ac:dyDescent="0.2">
      <c r="A72" s="24"/>
      <c r="B72" s="1"/>
      <c r="C72" s="78" t="s">
        <v>575</v>
      </c>
      <c r="D72" s="48" t="s">
        <v>576</v>
      </c>
      <c r="E72" s="104"/>
      <c r="F72" s="2"/>
      <c r="G72" s="168"/>
      <c r="H72" s="167"/>
      <c r="I72" s="167"/>
      <c r="J72" s="168"/>
    </row>
    <row r="73" spans="1:14" s="124" customFormat="1" ht="12.75" customHeight="1" x14ac:dyDescent="0.2">
      <c r="A73" s="24"/>
      <c r="B73" s="1"/>
      <c r="C73" s="47" t="s">
        <v>570</v>
      </c>
      <c r="D73" s="111">
        <v>2025.8</v>
      </c>
      <c r="E73" s="104"/>
      <c r="F73" s="2"/>
      <c r="G73" s="168"/>
      <c r="H73" s="110" t="s">
        <v>581</v>
      </c>
      <c r="I73" s="167"/>
      <c r="J73" s="168"/>
    </row>
    <row r="74" spans="1:14" s="124" customFormat="1" ht="12.75" customHeight="1" x14ac:dyDescent="0.2">
      <c r="A74" s="24"/>
      <c r="B74" s="1"/>
      <c r="C74" s="47" t="s">
        <v>931</v>
      </c>
      <c r="D74" s="111">
        <v>111.32</v>
      </c>
      <c r="E74" s="104"/>
      <c r="F74" s="2"/>
      <c r="G74" s="168"/>
      <c r="H74" s="110" t="s">
        <v>580</v>
      </c>
      <c r="I74" s="167"/>
      <c r="J74" s="168"/>
    </row>
    <row r="75" spans="1:14" s="124" customFormat="1" ht="12.75" customHeight="1" x14ac:dyDescent="0.2">
      <c r="A75" s="24"/>
      <c r="B75" s="1"/>
      <c r="C75" s="47" t="s">
        <v>572</v>
      </c>
      <c r="D75" s="111">
        <f>+D100/100000</f>
        <v>204.3038195</v>
      </c>
      <c r="E75" s="104"/>
      <c r="F75" s="2"/>
      <c r="G75" s="166"/>
      <c r="H75" s="90" t="s">
        <v>587</v>
      </c>
      <c r="I75" s="167"/>
      <c r="J75" s="168"/>
    </row>
    <row r="76" spans="1:14" s="2" customFormat="1" x14ac:dyDescent="0.2">
      <c r="A76" s="24"/>
      <c r="B76" s="1"/>
      <c r="C76" s="108" t="s">
        <v>578</v>
      </c>
      <c r="D76" s="48">
        <f>SUM(D73:D75)</f>
        <v>2341.4238194999998</v>
      </c>
      <c r="E76" s="104"/>
      <c r="G76" s="30"/>
      <c r="I76" s="13"/>
      <c r="J76" s="13"/>
    </row>
    <row r="77" spans="1:14" s="70" customFormat="1" x14ac:dyDescent="0.2">
      <c r="A77" s="24"/>
      <c r="B77" s="1"/>
      <c r="C77" s="47"/>
      <c r="D77" s="107"/>
      <c r="E77" s="104"/>
      <c r="F77" s="2"/>
      <c r="G77" s="30"/>
      <c r="H77" s="2"/>
    </row>
    <row r="78" spans="1:14" s="70" customFormat="1" x14ac:dyDescent="0.2">
      <c r="A78" s="24"/>
      <c r="B78" s="1"/>
      <c r="C78" s="47" t="s">
        <v>932</v>
      </c>
      <c r="D78" s="111">
        <v>11.99</v>
      </c>
      <c r="E78" s="104"/>
      <c r="F78" s="2"/>
      <c r="G78" s="30"/>
      <c r="H78" s="110" t="s">
        <v>581</v>
      </c>
    </row>
    <row r="79" spans="1:14" s="70" customFormat="1" x14ac:dyDescent="0.2">
      <c r="A79" s="24"/>
      <c r="B79" s="1"/>
      <c r="C79" s="136" t="s">
        <v>1142</v>
      </c>
      <c r="D79" s="111">
        <v>487.07</v>
      </c>
      <c r="E79" s="104"/>
      <c r="F79" s="2"/>
      <c r="G79" s="30"/>
      <c r="H79" s="110" t="s">
        <v>581</v>
      </c>
    </row>
    <row r="80" spans="1:14" s="70" customFormat="1" x14ac:dyDescent="0.2">
      <c r="A80" s="24"/>
      <c r="B80" s="1"/>
      <c r="C80" s="78" t="s">
        <v>579</v>
      </c>
      <c r="D80" s="109">
        <f>D78+D79</f>
        <v>499.06</v>
      </c>
      <c r="E80" s="104"/>
      <c r="F80" s="2"/>
      <c r="G80" s="30"/>
    </row>
    <row r="81" spans="1:14" s="70" customFormat="1" x14ac:dyDescent="0.2">
      <c r="A81" s="24"/>
      <c r="B81" s="1"/>
      <c r="C81" s="105"/>
      <c r="D81" s="106"/>
      <c r="E81" s="104"/>
      <c r="F81" s="2"/>
      <c r="G81" s="30"/>
      <c r="I81" s="2"/>
      <c r="J81" s="114" t="s">
        <v>713</v>
      </c>
      <c r="K81" s="2"/>
      <c r="L81" s="2"/>
      <c r="M81" s="2"/>
    </row>
    <row r="82" spans="1:14" s="70" customFormat="1" x14ac:dyDescent="0.2">
      <c r="A82" s="24"/>
      <c r="B82" s="1"/>
      <c r="C82" s="78" t="s">
        <v>577</v>
      </c>
      <c r="D82" s="109">
        <f>D73+D80</f>
        <v>2524.86</v>
      </c>
      <c r="E82" s="104"/>
      <c r="F82" s="2"/>
      <c r="G82" s="30"/>
      <c r="I82" s="113"/>
      <c r="J82" s="113" t="s">
        <v>709</v>
      </c>
      <c r="K82" s="113" t="s">
        <v>710</v>
      </c>
      <c r="L82" s="113" t="s">
        <v>711</v>
      </c>
      <c r="M82" s="113" t="s">
        <v>712</v>
      </c>
    </row>
    <row r="83" spans="1:14" s="70" customFormat="1" x14ac:dyDescent="0.2">
      <c r="A83" s="24"/>
      <c r="B83" s="1"/>
      <c r="C83" s="56"/>
      <c r="D83" s="56"/>
      <c r="E83" s="104"/>
      <c r="F83" s="2"/>
      <c r="G83" s="30"/>
      <c r="I83" s="113" t="s">
        <v>706</v>
      </c>
      <c r="J83" s="115"/>
      <c r="K83" s="115">
        <v>968.99</v>
      </c>
      <c r="L83" s="115">
        <v>968.99</v>
      </c>
      <c r="M83" s="113">
        <f>+J83+L83-K83</f>
        <v>0</v>
      </c>
    </row>
    <row r="84" spans="1:14" s="70" customFormat="1" ht="38.25" x14ac:dyDescent="0.2">
      <c r="A84" s="24"/>
      <c r="B84" s="1"/>
      <c r="C84" s="79" t="str">
        <f>"Particulars ( 01-04-2021 to "&amp;TEXT(A5,"dd-mm-yyyy")&amp;" )"</f>
        <v>Particulars ( 01-04-2021 to 18-11-2023 )</v>
      </c>
      <c r="D84" s="80" t="s">
        <v>73</v>
      </c>
      <c r="E84" s="80" t="s">
        <v>74</v>
      </c>
      <c r="F84" s="81" t="s">
        <v>75</v>
      </c>
      <c r="G84" s="80" t="s">
        <v>76</v>
      </c>
      <c r="I84" s="113" t="s">
        <v>707</v>
      </c>
      <c r="J84" s="115">
        <v>183.1</v>
      </c>
      <c r="K84" s="115">
        <v>4008.64</v>
      </c>
      <c r="L84" s="115">
        <v>4132.1499999999996</v>
      </c>
      <c r="M84" s="113">
        <f>+J84+L84-K84</f>
        <v>306.61000000000013</v>
      </c>
    </row>
    <row r="85" spans="1:14" s="70" customFormat="1" x14ac:dyDescent="0.2">
      <c r="A85" s="24"/>
      <c r="B85" s="1"/>
      <c r="C85" s="50" t="s">
        <v>444</v>
      </c>
      <c r="D85" s="55">
        <f>+L83+L84+J84</f>
        <v>5284.24</v>
      </c>
      <c r="E85" s="55">
        <f>+K83+K84</f>
        <v>4977.63</v>
      </c>
      <c r="F85" s="55">
        <f>+D85-E85</f>
        <v>306.60999999999967</v>
      </c>
      <c r="G85" s="55">
        <f>1500-F85</f>
        <v>1193.3900000000003</v>
      </c>
      <c r="I85" s="113" t="s">
        <v>708</v>
      </c>
      <c r="J85" s="115">
        <v>1371.02</v>
      </c>
      <c r="K85" s="115">
        <f>14764.53+301.37</f>
        <v>15065.900000000001</v>
      </c>
      <c r="L85" s="115">
        <v>15159.32</v>
      </c>
      <c r="M85" s="113">
        <f>+J85+L85-K85</f>
        <v>1464.4399999999987</v>
      </c>
    </row>
    <row r="86" spans="1:14" s="70" customFormat="1" ht="12.75" customHeight="1" x14ac:dyDescent="0.2">
      <c r="A86" s="24"/>
      <c r="B86" s="1"/>
      <c r="C86" s="50" t="s">
        <v>71</v>
      </c>
      <c r="D86" s="55">
        <f>+J85+L85</f>
        <v>16530.34</v>
      </c>
      <c r="E86" s="55">
        <f>+K85</f>
        <v>15065.900000000001</v>
      </c>
      <c r="F86" s="55">
        <f>+D86-E86</f>
        <v>1464.4399999999987</v>
      </c>
      <c r="G86" s="55">
        <f>1500+700-F86</f>
        <v>735.56000000000131</v>
      </c>
      <c r="I86" s="2"/>
      <c r="J86" s="118">
        <f>SUM(J83:J85)</f>
        <v>1554.12</v>
      </c>
      <c r="K86" s="118">
        <f>SUM(K83:K85)</f>
        <v>20043.530000000002</v>
      </c>
      <c r="L86" s="118">
        <f>SUM(L83:L85)</f>
        <v>20260.46</v>
      </c>
      <c r="M86" s="118">
        <f>SUM(M83:M85)</f>
        <v>1771.0499999999988</v>
      </c>
    </row>
    <row r="87" spans="1:14" s="70" customFormat="1" ht="12.75" customHeight="1" x14ac:dyDescent="0.2">
      <c r="A87" s="24"/>
      <c r="B87" s="1"/>
      <c r="C87" s="14"/>
      <c r="D87" s="56"/>
      <c r="E87" s="13"/>
      <c r="F87" s="2"/>
      <c r="G87" s="30"/>
    </row>
    <row r="88" spans="1:14" s="70" customFormat="1" ht="12.75" customHeight="1" x14ac:dyDescent="0.2">
      <c r="A88" s="215" t="s">
        <v>80</v>
      </c>
      <c r="B88" s="216"/>
      <c r="C88" s="216"/>
      <c r="D88" s="217"/>
      <c r="E88" s="69"/>
      <c r="G88" s="30"/>
    </row>
    <row r="89" spans="1:14" s="70" customFormat="1" ht="12.75" customHeight="1" x14ac:dyDescent="0.2">
      <c r="A89" s="71" t="s">
        <v>81</v>
      </c>
      <c r="B89" s="71"/>
      <c r="C89" s="72" t="s">
        <v>82</v>
      </c>
      <c r="D89" s="73" t="s">
        <v>83</v>
      </c>
      <c r="E89" s="69"/>
      <c r="G89" s="30"/>
    </row>
    <row r="90" spans="1:14" s="70" customFormat="1" ht="12.75" customHeight="1" x14ac:dyDescent="0.2">
      <c r="A90" s="87">
        <v>45232</v>
      </c>
      <c r="B90" s="120" t="s">
        <v>6</v>
      </c>
      <c r="C90" s="75" t="s">
        <v>767</v>
      </c>
      <c r="D90" s="88">
        <v>515100</v>
      </c>
      <c r="E90" s="2"/>
      <c r="F90" s="2"/>
      <c r="G90" s="30"/>
      <c r="H90" s="2"/>
      <c r="I90" s="2"/>
      <c r="J90" s="2"/>
      <c r="K90" s="2"/>
      <c r="L90" s="41"/>
      <c r="M90" s="42"/>
      <c r="N90" s="2"/>
    </row>
    <row r="91" spans="1:14" s="70" customFormat="1" ht="12.75" customHeight="1" x14ac:dyDescent="0.2">
      <c r="A91" s="87">
        <v>45232</v>
      </c>
      <c r="B91" s="120" t="s">
        <v>6</v>
      </c>
      <c r="C91" s="75" t="s">
        <v>566</v>
      </c>
      <c r="D91" s="88">
        <v>52450</v>
      </c>
      <c r="E91" s="2"/>
      <c r="F91" s="2"/>
      <c r="G91" s="30"/>
      <c r="H91" s="2"/>
      <c r="I91" s="2"/>
      <c r="J91" s="2"/>
      <c r="K91" s="2"/>
      <c r="L91" s="41"/>
      <c r="M91" s="42"/>
      <c r="N91" s="2"/>
    </row>
    <row r="92" spans="1:14" s="70" customFormat="1" ht="12.75" customHeight="1" x14ac:dyDescent="0.2">
      <c r="A92" s="87">
        <v>45233</v>
      </c>
      <c r="B92" s="120" t="s">
        <v>6</v>
      </c>
      <c r="C92" s="75" t="s">
        <v>1084</v>
      </c>
      <c r="D92" s="88">
        <v>1833799</v>
      </c>
      <c r="E92" s="2"/>
      <c r="F92" s="2"/>
      <c r="G92" s="30"/>
      <c r="H92" s="2"/>
      <c r="I92" s="2"/>
      <c r="J92" s="2"/>
      <c r="K92" s="2"/>
      <c r="L92" s="41"/>
      <c r="M92" s="42"/>
      <c r="N92" s="2"/>
    </row>
    <row r="93" spans="1:14" s="70" customFormat="1" ht="12.75" customHeight="1" x14ac:dyDescent="0.2">
      <c r="A93" s="87">
        <v>45233</v>
      </c>
      <c r="B93" s="120" t="s">
        <v>6</v>
      </c>
      <c r="C93" s="75" t="s">
        <v>909</v>
      </c>
      <c r="D93" s="88">
        <v>366980</v>
      </c>
      <c r="E93" s="2"/>
      <c r="F93" s="2"/>
      <c r="G93" s="30"/>
      <c r="H93" s="2"/>
      <c r="I93" s="2"/>
      <c r="J93" s="2"/>
      <c r="K93" s="2"/>
      <c r="L93" s="41"/>
      <c r="M93" s="42"/>
      <c r="N93" s="2"/>
    </row>
    <row r="94" spans="1:14" s="70" customFormat="1" ht="12.75" customHeight="1" x14ac:dyDescent="0.2">
      <c r="A94" s="87">
        <v>45233</v>
      </c>
      <c r="B94" s="120" t="s">
        <v>6</v>
      </c>
      <c r="C94" s="75" t="s">
        <v>909</v>
      </c>
      <c r="D94" s="88">
        <v>30038</v>
      </c>
      <c r="E94" s="2"/>
      <c r="F94" s="2"/>
      <c r="G94" s="30"/>
      <c r="H94" s="2"/>
      <c r="I94" s="2"/>
      <c r="J94" s="2"/>
      <c r="K94" s="2"/>
      <c r="L94" s="41"/>
      <c r="M94" s="42"/>
      <c r="N94" s="2"/>
    </row>
    <row r="95" spans="1:14" s="70" customFormat="1" ht="12.75" customHeight="1" x14ac:dyDescent="0.2">
      <c r="A95" s="87">
        <v>45237</v>
      </c>
      <c r="B95" s="120" t="s">
        <v>6</v>
      </c>
      <c r="C95" s="75" t="s">
        <v>888</v>
      </c>
      <c r="D95" s="88">
        <v>14999721.949999999</v>
      </c>
      <c r="E95" s="2"/>
      <c r="F95" s="2"/>
      <c r="G95" s="30"/>
      <c r="H95" s="2"/>
      <c r="I95" s="2"/>
      <c r="J95" s="2"/>
      <c r="K95" s="2"/>
      <c r="L95" s="41"/>
      <c r="M95" s="42"/>
      <c r="N95" s="2"/>
    </row>
    <row r="96" spans="1:14" s="70" customFormat="1" ht="12.75" customHeight="1" x14ac:dyDescent="0.2">
      <c r="A96" s="87">
        <v>45238</v>
      </c>
      <c r="B96" s="120" t="s">
        <v>6</v>
      </c>
      <c r="C96" s="75" t="s">
        <v>606</v>
      </c>
      <c r="D96" s="88">
        <v>1098495</v>
      </c>
      <c r="E96" s="2"/>
      <c r="F96" s="2"/>
      <c r="G96" s="30"/>
      <c r="H96" s="2"/>
      <c r="I96" s="2"/>
      <c r="J96" s="2"/>
      <c r="K96" s="2"/>
      <c r="L96" s="41"/>
      <c r="M96" s="42"/>
      <c r="N96" s="2"/>
    </row>
    <row r="97" spans="1:14" s="70" customFormat="1" ht="12.75" customHeight="1" x14ac:dyDescent="0.2">
      <c r="A97" s="87">
        <v>45239</v>
      </c>
      <c r="B97" s="120" t="s">
        <v>6</v>
      </c>
      <c r="C97" s="75" t="s">
        <v>566</v>
      </c>
      <c r="D97" s="88">
        <f>183507+63254</f>
        <v>246761</v>
      </c>
      <c r="E97" s="2"/>
      <c r="F97" s="2"/>
      <c r="G97" s="30"/>
      <c r="H97" s="2"/>
      <c r="I97" s="2"/>
      <c r="J97" s="2"/>
      <c r="K97" s="2"/>
      <c r="L97" s="41"/>
      <c r="M97" s="42"/>
      <c r="N97" s="2"/>
    </row>
    <row r="98" spans="1:14" s="70" customFormat="1" ht="12.75" customHeight="1" x14ac:dyDescent="0.2">
      <c r="A98" s="87">
        <v>45240</v>
      </c>
      <c r="B98" s="120" t="s">
        <v>6</v>
      </c>
      <c r="C98" s="75" t="s">
        <v>767</v>
      </c>
      <c r="D98" s="88">
        <v>287037</v>
      </c>
      <c r="E98" s="2"/>
      <c r="F98" s="2"/>
      <c r="G98" s="30"/>
      <c r="H98" s="2"/>
      <c r="I98" s="2"/>
      <c r="J98" s="2"/>
      <c r="K98" s="2"/>
      <c r="L98" s="41"/>
      <c r="M98" s="42"/>
      <c r="N98" s="2"/>
    </row>
    <row r="99" spans="1:14" s="70" customFormat="1" ht="12.75" customHeight="1" x14ac:dyDescent="0.2">
      <c r="A99" s="87">
        <v>45240</v>
      </c>
      <c r="B99" s="120" t="s">
        <v>6</v>
      </c>
      <c r="C99" s="75" t="s">
        <v>1767</v>
      </c>
      <c r="D99" s="88">
        <v>1000000</v>
      </c>
      <c r="E99" s="2"/>
      <c r="F99" s="2"/>
      <c r="G99" s="30"/>
      <c r="H99" s="2"/>
      <c r="I99" s="2"/>
      <c r="J99" s="2"/>
      <c r="K99" s="2"/>
      <c r="L99" s="41"/>
      <c r="M99" s="42"/>
      <c r="N99" s="2"/>
    </row>
    <row r="100" spans="1:14" s="2" customFormat="1" x14ac:dyDescent="0.2">
      <c r="A100" s="87"/>
      <c r="B100" s="74"/>
      <c r="C100" s="75"/>
      <c r="D100" s="51">
        <f>SUM(D90:D99)</f>
        <v>20430381.949999999</v>
      </c>
      <c r="F100" s="2" t="s">
        <v>396</v>
      </c>
      <c r="G100" s="1"/>
    </row>
    <row r="101" spans="1:14" s="2" customFormat="1" x14ac:dyDescent="0.2">
      <c r="A101" s="24"/>
      <c r="B101" s="1"/>
      <c r="C101" s="14"/>
      <c r="D101" s="56"/>
      <c r="E101" s="13"/>
      <c r="G101" s="1"/>
    </row>
    <row r="102" spans="1:14" s="2" customFormat="1" x14ac:dyDescent="0.2">
      <c r="A102" s="24"/>
      <c r="B102" s="1"/>
      <c r="C102" s="218" t="s">
        <v>77</v>
      </c>
      <c r="D102" s="219"/>
      <c r="E102" s="219"/>
      <c r="F102" s="220"/>
      <c r="H102" s="2" t="s">
        <v>396</v>
      </c>
    </row>
    <row r="103" spans="1:14" s="2" customFormat="1" x14ac:dyDescent="0.2">
      <c r="A103" s="24"/>
      <c r="B103" s="1"/>
      <c r="C103" s="50"/>
      <c r="D103" s="57" t="s">
        <v>78</v>
      </c>
      <c r="E103" s="58" t="s">
        <v>79</v>
      </c>
      <c r="F103" s="57" t="s">
        <v>72</v>
      </c>
      <c r="H103" s="2" t="s">
        <v>396</v>
      </c>
    </row>
    <row r="104" spans="1:14" s="2" customFormat="1" x14ac:dyDescent="0.2">
      <c r="A104" s="24"/>
      <c r="B104" s="1"/>
      <c r="C104" s="59" t="str">
        <f>"01-11-2023 to "&amp;TEXT(A5-2,"dd-mm-yyyy")</f>
        <v>01-11-2023 to 16-11-2023</v>
      </c>
      <c r="D104" s="60">
        <v>1158.98</v>
      </c>
      <c r="E104" s="60">
        <v>226.26</v>
      </c>
      <c r="F104" s="61">
        <f>SUM(D104:E104)</f>
        <v>1385.24</v>
      </c>
    </row>
    <row r="105" spans="1:14" s="2" customFormat="1" x14ac:dyDescent="0.2">
      <c r="A105" s="24"/>
      <c r="B105" s="1"/>
      <c r="C105" s="62" t="str">
        <f>TEXT(A5-1,"dd-mm-yyyy")</f>
        <v>17-11-2023</v>
      </c>
      <c r="D105" s="60">
        <v>109.67</v>
      </c>
      <c r="E105" s="60">
        <v>31.95</v>
      </c>
      <c r="F105" s="61">
        <f>SUM(D105:E105)</f>
        <v>141.62</v>
      </c>
      <c r="G105" s="1"/>
      <c r="H105" s="53"/>
    </row>
    <row r="106" spans="1:14" s="2" customFormat="1" ht="13.5" thickBot="1" x14ac:dyDescent="0.25">
      <c r="A106" s="24"/>
      <c r="B106" s="1"/>
      <c r="C106" s="63" t="str">
        <f>"01-11-2023 to "&amp;TEXT(A5-1,"dd-mm-yyyy")</f>
        <v>01-11-2023 to 17-11-2023</v>
      </c>
      <c r="D106" s="64">
        <f>SUM(D104:D105)</f>
        <v>1268.6500000000001</v>
      </c>
      <c r="E106" s="64">
        <f>SUM(E104:E105)</f>
        <v>258.20999999999998</v>
      </c>
      <c r="F106" s="64">
        <f>SUM(F104:F105)</f>
        <v>1526.8600000000001</v>
      </c>
      <c r="G106" s="1"/>
      <c r="H106" s="53"/>
    </row>
    <row r="107" spans="1:14" s="2" customFormat="1" ht="13.5" thickTop="1" x14ac:dyDescent="0.2">
      <c r="A107" s="24"/>
      <c r="B107" s="1"/>
      <c r="C107" s="62"/>
      <c r="D107" s="65"/>
      <c r="E107" s="66"/>
      <c r="F107" s="67"/>
      <c r="L107" s="1"/>
      <c r="M107" s="1"/>
    </row>
    <row r="108" spans="1:14" s="2" customFormat="1" x14ac:dyDescent="0.2">
      <c r="A108" s="24"/>
      <c r="B108" s="1"/>
      <c r="C108" s="62" t="str">
        <f>"01-04-2023 to " &amp;C105</f>
        <v>01-04-2023 to 17-11-2023</v>
      </c>
      <c r="D108" s="68">
        <f>+D106+29859.78</f>
        <v>31128.43</v>
      </c>
      <c r="E108" s="68">
        <f>+E106+2548.34</f>
        <v>2806.55</v>
      </c>
      <c r="F108" s="68">
        <f>+F106+32392.07</f>
        <v>33918.93</v>
      </c>
      <c r="G108" s="1"/>
      <c r="L108" s="1"/>
      <c r="M108" s="1"/>
    </row>
    <row r="109" spans="1:14" s="2" customFormat="1" x14ac:dyDescent="0.2">
      <c r="A109" s="24"/>
      <c r="B109" s="1"/>
      <c r="C109" s="52"/>
      <c r="D109" s="85"/>
      <c r="E109" s="53"/>
      <c r="F109" s="53"/>
      <c r="G109" s="1"/>
      <c r="L109" s="1"/>
      <c r="M109" s="1"/>
    </row>
    <row r="110" spans="1:14" s="2" customFormat="1" x14ac:dyDescent="0.2">
      <c r="A110" s="24"/>
      <c r="B110" s="1"/>
      <c r="C110" s="52"/>
      <c r="D110" s="85"/>
      <c r="E110" s="53"/>
      <c r="F110" s="53"/>
      <c r="G110" s="1"/>
      <c r="L110" s="1"/>
      <c r="M110" s="1"/>
    </row>
    <row r="111" spans="1:14" s="2" customFormat="1" x14ac:dyDescent="0.2">
      <c r="A111" s="24"/>
      <c r="B111" s="1"/>
      <c r="C111" s="52"/>
      <c r="D111" s="85"/>
      <c r="E111" s="53"/>
      <c r="F111" s="53"/>
      <c r="G111" s="1"/>
      <c r="L111" s="1"/>
      <c r="M111" s="1"/>
    </row>
    <row r="112" spans="1:14" s="2" customFormat="1" x14ac:dyDescent="0.2">
      <c r="A112" s="24"/>
      <c r="B112" s="1"/>
      <c r="C112" s="52"/>
      <c r="D112" s="85"/>
      <c r="E112" s="53"/>
      <c r="F112" s="53"/>
      <c r="G112" s="1"/>
      <c r="L112" s="1"/>
      <c r="M112" s="1"/>
    </row>
    <row r="113" spans="1:13" s="2" customFormat="1" x14ac:dyDescent="0.2">
      <c r="A113" s="24"/>
      <c r="B113" s="1"/>
      <c r="C113" s="14"/>
      <c r="D113" s="25">
        <f>SUM(D110:D112)</f>
        <v>0</v>
      </c>
      <c r="E113" s="2">
        <f>SUM(E110:E112)</f>
        <v>0</v>
      </c>
      <c r="G113" s="1"/>
      <c r="L113" s="1"/>
      <c r="M113" s="1"/>
    </row>
    <row r="114" spans="1:13" s="2" customFormat="1" x14ac:dyDescent="0.2">
      <c r="A114" s="24"/>
      <c r="B114" s="1"/>
      <c r="C114" s="14"/>
      <c r="D114" s="25"/>
      <c r="G114" s="1"/>
      <c r="L114" s="1"/>
      <c r="M114" s="1"/>
    </row>
    <row r="115" spans="1:13" s="2" customFormat="1" x14ac:dyDescent="0.2">
      <c r="A115" s="24"/>
      <c r="B115" s="1"/>
      <c r="C115" s="14"/>
      <c r="D115" s="25"/>
      <c r="G115" s="1"/>
      <c r="L115" s="1"/>
      <c r="M115" s="1"/>
    </row>
    <row r="116" spans="1:13" s="2" customFormat="1" x14ac:dyDescent="0.2">
      <c r="A116" s="24"/>
      <c r="B116" s="1"/>
      <c r="C116" s="14"/>
      <c r="D116" s="25"/>
      <c r="G116" s="1"/>
      <c r="L116" s="1"/>
      <c r="M116" s="1"/>
    </row>
    <row r="117" spans="1:13" s="2" customFormat="1" x14ac:dyDescent="0.2">
      <c r="A117" s="24"/>
      <c r="B117" s="1"/>
      <c r="C117" s="14"/>
      <c r="D117" s="25"/>
      <c r="G117" s="1"/>
      <c r="L117" s="1"/>
      <c r="M117" s="1"/>
    </row>
    <row r="118" spans="1:13" s="2" customFormat="1" x14ac:dyDescent="0.2">
      <c r="A118" s="24"/>
      <c r="B118" s="1"/>
      <c r="C118" s="14"/>
      <c r="D118" s="25"/>
      <c r="G118" s="1"/>
      <c r="L118" s="1"/>
      <c r="M118" s="1"/>
    </row>
    <row r="119" spans="1:13" s="2" customFormat="1" x14ac:dyDescent="0.2">
      <c r="A119" s="24"/>
      <c r="B119" s="1"/>
      <c r="C119" s="14"/>
      <c r="D119" s="25"/>
      <c r="G119" s="1"/>
      <c r="L119" s="1"/>
      <c r="M119" s="1"/>
    </row>
    <row r="120" spans="1:13" s="2" customFormat="1" x14ac:dyDescent="0.2">
      <c r="A120" s="24"/>
      <c r="B120" s="1"/>
      <c r="C120" s="14"/>
      <c r="D120" s="25"/>
      <c r="G120" s="1"/>
      <c r="L120" s="1"/>
      <c r="M120" s="1"/>
    </row>
    <row r="121" spans="1:13" s="2" customFormat="1" x14ac:dyDescent="0.2">
      <c r="A121" s="24"/>
      <c r="B121" s="1"/>
      <c r="C121" s="14"/>
      <c r="D121" s="25"/>
      <c r="G121" s="1"/>
      <c r="L121" s="1"/>
      <c r="M121" s="1"/>
    </row>
    <row r="122" spans="1:13" s="2" customFormat="1" x14ac:dyDescent="0.2">
      <c r="A122" s="24"/>
      <c r="B122" s="1"/>
      <c r="C122" s="14"/>
      <c r="D122" s="25"/>
      <c r="G122" s="1"/>
      <c r="L122" s="1"/>
      <c r="M122" s="1"/>
    </row>
    <row r="123" spans="1:13" s="2" customFormat="1" x14ac:dyDescent="0.2">
      <c r="A123" s="24"/>
      <c r="B123" s="1"/>
      <c r="C123" s="14"/>
      <c r="D123" s="25"/>
      <c r="G123" s="1"/>
      <c r="L123" s="1"/>
      <c r="M123" s="1"/>
    </row>
    <row r="124" spans="1:13" s="2" customFormat="1" x14ac:dyDescent="0.2">
      <c r="A124" s="24"/>
      <c r="B124" s="1"/>
      <c r="C124" s="14"/>
      <c r="D124" s="25"/>
      <c r="G124" s="1"/>
      <c r="L124" s="1"/>
      <c r="M124" s="1"/>
    </row>
    <row r="125" spans="1:13" s="2" customFormat="1" x14ac:dyDescent="0.2">
      <c r="A125" s="24"/>
      <c r="B125" s="1"/>
      <c r="C125" s="14"/>
      <c r="D125" s="25"/>
      <c r="G125" s="1"/>
      <c r="L125" s="1"/>
      <c r="M125" s="1"/>
    </row>
    <row r="126" spans="1:13" s="2" customFormat="1" x14ac:dyDescent="0.2">
      <c r="A126" s="24"/>
      <c r="B126" s="1"/>
      <c r="C126" s="14"/>
      <c r="D126" s="25"/>
      <c r="G126" s="1"/>
      <c r="L126" s="1"/>
      <c r="M126" s="1"/>
    </row>
    <row r="127" spans="1:13" s="2" customFormat="1" x14ac:dyDescent="0.2">
      <c r="A127" s="24"/>
      <c r="B127" s="1"/>
      <c r="C127" s="14"/>
      <c r="D127" s="25"/>
      <c r="G127" s="1"/>
      <c r="I127" s="1"/>
      <c r="J127" s="1"/>
      <c r="K127" s="1"/>
      <c r="L127" s="1"/>
      <c r="M127" s="1"/>
    </row>
    <row r="128" spans="1:13" s="2" customFormat="1" x14ac:dyDescent="0.2">
      <c r="A128" s="24"/>
      <c r="B128" s="1"/>
      <c r="C128" s="14"/>
      <c r="D128" s="25"/>
      <c r="G128" s="1"/>
    </row>
    <row r="129" spans="1:14" s="2" customFormat="1" x14ac:dyDescent="0.2">
      <c r="A129" s="24"/>
      <c r="B129" s="1"/>
      <c r="C129" s="14"/>
      <c r="D129" s="25"/>
      <c r="G129" s="1"/>
      <c r="I129" s="1"/>
      <c r="J129" s="1"/>
      <c r="K129" s="1"/>
      <c r="L129" s="1"/>
      <c r="M129" s="1"/>
    </row>
    <row r="130" spans="1:14" s="2" customFormat="1" x14ac:dyDescent="0.2">
      <c r="A130" s="24"/>
      <c r="B130" s="1"/>
      <c r="C130" s="14"/>
      <c r="D130" s="25"/>
      <c r="G130" s="54"/>
      <c r="I130" s="1"/>
      <c r="J130" s="1"/>
      <c r="K130" s="1"/>
      <c r="L130" s="1"/>
      <c r="M130" s="1"/>
    </row>
    <row r="131" spans="1:14" s="2" customFormat="1" x14ac:dyDescent="0.2">
      <c r="A131" s="24"/>
      <c r="B131" s="1"/>
      <c r="C131" s="14"/>
      <c r="D131" s="25"/>
      <c r="G131" s="54"/>
      <c r="I131" s="1"/>
      <c r="J131" s="1"/>
      <c r="K131" s="1"/>
      <c r="L131" s="1"/>
      <c r="M131" s="1"/>
    </row>
    <row r="132" spans="1:14" s="2" customFormat="1" x14ac:dyDescent="0.2">
      <c r="A132" s="24"/>
      <c r="B132" s="1"/>
      <c r="C132" s="14"/>
      <c r="D132" s="25"/>
      <c r="G132" s="54"/>
      <c r="I132" s="1"/>
      <c r="J132" s="1"/>
      <c r="K132" s="1"/>
      <c r="L132" s="1"/>
      <c r="M132" s="1"/>
    </row>
    <row r="133" spans="1:14" s="2" customFormat="1" x14ac:dyDescent="0.2">
      <c r="A133" s="24"/>
      <c r="B133" s="1"/>
      <c r="C133" s="14"/>
      <c r="D133" s="25"/>
      <c r="G133" s="54"/>
      <c r="H133" s="2" t="s">
        <v>396</v>
      </c>
      <c r="I133" s="1"/>
      <c r="J133" s="1"/>
      <c r="K133" s="1"/>
      <c r="L133" s="1"/>
      <c r="M133" s="1"/>
      <c r="N133" s="1"/>
    </row>
    <row r="134" spans="1:14" s="2" customFormat="1" x14ac:dyDescent="0.2">
      <c r="A134" s="24"/>
      <c r="B134" s="1"/>
      <c r="C134" s="14"/>
      <c r="D134" s="25"/>
      <c r="G134" s="54"/>
      <c r="H134" s="53"/>
    </row>
    <row r="135" spans="1:14" s="2" customFormat="1" x14ac:dyDescent="0.2">
      <c r="A135" s="24"/>
      <c r="B135" s="1"/>
      <c r="C135" s="14"/>
      <c r="D135" s="25"/>
      <c r="G135" s="54"/>
      <c r="H135" s="53" t="s">
        <v>396</v>
      </c>
      <c r="I135" s="1"/>
      <c r="J135" s="1"/>
      <c r="K135" s="1"/>
      <c r="L135" s="1"/>
      <c r="M135" s="1"/>
      <c r="N135" s="1"/>
    </row>
    <row r="136" spans="1:14" x14ac:dyDescent="0.2">
      <c r="G136" s="54"/>
      <c r="H136" s="53" t="s">
        <v>396</v>
      </c>
      <c r="J136" s="42"/>
    </row>
    <row r="137" spans="1:14" s="2" customFormat="1" x14ac:dyDescent="0.2">
      <c r="A137" s="24"/>
      <c r="B137" s="1"/>
      <c r="C137" s="14"/>
      <c r="D137" s="25"/>
      <c r="G137" s="54"/>
      <c r="H137" s="53"/>
      <c r="I137" s="101"/>
      <c r="J137" s="1"/>
      <c r="K137" s="1"/>
      <c r="L137" s="1"/>
      <c r="M137" s="1"/>
      <c r="N137" s="1"/>
    </row>
    <row r="138" spans="1:14" x14ac:dyDescent="0.2">
      <c r="G138" s="54"/>
      <c r="H138" s="53"/>
    </row>
    <row r="139" spans="1:14" x14ac:dyDescent="0.2">
      <c r="G139" s="54"/>
      <c r="H139" s="53"/>
    </row>
    <row r="140" spans="1:14" x14ac:dyDescent="0.2">
      <c r="G140" s="54"/>
      <c r="H140" s="53"/>
    </row>
  </sheetData>
  <sheetProtection insertRows="0"/>
  <mergeCells count="6">
    <mergeCell ref="C102:F102"/>
    <mergeCell ref="A1:G1"/>
    <mergeCell ref="A3:F3"/>
    <mergeCell ref="A9:F9"/>
    <mergeCell ref="A28:F28"/>
    <mergeCell ref="A88:D88"/>
  </mergeCells>
  <conditionalFormatting sqref="G85:G86">
    <cfRule type="cellIs" dxfId="219" priority="1" operator="lessThan">
      <formula>0</formula>
    </cfRule>
  </conditionalFormatting>
  <conditionalFormatting sqref="C30">
    <cfRule type="duplicateValues" dxfId="218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500-000000000000}">
  <sheetPr codeName="Sheet477">
    <pageSetUpPr fitToPage="1"/>
  </sheetPr>
  <dimension ref="A1:N139"/>
  <sheetViews>
    <sheetView topLeftCell="A52" zoomScaleNormal="100" workbookViewId="0">
      <selection activeCell="E64" sqref="E64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1" ht="20.25" customHeight="1" x14ac:dyDescent="0.4">
      <c r="A1" s="212" t="s">
        <v>1780</v>
      </c>
      <c r="B1" s="212"/>
      <c r="C1" s="212"/>
      <c r="D1" s="212"/>
      <c r="E1" s="212"/>
      <c r="F1" s="212"/>
      <c r="G1" s="212"/>
      <c r="H1" s="112"/>
      <c r="I1" s="112"/>
    </row>
    <row r="2" spans="1:11" ht="12.75" customHeight="1" x14ac:dyDescent="0.4">
      <c r="H2" s="112"/>
      <c r="I2" s="112"/>
    </row>
    <row r="3" spans="1:11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1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1" s="2" customFormat="1" ht="14.25" customHeight="1" x14ac:dyDescent="0.4">
      <c r="A5" s="89">
        <v>45250</v>
      </c>
      <c r="B5" s="9" t="s">
        <v>6</v>
      </c>
      <c r="C5" s="10" t="s">
        <v>7</v>
      </c>
      <c r="D5" s="11"/>
      <c r="E5" s="12">
        <v>1050315.4200000023</v>
      </c>
      <c r="F5" s="12"/>
      <c r="G5" s="1"/>
      <c r="H5" s="112"/>
      <c r="I5" s="112"/>
    </row>
    <row r="6" spans="1:11" s="2" customFormat="1" ht="14.25" customHeight="1" x14ac:dyDescent="0.4">
      <c r="A6" s="89">
        <v>45250</v>
      </c>
      <c r="B6" s="9" t="s">
        <v>11</v>
      </c>
      <c r="C6" s="10" t="s">
        <v>489</v>
      </c>
      <c r="D6" s="11" t="s">
        <v>29</v>
      </c>
      <c r="E6" s="12"/>
      <c r="F6" s="12">
        <v>350000</v>
      </c>
      <c r="G6" s="1"/>
      <c r="H6" s="112"/>
      <c r="I6" s="112"/>
    </row>
    <row r="7" spans="1:11" s="2" customFormat="1" ht="12.75" customHeight="1" x14ac:dyDescent="0.4">
      <c r="D7" s="15" t="s">
        <v>8</v>
      </c>
      <c r="E7" s="16">
        <f>SUM(E5:E5)</f>
        <v>1050315.4200000023</v>
      </c>
      <c r="F7" s="16">
        <f>SUM(F6)</f>
        <v>350000</v>
      </c>
      <c r="G7" s="1"/>
      <c r="H7" s="112"/>
      <c r="I7" s="112"/>
    </row>
    <row r="8" spans="1:11" s="2" customFormat="1" ht="12.75" customHeight="1" x14ac:dyDescent="0.4">
      <c r="A8" s="17"/>
      <c r="B8" s="18"/>
      <c r="C8" s="19" t="s">
        <v>9</v>
      </c>
      <c r="D8" s="20"/>
      <c r="E8" s="21">
        <f>+E7-F7</f>
        <v>700315.42000000225</v>
      </c>
      <c r="F8" s="22"/>
      <c r="G8" s="23"/>
      <c r="H8" s="112"/>
      <c r="I8" s="112"/>
      <c r="J8" s="13"/>
    </row>
    <row r="9" spans="1:11" ht="12.75" customHeight="1" x14ac:dyDescent="0.4">
      <c r="H9" s="112"/>
      <c r="I9" s="112"/>
    </row>
    <row r="10" spans="1:11" ht="18" customHeight="1" x14ac:dyDescent="0.4">
      <c r="A10" s="213" t="s">
        <v>1037</v>
      </c>
      <c r="B10" s="213"/>
      <c r="C10" s="213"/>
      <c r="D10" s="213"/>
      <c r="E10" s="213"/>
      <c r="F10" s="213"/>
      <c r="H10" s="112"/>
      <c r="I10" s="169">
        <f>90000000-60000000</f>
        <v>30000000</v>
      </c>
      <c r="J10" s="169" t="s">
        <v>1508</v>
      </c>
    </row>
    <row r="11" spans="1:11" ht="12.75" customHeight="1" x14ac:dyDescent="0.4">
      <c r="A11" s="3" t="s">
        <v>1</v>
      </c>
      <c r="B11" s="4" t="s">
        <v>2</v>
      </c>
      <c r="C11" s="5"/>
      <c r="D11" s="6" t="s">
        <v>3</v>
      </c>
      <c r="E11" s="7" t="s">
        <v>4</v>
      </c>
      <c r="F11" s="7" t="s">
        <v>5</v>
      </c>
      <c r="H11" s="112"/>
      <c r="I11" s="169">
        <v>26557098.940000001</v>
      </c>
      <c r="J11" s="169" t="s">
        <v>1509</v>
      </c>
      <c r="K11" s="124"/>
    </row>
    <row r="12" spans="1:11" s="2" customFormat="1" ht="14.25" customHeight="1" x14ac:dyDescent="0.2">
      <c r="A12" s="89">
        <v>45250</v>
      </c>
      <c r="B12" s="9" t="s">
        <v>6</v>
      </c>
      <c r="C12" s="10" t="s">
        <v>7</v>
      </c>
      <c r="D12" s="11"/>
      <c r="F12" s="12">
        <v>26083152.939999998</v>
      </c>
      <c r="G12" s="1"/>
      <c r="H12" s="130" t="s">
        <v>396</v>
      </c>
      <c r="I12" s="169">
        <f>+I10-I11</f>
        <v>3442901.0599999987</v>
      </c>
      <c r="J12" s="169" t="s">
        <v>712</v>
      </c>
      <c r="K12" s="165" t="s">
        <v>1512</v>
      </c>
    </row>
    <row r="13" spans="1:11" s="2" customFormat="1" ht="14.25" customHeight="1" x14ac:dyDescent="0.2">
      <c r="A13" s="89">
        <v>45250</v>
      </c>
      <c r="B13" s="9" t="s">
        <v>6</v>
      </c>
      <c r="C13" s="76" t="s">
        <v>158</v>
      </c>
      <c r="D13" s="11" t="s">
        <v>13</v>
      </c>
      <c r="E13" s="2">
        <v>331391</v>
      </c>
      <c r="F13" s="12"/>
      <c r="G13" s="1"/>
      <c r="H13" s="130"/>
      <c r="I13" s="169"/>
      <c r="J13" s="169"/>
      <c r="K13" s="165"/>
    </row>
    <row r="14" spans="1:11" s="2" customFormat="1" ht="14.25" customHeight="1" x14ac:dyDescent="0.2">
      <c r="A14" s="89">
        <v>45250</v>
      </c>
      <c r="B14" s="9" t="s">
        <v>11</v>
      </c>
      <c r="C14" s="76" t="s">
        <v>1781</v>
      </c>
      <c r="D14" s="11" t="s">
        <v>29</v>
      </c>
      <c r="F14" s="12">
        <v>6732</v>
      </c>
      <c r="G14" s="1"/>
      <c r="H14" s="130"/>
      <c r="I14" s="169"/>
      <c r="J14" s="169"/>
      <c r="K14" s="165"/>
    </row>
    <row r="15" spans="1:11" s="2" customFormat="1" ht="14.25" customHeight="1" x14ac:dyDescent="0.2">
      <c r="A15" s="89">
        <v>45250</v>
      </c>
      <c r="B15" s="9" t="s">
        <v>11</v>
      </c>
      <c r="C15" s="76" t="s">
        <v>1056</v>
      </c>
      <c r="D15" s="11" t="s">
        <v>29</v>
      </c>
      <c r="F15" s="12">
        <v>38500</v>
      </c>
      <c r="G15" s="1"/>
      <c r="H15" s="130"/>
      <c r="I15" s="169"/>
      <c r="J15" s="169"/>
      <c r="K15" s="165"/>
    </row>
    <row r="16" spans="1:11" s="2" customFormat="1" ht="14.25" customHeight="1" x14ac:dyDescent="0.2">
      <c r="A16" s="89">
        <v>45250</v>
      </c>
      <c r="B16" s="9" t="s">
        <v>11</v>
      </c>
      <c r="C16" s="76" t="s">
        <v>136</v>
      </c>
      <c r="D16" s="11" t="s">
        <v>29</v>
      </c>
      <c r="F16" s="12">
        <v>110000</v>
      </c>
      <c r="G16" s="1"/>
      <c r="H16" s="130"/>
      <c r="I16" s="169"/>
      <c r="J16" s="169"/>
      <c r="K16" s="165"/>
    </row>
    <row r="17" spans="1:13" s="2" customFormat="1" ht="14.25" customHeight="1" x14ac:dyDescent="0.2">
      <c r="A17" s="89">
        <v>45250</v>
      </c>
      <c r="B17" s="9" t="s">
        <v>11</v>
      </c>
      <c r="C17" s="76" t="s">
        <v>1782</v>
      </c>
      <c r="D17" s="11" t="s">
        <v>29</v>
      </c>
      <c r="F17" s="12">
        <v>32450</v>
      </c>
      <c r="G17" s="1"/>
      <c r="H17" s="130"/>
      <c r="I17" s="169"/>
      <c r="J17" s="169"/>
      <c r="K17" s="165"/>
    </row>
    <row r="18" spans="1:13" s="2" customFormat="1" ht="14.25" customHeight="1" x14ac:dyDescent="0.2">
      <c r="A18" s="89">
        <v>45250</v>
      </c>
      <c r="B18" s="9" t="s">
        <v>11</v>
      </c>
      <c r="C18" s="76" t="s">
        <v>235</v>
      </c>
      <c r="D18" s="11" t="s">
        <v>29</v>
      </c>
      <c r="F18" s="12">
        <v>6432</v>
      </c>
      <c r="G18" s="1"/>
      <c r="H18" s="130"/>
      <c r="I18" s="169"/>
      <c r="J18" s="169"/>
      <c r="K18" s="165"/>
    </row>
    <row r="19" spans="1:13" s="2" customFormat="1" ht="14.25" customHeight="1" x14ac:dyDescent="0.2">
      <c r="A19" s="89">
        <v>45250</v>
      </c>
      <c r="B19" s="9" t="s">
        <v>11</v>
      </c>
      <c r="C19" s="76" t="s">
        <v>1670</v>
      </c>
      <c r="D19" s="11" t="s">
        <v>29</v>
      </c>
      <c r="F19" s="12">
        <v>49500</v>
      </c>
      <c r="G19" s="1"/>
      <c r="H19" s="130"/>
      <c r="I19" s="169"/>
      <c r="J19" s="169"/>
      <c r="K19" s="165"/>
    </row>
    <row r="20" spans="1:13" s="2" customFormat="1" ht="14.25" customHeight="1" x14ac:dyDescent="0.2">
      <c r="A20" s="89">
        <v>45250</v>
      </c>
      <c r="B20" s="9" t="s">
        <v>11</v>
      </c>
      <c r="C20" s="76" t="s">
        <v>1783</v>
      </c>
      <c r="D20" s="11" t="s">
        <v>29</v>
      </c>
      <c r="F20" s="12">
        <v>5803</v>
      </c>
      <c r="G20" s="1"/>
      <c r="H20" s="130"/>
      <c r="I20" s="169"/>
      <c r="J20" s="169"/>
      <c r="K20" s="165"/>
    </row>
    <row r="21" spans="1:13" s="2" customFormat="1" ht="14.25" customHeight="1" x14ac:dyDescent="0.2">
      <c r="A21" s="89">
        <v>45250</v>
      </c>
      <c r="B21" s="9" t="s">
        <v>11</v>
      </c>
      <c r="C21" s="76" t="s">
        <v>1784</v>
      </c>
      <c r="D21" s="11" t="s">
        <v>29</v>
      </c>
      <c r="F21" s="12">
        <v>4720</v>
      </c>
      <c r="G21" s="1"/>
      <c r="H21" s="130"/>
      <c r="I21" s="169"/>
      <c r="J21" s="169"/>
      <c r="K21" s="165"/>
    </row>
    <row r="22" spans="1:13" s="2" customFormat="1" ht="14.25" customHeight="1" x14ac:dyDescent="0.2">
      <c r="A22" s="89">
        <v>45250</v>
      </c>
      <c r="B22" s="9" t="s">
        <v>11</v>
      </c>
      <c r="C22" s="76" t="s">
        <v>1785</v>
      </c>
      <c r="D22" s="11" t="s">
        <v>29</v>
      </c>
      <c r="F22" s="12">
        <v>540000</v>
      </c>
      <c r="G22" s="1"/>
      <c r="H22" s="130"/>
      <c r="I22" s="169"/>
      <c r="J22" s="169"/>
      <c r="K22" s="165"/>
    </row>
    <row r="23" spans="1:13" s="2" customFormat="1" ht="14.25" customHeight="1" x14ac:dyDescent="0.2">
      <c r="A23" s="89">
        <v>45250</v>
      </c>
      <c r="B23" s="9" t="s">
        <v>11</v>
      </c>
      <c r="C23" s="76" t="s">
        <v>1639</v>
      </c>
      <c r="D23" s="11" t="s">
        <v>29</v>
      </c>
      <c r="F23" s="12">
        <v>11200</v>
      </c>
      <c r="G23" s="1"/>
      <c r="H23" s="130"/>
      <c r="I23" s="169"/>
      <c r="J23" s="169"/>
      <c r="K23" s="165"/>
    </row>
    <row r="24" spans="1:13" s="2" customFormat="1" ht="14.25" customHeight="1" x14ac:dyDescent="0.2">
      <c r="D24" s="11" t="s">
        <v>8</v>
      </c>
      <c r="E24" s="16">
        <f>SUM(E13:E23)</f>
        <v>331391</v>
      </c>
      <c r="F24" s="16">
        <f>SUM(F12:F23)</f>
        <v>26888489.939999998</v>
      </c>
      <c r="G24" s="1"/>
      <c r="H24" s="143"/>
      <c r="I24" s="130"/>
      <c r="J24" s="143"/>
      <c r="K24" s="143"/>
      <c r="L24" s="143"/>
      <c r="M24" s="143"/>
    </row>
    <row r="25" spans="1:13" s="2" customFormat="1" ht="14.25" customHeight="1" x14ac:dyDescent="0.4">
      <c r="A25" s="17"/>
      <c r="B25" s="18"/>
      <c r="C25" s="96" t="s">
        <v>9</v>
      </c>
      <c r="D25" s="20"/>
      <c r="E25" s="21">
        <f>+F24-E24</f>
        <v>26557098.939999998</v>
      </c>
      <c r="G25" s="1"/>
      <c r="I25" s="112"/>
      <c r="J25" s="153" t="s">
        <v>779</v>
      </c>
    </row>
    <row r="26" spans="1:13" s="2" customFormat="1" ht="14.25" customHeight="1" x14ac:dyDescent="0.2">
      <c r="A26" s="36"/>
      <c r="B26" s="28" t="s">
        <v>66</v>
      </c>
      <c r="C26" s="43" t="s">
        <v>1458</v>
      </c>
      <c r="D26" s="43"/>
      <c r="E26" s="12">
        <f>30000000+60000000</f>
        <v>90000000</v>
      </c>
      <c r="F26" s="22"/>
      <c r="G26" s="1"/>
      <c r="I26" s="40">
        <v>26557098.940000001</v>
      </c>
      <c r="J26" s="154">
        <f>I26-E25</f>
        <v>0</v>
      </c>
    </row>
    <row r="27" spans="1:13" s="2" customFormat="1" ht="14.25" customHeight="1" x14ac:dyDescent="0.25">
      <c r="A27" s="36"/>
      <c r="B27" s="28"/>
      <c r="C27" s="44" t="s">
        <v>1541</v>
      </c>
      <c r="D27" s="43"/>
      <c r="E27" s="7">
        <f>+E25+E26</f>
        <v>116557098.94</v>
      </c>
      <c r="F27" s="22"/>
      <c r="G27" s="1"/>
      <c r="H27" s="13" t="s">
        <v>1582</v>
      </c>
      <c r="I27" s="13" t="s">
        <v>1583</v>
      </c>
    </row>
    <row r="28" spans="1:13" s="2" customFormat="1" ht="14.25" customHeight="1" x14ac:dyDescent="0.25">
      <c r="A28" s="36"/>
      <c r="B28" s="28"/>
      <c r="C28" s="44" t="s">
        <v>1511</v>
      </c>
      <c r="D28" s="43"/>
      <c r="E28" s="38">
        <f>+I12</f>
        <v>3442901.0599999987</v>
      </c>
      <c r="F28" s="22"/>
      <c r="G28" s="1"/>
      <c r="H28" s="2">
        <v>3613087</v>
      </c>
      <c r="I28" s="2">
        <v>2377846</v>
      </c>
      <c r="J28" s="176">
        <f>H28-I28</f>
        <v>1235241</v>
      </c>
    </row>
    <row r="29" spans="1:13" s="2" customFormat="1" ht="14.25" customHeight="1" x14ac:dyDescent="0.2">
      <c r="A29" s="24"/>
      <c r="B29" s="1"/>
      <c r="C29" s="14"/>
      <c r="D29" s="25"/>
      <c r="G29" s="1"/>
      <c r="I29" s="130"/>
      <c r="J29" s="130"/>
    </row>
    <row r="30" spans="1:13" s="2" customFormat="1" x14ac:dyDescent="0.2">
      <c r="A30" s="214" t="s">
        <v>10</v>
      </c>
      <c r="B30" s="214"/>
      <c r="C30" s="214"/>
      <c r="D30" s="214"/>
      <c r="E30" s="214"/>
      <c r="F30" s="214"/>
      <c r="G30" s="1"/>
      <c r="H30" s="159"/>
      <c r="I30" s="160">
        <f>225000000-75000000-50000000</f>
        <v>100000000</v>
      </c>
      <c r="J30" s="160" t="s">
        <v>1506</v>
      </c>
      <c r="K30" s="70"/>
    </row>
    <row r="31" spans="1:13" s="2" customFormat="1" x14ac:dyDescent="0.2">
      <c r="A31" s="26" t="s">
        <v>1</v>
      </c>
      <c r="B31" s="27" t="s">
        <v>2</v>
      </c>
      <c r="C31" s="5"/>
      <c r="D31" s="6" t="s">
        <v>3</v>
      </c>
      <c r="E31" s="7" t="s">
        <v>4</v>
      </c>
      <c r="F31" s="7" t="s">
        <v>5</v>
      </c>
      <c r="G31" s="1"/>
      <c r="H31" s="159"/>
      <c r="I31" s="160">
        <v>89592171.290000007</v>
      </c>
      <c r="J31" s="160" t="s">
        <v>1507</v>
      </c>
      <c r="K31" s="70" t="s">
        <v>1512</v>
      </c>
    </row>
    <row r="32" spans="1:13" s="2" customFormat="1" x14ac:dyDescent="0.2">
      <c r="A32" s="89">
        <v>45250</v>
      </c>
      <c r="B32" s="128" t="s">
        <v>11</v>
      </c>
      <c r="C32" s="29" t="s">
        <v>7</v>
      </c>
      <c r="D32" s="25"/>
      <c r="E32" s="31"/>
      <c r="F32" s="2">
        <v>85525942.1300001</v>
      </c>
      <c r="G32" s="23"/>
      <c r="H32" s="159" t="s">
        <v>1505</v>
      </c>
      <c r="I32" s="160">
        <f>+I30-I31</f>
        <v>10407828.709999993</v>
      </c>
      <c r="J32" s="160"/>
      <c r="K32" s="70"/>
    </row>
    <row r="33" spans="1:14" s="2" customFormat="1" x14ac:dyDescent="0.2">
      <c r="A33" s="89">
        <v>45250</v>
      </c>
      <c r="B33" s="128" t="s">
        <v>6</v>
      </c>
      <c r="C33" s="10" t="s">
        <v>164</v>
      </c>
      <c r="D33" s="11" t="s">
        <v>13</v>
      </c>
      <c r="E33" s="86">
        <v>1000000</v>
      </c>
      <c r="F33" s="70"/>
      <c r="G33" s="1"/>
      <c r="N33" s="1"/>
    </row>
    <row r="34" spans="1:14" s="2" customFormat="1" x14ac:dyDescent="0.2">
      <c r="A34" s="89">
        <v>45250</v>
      </c>
      <c r="B34" s="128" t="s">
        <v>6</v>
      </c>
      <c r="C34" s="10" t="s">
        <v>1100</v>
      </c>
      <c r="D34" s="11" t="s">
        <v>13</v>
      </c>
      <c r="E34" s="86">
        <v>14413</v>
      </c>
      <c r="F34" s="70"/>
      <c r="G34" s="1"/>
      <c r="N34" s="1"/>
    </row>
    <row r="35" spans="1:14" s="2" customFormat="1" x14ac:dyDescent="0.2">
      <c r="A35" s="89">
        <v>45250</v>
      </c>
      <c r="B35" s="128" t="s">
        <v>6</v>
      </c>
      <c r="C35" s="10" t="s">
        <v>19</v>
      </c>
      <c r="D35" s="11" t="s">
        <v>13</v>
      </c>
      <c r="E35" s="86">
        <v>44844</v>
      </c>
      <c r="F35" s="70"/>
      <c r="G35" s="1"/>
      <c r="N35" s="1"/>
    </row>
    <row r="36" spans="1:14" s="2" customFormat="1" x14ac:dyDescent="0.2">
      <c r="A36" s="89">
        <v>45250</v>
      </c>
      <c r="B36" s="128" t="s">
        <v>6</v>
      </c>
      <c r="C36" s="10" t="s">
        <v>1786</v>
      </c>
      <c r="D36" s="11" t="s">
        <v>13</v>
      </c>
      <c r="E36" s="86">
        <v>11176</v>
      </c>
      <c r="F36" s="70"/>
      <c r="G36" s="1"/>
      <c r="N36" s="1"/>
    </row>
    <row r="37" spans="1:14" s="2" customFormat="1" x14ac:dyDescent="0.2">
      <c r="A37" s="89">
        <v>45250</v>
      </c>
      <c r="B37" s="128" t="s">
        <v>6</v>
      </c>
      <c r="C37" s="10" t="s">
        <v>474</v>
      </c>
      <c r="D37" s="11" t="s">
        <v>13</v>
      </c>
      <c r="E37" s="86">
        <v>1000000</v>
      </c>
      <c r="F37" s="70"/>
      <c r="G37" s="1"/>
      <c r="N37" s="1"/>
    </row>
    <row r="38" spans="1:14" s="2" customFormat="1" x14ac:dyDescent="0.2">
      <c r="A38" s="89">
        <v>45250</v>
      </c>
      <c r="B38" s="128" t="s">
        <v>6</v>
      </c>
      <c r="C38" s="10" t="s">
        <v>366</v>
      </c>
      <c r="D38" s="11" t="s">
        <v>13</v>
      </c>
      <c r="E38" s="86">
        <v>2219081</v>
      </c>
      <c r="F38" s="70"/>
      <c r="G38" s="1"/>
      <c r="N38" s="1"/>
    </row>
    <row r="39" spans="1:14" s="2" customFormat="1" x14ac:dyDescent="0.2">
      <c r="A39" s="89">
        <v>45250</v>
      </c>
      <c r="B39" s="128" t="s">
        <v>6</v>
      </c>
      <c r="C39" s="10" t="s">
        <v>34</v>
      </c>
      <c r="D39" s="11" t="s">
        <v>13</v>
      </c>
      <c r="E39" s="86">
        <v>10000</v>
      </c>
      <c r="F39" s="70"/>
      <c r="G39" s="1"/>
      <c r="N39" s="1"/>
    </row>
    <row r="40" spans="1:14" s="2" customFormat="1" x14ac:dyDescent="0.2">
      <c r="A40" s="89">
        <v>45250</v>
      </c>
      <c r="B40" s="128" t="s">
        <v>6</v>
      </c>
      <c r="C40" s="10" t="s">
        <v>1246</v>
      </c>
      <c r="D40" s="11" t="s">
        <v>13</v>
      </c>
      <c r="E40" s="86">
        <v>125000</v>
      </c>
      <c r="F40" s="70"/>
      <c r="G40" s="1"/>
      <c r="N40" s="1"/>
    </row>
    <row r="41" spans="1:14" s="2" customFormat="1" x14ac:dyDescent="0.2">
      <c r="A41" s="89">
        <v>45250</v>
      </c>
      <c r="B41" s="128" t="s">
        <v>6</v>
      </c>
      <c r="C41" s="10" t="s">
        <v>519</v>
      </c>
      <c r="D41" s="11" t="s">
        <v>13</v>
      </c>
      <c r="E41" s="86">
        <v>137993</v>
      </c>
      <c r="F41" s="70"/>
      <c r="G41" s="1"/>
      <c r="N41" s="1"/>
    </row>
    <row r="42" spans="1:14" s="2" customFormat="1" x14ac:dyDescent="0.2">
      <c r="A42" s="89">
        <v>45250</v>
      </c>
      <c r="B42" s="128" t="s">
        <v>6</v>
      </c>
      <c r="C42" s="10" t="s">
        <v>1787</v>
      </c>
      <c r="D42" s="11" t="s">
        <v>13</v>
      </c>
      <c r="E42" s="86">
        <v>49094</v>
      </c>
      <c r="F42" s="70"/>
      <c r="G42" s="1"/>
      <c r="N42" s="1"/>
    </row>
    <row r="43" spans="1:14" s="2" customFormat="1" x14ac:dyDescent="0.2">
      <c r="A43" s="89">
        <v>45250</v>
      </c>
      <c r="B43" s="128" t="s">
        <v>6</v>
      </c>
      <c r="C43" s="10" t="s">
        <v>947</v>
      </c>
      <c r="D43" s="11" t="s">
        <v>13</v>
      </c>
      <c r="E43" s="86">
        <v>2649776</v>
      </c>
      <c r="F43" s="70"/>
      <c r="G43" s="1"/>
      <c r="N43" s="1"/>
    </row>
    <row r="44" spans="1:14" s="2" customFormat="1" x14ac:dyDescent="0.2">
      <c r="A44" s="89">
        <v>45250</v>
      </c>
      <c r="B44" s="128" t="s">
        <v>6</v>
      </c>
      <c r="C44" s="10" t="s">
        <v>15</v>
      </c>
      <c r="D44" s="11" t="s">
        <v>13</v>
      </c>
      <c r="E44" s="86">
        <v>1977.45</v>
      </c>
      <c r="F44" s="70"/>
      <c r="G44" s="1"/>
      <c r="N44" s="1"/>
    </row>
    <row r="45" spans="1:14" s="2" customFormat="1" x14ac:dyDescent="0.2">
      <c r="A45" s="89">
        <v>45250</v>
      </c>
      <c r="B45" s="128" t="s">
        <v>6</v>
      </c>
      <c r="C45" s="10" t="s">
        <v>177</v>
      </c>
      <c r="D45" s="11" t="s">
        <v>13</v>
      </c>
      <c r="E45" s="86">
        <v>785129</v>
      </c>
      <c r="F45" s="70"/>
      <c r="G45" s="1"/>
      <c r="N45" s="1"/>
    </row>
    <row r="46" spans="1:14" s="2" customFormat="1" x14ac:dyDescent="0.2">
      <c r="A46" s="89">
        <v>45250</v>
      </c>
      <c r="B46" s="128" t="s">
        <v>6</v>
      </c>
      <c r="C46" s="10" t="s">
        <v>727</v>
      </c>
      <c r="D46" s="11" t="s">
        <v>13</v>
      </c>
      <c r="E46" s="86">
        <v>164005</v>
      </c>
      <c r="F46" s="70"/>
      <c r="G46" s="1"/>
      <c r="N46" s="1"/>
    </row>
    <row r="47" spans="1:14" s="2" customFormat="1" x14ac:dyDescent="0.2">
      <c r="A47" s="89">
        <v>45250</v>
      </c>
      <c r="B47" s="128" t="s">
        <v>11</v>
      </c>
      <c r="C47" s="10" t="s">
        <v>64</v>
      </c>
      <c r="D47" s="11" t="s">
        <v>29</v>
      </c>
      <c r="E47" s="86"/>
      <c r="F47" s="70">
        <v>22.419999999999998</v>
      </c>
      <c r="G47" s="1"/>
      <c r="N47" s="1"/>
    </row>
    <row r="48" spans="1:14" s="2" customFormat="1" x14ac:dyDescent="0.2">
      <c r="A48" s="89">
        <v>45250</v>
      </c>
      <c r="B48" s="128" t="s">
        <v>11</v>
      </c>
      <c r="C48" s="10" t="s">
        <v>284</v>
      </c>
      <c r="D48" s="11" t="s">
        <v>29</v>
      </c>
      <c r="E48" s="86"/>
      <c r="F48" s="70">
        <v>1297946</v>
      </c>
      <c r="G48" s="1"/>
      <c r="N48" s="1"/>
    </row>
    <row r="49" spans="1:14" s="2" customFormat="1" x14ac:dyDescent="0.2">
      <c r="A49" s="89">
        <v>45250</v>
      </c>
      <c r="B49" s="128" t="s">
        <v>11</v>
      </c>
      <c r="C49" s="10" t="s">
        <v>1746</v>
      </c>
      <c r="D49" s="11" t="s">
        <v>29</v>
      </c>
      <c r="E49" s="86"/>
      <c r="F49" s="70">
        <v>823117</v>
      </c>
      <c r="G49" s="1"/>
      <c r="N49" s="1"/>
    </row>
    <row r="50" spans="1:14" s="2" customFormat="1" x14ac:dyDescent="0.2">
      <c r="A50" s="89">
        <v>45250</v>
      </c>
      <c r="B50" s="128" t="s">
        <v>11</v>
      </c>
      <c r="C50" s="10" t="s">
        <v>127</v>
      </c>
      <c r="D50" s="11" t="s">
        <v>29</v>
      </c>
      <c r="E50" s="86"/>
      <c r="F50" s="70">
        <v>1238707</v>
      </c>
      <c r="G50" s="1"/>
      <c r="N50" s="1"/>
    </row>
    <row r="51" spans="1:14" s="2" customFormat="1" x14ac:dyDescent="0.2">
      <c r="A51" s="89">
        <v>45250</v>
      </c>
      <c r="B51" s="128" t="s">
        <v>11</v>
      </c>
      <c r="C51" s="10" t="s">
        <v>123</v>
      </c>
      <c r="D51" s="11" t="s">
        <v>29</v>
      </c>
      <c r="E51" s="86"/>
      <c r="F51" s="70">
        <v>453521</v>
      </c>
      <c r="G51" s="1"/>
      <c r="N51" s="1"/>
    </row>
    <row r="52" spans="1:14" s="2" customFormat="1" x14ac:dyDescent="0.2">
      <c r="A52" s="89">
        <v>45250</v>
      </c>
      <c r="B52" s="128" t="s">
        <v>11</v>
      </c>
      <c r="C52" s="10" t="s">
        <v>96</v>
      </c>
      <c r="D52" s="11" t="s">
        <v>29</v>
      </c>
      <c r="E52" s="86"/>
      <c r="F52" s="70">
        <v>7998</v>
      </c>
      <c r="G52" s="1"/>
      <c r="N52" s="1"/>
    </row>
    <row r="53" spans="1:14" s="2" customFormat="1" x14ac:dyDescent="0.2">
      <c r="A53" s="89">
        <v>45250</v>
      </c>
      <c r="B53" s="128" t="s">
        <v>11</v>
      </c>
      <c r="C53" s="10" t="s">
        <v>107</v>
      </c>
      <c r="D53" s="11" t="s">
        <v>29</v>
      </c>
      <c r="E53" s="86"/>
      <c r="F53" s="70">
        <v>244051.16</v>
      </c>
      <c r="G53" s="1"/>
      <c r="N53" s="1"/>
    </row>
    <row r="54" spans="1:14" s="2" customFormat="1" x14ac:dyDescent="0.2">
      <c r="A54" s="89">
        <v>45250</v>
      </c>
      <c r="B54" s="128" t="s">
        <v>11</v>
      </c>
      <c r="C54" s="10" t="s">
        <v>498</v>
      </c>
      <c r="D54" s="11" t="s">
        <v>29</v>
      </c>
      <c r="E54" s="86"/>
      <c r="F54" s="70">
        <v>321430.78000000003</v>
      </c>
      <c r="G54" s="1"/>
      <c r="N54" s="1"/>
    </row>
    <row r="55" spans="1:14" s="2" customFormat="1" x14ac:dyDescent="0.2">
      <c r="A55" s="89">
        <v>45250</v>
      </c>
      <c r="B55" s="128" t="s">
        <v>11</v>
      </c>
      <c r="C55" s="10" t="s">
        <v>285</v>
      </c>
      <c r="D55" s="11" t="s">
        <v>29</v>
      </c>
      <c r="E55" s="86"/>
      <c r="F55" s="70">
        <v>425023.97</v>
      </c>
      <c r="G55" s="1"/>
      <c r="N55" s="1"/>
    </row>
    <row r="56" spans="1:14" s="2" customFormat="1" x14ac:dyDescent="0.2">
      <c r="A56" s="89">
        <v>45250</v>
      </c>
      <c r="B56" s="128" t="s">
        <v>11</v>
      </c>
      <c r="C56" s="10" t="s">
        <v>643</v>
      </c>
      <c r="D56" s="11" t="s">
        <v>29</v>
      </c>
      <c r="E56" s="86"/>
      <c r="F56" s="70">
        <v>1499</v>
      </c>
      <c r="G56" s="1"/>
      <c r="N56" s="1"/>
    </row>
    <row r="57" spans="1:14" s="2" customFormat="1" x14ac:dyDescent="0.2">
      <c r="A57" s="89">
        <v>45250</v>
      </c>
      <c r="B57" s="128" t="s">
        <v>11</v>
      </c>
      <c r="C57" s="10" t="s">
        <v>292</v>
      </c>
      <c r="D57" s="11" t="s">
        <v>29</v>
      </c>
      <c r="E57" s="86"/>
      <c r="F57" s="70">
        <v>2000</v>
      </c>
      <c r="G57" s="1"/>
      <c r="N57" s="1"/>
    </row>
    <row r="58" spans="1:14" s="2" customFormat="1" x14ac:dyDescent="0.2">
      <c r="A58" s="89">
        <v>45250</v>
      </c>
      <c r="B58" s="128" t="s">
        <v>11</v>
      </c>
      <c r="C58" s="10" t="s">
        <v>486</v>
      </c>
      <c r="D58" s="11" t="s">
        <v>29</v>
      </c>
      <c r="E58" s="86"/>
      <c r="F58" s="70">
        <v>1200000</v>
      </c>
      <c r="G58" s="1"/>
      <c r="N58" s="1"/>
    </row>
    <row r="59" spans="1:14" s="2" customFormat="1" x14ac:dyDescent="0.2">
      <c r="A59" s="89">
        <v>45250</v>
      </c>
      <c r="B59" s="128" t="s">
        <v>11</v>
      </c>
      <c r="C59" s="10" t="s">
        <v>111</v>
      </c>
      <c r="D59" s="11" t="s">
        <v>29</v>
      </c>
      <c r="E59" s="86"/>
      <c r="F59" s="70">
        <v>4324960.28</v>
      </c>
      <c r="G59" s="1"/>
      <c r="N59" s="1"/>
    </row>
    <row r="60" spans="1:14" s="2" customFormat="1" x14ac:dyDescent="0.2">
      <c r="A60" s="89">
        <v>45250</v>
      </c>
      <c r="B60" s="128" t="s">
        <v>11</v>
      </c>
      <c r="C60" s="10" t="s">
        <v>401</v>
      </c>
      <c r="D60" s="11" t="s">
        <v>29</v>
      </c>
      <c r="E60" s="86"/>
      <c r="F60" s="70">
        <v>405000</v>
      </c>
      <c r="G60" s="1"/>
      <c r="N60" s="1"/>
    </row>
    <row r="61" spans="1:14" s="2" customFormat="1" x14ac:dyDescent="0.2">
      <c r="A61" s="89">
        <v>45250</v>
      </c>
      <c r="B61" s="128" t="s">
        <v>11</v>
      </c>
      <c r="C61" s="10" t="s">
        <v>1379</v>
      </c>
      <c r="D61" s="11" t="s">
        <v>29</v>
      </c>
      <c r="E61" s="86"/>
      <c r="F61" s="70">
        <v>216000</v>
      </c>
      <c r="G61" s="1"/>
      <c r="N61" s="1"/>
    </row>
    <row r="62" spans="1:14" s="2" customFormat="1" x14ac:dyDescent="0.2">
      <c r="A62" s="89">
        <v>45250</v>
      </c>
      <c r="B62" s="128" t="s">
        <v>11</v>
      </c>
      <c r="C62" s="10" t="s">
        <v>1380</v>
      </c>
      <c r="D62" s="11" t="s">
        <v>29</v>
      </c>
      <c r="E62" s="86"/>
      <c r="F62" s="70">
        <v>82200</v>
      </c>
      <c r="G62" s="1"/>
      <c r="N62" s="1"/>
    </row>
    <row r="63" spans="1:14" s="2" customFormat="1" x14ac:dyDescent="0.2">
      <c r="A63" s="32"/>
      <c r="B63" s="33"/>
      <c r="C63" s="14"/>
      <c r="D63" s="34"/>
      <c r="E63" s="16">
        <f>SUM(E32:E62)</f>
        <v>8212488.4500000002</v>
      </c>
      <c r="F63" s="16">
        <f>SUM(F32:F62)</f>
        <v>96569418.740000099</v>
      </c>
      <c r="G63" s="1"/>
      <c r="H63" s="1"/>
      <c r="I63" s="38">
        <v>88356930.290000007</v>
      </c>
      <c r="K63" s="92">
        <f>E64-I63</f>
        <v>0</v>
      </c>
      <c r="N63" s="1"/>
    </row>
    <row r="64" spans="1:14" s="2" customFormat="1" x14ac:dyDescent="0.2">
      <c r="A64" s="36"/>
      <c r="B64" s="28" t="s">
        <v>11</v>
      </c>
      <c r="C64" s="19" t="s">
        <v>65</v>
      </c>
      <c r="D64" s="37"/>
      <c r="E64" s="38">
        <f>F63-E63</f>
        <v>88356930.290000096</v>
      </c>
      <c r="F64" s="22"/>
      <c r="G64" s="1"/>
      <c r="H64" s="1"/>
      <c r="I64" s="70"/>
      <c r="J64" s="70"/>
      <c r="K64" s="70"/>
      <c r="N64" s="1"/>
    </row>
    <row r="65" spans="1:14" s="2" customFormat="1" x14ac:dyDescent="0.2">
      <c r="A65" s="36"/>
      <c r="B65" s="28" t="s">
        <v>66</v>
      </c>
      <c r="C65" s="19" t="s">
        <v>67</v>
      </c>
      <c r="D65" s="37"/>
      <c r="E65" s="38">
        <v>6500000</v>
      </c>
      <c r="F65" s="22"/>
      <c r="G65" s="1"/>
      <c r="H65" s="70"/>
      <c r="I65" s="70"/>
      <c r="J65" s="70"/>
      <c r="K65" s="70"/>
      <c r="N65" s="1"/>
    </row>
    <row r="66" spans="1:14" s="2" customFormat="1" x14ac:dyDescent="0.2">
      <c r="A66" s="36"/>
      <c r="B66" s="28" t="s">
        <v>66</v>
      </c>
      <c r="C66" s="43" t="s">
        <v>1457</v>
      </c>
      <c r="D66" s="43"/>
      <c r="E66" s="12">
        <f>275000000+75000000+50000000</f>
        <v>400000000</v>
      </c>
      <c r="F66" s="22"/>
      <c r="G66" s="1"/>
      <c r="H66" s="70"/>
      <c r="I66" s="45">
        <v>2109.11</v>
      </c>
      <c r="J66" s="46"/>
      <c r="K66" s="46"/>
      <c r="N66" s="1"/>
    </row>
    <row r="67" spans="1:14" s="2" customFormat="1" ht="15" x14ac:dyDescent="0.25">
      <c r="A67" s="36"/>
      <c r="B67" s="28"/>
      <c r="C67" s="44" t="s">
        <v>1541</v>
      </c>
      <c r="D67" s="43"/>
      <c r="E67" s="7">
        <f>+E66+E64+E65</f>
        <v>494856930.29000008</v>
      </c>
      <c r="F67" s="22"/>
      <c r="G67" s="1"/>
      <c r="H67" s="103" t="s">
        <v>69</v>
      </c>
      <c r="I67" s="45">
        <v>-10.72</v>
      </c>
      <c r="J67" s="46"/>
      <c r="K67" s="46"/>
      <c r="N67" s="1"/>
    </row>
    <row r="68" spans="1:14" s="2" customFormat="1" ht="15" x14ac:dyDescent="0.25">
      <c r="A68" s="24"/>
      <c r="B68" s="1"/>
      <c r="C68" s="44" t="s">
        <v>1510</v>
      </c>
      <c r="D68" s="25"/>
      <c r="E68" s="156">
        <f>+I32-E65+H28-I28</f>
        <v>5143069.7099999934</v>
      </c>
      <c r="G68" s="1"/>
      <c r="H68" s="35" t="s">
        <v>70</v>
      </c>
      <c r="I68" s="45">
        <v>22.98</v>
      </c>
      <c r="J68" s="46">
        <f>+I69-D71</f>
        <v>0</v>
      </c>
      <c r="N68" s="1"/>
    </row>
    <row r="69" spans="1:14" s="124" customFormat="1" ht="12.75" customHeight="1" x14ac:dyDescent="0.2">
      <c r="A69" s="24"/>
      <c r="B69" s="1"/>
      <c r="C69" s="56"/>
      <c r="D69" s="56"/>
      <c r="E69" s="104"/>
      <c r="F69" s="2"/>
      <c r="G69" s="166"/>
      <c r="H69" s="70"/>
      <c r="I69" s="49">
        <f>SUM(I66:I68)</f>
        <v>2121.3700000000003</v>
      </c>
      <c r="J69" s="46"/>
      <c r="K69" s="46"/>
    </row>
    <row r="70" spans="1:14" s="124" customFormat="1" ht="12.75" customHeight="1" x14ac:dyDescent="0.2">
      <c r="A70" s="24"/>
      <c r="B70" s="1"/>
      <c r="C70" s="78" t="s">
        <v>575</v>
      </c>
      <c r="D70" s="48" t="s">
        <v>576</v>
      </c>
      <c r="E70" s="104"/>
      <c r="F70" s="2"/>
      <c r="G70" s="168"/>
      <c r="H70" s="167"/>
      <c r="I70" s="167"/>
      <c r="J70" s="168"/>
    </row>
    <row r="71" spans="1:14" s="124" customFormat="1" ht="12.75" customHeight="1" x14ac:dyDescent="0.2">
      <c r="A71" s="24"/>
      <c r="B71" s="1"/>
      <c r="C71" s="47" t="s">
        <v>570</v>
      </c>
      <c r="D71" s="111">
        <v>2121.37</v>
      </c>
      <c r="E71" s="104"/>
      <c r="F71" s="2"/>
      <c r="G71" s="168"/>
      <c r="H71" s="110" t="s">
        <v>581</v>
      </c>
      <c r="I71" s="167"/>
      <c r="J71" s="168"/>
    </row>
    <row r="72" spans="1:14" s="124" customFormat="1" ht="12.75" customHeight="1" x14ac:dyDescent="0.2">
      <c r="A72" s="24"/>
      <c r="B72" s="1"/>
      <c r="C72" s="47" t="s">
        <v>931</v>
      </c>
      <c r="D72" s="111">
        <v>141.58000000000001</v>
      </c>
      <c r="E72" s="104"/>
      <c r="F72" s="2"/>
      <c r="G72" s="168"/>
      <c r="H72" s="110" t="s">
        <v>580</v>
      </c>
      <c r="I72" s="167"/>
      <c r="J72" s="168"/>
    </row>
    <row r="73" spans="1:14" s="124" customFormat="1" ht="12.75" customHeight="1" x14ac:dyDescent="0.2">
      <c r="A73" s="24"/>
      <c r="B73" s="1"/>
      <c r="C73" s="47" t="s">
        <v>572</v>
      </c>
      <c r="D73" s="111">
        <f>+D99/100000</f>
        <v>261.63525950000002</v>
      </c>
      <c r="E73" s="104"/>
      <c r="F73" s="2"/>
      <c r="G73" s="166"/>
      <c r="H73" s="90" t="s">
        <v>587</v>
      </c>
      <c r="I73" s="167"/>
      <c r="J73" s="168"/>
    </row>
    <row r="74" spans="1:14" s="2" customFormat="1" x14ac:dyDescent="0.2">
      <c r="A74" s="24"/>
      <c r="B74" s="1"/>
      <c r="C74" s="108" t="s">
        <v>578</v>
      </c>
      <c r="D74" s="48">
        <f>SUM(D71:D73)</f>
        <v>2524.5852594999997</v>
      </c>
      <c r="E74" s="104"/>
      <c r="G74" s="30"/>
      <c r="I74" s="13"/>
      <c r="J74" s="13"/>
    </row>
    <row r="75" spans="1:14" s="70" customFormat="1" x14ac:dyDescent="0.2">
      <c r="A75" s="24"/>
      <c r="B75" s="1"/>
      <c r="C75" s="47"/>
      <c r="D75" s="107"/>
      <c r="E75" s="104"/>
      <c r="F75" s="2"/>
      <c r="G75" s="30"/>
      <c r="H75" s="2"/>
    </row>
    <row r="76" spans="1:14" s="70" customFormat="1" x14ac:dyDescent="0.2">
      <c r="A76" s="24"/>
      <c r="B76" s="1"/>
      <c r="C76" s="47" t="s">
        <v>932</v>
      </c>
      <c r="D76" s="111">
        <v>11.99</v>
      </c>
      <c r="E76" s="104"/>
      <c r="F76" s="2"/>
      <c r="G76" s="30"/>
      <c r="H76" s="110" t="s">
        <v>581</v>
      </c>
    </row>
    <row r="77" spans="1:14" s="70" customFormat="1" x14ac:dyDescent="0.2">
      <c r="A77" s="24"/>
      <c r="B77" s="1"/>
      <c r="C77" s="136" t="s">
        <v>1142</v>
      </c>
      <c r="D77" s="111">
        <v>487.07</v>
      </c>
      <c r="E77" s="104"/>
      <c r="F77" s="2"/>
      <c r="G77" s="30"/>
      <c r="H77" s="110" t="s">
        <v>581</v>
      </c>
    </row>
    <row r="78" spans="1:14" s="70" customFormat="1" x14ac:dyDescent="0.2">
      <c r="A78" s="24"/>
      <c r="B78" s="1"/>
      <c r="C78" s="78" t="s">
        <v>579</v>
      </c>
      <c r="D78" s="109">
        <f>D76+D77</f>
        <v>499.06</v>
      </c>
      <c r="E78" s="104"/>
      <c r="F78" s="2"/>
      <c r="G78" s="30"/>
    </row>
    <row r="79" spans="1:14" s="70" customFormat="1" x14ac:dyDescent="0.2">
      <c r="A79" s="24"/>
      <c r="B79" s="1"/>
      <c r="C79" s="105"/>
      <c r="D79" s="106"/>
      <c r="E79" s="104"/>
      <c r="F79" s="2"/>
      <c r="G79" s="30"/>
      <c r="I79" s="2"/>
      <c r="J79" s="114" t="s">
        <v>713</v>
      </c>
      <c r="K79" s="2"/>
      <c r="L79" s="2"/>
      <c r="M79" s="2"/>
    </row>
    <row r="80" spans="1:14" s="70" customFormat="1" x14ac:dyDescent="0.2">
      <c r="A80" s="24"/>
      <c r="B80" s="1"/>
      <c r="C80" s="78" t="s">
        <v>577</v>
      </c>
      <c r="D80" s="109">
        <f>D71+D78</f>
        <v>2620.4299999999998</v>
      </c>
      <c r="E80" s="104"/>
      <c r="F80" s="2"/>
      <c r="G80" s="30"/>
      <c r="I80" s="113"/>
      <c r="J80" s="113" t="s">
        <v>709</v>
      </c>
      <c r="K80" s="113" t="s">
        <v>710</v>
      </c>
      <c r="L80" s="113" t="s">
        <v>711</v>
      </c>
      <c r="M80" s="113" t="s">
        <v>712</v>
      </c>
    </row>
    <row r="81" spans="1:14" s="70" customFormat="1" x14ac:dyDescent="0.2">
      <c r="A81" s="24"/>
      <c r="B81" s="1"/>
      <c r="C81" s="56"/>
      <c r="D81" s="56"/>
      <c r="E81" s="104"/>
      <c r="F81" s="2"/>
      <c r="G81" s="30"/>
      <c r="I81" s="113" t="s">
        <v>706</v>
      </c>
      <c r="J81" s="115"/>
      <c r="K81" s="115">
        <v>968.99</v>
      </c>
      <c r="L81" s="115">
        <v>968.99</v>
      </c>
      <c r="M81" s="113">
        <f>+J81+L81-K81</f>
        <v>0</v>
      </c>
    </row>
    <row r="82" spans="1:14" s="70" customFormat="1" ht="38.25" x14ac:dyDescent="0.2">
      <c r="A82" s="24"/>
      <c r="B82" s="1"/>
      <c r="C82" s="79" t="str">
        <f>"Particulars ( 01-04-2021 to "&amp;TEXT(A5,"dd-mm-yyyy")&amp;" )"</f>
        <v>Particulars ( 01-04-2021 to 20-11-2023 )</v>
      </c>
      <c r="D82" s="80" t="s">
        <v>73</v>
      </c>
      <c r="E82" s="80" t="s">
        <v>74</v>
      </c>
      <c r="F82" s="81" t="s">
        <v>75</v>
      </c>
      <c r="G82" s="80" t="s">
        <v>76</v>
      </c>
      <c r="I82" s="113" t="s">
        <v>707</v>
      </c>
      <c r="J82" s="115">
        <v>183.1</v>
      </c>
      <c r="K82" s="115">
        <v>4038.91</v>
      </c>
      <c r="L82" s="115">
        <v>4132.1499999999996</v>
      </c>
      <c r="M82" s="113">
        <f>+J82+L82-K82</f>
        <v>276.34000000000015</v>
      </c>
    </row>
    <row r="83" spans="1:14" s="70" customFormat="1" x14ac:dyDescent="0.2">
      <c r="A83" s="24"/>
      <c r="B83" s="1"/>
      <c r="C83" s="50" t="s">
        <v>444</v>
      </c>
      <c r="D83" s="55">
        <f>+L81+L82+J82</f>
        <v>5284.24</v>
      </c>
      <c r="E83" s="55">
        <f>+K81+K82</f>
        <v>5007.8999999999996</v>
      </c>
      <c r="F83" s="55">
        <f>+D83-E83</f>
        <v>276.34000000000015</v>
      </c>
      <c r="G83" s="55">
        <f>1500-F83</f>
        <v>1223.6599999999999</v>
      </c>
      <c r="I83" s="113" t="s">
        <v>708</v>
      </c>
      <c r="J83" s="115">
        <v>1371.02</v>
      </c>
      <c r="K83" s="115">
        <v>15123.23</v>
      </c>
      <c r="L83" s="115">
        <v>15159.32</v>
      </c>
      <c r="M83" s="113">
        <f>+J83+L83-K83</f>
        <v>1407.1100000000006</v>
      </c>
    </row>
    <row r="84" spans="1:14" s="70" customFormat="1" ht="12.75" customHeight="1" x14ac:dyDescent="0.2">
      <c r="A84" s="24"/>
      <c r="B84" s="1"/>
      <c r="C84" s="50" t="s">
        <v>71</v>
      </c>
      <c r="D84" s="55">
        <f>+J83+L83</f>
        <v>16530.34</v>
      </c>
      <c r="E84" s="55">
        <f>+K83</f>
        <v>15123.23</v>
      </c>
      <c r="F84" s="55">
        <f>+D84-E84</f>
        <v>1407.1100000000006</v>
      </c>
      <c r="G84" s="55">
        <f>1500+700-F84</f>
        <v>792.88999999999942</v>
      </c>
      <c r="I84" s="2"/>
      <c r="J84" s="118">
        <f>SUM(J81:J83)</f>
        <v>1554.12</v>
      </c>
      <c r="K84" s="118">
        <f>SUM(K81:K83)</f>
        <v>20131.129999999997</v>
      </c>
      <c r="L84" s="118">
        <f>SUM(L81:L83)</f>
        <v>20260.46</v>
      </c>
      <c r="M84" s="118">
        <f>SUM(M81:M83)</f>
        <v>1683.4500000000007</v>
      </c>
    </row>
    <row r="85" spans="1:14" s="70" customFormat="1" ht="12.75" customHeight="1" x14ac:dyDescent="0.2">
      <c r="A85" s="24"/>
      <c r="B85" s="1"/>
      <c r="C85" s="14"/>
      <c r="D85" s="56"/>
      <c r="E85" s="13"/>
      <c r="F85" s="2"/>
      <c r="G85" s="30"/>
    </row>
    <row r="86" spans="1:14" s="70" customFormat="1" ht="12.75" customHeight="1" x14ac:dyDescent="0.2">
      <c r="A86" s="215" t="s">
        <v>80</v>
      </c>
      <c r="B86" s="216"/>
      <c r="C86" s="216"/>
      <c r="D86" s="217"/>
      <c r="E86" s="69"/>
      <c r="G86" s="30"/>
    </row>
    <row r="87" spans="1:14" s="70" customFormat="1" ht="12.75" customHeight="1" x14ac:dyDescent="0.2">
      <c r="A87" s="71" t="s">
        <v>81</v>
      </c>
      <c r="B87" s="71"/>
      <c r="C87" s="72" t="s">
        <v>82</v>
      </c>
      <c r="D87" s="73" t="s">
        <v>83</v>
      </c>
      <c r="E87" s="69"/>
      <c r="G87" s="30"/>
    </row>
    <row r="88" spans="1:14" s="70" customFormat="1" ht="12.75" customHeight="1" x14ac:dyDescent="0.2">
      <c r="A88" s="87">
        <v>45232</v>
      </c>
      <c r="B88" s="120" t="s">
        <v>6</v>
      </c>
      <c r="C88" s="75" t="s">
        <v>767</v>
      </c>
      <c r="D88" s="88">
        <v>515100</v>
      </c>
      <c r="E88" s="2"/>
      <c r="F88" s="2"/>
      <c r="G88" s="30"/>
      <c r="H88" s="2"/>
      <c r="I88" s="2"/>
      <c r="J88" s="2"/>
      <c r="K88" s="2"/>
      <c r="L88" s="41"/>
      <c r="M88" s="42"/>
      <c r="N88" s="2"/>
    </row>
    <row r="89" spans="1:14" s="70" customFormat="1" ht="12.75" customHeight="1" x14ac:dyDescent="0.2">
      <c r="A89" s="87">
        <v>45232</v>
      </c>
      <c r="B89" s="120" t="s">
        <v>6</v>
      </c>
      <c r="C89" s="75" t="s">
        <v>566</v>
      </c>
      <c r="D89" s="88">
        <v>52450</v>
      </c>
      <c r="E89" s="2"/>
      <c r="F89" s="2"/>
      <c r="G89" s="30"/>
      <c r="H89" s="2"/>
      <c r="I89" s="2"/>
      <c r="J89" s="2"/>
      <c r="K89" s="2"/>
      <c r="L89" s="41"/>
      <c r="M89" s="42"/>
      <c r="N89" s="2"/>
    </row>
    <row r="90" spans="1:14" s="70" customFormat="1" ht="12.75" customHeight="1" x14ac:dyDescent="0.2">
      <c r="A90" s="87">
        <v>45233</v>
      </c>
      <c r="B90" s="120" t="s">
        <v>6</v>
      </c>
      <c r="C90" s="75" t="s">
        <v>1084</v>
      </c>
      <c r="D90" s="88">
        <v>1833799</v>
      </c>
      <c r="E90" s="2"/>
      <c r="F90" s="2"/>
      <c r="G90" s="30"/>
      <c r="H90" s="2"/>
      <c r="I90" s="2"/>
      <c r="J90" s="2"/>
      <c r="K90" s="2"/>
      <c r="L90" s="41"/>
      <c r="M90" s="42"/>
      <c r="N90" s="2"/>
    </row>
    <row r="91" spans="1:14" s="70" customFormat="1" ht="12.75" customHeight="1" x14ac:dyDescent="0.2">
      <c r="A91" s="87">
        <v>45233</v>
      </c>
      <c r="B91" s="120" t="s">
        <v>6</v>
      </c>
      <c r="C91" s="75" t="s">
        <v>909</v>
      </c>
      <c r="D91" s="88">
        <v>366980</v>
      </c>
      <c r="E91" s="2"/>
      <c r="F91" s="2"/>
      <c r="G91" s="30"/>
      <c r="H91" s="2"/>
      <c r="I91" s="2"/>
      <c r="J91" s="2"/>
      <c r="K91" s="2"/>
      <c r="L91" s="41"/>
      <c r="M91" s="42"/>
      <c r="N91" s="2"/>
    </row>
    <row r="92" spans="1:14" s="70" customFormat="1" ht="12.75" customHeight="1" x14ac:dyDescent="0.2">
      <c r="A92" s="87">
        <v>45233</v>
      </c>
      <c r="B92" s="120" t="s">
        <v>6</v>
      </c>
      <c r="C92" s="75" t="s">
        <v>909</v>
      </c>
      <c r="D92" s="88">
        <v>30038</v>
      </c>
      <c r="E92" s="2"/>
      <c r="F92" s="2"/>
      <c r="G92" s="30"/>
      <c r="H92" s="2"/>
      <c r="I92" s="2"/>
      <c r="J92" s="2"/>
      <c r="K92" s="2"/>
      <c r="L92" s="41"/>
      <c r="M92" s="42"/>
      <c r="N92" s="2"/>
    </row>
    <row r="93" spans="1:14" s="70" customFormat="1" ht="12.75" customHeight="1" x14ac:dyDescent="0.2">
      <c r="A93" s="87">
        <v>45237</v>
      </c>
      <c r="B93" s="120" t="s">
        <v>6</v>
      </c>
      <c r="C93" s="75" t="s">
        <v>888</v>
      </c>
      <c r="D93" s="88">
        <v>14999721.949999999</v>
      </c>
      <c r="E93" s="2"/>
      <c r="F93" s="2"/>
      <c r="G93" s="30"/>
      <c r="H93" s="2"/>
      <c r="I93" s="2"/>
      <c r="J93" s="2"/>
      <c r="K93" s="2"/>
      <c r="L93" s="41"/>
      <c r="M93" s="42"/>
      <c r="N93" s="2"/>
    </row>
    <row r="94" spans="1:14" s="70" customFormat="1" ht="12.75" customHeight="1" x14ac:dyDescent="0.2">
      <c r="A94" s="87">
        <v>45238</v>
      </c>
      <c r="B94" s="120" t="s">
        <v>6</v>
      </c>
      <c r="C94" s="75" t="s">
        <v>606</v>
      </c>
      <c r="D94" s="88">
        <v>1098495</v>
      </c>
      <c r="E94" s="2"/>
      <c r="F94" s="2"/>
      <c r="G94" s="30"/>
      <c r="H94" s="2"/>
      <c r="I94" s="2"/>
      <c r="J94" s="2"/>
      <c r="K94" s="2"/>
      <c r="L94" s="41"/>
      <c r="M94" s="42"/>
      <c r="N94" s="2"/>
    </row>
    <row r="95" spans="1:14" s="70" customFormat="1" ht="12.75" customHeight="1" x14ac:dyDescent="0.2">
      <c r="A95" s="87">
        <v>45239</v>
      </c>
      <c r="B95" s="120" t="s">
        <v>6</v>
      </c>
      <c r="C95" s="75" t="s">
        <v>566</v>
      </c>
      <c r="D95" s="88">
        <f>183507+63254</f>
        <v>246761</v>
      </c>
      <c r="E95" s="2"/>
      <c r="F95" s="2"/>
      <c r="G95" s="30"/>
      <c r="H95" s="2"/>
      <c r="I95" s="2"/>
      <c r="J95" s="2"/>
      <c r="K95" s="2"/>
      <c r="L95" s="41"/>
      <c r="M95" s="42"/>
      <c r="N95" s="2"/>
    </row>
    <row r="96" spans="1:14" s="70" customFormat="1" ht="12.75" customHeight="1" x14ac:dyDescent="0.2">
      <c r="A96" s="87">
        <v>45240</v>
      </c>
      <c r="B96" s="120" t="s">
        <v>6</v>
      </c>
      <c r="C96" s="75" t="s">
        <v>767</v>
      </c>
      <c r="D96" s="88">
        <v>287037</v>
      </c>
      <c r="E96" s="2"/>
      <c r="F96" s="2"/>
      <c r="G96" s="30"/>
      <c r="H96" s="2"/>
      <c r="I96" s="2"/>
      <c r="J96" s="2"/>
      <c r="K96" s="2"/>
      <c r="L96" s="41"/>
      <c r="M96" s="42"/>
      <c r="N96" s="2"/>
    </row>
    <row r="97" spans="1:14" s="70" customFormat="1" ht="12.75" customHeight="1" x14ac:dyDescent="0.2">
      <c r="A97" s="87">
        <v>45240</v>
      </c>
      <c r="B97" s="120" t="s">
        <v>6</v>
      </c>
      <c r="C97" s="75" t="s">
        <v>1767</v>
      </c>
      <c r="D97" s="88">
        <v>1000000</v>
      </c>
      <c r="E97" s="2"/>
      <c r="F97" s="2"/>
      <c r="G97" s="30"/>
      <c r="H97" s="2"/>
      <c r="I97" s="2"/>
      <c r="J97" s="2"/>
      <c r="K97" s="2"/>
      <c r="L97" s="41"/>
      <c r="M97" s="42"/>
      <c r="N97" s="2"/>
    </row>
    <row r="98" spans="1:14" s="70" customFormat="1" ht="12.75" customHeight="1" x14ac:dyDescent="0.2">
      <c r="A98" s="87">
        <v>45248</v>
      </c>
      <c r="B98" s="120" t="s">
        <v>6</v>
      </c>
      <c r="C98" s="75" t="s">
        <v>1084</v>
      </c>
      <c r="D98" s="88">
        <v>5733144</v>
      </c>
      <c r="E98" s="2"/>
      <c r="F98" s="2"/>
      <c r="G98" s="30"/>
      <c r="H98" s="2"/>
      <c r="I98" s="2"/>
      <c r="J98" s="2"/>
      <c r="K98" s="2"/>
      <c r="L98" s="41"/>
      <c r="M98" s="42"/>
      <c r="N98" s="2"/>
    </row>
    <row r="99" spans="1:14" s="2" customFormat="1" x14ac:dyDescent="0.2">
      <c r="A99" s="87"/>
      <c r="B99" s="74"/>
      <c r="C99" s="75"/>
      <c r="D99" s="51">
        <f>SUM(D88:D98)</f>
        <v>26163525.949999999</v>
      </c>
      <c r="F99" s="2" t="s">
        <v>396</v>
      </c>
      <c r="G99" s="1"/>
    </row>
    <row r="100" spans="1:14" s="2" customFormat="1" x14ac:dyDescent="0.2">
      <c r="A100" s="24"/>
      <c r="B100" s="1"/>
      <c r="C100" s="14"/>
      <c r="D100" s="56"/>
      <c r="E100" s="13"/>
      <c r="G100" s="1"/>
    </row>
    <row r="101" spans="1:14" s="2" customFormat="1" x14ac:dyDescent="0.2">
      <c r="A101" s="24"/>
      <c r="B101" s="1"/>
      <c r="C101" s="218" t="s">
        <v>77</v>
      </c>
      <c r="D101" s="219"/>
      <c r="E101" s="219"/>
      <c r="F101" s="220"/>
      <c r="H101" s="2" t="s">
        <v>396</v>
      </c>
    </row>
    <row r="102" spans="1:14" s="2" customFormat="1" x14ac:dyDescent="0.2">
      <c r="A102" s="24"/>
      <c r="B102" s="1"/>
      <c r="C102" s="50"/>
      <c r="D102" s="57" t="s">
        <v>78</v>
      </c>
      <c r="E102" s="58" t="s">
        <v>79</v>
      </c>
      <c r="F102" s="57" t="s">
        <v>72</v>
      </c>
      <c r="H102" s="2" t="s">
        <v>396</v>
      </c>
    </row>
    <row r="103" spans="1:14" s="2" customFormat="1" x14ac:dyDescent="0.2">
      <c r="A103" s="24"/>
      <c r="B103" s="1"/>
      <c r="C103" s="59" t="str">
        <f>"01-11-2023 to "&amp;TEXT(A5-2,"dd-mm-yyyy")</f>
        <v>01-11-2023 to 18-11-2023</v>
      </c>
      <c r="D103" s="60">
        <v>1372.65</v>
      </c>
      <c r="E103" s="60">
        <v>276.43</v>
      </c>
      <c r="F103" s="61">
        <f>SUM(D103:E103)</f>
        <v>1649.0800000000002</v>
      </c>
    </row>
    <row r="104" spans="1:14" s="2" customFormat="1" x14ac:dyDescent="0.2">
      <c r="A104" s="24"/>
      <c r="B104" s="1"/>
      <c r="C104" s="62" t="str">
        <f>TEXT(A5-1,"dd-mm-yyyy")</f>
        <v>19-11-2023</v>
      </c>
      <c r="D104" s="60">
        <v>0</v>
      </c>
      <c r="E104" s="60">
        <v>0</v>
      </c>
      <c r="F104" s="61">
        <f>SUM(D104:E104)</f>
        <v>0</v>
      </c>
      <c r="G104" s="1"/>
      <c r="H104" s="53"/>
    </row>
    <row r="105" spans="1:14" s="2" customFormat="1" ht="13.5" thickBot="1" x14ac:dyDescent="0.25">
      <c r="A105" s="24"/>
      <c r="B105" s="1"/>
      <c r="C105" s="63" t="str">
        <f>"01-11-2023 to "&amp;TEXT(A5-1,"dd-mm-yyyy")</f>
        <v>01-11-2023 to 19-11-2023</v>
      </c>
      <c r="D105" s="64">
        <f>SUM(D103:D104)</f>
        <v>1372.65</v>
      </c>
      <c r="E105" s="64">
        <f>SUM(E103:E104)</f>
        <v>276.43</v>
      </c>
      <c r="F105" s="64">
        <f>SUM(F103:F104)</f>
        <v>1649.0800000000002</v>
      </c>
      <c r="G105" s="1"/>
      <c r="H105" s="53"/>
    </row>
    <row r="106" spans="1:14" s="2" customFormat="1" ht="13.5" thickTop="1" x14ac:dyDescent="0.2">
      <c r="A106" s="24"/>
      <c r="B106" s="1"/>
      <c r="C106" s="62"/>
      <c r="D106" s="65"/>
      <c r="E106" s="66"/>
      <c r="F106" s="67"/>
      <c r="L106" s="1"/>
      <c r="M106" s="1"/>
    </row>
    <row r="107" spans="1:14" s="2" customFormat="1" x14ac:dyDescent="0.2">
      <c r="A107" s="24"/>
      <c r="B107" s="1"/>
      <c r="C107" s="62" t="str">
        <f>"01-04-2023 to " &amp;C104</f>
        <v>01-04-2023 to 19-11-2023</v>
      </c>
      <c r="D107" s="68">
        <f>+D105+29859.78</f>
        <v>31232.43</v>
      </c>
      <c r="E107" s="68">
        <f>+E105+2548.34</f>
        <v>2824.77</v>
      </c>
      <c r="F107" s="68">
        <f>+F105+32392.07</f>
        <v>34041.15</v>
      </c>
      <c r="G107" s="1"/>
      <c r="L107" s="1"/>
      <c r="M107" s="1"/>
    </row>
    <row r="108" spans="1:14" s="2" customFormat="1" x14ac:dyDescent="0.2">
      <c r="A108" s="24"/>
      <c r="B108" s="1"/>
      <c r="C108" s="52"/>
      <c r="D108" s="85"/>
      <c r="E108" s="53"/>
      <c r="F108" s="53"/>
      <c r="G108" s="1"/>
      <c r="L108" s="1"/>
      <c r="M108" s="1"/>
    </row>
    <row r="109" spans="1:14" s="2" customFormat="1" x14ac:dyDescent="0.2">
      <c r="A109" s="24"/>
      <c r="B109" s="1"/>
      <c r="C109" s="52"/>
      <c r="D109" s="85"/>
      <c r="E109" s="53"/>
      <c r="F109" s="53"/>
      <c r="G109" s="1"/>
      <c r="L109" s="1"/>
      <c r="M109" s="1"/>
    </row>
    <row r="110" spans="1:14" s="2" customFormat="1" x14ac:dyDescent="0.2">
      <c r="A110" s="24"/>
      <c r="B110" s="1"/>
      <c r="C110" s="52"/>
      <c r="D110" s="85"/>
      <c r="E110" s="53"/>
      <c r="F110" s="53"/>
      <c r="G110" s="1"/>
      <c r="L110" s="1"/>
      <c r="M110" s="1"/>
    </row>
    <row r="111" spans="1:14" s="2" customFormat="1" x14ac:dyDescent="0.2">
      <c r="A111" s="24"/>
      <c r="B111" s="1"/>
      <c r="C111" s="52"/>
      <c r="D111" s="85"/>
      <c r="E111" s="53"/>
      <c r="F111" s="53"/>
      <c r="G111" s="1"/>
      <c r="L111" s="1"/>
      <c r="M111" s="1"/>
    </row>
    <row r="112" spans="1:14" s="2" customFormat="1" x14ac:dyDescent="0.2">
      <c r="A112" s="24"/>
      <c r="B112" s="1"/>
      <c r="C112" s="14"/>
      <c r="D112" s="25">
        <f>SUM(D109:D111)</f>
        <v>0</v>
      </c>
      <c r="E112" s="2">
        <f>SUM(E109:E111)</f>
        <v>0</v>
      </c>
      <c r="G112" s="1"/>
      <c r="L112" s="1"/>
      <c r="M112" s="1"/>
    </row>
    <row r="113" spans="1:13" s="2" customFormat="1" x14ac:dyDescent="0.2">
      <c r="A113" s="24"/>
      <c r="B113" s="1"/>
      <c r="C113" s="14"/>
      <c r="D113" s="25"/>
      <c r="G113" s="1"/>
      <c r="L113" s="1"/>
      <c r="M113" s="1"/>
    </row>
    <row r="114" spans="1:13" s="2" customFormat="1" x14ac:dyDescent="0.2">
      <c r="A114" s="24"/>
      <c r="B114" s="1"/>
      <c r="C114" s="14"/>
      <c r="D114" s="25"/>
      <c r="G114" s="1"/>
      <c r="L114" s="1"/>
      <c r="M114" s="1"/>
    </row>
    <row r="115" spans="1:13" s="2" customFormat="1" x14ac:dyDescent="0.2">
      <c r="A115" s="24"/>
      <c r="B115" s="1"/>
      <c r="C115" s="14"/>
      <c r="D115" s="25"/>
      <c r="G115" s="1"/>
      <c r="L115" s="1"/>
      <c r="M115" s="1"/>
    </row>
    <row r="116" spans="1:13" s="2" customFormat="1" x14ac:dyDescent="0.2">
      <c r="A116" s="24"/>
      <c r="B116" s="1"/>
      <c r="C116" s="14"/>
      <c r="D116" s="25"/>
      <c r="G116" s="1"/>
      <c r="L116" s="1"/>
      <c r="M116" s="1"/>
    </row>
    <row r="117" spans="1:13" s="2" customFormat="1" x14ac:dyDescent="0.2">
      <c r="A117" s="24"/>
      <c r="B117" s="1"/>
      <c r="C117" s="14"/>
      <c r="D117" s="25"/>
      <c r="G117" s="1"/>
      <c r="L117" s="1"/>
      <c r="M117" s="1"/>
    </row>
    <row r="118" spans="1:13" s="2" customFormat="1" x14ac:dyDescent="0.2">
      <c r="A118" s="24"/>
      <c r="B118" s="1"/>
      <c r="C118" s="14"/>
      <c r="D118" s="25"/>
      <c r="G118" s="1"/>
      <c r="L118" s="1"/>
      <c r="M118" s="1"/>
    </row>
    <row r="119" spans="1:13" s="2" customFormat="1" x14ac:dyDescent="0.2">
      <c r="A119" s="24"/>
      <c r="B119" s="1"/>
      <c r="C119" s="14"/>
      <c r="D119" s="25"/>
      <c r="G119" s="1"/>
      <c r="L119" s="1"/>
      <c r="M119" s="1"/>
    </row>
    <row r="120" spans="1:13" s="2" customFormat="1" x14ac:dyDescent="0.2">
      <c r="A120" s="24"/>
      <c r="B120" s="1"/>
      <c r="C120" s="14"/>
      <c r="D120" s="25"/>
      <c r="G120" s="1"/>
      <c r="L120" s="1"/>
      <c r="M120" s="1"/>
    </row>
    <row r="121" spans="1:13" s="2" customFormat="1" x14ac:dyDescent="0.2">
      <c r="A121" s="24"/>
      <c r="B121" s="1"/>
      <c r="C121" s="14"/>
      <c r="D121" s="25"/>
      <c r="G121" s="1"/>
      <c r="L121" s="1"/>
      <c r="M121" s="1"/>
    </row>
    <row r="122" spans="1:13" s="2" customFormat="1" x14ac:dyDescent="0.2">
      <c r="A122" s="24"/>
      <c r="B122" s="1"/>
      <c r="C122" s="14"/>
      <c r="D122" s="25"/>
      <c r="G122" s="1"/>
      <c r="L122" s="1"/>
      <c r="M122" s="1"/>
    </row>
    <row r="123" spans="1:13" s="2" customFormat="1" x14ac:dyDescent="0.2">
      <c r="A123" s="24"/>
      <c r="B123" s="1"/>
      <c r="C123" s="14"/>
      <c r="D123" s="25"/>
      <c r="G123" s="1"/>
      <c r="L123" s="1"/>
      <c r="M123" s="1"/>
    </row>
    <row r="124" spans="1:13" s="2" customFormat="1" x14ac:dyDescent="0.2">
      <c r="A124" s="24"/>
      <c r="B124" s="1"/>
      <c r="C124" s="14"/>
      <c r="D124" s="25"/>
      <c r="G124" s="1"/>
      <c r="L124" s="1"/>
      <c r="M124" s="1"/>
    </row>
    <row r="125" spans="1:13" s="2" customFormat="1" x14ac:dyDescent="0.2">
      <c r="A125" s="24"/>
      <c r="B125" s="1"/>
      <c r="C125" s="14"/>
      <c r="D125" s="25"/>
      <c r="G125" s="1"/>
      <c r="L125" s="1"/>
      <c r="M125" s="1"/>
    </row>
    <row r="126" spans="1:13" s="2" customFormat="1" x14ac:dyDescent="0.2">
      <c r="A126" s="24"/>
      <c r="B126" s="1"/>
      <c r="C126" s="14"/>
      <c r="D126" s="25"/>
      <c r="G126" s="1"/>
      <c r="I126" s="1"/>
      <c r="J126" s="1"/>
      <c r="K126" s="1"/>
      <c r="L126" s="1"/>
      <c r="M126" s="1"/>
    </row>
    <row r="127" spans="1:13" s="2" customFormat="1" x14ac:dyDescent="0.2">
      <c r="A127" s="24"/>
      <c r="B127" s="1"/>
      <c r="C127" s="14"/>
      <c r="D127" s="25"/>
      <c r="G127" s="1"/>
    </row>
    <row r="128" spans="1:13" s="2" customFormat="1" x14ac:dyDescent="0.2">
      <c r="A128" s="24"/>
      <c r="B128" s="1"/>
      <c r="C128" s="14"/>
      <c r="D128" s="25"/>
      <c r="G128" s="1"/>
      <c r="I128" s="1"/>
      <c r="J128" s="1"/>
      <c r="K128" s="1"/>
      <c r="L128" s="1"/>
      <c r="M128" s="1"/>
    </row>
    <row r="129" spans="1:14" s="2" customFormat="1" x14ac:dyDescent="0.2">
      <c r="A129" s="24"/>
      <c r="B129" s="1"/>
      <c r="C129" s="14"/>
      <c r="D129" s="25"/>
      <c r="G129" s="54"/>
      <c r="I129" s="1"/>
      <c r="J129" s="1"/>
      <c r="K129" s="1"/>
      <c r="L129" s="1"/>
      <c r="M129" s="1"/>
    </row>
    <row r="130" spans="1:14" s="2" customFormat="1" x14ac:dyDescent="0.2">
      <c r="A130" s="24"/>
      <c r="B130" s="1"/>
      <c r="C130" s="14"/>
      <c r="D130" s="25"/>
      <c r="G130" s="54"/>
      <c r="I130" s="1"/>
      <c r="J130" s="1"/>
      <c r="K130" s="1"/>
      <c r="L130" s="1"/>
      <c r="M130" s="1"/>
    </row>
    <row r="131" spans="1:14" s="2" customFormat="1" x14ac:dyDescent="0.2">
      <c r="A131" s="24"/>
      <c r="B131" s="1"/>
      <c r="C131" s="14"/>
      <c r="D131" s="25"/>
      <c r="G131" s="54"/>
      <c r="I131" s="1"/>
      <c r="J131" s="1"/>
      <c r="K131" s="1"/>
      <c r="L131" s="1"/>
      <c r="M131" s="1"/>
    </row>
    <row r="132" spans="1:14" s="2" customFormat="1" x14ac:dyDescent="0.2">
      <c r="A132" s="24"/>
      <c r="B132" s="1"/>
      <c r="C132" s="14"/>
      <c r="D132" s="25"/>
      <c r="G132" s="54"/>
      <c r="H132" s="2" t="s">
        <v>396</v>
      </c>
      <c r="I132" s="1"/>
      <c r="J132" s="1"/>
      <c r="K132" s="1"/>
      <c r="L132" s="1"/>
      <c r="M132" s="1"/>
      <c r="N132" s="1"/>
    </row>
    <row r="133" spans="1:14" s="2" customFormat="1" x14ac:dyDescent="0.2">
      <c r="A133" s="24"/>
      <c r="B133" s="1"/>
      <c r="C133" s="14"/>
      <c r="D133" s="25"/>
      <c r="G133" s="54"/>
      <c r="H133" s="53"/>
    </row>
    <row r="134" spans="1:14" s="2" customFormat="1" x14ac:dyDescent="0.2">
      <c r="A134" s="24"/>
      <c r="B134" s="1"/>
      <c r="C134" s="14"/>
      <c r="D134" s="25"/>
      <c r="G134" s="54"/>
      <c r="H134" s="53" t="s">
        <v>396</v>
      </c>
      <c r="I134" s="1"/>
      <c r="J134" s="1"/>
      <c r="K134" s="1"/>
      <c r="L134" s="1"/>
      <c r="M134" s="1"/>
      <c r="N134" s="1"/>
    </row>
    <row r="135" spans="1:14" x14ac:dyDescent="0.2">
      <c r="G135" s="54"/>
      <c r="H135" s="53" t="s">
        <v>396</v>
      </c>
      <c r="J135" s="42"/>
    </row>
    <row r="136" spans="1:14" s="2" customFormat="1" x14ac:dyDescent="0.2">
      <c r="A136" s="24"/>
      <c r="B136" s="1"/>
      <c r="C136" s="14"/>
      <c r="D136" s="25"/>
      <c r="G136" s="54"/>
      <c r="H136" s="53"/>
      <c r="I136" s="101"/>
      <c r="J136" s="1"/>
      <c r="K136" s="1"/>
      <c r="L136" s="1"/>
      <c r="M136" s="1"/>
      <c r="N136" s="1"/>
    </row>
    <row r="137" spans="1:14" x14ac:dyDescent="0.2">
      <c r="G137" s="54"/>
      <c r="H137" s="53"/>
    </row>
    <row r="138" spans="1:14" x14ac:dyDescent="0.2">
      <c r="G138" s="54"/>
      <c r="H138" s="53"/>
    </row>
    <row r="139" spans="1:14" x14ac:dyDescent="0.2">
      <c r="G139" s="54"/>
      <c r="H139" s="53"/>
    </row>
  </sheetData>
  <sheetProtection insertRows="0"/>
  <mergeCells count="6">
    <mergeCell ref="C101:F101"/>
    <mergeCell ref="A1:G1"/>
    <mergeCell ref="A3:F3"/>
    <mergeCell ref="A10:F10"/>
    <mergeCell ref="A30:F30"/>
    <mergeCell ref="A86:D86"/>
  </mergeCells>
  <conditionalFormatting sqref="G83:G84">
    <cfRule type="cellIs" dxfId="217" priority="1" operator="lessThan">
      <formula>0</formula>
    </cfRule>
  </conditionalFormatting>
  <conditionalFormatting sqref="C32">
    <cfRule type="duplicateValues" dxfId="216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600-000000000000}">
  <sheetPr codeName="Sheet478">
    <pageSetUpPr fitToPage="1"/>
  </sheetPr>
  <dimension ref="A1:N151"/>
  <sheetViews>
    <sheetView zoomScaleNormal="100" workbookViewId="0">
      <selection activeCell="C12" sqref="C12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1" ht="20.25" customHeight="1" x14ac:dyDescent="0.4">
      <c r="A1" s="212" t="s">
        <v>1788</v>
      </c>
      <c r="B1" s="212"/>
      <c r="C1" s="212"/>
      <c r="D1" s="212"/>
      <c r="E1" s="212"/>
      <c r="F1" s="212"/>
      <c r="G1" s="212"/>
      <c r="H1" s="112"/>
      <c r="I1" s="112"/>
    </row>
    <row r="2" spans="1:11" ht="12.75" customHeight="1" x14ac:dyDescent="0.4">
      <c r="H2" s="112"/>
      <c r="I2" s="112"/>
    </row>
    <row r="3" spans="1:11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1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1" s="2" customFormat="1" ht="14.25" customHeight="1" x14ac:dyDescent="0.4">
      <c r="A5" s="89">
        <v>45251</v>
      </c>
      <c r="B5" s="9" t="s">
        <v>6</v>
      </c>
      <c r="C5" s="10" t="s">
        <v>7</v>
      </c>
      <c r="D5" s="11"/>
      <c r="E5" s="12">
        <v>700315.42</v>
      </c>
      <c r="F5" s="12"/>
      <c r="G5" s="1"/>
      <c r="H5" s="112"/>
      <c r="I5" s="112"/>
    </row>
    <row r="6" spans="1:11" s="2" customFormat="1" ht="12.75" customHeight="1" x14ac:dyDescent="0.4">
      <c r="D6" s="15" t="s">
        <v>8</v>
      </c>
      <c r="E6" s="16">
        <f>SUM(E5:E5)</f>
        <v>700315.42</v>
      </c>
      <c r="F6" s="16">
        <f>+F5</f>
        <v>0</v>
      </c>
      <c r="G6" s="1"/>
      <c r="H6" s="112"/>
      <c r="I6" s="112"/>
    </row>
    <row r="7" spans="1:11" s="2" customFormat="1" ht="12.75" customHeight="1" x14ac:dyDescent="0.4">
      <c r="A7" s="17"/>
      <c r="B7" s="18"/>
      <c r="C7" s="19" t="s">
        <v>9</v>
      </c>
      <c r="D7" s="20"/>
      <c r="E7" s="21">
        <f>+E6-F6</f>
        <v>700315.42</v>
      </c>
      <c r="F7" s="22"/>
      <c r="G7" s="23"/>
      <c r="H7" s="112"/>
      <c r="I7" s="112"/>
      <c r="J7" s="13"/>
    </row>
    <row r="8" spans="1:11" ht="12.75" customHeight="1" x14ac:dyDescent="0.4">
      <c r="H8" s="112"/>
      <c r="I8" s="112"/>
    </row>
    <row r="9" spans="1:11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69">
        <f>90000000-60000000</f>
        <v>30000000</v>
      </c>
      <c r="J9" s="169" t="s">
        <v>1508</v>
      </c>
    </row>
    <row r="10" spans="1:11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69">
        <v>25042851.010000002</v>
      </c>
      <c r="J10" s="169" t="s">
        <v>1509</v>
      </c>
      <c r="K10" s="124"/>
    </row>
    <row r="11" spans="1:11" s="2" customFormat="1" ht="14.25" customHeight="1" x14ac:dyDescent="0.2">
      <c r="A11" s="89">
        <v>45251</v>
      </c>
      <c r="B11" s="9" t="s">
        <v>6</v>
      </c>
      <c r="C11" s="10" t="s">
        <v>7</v>
      </c>
      <c r="D11" s="11"/>
      <c r="F11" s="12">
        <v>26557098.940000001</v>
      </c>
      <c r="G11" s="1"/>
      <c r="H11" s="130" t="s">
        <v>396</v>
      </c>
      <c r="I11" s="169">
        <f>+I9-I10</f>
        <v>4957148.9899999984</v>
      </c>
      <c r="J11" s="169" t="s">
        <v>712</v>
      </c>
      <c r="K11" s="165" t="s">
        <v>1512</v>
      </c>
    </row>
    <row r="12" spans="1:11" s="2" customFormat="1" ht="14.25" customHeight="1" x14ac:dyDescent="0.2">
      <c r="A12" s="89">
        <v>45251</v>
      </c>
      <c r="B12" s="9" t="s">
        <v>6</v>
      </c>
      <c r="C12" s="76" t="s">
        <v>1789</v>
      </c>
      <c r="D12" s="11" t="s">
        <v>1793</v>
      </c>
      <c r="E12" s="2">
        <v>4146289</v>
      </c>
      <c r="F12" s="12"/>
      <c r="G12" s="1"/>
      <c r="H12" s="130"/>
      <c r="I12" s="169"/>
      <c r="J12" s="169"/>
      <c r="K12" s="165"/>
    </row>
    <row r="13" spans="1:11" s="2" customFormat="1" ht="14.25" customHeight="1" x14ac:dyDescent="0.2">
      <c r="A13" s="89">
        <v>45251</v>
      </c>
      <c r="B13" s="9" t="s">
        <v>6</v>
      </c>
      <c r="C13" s="76" t="s">
        <v>220</v>
      </c>
      <c r="D13" s="11" t="s">
        <v>1793</v>
      </c>
      <c r="E13" s="2">
        <v>691926</v>
      </c>
      <c r="F13" s="12" t="s">
        <v>396</v>
      </c>
      <c r="G13" s="1"/>
      <c r="H13" s="130"/>
      <c r="I13" s="169"/>
      <c r="J13" s="169"/>
      <c r="K13" s="165"/>
    </row>
    <row r="14" spans="1:11" s="2" customFormat="1" ht="14.25" customHeight="1" x14ac:dyDescent="0.2">
      <c r="A14" s="89">
        <v>45251</v>
      </c>
      <c r="B14" s="9" t="s">
        <v>11</v>
      </c>
      <c r="C14" s="76" t="s">
        <v>1056</v>
      </c>
      <c r="D14" s="11" t="s">
        <v>29</v>
      </c>
      <c r="F14" s="12">
        <v>1500000</v>
      </c>
      <c r="G14" s="1"/>
      <c r="H14" s="130"/>
      <c r="I14" s="169"/>
      <c r="J14" s="169"/>
      <c r="K14" s="165"/>
    </row>
    <row r="15" spans="1:11" s="2" customFormat="1" ht="14.25" customHeight="1" x14ac:dyDescent="0.2">
      <c r="A15" s="89">
        <v>45251</v>
      </c>
      <c r="B15" s="9" t="s">
        <v>11</v>
      </c>
      <c r="C15" s="76" t="s">
        <v>136</v>
      </c>
      <c r="D15" s="11" t="s">
        <v>29</v>
      </c>
      <c r="F15" s="12">
        <v>12000</v>
      </c>
      <c r="G15" s="1"/>
      <c r="H15" s="130"/>
      <c r="I15" s="169"/>
      <c r="J15" s="169"/>
      <c r="K15" s="165"/>
    </row>
    <row r="16" spans="1:11" s="2" customFormat="1" ht="14.25" customHeight="1" x14ac:dyDescent="0.2">
      <c r="A16" s="89">
        <v>45251</v>
      </c>
      <c r="B16" s="9" t="s">
        <v>11</v>
      </c>
      <c r="C16" s="76" t="s">
        <v>1782</v>
      </c>
      <c r="D16" s="11" t="s">
        <v>29</v>
      </c>
      <c r="F16" s="12">
        <v>38000</v>
      </c>
      <c r="G16" s="1"/>
      <c r="H16" s="130"/>
      <c r="I16" s="169"/>
      <c r="J16" s="169"/>
      <c r="K16" s="165"/>
    </row>
    <row r="17" spans="1:13" s="2" customFormat="1" ht="14.25" customHeight="1" x14ac:dyDescent="0.2">
      <c r="A17" s="89">
        <v>45251</v>
      </c>
      <c r="B17" s="9" t="s">
        <v>11</v>
      </c>
      <c r="C17" s="76" t="s">
        <v>235</v>
      </c>
      <c r="D17" s="11" t="s">
        <v>29</v>
      </c>
      <c r="F17" s="12">
        <v>52430</v>
      </c>
      <c r="G17" s="1"/>
      <c r="H17" s="130"/>
      <c r="I17" s="169"/>
      <c r="J17" s="169"/>
      <c r="K17" s="165"/>
    </row>
    <row r="18" spans="1:13" s="2" customFormat="1" ht="14.25" customHeight="1" x14ac:dyDescent="0.2">
      <c r="A18" s="89">
        <v>45251</v>
      </c>
      <c r="B18" s="9" t="s">
        <v>11</v>
      </c>
      <c r="C18" s="76" t="s">
        <v>1670</v>
      </c>
      <c r="D18" s="11" t="s">
        <v>29</v>
      </c>
      <c r="F18" s="12">
        <v>333584</v>
      </c>
      <c r="G18" s="1"/>
      <c r="H18" s="130"/>
      <c r="I18" s="169"/>
      <c r="J18" s="169"/>
      <c r="K18" s="165"/>
    </row>
    <row r="19" spans="1:13" s="2" customFormat="1" ht="14.25" customHeight="1" x14ac:dyDescent="0.2">
      <c r="A19" s="89">
        <v>45251</v>
      </c>
      <c r="B19" s="9" t="s">
        <v>11</v>
      </c>
      <c r="C19" s="76" t="s">
        <v>1783</v>
      </c>
      <c r="D19" s="11" t="s">
        <v>29</v>
      </c>
      <c r="F19" s="12">
        <v>85119</v>
      </c>
      <c r="G19" s="1"/>
      <c r="H19" s="130"/>
      <c r="I19" s="169"/>
      <c r="J19" s="169"/>
      <c r="K19" s="165"/>
    </row>
    <row r="20" spans="1:13" s="2" customFormat="1" ht="14.25" customHeight="1" x14ac:dyDescent="0.2">
      <c r="A20" s="89">
        <v>45251</v>
      </c>
      <c r="B20" s="9" t="s">
        <v>11</v>
      </c>
      <c r="C20" s="76" t="s">
        <v>525</v>
      </c>
      <c r="D20" s="11" t="s">
        <v>29</v>
      </c>
      <c r="E20" s="2">
        <v>0</v>
      </c>
      <c r="F20" s="12">
        <v>54240.07</v>
      </c>
      <c r="G20" s="1"/>
      <c r="H20" s="130"/>
      <c r="I20" s="169"/>
      <c r="J20" s="169"/>
      <c r="K20" s="165"/>
    </row>
    <row r="21" spans="1:13" s="2" customFormat="1" ht="14.25" customHeight="1" x14ac:dyDescent="0.2">
      <c r="A21" s="89">
        <v>45251</v>
      </c>
      <c r="B21" s="9" t="s">
        <v>11</v>
      </c>
      <c r="C21" s="76" t="s">
        <v>1790</v>
      </c>
      <c r="D21" s="11" t="s">
        <v>29</v>
      </c>
      <c r="E21" s="2">
        <v>0</v>
      </c>
      <c r="F21" s="12">
        <v>1184</v>
      </c>
      <c r="G21" s="1"/>
      <c r="H21" s="130"/>
      <c r="I21" s="169"/>
      <c r="J21" s="169"/>
      <c r="K21" s="165"/>
    </row>
    <row r="22" spans="1:13" s="2" customFormat="1" ht="14.25" customHeight="1" x14ac:dyDescent="0.2">
      <c r="A22" s="89">
        <v>45251</v>
      </c>
      <c r="B22" s="9" t="s">
        <v>11</v>
      </c>
      <c r="C22" s="76" t="s">
        <v>1791</v>
      </c>
      <c r="D22" s="11" t="s">
        <v>29</v>
      </c>
      <c r="E22" s="2">
        <v>0</v>
      </c>
      <c r="F22" s="12">
        <v>18747</v>
      </c>
      <c r="G22" s="1"/>
      <c r="H22" s="130"/>
      <c r="I22" s="169"/>
      <c r="J22" s="169"/>
      <c r="K22" s="165"/>
    </row>
    <row r="23" spans="1:13" s="2" customFormat="1" ht="14.25" customHeight="1" x14ac:dyDescent="0.2">
      <c r="A23" s="89">
        <v>45251</v>
      </c>
      <c r="B23" s="9" t="s">
        <v>11</v>
      </c>
      <c r="C23" s="76" t="s">
        <v>39</v>
      </c>
      <c r="D23" s="11" t="s">
        <v>29</v>
      </c>
      <c r="E23" s="2">
        <v>0</v>
      </c>
      <c r="F23" s="12">
        <v>1904</v>
      </c>
      <c r="G23" s="1"/>
      <c r="H23" s="130"/>
      <c r="I23" s="169"/>
      <c r="J23" s="169"/>
      <c r="K23" s="165"/>
    </row>
    <row r="24" spans="1:13" s="2" customFormat="1" ht="14.25" customHeight="1" x14ac:dyDescent="0.2">
      <c r="A24" s="89">
        <v>45251</v>
      </c>
      <c r="B24" s="9" t="s">
        <v>11</v>
      </c>
      <c r="C24" s="76" t="s">
        <v>1777</v>
      </c>
      <c r="D24" s="11" t="s">
        <v>29</v>
      </c>
      <c r="E24" s="2">
        <v>0</v>
      </c>
      <c r="F24" s="12">
        <v>3009</v>
      </c>
      <c r="G24" s="1"/>
      <c r="H24" s="130"/>
      <c r="I24" s="169"/>
      <c r="J24" s="169"/>
      <c r="K24" s="165"/>
    </row>
    <row r="25" spans="1:13" s="2" customFormat="1" ht="14.25" customHeight="1" x14ac:dyDescent="0.2">
      <c r="A25" s="89">
        <v>45251</v>
      </c>
      <c r="B25" s="9" t="s">
        <v>11</v>
      </c>
      <c r="C25" s="76" t="s">
        <v>392</v>
      </c>
      <c r="D25" s="11" t="s">
        <v>29</v>
      </c>
      <c r="E25" s="2">
        <v>0</v>
      </c>
      <c r="F25" s="12">
        <v>500000</v>
      </c>
      <c r="G25" s="1"/>
      <c r="H25" s="130"/>
      <c r="I25" s="169"/>
      <c r="J25" s="169"/>
      <c r="K25" s="165"/>
    </row>
    <row r="26" spans="1:13" s="2" customFormat="1" ht="14.25" customHeight="1" x14ac:dyDescent="0.2">
      <c r="A26" s="89">
        <v>45251</v>
      </c>
      <c r="B26" s="9" t="s">
        <v>11</v>
      </c>
      <c r="C26" s="76" t="s">
        <v>1341</v>
      </c>
      <c r="D26" s="11" t="s">
        <v>29</v>
      </c>
      <c r="E26" s="2">
        <v>0</v>
      </c>
      <c r="F26" s="12">
        <v>20000</v>
      </c>
      <c r="G26" s="1"/>
      <c r="H26" s="130"/>
      <c r="I26" s="169"/>
      <c r="J26" s="169"/>
      <c r="K26" s="165"/>
    </row>
    <row r="27" spans="1:13" s="2" customFormat="1" ht="14.25" customHeight="1" x14ac:dyDescent="0.2">
      <c r="A27" s="89">
        <v>45251</v>
      </c>
      <c r="B27" s="9" t="s">
        <v>11</v>
      </c>
      <c r="C27" s="76" t="s">
        <v>603</v>
      </c>
      <c r="D27" s="11" t="s">
        <v>29</v>
      </c>
      <c r="E27" s="2">
        <v>0</v>
      </c>
      <c r="F27" s="12">
        <v>200000</v>
      </c>
      <c r="G27" s="1"/>
      <c r="H27" s="130"/>
      <c r="I27" s="169"/>
      <c r="J27" s="169"/>
      <c r="K27" s="165"/>
    </row>
    <row r="28" spans="1:13" s="2" customFormat="1" ht="14.25" customHeight="1" x14ac:dyDescent="0.2">
      <c r="A28" s="89">
        <v>45251</v>
      </c>
      <c r="B28" s="9" t="s">
        <v>11</v>
      </c>
      <c r="C28" s="76" t="s">
        <v>287</v>
      </c>
      <c r="D28" s="11" t="s">
        <v>29</v>
      </c>
      <c r="E28" s="2">
        <v>0</v>
      </c>
      <c r="F28" s="12">
        <v>3750</v>
      </c>
      <c r="G28" s="1"/>
      <c r="H28" s="130"/>
      <c r="I28" s="169"/>
      <c r="J28" s="169"/>
      <c r="K28" s="165"/>
    </row>
    <row r="29" spans="1:13" s="2" customFormat="1" ht="14.25" customHeight="1" x14ac:dyDescent="0.2">
      <c r="A29" s="89">
        <v>45251</v>
      </c>
      <c r="B29" s="9" t="s">
        <v>11</v>
      </c>
      <c r="C29" s="76" t="s">
        <v>1792</v>
      </c>
      <c r="D29" s="11" t="s">
        <v>29</v>
      </c>
      <c r="E29" s="2">
        <v>0</v>
      </c>
      <c r="F29" s="12">
        <v>500000</v>
      </c>
      <c r="G29" s="1"/>
      <c r="H29" s="130"/>
      <c r="I29" s="169"/>
      <c r="J29" s="169"/>
      <c r="K29" s="165"/>
    </row>
    <row r="30" spans="1:13" s="2" customFormat="1" ht="14.25" customHeight="1" x14ac:dyDescent="0.2">
      <c r="D30" s="11" t="s">
        <v>8</v>
      </c>
      <c r="E30" s="16">
        <f>SUM(E11:E29)</f>
        <v>4838215</v>
      </c>
      <c r="F30" s="16">
        <f>SUM(F11:F29)</f>
        <v>29881066.010000002</v>
      </c>
      <c r="G30" s="1"/>
      <c r="H30" s="143"/>
      <c r="I30" s="130"/>
      <c r="J30" s="143"/>
      <c r="K30" s="143"/>
      <c r="L30" s="143"/>
      <c r="M30" s="143"/>
    </row>
    <row r="31" spans="1:13" s="2" customFormat="1" ht="14.25" customHeight="1" x14ac:dyDescent="0.4">
      <c r="A31" s="17"/>
      <c r="B31" s="18"/>
      <c r="C31" s="96" t="s">
        <v>9</v>
      </c>
      <c r="D31" s="20"/>
      <c r="E31" s="21">
        <f>+F30-E30</f>
        <v>25042851.010000002</v>
      </c>
      <c r="G31" s="1"/>
      <c r="I31" s="112"/>
      <c r="J31" s="153" t="s">
        <v>779</v>
      </c>
    </row>
    <row r="32" spans="1:13" s="2" customFormat="1" ht="14.25" customHeight="1" x14ac:dyDescent="0.2">
      <c r="A32" s="36"/>
      <c r="B32" s="28" t="s">
        <v>66</v>
      </c>
      <c r="C32" s="43" t="s">
        <v>1458</v>
      </c>
      <c r="D32" s="43"/>
      <c r="E32" s="12">
        <f>30000000+60000000</f>
        <v>90000000</v>
      </c>
      <c r="F32" s="22"/>
      <c r="G32" s="1"/>
      <c r="I32" s="40">
        <v>26557098.940000001</v>
      </c>
      <c r="J32" s="154">
        <f>I32-E31</f>
        <v>1514247.9299999997</v>
      </c>
    </row>
    <row r="33" spans="1:14" s="2" customFormat="1" ht="14.25" customHeight="1" x14ac:dyDescent="0.25">
      <c r="A33" s="36"/>
      <c r="B33" s="28"/>
      <c r="C33" s="44" t="s">
        <v>1541</v>
      </c>
      <c r="D33" s="43"/>
      <c r="E33" s="7">
        <f>+E31+E32</f>
        <v>115042851.01000001</v>
      </c>
      <c r="F33" s="22"/>
      <c r="G33" s="1"/>
      <c r="H33" s="13" t="s">
        <v>1582</v>
      </c>
      <c r="I33" s="13" t="s">
        <v>1583</v>
      </c>
    </row>
    <row r="34" spans="1:14" s="2" customFormat="1" ht="14.25" customHeight="1" x14ac:dyDescent="0.25">
      <c r="A34" s="36"/>
      <c r="B34" s="28"/>
      <c r="C34" s="44" t="s">
        <v>1511</v>
      </c>
      <c r="D34" s="43"/>
      <c r="E34" s="38">
        <f>+I11</f>
        <v>4957148.9899999984</v>
      </c>
      <c r="F34" s="22"/>
      <c r="G34" s="1"/>
      <c r="H34" s="2">
        <v>137993</v>
      </c>
      <c r="I34" s="2">
        <v>15724508.949999999</v>
      </c>
      <c r="J34" s="176">
        <f>H34-I34</f>
        <v>-15586515.949999999</v>
      </c>
    </row>
    <row r="35" spans="1:14" s="2" customFormat="1" ht="14.25" customHeight="1" x14ac:dyDescent="0.2">
      <c r="A35" s="24"/>
      <c r="B35" s="1"/>
      <c r="C35" s="14"/>
      <c r="D35" s="25"/>
      <c r="G35" s="1"/>
      <c r="I35" s="130"/>
      <c r="J35" s="130"/>
    </row>
    <row r="36" spans="1:14" s="2" customFormat="1" x14ac:dyDescent="0.2">
      <c r="A36" s="214" t="s">
        <v>10</v>
      </c>
      <c r="B36" s="214"/>
      <c r="C36" s="214"/>
      <c r="D36" s="214"/>
      <c r="E36" s="214"/>
      <c r="F36" s="214"/>
      <c r="G36" s="1"/>
      <c r="H36" s="159"/>
      <c r="I36" s="160">
        <f>225000000-75000000-50000000</f>
        <v>100000000</v>
      </c>
      <c r="J36" s="160" t="s">
        <v>1506</v>
      </c>
      <c r="K36" s="70"/>
    </row>
    <row r="37" spans="1:14" s="2" customFormat="1" x14ac:dyDescent="0.2">
      <c r="A37" s="26" t="s">
        <v>1</v>
      </c>
      <c r="B37" s="27" t="s">
        <v>2</v>
      </c>
      <c r="C37" s="5"/>
      <c r="D37" s="6" t="s">
        <v>3</v>
      </c>
      <c r="E37" s="7" t="s">
        <v>4</v>
      </c>
      <c r="F37" s="7" t="s">
        <v>5</v>
      </c>
      <c r="G37" s="1"/>
      <c r="H37" s="159"/>
      <c r="I37" s="160">
        <v>72758777.909999996</v>
      </c>
      <c r="J37" s="160" t="s">
        <v>1507</v>
      </c>
      <c r="K37" s="70" t="s">
        <v>1512</v>
      </c>
    </row>
    <row r="38" spans="1:14" s="2" customFormat="1" x14ac:dyDescent="0.2">
      <c r="A38" s="89">
        <v>45251</v>
      </c>
      <c r="B38" s="128" t="s">
        <v>11</v>
      </c>
      <c r="C38" s="29" t="s">
        <v>7</v>
      </c>
      <c r="D38" s="25"/>
      <c r="E38" s="31"/>
      <c r="F38" s="2">
        <v>88356930.290000096</v>
      </c>
      <c r="G38" s="23"/>
      <c r="H38" s="159" t="s">
        <v>1505</v>
      </c>
      <c r="I38" s="160">
        <f>+I36-I37</f>
        <v>27241222.090000004</v>
      </c>
      <c r="J38" s="160"/>
      <c r="K38" s="70"/>
    </row>
    <row r="39" spans="1:14" s="2" customFormat="1" x14ac:dyDescent="0.2">
      <c r="A39" s="89">
        <v>45251</v>
      </c>
      <c r="B39" s="128" t="s">
        <v>6</v>
      </c>
      <c r="C39" s="10" t="s">
        <v>237</v>
      </c>
      <c r="D39" s="11" t="s">
        <v>1793</v>
      </c>
      <c r="E39" s="86">
        <v>1145592</v>
      </c>
      <c r="F39" s="70"/>
      <c r="G39" s="1"/>
      <c r="N39" s="1"/>
    </row>
    <row r="40" spans="1:14" s="2" customFormat="1" x14ac:dyDescent="0.2">
      <c r="A40" s="89">
        <v>45251</v>
      </c>
      <c r="B40" s="128" t="s">
        <v>6</v>
      </c>
      <c r="C40" s="10" t="s">
        <v>121</v>
      </c>
      <c r="D40" s="11" t="s">
        <v>1793</v>
      </c>
      <c r="E40" s="86">
        <v>300000</v>
      </c>
      <c r="F40" s="70"/>
      <c r="G40" s="1"/>
      <c r="N40" s="1"/>
    </row>
    <row r="41" spans="1:14" s="2" customFormat="1" x14ac:dyDescent="0.2">
      <c r="A41" s="89">
        <v>45251</v>
      </c>
      <c r="B41" s="128" t="s">
        <v>6</v>
      </c>
      <c r="C41" s="10" t="s">
        <v>1021</v>
      </c>
      <c r="D41" s="11" t="s">
        <v>1793</v>
      </c>
      <c r="E41" s="86">
        <v>101246</v>
      </c>
      <c r="F41" s="70"/>
      <c r="G41" s="1"/>
      <c r="N41" s="1"/>
    </row>
    <row r="42" spans="1:14" s="2" customFormat="1" x14ac:dyDescent="0.2">
      <c r="A42" s="89">
        <v>45251</v>
      </c>
      <c r="B42" s="128" t="s">
        <v>6</v>
      </c>
      <c r="C42" s="10" t="s">
        <v>1787</v>
      </c>
      <c r="D42" s="11" t="s">
        <v>1793</v>
      </c>
      <c r="E42" s="86">
        <v>21515</v>
      </c>
      <c r="F42" s="70"/>
      <c r="G42" s="1"/>
      <c r="N42" s="1"/>
    </row>
    <row r="43" spans="1:14" s="2" customFormat="1" x14ac:dyDescent="0.2">
      <c r="A43" s="89">
        <v>45251</v>
      </c>
      <c r="B43" s="128" t="s">
        <v>6</v>
      </c>
      <c r="C43" s="10" t="s">
        <v>903</v>
      </c>
      <c r="D43" s="11" t="s">
        <v>1793</v>
      </c>
      <c r="E43" s="86">
        <v>3772757</v>
      </c>
      <c r="F43" s="70"/>
      <c r="G43" s="1"/>
      <c r="N43" s="1"/>
    </row>
    <row r="44" spans="1:14" s="2" customFormat="1" x14ac:dyDescent="0.2">
      <c r="A44" s="89">
        <v>45251</v>
      </c>
      <c r="B44" s="128" t="s">
        <v>6</v>
      </c>
      <c r="C44" s="10" t="s">
        <v>966</v>
      </c>
      <c r="D44" s="11" t="s">
        <v>1793</v>
      </c>
      <c r="E44" s="86">
        <v>5665</v>
      </c>
      <c r="F44" s="70"/>
      <c r="G44" s="1"/>
      <c r="N44" s="1"/>
    </row>
    <row r="45" spans="1:14" s="2" customFormat="1" x14ac:dyDescent="0.2">
      <c r="A45" s="89">
        <v>45251</v>
      </c>
      <c r="B45" s="128" t="s">
        <v>6</v>
      </c>
      <c r="C45" s="10" t="s">
        <v>421</v>
      </c>
      <c r="D45" s="11" t="s">
        <v>1793</v>
      </c>
      <c r="E45" s="86">
        <v>500000</v>
      </c>
      <c r="F45" s="70"/>
      <c r="G45" s="1"/>
      <c r="N45" s="1"/>
    </row>
    <row r="46" spans="1:14" s="2" customFormat="1" x14ac:dyDescent="0.2">
      <c r="A46" s="89">
        <v>45251</v>
      </c>
      <c r="B46" s="128" t="s">
        <v>6</v>
      </c>
      <c r="C46" s="10" t="s">
        <v>149</v>
      </c>
      <c r="D46" s="11" t="s">
        <v>1793</v>
      </c>
      <c r="E46" s="86">
        <v>55019</v>
      </c>
      <c r="F46" s="70"/>
      <c r="G46" s="1"/>
      <c r="N46" s="1"/>
    </row>
    <row r="47" spans="1:14" s="2" customFormat="1" x14ac:dyDescent="0.2">
      <c r="A47" s="89">
        <v>45251</v>
      </c>
      <c r="B47" s="128" t="s">
        <v>6</v>
      </c>
      <c r="C47" s="10" t="s">
        <v>1496</v>
      </c>
      <c r="D47" s="11" t="s">
        <v>1793</v>
      </c>
      <c r="E47" s="86">
        <v>652262</v>
      </c>
      <c r="F47" s="70"/>
      <c r="G47" s="1"/>
      <c r="N47" s="1"/>
    </row>
    <row r="48" spans="1:14" s="2" customFormat="1" x14ac:dyDescent="0.2">
      <c r="A48" s="89">
        <v>45251</v>
      </c>
      <c r="B48" s="128" t="s">
        <v>6</v>
      </c>
      <c r="C48" s="10" t="s">
        <v>27</v>
      </c>
      <c r="D48" s="11" t="s">
        <v>1793</v>
      </c>
      <c r="E48" s="86">
        <f>1617112.5+2157384.46+2832622.86+4019126.53+2545048.29</f>
        <v>13171294.640000001</v>
      </c>
      <c r="F48" s="70"/>
      <c r="G48" s="1"/>
      <c r="N48" s="1"/>
    </row>
    <row r="49" spans="1:14" s="2" customFormat="1" x14ac:dyDescent="0.2">
      <c r="A49" s="89">
        <v>45251</v>
      </c>
      <c r="B49" s="128" t="s">
        <v>6</v>
      </c>
      <c r="C49" s="10" t="s">
        <v>64</v>
      </c>
      <c r="D49" s="11" t="s">
        <v>29</v>
      </c>
      <c r="E49" s="86"/>
      <c r="F49" s="70">
        <f>35998.26-3750+1475+1475</f>
        <v>35198.26</v>
      </c>
      <c r="G49" s="1"/>
      <c r="N49" s="1"/>
    </row>
    <row r="50" spans="1:14" s="2" customFormat="1" x14ac:dyDescent="0.2">
      <c r="A50" s="89">
        <v>45251</v>
      </c>
      <c r="B50" s="128" t="s">
        <v>6</v>
      </c>
      <c r="C50" s="10" t="s">
        <v>57</v>
      </c>
      <c r="D50" s="11" t="s">
        <v>29</v>
      </c>
      <c r="E50" s="86"/>
      <c r="F50" s="70">
        <v>4000000</v>
      </c>
      <c r="G50" s="1"/>
      <c r="N50" s="1"/>
    </row>
    <row r="51" spans="1:14" s="2" customFormat="1" x14ac:dyDescent="0.2">
      <c r="A51" s="89">
        <v>45251</v>
      </c>
      <c r="B51" s="128" t="s">
        <v>6</v>
      </c>
      <c r="C51" s="10" t="s">
        <v>1651</v>
      </c>
      <c r="D51" s="11" t="s">
        <v>29</v>
      </c>
      <c r="E51" s="86"/>
      <c r="F51" s="70">
        <v>1826266</v>
      </c>
      <c r="G51" s="1"/>
      <c r="N51" s="1"/>
    </row>
    <row r="52" spans="1:14" s="2" customFormat="1" x14ac:dyDescent="0.2">
      <c r="A52" s="89">
        <v>45251</v>
      </c>
      <c r="B52" s="128" t="s">
        <v>6</v>
      </c>
      <c r="C52" s="10" t="s">
        <v>696</v>
      </c>
      <c r="D52" s="11" t="s">
        <v>29</v>
      </c>
      <c r="E52" s="86"/>
      <c r="F52" s="70">
        <v>1015392</v>
      </c>
      <c r="G52" s="1"/>
      <c r="N52" s="1"/>
    </row>
    <row r="53" spans="1:14" s="2" customFormat="1" x14ac:dyDescent="0.2">
      <c r="A53" s="89">
        <v>45251</v>
      </c>
      <c r="B53" s="128" t="s">
        <v>6</v>
      </c>
      <c r="C53" s="10" t="s">
        <v>301</v>
      </c>
      <c r="D53" s="11" t="s">
        <v>29</v>
      </c>
      <c r="E53" s="86"/>
      <c r="F53" s="70">
        <v>874710</v>
      </c>
      <c r="G53" s="1"/>
      <c r="N53" s="1"/>
    </row>
    <row r="54" spans="1:14" s="2" customFormat="1" x14ac:dyDescent="0.2">
      <c r="A54" s="89">
        <v>45251</v>
      </c>
      <c r="B54" s="128" t="s">
        <v>6</v>
      </c>
      <c r="C54" s="10" t="s">
        <v>55</v>
      </c>
      <c r="D54" s="11" t="s">
        <v>29</v>
      </c>
      <c r="E54" s="86"/>
      <c r="F54" s="70">
        <v>2102196</v>
      </c>
      <c r="G54" s="1"/>
      <c r="N54" s="1"/>
    </row>
    <row r="55" spans="1:14" s="2" customFormat="1" x14ac:dyDescent="0.2">
      <c r="A55" s="89">
        <v>45251</v>
      </c>
      <c r="B55" s="128" t="s">
        <v>6</v>
      </c>
      <c r="C55" s="10" t="s">
        <v>368</v>
      </c>
      <c r="D55" s="11" t="s">
        <v>29</v>
      </c>
      <c r="E55" s="86"/>
      <c r="F55" s="70">
        <v>2122143</v>
      </c>
      <c r="G55" s="1"/>
      <c r="N55" s="1"/>
    </row>
    <row r="56" spans="1:14" s="2" customFormat="1" x14ac:dyDescent="0.2">
      <c r="A56" s="89">
        <v>45251</v>
      </c>
      <c r="B56" s="128" t="s">
        <v>6</v>
      </c>
      <c r="C56" s="10" t="s">
        <v>1502</v>
      </c>
      <c r="D56" s="11" t="s">
        <v>29</v>
      </c>
      <c r="E56" s="86"/>
      <c r="F56" s="70">
        <v>946271</v>
      </c>
      <c r="G56" s="1"/>
      <c r="N56" s="1"/>
    </row>
    <row r="57" spans="1:14" s="2" customFormat="1" x14ac:dyDescent="0.2">
      <c r="A57" s="89">
        <v>45251</v>
      </c>
      <c r="B57" s="128" t="s">
        <v>6</v>
      </c>
      <c r="C57" s="10" t="s">
        <v>442</v>
      </c>
      <c r="D57" s="11" t="s">
        <v>29</v>
      </c>
      <c r="E57" s="86"/>
      <c r="F57" s="70">
        <v>1843098</v>
      </c>
      <c r="G57" s="1"/>
      <c r="N57" s="1"/>
    </row>
    <row r="58" spans="1:14" s="2" customFormat="1" x14ac:dyDescent="0.2">
      <c r="A58" s="89">
        <v>45251</v>
      </c>
      <c r="B58" s="128" t="s">
        <v>6</v>
      </c>
      <c r="C58" s="10" t="s">
        <v>32</v>
      </c>
      <c r="D58" s="11" t="s">
        <v>29</v>
      </c>
      <c r="E58" s="86"/>
      <c r="F58" s="70">
        <v>1663891</v>
      </c>
      <c r="G58" s="1"/>
      <c r="N58" s="1"/>
    </row>
    <row r="59" spans="1:14" s="2" customFormat="1" x14ac:dyDescent="0.2">
      <c r="A59" s="89">
        <v>45251</v>
      </c>
      <c r="B59" s="128" t="s">
        <v>6</v>
      </c>
      <c r="C59" s="10" t="s">
        <v>61</v>
      </c>
      <c r="D59" s="11" t="s">
        <v>29</v>
      </c>
      <c r="E59" s="86"/>
      <c r="F59" s="70">
        <v>142945.20000000001</v>
      </c>
      <c r="G59" s="1"/>
      <c r="N59" s="1"/>
    </row>
    <row r="60" spans="1:14" s="2" customFormat="1" x14ac:dyDescent="0.2">
      <c r="A60" s="89">
        <v>45251</v>
      </c>
      <c r="B60" s="128" t="s">
        <v>6</v>
      </c>
      <c r="C60" s="10" t="s">
        <v>312</v>
      </c>
      <c r="D60" s="11" t="s">
        <v>29</v>
      </c>
      <c r="E60" s="86"/>
      <c r="F60" s="70">
        <v>331351</v>
      </c>
      <c r="G60" s="1"/>
      <c r="N60" s="1"/>
    </row>
    <row r="61" spans="1:14" s="2" customFormat="1" x14ac:dyDescent="0.2">
      <c r="A61" s="89">
        <v>45251</v>
      </c>
      <c r="B61" s="128" t="s">
        <v>6</v>
      </c>
      <c r="C61" s="10" t="s">
        <v>117</v>
      </c>
      <c r="D61" s="11" t="s">
        <v>29</v>
      </c>
      <c r="E61" s="86"/>
      <c r="F61" s="70">
        <v>102614</v>
      </c>
      <c r="G61" s="1"/>
      <c r="N61" s="1"/>
    </row>
    <row r="62" spans="1:14" s="2" customFormat="1" x14ac:dyDescent="0.2">
      <c r="A62" s="89">
        <v>45251</v>
      </c>
      <c r="B62" s="128" t="s">
        <v>6</v>
      </c>
      <c r="C62" s="10" t="s">
        <v>229</v>
      </c>
      <c r="D62" s="11" t="s">
        <v>29</v>
      </c>
      <c r="E62" s="86"/>
      <c r="F62" s="70">
        <v>220896</v>
      </c>
      <c r="G62" s="1"/>
      <c r="N62" s="1"/>
    </row>
    <row r="63" spans="1:14" s="2" customFormat="1" x14ac:dyDescent="0.2">
      <c r="A63" s="89">
        <v>45251</v>
      </c>
      <c r="B63" s="128" t="s">
        <v>6</v>
      </c>
      <c r="C63" s="10" t="s">
        <v>1269</v>
      </c>
      <c r="D63" s="11" t="s">
        <v>29</v>
      </c>
      <c r="E63" s="86"/>
      <c r="F63" s="70">
        <v>348054</v>
      </c>
      <c r="G63" s="1"/>
      <c r="N63" s="1"/>
    </row>
    <row r="64" spans="1:14" s="2" customFormat="1" x14ac:dyDescent="0.2">
      <c r="A64" s="89">
        <v>45251</v>
      </c>
      <c r="B64" s="128" t="s">
        <v>6</v>
      </c>
      <c r="C64" s="10" t="s">
        <v>798</v>
      </c>
      <c r="D64" s="11" t="s">
        <v>29</v>
      </c>
      <c r="E64" s="86"/>
      <c r="F64" s="70">
        <v>271494</v>
      </c>
      <c r="G64" s="1"/>
      <c r="N64" s="1"/>
    </row>
    <row r="65" spans="1:14" s="2" customFormat="1" x14ac:dyDescent="0.2">
      <c r="A65" s="89">
        <v>45251</v>
      </c>
      <c r="B65" s="128" t="s">
        <v>6</v>
      </c>
      <c r="C65" s="10" t="s">
        <v>41</v>
      </c>
      <c r="D65" s="11" t="s">
        <v>29</v>
      </c>
      <c r="E65" s="86"/>
      <c r="F65" s="70">
        <v>90837</v>
      </c>
      <c r="G65" s="1"/>
      <c r="N65" s="1"/>
    </row>
    <row r="66" spans="1:14" s="2" customFormat="1" x14ac:dyDescent="0.2">
      <c r="A66" s="89">
        <v>45251</v>
      </c>
      <c r="B66" s="128" t="s">
        <v>6</v>
      </c>
      <c r="C66" s="10" t="s">
        <v>28</v>
      </c>
      <c r="D66" s="11" t="s">
        <v>29</v>
      </c>
      <c r="E66" s="86"/>
      <c r="F66" s="70">
        <v>236958.75</v>
      </c>
      <c r="G66" s="1"/>
      <c r="N66" s="1"/>
    </row>
    <row r="67" spans="1:14" s="2" customFormat="1" x14ac:dyDescent="0.2">
      <c r="A67" s="89">
        <v>45251</v>
      </c>
      <c r="B67" s="128" t="s">
        <v>6</v>
      </c>
      <c r="C67" s="10" t="s">
        <v>809</v>
      </c>
      <c r="D67" s="11" t="s">
        <v>29</v>
      </c>
      <c r="E67" s="86"/>
      <c r="F67" s="70">
        <v>74340</v>
      </c>
      <c r="G67" s="1"/>
      <c r="N67" s="1"/>
    </row>
    <row r="68" spans="1:14" s="2" customFormat="1" x14ac:dyDescent="0.2">
      <c r="A68" s="89">
        <v>45251</v>
      </c>
      <c r="B68" s="128" t="s">
        <v>6</v>
      </c>
      <c r="C68" s="10" t="s">
        <v>1340</v>
      </c>
      <c r="D68" s="11" t="s">
        <v>29</v>
      </c>
      <c r="E68" s="86"/>
      <c r="F68" s="70">
        <v>53080</v>
      </c>
      <c r="G68" s="1"/>
      <c r="N68" s="1"/>
    </row>
    <row r="69" spans="1:14" s="2" customFormat="1" x14ac:dyDescent="0.2">
      <c r="A69" s="89">
        <v>45251</v>
      </c>
      <c r="B69" s="128" t="s">
        <v>6</v>
      </c>
      <c r="C69" s="10" t="s">
        <v>45</v>
      </c>
      <c r="D69" s="11" t="s">
        <v>29</v>
      </c>
      <c r="E69" s="86"/>
      <c r="F69" s="70">
        <v>208383</v>
      </c>
      <c r="G69" s="1"/>
      <c r="N69" s="1"/>
    </row>
    <row r="70" spans="1:14" s="2" customFormat="1" x14ac:dyDescent="0.2">
      <c r="A70" s="89">
        <v>45251</v>
      </c>
      <c r="B70" s="128" t="s">
        <v>6</v>
      </c>
      <c r="C70" s="10" t="s">
        <v>44</v>
      </c>
      <c r="D70" s="11" t="s">
        <v>29</v>
      </c>
      <c r="E70" s="86"/>
      <c r="F70" s="70">
        <v>436262</v>
      </c>
      <c r="G70" s="1"/>
      <c r="N70" s="1"/>
    </row>
    <row r="71" spans="1:14" s="2" customFormat="1" x14ac:dyDescent="0.2">
      <c r="A71" s="89">
        <v>45251</v>
      </c>
      <c r="B71" s="128" t="s">
        <v>6</v>
      </c>
      <c r="C71" s="10" t="s">
        <v>925</v>
      </c>
      <c r="D71" s="11" t="s">
        <v>29</v>
      </c>
      <c r="E71" s="86"/>
      <c r="F71" s="70">
        <v>355551</v>
      </c>
      <c r="G71" s="1"/>
      <c r="N71" s="1"/>
    </row>
    <row r="72" spans="1:14" s="2" customFormat="1" x14ac:dyDescent="0.2">
      <c r="A72" s="89">
        <v>45251</v>
      </c>
      <c r="B72" s="128" t="s">
        <v>6</v>
      </c>
      <c r="C72" s="10" t="s">
        <v>926</v>
      </c>
      <c r="D72" s="11" t="s">
        <v>29</v>
      </c>
      <c r="E72" s="86"/>
      <c r="F72" s="70">
        <v>129497</v>
      </c>
      <c r="G72" s="1"/>
      <c r="N72" s="1"/>
    </row>
    <row r="73" spans="1:14" s="2" customFormat="1" x14ac:dyDescent="0.2">
      <c r="A73" s="89">
        <v>45251</v>
      </c>
      <c r="B73" s="128" t="s">
        <v>6</v>
      </c>
      <c r="C73" s="10" t="s">
        <v>137</v>
      </c>
      <c r="D73" s="11" t="s">
        <v>29</v>
      </c>
      <c r="E73" s="86"/>
      <c r="F73" s="70">
        <v>121463</v>
      </c>
      <c r="G73" s="1"/>
      <c r="N73" s="1"/>
    </row>
    <row r="74" spans="1:14" s="2" customFormat="1" x14ac:dyDescent="0.2">
      <c r="A74" s="89">
        <v>45251</v>
      </c>
      <c r="B74" s="128" t="s">
        <v>6</v>
      </c>
      <c r="C74" s="10" t="s">
        <v>254</v>
      </c>
      <c r="D74" s="11" t="s">
        <v>29</v>
      </c>
      <c r="E74" s="86"/>
      <c r="F74" s="70">
        <v>160823</v>
      </c>
      <c r="G74" s="1"/>
      <c r="N74" s="1"/>
    </row>
    <row r="75" spans="1:14" s="2" customFormat="1" x14ac:dyDescent="0.2">
      <c r="A75" s="32"/>
      <c r="B75" s="33"/>
      <c r="C75" s="14"/>
      <c r="D75" s="34"/>
      <c r="E75" s="16">
        <f>SUM(E38:E74)</f>
        <v>19725350.640000001</v>
      </c>
      <c r="F75" s="16">
        <f>SUM(F38:F74)</f>
        <v>108070644.5000001</v>
      </c>
      <c r="G75" s="1"/>
      <c r="H75" s="1"/>
      <c r="I75" s="38">
        <v>88356930.290000007</v>
      </c>
      <c r="K75" s="92">
        <f>E76-I75</f>
        <v>-11636.429999902844</v>
      </c>
      <c r="N75" s="1"/>
    </row>
    <row r="76" spans="1:14" s="2" customFormat="1" x14ac:dyDescent="0.2">
      <c r="A76" s="36"/>
      <c r="B76" s="28" t="s">
        <v>11</v>
      </c>
      <c r="C76" s="19" t="s">
        <v>65</v>
      </c>
      <c r="D76" s="37"/>
      <c r="E76" s="38">
        <f>F75-E75</f>
        <v>88345293.860000104</v>
      </c>
      <c r="F76" s="22"/>
      <c r="G76" s="1"/>
      <c r="H76" s="1"/>
      <c r="I76" s="70"/>
      <c r="J76" s="70"/>
      <c r="K76" s="70"/>
      <c r="N76" s="1"/>
    </row>
    <row r="77" spans="1:14" s="2" customFormat="1" x14ac:dyDescent="0.2">
      <c r="A77" s="36"/>
      <c r="B77" s="28" t="s">
        <v>66</v>
      </c>
      <c r="C77" s="19" t="s">
        <v>67</v>
      </c>
      <c r="D77" s="37"/>
      <c r="E77" s="38">
        <v>6500000</v>
      </c>
      <c r="F77" s="22"/>
      <c r="G77" s="1"/>
      <c r="H77" s="70"/>
      <c r="I77" s="70"/>
      <c r="J77" s="70"/>
      <c r="K77" s="70"/>
      <c r="N77" s="1"/>
    </row>
    <row r="78" spans="1:14" s="2" customFormat="1" x14ac:dyDescent="0.2">
      <c r="A78" s="36"/>
      <c r="B78" s="28" t="s">
        <v>66</v>
      </c>
      <c r="C78" s="43" t="s">
        <v>1457</v>
      </c>
      <c r="D78" s="43"/>
      <c r="E78" s="12">
        <f>275000000+75000000+50000000</f>
        <v>400000000</v>
      </c>
      <c r="F78" s="22"/>
      <c r="G78" s="1"/>
      <c r="H78" s="70"/>
      <c r="I78" s="45">
        <v>2217.2399999999998</v>
      </c>
      <c r="J78" s="46"/>
      <c r="K78" s="46"/>
      <c r="N78" s="1"/>
    </row>
    <row r="79" spans="1:14" s="2" customFormat="1" ht="15" x14ac:dyDescent="0.25">
      <c r="A79" s="36"/>
      <c r="B79" s="28"/>
      <c r="C79" s="44" t="s">
        <v>1541</v>
      </c>
      <c r="D79" s="43"/>
      <c r="E79" s="7">
        <f>+E78+E76+E77</f>
        <v>494845293.86000013</v>
      </c>
      <c r="F79" s="22"/>
      <c r="G79" s="1"/>
      <c r="H79" s="103" t="s">
        <v>69</v>
      </c>
      <c r="I79" s="45">
        <v>-10.72</v>
      </c>
      <c r="J79" s="46"/>
      <c r="K79" s="46"/>
      <c r="N79" s="1"/>
    </row>
    <row r="80" spans="1:14" s="2" customFormat="1" ht="15" x14ac:dyDescent="0.25">
      <c r="A80" s="24"/>
      <c r="B80" s="1"/>
      <c r="C80" s="44" t="s">
        <v>1510</v>
      </c>
      <c r="D80" s="25"/>
      <c r="E80" s="156">
        <f>+I38-E77+H34-I34</f>
        <v>5154706.1400000043</v>
      </c>
      <c r="G80" s="1"/>
      <c r="H80" s="35" t="s">
        <v>70</v>
      </c>
      <c r="I80" s="45">
        <v>22.98</v>
      </c>
      <c r="J80" s="46">
        <f>+I81-D83</f>
        <v>0</v>
      </c>
      <c r="N80" s="1"/>
    </row>
    <row r="81" spans="1:13" s="124" customFormat="1" ht="12.75" customHeight="1" x14ac:dyDescent="0.2">
      <c r="A81" s="24"/>
      <c r="B81" s="1"/>
      <c r="C81" s="56"/>
      <c r="D81" s="56"/>
      <c r="E81" s="104"/>
      <c r="F81" s="2"/>
      <c r="G81" s="166"/>
      <c r="H81" s="70"/>
      <c r="I81" s="49">
        <f>SUM(I78:I80)</f>
        <v>2229.5</v>
      </c>
      <c r="J81" s="46"/>
      <c r="K81" s="46"/>
    </row>
    <row r="82" spans="1:13" s="124" customFormat="1" ht="12.75" customHeight="1" x14ac:dyDescent="0.2">
      <c r="A82" s="24"/>
      <c r="B82" s="1"/>
      <c r="C82" s="78" t="s">
        <v>575</v>
      </c>
      <c r="D82" s="48" t="s">
        <v>576</v>
      </c>
      <c r="E82" s="104"/>
      <c r="F82" s="2"/>
      <c r="G82" s="168"/>
      <c r="H82" s="167"/>
      <c r="I82" s="167"/>
      <c r="J82" s="168"/>
    </row>
    <row r="83" spans="1:13" s="124" customFormat="1" ht="12.75" customHeight="1" x14ac:dyDescent="0.2">
      <c r="A83" s="24"/>
      <c r="B83" s="1"/>
      <c r="C83" s="47" t="s">
        <v>570</v>
      </c>
      <c r="D83" s="111">
        <v>2229.5</v>
      </c>
      <c r="E83" s="104"/>
      <c r="F83" s="2"/>
      <c r="G83" s="168"/>
      <c r="H83" s="110" t="s">
        <v>581</v>
      </c>
      <c r="I83" s="167"/>
      <c r="J83" s="168"/>
    </row>
    <row r="84" spans="1:13" s="124" customFormat="1" ht="12.75" customHeight="1" x14ac:dyDescent="0.2">
      <c r="A84" s="24"/>
      <c r="B84" s="1"/>
      <c r="C84" s="47" t="s">
        <v>931</v>
      </c>
      <c r="D84" s="111">
        <v>141.58000000000001</v>
      </c>
      <c r="E84" s="104"/>
      <c r="F84" s="2"/>
      <c r="G84" s="168"/>
      <c r="H84" s="110" t="s">
        <v>580</v>
      </c>
      <c r="I84" s="167"/>
      <c r="J84" s="168"/>
    </row>
    <row r="85" spans="1:13" s="124" customFormat="1" ht="12.75" customHeight="1" x14ac:dyDescent="0.2">
      <c r="A85" s="24"/>
      <c r="B85" s="1"/>
      <c r="C85" s="47" t="s">
        <v>572</v>
      </c>
      <c r="D85" s="111">
        <f>+D111/100000</f>
        <v>261.63525950000002</v>
      </c>
      <c r="E85" s="104"/>
      <c r="F85" s="2"/>
      <c r="G85" s="166"/>
      <c r="H85" s="90" t="s">
        <v>587</v>
      </c>
      <c r="I85" s="167"/>
      <c r="J85" s="168"/>
    </row>
    <row r="86" spans="1:13" s="2" customFormat="1" x14ac:dyDescent="0.2">
      <c r="A86" s="24"/>
      <c r="B86" s="1"/>
      <c r="C86" s="108" t="s">
        <v>578</v>
      </c>
      <c r="D86" s="48">
        <f>SUM(D83:D85)</f>
        <v>2632.7152594999998</v>
      </c>
      <c r="E86" s="104"/>
      <c r="G86" s="30"/>
      <c r="I86" s="13"/>
      <c r="J86" s="13"/>
    </row>
    <row r="87" spans="1:13" s="70" customFormat="1" x14ac:dyDescent="0.2">
      <c r="A87" s="24"/>
      <c r="B87" s="1"/>
      <c r="C87" s="47"/>
      <c r="D87" s="107"/>
      <c r="E87" s="104"/>
      <c r="F87" s="2"/>
      <c r="G87" s="30"/>
      <c r="H87" s="2"/>
    </row>
    <row r="88" spans="1:13" s="70" customFormat="1" x14ac:dyDescent="0.2">
      <c r="A88" s="24"/>
      <c r="B88" s="1"/>
      <c r="C88" s="47" t="s">
        <v>932</v>
      </c>
      <c r="D88" s="111">
        <v>11.99</v>
      </c>
      <c r="E88" s="104"/>
      <c r="F88" s="2"/>
      <c r="G88" s="30"/>
      <c r="H88" s="110" t="s">
        <v>581</v>
      </c>
    </row>
    <row r="89" spans="1:13" s="70" customFormat="1" x14ac:dyDescent="0.2">
      <c r="A89" s="24"/>
      <c r="B89" s="1"/>
      <c r="C89" s="136" t="s">
        <v>1142</v>
      </c>
      <c r="D89" s="111">
        <v>626.44000000000005</v>
      </c>
      <c r="E89" s="104"/>
      <c r="F89" s="2"/>
      <c r="G89" s="30"/>
      <c r="H89" s="110" t="s">
        <v>581</v>
      </c>
    </row>
    <row r="90" spans="1:13" s="70" customFormat="1" x14ac:dyDescent="0.2">
      <c r="A90" s="24"/>
      <c r="B90" s="1"/>
      <c r="C90" s="78" t="s">
        <v>579</v>
      </c>
      <c r="D90" s="109">
        <f>D88+D89</f>
        <v>638.43000000000006</v>
      </c>
      <c r="E90" s="104"/>
      <c r="F90" s="2"/>
      <c r="G90" s="30"/>
    </row>
    <row r="91" spans="1:13" s="70" customFormat="1" x14ac:dyDescent="0.2">
      <c r="A91" s="24"/>
      <c r="B91" s="1"/>
      <c r="C91" s="105"/>
      <c r="D91" s="106"/>
      <c r="E91" s="104"/>
      <c r="F91" s="2"/>
      <c r="G91" s="30"/>
      <c r="I91" s="2"/>
      <c r="J91" s="114" t="s">
        <v>713</v>
      </c>
      <c r="K91" s="2"/>
      <c r="L91" s="2"/>
      <c r="M91" s="2"/>
    </row>
    <row r="92" spans="1:13" s="70" customFormat="1" x14ac:dyDescent="0.2">
      <c r="A92" s="24"/>
      <c r="B92" s="1"/>
      <c r="C92" s="78" t="s">
        <v>577</v>
      </c>
      <c r="D92" s="109">
        <f>D83+D90</f>
        <v>2867.9300000000003</v>
      </c>
      <c r="E92" s="104"/>
      <c r="F92" s="2"/>
      <c r="G92" s="30"/>
      <c r="I92" s="113"/>
      <c r="J92" s="113" t="s">
        <v>709</v>
      </c>
      <c r="K92" s="113" t="s">
        <v>710</v>
      </c>
      <c r="L92" s="113" t="s">
        <v>711</v>
      </c>
      <c r="M92" s="113" t="s">
        <v>712</v>
      </c>
    </row>
    <row r="93" spans="1:13" s="70" customFormat="1" x14ac:dyDescent="0.2">
      <c r="A93" s="24"/>
      <c r="B93" s="1"/>
      <c r="C93" s="56"/>
      <c r="D93" s="56"/>
      <c r="E93" s="104"/>
      <c r="F93" s="2"/>
      <c r="G93" s="30"/>
      <c r="I93" s="113" t="s">
        <v>706</v>
      </c>
      <c r="J93" s="115"/>
      <c r="K93" s="115">
        <v>968.99</v>
      </c>
      <c r="L93" s="115">
        <v>968.99</v>
      </c>
      <c r="M93" s="113">
        <f>+J93+L93-K93</f>
        <v>0</v>
      </c>
    </row>
    <row r="94" spans="1:13" s="70" customFormat="1" ht="38.25" x14ac:dyDescent="0.2">
      <c r="A94" s="24"/>
      <c r="B94" s="1"/>
      <c r="C94" s="79" t="str">
        <f>"Particulars ( 01-04-2021 to "&amp;TEXT(A5,"dd-mm-yyyy")&amp;" )"</f>
        <v>Particulars ( 01-04-2021 to 21-11-2023 )</v>
      </c>
      <c r="D94" s="80" t="s">
        <v>73</v>
      </c>
      <c r="E94" s="80" t="s">
        <v>74</v>
      </c>
      <c r="F94" s="81" t="s">
        <v>75</v>
      </c>
      <c r="G94" s="80" t="s">
        <v>76</v>
      </c>
      <c r="I94" s="113" t="s">
        <v>707</v>
      </c>
      <c r="J94" s="115">
        <v>183.1</v>
      </c>
      <c r="K94" s="115">
        <v>4038.91</v>
      </c>
      <c r="L94" s="115">
        <v>4132.1499999999996</v>
      </c>
      <c r="M94" s="113">
        <f>+J94+L94-K94</f>
        <v>276.34000000000015</v>
      </c>
    </row>
    <row r="95" spans="1:13" s="70" customFormat="1" x14ac:dyDescent="0.2">
      <c r="A95" s="24"/>
      <c r="B95" s="1"/>
      <c r="C95" s="50" t="s">
        <v>444</v>
      </c>
      <c r="D95" s="55">
        <f>+L93+L94+J94</f>
        <v>5284.24</v>
      </c>
      <c r="E95" s="55">
        <f>+K93+K94</f>
        <v>5007.8999999999996</v>
      </c>
      <c r="F95" s="55">
        <f>+D95-E95</f>
        <v>276.34000000000015</v>
      </c>
      <c r="G95" s="55">
        <f>1500-F95</f>
        <v>1223.6599999999999</v>
      </c>
      <c r="I95" s="113" t="s">
        <v>708</v>
      </c>
      <c r="J95" s="115">
        <v>1371.02</v>
      </c>
      <c r="K95" s="115">
        <v>15123.23</v>
      </c>
      <c r="L95" s="115">
        <v>15291.04</v>
      </c>
      <c r="M95" s="113">
        <f>+J95+L95-K95</f>
        <v>1538.8300000000017</v>
      </c>
    </row>
    <row r="96" spans="1:13" s="70" customFormat="1" ht="12.75" customHeight="1" x14ac:dyDescent="0.2">
      <c r="A96" s="24"/>
      <c r="B96" s="1"/>
      <c r="C96" s="50" t="s">
        <v>71</v>
      </c>
      <c r="D96" s="55">
        <f>+J95+L95</f>
        <v>16662.060000000001</v>
      </c>
      <c r="E96" s="55">
        <f>+K95</f>
        <v>15123.23</v>
      </c>
      <c r="F96" s="55">
        <f>+D96-E96</f>
        <v>1538.8300000000017</v>
      </c>
      <c r="G96" s="55">
        <f>1500+700-F96</f>
        <v>661.16999999999825</v>
      </c>
      <c r="I96" s="2"/>
      <c r="J96" s="118">
        <f>SUM(J93:J95)</f>
        <v>1554.12</v>
      </c>
      <c r="K96" s="118">
        <f>SUM(K93:K95)</f>
        <v>20131.129999999997</v>
      </c>
      <c r="L96" s="118">
        <f>SUM(L93:L95)</f>
        <v>20392.18</v>
      </c>
      <c r="M96" s="118">
        <f>SUM(M93:M95)</f>
        <v>1815.1700000000019</v>
      </c>
    </row>
    <row r="97" spans="1:14" s="70" customFormat="1" ht="12.75" customHeight="1" x14ac:dyDescent="0.2">
      <c r="A97" s="24"/>
      <c r="B97" s="1"/>
      <c r="C97" s="14"/>
      <c r="D97" s="56"/>
      <c r="E97" s="13"/>
      <c r="F97" s="2"/>
      <c r="G97" s="30"/>
    </row>
    <row r="98" spans="1:14" s="70" customFormat="1" ht="12.75" customHeight="1" x14ac:dyDescent="0.2">
      <c r="A98" s="215" t="s">
        <v>80</v>
      </c>
      <c r="B98" s="216"/>
      <c r="C98" s="216"/>
      <c r="D98" s="217"/>
      <c r="E98" s="69"/>
      <c r="G98" s="30"/>
    </row>
    <row r="99" spans="1:14" s="70" customFormat="1" ht="12.75" customHeight="1" x14ac:dyDescent="0.2">
      <c r="A99" s="71" t="s">
        <v>81</v>
      </c>
      <c r="B99" s="71"/>
      <c r="C99" s="72" t="s">
        <v>82</v>
      </c>
      <c r="D99" s="73" t="s">
        <v>83</v>
      </c>
      <c r="E99" s="69"/>
      <c r="G99" s="30"/>
    </row>
    <row r="100" spans="1:14" s="70" customFormat="1" ht="12.75" customHeight="1" x14ac:dyDescent="0.2">
      <c r="A100" s="87">
        <v>45232</v>
      </c>
      <c r="B100" s="120" t="s">
        <v>6</v>
      </c>
      <c r="C100" s="75" t="s">
        <v>767</v>
      </c>
      <c r="D100" s="88">
        <v>515100</v>
      </c>
      <c r="E100" s="2"/>
      <c r="F100" s="2"/>
      <c r="G100" s="30"/>
      <c r="H100" s="2"/>
      <c r="I100" s="2"/>
      <c r="J100" s="2"/>
      <c r="K100" s="2"/>
      <c r="L100" s="41"/>
      <c r="M100" s="42"/>
      <c r="N100" s="2"/>
    </row>
    <row r="101" spans="1:14" s="70" customFormat="1" ht="12.75" customHeight="1" x14ac:dyDescent="0.2">
      <c r="A101" s="87">
        <v>45232</v>
      </c>
      <c r="B101" s="120" t="s">
        <v>6</v>
      </c>
      <c r="C101" s="75" t="s">
        <v>566</v>
      </c>
      <c r="D101" s="88">
        <v>52450</v>
      </c>
      <c r="E101" s="2"/>
      <c r="F101" s="2"/>
      <c r="G101" s="30"/>
      <c r="H101" s="2"/>
      <c r="I101" s="2"/>
      <c r="J101" s="2"/>
      <c r="K101" s="2"/>
      <c r="L101" s="41"/>
      <c r="M101" s="42"/>
      <c r="N101" s="2"/>
    </row>
    <row r="102" spans="1:14" s="70" customFormat="1" ht="12.75" customHeight="1" x14ac:dyDescent="0.2">
      <c r="A102" s="87">
        <v>45233</v>
      </c>
      <c r="B102" s="120" t="s">
        <v>6</v>
      </c>
      <c r="C102" s="75" t="s">
        <v>1084</v>
      </c>
      <c r="D102" s="88">
        <v>1833799</v>
      </c>
      <c r="E102" s="2"/>
      <c r="F102" s="2"/>
      <c r="G102" s="30"/>
      <c r="H102" s="2"/>
      <c r="I102" s="2"/>
      <c r="J102" s="2"/>
      <c r="K102" s="2"/>
      <c r="L102" s="41"/>
      <c r="M102" s="42"/>
      <c r="N102" s="2"/>
    </row>
    <row r="103" spans="1:14" s="70" customFormat="1" ht="12.75" customHeight="1" x14ac:dyDescent="0.2">
      <c r="A103" s="87">
        <v>45233</v>
      </c>
      <c r="B103" s="120" t="s">
        <v>6</v>
      </c>
      <c r="C103" s="75" t="s">
        <v>909</v>
      </c>
      <c r="D103" s="88">
        <v>366980</v>
      </c>
      <c r="E103" s="2"/>
      <c r="F103" s="2"/>
      <c r="G103" s="30"/>
      <c r="H103" s="2"/>
      <c r="I103" s="2"/>
      <c r="J103" s="2"/>
      <c r="K103" s="2"/>
      <c r="L103" s="41"/>
      <c r="M103" s="42"/>
      <c r="N103" s="2"/>
    </row>
    <row r="104" spans="1:14" s="70" customFormat="1" ht="12.75" customHeight="1" x14ac:dyDescent="0.2">
      <c r="A104" s="87">
        <v>45233</v>
      </c>
      <c r="B104" s="120" t="s">
        <v>6</v>
      </c>
      <c r="C104" s="75" t="s">
        <v>909</v>
      </c>
      <c r="D104" s="88">
        <v>30038</v>
      </c>
      <c r="E104" s="2"/>
      <c r="F104" s="2"/>
      <c r="G104" s="30"/>
      <c r="H104" s="2"/>
      <c r="I104" s="2"/>
      <c r="J104" s="2"/>
      <c r="K104" s="2"/>
      <c r="L104" s="41"/>
      <c r="M104" s="42"/>
      <c r="N104" s="2"/>
    </row>
    <row r="105" spans="1:14" s="70" customFormat="1" ht="12.75" customHeight="1" x14ac:dyDescent="0.2">
      <c r="A105" s="87">
        <v>45237</v>
      </c>
      <c r="B105" s="120" t="s">
        <v>6</v>
      </c>
      <c r="C105" s="75" t="s">
        <v>888</v>
      </c>
      <c r="D105" s="88">
        <v>14999721.949999999</v>
      </c>
      <c r="E105" s="2"/>
      <c r="F105" s="2"/>
      <c r="G105" s="30"/>
      <c r="H105" s="2"/>
      <c r="I105" s="2"/>
      <c r="J105" s="2"/>
      <c r="K105" s="2"/>
      <c r="L105" s="41"/>
      <c r="M105" s="42"/>
      <c r="N105" s="2"/>
    </row>
    <row r="106" spans="1:14" s="70" customFormat="1" ht="12.75" customHeight="1" x14ac:dyDescent="0.2">
      <c r="A106" s="87">
        <v>45238</v>
      </c>
      <c r="B106" s="120" t="s">
        <v>6</v>
      </c>
      <c r="C106" s="75" t="s">
        <v>606</v>
      </c>
      <c r="D106" s="88">
        <v>1098495</v>
      </c>
      <c r="E106" s="2"/>
      <c r="F106" s="2"/>
      <c r="G106" s="30"/>
      <c r="H106" s="2"/>
      <c r="I106" s="2"/>
      <c r="J106" s="2"/>
      <c r="K106" s="2"/>
      <c r="L106" s="41"/>
      <c r="M106" s="42"/>
      <c r="N106" s="2"/>
    </row>
    <row r="107" spans="1:14" s="70" customFormat="1" ht="12.75" customHeight="1" x14ac:dyDescent="0.2">
      <c r="A107" s="87">
        <v>45239</v>
      </c>
      <c r="B107" s="120" t="s">
        <v>6</v>
      </c>
      <c r="C107" s="75" t="s">
        <v>566</v>
      </c>
      <c r="D107" s="88">
        <f>183507+63254</f>
        <v>246761</v>
      </c>
      <c r="E107" s="2"/>
      <c r="F107" s="2"/>
      <c r="G107" s="30"/>
      <c r="H107" s="2"/>
      <c r="I107" s="2"/>
      <c r="J107" s="2"/>
      <c r="K107" s="2"/>
      <c r="L107" s="41"/>
      <c r="M107" s="42"/>
      <c r="N107" s="2"/>
    </row>
    <row r="108" spans="1:14" s="70" customFormat="1" ht="12.75" customHeight="1" x14ac:dyDescent="0.2">
      <c r="A108" s="87">
        <v>45240</v>
      </c>
      <c r="B108" s="120" t="s">
        <v>6</v>
      </c>
      <c r="C108" s="75" t="s">
        <v>767</v>
      </c>
      <c r="D108" s="88">
        <v>287037</v>
      </c>
      <c r="E108" s="2"/>
      <c r="F108" s="2"/>
      <c r="G108" s="30"/>
      <c r="H108" s="2"/>
      <c r="I108" s="2"/>
      <c r="J108" s="2"/>
      <c r="K108" s="2"/>
      <c r="L108" s="41"/>
      <c r="M108" s="42"/>
      <c r="N108" s="2"/>
    </row>
    <row r="109" spans="1:14" s="70" customFormat="1" ht="12.75" customHeight="1" x14ac:dyDescent="0.2">
      <c r="A109" s="87">
        <v>45240</v>
      </c>
      <c r="B109" s="120" t="s">
        <v>6</v>
      </c>
      <c r="C109" s="75" t="s">
        <v>1767</v>
      </c>
      <c r="D109" s="88">
        <v>1000000</v>
      </c>
      <c r="E109" s="2"/>
      <c r="F109" s="2"/>
      <c r="G109" s="30"/>
      <c r="H109" s="2"/>
      <c r="I109" s="2"/>
      <c r="J109" s="2"/>
      <c r="K109" s="2"/>
      <c r="L109" s="41"/>
      <c r="M109" s="42"/>
      <c r="N109" s="2"/>
    </row>
    <row r="110" spans="1:14" s="70" customFormat="1" ht="12.75" customHeight="1" x14ac:dyDescent="0.2">
      <c r="A110" s="87">
        <v>45248</v>
      </c>
      <c r="B110" s="120" t="s">
        <v>6</v>
      </c>
      <c r="C110" s="75" t="s">
        <v>1084</v>
      </c>
      <c r="D110" s="88">
        <v>5733144</v>
      </c>
      <c r="E110" s="2"/>
      <c r="F110" s="2"/>
      <c r="G110" s="30"/>
      <c r="H110" s="2"/>
      <c r="I110" s="2"/>
      <c r="J110" s="2"/>
      <c r="K110" s="2"/>
      <c r="L110" s="41"/>
      <c r="M110" s="42"/>
      <c r="N110" s="2"/>
    </row>
    <row r="111" spans="1:14" s="2" customFormat="1" x14ac:dyDescent="0.2">
      <c r="A111" s="87"/>
      <c r="B111" s="74"/>
      <c r="C111" s="75"/>
      <c r="D111" s="51">
        <f>SUM(D100:D110)</f>
        <v>26163525.949999999</v>
      </c>
      <c r="F111" s="2" t="s">
        <v>396</v>
      </c>
      <c r="G111" s="1"/>
    </row>
    <row r="112" spans="1:14" s="2" customFormat="1" x14ac:dyDescent="0.2">
      <c r="A112" s="24"/>
      <c r="B112" s="1"/>
      <c r="C112" s="14"/>
      <c r="D112" s="56"/>
      <c r="E112" s="13"/>
      <c r="G112" s="1"/>
    </row>
    <row r="113" spans="1:13" s="2" customFormat="1" x14ac:dyDescent="0.2">
      <c r="A113" s="24"/>
      <c r="B113" s="1"/>
      <c r="C113" s="218" t="s">
        <v>77</v>
      </c>
      <c r="D113" s="219"/>
      <c r="E113" s="219"/>
      <c r="F113" s="220"/>
      <c r="H113" s="2" t="s">
        <v>396</v>
      </c>
    </row>
    <row r="114" spans="1:13" s="2" customFormat="1" x14ac:dyDescent="0.2">
      <c r="A114" s="24"/>
      <c r="B114" s="1"/>
      <c r="C114" s="50"/>
      <c r="D114" s="57" t="s">
        <v>78</v>
      </c>
      <c r="E114" s="58" t="s">
        <v>79</v>
      </c>
      <c r="F114" s="57" t="s">
        <v>72</v>
      </c>
      <c r="H114" s="2" t="s">
        <v>396</v>
      </c>
    </row>
    <row r="115" spans="1:13" s="2" customFormat="1" x14ac:dyDescent="0.2">
      <c r="A115" s="24"/>
      <c r="B115" s="1"/>
      <c r="C115" s="59" t="str">
        <f>"01-11-2023 to "&amp;TEXT(A5-2,"dd-mm-yyyy")</f>
        <v>01-11-2023 to 19-11-2023</v>
      </c>
      <c r="D115" s="60">
        <v>1370.58</v>
      </c>
      <c r="E115" s="60">
        <v>276.45999999999998</v>
      </c>
      <c r="F115" s="61">
        <f>SUM(D115:E115)</f>
        <v>1647.04</v>
      </c>
    </row>
    <row r="116" spans="1:13" s="2" customFormat="1" x14ac:dyDescent="0.2">
      <c r="A116" s="24"/>
      <c r="B116" s="1"/>
      <c r="C116" s="62" t="str">
        <f>TEXT(A5-1,"dd-mm-yyyy")</f>
        <v>20-11-2023</v>
      </c>
      <c r="D116" s="60">
        <v>78.83</v>
      </c>
      <c r="E116" s="60">
        <v>28.58</v>
      </c>
      <c r="F116" s="61">
        <f>SUM(D116:E116)</f>
        <v>107.41</v>
      </c>
      <c r="G116" s="1"/>
      <c r="H116" s="53"/>
    </row>
    <row r="117" spans="1:13" s="2" customFormat="1" ht="13.5" thickBot="1" x14ac:dyDescent="0.25">
      <c r="A117" s="24"/>
      <c r="B117" s="1"/>
      <c r="C117" s="63" t="str">
        <f>"01-11-2023 to "&amp;TEXT(A5-1,"dd-mm-yyyy")</f>
        <v>01-11-2023 to 20-11-2023</v>
      </c>
      <c r="D117" s="64">
        <f>SUM(D115:D116)</f>
        <v>1449.4099999999999</v>
      </c>
      <c r="E117" s="64">
        <f>SUM(E115:E116)</f>
        <v>305.03999999999996</v>
      </c>
      <c r="F117" s="64">
        <f>SUM(F115:F116)</f>
        <v>1754.45</v>
      </c>
      <c r="G117" s="1"/>
      <c r="H117" s="53"/>
    </row>
    <row r="118" spans="1:13" s="2" customFormat="1" ht="13.5" thickTop="1" x14ac:dyDescent="0.2">
      <c r="A118" s="24"/>
      <c r="B118" s="1"/>
      <c r="C118" s="62"/>
      <c r="D118" s="65"/>
      <c r="E118" s="66"/>
      <c r="F118" s="67"/>
      <c r="L118" s="1"/>
      <c r="M118" s="1"/>
    </row>
    <row r="119" spans="1:13" s="2" customFormat="1" x14ac:dyDescent="0.2">
      <c r="A119" s="24"/>
      <c r="B119" s="1"/>
      <c r="C119" s="62" t="str">
        <f>"01-04-2023 to " &amp;C116</f>
        <v>01-04-2023 to 20-11-2023</v>
      </c>
      <c r="D119" s="68">
        <f>+D117+29859.78</f>
        <v>31309.19</v>
      </c>
      <c r="E119" s="68">
        <f>+E117+2548.34</f>
        <v>2853.38</v>
      </c>
      <c r="F119" s="68">
        <f>+F117+32392.07</f>
        <v>34146.519999999997</v>
      </c>
      <c r="G119" s="1"/>
      <c r="L119" s="1"/>
      <c r="M119" s="1"/>
    </row>
    <row r="120" spans="1:13" s="2" customFormat="1" x14ac:dyDescent="0.2">
      <c r="A120" s="24"/>
      <c r="B120" s="1"/>
      <c r="C120" s="52"/>
      <c r="D120" s="85"/>
      <c r="E120" s="53"/>
      <c r="F120" s="53"/>
      <c r="G120" s="1"/>
      <c r="L120" s="1"/>
      <c r="M120" s="1"/>
    </row>
    <row r="121" spans="1:13" s="2" customFormat="1" x14ac:dyDescent="0.2">
      <c r="A121" s="24"/>
      <c r="B121" s="1"/>
      <c r="C121" s="52"/>
      <c r="D121" s="85"/>
      <c r="E121" s="53"/>
      <c r="F121" s="53"/>
      <c r="G121" s="1"/>
      <c r="L121" s="1"/>
      <c r="M121" s="1"/>
    </row>
    <row r="122" spans="1:13" s="2" customFormat="1" x14ac:dyDescent="0.2">
      <c r="A122" s="24"/>
      <c r="B122" s="1"/>
      <c r="C122" s="52"/>
      <c r="D122" s="85"/>
      <c r="E122" s="53"/>
      <c r="F122" s="53"/>
      <c r="G122" s="1"/>
      <c r="L122" s="1"/>
      <c r="M122" s="1"/>
    </row>
    <row r="123" spans="1:13" s="2" customFormat="1" x14ac:dyDescent="0.2">
      <c r="A123" s="24"/>
      <c r="B123" s="1"/>
      <c r="C123" s="52"/>
      <c r="D123" s="85"/>
      <c r="E123" s="53"/>
      <c r="F123" s="53"/>
      <c r="G123" s="1"/>
      <c r="L123" s="1"/>
      <c r="M123" s="1"/>
    </row>
    <row r="124" spans="1:13" s="2" customFormat="1" x14ac:dyDescent="0.2">
      <c r="A124" s="24"/>
      <c r="B124" s="1"/>
      <c r="C124" s="14"/>
      <c r="D124" s="25">
        <f>SUM(D121:D123)</f>
        <v>0</v>
      </c>
      <c r="E124" s="2">
        <f>SUM(E121:E123)</f>
        <v>0</v>
      </c>
      <c r="G124" s="1"/>
      <c r="L124" s="1"/>
      <c r="M124" s="1"/>
    </row>
    <row r="125" spans="1:13" s="2" customFormat="1" x14ac:dyDescent="0.2">
      <c r="A125" s="24"/>
      <c r="B125" s="1"/>
      <c r="C125" s="14"/>
      <c r="D125" s="25"/>
      <c r="G125" s="1"/>
      <c r="L125" s="1"/>
      <c r="M125" s="1"/>
    </row>
    <row r="126" spans="1:13" s="2" customFormat="1" x14ac:dyDescent="0.2">
      <c r="A126" s="24"/>
      <c r="B126" s="1"/>
      <c r="C126" s="14"/>
      <c r="D126" s="25"/>
      <c r="G126" s="1"/>
      <c r="L126" s="1"/>
      <c r="M126" s="1"/>
    </row>
    <row r="127" spans="1:13" s="2" customFormat="1" x14ac:dyDescent="0.2">
      <c r="A127" s="24"/>
      <c r="B127" s="1"/>
      <c r="C127" s="14"/>
      <c r="D127" s="25"/>
      <c r="G127" s="1"/>
      <c r="L127" s="1"/>
      <c r="M127" s="1"/>
    </row>
    <row r="128" spans="1:13" s="2" customFormat="1" x14ac:dyDescent="0.2">
      <c r="A128" s="24"/>
      <c r="B128" s="1"/>
      <c r="C128" s="14"/>
      <c r="D128" s="25"/>
      <c r="G128" s="1"/>
      <c r="L128" s="1"/>
      <c r="M128" s="1"/>
    </row>
    <row r="129" spans="1:14" s="2" customFormat="1" x14ac:dyDescent="0.2">
      <c r="A129" s="24"/>
      <c r="B129" s="1"/>
      <c r="C129" s="14"/>
      <c r="D129" s="25"/>
      <c r="G129" s="1"/>
      <c r="L129" s="1"/>
      <c r="M129" s="1"/>
    </row>
    <row r="130" spans="1:14" s="2" customFormat="1" x14ac:dyDescent="0.2">
      <c r="A130" s="24"/>
      <c r="B130" s="1"/>
      <c r="C130" s="14"/>
      <c r="D130" s="25"/>
      <c r="G130" s="1"/>
      <c r="L130" s="1"/>
      <c r="M130" s="1"/>
    </row>
    <row r="131" spans="1:14" s="2" customFormat="1" x14ac:dyDescent="0.2">
      <c r="A131" s="24"/>
      <c r="B131" s="1"/>
      <c r="C131" s="14"/>
      <c r="D131" s="25"/>
      <c r="G131" s="1"/>
      <c r="L131" s="1"/>
      <c r="M131" s="1"/>
    </row>
    <row r="132" spans="1:14" s="2" customFormat="1" x14ac:dyDescent="0.2">
      <c r="A132" s="24"/>
      <c r="B132" s="1"/>
      <c r="C132" s="14"/>
      <c r="D132" s="25"/>
      <c r="G132" s="1"/>
      <c r="L132" s="1"/>
      <c r="M132" s="1"/>
    </row>
    <row r="133" spans="1:14" s="2" customFormat="1" x14ac:dyDescent="0.2">
      <c r="A133" s="24"/>
      <c r="B133" s="1"/>
      <c r="C133" s="14"/>
      <c r="D133" s="25"/>
      <c r="G133" s="1"/>
      <c r="L133" s="1"/>
      <c r="M133" s="1"/>
    </row>
    <row r="134" spans="1:14" s="2" customFormat="1" x14ac:dyDescent="0.2">
      <c r="A134" s="24"/>
      <c r="B134" s="1"/>
      <c r="C134" s="14"/>
      <c r="D134" s="25"/>
      <c r="G134" s="1"/>
      <c r="L134" s="1"/>
      <c r="M134" s="1"/>
    </row>
    <row r="135" spans="1:14" s="2" customFormat="1" x14ac:dyDescent="0.2">
      <c r="A135" s="24"/>
      <c r="B135" s="1"/>
      <c r="C135" s="14"/>
      <c r="D135" s="25"/>
      <c r="G135" s="1"/>
      <c r="L135" s="1"/>
      <c r="M135" s="1"/>
    </row>
    <row r="136" spans="1:14" s="2" customFormat="1" x14ac:dyDescent="0.2">
      <c r="A136" s="24"/>
      <c r="B136" s="1"/>
      <c r="C136" s="14"/>
      <c r="D136" s="25"/>
      <c r="G136" s="1"/>
      <c r="L136" s="1"/>
      <c r="M136" s="1"/>
    </row>
    <row r="137" spans="1:14" s="2" customFormat="1" x14ac:dyDescent="0.2">
      <c r="A137" s="24"/>
      <c r="B137" s="1"/>
      <c r="C137" s="14"/>
      <c r="D137" s="25"/>
      <c r="G137" s="1"/>
      <c r="L137" s="1"/>
      <c r="M137" s="1"/>
    </row>
    <row r="138" spans="1:14" s="2" customFormat="1" x14ac:dyDescent="0.2">
      <c r="A138" s="24"/>
      <c r="B138" s="1"/>
      <c r="C138" s="14"/>
      <c r="D138" s="25"/>
      <c r="G138" s="1"/>
      <c r="I138" s="1"/>
      <c r="J138" s="1"/>
      <c r="K138" s="1"/>
      <c r="L138" s="1"/>
      <c r="M138" s="1"/>
    </row>
    <row r="139" spans="1:14" s="2" customFormat="1" x14ac:dyDescent="0.2">
      <c r="A139" s="24"/>
      <c r="B139" s="1"/>
      <c r="C139" s="14"/>
      <c r="D139" s="25"/>
      <c r="G139" s="1"/>
    </row>
    <row r="140" spans="1:14" s="2" customFormat="1" x14ac:dyDescent="0.2">
      <c r="A140" s="24"/>
      <c r="B140" s="1"/>
      <c r="C140" s="14"/>
      <c r="D140" s="25"/>
      <c r="G140" s="1"/>
      <c r="I140" s="1"/>
      <c r="J140" s="1"/>
      <c r="K140" s="1"/>
      <c r="L140" s="1"/>
      <c r="M140" s="1"/>
    </row>
    <row r="141" spans="1:14" s="2" customFormat="1" x14ac:dyDescent="0.2">
      <c r="A141" s="24"/>
      <c r="B141" s="1"/>
      <c r="C141" s="14"/>
      <c r="D141" s="25"/>
      <c r="G141" s="54"/>
      <c r="I141" s="1"/>
      <c r="J141" s="1"/>
      <c r="K141" s="1"/>
      <c r="L141" s="1"/>
      <c r="M141" s="1"/>
    </row>
    <row r="142" spans="1:14" s="2" customFormat="1" x14ac:dyDescent="0.2">
      <c r="A142" s="24"/>
      <c r="B142" s="1"/>
      <c r="C142" s="14"/>
      <c r="D142" s="25"/>
      <c r="G142" s="54"/>
      <c r="I142" s="1"/>
      <c r="J142" s="1"/>
      <c r="K142" s="1"/>
      <c r="L142" s="1"/>
      <c r="M142" s="1"/>
    </row>
    <row r="143" spans="1:14" s="2" customFormat="1" x14ac:dyDescent="0.2">
      <c r="A143" s="24"/>
      <c r="B143" s="1"/>
      <c r="C143" s="14"/>
      <c r="D143" s="25"/>
      <c r="G143" s="54"/>
      <c r="I143" s="1"/>
      <c r="J143" s="1"/>
      <c r="K143" s="1"/>
      <c r="L143" s="1"/>
      <c r="M143" s="1"/>
    </row>
    <row r="144" spans="1:14" s="2" customFormat="1" x14ac:dyDescent="0.2">
      <c r="A144" s="24"/>
      <c r="B144" s="1"/>
      <c r="C144" s="14"/>
      <c r="D144" s="25"/>
      <c r="G144" s="54"/>
      <c r="H144" s="2" t="s">
        <v>396</v>
      </c>
      <c r="I144" s="1"/>
      <c r="J144" s="1"/>
      <c r="K144" s="1"/>
      <c r="L144" s="1"/>
      <c r="M144" s="1"/>
      <c r="N144" s="1"/>
    </row>
    <row r="145" spans="1:14" s="2" customFormat="1" x14ac:dyDescent="0.2">
      <c r="A145" s="24"/>
      <c r="B145" s="1"/>
      <c r="C145" s="14"/>
      <c r="D145" s="25"/>
      <c r="G145" s="54"/>
      <c r="H145" s="53"/>
    </row>
    <row r="146" spans="1:14" s="2" customFormat="1" x14ac:dyDescent="0.2">
      <c r="A146" s="24"/>
      <c r="B146" s="1"/>
      <c r="C146" s="14"/>
      <c r="D146" s="25"/>
      <c r="G146" s="54"/>
      <c r="H146" s="53" t="s">
        <v>396</v>
      </c>
      <c r="I146" s="1"/>
      <c r="J146" s="1"/>
      <c r="K146" s="1"/>
      <c r="L146" s="1"/>
      <c r="M146" s="1"/>
      <c r="N146" s="1"/>
    </row>
    <row r="147" spans="1:14" x14ac:dyDescent="0.2">
      <c r="G147" s="54"/>
      <c r="H147" s="53" t="s">
        <v>396</v>
      </c>
      <c r="J147" s="42"/>
    </row>
    <row r="148" spans="1:14" s="2" customFormat="1" x14ac:dyDescent="0.2">
      <c r="A148" s="24"/>
      <c r="B148" s="1"/>
      <c r="C148" s="14"/>
      <c r="D148" s="25"/>
      <c r="G148" s="54"/>
      <c r="H148" s="53"/>
      <c r="I148" s="101"/>
      <c r="J148" s="1"/>
      <c r="K148" s="1"/>
      <c r="L148" s="1"/>
      <c r="M148" s="1"/>
      <c r="N148" s="1"/>
    </row>
    <row r="149" spans="1:14" x14ac:dyDescent="0.2">
      <c r="G149" s="54"/>
      <c r="H149" s="53"/>
    </row>
    <row r="150" spans="1:14" x14ac:dyDescent="0.2">
      <c r="G150" s="54"/>
      <c r="H150" s="53"/>
    </row>
    <row r="151" spans="1:14" x14ac:dyDescent="0.2">
      <c r="G151" s="54"/>
      <c r="H151" s="53"/>
    </row>
  </sheetData>
  <sheetProtection insertRows="0"/>
  <mergeCells count="6">
    <mergeCell ref="C113:F113"/>
    <mergeCell ref="A1:G1"/>
    <mergeCell ref="A3:F3"/>
    <mergeCell ref="A9:F9"/>
    <mergeCell ref="A36:F36"/>
    <mergeCell ref="A98:D98"/>
  </mergeCells>
  <conditionalFormatting sqref="G95:G96">
    <cfRule type="cellIs" dxfId="215" priority="1" operator="lessThan">
      <formula>0</formula>
    </cfRule>
  </conditionalFormatting>
  <conditionalFormatting sqref="C38">
    <cfRule type="duplicateValues" dxfId="214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700-000000000000}">
  <sheetPr codeName="Sheet479">
    <pageSetUpPr fitToPage="1"/>
  </sheetPr>
  <dimension ref="A1:N143"/>
  <sheetViews>
    <sheetView topLeftCell="A10" zoomScaleNormal="100" workbookViewId="0">
      <selection activeCell="E44" sqref="E44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1" ht="20.25" customHeight="1" x14ac:dyDescent="0.4">
      <c r="A1" s="212" t="s">
        <v>1794</v>
      </c>
      <c r="B1" s="212"/>
      <c r="C1" s="212"/>
      <c r="D1" s="212"/>
      <c r="E1" s="212"/>
      <c r="F1" s="212"/>
      <c r="G1" s="212"/>
      <c r="H1" s="112"/>
      <c r="I1" s="112"/>
    </row>
    <row r="2" spans="1:11" ht="12.75" customHeight="1" x14ac:dyDescent="0.4">
      <c r="H2" s="112"/>
      <c r="I2" s="112"/>
    </row>
    <row r="3" spans="1:11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1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1" s="2" customFormat="1" ht="14.25" customHeight="1" x14ac:dyDescent="0.4">
      <c r="A5" s="89">
        <v>45252</v>
      </c>
      <c r="B5" s="9" t="s">
        <v>6</v>
      </c>
      <c r="C5" s="10" t="s">
        <v>7</v>
      </c>
      <c r="D5" s="11"/>
      <c r="E5" s="12">
        <v>700315.42</v>
      </c>
      <c r="F5" s="12"/>
      <c r="G5" s="1"/>
      <c r="H5" s="112"/>
      <c r="I5" s="112"/>
    </row>
    <row r="6" spans="1:11" s="2" customFormat="1" ht="12.75" customHeight="1" x14ac:dyDescent="0.4">
      <c r="D6" s="15" t="s">
        <v>8</v>
      </c>
      <c r="E6" s="16">
        <f>SUM(E5:E5)</f>
        <v>700315.42</v>
      </c>
      <c r="F6" s="16">
        <f>+F5</f>
        <v>0</v>
      </c>
      <c r="G6" s="1"/>
      <c r="H6" s="112"/>
      <c r="I6" s="112"/>
    </row>
    <row r="7" spans="1:11" s="2" customFormat="1" ht="12.75" customHeight="1" x14ac:dyDescent="0.4">
      <c r="A7" s="17"/>
      <c r="B7" s="18"/>
      <c r="C7" s="19" t="s">
        <v>9</v>
      </c>
      <c r="D7" s="20"/>
      <c r="E7" s="21">
        <f>+E6-F6</f>
        <v>700315.42</v>
      </c>
      <c r="F7" s="22"/>
      <c r="G7" s="23"/>
      <c r="H7" s="112"/>
      <c r="I7" s="112"/>
      <c r="J7" s="13"/>
    </row>
    <row r="8" spans="1:11" ht="12.75" customHeight="1" x14ac:dyDescent="0.4">
      <c r="H8" s="112"/>
      <c r="I8" s="112"/>
    </row>
    <row r="9" spans="1:11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69">
        <f>90000000-60000000</f>
        <v>30000000</v>
      </c>
      <c r="J9" s="169" t="s">
        <v>1508</v>
      </c>
    </row>
    <row r="10" spans="1:11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69">
        <v>28513988.550000001</v>
      </c>
      <c r="J10" s="169" t="s">
        <v>1509</v>
      </c>
      <c r="K10" s="124"/>
    </row>
    <row r="11" spans="1:11" s="2" customFormat="1" ht="14.25" customHeight="1" x14ac:dyDescent="0.2">
      <c r="A11" s="89">
        <v>45252</v>
      </c>
      <c r="B11" s="9" t="s">
        <v>6</v>
      </c>
      <c r="C11" s="10" t="s">
        <v>7</v>
      </c>
      <c r="D11" s="11"/>
      <c r="F11" s="12">
        <v>25042851.010000002</v>
      </c>
      <c r="G11" s="1"/>
      <c r="H11" s="130" t="s">
        <v>396</v>
      </c>
      <c r="I11" s="169">
        <f>+I9-I10</f>
        <v>1486011.4499999993</v>
      </c>
      <c r="J11" s="169" t="s">
        <v>712</v>
      </c>
      <c r="K11" s="165" t="s">
        <v>1512</v>
      </c>
    </row>
    <row r="12" spans="1:11" s="2" customFormat="1" ht="14.25" customHeight="1" x14ac:dyDescent="0.2">
      <c r="A12" s="89">
        <v>45252</v>
      </c>
      <c r="B12" s="9" t="s">
        <v>6</v>
      </c>
      <c r="C12" s="76" t="s">
        <v>1789</v>
      </c>
      <c r="D12" s="11" t="s">
        <v>1793</v>
      </c>
      <c r="E12" s="2">
        <v>1036412</v>
      </c>
      <c r="F12" s="12"/>
      <c r="G12" s="1"/>
      <c r="H12" s="130"/>
      <c r="I12" s="169"/>
      <c r="J12" s="169"/>
      <c r="K12" s="165"/>
    </row>
    <row r="13" spans="1:11" s="2" customFormat="1" ht="14.25" customHeight="1" x14ac:dyDescent="0.2">
      <c r="A13" s="89">
        <v>45252</v>
      </c>
      <c r="B13" s="9" t="s">
        <v>6</v>
      </c>
      <c r="C13" s="76" t="s">
        <v>1255</v>
      </c>
      <c r="D13" s="11" t="s">
        <v>1793</v>
      </c>
      <c r="E13" s="2">
        <v>1500000</v>
      </c>
      <c r="F13" s="12"/>
      <c r="G13" s="1"/>
      <c r="H13" s="130"/>
      <c r="I13" s="169"/>
      <c r="J13" s="169"/>
      <c r="K13" s="165"/>
    </row>
    <row r="14" spans="1:11" s="2" customFormat="1" ht="14.25" customHeight="1" x14ac:dyDescent="0.2">
      <c r="A14" s="89">
        <v>45252</v>
      </c>
      <c r="B14" s="9" t="s">
        <v>11</v>
      </c>
      <c r="C14" s="76" t="s">
        <v>242</v>
      </c>
      <c r="D14" s="11" t="s">
        <v>29</v>
      </c>
      <c r="F14" s="12">
        <v>43227.9</v>
      </c>
      <c r="G14" s="1"/>
      <c r="H14" s="130"/>
      <c r="I14" s="169"/>
      <c r="J14" s="169"/>
      <c r="K14" s="165"/>
    </row>
    <row r="15" spans="1:11" s="2" customFormat="1" ht="14.25" customHeight="1" x14ac:dyDescent="0.2">
      <c r="A15" s="89">
        <v>45252</v>
      </c>
      <c r="B15" s="9" t="s">
        <v>11</v>
      </c>
      <c r="C15" s="76" t="s">
        <v>1795</v>
      </c>
      <c r="D15" s="11" t="s">
        <v>29</v>
      </c>
      <c r="F15" s="12">
        <v>9524</v>
      </c>
      <c r="G15" s="1"/>
      <c r="H15" s="130"/>
      <c r="I15" s="169"/>
      <c r="J15" s="169"/>
      <c r="K15" s="165"/>
    </row>
    <row r="16" spans="1:11" s="2" customFormat="1" ht="14.25" customHeight="1" x14ac:dyDescent="0.2">
      <c r="A16" s="89">
        <v>45252</v>
      </c>
      <c r="B16" s="9" t="s">
        <v>11</v>
      </c>
      <c r="C16" s="76" t="s">
        <v>1796</v>
      </c>
      <c r="D16" s="11" t="s">
        <v>29</v>
      </c>
      <c r="F16" s="12">
        <v>81076</v>
      </c>
      <c r="G16" s="1"/>
      <c r="H16" s="130"/>
      <c r="I16" s="169"/>
      <c r="J16" s="169"/>
      <c r="K16" s="165"/>
    </row>
    <row r="17" spans="1:13" s="2" customFormat="1" ht="14.25" customHeight="1" x14ac:dyDescent="0.2">
      <c r="A17" s="89">
        <v>45252</v>
      </c>
      <c r="B17" s="9" t="s">
        <v>11</v>
      </c>
      <c r="C17" s="76" t="s">
        <v>256</v>
      </c>
      <c r="D17" s="11" t="s">
        <v>29</v>
      </c>
      <c r="F17" s="12">
        <v>175311</v>
      </c>
      <c r="G17" s="1"/>
      <c r="H17" s="130"/>
      <c r="I17" s="169"/>
      <c r="J17" s="169"/>
      <c r="K17" s="165"/>
    </row>
    <row r="18" spans="1:13" s="2" customFormat="1" ht="14.25" customHeight="1" x14ac:dyDescent="0.2">
      <c r="A18" s="89">
        <v>45252</v>
      </c>
      <c r="B18" s="9" t="s">
        <v>11</v>
      </c>
      <c r="C18" s="76" t="s">
        <v>635</v>
      </c>
      <c r="D18" s="11" t="s">
        <v>29</v>
      </c>
      <c r="F18" s="12">
        <v>794076</v>
      </c>
      <c r="G18" s="1"/>
      <c r="H18" s="130"/>
      <c r="I18" s="169"/>
      <c r="J18" s="169"/>
      <c r="K18" s="165"/>
    </row>
    <row r="19" spans="1:13" s="2" customFormat="1" ht="14.25" customHeight="1" x14ac:dyDescent="0.2">
      <c r="A19" s="89">
        <v>45252</v>
      </c>
      <c r="B19" s="9" t="s">
        <v>11</v>
      </c>
      <c r="C19" s="76" t="s">
        <v>243</v>
      </c>
      <c r="D19" s="11" t="s">
        <v>29</v>
      </c>
      <c r="F19" s="12">
        <v>2829.64</v>
      </c>
      <c r="G19" s="1"/>
      <c r="H19" s="130"/>
      <c r="I19" s="169"/>
      <c r="J19" s="169"/>
      <c r="K19" s="165"/>
    </row>
    <row r="20" spans="1:13" s="2" customFormat="1" ht="14.25" customHeight="1" x14ac:dyDescent="0.2">
      <c r="A20" s="89">
        <v>45252</v>
      </c>
      <c r="B20" s="9" t="s">
        <v>11</v>
      </c>
      <c r="C20" s="76" t="s">
        <v>484</v>
      </c>
      <c r="D20" s="11" t="s">
        <v>29</v>
      </c>
      <c r="F20" s="12">
        <v>9585</v>
      </c>
      <c r="G20" s="1"/>
      <c r="H20" s="130"/>
      <c r="I20" s="169"/>
      <c r="J20" s="169"/>
      <c r="K20" s="165"/>
    </row>
    <row r="21" spans="1:13" s="2" customFormat="1" ht="14.25" customHeight="1" x14ac:dyDescent="0.2">
      <c r="A21" s="89">
        <v>45252</v>
      </c>
      <c r="B21" s="9" t="s">
        <v>11</v>
      </c>
      <c r="C21" s="76" t="s">
        <v>124</v>
      </c>
      <c r="D21" s="11" t="s">
        <v>29</v>
      </c>
      <c r="F21" s="12">
        <v>8705</v>
      </c>
      <c r="G21" s="1"/>
      <c r="H21" s="130"/>
      <c r="I21" s="169"/>
      <c r="J21" s="169"/>
      <c r="K21" s="165"/>
    </row>
    <row r="22" spans="1:13" s="2" customFormat="1" ht="14.25" customHeight="1" x14ac:dyDescent="0.2">
      <c r="A22" s="89">
        <v>45252</v>
      </c>
      <c r="B22" s="9" t="s">
        <v>11</v>
      </c>
      <c r="C22" s="76" t="s">
        <v>34</v>
      </c>
      <c r="D22" s="11" t="s">
        <v>29</v>
      </c>
      <c r="F22" s="12">
        <v>35000</v>
      </c>
      <c r="G22" s="1"/>
      <c r="H22" s="130"/>
      <c r="I22" s="169"/>
      <c r="J22" s="169"/>
      <c r="K22" s="165"/>
    </row>
    <row r="23" spans="1:13" s="2" customFormat="1" ht="14.25" customHeight="1" x14ac:dyDescent="0.2">
      <c r="A23" s="89">
        <v>45252</v>
      </c>
      <c r="B23" s="9" t="s">
        <v>11</v>
      </c>
      <c r="C23" s="76" t="s">
        <v>338</v>
      </c>
      <c r="D23" s="11" t="s">
        <v>29</v>
      </c>
      <c r="F23" s="12">
        <v>10000</v>
      </c>
      <c r="G23" s="1"/>
      <c r="H23" s="130"/>
      <c r="I23" s="169"/>
      <c r="J23" s="169"/>
      <c r="K23" s="165"/>
    </row>
    <row r="24" spans="1:13" s="2" customFormat="1" ht="14.25" customHeight="1" x14ac:dyDescent="0.2">
      <c r="D24" s="11" t="s">
        <v>8</v>
      </c>
      <c r="E24" s="16">
        <f>SUM(E11:E23)</f>
        <v>2536412</v>
      </c>
      <c r="F24" s="16">
        <f>SUM(F11:F23)</f>
        <v>26212185.550000001</v>
      </c>
      <c r="G24" s="1"/>
      <c r="H24" s="143"/>
      <c r="I24" s="130"/>
      <c r="J24" s="143"/>
      <c r="K24" s="143"/>
      <c r="L24" s="143"/>
      <c r="M24" s="143"/>
    </row>
    <row r="25" spans="1:13" s="2" customFormat="1" ht="14.25" customHeight="1" x14ac:dyDescent="0.4">
      <c r="A25" s="17"/>
      <c r="B25" s="18"/>
      <c r="C25" s="96" t="s">
        <v>9</v>
      </c>
      <c r="D25" s="20"/>
      <c r="E25" s="21">
        <f>+F24-E24</f>
        <v>23675773.550000001</v>
      </c>
      <c r="G25" s="1"/>
      <c r="I25" s="112"/>
      <c r="J25" s="153" t="s">
        <v>779</v>
      </c>
    </row>
    <row r="26" spans="1:13" s="2" customFormat="1" ht="14.25" customHeight="1" x14ac:dyDescent="0.2">
      <c r="A26" s="36"/>
      <c r="B26" s="28" t="s">
        <v>66</v>
      </c>
      <c r="C26" s="43" t="s">
        <v>1458</v>
      </c>
      <c r="D26" s="43"/>
      <c r="E26" s="12">
        <f>30000000+60000000</f>
        <v>90000000</v>
      </c>
      <c r="F26" s="22"/>
      <c r="G26" s="1"/>
      <c r="I26" s="40">
        <v>23675773.550000001</v>
      </c>
      <c r="J26" s="154">
        <f>I26-E25</f>
        <v>0</v>
      </c>
    </row>
    <row r="27" spans="1:13" s="2" customFormat="1" ht="14.25" customHeight="1" x14ac:dyDescent="0.25">
      <c r="A27" s="36"/>
      <c r="B27" s="28"/>
      <c r="C27" s="44" t="s">
        <v>1541</v>
      </c>
      <c r="D27" s="43"/>
      <c r="E27" s="7">
        <f>+E25+E26</f>
        <v>113675773.55</v>
      </c>
      <c r="F27" s="22"/>
      <c r="G27" s="1"/>
      <c r="H27" s="13" t="s">
        <v>1582</v>
      </c>
      <c r="I27" s="13" t="s">
        <v>1583</v>
      </c>
    </row>
    <row r="28" spans="1:13" s="2" customFormat="1" ht="14.25" customHeight="1" x14ac:dyDescent="0.25">
      <c r="A28" s="36"/>
      <c r="B28" s="28"/>
      <c r="C28" s="44" t="s">
        <v>1511</v>
      </c>
      <c r="D28" s="43"/>
      <c r="E28" s="38">
        <f>+I11</f>
        <v>1486011.4499999993</v>
      </c>
      <c r="F28" s="22"/>
      <c r="G28" s="1"/>
      <c r="H28" s="2">
        <v>140781</v>
      </c>
      <c r="I28" s="2">
        <v>8754262.5</v>
      </c>
      <c r="J28" s="176">
        <f>H28-I28</f>
        <v>-8613481.5</v>
      </c>
    </row>
    <row r="29" spans="1:13" s="2" customFormat="1" ht="14.25" customHeight="1" x14ac:dyDescent="0.2">
      <c r="A29" s="24"/>
      <c r="B29" s="1"/>
      <c r="C29" s="14"/>
      <c r="D29" s="25"/>
      <c r="G29" s="1"/>
      <c r="I29" s="130"/>
      <c r="J29" s="130"/>
    </row>
    <row r="30" spans="1:13" s="2" customFormat="1" x14ac:dyDescent="0.2">
      <c r="A30" s="214" t="s">
        <v>10</v>
      </c>
      <c r="B30" s="214"/>
      <c r="C30" s="214"/>
      <c r="D30" s="214"/>
      <c r="E30" s="214"/>
      <c r="F30" s="214"/>
      <c r="G30" s="1"/>
      <c r="H30" s="159"/>
      <c r="I30" s="160">
        <f>225000000-75000000-50000000+75000000</f>
        <v>175000000</v>
      </c>
      <c r="J30" s="160" t="s">
        <v>1506</v>
      </c>
      <c r="K30" s="70"/>
    </row>
    <row r="31" spans="1:13" s="2" customFormat="1" x14ac:dyDescent="0.2">
      <c r="A31" s="26" t="s">
        <v>1</v>
      </c>
      <c r="B31" s="27" t="s">
        <v>2</v>
      </c>
      <c r="C31" s="5"/>
      <c r="D31" s="6" t="s">
        <v>3</v>
      </c>
      <c r="E31" s="7" t="s">
        <v>4</v>
      </c>
      <c r="F31" s="7" t="s">
        <v>5</v>
      </c>
      <c r="G31" s="1"/>
      <c r="H31" s="159"/>
      <c r="I31" s="160">
        <v>109581407.7</v>
      </c>
      <c r="J31" s="160" t="s">
        <v>1507</v>
      </c>
      <c r="K31" s="70" t="s">
        <v>1512</v>
      </c>
    </row>
    <row r="32" spans="1:13" s="2" customFormat="1" x14ac:dyDescent="0.2">
      <c r="A32" s="89">
        <v>45252</v>
      </c>
      <c r="B32" s="128" t="s">
        <v>11</v>
      </c>
      <c r="C32" s="29" t="s">
        <v>7</v>
      </c>
      <c r="D32" s="25"/>
      <c r="E32" s="31"/>
      <c r="F32" s="2">
        <v>88345293.860000104</v>
      </c>
      <c r="G32" s="23"/>
      <c r="H32" s="159" t="s">
        <v>1505</v>
      </c>
      <c r="I32" s="160">
        <f>+I30-I31</f>
        <v>65418592.299999997</v>
      </c>
      <c r="J32" s="160"/>
      <c r="K32" s="70"/>
    </row>
    <row r="33" spans="1:14" s="2" customFormat="1" x14ac:dyDescent="0.2">
      <c r="A33" s="89">
        <v>45252</v>
      </c>
      <c r="B33" s="128" t="s">
        <v>6</v>
      </c>
      <c r="C33" s="10" t="s">
        <v>304</v>
      </c>
      <c r="D33" s="11" t="s">
        <v>13</v>
      </c>
      <c r="E33" s="86">
        <v>500000</v>
      </c>
      <c r="F33" s="70"/>
      <c r="G33" s="1"/>
      <c r="N33" s="1"/>
    </row>
    <row r="34" spans="1:14" s="2" customFormat="1" x14ac:dyDescent="0.2">
      <c r="A34" s="89">
        <v>45252</v>
      </c>
      <c r="B34" s="128" t="s">
        <v>6</v>
      </c>
      <c r="C34" s="10" t="s">
        <v>27</v>
      </c>
      <c r="D34" s="11" t="s">
        <v>13</v>
      </c>
      <c r="E34" s="86">
        <v>1326528.8400000001</v>
      </c>
      <c r="F34" s="70"/>
      <c r="G34" s="1"/>
      <c r="N34" s="1"/>
    </row>
    <row r="35" spans="1:14" s="2" customFormat="1" x14ac:dyDescent="0.2">
      <c r="A35" s="89">
        <v>45252</v>
      </c>
      <c r="B35" s="128" t="s">
        <v>6</v>
      </c>
      <c r="C35" s="10" t="s">
        <v>298</v>
      </c>
      <c r="D35" s="11" t="s">
        <v>13</v>
      </c>
      <c r="E35" s="86">
        <v>467306</v>
      </c>
      <c r="F35" s="70"/>
      <c r="G35" s="1"/>
      <c r="N35" s="1"/>
    </row>
    <row r="36" spans="1:14" s="2" customFormat="1" x14ac:dyDescent="0.2">
      <c r="A36" s="89">
        <v>45252</v>
      </c>
      <c r="B36" s="128" t="s">
        <v>6</v>
      </c>
      <c r="C36" s="10" t="s">
        <v>1797</v>
      </c>
      <c r="D36" s="11" t="s">
        <v>13</v>
      </c>
      <c r="E36" s="86">
        <v>100000000</v>
      </c>
      <c r="F36" s="70"/>
      <c r="G36" s="1"/>
      <c r="N36" s="1"/>
    </row>
    <row r="37" spans="1:14" s="2" customFormat="1" x14ac:dyDescent="0.2">
      <c r="A37" s="89">
        <v>45252</v>
      </c>
      <c r="B37" s="128" t="s">
        <v>6</v>
      </c>
      <c r="C37" s="10" t="s">
        <v>105</v>
      </c>
      <c r="D37" s="11" t="s">
        <v>13</v>
      </c>
      <c r="E37" s="86">
        <v>168304</v>
      </c>
      <c r="F37" s="70"/>
      <c r="G37" s="1"/>
      <c r="N37" s="1"/>
    </row>
    <row r="38" spans="1:14" s="2" customFormat="1" x14ac:dyDescent="0.2">
      <c r="A38" s="89">
        <v>45252</v>
      </c>
      <c r="B38" s="128" t="s">
        <v>6</v>
      </c>
      <c r="C38" s="10" t="s">
        <v>877</v>
      </c>
      <c r="D38" s="11" t="s">
        <v>13</v>
      </c>
      <c r="E38" s="86">
        <v>12600</v>
      </c>
      <c r="F38" s="70"/>
      <c r="G38" s="1"/>
      <c r="N38" s="1"/>
    </row>
    <row r="39" spans="1:14" s="2" customFormat="1" x14ac:dyDescent="0.2">
      <c r="A39" s="89">
        <v>45252</v>
      </c>
      <c r="B39" s="128" t="s">
        <v>6</v>
      </c>
      <c r="C39" s="10" t="s">
        <v>1715</v>
      </c>
      <c r="D39" s="11" t="s">
        <v>13</v>
      </c>
      <c r="E39" s="86">
        <v>381056</v>
      </c>
      <c r="F39" s="70"/>
      <c r="G39" s="1"/>
      <c r="N39" s="1"/>
    </row>
    <row r="40" spans="1:14" s="2" customFormat="1" x14ac:dyDescent="0.2">
      <c r="A40" s="89">
        <v>45252</v>
      </c>
      <c r="B40" s="128" t="s">
        <v>6</v>
      </c>
      <c r="C40" s="10" t="s">
        <v>15</v>
      </c>
      <c r="D40" s="11" t="s">
        <v>13</v>
      </c>
      <c r="E40" s="86">
        <v>79320.45</v>
      </c>
      <c r="F40" s="70"/>
      <c r="G40" s="1"/>
      <c r="N40" s="1"/>
    </row>
    <row r="41" spans="1:14" s="2" customFormat="1" x14ac:dyDescent="0.2">
      <c r="A41" s="89">
        <v>45252</v>
      </c>
      <c r="B41" s="128" t="s">
        <v>6</v>
      </c>
      <c r="C41" s="10" t="s">
        <v>607</v>
      </c>
      <c r="D41" s="11" t="s">
        <v>13</v>
      </c>
      <c r="E41" s="86">
        <v>14700</v>
      </c>
      <c r="F41" s="70"/>
      <c r="G41" s="1"/>
      <c r="N41" s="1"/>
    </row>
    <row r="42" spans="1:14" s="2" customFormat="1" x14ac:dyDescent="0.2">
      <c r="A42" s="89">
        <v>45252</v>
      </c>
      <c r="B42" s="128" t="s">
        <v>6</v>
      </c>
      <c r="C42" s="10" t="s">
        <v>120</v>
      </c>
      <c r="D42" s="11" t="s">
        <v>13</v>
      </c>
      <c r="E42" s="86">
        <v>3053055</v>
      </c>
      <c r="F42" s="70"/>
      <c r="G42" s="1"/>
      <c r="N42" s="1"/>
    </row>
    <row r="43" spans="1:14" s="2" customFormat="1" x14ac:dyDescent="0.2">
      <c r="A43" s="89">
        <v>45252</v>
      </c>
      <c r="B43" s="128" t="s">
        <v>6</v>
      </c>
      <c r="C43" s="10" t="s">
        <v>24</v>
      </c>
      <c r="D43" s="11" t="s">
        <v>13</v>
      </c>
      <c r="E43" s="86">
        <v>29502</v>
      </c>
      <c r="F43" s="70"/>
      <c r="G43" s="1"/>
      <c r="N43" s="1"/>
    </row>
    <row r="44" spans="1:14" s="2" customFormat="1" x14ac:dyDescent="0.2">
      <c r="A44" s="89">
        <v>45252</v>
      </c>
      <c r="B44" s="128" t="s">
        <v>6</v>
      </c>
      <c r="C44" s="10" t="s">
        <v>317</v>
      </c>
      <c r="D44" s="11" t="s">
        <v>13</v>
      </c>
      <c r="E44" s="86">
        <v>190708</v>
      </c>
      <c r="F44" s="70"/>
      <c r="G44" s="1"/>
      <c r="N44" s="1"/>
    </row>
    <row r="45" spans="1:14" s="2" customFormat="1" x14ac:dyDescent="0.2">
      <c r="A45" s="89">
        <v>45252</v>
      </c>
      <c r="B45" s="128" t="s">
        <v>11</v>
      </c>
      <c r="C45" s="10" t="s">
        <v>64</v>
      </c>
      <c r="D45" s="11" t="s">
        <v>29</v>
      </c>
      <c r="E45" s="86"/>
      <c r="F45" s="70">
        <v>1475</v>
      </c>
      <c r="G45" s="1"/>
      <c r="N45" s="1"/>
    </row>
    <row r="46" spans="1:14" s="2" customFormat="1" x14ac:dyDescent="0.2">
      <c r="A46" s="89">
        <v>45252</v>
      </c>
      <c r="B46" s="128" t="s">
        <v>11</v>
      </c>
      <c r="C46" s="10" t="s">
        <v>1798</v>
      </c>
      <c r="D46" s="11" t="s">
        <v>29</v>
      </c>
      <c r="E46" s="86"/>
      <c r="F46" s="70">
        <v>2184273</v>
      </c>
      <c r="G46" s="1"/>
      <c r="N46" s="1"/>
    </row>
    <row r="47" spans="1:14" s="2" customFormat="1" x14ac:dyDescent="0.2">
      <c r="A47" s="89">
        <v>45252</v>
      </c>
      <c r="B47" s="128" t="s">
        <v>11</v>
      </c>
      <c r="C47" s="10" t="s">
        <v>111</v>
      </c>
      <c r="D47" s="11" t="s">
        <v>29</v>
      </c>
      <c r="E47" s="86"/>
      <c r="F47" s="70">
        <v>4576304.22</v>
      </c>
      <c r="G47" s="1"/>
      <c r="N47" s="1"/>
    </row>
    <row r="48" spans="1:14" s="2" customFormat="1" x14ac:dyDescent="0.2">
      <c r="A48" s="89">
        <v>45252</v>
      </c>
      <c r="B48" s="128" t="s">
        <v>11</v>
      </c>
      <c r="C48" s="10" t="s">
        <v>486</v>
      </c>
      <c r="D48" s="11" t="s">
        <v>29</v>
      </c>
      <c r="E48" s="86"/>
      <c r="F48" s="70">
        <v>8000000</v>
      </c>
      <c r="G48" s="1"/>
      <c r="N48" s="1"/>
    </row>
    <row r="49" spans="1:14" s="2" customFormat="1" x14ac:dyDescent="0.2">
      <c r="A49" s="89">
        <v>45252</v>
      </c>
      <c r="B49" s="128" t="s">
        <v>11</v>
      </c>
      <c r="C49" s="10" t="s">
        <v>269</v>
      </c>
      <c r="D49" s="11" t="s">
        <v>29</v>
      </c>
      <c r="E49" s="86"/>
      <c r="F49" s="70">
        <v>5081638</v>
      </c>
      <c r="G49" s="1"/>
      <c r="N49" s="1"/>
    </row>
    <row r="50" spans="1:14" s="2" customFormat="1" x14ac:dyDescent="0.2">
      <c r="A50" s="89">
        <v>45252</v>
      </c>
      <c r="B50" s="128" t="s">
        <v>11</v>
      </c>
      <c r="C50" s="10" t="s">
        <v>1403</v>
      </c>
      <c r="D50" s="11" t="s">
        <v>29</v>
      </c>
      <c r="E50" s="86"/>
      <c r="F50" s="70">
        <v>9873176</v>
      </c>
      <c r="G50" s="1"/>
      <c r="N50" s="1"/>
    </row>
    <row r="51" spans="1:14" s="2" customFormat="1" x14ac:dyDescent="0.2">
      <c r="A51" s="89">
        <v>45252</v>
      </c>
      <c r="B51" s="128" t="s">
        <v>11</v>
      </c>
      <c r="C51" s="10" t="s">
        <v>1155</v>
      </c>
      <c r="D51" s="11" t="s">
        <v>29</v>
      </c>
      <c r="E51" s="86"/>
      <c r="F51" s="70">
        <v>75000000</v>
      </c>
      <c r="G51" s="1"/>
      <c r="N51" s="1"/>
    </row>
    <row r="52" spans="1:14" s="2" customFormat="1" x14ac:dyDescent="0.2">
      <c r="A52" s="89">
        <v>45252</v>
      </c>
      <c r="B52" s="128" t="s">
        <v>11</v>
      </c>
      <c r="C52" s="10" t="s">
        <v>102</v>
      </c>
      <c r="D52" s="11" t="s">
        <v>29</v>
      </c>
      <c r="E52" s="86"/>
      <c r="F52" s="70">
        <v>403458.91</v>
      </c>
      <c r="G52" s="1"/>
      <c r="N52" s="1"/>
    </row>
    <row r="53" spans="1:14" s="2" customFormat="1" x14ac:dyDescent="0.2">
      <c r="A53" s="89">
        <v>45252</v>
      </c>
      <c r="B53" s="128" t="s">
        <v>11</v>
      </c>
      <c r="C53" s="10" t="s">
        <v>790</v>
      </c>
      <c r="D53" s="11" t="s">
        <v>29</v>
      </c>
      <c r="E53" s="86"/>
      <c r="F53" s="70">
        <v>2820507</v>
      </c>
      <c r="G53" s="1"/>
      <c r="N53" s="1"/>
    </row>
    <row r="54" spans="1:14" s="2" customFormat="1" x14ac:dyDescent="0.2">
      <c r="A54" s="89">
        <v>45252</v>
      </c>
      <c r="B54" s="128" t="s">
        <v>11</v>
      </c>
      <c r="C54" s="10" t="s">
        <v>194</v>
      </c>
      <c r="D54" s="11" t="s">
        <v>29</v>
      </c>
      <c r="E54" s="86"/>
      <c r="F54" s="70">
        <v>874145</v>
      </c>
      <c r="G54" s="1"/>
      <c r="N54" s="1"/>
    </row>
    <row r="55" spans="1:14" s="2" customFormat="1" x14ac:dyDescent="0.2">
      <c r="A55" s="89">
        <v>45252</v>
      </c>
      <c r="B55" s="128" t="s">
        <v>11</v>
      </c>
      <c r="C55" s="10" t="s">
        <v>745</v>
      </c>
      <c r="D55" s="11" t="s">
        <v>29</v>
      </c>
      <c r="E55" s="86"/>
      <c r="F55" s="70">
        <v>796436</v>
      </c>
      <c r="G55" s="1"/>
      <c r="N55" s="1"/>
    </row>
    <row r="56" spans="1:14" s="2" customFormat="1" x14ac:dyDescent="0.2">
      <c r="A56" s="89">
        <v>45252</v>
      </c>
      <c r="B56" s="128" t="s">
        <v>11</v>
      </c>
      <c r="C56" s="10" t="s">
        <v>193</v>
      </c>
      <c r="D56" s="11" t="s">
        <v>29</v>
      </c>
      <c r="E56" s="86"/>
      <c r="F56" s="70">
        <v>406256</v>
      </c>
      <c r="G56" s="1"/>
      <c r="N56" s="1"/>
    </row>
    <row r="57" spans="1:14" s="2" customFormat="1" x14ac:dyDescent="0.2">
      <c r="A57" s="89">
        <v>45252</v>
      </c>
      <c r="B57" s="128" t="s">
        <v>11</v>
      </c>
      <c r="C57" s="10" t="s">
        <v>300</v>
      </c>
      <c r="D57" s="11" t="s">
        <v>29</v>
      </c>
      <c r="E57" s="86"/>
      <c r="F57" s="70">
        <v>244389</v>
      </c>
      <c r="G57" s="1"/>
      <c r="N57" s="1"/>
    </row>
    <row r="58" spans="1:14" s="2" customFormat="1" x14ac:dyDescent="0.2">
      <c r="A58" s="89">
        <v>45252</v>
      </c>
      <c r="B58" s="128" t="s">
        <v>11</v>
      </c>
      <c r="C58" s="10" t="s">
        <v>417</v>
      </c>
      <c r="D58" s="11" t="s">
        <v>29</v>
      </c>
      <c r="E58" s="86"/>
      <c r="F58" s="70">
        <v>2000000</v>
      </c>
      <c r="G58" s="1"/>
      <c r="N58" s="1"/>
    </row>
    <row r="59" spans="1:14" s="2" customFormat="1" x14ac:dyDescent="0.2">
      <c r="A59" s="89">
        <v>45252</v>
      </c>
      <c r="B59" s="128" t="s">
        <v>11</v>
      </c>
      <c r="C59" s="10" t="s">
        <v>57</v>
      </c>
      <c r="D59" s="11" t="s">
        <v>29</v>
      </c>
      <c r="E59" s="86"/>
      <c r="F59" s="70">
        <v>17500000</v>
      </c>
      <c r="G59" s="1"/>
      <c r="N59" s="1"/>
    </row>
    <row r="60" spans="1:14" s="2" customFormat="1" x14ac:dyDescent="0.2">
      <c r="A60" s="89">
        <v>45252</v>
      </c>
      <c r="B60" s="128" t="s">
        <v>11</v>
      </c>
      <c r="C60" s="10" t="s">
        <v>739</v>
      </c>
      <c r="D60" s="11" t="s">
        <v>29</v>
      </c>
      <c r="E60" s="86"/>
      <c r="F60" s="70">
        <v>899364</v>
      </c>
      <c r="G60" s="1"/>
      <c r="N60" s="1"/>
    </row>
    <row r="61" spans="1:14" s="2" customFormat="1" x14ac:dyDescent="0.2">
      <c r="A61" s="89">
        <v>45252</v>
      </c>
      <c r="B61" s="128" t="s">
        <v>11</v>
      </c>
      <c r="C61" s="10" t="s">
        <v>1141</v>
      </c>
      <c r="D61" s="11" t="s">
        <v>29</v>
      </c>
      <c r="E61" s="86"/>
      <c r="F61" s="70">
        <v>317480</v>
      </c>
      <c r="G61" s="1"/>
      <c r="N61" s="1"/>
    </row>
    <row r="62" spans="1:14" s="2" customFormat="1" x14ac:dyDescent="0.2">
      <c r="A62" s="89">
        <v>45252</v>
      </c>
      <c r="B62" s="128" t="s">
        <v>11</v>
      </c>
      <c r="C62" s="10" t="s">
        <v>372</v>
      </c>
      <c r="D62" s="11" t="s">
        <v>29</v>
      </c>
      <c r="E62" s="86"/>
      <c r="F62" s="70">
        <v>268632</v>
      </c>
      <c r="G62" s="1"/>
      <c r="N62" s="1"/>
    </row>
    <row r="63" spans="1:14" s="2" customFormat="1" x14ac:dyDescent="0.2">
      <c r="A63" s="89">
        <v>45252</v>
      </c>
      <c r="B63" s="128" t="s">
        <v>11</v>
      </c>
      <c r="C63" s="10" t="s">
        <v>279</v>
      </c>
      <c r="D63" s="11" t="s">
        <v>29</v>
      </c>
      <c r="E63" s="86"/>
      <c r="F63" s="70">
        <v>2022919</v>
      </c>
      <c r="G63" s="1"/>
      <c r="N63" s="1"/>
    </row>
    <row r="64" spans="1:14" s="2" customFormat="1" x14ac:dyDescent="0.2">
      <c r="A64" s="89">
        <v>45252</v>
      </c>
      <c r="B64" s="128" t="s">
        <v>11</v>
      </c>
      <c r="C64" s="10" t="s">
        <v>140</v>
      </c>
      <c r="D64" s="11" t="s">
        <v>29</v>
      </c>
      <c r="E64" s="86"/>
      <c r="F64" s="70">
        <v>808537.5</v>
      </c>
      <c r="G64" s="1"/>
      <c r="N64" s="1"/>
    </row>
    <row r="65" spans="1:14" s="2" customFormat="1" x14ac:dyDescent="0.2">
      <c r="A65" s="89">
        <v>45252</v>
      </c>
      <c r="B65" s="128" t="s">
        <v>11</v>
      </c>
      <c r="C65" s="10" t="s">
        <v>63</v>
      </c>
      <c r="D65" s="11" t="s">
        <v>29</v>
      </c>
      <c r="E65" s="86"/>
      <c r="F65" s="70">
        <v>1500000</v>
      </c>
      <c r="G65" s="1"/>
      <c r="N65" s="1"/>
    </row>
    <row r="66" spans="1:14" s="2" customFormat="1" x14ac:dyDescent="0.2">
      <c r="A66" s="89">
        <v>45252</v>
      </c>
      <c r="B66" s="128" t="s">
        <v>11</v>
      </c>
      <c r="C66" s="10" t="s">
        <v>1746</v>
      </c>
      <c r="D66" s="11" t="s">
        <v>29</v>
      </c>
      <c r="E66" s="86"/>
      <c r="F66" s="70">
        <v>493685</v>
      </c>
      <c r="G66" s="1"/>
      <c r="N66" s="1"/>
    </row>
    <row r="67" spans="1:14" s="2" customFormat="1" x14ac:dyDescent="0.2">
      <c r="A67" s="32"/>
      <c r="B67" s="33"/>
      <c r="C67" s="14"/>
      <c r="D67" s="34"/>
      <c r="E67" s="16">
        <f>SUM(E32:E66)</f>
        <v>106223080.29000001</v>
      </c>
      <c r="F67" s="16">
        <f>SUM(F32:F66)</f>
        <v>224417969.4900001</v>
      </c>
      <c r="G67" s="1"/>
      <c r="H67" s="1"/>
      <c r="I67" s="38">
        <v>118194889.2</v>
      </c>
      <c r="K67" s="92">
        <f>E68-I67</f>
        <v>0</v>
      </c>
      <c r="N67" s="1"/>
    </row>
    <row r="68" spans="1:14" s="2" customFormat="1" x14ac:dyDescent="0.2">
      <c r="A68" s="36"/>
      <c r="B68" s="28" t="s">
        <v>11</v>
      </c>
      <c r="C68" s="19" t="s">
        <v>65</v>
      </c>
      <c r="D68" s="37"/>
      <c r="E68" s="38">
        <f>F67-E67</f>
        <v>118194889.20000009</v>
      </c>
      <c r="F68" s="22"/>
      <c r="G68" s="1"/>
      <c r="H68" s="1"/>
      <c r="I68" s="70"/>
      <c r="J68" s="70"/>
      <c r="K68" s="70"/>
      <c r="N68" s="1"/>
    </row>
    <row r="69" spans="1:14" s="2" customFormat="1" x14ac:dyDescent="0.2">
      <c r="A69" s="36"/>
      <c r="B69" s="28" t="s">
        <v>66</v>
      </c>
      <c r="C69" s="19" t="s">
        <v>67</v>
      </c>
      <c r="D69" s="37"/>
      <c r="E69" s="38">
        <v>6500000</v>
      </c>
      <c r="F69" s="22"/>
      <c r="G69" s="1"/>
      <c r="H69" s="70"/>
      <c r="I69" s="70"/>
      <c r="J69" s="70"/>
      <c r="K69" s="70"/>
      <c r="N69" s="1"/>
    </row>
    <row r="70" spans="1:14" s="2" customFormat="1" x14ac:dyDescent="0.2">
      <c r="A70" s="36"/>
      <c r="B70" s="28" t="s">
        <v>66</v>
      </c>
      <c r="C70" s="43" t="s">
        <v>1457</v>
      </c>
      <c r="D70" s="43"/>
      <c r="E70" s="12">
        <f>275000000+75000000+50000000-75000000</f>
        <v>325000000</v>
      </c>
      <c r="F70" s="22"/>
      <c r="G70" s="1"/>
      <c r="H70" s="70"/>
      <c r="I70" s="45">
        <v>2293.8000000000002</v>
      </c>
      <c r="J70" s="46"/>
      <c r="K70" s="46"/>
      <c r="N70" s="1"/>
    </row>
    <row r="71" spans="1:14" s="2" customFormat="1" ht="15" x14ac:dyDescent="0.25">
      <c r="A71" s="36"/>
      <c r="B71" s="28"/>
      <c r="C71" s="44" t="s">
        <v>1541</v>
      </c>
      <c r="D71" s="43"/>
      <c r="E71" s="7">
        <f>+E70+E68+E69</f>
        <v>449694889.20000011</v>
      </c>
      <c r="F71" s="22"/>
      <c r="G71" s="1"/>
      <c r="H71" s="103" t="s">
        <v>69</v>
      </c>
      <c r="I71" s="45">
        <v>-10.72</v>
      </c>
      <c r="J71" s="46"/>
      <c r="K71" s="46"/>
      <c r="N71" s="1"/>
    </row>
    <row r="72" spans="1:14" s="2" customFormat="1" ht="15" x14ac:dyDescent="0.25">
      <c r="A72" s="24"/>
      <c r="B72" s="1"/>
      <c r="C72" s="44" t="s">
        <v>1510</v>
      </c>
      <c r="D72" s="25"/>
      <c r="E72" s="156">
        <f>+I32-E69+H28-I28</f>
        <v>50305110.799999997</v>
      </c>
      <c r="G72" s="1"/>
      <c r="H72" s="35" t="s">
        <v>70</v>
      </c>
      <c r="I72" s="45">
        <v>22.98</v>
      </c>
      <c r="J72" s="46">
        <f>+I73-D75</f>
        <v>0</v>
      </c>
      <c r="N72" s="1"/>
    </row>
    <row r="73" spans="1:14" s="124" customFormat="1" ht="12.75" customHeight="1" x14ac:dyDescent="0.2">
      <c r="A73" s="24"/>
      <c r="B73" s="1"/>
      <c r="C73" s="56"/>
      <c r="D73" s="56"/>
      <c r="E73" s="104"/>
      <c r="F73" s="2"/>
      <c r="G73" s="166"/>
      <c r="H73" s="70"/>
      <c r="I73" s="49">
        <f>SUM(I70:I72)</f>
        <v>2306.0600000000004</v>
      </c>
      <c r="J73" s="46"/>
      <c r="K73" s="46"/>
    </row>
    <row r="74" spans="1:14" s="124" customFormat="1" ht="12.75" customHeight="1" x14ac:dyDescent="0.2">
      <c r="A74" s="24"/>
      <c r="B74" s="1"/>
      <c r="C74" s="78" t="s">
        <v>575</v>
      </c>
      <c r="D74" s="48" t="s">
        <v>576</v>
      </c>
      <c r="E74" s="104"/>
      <c r="F74" s="2"/>
      <c r="G74" s="168"/>
      <c r="H74" s="167"/>
      <c r="I74" s="167"/>
      <c r="J74" s="168"/>
    </row>
    <row r="75" spans="1:14" s="124" customFormat="1" ht="12.75" customHeight="1" x14ac:dyDescent="0.2">
      <c r="A75" s="24"/>
      <c r="B75" s="1"/>
      <c r="C75" s="47" t="s">
        <v>570</v>
      </c>
      <c r="D75" s="111">
        <v>2306.06</v>
      </c>
      <c r="E75" s="104"/>
      <c r="F75" s="2"/>
      <c r="G75" s="168"/>
      <c r="H75" s="110" t="s">
        <v>581</v>
      </c>
      <c r="I75" s="167"/>
      <c r="J75" s="168"/>
    </row>
    <row r="76" spans="1:14" s="124" customFormat="1" ht="12.75" customHeight="1" x14ac:dyDescent="0.2">
      <c r="A76" s="24"/>
      <c r="B76" s="1"/>
      <c r="C76" s="47" t="s">
        <v>931</v>
      </c>
      <c r="D76" s="111">
        <v>141.58000000000001</v>
      </c>
      <c r="E76" s="104"/>
      <c r="F76" s="2"/>
      <c r="G76" s="168"/>
      <c r="H76" s="110" t="s">
        <v>580</v>
      </c>
      <c r="I76" s="167"/>
      <c r="J76" s="168"/>
    </row>
    <row r="77" spans="1:14" s="124" customFormat="1" ht="12.75" customHeight="1" x14ac:dyDescent="0.2">
      <c r="A77" s="24"/>
      <c r="B77" s="1"/>
      <c r="C77" s="47" t="s">
        <v>572</v>
      </c>
      <c r="D77" s="111">
        <f>+D103/100000</f>
        <v>261.63525950000002</v>
      </c>
      <c r="E77" s="104"/>
      <c r="F77" s="2"/>
      <c r="G77" s="166"/>
      <c r="H77" s="90" t="s">
        <v>587</v>
      </c>
      <c r="I77" s="167"/>
      <c r="J77" s="168"/>
    </row>
    <row r="78" spans="1:14" s="2" customFormat="1" x14ac:dyDescent="0.2">
      <c r="A78" s="24"/>
      <c r="B78" s="1"/>
      <c r="C78" s="108" t="s">
        <v>578</v>
      </c>
      <c r="D78" s="48">
        <f>SUM(D75:D77)</f>
        <v>2709.2752594999997</v>
      </c>
      <c r="E78" s="104"/>
      <c r="G78" s="30"/>
      <c r="I78" s="13"/>
      <c r="J78" s="13"/>
    </row>
    <row r="79" spans="1:14" s="70" customFormat="1" x14ac:dyDescent="0.2">
      <c r="A79" s="24"/>
      <c r="B79" s="1"/>
      <c r="C79" s="47"/>
      <c r="D79" s="107"/>
      <c r="E79" s="104"/>
      <c r="F79" s="2"/>
      <c r="G79" s="30"/>
      <c r="H79" s="2"/>
    </row>
    <row r="80" spans="1:14" s="70" customFormat="1" x14ac:dyDescent="0.2">
      <c r="A80" s="24"/>
      <c r="B80" s="1"/>
      <c r="C80" s="47" t="s">
        <v>932</v>
      </c>
      <c r="D80" s="111">
        <v>11.99</v>
      </c>
      <c r="E80" s="104"/>
      <c r="F80" s="2"/>
      <c r="G80" s="30"/>
      <c r="H80" s="110" t="s">
        <v>581</v>
      </c>
    </row>
    <row r="81" spans="1:14" s="70" customFormat="1" x14ac:dyDescent="0.2">
      <c r="A81" s="24"/>
      <c r="B81" s="1"/>
      <c r="C81" s="136" t="s">
        <v>1142</v>
      </c>
      <c r="D81" s="111">
        <v>635.29</v>
      </c>
      <c r="E81" s="104"/>
      <c r="F81" s="2"/>
      <c r="G81" s="30"/>
      <c r="H81" s="110" t="s">
        <v>581</v>
      </c>
    </row>
    <row r="82" spans="1:14" s="70" customFormat="1" x14ac:dyDescent="0.2">
      <c r="A82" s="24"/>
      <c r="B82" s="1"/>
      <c r="C82" s="78" t="s">
        <v>579</v>
      </c>
      <c r="D82" s="109">
        <f>D80+D81</f>
        <v>647.28</v>
      </c>
      <c r="E82" s="104"/>
      <c r="F82" s="2"/>
      <c r="G82" s="30"/>
    </row>
    <row r="83" spans="1:14" s="70" customFormat="1" x14ac:dyDescent="0.2">
      <c r="A83" s="24"/>
      <c r="B83" s="1"/>
      <c r="C83" s="105"/>
      <c r="D83" s="106"/>
      <c r="E83" s="104"/>
      <c r="F83" s="2"/>
      <c r="G83" s="30"/>
      <c r="I83" s="2"/>
      <c r="J83" s="114" t="s">
        <v>713</v>
      </c>
      <c r="K83" s="2"/>
      <c r="L83" s="2"/>
      <c r="M83" s="2"/>
    </row>
    <row r="84" spans="1:14" s="70" customFormat="1" x14ac:dyDescent="0.2">
      <c r="A84" s="24"/>
      <c r="B84" s="1"/>
      <c r="C84" s="78" t="s">
        <v>577</v>
      </c>
      <c r="D84" s="109">
        <f>D75+D82</f>
        <v>2953.34</v>
      </c>
      <c r="E84" s="104"/>
      <c r="F84" s="2"/>
      <c r="G84" s="30"/>
      <c r="I84" s="113"/>
      <c r="J84" s="113" t="s">
        <v>709</v>
      </c>
      <c r="K84" s="113" t="s">
        <v>710</v>
      </c>
      <c r="L84" s="113" t="s">
        <v>711</v>
      </c>
      <c r="M84" s="113" t="s">
        <v>712</v>
      </c>
    </row>
    <row r="85" spans="1:14" s="70" customFormat="1" x14ac:dyDescent="0.2">
      <c r="A85" s="24"/>
      <c r="B85" s="1"/>
      <c r="C85" s="56"/>
      <c r="D85" s="56"/>
      <c r="E85" s="104"/>
      <c r="F85" s="2"/>
      <c r="G85" s="30"/>
      <c r="I85" s="113" t="s">
        <v>706</v>
      </c>
      <c r="J85" s="115"/>
      <c r="K85" s="115">
        <v>968.99</v>
      </c>
      <c r="L85" s="115">
        <v>968.99</v>
      </c>
      <c r="M85" s="113">
        <f>+J85+L85-K85</f>
        <v>0</v>
      </c>
    </row>
    <row r="86" spans="1:14" s="70" customFormat="1" ht="38.25" x14ac:dyDescent="0.2">
      <c r="A86" s="24"/>
      <c r="B86" s="1"/>
      <c r="C86" s="79" t="str">
        <f>"Particulars ( 01-04-2021 to "&amp;TEXT(A5,"dd-mm-yyyy")&amp;" )"</f>
        <v>Particulars ( 01-04-2021 to 22-11-2023 )</v>
      </c>
      <c r="D86" s="80" t="s">
        <v>73</v>
      </c>
      <c r="E86" s="80" t="s">
        <v>74</v>
      </c>
      <c r="F86" s="81" t="s">
        <v>75</v>
      </c>
      <c r="G86" s="80" t="s">
        <v>76</v>
      </c>
      <c r="I86" s="113" t="s">
        <v>707</v>
      </c>
      <c r="J86" s="115">
        <v>183.1</v>
      </c>
      <c r="K86" s="115">
        <v>4038.91</v>
      </c>
      <c r="L86" s="115">
        <v>4132.1499999999996</v>
      </c>
      <c r="M86" s="113">
        <f>+J86+L86-K86</f>
        <v>276.34000000000015</v>
      </c>
    </row>
    <row r="87" spans="1:14" s="70" customFormat="1" x14ac:dyDescent="0.2">
      <c r="A87" s="24"/>
      <c r="B87" s="1"/>
      <c r="C87" s="50" t="s">
        <v>444</v>
      </c>
      <c r="D87" s="55">
        <f>+L85+L86+J86</f>
        <v>5284.24</v>
      </c>
      <c r="E87" s="55">
        <f>+K85+K86</f>
        <v>5007.8999999999996</v>
      </c>
      <c r="F87" s="55">
        <f>+D87-E87</f>
        <v>276.34000000000015</v>
      </c>
      <c r="G87" s="55">
        <f>1500-F87</f>
        <v>1223.6599999999999</v>
      </c>
      <c r="I87" s="113" t="s">
        <v>708</v>
      </c>
      <c r="J87" s="115">
        <v>1371.02</v>
      </c>
      <c r="K87" s="115">
        <v>15123.23</v>
      </c>
      <c r="L87" s="115">
        <v>15307.54</v>
      </c>
      <c r="M87" s="113">
        <f>+J87+L87-K87</f>
        <v>1555.3300000000017</v>
      </c>
    </row>
    <row r="88" spans="1:14" s="70" customFormat="1" ht="12.75" customHeight="1" x14ac:dyDescent="0.2">
      <c r="A88" s="24"/>
      <c r="B88" s="1"/>
      <c r="C88" s="50" t="s">
        <v>71</v>
      </c>
      <c r="D88" s="55">
        <f>+J87+L87</f>
        <v>16678.560000000001</v>
      </c>
      <c r="E88" s="55">
        <f>+K87</f>
        <v>15123.23</v>
      </c>
      <c r="F88" s="55">
        <f>+D88-E88</f>
        <v>1555.3300000000017</v>
      </c>
      <c r="G88" s="55">
        <f>1500+700-F88</f>
        <v>644.66999999999825</v>
      </c>
      <c r="I88" s="2"/>
      <c r="J88" s="118">
        <f>SUM(J85:J87)</f>
        <v>1554.12</v>
      </c>
      <c r="K88" s="118">
        <f>SUM(K85:K87)</f>
        <v>20131.129999999997</v>
      </c>
      <c r="L88" s="118">
        <f>SUM(L85:L87)</f>
        <v>20408.68</v>
      </c>
      <c r="M88" s="118">
        <f>SUM(M85:M87)</f>
        <v>1831.6700000000019</v>
      </c>
    </row>
    <row r="89" spans="1:14" s="70" customFormat="1" ht="12.75" customHeight="1" x14ac:dyDescent="0.2">
      <c r="A89" s="24"/>
      <c r="B89" s="1"/>
      <c r="C89" s="14"/>
      <c r="D89" s="56"/>
      <c r="E89" s="13"/>
      <c r="F89" s="2"/>
      <c r="G89" s="30"/>
    </row>
    <row r="90" spans="1:14" s="70" customFormat="1" ht="12.75" customHeight="1" x14ac:dyDescent="0.2">
      <c r="A90" s="215" t="s">
        <v>80</v>
      </c>
      <c r="B90" s="216"/>
      <c r="C90" s="216"/>
      <c r="D90" s="217"/>
      <c r="E90" s="69"/>
      <c r="G90" s="30"/>
    </row>
    <row r="91" spans="1:14" s="70" customFormat="1" ht="12.75" customHeight="1" x14ac:dyDescent="0.2">
      <c r="A91" s="71" t="s">
        <v>81</v>
      </c>
      <c r="B91" s="71"/>
      <c r="C91" s="72" t="s">
        <v>82</v>
      </c>
      <c r="D91" s="73" t="s">
        <v>83</v>
      </c>
      <c r="E91" s="69"/>
      <c r="G91" s="30"/>
    </row>
    <row r="92" spans="1:14" s="70" customFormat="1" ht="12.75" customHeight="1" x14ac:dyDescent="0.2">
      <c r="A92" s="87">
        <v>45232</v>
      </c>
      <c r="B92" s="120" t="s">
        <v>6</v>
      </c>
      <c r="C92" s="75" t="s">
        <v>767</v>
      </c>
      <c r="D92" s="88">
        <v>515100</v>
      </c>
      <c r="E92" s="2"/>
      <c r="F92" s="2"/>
      <c r="G92" s="30"/>
      <c r="H92" s="2"/>
      <c r="I92" s="2"/>
      <c r="J92" s="2"/>
      <c r="K92" s="2"/>
      <c r="L92" s="41"/>
      <c r="M92" s="42"/>
      <c r="N92" s="2"/>
    </row>
    <row r="93" spans="1:14" s="70" customFormat="1" ht="12.75" customHeight="1" x14ac:dyDescent="0.2">
      <c r="A93" s="87">
        <v>45232</v>
      </c>
      <c r="B93" s="120" t="s">
        <v>6</v>
      </c>
      <c r="C93" s="75" t="s">
        <v>566</v>
      </c>
      <c r="D93" s="88">
        <v>52450</v>
      </c>
      <c r="E93" s="2"/>
      <c r="F93" s="2"/>
      <c r="G93" s="30"/>
      <c r="H93" s="2"/>
      <c r="I93" s="2"/>
      <c r="J93" s="2"/>
      <c r="K93" s="2"/>
      <c r="L93" s="41"/>
      <c r="M93" s="42"/>
      <c r="N93" s="2"/>
    </row>
    <row r="94" spans="1:14" s="70" customFormat="1" ht="12.75" customHeight="1" x14ac:dyDescent="0.2">
      <c r="A94" s="87">
        <v>45233</v>
      </c>
      <c r="B94" s="120" t="s">
        <v>6</v>
      </c>
      <c r="C94" s="75" t="s">
        <v>1084</v>
      </c>
      <c r="D94" s="88">
        <v>1833799</v>
      </c>
      <c r="E94" s="2"/>
      <c r="F94" s="2"/>
      <c r="G94" s="30"/>
      <c r="H94" s="2"/>
      <c r="I94" s="2"/>
      <c r="J94" s="2"/>
      <c r="K94" s="2"/>
      <c r="L94" s="41"/>
      <c r="M94" s="42"/>
      <c r="N94" s="2"/>
    </row>
    <row r="95" spans="1:14" s="70" customFormat="1" ht="12.75" customHeight="1" x14ac:dyDescent="0.2">
      <c r="A95" s="87">
        <v>45233</v>
      </c>
      <c r="B95" s="120" t="s">
        <v>6</v>
      </c>
      <c r="C95" s="75" t="s">
        <v>909</v>
      </c>
      <c r="D95" s="88">
        <v>366980</v>
      </c>
      <c r="E95" s="2"/>
      <c r="F95" s="2"/>
      <c r="G95" s="30"/>
      <c r="H95" s="2"/>
      <c r="I95" s="2"/>
      <c r="J95" s="2"/>
      <c r="K95" s="2"/>
      <c r="L95" s="41"/>
      <c r="M95" s="42"/>
      <c r="N95" s="2"/>
    </row>
    <row r="96" spans="1:14" s="70" customFormat="1" ht="12.75" customHeight="1" x14ac:dyDescent="0.2">
      <c r="A96" s="87">
        <v>45233</v>
      </c>
      <c r="B96" s="120" t="s">
        <v>6</v>
      </c>
      <c r="C96" s="75" t="s">
        <v>909</v>
      </c>
      <c r="D96" s="88">
        <v>30038</v>
      </c>
      <c r="E96" s="2"/>
      <c r="F96" s="2"/>
      <c r="G96" s="30"/>
      <c r="H96" s="2"/>
      <c r="I96" s="2"/>
      <c r="J96" s="2"/>
      <c r="K96" s="2"/>
      <c r="L96" s="41"/>
      <c r="M96" s="42"/>
      <c r="N96" s="2"/>
    </row>
    <row r="97" spans="1:14" s="70" customFormat="1" ht="12.75" customHeight="1" x14ac:dyDescent="0.2">
      <c r="A97" s="87">
        <v>45237</v>
      </c>
      <c r="B97" s="120" t="s">
        <v>6</v>
      </c>
      <c r="C97" s="75" t="s">
        <v>888</v>
      </c>
      <c r="D97" s="88">
        <v>14999721.949999999</v>
      </c>
      <c r="E97" s="2"/>
      <c r="F97" s="2"/>
      <c r="G97" s="30"/>
      <c r="H97" s="2"/>
      <c r="I97" s="2"/>
      <c r="J97" s="2"/>
      <c r="K97" s="2"/>
      <c r="L97" s="41"/>
      <c r="M97" s="42"/>
      <c r="N97" s="2"/>
    </row>
    <row r="98" spans="1:14" s="70" customFormat="1" ht="12.75" customHeight="1" x14ac:dyDescent="0.2">
      <c r="A98" s="87">
        <v>45238</v>
      </c>
      <c r="B98" s="120" t="s">
        <v>6</v>
      </c>
      <c r="C98" s="75" t="s">
        <v>606</v>
      </c>
      <c r="D98" s="88">
        <v>1098495</v>
      </c>
      <c r="E98" s="2"/>
      <c r="F98" s="2"/>
      <c r="G98" s="30"/>
      <c r="H98" s="2"/>
      <c r="I98" s="2"/>
      <c r="J98" s="2"/>
      <c r="K98" s="2"/>
      <c r="L98" s="41"/>
      <c r="M98" s="42"/>
      <c r="N98" s="2"/>
    </row>
    <row r="99" spans="1:14" s="70" customFormat="1" ht="12.75" customHeight="1" x14ac:dyDescent="0.2">
      <c r="A99" s="87">
        <v>45239</v>
      </c>
      <c r="B99" s="120" t="s">
        <v>6</v>
      </c>
      <c r="C99" s="75" t="s">
        <v>566</v>
      </c>
      <c r="D99" s="88">
        <f>183507+63254</f>
        <v>246761</v>
      </c>
      <c r="E99" s="2"/>
      <c r="F99" s="2"/>
      <c r="G99" s="30"/>
      <c r="H99" s="2"/>
      <c r="I99" s="2"/>
      <c r="J99" s="2"/>
      <c r="K99" s="2"/>
      <c r="L99" s="41"/>
      <c r="M99" s="42"/>
      <c r="N99" s="2"/>
    </row>
    <row r="100" spans="1:14" s="70" customFormat="1" ht="12.75" customHeight="1" x14ac:dyDescent="0.2">
      <c r="A100" s="87">
        <v>45240</v>
      </c>
      <c r="B100" s="120" t="s">
        <v>6</v>
      </c>
      <c r="C100" s="75" t="s">
        <v>767</v>
      </c>
      <c r="D100" s="88">
        <v>287037</v>
      </c>
      <c r="E100" s="2"/>
      <c r="F100" s="2"/>
      <c r="G100" s="30"/>
      <c r="H100" s="2"/>
      <c r="I100" s="2"/>
      <c r="J100" s="2"/>
      <c r="K100" s="2"/>
      <c r="L100" s="41"/>
      <c r="M100" s="42"/>
      <c r="N100" s="2"/>
    </row>
    <row r="101" spans="1:14" s="70" customFormat="1" ht="12.75" customHeight="1" x14ac:dyDescent="0.2">
      <c r="A101" s="87">
        <v>45240</v>
      </c>
      <c r="B101" s="120" t="s">
        <v>6</v>
      </c>
      <c r="C101" s="75" t="s">
        <v>1767</v>
      </c>
      <c r="D101" s="88">
        <v>1000000</v>
      </c>
      <c r="E101" s="2"/>
      <c r="F101" s="2"/>
      <c r="G101" s="30"/>
      <c r="H101" s="2"/>
      <c r="I101" s="2"/>
      <c r="J101" s="2"/>
      <c r="K101" s="2"/>
      <c r="L101" s="41"/>
      <c r="M101" s="42"/>
      <c r="N101" s="2"/>
    </row>
    <row r="102" spans="1:14" s="70" customFormat="1" ht="12.75" customHeight="1" x14ac:dyDescent="0.2">
      <c r="A102" s="87">
        <v>45248</v>
      </c>
      <c r="B102" s="120" t="s">
        <v>6</v>
      </c>
      <c r="C102" s="75" t="s">
        <v>1084</v>
      </c>
      <c r="D102" s="88">
        <v>5733144</v>
      </c>
      <c r="E102" s="2"/>
      <c r="F102" s="2"/>
      <c r="G102" s="30"/>
      <c r="H102" s="2"/>
      <c r="I102" s="2"/>
      <c r="J102" s="2"/>
      <c r="K102" s="2"/>
      <c r="L102" s="41"/>
      <c r="M102" s="42"/>
      <c r="N102" s="2"/>
    </row>
    <row r="103" spans="1:14" s="2" customFormat="1" x14ac:dyDescent="0.2">
      <c r="A103" s="87"/>
      <c r="B103" s="74"/>
      <c r="C103" s="75"/>
      <c r="D103" s="51">
        <f>SUM(D92:D102)</f>
        <v>26163525.949999999</v>
      </c>
      <c r="F103" s="2" t="s">
        <v>396</v>
      </c>
      <c r="G103" s="1"/>
    </row>
    <row r="104" spans="1:14" s="2" customFormat="1" x14ac:dyDescent="0.2">
      <c r="A104" s="24"/>
      <c r="B104" s="1"/>
      <c r="C104" s="14"/>
      <c r="D104" s="56"/>
      <c r="E104" s="13"/>
      <c r="G104" s="1"/>
    </row>
    <row r="105" spans="1:14" s="2" customFormat="1" x14ac:dyDescent="0.2">
      <c r="A105" s="24"/>
      <c r="B105" s="1"/>
      <c r="C105" s="218" t="s">
        <v>77</v>
      </c>
      <c r="D105" s="219"/>
      <c r="E105" s="219"/>
      <c r="F105" s="220"/>
      <c r="H105" s="2" t="s">
        <v>396</v>
      </c>
    </row>
    <row r="106" spans="1:14" s="2" customFormat="1" x14ac:dyDescent="0.2">
      <c r="A106" s="24"/>
      <c r="B106" s="1"/>
      <c r="C106" s="50"/>
      <c r="D106" s="57" t="s">
        <v>78</v>
      </c>
      <c r="E106" s="58" t="s">
        <v>79</v>
      </c>
      <c r="F106" s="57" t="s">
        <v>72</v>
      </c>
      <c r="H106" s="2" t="s">
        <v>396</v>
      </c>
    </row>
    <row r="107" spans="1:14" s="2" customFormat="1" x14ac:dyDescent="0.2">
      <c r="A107" s="24"/>
      <c r="B107" s="1"/>
      <c r="C107" s="59" t="str">
        <f>"01-11-2023 to "&amp;TEXT(A5-2,"dd-mm-yyyy")</f>
        <v>01-11-2023 to 20-11-2023</v>
      </c>
      <c r="D107" s="60">
        <v>1449.41</v>
      </c>
      <c r="E107" s="60">
        <v>305.04000000000002</v>
      </c>
      <c r="F107" s="61">
        <f>SUM(D107:E107)</f>
        <v>1754.45</v>
      </c>
    </row>
    <row r="108" spans="1:14" s="2" customFormat="1" x14ac:dyDescent="0.2">
      <c r="A108" s="24"/>
      <c r="B108" s="1"/>
      <c r="C108" s="62" t="str">
        <f>TEXT(A5-1,"dd-mm-yyyy")</f>
        <v>21-11-2023</v>
      </c>
      <c r="D108" s="60">
        <v>83.48</v>
      </c>
      <c r="E108" s="60">
        <v>12.15</v>
      </c>
      <c r="F108" s="61">
        <f>SUM(D108:E108)</f>
        <v>95.63000000000001</v>
      </c>
      <c r="G108" s="1"/>
      <c r="H108" s="53"/>
    </row>
    <row r="109" spans="1:14" s="2" customFormat="1" ht="13.5" thickBot="1" x14ac:dyDescent="0.25">
      <c r="A109" s="24"/>
      <c r="B109" s="1"/>
      <c r="C109" s="63" t="str">
        <f>"01-11-2023 to "&amp;TEXT(A5-1,"dd-mm-yyyy")</f>
        <v>01-11-2023 to 21-11-2023</v>
      </c>
      <c r="D109" s="64">
        <f>SUM(D107:D108)</f>
        <v>1532.89</v>
      </c>
      <c r="E109" s="64">
        <f>SUM(E107:E108)</f>
        <v>317.19</v>
      </c>
      <c r="F109" s="64">
        <f>SUM(F107:F108)</f>
        <v>1850.0800000000002</v>
      </c>
      <c r="G109" s="1"/>
      <c r="H109" s="53"/>
    </row>
    <row r="110" spans="1:14" s="2" customFormat="1" ht="13.5" thickTop="1" x14ac:dyDescent="0.2">
      <c r="A110" s="24"/>
      <c r="B110" s="1"/>
      <c r="C110" s="62"/>
      <c r="D110" s="65"/>
      <c r="E110" s="66"/>
      <c r="F110" s="67"/>
      <c r="L110" s="1"/>
      <c r="M110" s="1"/>
    </row>
    <row r="111" spans="1:14" s="2" customFormat="1" x14ac:dyDescent="0.2">
      <c r="A111" s="24"/>
      <c r="B111" s="1"/>
      <c r="C111" s="62" t="str">
        <f>"01-04-2023 to " &amp;C108</f>
        <v>01-04-2023 to 21-11-2023</v>
      </c>
      <c r="D111" s="68">
        <f>+D109+29859.78</f>
        <v>31392.67</v>
      </c>
      <c r="E111" s="68">
        <f>+E109+2548.34</f>
        <v>2865.53</v>
      </c>
      <c r="F111" s="68">
        <f>+F109+32392.07</f>
        <v>34242.15</v>
      </c>
      <c r="G111" s="1"/>
      <c r="L111" s="1"/>
      <c r="M111" s="1"/>
    </row>
    <row r="112" spans="1:14" s="2" customFormat="1" x14ac:dyDescent="0.2">
      <c r="A112" s="24"/>
      <c r="B112" s="1"/>
      <c r="C112" s="52"/>
      <c r="D112" s="85"/>
      <c r="E112" s="53"/>
      <c r="F112" s="53"/>
      <c r="G112" s="1"/>
      <c r="L112" s="1"/>
      <c r="M112" s="1"/>
    </row>
    <row r="113" spans="1:13" s="2" customFormat="1" x14ac:dyDescent="0.2">
      <c r="A113" s="24"/>
      <c r="B113" s="1"/>
      <c r="C113" s="52"/>
      <c r="D113" s="85"/>
      <c r="E113" s="53"/>
      <c r="F113" s="53"/>
      <c r="G113" s="1"/>
      <c r="L113" s="1"/>
      <c r="M113" s="1"/>
    </row>
    <row r="114" spans="1:13" s="2" customFormat="1" x14ac:dyDescent="0.2">
      <c r="A114" s="24"/>
      <c r="B114" s="1"/>
      <c r="C114" s="52"/>
      <c r="D114" s="85"/>
      <c r="E114" s="53"/>
      <c r="F114" s="53"/>
      <c r="G114" s="1"/>
      <c r="L114" s="1"/>
      <c r="M114" s="1"/>
    </row>
    <row r="115" spans="1:13" s="2" customFormat="1" x14ac:dyDescent="0.2">
      <c r="A115" s="24"/>
      <c r="B115" s="1"/>
      <c r="C115" s="52"/>
      <c r="D115" s="85"/>
      <c r="E115" s="53"/>
      <c r="F115" s="53"/>
      <c r="G115" s="1"/>
      <c r="L115" s="1"/>
      <c r="M115" s="1"/>
    </row>
    <row r="116" spans="1:13" s="2" customFormat="1" x14ac:dyDescent="0.2">
      <c r="A116" s="24"/>
      <c r="B116" s="1"/>
      <c r="C116" s="14"/>
      <c r="D116" s="25">
        <f>SUM(D113:D115)</f>
        <v>0</v>
      </c>
      <c r="E116" s="2">
        <f>SUM(E113:E115)</f>
        <v>0</v>
      </c>
      <c r="G116" s="1"/>
      <c r="L116" s="1"/>
      <c r="M116" s="1"/>
    </row>
    <row r="117" spans="1:13" s="2" customFormat="1" x14ac:dyDescent="0.2">
      <c r="A117" s="24"/>
      <c r="B117" s="1"/>
      <c r="C117" s="14"/>
      <c r="D117" s="25"/>
      <c r="G117" s="1"/>
      <c r="L117" s="1"/>
      <c r="M117" s="1"/>
    </row>
    <row r="118" spans="1:13" s="2" customFormat="1" x14ac:dyDescent="0.2">
      <c r="A118" s="24"/>
      <c r="B118" s="1"/>
      <c r="C118" s="14"/>
      <c r="D118" s="25"/>
      <c r="G118" s="1"/>
      <c r="L118" s="1"/>
      <c r="M118" s="1"/>
    </row>
    <row r="119" spans="1:13" s="2" customFormat="1" x14ac:dyDescent="0.2">
      <c r="A119" s="24"/>
      <c r="B119" s="1"/>
      <c r="C119" s="14"/>
      <c r="D119" s="25"/>
      <c r="G119" s="1"/>
      <c r="L119" s="1"/>
      <c r="M119" s="1"/>
    </row>
    <row r="120" spans="1:13" s="2" customFormat="1" x14ac:dyDescent="0.2">
      <c r="A120" s="24"/>
      <c r="B120" s="1"/>
      <c r="C120" s="14"/>
      <c r="D120" s="25"/>
      <c r="G120" s="1"/>
      <c r="L120" s="1"/>
      <c r="M120" s="1"/>
    </row>
    <row r="121" spans="1:13" s="2" customFormat="1" x14ac:dyDescent="0.2">
      <c r="A121" s="24"/>
      <c r="B121" s="1"/>
      <c r="C121" s="14"/>
      <c r="D121" s="25"/>
      <c r="G121" s="1"/>
      <c r="L121" s="1"/>
      <c r="M121" s="1"/>
    </row>
    <row r="122" spans="1:13" s="2" customFormat="1" x14ac:dyDescent="0.2">
      <c r="A122" s="24"/>
      <c r="B122" s="1"/>
      <c r="C122" s="14"/>
      <c r="D122" s="25"/>
      <c r="G122" s="1"/>
      <c r="L122" s="1"/>
      <c r="M122" s="1"/>
    </row>
    <row r="123" spans="1:13" s="2" customFormat="1" x14ac:dyDescent="0.2">
      <c r="A123" s="24"/>
      <c r="B123" s="1"/>
      <c r="C123" s="14"/>
      <c r="D123" s="25"/>
      <c r="G123" s="1"/>
      <c r="L123" s="1"/>
      <c r="M123" s="1"/>
    </row>
    <row r="124" spans="1:13" s="2" customFormat="1" x14ac:dyDescent="0.2">
      <c r="A124" s="24"/>
      <c r="B124" s="1"/>
      <c r="C124" s="14"/>
      <c r="D124" s="25"/>
      <c r="G124" s="1"/>
      <c r="L124" s="1"/>
      <c r="M124" s="1"/>
    </row>
    <row r="125" spans="1:13" s="2" customFormat="1" x14ac:dyDescent="0.2">
      <c r="A125" s="24"/>
      <c r="B125" s="1"/>
      <c r="C125" s="14"/>
      <c r="D125" s="25"/>
      <c r="G125" s="1"/>
      <c r="L125" s="1"/>
      <c r="M125" s="1"/>
    </row>
    <row r="126" spans="1:13" s="2" customFormat="1" x14ac:dyDescent="0.2">
      <c r="A126" s="24"/>
      <c r="B126" s="1"/>
      <c r="C126" s="14"/>
      <c r="D126" s="25"/>
      <c r="G126" s="1"/>
      <c r="L126" s="1"/>
      <c r="M126" s="1"/>
    </row>
    <row r="127" spans="1:13" s="2" customFormat="1" x14ac:dyDescent="0.2">
      <c r="A127" s="24"/>
      <c r="B127" s="1"/>
      <c r="C127" s="14"/>
      <c r="D127" s="25"/>
      <c r="G127" s="1"/>
      <c r="L127" s="1"/>
      <c r="M127" s="1"/>
    </row>
    <row r="128" spans="1:13" s="2" customFormat="1" x14ac:dyDescent="0.2">
      <c r="A128" s="24"/>
      <c r="B128" s="1"/>
      <c r="C128" s="14"/>
      <c r="D128" s="25"/>
      <c r="G128" s="1"/>
      <c r="L128" s="1"/>
      <c r="M128" s="1"/>
    </row>
    <row r="129" spans="1:14" s="2" customFormat="1" x14ac:dyDescent="0.2">
      <c r="A129" s="24"/>
      <c r="B129" s="1"/>
      <c r="C129" s="14"/>
      <c r="D129" s="25"/>
      <c r="G129" s="1"/>
      <c r="L129" s="1"/>
      <c r="M129" s="1"/>
    </row>
    <row r="130" spans="1:14" s="2" customFormat="1" x14ac:dyDescent="0.2">
      <c r="A130" s="24"/>
      <c r="B130" s="1"/>
      <c r="C130" s="14"/>
      <c r="D130" s="25"/>
      <c r="G130" s="1"/>
      <c r="I130" s="1"/>
      <c r="J130" s="1"/>
      <c r="K130" s="1"/>
      <c r="L130" s="1"/>
      <c r="M130" s="1"/>
    </row>
    <row r="131" spans="1:14" s="2" customFormat="1" x14ac:dyDescent="0.2">
      <c r="A131" s="24"/>
      <c r="B131" s="1"/>
      <c r="C131" s="14"/>
      <c r="D131" s="25"/>
      <c r="G131" s="1"/>
    </row>
    <row r="132" spans="1:14" s="2" customFormat="1" x14ac:dyDescent="0.2">
      <c r="A132" s="24"/>
      <c r="B132" s="1"/>
      <c r="C132" s="14"/>
      <c r="D132" s="25"/>
      <c r="G132" s="1"/>
      <c r="I132" s="1"/>
      <c r="J132" s="1"/>
      <c r="K132" s="1"/>
      <c r="L132" s="1"/>
      <c r="M132" s="1"/>
    </row>
    <row r="133" spans="1:14" s="2" customFormat="1" x14ac:dyDescent="0.2">
      <c r="A133" s="24"/>
      <c r="B133" s="1"/>
      <c r="C133" s="14"/>
      <c r="D133" s="25"/>
      <c r="G133" s="54"/>
      <c r="I133" s="1"/>
      <c r="J133" s="1"/>
      <c r="K133" s="1"/>
      <c r="L133" s="1"/>
      <c r="M133" s="1"/>
    </row>
    <row r="134" spans="1:14" s="2" customFormat="1" x14ac:dyDescent="0.2">
      <c r="A134" s="24"/>
      <c r="B134" s="1"/>
      <c r="C134" s="14"/>
      <c r="D134" s="25"/>
      <c r="G134" s="54"/>
      <c r="I134" s="1"/>
      <c r="J134" s="1"/>
      <c r="K134" s="1"/>
      <c r="L134" s="1"/>
      <c r="M134" s="1"/>
    </row>
    <row r="135" spans="1:14" s="2" customFormat="1" x14ac:dyDescent="0.2">
      <c r="A135" s="24"/>
      <c r="B135" s="1"/>
      <c r="C135" s="14"/>
      <c r="D135" s="25"/>
      <c r="G135" s="54"/>
      <c r="I135" s="1"/>
      <c r="J135" s="1"/>
      <c r="K135" s="1"/>
      <c r="L135" s="1"/>
      <c r="M135" s="1"/>
    </row>
    <row r="136" spans="1:14" s="2" customFormat="1" x14ac:dyDescent="0.2">
      <c r="A136" s="24"/>
      <c r="B136" s="1"/>
      <c r="C136" s="14"/>
      <c r="D136" s="25"/>
      <c r="G136" s="54"/>
      <c r="H136" s="2" t="s">
        <v>396</v>
      </c>
      <c r="I136" s="1"/>
      <c r="J136" s="1"/>
      <c r="K136" s="1"/>
      <c r="L136" s="1"/>
      <c r="M136" s="1"/>
      <c r="N136" s="1"/>
    </row>
    <row r="137" spans="1:14" s="2" customFormat="1" x14ac:dyDescent="0.2">
      <c r="A137" s="24"/>
      <c r="B137" s="1"/>
      <c r="C137" s="14"/>
      <c r="D137" s="25"/>
      <c r="G137" s="54"/>
      <c r="H137" s="53"/>
    </row>
    <row r="138" spans="1:14" s="2" customFormat="1" x14ac:dyDescent="0.2">
      <c r="A138" s="24"/>
      <c r="B138" s="1"/>
      <c r="C138" s="14"/>
      <c r="D138" s="25"/>
      <c r="G138" s="54"/>
      <c r="H138" s="53" t="s">
        <v>396</v>
      </c>
      <c r="I138" s="1"/>
      <c r="J138" s="1"/>
      <c r="K138" s="1"/>
      <c r="L138" s="1"/>
      <c r="M138" s="1"/>
      <c r="N138" s="1"/>
    </row>
    <row r="139" spans="1:14" x14ac:dyDescent="0.2">
      <c r="G139" s="54"/>
      <c r="H139" s="53" t="s">
        <v>396</v>
      </c>
      <c r="J139" s="42"/>
    </row>
    <row r="140" spans="1:14" s="2" customFormat="1" x14ac:dyDescent="0.2">
      <c r="A140" s="24"/>
      <c r="B140" s="1"/>
      <c r="C140" s="14"/>
      <c r="D140" s="25"/>
      <c r="G140" s="54"/>
      <c r="H140" s="53"/>
      <c r="I140" s="101"/>
      <c r="J140" s="1"/>
      <c r="K140" s="1"/>
      <c r="L140" s="1"/>
      <c r="M140" s="1"/>
      <c r="N140" s="1"/>
    </row>
    <row r="141" spans="1:14" x14ac:dyDescent="0.2">
      <c r="G141" s="54"/>
      <c r="H141" s="53"/>
    </row>
    <row r="142" spans="1:14" x14ac:dyDescent="0.2">
      <c r="G142" s="54"/>
      <c r="H142" s="53"/>
    </row>
    <row r="143" spans="1:14" x14ac:dyDescent="0.2">
      <c r="G143" s="54"/>
      <c r="H143" s="53"/>
    </row>
  </sheetData>
  <sheetProtection insertRows="0"/>
  <mergeCells count="6">
    <mergeCell ref="C105:F105"/>
    <mergeCell ref="A1:G1"/>
    <mergeCell ref="A3:F3"/>
    <mergeCell ref="A9:F9"/>
    <mergeCell ref="A30:F30"/>
    <mergeCell ref="A90:D90"/>
  </mergeCells>
  <conditionalFormatting sqref="G87:G88">
    <cfRule type="cellIs" dxfId="213" priority="1" operator="lessThan">
      <formula>0</formula>
    </cfRule>
  </conditionalFormatting>
  <conditionalFormatting sqref="C32">
    <cfRule type="duplicateValues" dxfId="212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800-000000000000}">
  <sheetPr codeName="Sheet480">
    <pageSetUpPr fitToPage="1"/>
  </sheetPr>
  <dimension ref="A1:N130"/>
  <sheetViews>
    <sheetView topLeftCell="A20" zoomScaleNormal="100" workbookViewId="0">
      <selection activeCell="E40" sqref="E40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1" ht="20.25" customHeight="1" x14ac:dyDescent="0.4">
      <c r="A1" s="212" t="s">
        <v>1799</v>
      </c>
      <c r="B1" s="212"/>
      <c r="C1" s="212"/>
      <c r="D1" s="212"/>
      <c r="E1" s="212"/>
      <c r="F1" s="212"/>
      <c r="G1" s="212"/>
      <c r="H1" s="112"/>
      <c r="I1" s="112"/>
    </row>
    <row r="2" spans="1:11" ht="12.75" customHeight="1" x14ac:dyDescent="0.4">
      <c r="H2" s="112"/>
      <c r="I2" s="112"/>
    </row>
    <row r="3" spans="1:11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1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1" s="2" customFormat="1" ht="14.25" customHeight="1" x14ac:dyDescent="0.4">
      <c r="A5" s="89">
        <v>45253</v>
      </c>
      <c r="B5" s="9" t="s">
        <v>6</v>
      </c>
      <c r="C5" s="10" t="s">
        <v>7</v>
      </c>
      <c r="D5" s="11"/>
      <c r="E5" s="12">
        <v>700315.42</v>
      </c>
      <c r="F5" s="12"/>
      <c r="G5" s="1"/>
      <c r="H5" s="112"/>
      <c r="I5" s="112"/>
    </row>
    <row r="6" spans="1:11" s="2" customFormat="1" ht="12.75" customHeight="1" x14ac:dyDescent="0.4">
      <c r="D6" s="15" t="s">
        <v>8</v>
      </c>
      <c r="E6" s="16">
        <f>SUM(E5:E5)</f>
        <v>700315.42</v>
      </c>
      <c r="F6" s="16">
        <f>+F5</f>
        <v>0</v>
      </c>
      <c r="G6" s="1"/>
      <c r="H6" s="112"/>
      <c r="I6" s="112"/>
    </row>
    <row r="7" spans="1:11" s="2" customFormat="1" ht="12.75" customHeight="1" x14ac:dyDescent="0.4">
      <c r="A7" s="17"/>
      <c r="B7" s="18"/>
      <c r="C7" s="19" t="s">
        <v>9</v>
      </c>
      <c r="D7" s="20"/>
      <c r="E7" s="21">
        <f>+E6-F6</f>
        <v>700315.42</v>
      </c>
      <c r="F7" s="22"/>
      <c r="G7" s="23"/>
      <c r="H7" s="112"/>
      <c r="I7" s="112"/>
      <c r="J7" s="13"/>
    </row>
    <row r="8" spans="1:11" ht="12.75" customHeight="1" x14ac:dyDescent="0.4">
      <c r="H8" s="112"/>
      <c r="I8" s="112"/>
    </row>
    <row r="9" spans="1:11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69">
        <f>90000000-60000000</f>
        <v>30000000</v>
      </c>
      <c r="J9" s="169" t="s">
        <v>1508</v>
      </c>
    </row>
    <row r="10" spans="1:11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69">
        <v>28513988.550000001</v>
      </c>
      <c r="J10" s="169" t="s">
        <v>1509</v>
      </c>
      <c r="K10" s="124"/>
    </row>
    <row r="11" spans="1:11" s="2" customFormat="1" ht="14.25" customHeight="1" x14ac:dyDescent="0.2">
      <c r="A11" s="89">
        <v>45253</v>
      </c>
      <c r="B11" s="9" t="s">
        <v>6</v>
      </c>
      <c r="C11" s="10" t="s">
        <v>7</v>
      </c>
      <c r="D11" s="11"/>
      <c r="F11" s="12">
        <v>23675773.550000001</v>
      </c>
      <c r="G11" s="1"/>
      <c r="H11" s="130" t="s">
        <v>396</v>
      </c>
      <c r="I11" s="169">
        <f>+I9-I10</f>
        <v>1486011.4499999993</v>
      </c>
      <c r="J11" s="169" t="s">
        <v>712</v>
      </c>
      <c r="K11" s="165" t="s">
        <v>1512</v>
      </c>
    </row>
    <row r="12" spans="1:11" s="2" customFormat="1" ht="14.25" customHeight="1" x14ac:dyDescent="0.2">
      <c r="A12" s="89">
        <v>45253</v>
      </c>
      <c r="B12" s="9" t="s">
        <v>6</v>
      </c>
      <c r="C12" s="76" t="s">
        <v>220</v>
      </c>
      <c r="D12" s="11" t="s">
        <v>1793</v>
      </c>
      <c r="E12" s="2">
        <v>1615809.41</v>
      </c>
      <c r="F12" s="12"/>
      <c r="G12" s="1"/>
      <c r="H12" s="130"/>
      <c r="I12" s="169"/>
      <c r="J12" s="169"/>
      <c r="K12" s="165"/>
    </row>
    <row r="13" spans="1:11" s="2" customFormat="1" ht="14.25" customHeight="1" x14ac:dyDescent="0.2">
      <c r="A13" s="89">
        <v>45253</v>
      </c>
      <c r="B13" s="9" t="s">
        <v>6</v>
      </c>
      <c r="C13" s="76" t="s">
        <v>1795</v>
      </c>
      <c r="D13" s="11" t="s">
        <v>1800</v>
      </c>
      <c r="E13" s="2">
        <v>9524</v>
      </c>
      <c r="F13" s="12"/>
      <c r="G13" s="1"/>
      <c r="H13" s="130"/>
      <c r="I13" s="169"/>
      <c r="J13" s="169"/>
      <c r="K13" s="165"/>
    </row>
    <row r="14" spans="1:11" s="2" customFormat="1" ht="14.25" customHeight="1" x14ac:dyDescent="0.2">
      <c r="A14" s="89">
        <v>45253</v>
      </c>
      <c r="B14" s="9" t="s">
        <v>6</v>
      </c>
      <c r="C14" s="76" t="s">
        <v>15</v>
      </c>
      <c r="D14" s="11" t="s">
        <v>1793</v>
      </c>
      <c r="E14" s="2">
        <f>5703.21+24653.7</f>
        <v>30356.91</v>
      </c>
      <c r="F14" s="12"/>
      <c r="G14" s="1"/>
      <c r="H14" s="130"/>
      <c r="I14" s="169"/>
      <c r="J14" s="169"/>
      <c r="K14" s="165"/>
    </row>
    <row r="15" spans="1:11" s="2" customFormat="1" ht="14.25" customHeight="1" x14ac:dyDescent="0.2">
      <c r="A15" s="89">
        <v>45253</v>
      </c>
      <c r="B15" s="9" t="s">
        <v>6</v>
      </c>
      <c r="C15" s="76" t="s">
        <v>400</v>
      </c>
      <c r="D15" s="11" t="s">
        <v>1793</v>
      </c>
      <c r="E15" s="2">
        <v>1000000</v>
      </c>
      <c r="F15" s="12"/>
      <c r="G15" s="1"/>
      <c r="H15" s="130"/>
      <c r="I15" s="169"/>
      <c r="J15" s="169"/>
      <c r="K15" s="165"/>
    </row>
    <row r="16" spans="1:11" s="2" customFormat="1" ht="14.25" customHeight="1" x14ac:dyDescent="0.2">
      <c r="A16" s="89">
        <v>45253</v>
      </c>
      <c r="B16" s="9" t="s">
        <v>11</v>
      </c>
      <c r="C16" s="76" t="s">
        <v>1462</v>
      </c>
      <c r="D16" s="11" t="s">
        <v>29</v>
      </c>
      <c r="F16" s="12">
        <v>3779474.07</v>
      </c>
      <c r="G16" s="1"/>
      <c r="H16" s="130"/>
      <c r="I16" s="169"/>
      <c r="J16" s="169"/>
      <c r="K16" s="165"/>
    </row>
    <row r="17" spans="1:14" s="2" customFormat="1" ht="14.25" customHeight="1" x14ac:dyDescent="0.2">
      <c r="D17" s="11" t="s">
        <v>8</v>
      </c>
      <c r="E17" s="16">
        <f>SUM(E11:E16)</f>
        <v>2655690.3199999998</v>
      </c>
      <c r="F17" s="16">
        <f>SUM(F11:F16)</f>
        <v>27455247.620000001</v>
      </c>
      <c r="G17" s="1"/>
      <c r="H17" s="143"/>
      <c r="I17" s="130"/>
      <c r="J17" s="143"/>
      <c r="K17" s="143"/>
      <c r="L17" s="143"/>
      <c r="M17" s="143"/>
    </row>
    <row r="18" spans="1:14" s="2" customFormat="1" ht="14.25" customHeight="1" x14ac:dyDescent="0.4">
      <c r="A18" s="17"/>
      <c r="B18" s="18"/>
      <c r="C18" s="96" t="s">
        <v>9</v>
      </c>
      <c r="D18" s="20"/>
      <c r="E18" s="21">
        <f>+F17-E17</f>
        <v>24799557.300000001</v>
      </c>
      <c r="G18" s="1"/>
      <c r="I18" s="112"/>
      <c r="J18" s="153" t="s">
        <v>779</v>
      </c>
    </row>
    <row r="19" spans="1:14" s="2" customFormat="1" ht="14.25" customHeight="1" x14ac:dyDescent="0.2">
      <c r="A19" s="36"/>
      <c r="B19" s="28" t="s">
        <v>66</v>
      </c>
      <c r="C19" s="43" t="s">
        <v>1458</v>
      </c>
      <c r="D19" s="43"/>
      <c r="E19" s="12">
        <f>30000000+60000000</f>
        <v>90000000</v>
      </c>
      <c r="F19" s="22"/>
      <c r="G19" s="1"/>
      <c r="I19" s="40">
        <v>24799557.300000001</v>
      </c>
      <c r="J19" s="154">
        <f>I19-E18</f>
        <v>0</v>
      </c>
    </row>
    <row r="20" spans="1:14" s="2" customFormat="1" ht="14.25" customHeight="1" x14ac:dyDescent="0.25">
      <c r="A20" s="36"/>
      <c r="B20" s="28"/>
      <c r="C20" s="44" t="s">
        <v>1541</v>
      </c>
      <c r="D20" s="43"/>
      <c r="E20" s="7">
        <f>+E18+E19</f>
        <v>114799557.3</v>
      </c>
      <c r="F20" s="22"/>
      <c r="G20" s="1"/>
      <c r="H20" s="13" t="s">
        <v>1582</v>
      </c>
      <c r="I20" s="13" t="s">
        <v>1583</v>
      </c>
    </row>
    <row r="21" spans="1:14" s="2" customFormat="1" ht="14.25" customHeight="1" x14ac:dyDescent="0.25">
      <c r="A21" s="36"/>
      <c r="B21" s="28"/>
      <c r="C21" s="44" t="s">
        <v>1511</v>
      </c>
      <c r="D21" s="43"/>
      <c r="E21" s="38">
        <f>+I11</f>
        <v>1486011.4499999993</v>
      </c>
      <c r="F21" s="22"/>
      <c r="G21" s="1"/>
      <c r="H21" s="2">
        <v>1078498</v>
      </c>
      <c r="I21" s="2">
        <v>2230266</v>
      </c>
      <c r="J21" s="176">
        <f>H21-I21</f>
        <v>-1151768</v>
      </c>
    </row>
    <row r="22" spans="1:14" s="2" customFormat="1" ht="14.25" customHeight="1" x14ac:dyDescent="0.2">
      <c r="A22" s="24"/>
      <c r="B22" s="1"/>
      <c r="C22" s="14"/>
      <c r="D22" s="25"/>
      <c r="G22" s="1"/>
      <c r="I22" s="130"/>
      <c r="J22" s="130"/>
    </row>
    <row r="23" spans="1:14" s="2" customFormat="1" x14ac:dyDescent="0.2">
      <c r="A23" s="214" t="s">
        <v>10</v>
      </c>
      <c r="B23" s="214"/>
      <c r="C23" s="214"/>
      <c r="D23" s="214"/>
      <c r="E23" s="214"/>
      <c r="F23" s="214"/>
      <c r="G23" s="1"/>
      <c r="H23" s="159"/>
      <c r="I23" s="160">
        <f>225000000-75000000-50000000+75000000-75000000+175000000</f>
        <v>275000000</v>
      </c>
      <c r="J23" s="160" t="s">
        <v>1506</v>
      </c>
      <c r="K23" s="70"/>
    </row>
    <row r="24" spans="1:14" s="2" customFormat="1" x14ac:dyDescent="0.2">
      <c r="A24" s="26" t="s">
        <v>1</v>
      </c>
      <c r="B24" s="27" t="s">
        <v>2</v>
      </c>
      <c r="C24" s="5"/>
      <c r="D24" s="6" t="s">
        <v>3</v>
      </c>
      <c r="E24" s="7" t="s">
        <v>4</v>
      </c>
      <c r="F24" s="7" t="s">
        <v>5</v>
      </c>
      <c r="G24" s="1"/>
      <c r="H24" s="159"/>
      <c r="I24" s="160">
        <v>224905115.19999999</v>
      </c>
      <c r="J24" s="160" t="s">
        <v>1507</v>
      </c>
      <c r="K24" s="70" t="s">
        <v>1512</v>
      </c>
    </row>
    <row r="25" spans="1:14" s="2" customFormat="1" x14ac:dyDescent="0.2">
      <c r="A25" s="89">
        <v>45253</v>
      </c>
      <c r="B25" s="128" t="s">
        <v>11</v>
      </c>
      <c r="C25" s="29" t="s">
        <v>7</v>
      </c>
      <c r="D25" s="25"/>
      <c r="E25" s="31"/>
      <c r="F25" s="2">
        <v>118194889.20000009</v>
      </c>
      <c r="G25" s="23"/>
      <c r="H25" s="159" t="s">
        <v>1505</v>
      </c>
      <c r="I25" s="160">
        <f>+I23-I24</f>
        <v>50094884.800000012</v>
      </c>
      <c r="J25" s="160"/>
      <c r="K25" s="70"/>
    </row>
    <row r="26" spans="1:14" s="2" customFormat="1" x14ac:dyDescent="0.2">
      <c r="A26" s="89">
        <v>45253</v>
      </c>
      <c r="B26" s="128" t="s">
        <v>6</v>
      </c>
      <c r="C26" s="10" t="s">
        <v>304</v>
      </c>
      <c r="D26" s="11" t="s">
        <v>13</v>
      </c>
      <c r="E26" s="86">
        <v>407192</v>
      </c>
      <c r="F26" s="70"/>
      <c r="G26" s="1"/>
      <c r="N26" s="1"/>
    </row>
    <row r="27" spans="1:14" s="2" customFormat="1" x14ac:dyDescent="0.2">
      <c r="A27" s="89">
        <v>45253</v>
      </c>
      <c r="B27" s="128" t="s">
        <v>6</v>
      </c>
      <c r="C27" s="10" t="s">
        <v>146</v>
      </c>
      <c r="D27" s="11" t="s">
        <v>13</v>
      </c>
      <c r="E27" s="86">
        <v>113092.44</v>
      </c>
      <c r="F27" s="70"/>
      <c r="G27" s="1"/>
      <c r="N27" s="1"/>
    </row>
    <row r="28" spans="1:14" s="2" customFormat="1" x14ac:dyDescent="0.2">
      <c r="A28" s="89">
        <v>45253</v>
      </c>
      <c r="B28" s="128" t="s">
        <v>6</v>
      </c>
      <c r="C28" s="10" t="s">
        <v>17</v>
      </c>
      <c r="D28" s="11" t="s">
        <v>13</v>
      </c>
      <c r="E28" s="86">
        <v>257529</v>
      </c>
      <c r="F28" s="70"/>
      <c r="G28" s="1"/>
      <c r="N28" s="1"/>
    </row>
    <row r="29" spans="1:14" s="2" customFormat="1" x14ac:dyDescent="0.2">
      <c r="A29" s="89">
        <v>45253</v>
      </c>
      <c r="B29" s="128" t="s">
        <v>6</v>
      </c>
      <c r="C29" s="10" t="s">
        <v>15</v>
      </c>
      <c r="D29" s="11" t="s">
        <v>13</v>
      </c>
      <c r="E29" s="86">
        <v>395.56</v>
      </c>
      <c r="F29" s="70"/>
      <c r="G29" s="1"/>
      <c r="N29" s="1"/>
    </row>
    <row r="30" spans="1:14" s="2" customFormat="1" x14ac:dyDescent="0.2">
      <c r="A30" s="89">
        <v>45253</v>
      </c>
      <c r="B30" s="128" t="s">
        <v>6</v>
      </c>
      <c r="C30" s="10" t="s">
        <v>19</v>
      </c>
      <c r="D30" s="11" t="s">
        <v>13</v>
      </c>
      <c r="E30" s="86">
        <v>470256</v>
      </c>
      <c r="F30" s="70"/>
      <c r="G30" s="1"/>
      <c r="N30" s="1"/>
    </row>
    <row r="31" spans="1:14" s="2" customFormat="1" x14ac:dyDescent="0.2">
      <c r="A31" s="89">
        <v>45253</v>
      </c>
      <c r="B31" s="128" t="s">
        <v>6</v>
      </c>
      <c r="C31" s="10" t="s">
        <v>24</v>
      </c>
      <c r="D31" s="11" t="s">
        <v>13</v>
      </c>
      <c r="E31" s="86">
        <v>416548</v>
      </c>
      <c r="F31" s="70"/>
      <c r="G31" s="1"/>
      <c r="N31" s="1"/>
    </row>
    <row r="32" spans="1:14" s="2" customFormat="1" x14ac:dyDescent="0.2">
      <c r="A32" s="89">
        <v>45253</v>
      </c>
      <c r="B32" s="128" t="s">
        <v>6</v>
      </c>
      <c r="C32" s="10" t="s">
        <v>1365</v>
      </c>
      <c r="D32" s="11" t="s">
        <v>13</v>
      </c>
      <c r="E32" s="86">
        <v>500000</v>
      </c>
      <c r="F32" s="70"/>
      <c r="G32" s="1"/>
      <c r="N32" s="1"/>
    </row>
    <row r="33" spans="1:14" s="2" customFormat="1" x14ac:dyDescent="0.2">
      <c r="A33" s="89">
        <v>45253</v>
      </c>
      <c r="B33" s="128" t="s">
        <v>6</v>
      </c>
      <c r="C33" s="10" t="s">
        <v>682</v>
      </c>
      <c r="D33" s="11" t="s">
        <v>13</v>
      </c>
      <c r="E33" s="86">
        <v>2835</v>
      </c>
      <c r="F33" s="70"/>
      <c r="G33" s="1"/>
      <c r="N33" s="1"/>
    </row>
    <row r="34" spans="1:14" s="2" customFormat="1" x14ac:dyDescent="0.2">
      <c r="A34" s="89">
        <v>45253</v>
      </c>
      <c r="B34" s="128" t="s">
        <v>6</v>
      </c>
      <c r="C34" s="10" t="s">
        <v>694</v>
      </c>
      <c r="D34" s="11" t="s">
        <v>13</v>
      </c>
      <c r="E34" s="86">
        <v>500000</v>
      </c>
      <c r="F34" s="70"/>
      <c r="G34" s="1"/>
      <c r="N34" s="1"/>
    </row>
    <row r="35" spans="1:14" s="2" customFormat="1" x14ac:dyDescent="0.2">
      <c r="A35" s="89">
        <v>45253</v>
      </c>
      <c r="B35" s="128" t="s">
        <v>6</v>
      </c>
      <c r="C35" s="10" t="s">
        <v>177</v>
      </c>
      <c r="D35" s="11" t="s">
        <v>13</v>
      </c>
      <c r="E35" s="86">
        <v>867630</v>
      </c>
      <c r="F35" s="70"/>
      <c r="G35" s="1"/>
      <c r="N35" s="1"/>
    </row>
    <row r="36" spans="1:14" s="2" customFormat="1" x14ac:dyDescent="0.2">
      <c r="A36" s="89">
        <v>45253</v>
      </c>
      <c r="B36" s="128" t="s">
        <v>6</v>
      </c>
      <c r="C36" s="10" t="s">
        <v>149</v>
      </c>
      <c r="D36" s="11" t="s">
        <v>13</v>
      </c>
      <c r="E36" s="86">
        <v>216191</v>
      </c>
      <c r="F36" s="70"/>
      <c r="G36" s="1"/>
      <c r="N36" s="1"/>
    </row>
    <row r="37" spans="1:14" s="2" customFormat="1" x14ac:dyDescent="0.2">
      <c r="A37" s="89">
        <v>45253</v>
      </c>
      <c r="B37" s="128" t="s">
        <v>6</v>
      </c>
      <c r="C37" s="10" t="s">
        <v>1274</v>
      </c>
      <c r="D37" s="11" t="s">
        <v>13</v>
      </c>
      <c r="E37" s="86">
        <v>647796</v>
      </c>
      <c r="F37" s="70"/>
      <c r="G37" s="1"/>
      <c r="N37" s="1"/>
    </row>
    <row r="38" spans="1:14" s="2" customFormat="1" x14ac:dyDescent="0.2">
      <c r="A38" s="89">
        <v>45253</v>
      </c>
      <c r="B38" s="128" t="s">
        <v>6</v>
      </c>
      <c r="C38" s="10" t="s">
        <v>788</v>
      </c>
      <c r="D38" s="11" t="s">
        <v>13</v>
      </c>
      <c r="E38" s="86">
        <v>77407</v>
      </c>
      <c r="F38" s="70"/>
      <c r="G38" s="1"/>
      <c r="N38" s="1"/>
    </row>
    <row r="39" spans="1:14" s="2" customFormat="1" x14ac:dyDescent="0.2">
      <c r="A39" s="89">
        <v>45253</v>
      </c>
      <c r="B39" s="128" t="s">
        <v>6</v>
      </c>
      <c r="C39" s="10" t="s">
        <v>1259</v>
      </c>
      <c r="D39" s="11" t="s">
        <v>13</v>
      </c>
      <c r="E39" s="86">
        <v>50770.9</v>
      </c>
      <c r="F39" s="70"/>
      <c r="G39" s="1"/>
      <c r="N39" s="1"/>
    </row>
    <row r="40" spans="1:14" s="2" customFormat="1" x14ac:dyDescent="0.2">
      <c r="A40" s="89">
        <v>45253</v>
      </c>
      <c r="B40" s="128" t="s">
        <v>6</v>
      </c>
      <c r="C40" s="10" t="s">
        <v>820</v>
      </c>
      <c r="D40" s="11" t="s">
        <v>13</v>
      </c>
      <c r="E40" s="86">
        <v>242475</v>
      </c>
      <c r="F40" s="70"/>
      <c r="G40" s="1"/>
      <c r="N40" s="1"/>
    </row>
    <row r="41" spans="1:14" s="2" customFormat="1" x14ac:dyDescent="0.2">
      <c r="A41" s="89">
        <v>45253</v>
      </c>
      <c r="B41" s="128" t="s">
        <v>6</v>
      </c>
      <c r="C41" s="10" t="s">
        <v>1155</v>
      </c>
      <c r="D41" s="11" t="s">
        <v>13</v>
      </c>
      <c r="E41" s="86">
        <v>75000000</v>
      </c>
      <c r="F41" s="70"/>
      <c r="G41" s="1"/>
      <c r="N41" s="1"/>
    </row>
    <row r="42" spans="1:14" s="2" customFormat="1" x14ac:dyDescent="0.2">
      <c r="A42" s="89">
        <v>45253</v>
      </c>
      <c r="B42" s="128" t="s">
        <v>6</v>
      </c>
      <c r="C42" s="10" t="s">
        <v>390</v>
      </c>
      <c r="D42" s="11" t="s">
        <v>13</v>
      </c>
      <c r="E42" s="86">
        <v>24756</v>
      </c>
      <c r="F42" s="70"/>
      <c r="G42" s="1"/>
      <c r="N42" s="1"/>
    </row>
    <row r="43" spans="1:14" s="2" customFormat="1" x14ac:dyDescent="0.2">
      <c r="A43" s="89">
        <v>45253</v>
      </c>
      <c r="B43" s="128" t="s">
        <v>11</v>
      </c>
      <c r="C43" s="10" t="s">
        <v>64</v>
      </c>
      <c r="D43" s="11" t="s">
        <v>29</v>
      </c>
      <c r="E43" s="86"/>
      <c r="F43" s="70">
        <v>1521.02</v>
      </c>
      <c r="G43" s="1"/>
      <c r="N43" s="1"/>
    </row>
    <row r="44" spans="1:14" s="2" customFormat="1" x14ac:dyDescent="0.2">
      <c r="A44" s="89">
        <v>45253</v>
      </c>
      <c r="B44" s="128" t="s">
        <v>11</v>
      </c>
      <c r="C44" s="10" t="s">
        <v>1155</v>
      </c>
      <c r="D44" s="11" t="s">
        <v>29</v>
      </c>
      <c r="E44" s="86"/>
      <c r="F44" s="70">
        <v>175000000</v>
      </c>
      <c r="G44" s="1"/>
      <c r="N44" s="1"/>
    </row>
    <row r="45" spans="1:14" s="2" customFormat="1" x14ac:dyDescent="0.2">
      <c r="A45" s="89">
        <v>45253</v>
      </c>
      <c r="B45" s="128" t="s">
        <v>11</v>
      </c>
      <c r="C45" s="10" t="s">
        <v>486</v>
      </c>
      <c r="D45" s="11" t="s">
        <v>29</v>
      </c>
      <c r="E45" s="86"/>
      <c r="F45" s="70">
        <v>5000000</v>
      </c>
      <c r="G45" s="1"/>
      <c r="N45" s="1"/>
    </row>
    <row r="46" spans="1:14" s="2" customFormat="1" x14ac:dyDescent="0.2">
      <c r="A46" s="89">
        <v>45253</v>
      </c>
      <c r="B46" s="128" t="s">
        <v>11</v>
      </c>
      <c r="C46" s="10" t="s">
        <v>1131</v>
      </c>
      <c r="D46" s="11" t="s">
        <v>29</v>
      </c>
      <c r="E46" s="86"/>
      <c r="F46" s="70">
        <v>150784</v>
      </c>
      <c r="G46" s="1"/>
      <c r="N46" s="1"/>
    </row>
    <row r="47" spans="1:14" s="2" customFormat="1" x14ac:dyDescent="0.2">
      <c r="A47" s="89">
        <v>45253</v>
      </c>
      <c r="B47" s="128" t="s">
        <v>11</v>
      </c>
      <c r="C47" s="10" t="s">
        <v>1403</v>
      </c>
      <c r="D47" s="11" t="s">
        <v>29</v>
      </c>
      <c r="E47" s="86"/>
      <c r="F47" s="70">
        <v>5404595</v>
      </c>
      <c r="G47" s="1"/>
      <c r="N47" s="1"/>
    </row>
    <row r="48" spans="1:14" s="2" customFormat="1" x14ac:dyDescent="0.2">
      <c r="A48" s="89">
        <v>45253</v>
      </c>
      <c r="B48" s="128" t="s">
        <v>11</v>
      </c>
      <c r="C48" s="10" t="s">
        <v>102</v>
      </c>
      <c r="D48" s="11" t="s">
        <v>29</v>
      </c>
      <c r="E48" s="86"/>
      <c r="F48" s="70">
        <v>986232.88</v>
      </c>
      <c r="G48" s="1"/>
      <c r="N48" s="1"/>
    </row>
    <row r="49" spans="1:14" s="2" customFormat="1" x14ac:dyDescent="0.2">
      <c r="A49" s="89">
        <v>45253</v>
      </c>
      <c r="B49" s="128" t="s">
        <v>11</v>
      </c>
      <c r="C49" s="10" t="s">
        <v>944</v>
      </c>
      <c r="D49" s="11" t="s">
        <v>29</v>
      </c>
      <c r="E49" s="86"/>
      <c r="F49" s="70">
        <v>1000000</v>
      </c>
      <c r="G49" s="1"/>
      <c r="N49" s="1"/>
    </row>
    <row r="50" spans="1:14" s="2" customFormat="1" x14ac:dyDescent="0.2">
      <c r="A50" s="89">
        <v>45253</v>
      </c>
      <c r="B50" s="128" t="s">
        <v>11</v>
      </c>
      <c r="C50" s="10" t="s">
        <v>427</v>
      </c>
      <c r="D50" s="11" t="s">
        <v>29</v>
      </c>
      <c r="E50" s="86"/>
      <c r="F50" s="70">
        <v>113735</v>
      </c>
      <c r="G50" s="1"/>
      <c r="N50" s="1"/>
    </row>
    <row r="51" spans="1:14" s="2" customFormat="1" x14ac:dyDescent="0.2">
      <c r="A51" s="32"/>
      <c r="B51" s="33"/>
      <c r="C51" s="14"/>
      <c r="D51" s="34"/>
      <c r="E51" s="16">
        <f>SUM(E25:E50)</f>
        <v>79794873.900000006</v>
      </c>
      <c r="F51" s="16">
        <f>SUM(F25:F50)</f>
        <v>305851757.10000008</v>
      </c>
      <c r="G51" s="1"/>
      <c r="H51" s="1"/>
      <c r="I51" s="38">
        <v>226056883.19999999</v>
      </c>
      <c r="K51" s="92">
        <f>E52-I51</f>
        <v>0</v>
      </c>
      <c r="N51" s="1"/>
    </row>
    <row r="52" spans="1:14" s="2" customFormat="1" x14ac:dyDescent="0.2">
      <c r="A52" s="36"/>
      <c r="B52" s="28" t="s">
        <v>11</v>
      </c>
      <c r="C52" s="19" t="s">
        <v>65</v>
      </c>
      <c r="D52" s="37"/>
      <c r="E52" s="38">
        <f>F51-E51</f>
        <v>226056883.20000008</v>
      </c>
      <c r="F52" s="22"/>
      <c r="G52" s="1"/>
      <c r="H52" s="1"/>
      <c r="I52" s="70"/>
      <c r="J52" s="70"/>
      <c r="K52" s="70"/>
      <c r="N52" s="1"/>
    </row>
    <row r="53" spans="1:14" s="2" customFormat="1" x14ac:dyDescent="0.2">
      <c r="A53" s="36"/>
      <c r="B53" s="28" t="s">
        <v>66</v>
      </c>
      <c r="C53" s="19" t="s">
        <v>67</v>
      </c>
      <c r="D53" s="37"/>
      <c r="E53" s="38">
        <v>6500000</v>
      </c>
      <c r="F53" s="22"/>
      <c r="G53" s="1"/>
      <c r="H53" s="70"/>
      <c r="I53" s="70"/>
      <c r="J53" s="70"/>
      <c r="K53" s="70"/>
      <c r="N53" s="1"/>
    </row>
    <row r="54" spans="1:14" s="2" customFormat="1" x14ac:dyDescent="0.2">
      <c r="A54" s="36"/>
      <c r="B54" s="28" t="s">
        <v>66</v>
      </c>
      <c r="C54" s="43" t="s">
        <v>1457</v>
      </c>
      <c r="D54" s="43"/>
      <c r="E54" s="12">
        <f>275000000+75000000+50000000-75000000+75000000-175000000</f>
        <v>225000000</v>
      </c>
      <c r="F54" s="22"/>
      <c r="G54" s="1"/>
      <c r="H54" s="70"/>
      <c r="I54" s="45">
        <v>2376.77</v>
      </c>
      <c r="J54" s="46"/>
      <c r="K54" s="46"/>
      <c r="N54" s="1"/>
    </row>
    <row r="55" spans="1:14" s="2" customFormat="1" ht="15" x14ac:dyDescent="0.25">
      <c r="A55" s="36"/>
      <c r="B55" s="28"/>
      <c r="C55" s="44" t="s">
        <v>1541</v>
      </c>
      <c r="D55" s="43"/>
      <c r="E55" s="7">
        <f>+E54+E52+E53</f>
        <v>457556883.20000005</v>
      </c>
      <c r="F55" s="22"/>
      <c r="G55" s="1"/>
      <c r="H55" s="103" t="s">
        <v>69</v>
      </c>
      <c r="I55" s="45">
        <v>-63.25</v>
      </c>
      <c r="J55" s="46"/>
      <c r="K55" s="46"/>
      <c r="N55" s="1"/>
    </row>
    <row r="56" spans="1:14" s="2" customFormat="1" ht="15" x14ac:dyDescent="0.25">
      <c r="A56" s="24"/>
      <c r="B56" s="1"/>
      <c r="C56" s="44" t="s">
        <v>1510</v>
      </c>
      <c r="D56" s="25"/>
      <c r="E56" s="156">
        <f>+I25-E53+H21-I21</f>
        <v>42443116.800000012</v>
      </c>
      <c r="G56" s="1"/>
      <c r="H56" s="35" t="s">
        <v>70</v>
      </c>
      <c r="I56" s="45">
        <v>40.270000000000003</v>
      </c>
      <c r="J56" s="46">
        <f>+I57-D59</f>
        <v>0</v>
      </c>
      <c r="N56" s="1"/>
    </row>
    <row r="57" spans="1:14" s="124" customFormat="1" ht="12.75" customHeight="1" x14ac:dyDescent="0.2">
      <c r="A57" s="24"/>
      <c r="B57" s="1"/>
      <c r="C57" s="56"/>
      <c r="D57" s="56"/>
      <c r="E57" s="104"/>
      <c r="F57" s="2"/>
      <c r="G57" s="166"/>
      <c r="H57" s="70"/>
      <c r="I57" s="49">
        <f>SUM(I54:I56)</f>
        <v>2353.79</v>
      </c>
      <c r="J57" s="46"/>
      <c r="K57" s="46"/>
    </row>
    <row r="58" spans="1:14" s="124" customFormat="1" ht="12.75" customHeight="1" x14ac:dyDescent="0.2">
      <c r="A58" s="24"/>
      <c r="B58" s="1"/>
      <c r="C58" s="78" t="s">
        <v>575</v>
      </c>
      <c r="D58" s="48" t="s">
        <v>576</v>
      </c>
      <c r="E58" s="104"/>
      <c r="F58" s="2"/>
      <c r="G58" s="168"/>
      <c r="H58" s="167"/>
      <c r="I58" s="167"/>
      <c r="J58" s="168"/>
    </row>
    <row r="59" spans="1:14" s="124" customFormat="1" ht="12.75" customHeight="1" x14ac:dyDescent="0.2">
      <c r="A59" s="24"/>
      <c r="B59" s="1"/>
      <c r="C59" s="47" t="s">
        <v>570</v>
      </c>
      <c r="D59" s="111">
        <v>2353.79</v>
      </c>
      <c r="E59" s="104"/>
      <c r="F59" s="2"/>
      <c r="G59" s="168"/>
      <c r="H59" s="110" t="s">
        <v>581</v>
      </c>
      <c r="I59" s="167"/>
      <c r="J59" s="168"/>
    </row>
    <row r="60" spans="1:14" s="124" customFormat="1" ht="12.75" customHeight="1" x14ac:dyDescent="0.2">
      <c r="A60" s="24"/>
      <c r="B60" s="1"/>
      <c r="C60" s="47" t="s">
        <v>931</v>
      </c>
      <c r="D60" s="111">
        <v>147.63</v>
      </c>
      <c r="E60" s="104"/>
      <c r="F60" s="2"/>
      <c r="G60" s="168"/>
      <c r="H60" s="110" t="s">
        <v>580</v>
      </c>
      <c r="I60" s="167"/>
      <c r="J60" s="168"/>
    </row>
    <row r="61" spans="1:14" s="124" customFormat="1" ht="12.75" customHeight="1" x14ac:dyDescent="0.2">
      <c r="A61" s="24"/>
      <c r="B61" s="1"/>
      <c r="C61" s="47" t="s">
        <v>572</v>
      </c>
      <c r="D61" s="111">
        <f>+D90/100000</f>
        <v>318.90295950000001</v>
      </c>
      <c r="E61" s="104"/>
      <c r="F61" s="2"/>
      <c r="G61" s="166"/>
      <c r="H61" s="90" t="s">
        <v>587</v>
      </c>
      <c r="I61" s="167"/>
      <c r="J61" s="168"/>
    </row>
    <row r="62" spans="1:14" s="2" customFormat="1" x14ac:dyDescent="0.2">
      <c r="A62" s="24"/>
      <c r="B62" s="1"/>
      <c r="C62" s="108" t="s">
        <v>578</v>
      </c>
      <c r="D62" s="48">
        <f>SUM(D59:D61)</f>
        <v>2820.3229595000003</v>
      </c>
      <c r="E62" s="104"/>
      <c r="G62" s="30"/>
      <c r="I62" s="13"/>
      <c r="J62" s="13"/>
    </row>
    <row r="63" spans="1:14" s="70" customFormat="1" x14ac:dyDescent="0.2">
      <c r="A63" s="24"/>
      <c r="B63" s="1"/>
      <c r="C63" s="47"/>
      <c r="D63" s="107"/>
      <c r="E63" s="104"/>
      <c r="F63" s="2"/>
      <c r="G63" s="30"/>
      <c r="H63" s="2"/>
    </row>
    <row r="64" spans="1:14" s="70" customFormat="1" x14ac:dyDescent="0.2">
      <c r="A64" s="24"/>
      <c r="B64" s="1"/>
      <c r="C64" s="47" t="s">
        <v>932</v>
      </c>
      <c r="D64" s="111">
        <v>11.99</v>
      </c>
      <c r="E64" s="104"/>
      <c r="F64" s="2"/>
      <c r="G64" s="30"/>
      <c r="H64" s="110" t="s">
        <v>581</v>
      </c>
    </row>
    <row r="65" spans="1:14" s="70" customFormat="1" x14ac:dyDescent="0.2">
      <c r="A65" s="24"/>
      <c r="B65" s="1"/>
      <c r="C65" s="136" t="s">
        <v>1142</v>
      </c>
      <c r="D65" s="111">
        <f>752.38-117.09</f>
        <v>635.29</v>
      </c>
      <c r="E65" s="104"/>
      <c r="F65" s="2"/>
      <c r="G65" s="30"/>
      <c r="H65" s="110" t="s">
        <v>581</v>
      </c>
    </row>
    <row r="66" spans="1:14" s="70" customFormat="1" x14ac:dyDescent="0.2">
      <c r="A66" s="24"/>
      <c r="B66" s="1"/>
      <c r="C66" s="78" t="s">
        <v>579</v>
      </c>
      <c r="D66" s="109">
        <f>D64+D65</f>
        <v>647.28</v>
      </c>
      <c r="E66" s="104"/>
      <c r="F66" s="2"/>
      <c r="G66" s="30"/>
    </row>
    <row r="67" spans="1:14" s="70" customFormat="1" x14ac:dyDescent="0.2">
      <c r="A67" s="24"/>
      <c r="B67" s="1"/>
      <c r="C67" s="105"/>
      <c r="D67" s="106"/>
      <c r="E67" s="104"/>
      <c r="F67" s="2"/>
      <c r="G67" s="30"/>
      <c r="I67" s="2"/>
      <c r="J67" s="114" t="s">
        <v>713</v>
      </c>
      <c r="K67" s="2"/>
      <c r="L67" s="2"/>
      <c r="M67" s="2"/>
    </row>
    <row r="68" spans="1:14" s="70" customFormat="1" x14ac:dyDescent="0.2">
      <c r="A68" s="24"/>
      <c r="B68" s="1"/>
      <c r="C68" s="78" t="s">
        <v>577</v>
      </c>
      <c r="D68" s="109">
        <f>D59+D66</f>
        <v>3001.0699999999997</v>
      </c>
      <c r="E68" s="104"/>
      <c r="F68" s="2"/>
      <c r="G68" s="30"/>
      <c r="I68" s="113"/>
      <c r="J68" s="113" t="s">
        <v>709</v>
      </c>
      <c r="K68" s="113" t="s">
        <v>710</v>
      </c>
      <c r="L68" s="113" t="s">
        <v>711</v>
      </c>
      <c r="M68" s="113" t="s">
        <v>712</v>
      </c>
    </row>
    <row r="69" spans="1:14" s="70" customFormat="1" x14ac:dyDescent="0.2">
      <c r="A69" s="24"/>
      <c r="B69" s="1"/>
      <c r="C69" s="56"/>
      <c r="D69" s="56"/>
      <c r="E69" s="104"/>
      <c r="F69" s="2"/>
      <c r="G69" s="30"/>
      <c r="I69" s="113" t="s">
        <v>706</v>
      </c>
      <c r="J69" s="115"/>
      <c r="K69" s="115">
        <v>968.99</v>
      </c>
      <c r="L69" s="115">
        <v>968.99</v>
      </c>
      <c r="M69" s="113">
        <f>+J69+L69-K69</f>
        <v>0</v>
      </c>
    </row>
    <row r="70" spans="1:14" s="70" customFormat="1" ht="38.25" x14ac:dyDescent="0.2">
      <c r="A70" s="24"/>
      <c r="B70" s="1"/>
      <c r="C70" s="79" t="str">
        <f>"Particulars ( 01-04-2021 to "&amp;TEXT(A5,"dd-mm-yyyy")&amp;" )"</f>
        <v>Particulars ( 01-04-2021 to 23-11-2023 )</v>
      </c>
      <c r="D70" s="80" t="s">
        <v>73</v>
      </c>
      <c r="E70" s="80" t="s">
        <v>74</v>
      </c>
      <c r="F70" s="81" t="s">
        <v>75</v>
      </c>
      <c r="G70" s="80" t="s">
        <v>76</v>
      </c>
      <c r="I70" s="113" t="s">
        <v>707</v>
      </c>
      <c r="J70" s="115">
        <v>183.1</v>
      </c>
      <c r="K70" s="115">
        <v>4044.96</v>
      </c>
      <c r="L70" s="115">
        <v>4132.1499999999996</v>
      </c>
      <c r="M70" s="113">
        <f>+J70+L70-K70</f>
        <v>270.28999999999996</v>
      </c>
    </row>
    <row r="71" spans="1:14" s="70" customFormat="1" x14ac:dyDescent="0.2">
      <c r="A71" s="24"/>
      <c r="B71" s="1"/>
      <c r="C71" s="50" t="s">
        <v>444</v>
      </c>
      <c r="D71" s="55">
        <f>+L69+L70+J70</f>
        <v>5284.24</v>
      </c>
      <c r="E71" s="55">
        <f>+K69+K70</f>
        <v>5013.95</v>
      </c>
      <c r="F71" s="55">
        <f>+D71-E71</f>
        <v>270.28999999999996</v>
      </c>
      <c r="G71" s="55">
        <f>1500-F71</f>
        <v>1229.71</v>
      </c>
      <c r="I71" s="113" t="s">
        <v>708</v>
      </c>
      <c r="J71" s="115">
        <v>1371.02</v>
      </c>
      <c r="K71" s="115">
        <v>15180.5</v>
      </c>
      <c r="L71" s="115">
        <v>15307.54</v>
      </c>
      <c r="M71" s="113">
        <f>+J71+L71-K71</f>
        <v>1498.0600000000013</v>
      </c>
    </row>
    <row r="72" spans="1:14" s="70" customFormat="1" ht="12.75" customHeight="1" x14ac:dyDescent="0.2">
      <c r="A72" s="24"/>
      <c r="B72" s="1"/>
      <c r="C72" s="50" t="s">
        <v>71</v>
      </c>
      <c r="D72" s="55">
        <f>+J71+L71</f>
        <v>16678.560000000001</v>
      </c>
      <c r="E72" s="55">
        <f>+K71</f>
        <v>15180.5</v>
      </c>
      <c r="F72" s="55">
        <f>+D72-E72</f>
        <v>1498.0600000000013</v>
      </c>
      <c r="G72" s="55">
        <f>1500+700-F72</f>
        <v>701.93999999999869</v>
      </c>
      <c r="I72" s="2"/>
      <c r="J72" s="118">
        <f>SUM(J69:J71)</f>
        <v>1554.12</v>
      </c>
      <c r="K72" s="118">
        <f>SUM(K69:K71)</f>
        <v>20194.45</v>
      </c>
      <c r="L72" s="118">
        <f>SUM(L69:L71)</f>
        <v>20408.68</v>
      </c>
      <c r="M72" s="118">
        <f>SUM(M69:M71)</f>
        <v>1768.3500000000013</v>
      </c>
    </row>
    <row r="73" spans="1:14" s="70" customFormat="1" ht="12.75" customHeight="1" x14ac:dyDescent="0.2">
      <c r="A73" s="24"/>
      <c r="B73" s="1"/>
      <c r="C73" s="14"/>
      <c r="D73" s="56"/>
      <c r="E73" s="13"/>
      <c r="F73" s="2"/>
      <c r="G73" s="30"/>
    </row>
    <row r="74" spans="1:14" s="70" customFormat="1" ht="12.75" customHeight="1" x14ac:dyDescent="0.2">
      <c r="A74" s="215" t="s">
        <v>80</v>
      </c>
      <c r="B74" s="216"/>
      <c r="C74" s="216"/>
      <c r="D74" s="217"/>
      <c r="E74" s="69"/>
      <c r="G74" s="30"/>
    </row>
    <row r="75" spans="1:14" s="70" customFormat="1" ht="12.75" customHeight="1" x14ac:dyDescent="0.2">
      <c r="A75" s="71" t="s">
        <v>81</v>
      </c>
      <c r="B75" s="71"/>
      <c r="C75" s="72" t="s">
        <v>82</v>
      </c>
      <c r="D75" s="73" t="s">
        <v>83</v>
      </c>
      <c r="E75" s="69"/>
      <c r="G75" s="30"/>
    </row>
    <row r="76" spans="1:14" s="70" customFormat="1" ht="12.75" customHeight="1" x14ac:dyDescent="0.2">
      <c r="A76" s="87">
        <v>45232</v>
      </c>
      <c r="B76" s="120" t="s">
        <v>6</v>
      </c>
      <c r="C76" s="75" t="s">
        <v>767</v>
      </c>
      <c r="D76" s="88">
        <v>515100</v>
      </c>
      <c r="E76" s="2"/>
      <c r="F76" s="2"/>
      <c r="G76" s="30"/>
      <c r="H76" s="2"/>
      <c r="I76" s="2"/>
      <c r="J76" s="2"/>
      <c r="K76" s="2"/>
      <c r="L76" s="41"/>
      <c r="M76" s="42"/>
      <c r="N76" s="2"/>
    </row>
    <row r="77" spans="1:14" s="70" customFormat="1" ht="12.75" customHeight="1" x14ac:dyDescent="0.2">
      <c r="A77" s="87">
        <v>45232</v>
      </c>
      <c r="B77" s="120" t="s">
        <v>6</v>
      </c>
      <c r="C77" s="75" t="s">
        <v>566</v>
      </c>
      <c r="D77" s="88">
        <v>52450</v>
      </c>
      <c r="E77" s="2"/>
      <c r="F77" s="2"/>
      <c r="G77" s="30"/>
      <c r="H77" s="2"/>
      <c r="I77" s="2"/>
      <c r="J77" s="2"/>
      <c r="K77" s="2"/>
      <c r="L77" s="41"/>
      <c r="M77" s="42"/>
      <c r="N77" s="2"/>
    </row>
    <row r="78" spans="1:14" s="70" customFormat="1" ht="12.75" customHeight="1" x14ac:dyDescent="0.2">
      <c r="A78" s="87">
        <v>45233</v>
      </c>
      <c r="B78" s="120" t="s">
        <v>6</v>
      </c>
      <c r="C78" s="75" t="s">
        <v>1084</v>
      </c>
      <c r="D78" s="88">
        <v>1833799</v>
      </c>
      <c r="E78" s="2"/>
      <c r="F78" s="2"/>
      <c r="G78" s="30"/>
      <c r="H78" s="2"/>
      <c r="I78" s="2"/>
      <c r="J78" s="2"/>
      <c r="K78" s="2"/>
      <c r="L78" s="41"/>
      <c r="M78" s="42"/>
      <c r="N78" s="2"/>
    </row>
    <row r="79" spans="1:14" s="70" customFormat="1" ht="12.75" customHeight="1" x14ac:dyDescent="0.2">
      <c r="A79" s="87">
        <v>45233</v>
      </c>
      <c r="B79" s="120" t="s">
        <v>6</v>
      </c>
      <c r="C79" s="75" t="s">
        <v>909</v>
      </c>
      <c r="D79" s="88">
        <v>366980</v>
      </c>
      <c r="E79" s="2"/>
      <c r="F79" s="2"/>
      <c r="G79" s="30"/>
      <c r="H79" s="2"/>
      <c r="I79" s="2"/>
      <c r="J79" s="2"/>
      <c r="K79" s="2"/>
      <c r="L79" s="41"/>
      <c r="M79" s="42"/>
      <c r="N79" s="2"/>
    </row>
    <row r="80" spans="1:14" s="70" customFormat="1" ht="12.75" customHeight="1" x14ac:dyDescent="0.2">
      <c r="A80" s="87">
        <v>45233</v>
      </c>
      <c r="B80" s="120" t="s">
        <v>6</v>
      </c>
      <c r="C80" s="75" t="s">
        <v>909</v>
      </c>
      <c r="D80" s="88">
        <v>30038</v>
      </c>
      <c r="E80" s="2"/>
      <c r="F80" s="2"/>
      <c r="G80" s="30"/>
      <c r="H80" s="2"/>
      <c r="I80" s="2"/>
      <c r="J80" s="2"/>
      <c r="K80" s="2"/>
      <c r="L80" s="41"/>
      <c r="M80" s="42"/>
      <c r="N80" s="2"/>
    </row>
    <row r="81" spans="1:14" s="70" customFormat="1" ht="12.75" customHeight="1" x14ac:dyDescent="0.2">
      <c r="A81" s="87">
        <v>45237</v>
      </c>
      <c r="B81" s="120" t="s">
        <v>6</v>
      </c>
      <c r="C81" s="75" t="s">
        <v>888</v>
      </c>
      <c r="D81" s="88">
        <v>14999721.949999999</v>
      </c>
      <c r="E81" s="2"/>
      <c r="F81" s="2"/>
      <c r="G81" s="30"/>
      <c r="H81" s="2"/>
      <c r="I81" s="2"/>
      <c r="J81" s="2"/>
      <c r="K81" s="2"/>
      <c r="L81" s="41"/>
      <c r="M81" s="42"/>
      <c r="N81" s="2"/>
    </row>
    <row r="82" spans="1:14" s="70" customFormat="1" ht="12.75" customHeight="1" x14ac:dyDescent="0.2">
      <c r="A82" s="87">
        <v>45238</v>
      </c>
      <c r="B82" s="120" t="s">
        <v>6</v>
      </c>
      <c r="C82" s="75" t="s">
        <v>606</v>
      </c>
      <c r="D82" s="88">
        <v>1098495</v>
      </c>
      <c r="E82" s="2"/>
      <c r="F82" s="2"/>
      <c r="G82" s="30"/>
      <c r="H82" s="2"/>
      <c r="I82" s="2"/>
      <c r="J82" s="2"/>
      <c r="K82" s="2"/>
      <c r="L82" s="41"/>
      <c r="M82" s="42"/>
      <c r="N82" s="2"/>
    </row>
    <row r="83" spans="1:14" s="70" customFormat="1" ht="12.75" customHeight="1" x14ac:dyDescent="0.2">
      <c r="A83" s="87">
        <v>45239</v>
      </c>
      <c r="B83" s="120" t="s">
        <v>6</v>
      </c>
      <c r="C83" s="75" t="s">
        <v>566</v>
      </c>
      <c r="D83" s="88">
        <f>183507+63254</f>
        <v>246761</v>
      </c>
      <c r="E83" s="2"/>
      <c r="F83" s="2"/>
      <c r="G83" s="30"/>
      <c r="H83" s="2"/>
      <c r="I83" s="2"/>
      <c r="J83" s="2"/>
      <c r="K83" s="2"/>
      <c r="L83" s="41"/>
      <c r="M83" s="42"/>
      <c r="N83" s="2"/>
    </row>
    <row r="84" spans="1:14" s="70" customFormat="1" ht="12.75" customHeight="1" x14ac:dyDescent="0.2">
      <c r="A84" s="87">
        <v>45240</v>
      </c>
      <c r="B84" s="120" t="s">
        <v>6</v>
      </c>
      <c r="C84" s="75" t="s">
        <v>767</v>
      </c>
      <c r="D84" s="88">
        <v>287037</v>
      </c>
      <c r="E84" s="2"/>
      <c r="F84" s="2"/>
      <c r="G84" s="30"/>
      <c r="H84" s="2"/>
      <c r="I84" s="2"/>
      <c r="J84" s="2"/>
      <c r="K84" s="2"/>
      <c r="L84" s="41"/>
      <c r="M84" s="42"/>
      <c r="N84" s="2"/>
    </row>
    <row r="85" spans="1:14" s="70" customFormat="1" ht="12.75" customHeight="1" x14ac:dyDescent="0.2">
      <c r="A85" s="87">
        <v>45240</v>
      </c>
      <c r="B85" s="120" t="s">
        <v>6</v>
      </c>
      <c r="C85" s="75" t="s">
        <v>1767</v>
      </c>
      <c r="D85" s="88">
        <v>1000000</v>
      </c>
      <c r="E85" s="2"/>
      <c r="F85" s="2"/>
      <c r="G85" s="30"/>
      <c r="H85" s="2"/>
      <c r="I85" s="2"/>
      <c r="J85" s="2"/>
      <c r="K85" s="2"/>
      <c r="L85" s="41"/>
      <c r="M85" s="42"/>
      <c r="N85" s="2"/>
    </row>
    <row r="86" spans="1:14" s="70" customFormat="1" ht="12.75" customHeight="1" x14ac:dyDescent="0.2">
      <c r="A86" s="87">
        <v>45248</v>
      </c>
      <c r="B86" s="120" t="s">
        <v>6</v>
      </c>
      <c r="C86" s="75" t="s">
        <v>1084</v>
      </c>
      <c r="D86" s="88">
        <v>5733144</v>
      </c>
      <c r="E86" s="2"/>
      <c r="F86" s="2"/>
      <c r="G86" s="30"/>
      <c r="H86" s="2"/>
      <c r="I86" s="2"/>
      <c r="J86" s="2"/>
      <c r="K86" s="2"/>
      <c r="L86" s="41"/>
      <c r="M86" s="42"/>
      <c r="N86" s="2"/>
    </row>
    <row r="87" spans="1:14" s="70" customFormat="1" ht="12.75" customHeight="1" x14ac:dyDescent="0.2">
      <c r="A87" s="87">
        <v>45251</v>
      </c>
      <c r="B87" s="120" t="s">
        <v>6</v>
      </c>
      <c r="C87" s="75" t="s">
        <v>1801</v>
      </c>
      <c r="D87" s="88">
        <v>29372</v>
      </c>
      <c r="E87" s="2"/>
      <c r="F87" s="2"/>
      <c r="G87" s="30"/>
      <c r="H87" s="2"/>
      <c r="I87" s="2"/>
      <c r="J87" s="2"/>
      <c r="K87" s="2"/>
      <c r="L87" s="41"/>
      <c r="M87" s="42"/>
      <c r="N87" s="2"/>
    </row>
    <row r="88" spans="1:14" s="70" customFormat="1" ht="12.75" customHeight="1" x14ac:dyDescent="0.2">
      <c r="A88" s="87">
        <v>45252</v>
      </c>
      <c r="B88" s="120" t="s">
        <v>6</v>
      </c>
      <c r="C88" s="75" t="s">
        <v>909</v>
      </c>
      <c r="D88" s="88">
        <v>1380738</v>
      </c>
      <c r="E88" s="2"/>
      <c r="F88" s="2"/>
      <c r="G88" s="30"/>
      <c r="H88" s="2"/>
      <c r="I88" s="2"/>
      <c r="J88" s="2"/>
      <c r="K88" s="2"/>
      <c r="L88" s="41"/>
      <c r="M88" s="42"/>
      <c r="N88" s="2"/>
    </row>
    <row r="89" spans="1:14" s="70" customFormat="1" ht="12.75" customHeight="1" x14ac:dyDescent="0.2">
      <c r="A89" s="87">
        <v>45252</v>
      </c>
      <c r="B89" s="120" t="s">
        <v>6</v>
      </c>
      <c r="C89" s="75" t="s">
        <v>909</v>
      </c>
      <c r="D89" s="88">
        <v>4316660</v>
      </c>
      <c r="E89" s="2"/>
      <c r="F89" s="2"/>
      <c r="G89" s="30"/>
      <c r="H89" s="2"/>
      <c r="I89" s="2"/>
      <c r="J89" s="2"/>
      <c r="K89" s="2"/>
      <c r="L89" s="41"/>
      <c r="M89" s="42"/>
      <c r="N89" s="2"/>
    </row>
    <row r="90" spans="1:14" s="2" customFormat="1" x14ac:dyDescent="0.2">
      <c r="A90" s="87"/>
      <c r="B90" s="74"/>
      <c r="C90" s="75"/>
      <c r="D90" s="51">
        <f>SUM(D76:D89)</f>
        <v>31890295.949999999</v>
      </c>
      <c r="F90" s="2" t="s">
        <v>396</v>
      </c>
      <c r="G90" s="1"/>
    </row>
    <row r="91" spans="1:14" s="2" customFormat="1" x14ac:dyDescent="0.2">
      <c r="A91" s="24"/>
      <c r="B91" s="1"/>
      <c r="C91" s="14"/>
      <c r="D91" s="56"/>
      <c r="E91" s="13"/>
      <c r="G91" s="1"/>
    </row>
    <row r="92" spans="1:14" s="2" customFormat="1" x14ac:dyDescent="0.2">
      <c r="A92" s="24"/>
      <c r="B92" s="1"/>
      <c r="C92" s="218" t="s">
        <v>77</v>
      </c>
      <c r="D92" s="219"/>
      <c r="E92" s="219"/>
      <c r="F92" s="220"/>
      <c r="H92" s="2" t="s">
        <v>396</v>
      </c>
    </row>
    <row r="93" spans="1:14" s="2" customFormat="1" x14ac:dyDescent="0.2">
      <c r="A93" s="24"/>
      <c r="B93" s="1"/>
      <c r="C93" s="50"/>
      <c r="D93" s="57" t="s">
        <v>78</v>
      </c>
      <c r="E93" s="58" t="s">
        <v>79</v>
      </c>
      <c r="F93" s="57" t="s">
        <v>72</v>
      </c>
      <c r="H93" s="2" t="s">
        <v>396</v>
      </c>
    </row>
    <row r="94" spans="1:14" s="2" customFormat="1" x14ac:dyDescent="0.2">
      <c r="A94" s="24"/>
      <c r="B94" s="1"/>
      <c r="C94" s="59" t="str">
        <f>"01-11-2023 to "&amp;TEXT(A5-2,"dd-mm-yyyy")</f>
        <v>01-11-2023 to 21-11-2023</v>
      </c>
      <c r="D94" s="60">
        <v>1532.89</v>
      </c>
      <c r="E94" s="60">
        <v>317.19</v>
      </c>
      <c r="F94" s="61">
        <f>SUM(D94:E94)</f>
        <v>1850.0800000000002</v>
      </c>
    </row>
    <row r="95" spans="1:14" s="2" customFormat="1" x14ac:dyDescent="0.2">
      <c r="A95" s="24"/>
      <c r="B95" s="1"/>
      <c r="C95" s="62" t="str">
        <f>TEXT(A5-1,"dd-mm-yyyy")</f>
        <v>22-11-2023</v>
      </c>
      <c r="D95" s="60">
        <v>63.17</v>
      </c>
      <c r="E95" s="60">
        <v>24.58</v>
      </c>
      <c r="F95" s="61">
        <f>SUM(D95:E95)</f>
        <v>87.75</v>
      </c>
      <c r="G95" s="1"/>
      <c r="H95" s="53"/>
    </row>
    <row r="96" spans="1:14" s="2" customFormat="1" ht="13.5" thickBot="1" x14ac:dyDescent="0.25">
      <c r="A96" s="24"/>
      <c r="B96" s="1"/>
      <c r="C96" s="63" t="str">
        <f>"01-11-2023 to "&amp;TEXT(A5-1,"dd-mm-yyyy")</f>
        <v>01-11-2023 to 22-11-2023</v>
      </c>
      <c r="D96" s="64">
        <f>SUM(D94:D95)</f>
        <v>1596.0600000000002</v>
      </c>
      <c r="E96" s="64">
        <f>SUM(E94:E95)</f>
        <v>341.77</v>
      </c>
      <c r="F96" s="64">
        <f>SUM(F94:F95)</f>
        <v>1937.8300000000002</v>
      </c>
      <c r="G96" s="1"/>
      <c r="H96" s="53"/>
    </row>
    <row r="97" spans="1:13" s="2" customFormat="1" ht="13.5" thickTop="1" x14ac:dyDescent="0.2">
      <c r="A97" s="24"/>
      <c r="B97" s="1"/>
      <c r="C97" s="62"/>
      <c r="D97" s="65"/>
      <c r="E97" s="66"/>
      <c r="F97" s="67"/>
      <c r="L97" s="1"/>
      <c r="M97" s="1"/>
    </row>
    <row r="98" spans="1:13" s="2" customFormat="1" x14ac:dyDescent="0.2">
      <c r="A98" s="24"/>
      <c r="B98" s="1"/>
      <c r="C98" s="62" t="str">
        <f>"01-04-2023 to " &amp;C95</f>
        <v>01-04-2023 to 22-11-2023</v>
      </c>
      <c r="D98" s="68">
        <f>+D96+29859.78</f>
        <v>31455.84</v>
      </c>
      <c r="E98" s="68">
        <f>+E96+2548.34</f>
        <v>2890.11</v>
      </c>
      <c r="F98" s="68">
        <f>+F96+32408.1</f>
        <v>34345.93</v>
      </c>
      <c r="G98" s="1"/>
      <c r="L98" s="1"/>
      <c r="M98" s="1"/>
    </row>
    <row r="99" spans="1:13" s="2" customFormat="1" x14ac:dyDescent="0.2">
      <c r="A99" s="24"/>
      <c r="B99" s="1"/>
      <c r="C99" s="52"/>
      <c r="D99" s="85"/>
      <c r="E99" s="53"/>
      <c r="F99" s="53"/>
      <c r="G99" s="1"/>
      <c r="L99" s="1"/>
      <c r="M99" s="1"/>
    </row>
    <row r="100" spans="1:13" s="2" customFormat="1" x14ac:dyDescent="0.2">
      <c r="A100" s="24"/>
      <c r="B100" s="1"/>
      <c r="C100" s="52"/>
      <c r="D100" s="85"/>
      <c r="E100" s="53"/>
      <c r="F100" s="53"/>
      <c r="G100" s="1"/>
      <c r="L100" s="1"/>
      <c r="M100" s="1"/>
    </row>
    <row r="101" spans="1:13" s="2" customFormat="1" x14ac:dyDescent="0.2">
      <c r="A101" s="24"/>
      <c r="B101" s="1"/>
      <c r="C101" s="52"/>
      <c r="D101" s="85"/>
      <c r="E101" s="53"/>
      <c r="F101" s="53"/>
      <c r="G101" s="1"/>
      <c r="L101" s="1"/>
      <c r="M101" s="1"/>
    </row>
    <row r="102" spans="1:13" s="2" customFormat="1" x14ac:dyDescent="0.2">
      <c r="A102" s="24"/>
      <c r="B102" s="1"/>
      <c r="C102" s="52"/>
      <c r="D102" s="85"/>
      <c r="E102" s="53"/>
      <c r="F102" s="53"/>
      <c r="G102" s="1"/>
      <c r="L102" s="1"/>
      <c r="M102" s="1"/>
    </row>
    <row r="103" spans="1:13" s="2" customFormat="1" x14ac:dyDescent="0.2">
      <c r="A103" s="24"/>
      <c r="B103" s="1"/>
      <c r="C103" s="14"/>
      <c r="D103" s="25">
        <f>SUM(D100:D102)</f>
        <v>0</v>
      </c>
      <c r="E103" s="2">
        <f>SUM(E100:E102)</f>
        <v>0</v>
      </c>
      <c r="G103" s="1"/>
      <c r="L103" s="1"/>
      <c r="M103" s="1"/>
    </row>
    <row r="104" spans="1:13" s="2" customFormat="1" x14ac:dyDescent="0.2">
      <c r="A104" s="24"/>
      <c r="B104" s="1"/>
      <c r="C104" s="14"/>
      <c r="D104" s="25"/>
      <c r="G104" s="1"/>
      <c r="L104" s="1"/>
      <c r="M104" s="1"/>
    </row>
    <row r="105" spans="1:13" s="2" customFormat="1" x14ac:dyDescent="0.2">
      <c r="A105" s="24"/>
      <c r="B105" s="1"/>
      <c r="C105" s="14"/>
      <c r="D105" s="25"/>
      <c r="G105" s="1"/>
      <c r="L105" s="1"/>
      <c r="M105" s="1"/>
    </row>
    <row r="106" spans="1:13" s="2" customFormat="1" x14ac:dyDescent="0.2">
      <c r="A106" s="24"/>
      <c r="B106" s="1"/>
      <c r="C106" s="14"/>
      <c r="D106" s="25"/>
      <c r="G106" s="1"/>
      <c r="L106" s="1"/>
      <c r="M106" s="1"/>
    </row>
    <row r="107" spans="1:13" s="2" customFormat="1" x14ac:dyDescent="0.2">
      <c r="A107" s="24"/>
      <c r="B107" s="1"/>
      <c r="C107" s="14"/>
      <c r="D107" s="25"/>
      <c r="G107" s="1"/>
      <c r="L107" s="1"/>
      <c r="M107" s="1"/>
    </row>
    <row r="108" spans="1:13" s="2" customFormat="1" x14ac:dyDescent="0.2">
      <c r="A108" s="24"/>
      <c r="B108" s="1"/>
      <c r="C108" s="14"/>
      <c r="D108" s="25"/>
      <c r="G108" s="1"/>
      <c r="L108" s="1"/>
      <c r="M108" s="1"/>
    </row>
    <row r="109" spans="1:13" s="2" customFormat="1" x14ac:dyDescent="0.2">
      <c r="A109" s="24"/>
      <c r="B109" s="1"/>
      <c r="C109" s="14"/>
      <c r="D109" s="25"/>
      <c r="G109" s="1"/>
      <c r="L109" s="1"/>
      <c r="M109" s="1"/>
    </row>
    <row r="110" spans="1:13" s="2" customFormat="1" x14ac:dyDescent="0.2">
      <c r="A110" s="24"/>
      <c r="B110" s="1"/>
      <c r="C110" s="14"/>
      <c r="D110" s="25"/>
      <c r="G110" s="1"/>
      <c r="L110" s="1"/>
      <c r="M110" s="1"/>
    </row>
    <row r="111" spans="1:13" s="2" customFormat="1" x14ac:dyDescent="0.2">
      <c r="A111" s="24"/>
      <c r="B111" s="1"/>
      <c r="C111" s="14"/>
      <c r="D111" s="25"/>
      <c r="G111" s="1"/>
      <c r="L111" s="1"/>
      <c r="M111" s="1"/>
    </row>
    <row r="112" spans="1:13" s="2" customFormat="1" x14ac:dyDescent="0.2">
      <c r="A112" s="24"/>
      <c r="B112" s="1"/>
      <c r="C112" s="14"/>
      <c r="D112" s="25"/>
      <c r="G112" s="1"/>
      <c r="L112" s="1"/>
      <c r="M112" s="1"/>
    </row>
    <row r="113" spans="1:14" s="2" customFormat="1" x14ac:dyDescent="0.2">
      <c r="A113" s="24"/>
      <c r="B113" s="1"/>
      <c r="C113" s="14"/>
      <c r="D113" s="25"/>
      <c r="G113" s="1"/>
      <c r="L113" s="1"/>
      <c r="M113" s="1"/>
    </row>
    <row r="114" spans="1:14" s="2" customFormat="1" x14ac:dyDescent="0.2">
      <c r="A114" s="24"/>
      <c r="B114" s="1"/>
      <c r="C114" s="14"/>
      <c r="D114" s="25"/>
      <c r="G114" s="1"/>
      <c r="L114" s="1"/>
      <c r="M114" s="1"/>
    </row>
    <row r="115" spans="1:14" s="2" customFormat="1" x14ac:dyDescent="0.2">
      <c r="A115" s="24"/>
      <c r="B115" s="1"/>
      <c r="C115" s="14"/>
      <c r="D115" s="25"/>
      <c r="G115" s="1"/>
      <c r="L115" s="1"/>
      <c r="M115" s="1"/>
    </row>
    <row r="116" spans="1:14" s="2" customFormat="1" x14ac:dyDescent="0.2">
      <c r="A116" s="24"/>
      <c r="B116" s="1"/>
      <c r="C116" s="14"/>
      <c r="D116" s="25"/>
      <c r="G116" s="1"/>
      <c r="L116" s="1"/>
      <c r="M116" s="1"/>
    </row>
    <row r="117" spans="1:14" s="2" customFormat="1" x14ac:dyDescent="0.2">
      <c r="A117" s="24"/>
      <c r="B117" s="1"/>
      <c r="C117" s="14"/>
      <c r="D117" s="25"/>
      <c r="G117" s="1"/>
      <c r="I117" s="1"/>
      <c r="J117" s="1"/>
      <c r="K117" s="1"/>
      <c r="L117" s="1"/>
      <c r="M117" s="1"/>
    </row>
    <row r="118" spans="1:14" s="2" customFormat="1" x14ac:dyDescent="0.2">
      <c r="A118" s="24"/>
      <c r="B118" s="1"/>
      <c r="C118" s="14"/>
      <c r="D118" s="25"/>
      <c r="G118" s="1"/>
    </row>
    <row r="119" spans="1:14" s="2" customFormat="1" x14ac:dyDescent="0.2">
      <c r="A119" s="24"/>
      <c r="B119" s="1"/>
      <c r="C119" s="14"/>
      <c r="D119" s="25"/>
      <c r="G119" s="1"/>
      <c r="I119" s="1"/>
      <c r="J119" s="1"/>
      <c r="K119" s="1"/>
      <c r="L119" s="1"/>
      <c r="M119" s="1"/>
    </row>
    <row r="120" spans="1:14" s="2" customFormat="1" x14ac:dyDescent="0.2">
      <c r="A120" s="24"/>
      <c r="B120" s="1"/>
      <c r="C120" s="14"/>
      <c r="D120" s="25"/>
      <c r="G120" s="54"/>
      <c r="I120" s="1"/>
      <c r="J120" s="1"/>
      <c r="K120" s="1"/>
      <c r="L120" s="1"/>
      <c r="M120" s="1"/>
    </row>
    <row r="121" spans="1:14" s="2" customFormat="1" x14ac:dyDescent="0.2">
      <c r="A121" s="24"/>
      <c r="B121" s="1"/>
      <c r="C121" s="14"/>
      <c r="D121" s="25"/>
      <c r="G121" s="54"/>
      <c r="I121" s="1"/>
      <c r="J121" s="1"/>
      <c r="K121" s="1"/>
      <c r="L121" s="1"/>
      <c r="M121" s="1"/>
    </row>
    <row r="122" spans="1:14" s="2" customFormat="1" x14ac:dyDescent="0.2">
      <c r="A122" s="24"/>
      <c r="B122" s="1"/>
      <c r="C122" s="14"/>
      <c r="D122" s="25"/>
      <c r="G122" s="54"/>
      <c r="I122" s="1"/>
      <c r="J122" s="1"/>
      <c r="K122" s="1"/>
      <c r="L122" s="1"/>
      <c r="M122" s="1"/>
    </row>
    <row r="123" spans="1:14" s="2" customFormat="1" x14ac:dyDescent="0.2">
      <c r="A123" s="24"/>
      <c r="B123" s="1"/>
      <c r="C123" s="14"/>
      <c r="D123" s="25"/>
      <c r="G123" s="54"/>
      <c r="H123" s="2" t="s">
        <v>396</v>
      </c>
      <c r="I123" s="1"/>
      <c r="J123" s="1"/>
      <c r="K123" s="1"/>
      <c r="L123" s="1"/>
      <c r="M123" s="1"/>
      <c r="N123" s="1"/>
    </row>
    <row r="124" spans="1:14" s="2" customFormat="1" x14ac:dyDescent="0.2">
      <c r="A124" s="24"/>
      <c r="B124" s="1"/>
      <c r="C124" s="14"/>
      <c r="D124" s="25"/>
      <c r="G124" s="54"/>
      <c r="H124" s="53"/>
    </row>
    <row r="125" spans="1:14" s="2" customFormat="1" x14ac:dyDescent="0.2">
      <c r="A125" s="24"/>
      <c r="B125" s="1"/>
      <c r="C125" s="14"/>
      <c r="D125" s="25"/>
      <c r="G125" s="54"/>
      <c r="H125" s="53" t="s">
        <v>396</v>
      </c>
      <c r="I125" s="1"/>
      <c r="J125" s="1"/>
      <c r="K125" s="1"/>
      <c r="L125" s="1"/>
      <c r="M125" s="1"/>
      <c r="N125" s="1"/>
    </row>
    <row r="126" spans="1:14" x14ac:dyDescent="0.2">
      <c r="G126" s="54"/>
      <c r="H126" s="53" t="s">
        <v>396</v>
      </c>
      <c r="J126" s="42"/>
    </row>
    <row r="127" spans="1:14" s="2" customFormat="1" x14ac:dyDescent="0.2">
      <c r="A127" s="24"/>
      <c r="B127" s="1"/>
      <c r="C127" s="14"/>
      <c r="D127" s="25"/>
      <c r="G127" s="54"/>
      <c r="H127" s="53"/>
      <c r="I127" s="101"/>
      <c r="J127" s="1"/>
      <c r="K127" s="1"/>
      <c r="L127" s="1"/>
      <c r="M127" s="1"/>
      <c r="N127" s="1"/>
    </row>
    <row r="128" spans="1:14" x14ac:dyDescent="0.2">
      <c r="G128" s="54"/>
      <c r="H128" s="53"/>
    </row>
    <row r="129" spans="7:8" x14ac:dyDescent="0.2">
      <c r="G129" s="54"/>
      <c r="H129" s="53"/>
    </row>
    <row r="130" spans="7:8" x14ac:dyDescent="0.2">
      <c r="G130" s="54"/>
      <c r="H130" s="53"/>
    </row>
  </sheetData>
  <sheetProtection insertRows="0"/>
  <mergeCells count="6">
    <mergeCell ref="C92:F92"/>
    <mergeCell ref="A1:G1"/>
    <mergeCell ref="A3:F3"/>
    <mergeCell ref="A9:F9"/>
    <mergeCell ref="A23:F23"/>
    <mergeCell ref="A74:D74"/>
  </mergeCells>
  <conditionalFormatting sqref="G71:G72">
    <cfRule type="cellIs" dxfId="211" priority="1" operator="lessThan">
      <formula>0</formula>
    </cfRule>
  </conditionalFormatting>
  <conditionalFormatting sqref="C25">
    <cfRule type="duplicateValues" dxfId="210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900-000000000000}">
  <sheetPr codeName="Sheet481">
    <pageSetUpPr fitToPage="1"/>
  </sheetPr>
  <dimension ref="A1:N131"/>
  <sheetViews>
    <sheetView topLeftCell="A13" zoomScaleNormal="100" workbookViewId="0">
      <selection activeCell="E39" sqref="E39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3" ht="20.25" customHeight="1" x14ac:dyDescent="0.4">
      <c r="A1" s="212" t="s">
        <v>1802</v>
      </c>
      <c r="B1" s="212"/>
      <c r="C1" s="212"/>
      <c r="D1" s="212"/>
      <c r="E1" s="212"/>
      <c r="F1" s="212"/>
      <c r="G1" s="212"/>
      <c r="H1" s="112"/>
      <c r="I1" s="112"/>
    </row>
    <row r="2" spans="1:13" ht="12.75" customHeight="1" x14ac:dyDescent="0.4">
      <c r="H2" s="112"/>
      <c r="I2" s="112"/>
    </row>
    <row r="3" spans="1:13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3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3" s="2" customFormat="1" ht="14.25" customHeight="1" x14ac:dyDescent="0.4">
      <c r="A5" s="89">
        <v>45254</v>
      </c>
      <c r="B5" s="9" t="s">
        <v>6</v>
      </c>
      <c r="C5" s="10" t="s">
        <v>7</v>
      </c>
      <c r="D5" s="11"/>
      <c r="E5" s="12">
        <v>700315.42</v>
      </c>
      <c r="F5" s="12"/>
      <c r="G5" s="1"/>
      <c r="H5" s="112"/>
      <c r="I5" s="112"/>
    </row>
    <row r="6" spans="1:13" s="2" customFormat="1" ht="12.75" customHeight="1" x14ac:dyDescent="0.4">
      <c r="D6" s="15" t="s">
        <v>8</v>
      </c>
      <c r="E6" s="16">
        <f>SUM(E5:E5)</f>
        <v>700315.42</v>
      </c>
      <c r="F6" s="16">
        <f>+F5</f>
        <v>0</v>
      </c>
      <c r="G6" s="1"/>
      <c r="H6" s="112"/>
      <c r="I6" s="112"/>
    </row>
    <row r="7" spans="1:13" s="2" customFormat="1" ht="12.75" customHeight="1" x14ac:dyDescent="0.4">
      <c r="A7" s="17"/>
      <c r="B7" s="18"/>
      <c r="C7" s="19" t="s">
        <v>9</v>
      </c>
      <c r="D7" s="20"/>
      <c r="E7" s="21">
        <f>+E6-F6</f>
        <v>700315.42</v>
      </c>
      <c r="F7" s="22"/>
      <c r="G7" s="23"/>
      <c r="H7" s="112"/>
      <c r="I7" s="112"/>
      <c r="J7" s="13"/>
    </row>
    <row r="8" spans="1:13" ht="12.75" customHeight="1" x14ac:dyDescent="0.4">
      <c r="H8" s="112"/>
      <c r="I8" s="112"/>
    </row>
    <row r="9" spans="1:13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69">
        <f>90000000-60000000</f>
        <v>30000000</v>
      </c>
      <c r="J9" s="169" t="s">
        <v>1508</v>
      </c>
    </row>
    <row r="10" spans="1:13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69">
        <v>30662426</v>
      </c>
      <c r="J10" s="169" t="s">
        <v>1509</v>
      </c>
      <c r="K10" s="124"/>
    </row>
    <row r="11" spans="1:13" s="2" customFormat="1" ht="14.25" customHeight="1" x14ac:dyDescent="0.2">
      <c r="A11" s="89">
        <v>45254</v>
      </c>
      <c r="B11" s="9" t="s">
        <v>6</v>
      </c>
      <c r="C11" s="10" t="s">
        <v>7</v>
      </c>
      <c r="D11" s="11"/>
      <c r="F11" s="12">
        <v>24799557.300000001</v>
      </c>
      <c r="G11" s="1"/>
      <c r="H11" s="130" t="s">
        <v>396</v>
      </c>
      <c r="I11" s="169">
        <f>+I9-I10</f>
        <v>-662426</v>
      </c>
      <c r="J11" s="169" t="s">
        <v>712</v>
      </c>
      <c r="K11" s="165" t="s">
        <v>1512</v>
      </c>
    </row>
    <row r="12" spans="1:13" s="2" customFormat="1" ht="14.25" customHeight="1" x14ac:dyDescent="0.2">
      <c r="A12" s="89">
        <v>45254</v>
      </c>
      <c r="B12" s="9" t="s">
        <v>11</v>
      </c>
      <c r="C12" s="76" t="s">
        <v>1137</v>
      </c>
      <c r="D12" s="11" t="s">
        <v>1793</v>
      </c>
      <c r="E12" s="2">
        <v>13177.6</v>
      </c>
      <c r="F12" s="12"/>
      <c r="G12" s="1"/>
      <c r="H12" s="130"/>
      <c r="I12" s="169"/>
      <c r="J12" s="169"/>
      <c r="K12" s="165"/>
    </row>
    <row r="13" spans="1:13" s="2" customFormat="1" ht="14.25" customHeight="1" x14ac:dyDescent="0.2">
      <c r="A13" s="89">
        <v>45254</v>
      </c>
      <c r="B13" s="9" t="s">
        <v>6</v>
      </c>
      <c r="C13" s="76" t="s">
        <v>1137</v>
      </c>
      <c r="D13" s="11" t="s">
        <v>29</v>
      </c>
      <c r="F13" s="12">
        <v>45</v>
      </c>
      <c r="G13" s="1"/>
      <c r="H13" s="130"/>
      <c r="I13" s="169"/>
      <c r="J13" s="169"/>
      <c r="K13" s="165"/>
    </row>
    <row r="14" spans="1:13" s="2" customFormat="1" ht="14.25" customHeight="1" x14ac:dyDescent="0.2">
      <c r="A14" s="89">
        <v>45254</v>
      </c>
      <c r="B14" s="9" t="s">
        <v>6</v>
      </c>
      <c r="C14" s="76" t="s">
        <v>1462</v>
      </c>
      <c r="D14" s="11" t="s">
        <v>29</v>
      </c>
      <c r="F14" s="12">
        <v>1037786.3</v>
      </c>
      <c r="G14" s="1"/>
      <c r="H14" s="130"/>
      <c r="I14" s="169"/>
      <c r="J14" s="169"/>
      <c r="K14" s="165"/>
    </row>
    <row r="15" spans="1:13" s="2" customFormat="1" ht="14.25" customHeight="1" x14ac:dyDescent="0.2">
      <c r="A15" s="89">
        <v>45254</v>
      </c>
      <c r="B15" s="9" t="s">
        <v>6</v>
      </c>
      <c r="C15" s="76" t="s">
        <v>1789</v>
      </c>
      <c r="D15" s="11" t="s">
        <v>499</v>
      </c>
      <c r="F15" s="12">
        <v>4146289</v>
      </c>
      <c r="G15" s="1"/>
      <c r="H15" s="130"/>
      <c r="I15" s="169"/>
      <c r="J15" s="169"/>
      <c r="K15" s="165"/>
    </row>
    <row r="16" spans="1:13" s="2" customFormat="1" ht="14.25" customHeight="1" x14ac:dyDescent="0.2">
      <c r="D16" s="11" t="s">
        <v>8</v>
      </c>
      <c r="E16" s="16">
        <f>SUM(E11:E15)</f>
        <v>13177.6</v>
      </c>
      <c r="F16" s="16">
        <f>SUM(F11:F15)</f>
        <v>29983677.600000001</v>
      </c>
      <c r="G16" s="1"/>
      <c r="H16" s="143"/>
      <c r="I16" s="130"/>
      <c r="J16" s="143"/>
      <c r="K16" s="143"/>
      <c r="L16" s="143"/>
      <c r="M16" s="143"/>
    </row>
    <row r="17" spans="1:14" s="2" customFormat="1" ht="14.25" customHeight="1" x14ac:dyDescent="0.4">
      <c r="A17" s="17"/>
      <c r="B17" s="18"/>
      <c r="C17" s="96" t="s">
        <v>9</v>
      </c>
      <c r="D17" s="20"/>
      <c r="E17" s="21">
        <f>+F16-E16</f>
        <v>29970500</v>
      </c>
      <c r="G17" s="1"/>
      <c r="I17" s="112"/>
      <c r="J17" s="153" t="s">
        <v>779</v>
      </c>
    </row>
    <row r="18" spans="1:14" s="2" customFormat="1" ht="14.25" customHeight="1" x14ac:dyDescent="0.2">
      <c r="A18" s="36"/>
      <c r="B18" s="28" t="s">
        <v>66</v>
      </c>
      <c r="C18" s="43" t="s">
        <v>1458</v>
      </c>
      <c r="D18" s="43"/>
      <c r="E18" s="12">
        <f>30000000+60000000</f>
        <v>90000000</v>
      </c>
      <c r="F18" s="22"/>
      <c r="G18" s="1"/>
      <c r="I18" s="40">
        <v>29970500</v>
      </c>
      <c r="J18" s="154">
        <f>I18-E17</f>
        <v>0</v>
      </c>
    </row>
    <row r="19" spans="1:14" s="2" customFormat="1" ht="14.25" customHeight="1" x14ac:dyDescent="0.25">
      <c r="A19" s="36"/>
      <c r="B19" s="28"/>
      <c r="C19" s="44" t="s">
        <v>1541</v>
      </c>
      <c r="D19" s="43"/>
      <c r="E19" s="7">
        <f>+E17+E18</f>
        <v>119970500</v>
      </c>
      <c r="F19" s="22"/>
      <c r="G19" s="1"/>
      <c r="H19" s="13" t="s">
        <v>1582</v>
      </c>
      <c r="I19" s="13" t="s">
        <v>1583</v>
      </c>
    </row>
    <row r="20" spans="1:14" s="2" customFormat="1" ht="14.25" customHeight="1" x14ac:dyDescent="0.25">
      <c r="A20" s="36"/>
      <c r="B20" s="28"/>
      <c r="C20" s="44" t="s">
        <v>1511</v>
      </c>
      <c r="D20" s="43"/>
      <c r="E20" s="38">
        <f>+I11</f>
        <v>-662426</v>
      </c>
      <c r="F20" s="22"/>
      <c r="G20" s="1"/>
      <c r="H20" s="2">
        <v>3682872</v>
      </c>
      <c r="I20" s="2">
        <v>11432955</v>
      </c>
      <c r="J20" s="176">
        <f>H20-I20</f>
        <v>-7750083</v>
      </c>
    </row>
    <row r="21" spans="1:14" s="2" customFormat="1" ht="14.25" customHeight="1" x14ac:dyDescent="0.2">
      <c r="A21" s="24"/>
      <c r="B21" s="1"/>
      <c r="C21" s="14"/>
      <c r="D21" s="25"/>
      <c r="G21" s="1"/>
      <c r="I21" s="130"/>
      <c r="J21" s="130"/>
    </row>
    <row r="22" spans="1:14" s="2" customFormat="1" x14ac:dyDescent="0.2">
      <c r="A22" s="214" t="s">
        <v>10</v>
      </c>
      <c r="B22" s="214"/>
      <c r="C22" s="214"/>
      <c r="D22" s="214"/>
      <c r="E22" s="214"/>
      <c r="F22" s="214"/>
      <c r="G22" s="1"/>
      <c r="H22" s="159"/>
      <c r="I22" s="160">
        <f>225000000-75000000-50000000+75000000-75000000+175000000</f>
        <v>275000000</v>
      </c>
      <c r="J22" s="160" t="s">
        <v>1506</v>
      </c>
      <c r="K22" s="70"/>
    </row>
    <row r="23" spans="1:14" s="2" customFormat="1" x14ac:dyDescent="0.2">
      <c r="A23" s="26" t="s">
        <v>1</v>
      </c>
      <c r="B23" s="27" t="s">
        <v>2</v>
      </c>
      <c r="C23" s="5"/>
      <c r="D23" s="6" t="s">
        <v>3</v>
      </c>
      <c r="E23" s="7" t="s">
        <v>4</v>
      </c>
      <c r="F23" s="7" t="s">
        <v>5</v>
      </c>
      <c r="G23" s="1"/>
      <c r="H23" s="159"/>
      <c r="I23" s="160">
        <v>210810422.33000001</v>
      </c>
      <c r="J23" s="160" t="s">
        <v>1507</v>
      </c>
      <c r="K23" s="70" t="s">
        <v>1512</v>
      </c>
    </row>
    <row r="24" spans="1:14" s="2" customFormat="1" x14ac:dyDescent="0.2">
      <c r="A24" s="89">
        <v>45254</v>
      </c>
      <c r="B24" s="128" t="s">
        <v>11</v>
      </c>
      <c r="C24" s="29" t="s">
        <v>7</v>
      </c>
      <c r="D24" s="25"/>
      <c r="E24" s="31"/>
      <c r="F24" s="2">
        <v>226056883.20000008</v>
      </c>
      <c r="G24" s="23"/>
      <c r="H24" s="159" t="s">
        <v>1505</v>
      </c>
      <c r="I24" s="160">
        <f>+I22-I23</f>
        <v>64189577.669999987</v>
      </c>
      <c r="J24" s="160"/>
      <c r="K24" s="70"/>
    </row>
    <row r="25" spans="1:14" s="2" customFormat="1" x14ac:dyDescent="0.2">
      <c r="A25" s="89">
        <v>45254</v>
      </c>
      <c r="B25" s="128" t="s">
        <v>6</v>
      </c>
      <c r="C25" s="10" t="s">
        <v>670</v>
      </c>
      <c r="D25" s="11" t="s">
        <v>13</v>
      </c>
      <c r="E25" s="86">
        <v>1336775</v>
      </c>
      <c r="F25" s="70"/>
      <c r="G25" s="1"/>
      <c r="N25" s="1"/>
    </row>
    <row r="26" spans="1:14" s="2" customFormat="1" x14ac:dyDescent="0.2">
      <c r="A26" s="89">
        <v>45254</v>
      </c>
      <c r="B26" s="128" t="s">
        <v>6</v>
      </c>
      <c r="C26" s="10" t="s">
        <v>632</v>
      </c>
      <c r="D26" s="11" t="s">
        <v>13</v>
      </c>
      <c r="E26" s="86">
        <v>14648</v>
      </c>
      <c r="F26" s="70"/>
      <c r="G26" s="1"/>
      <c r="N26" s="1"/>
    </row>
    <row r="27" spans="1:14" s="2" customFormat="1" x14ac:dyDescent="0.2">
      <c r="A27" s="89">
        <v>45254</v>
      </c>
      <c r="B27" s="128" t="s">
        <v>6</v>
      </c>
      <c r="C27" s="10" t="s">
        <v>1625</v>
      </c>
      <c r="D27" s="11" t="s">
        <v>13</v>
      </c>
      <c r="E27" s="86">
        <v>42893</v>
      </c>
      <c r="F27" s="70"/>
      <c r="G27" s="1"/>
      <c r="N27" s="1"/>
    </row>
    <row r="28" spans="1:14" s="2" customFormat="1" x14ac:dyDescent="0.2">
      <c r="A28" s="89">
        <v>45254</v>
      </c>
      <c r="B28" s="128" t="s">
        <v>6</v>
      </c>
      <c r="C28" s="10" t="s">
        <v>381</v>
      </c>
      <c r="D28" s="11" t="s">
        <v>13</v>
      </c>
      <c r="E28" s="86">
        <v>42158</v>
      </c>
      <c r="F28" s="70"/>
      <c r="G28" s="1"/>
      <c r="N28" s="1"/>
    </row>
    <row r="29" spans="1:14" s="2" customFormat="1" x14ac:dyDescent="0.2">
      <c r="A29" s="89">
        <v>45254</v>
      </c>
      <c r="B29" s="128" t="s">
        <v>6</v>
      </c>
      <c r="C29" s="10" t="s">
        <v>1803</v>
      </c>
      <c r="D29" s="11" t="s">
        <v>13</v>
      </c>
      <c r="E29" s="86">
        <v>2657919</v>
      </c>
      <c r="F29" s="70"/>
      <c r="G29" s="1"/>
      <c r="N29" s="1"/>
    </row>
    <row r="30" spans="1:14" s="2" customFormat="1" x14ac:dyDescent="0.2">
      <c r="A30" s="89">
        <v>45254</v>
      </c>
      <c r="B30" s="128" t="s">
        <v>6</v>
      </c>
      <c r="C30" s="10" t="s">
        <v>1265</v>
      </c>
      <c r="D30" s="11" t="s">
        <v>13</v>
      </c>
      <c r="E30" s="86">
        <v>16779</v>
      </c>
      <c r="F30" s="70"/>
      <c r="G30" s="1"/>
      <c r="N30" s="1"/>
    </row>
    <row r="31" spans="1:14" s="2" customFormat="1" x14ac:dyDescent="0.2">
      <c r="A31" s="89">
        <v>45254</v>
      </c>
      <c r="B31" s="128" t="s">
        <v>6</v>
      </c>
      <c r="C31" s="10" t="s">
        <v>1804</v>
      </c>
      <c r="D31" s="11" t="s">
        <v>13</v>
      </c>
      <c r="E31" s="86">
        <v>5339</v>
      </c>
      <c r="F31" s="70"/>
      <c r="G31" s="1"/>
      <c r="N31" s="1"/>
    </row>
    <row r="32" spans="1:14" s="2" customFormat="1" x14ac:dyDescent="0.2">
      <c r="A32" s="89">
        <v>45254</v>
      </c>
      <c r="B32" s="128" t="s">
        <v>6</v>
      </c>
      <c r="C32" s="10" t="s">
        <v>788</v>
      </c>
      <c r="D32" s="11" t="s">
        <v>13</v>
      </c>
      <c r="E32" s="86">
        <v>306133</v>
      </c>
      <c r="F32" s="70"/>
      <c r="G32" s="1"/>
      <c r="N32" s="1"/>
    </row>
    <row r="33" spans="1:14" s="2" customFormat="1" x14ac:dyDescent="0.2">
      <c r="A33" s="89">
        <v>45254</v>
      </c>
      <c r="B33" s="128" t="s">
        <v>6</v>
      </c>
      <c r="C33" s="10" t="s">
        <v>149</v>
      </c>
      <c r="D33" s="11" t="s">
        <v>13</v>
      </c>
      <c r="E33" s="86">
        <v>3010</v>
      </c>
      <c r="F33" s="70"/>
      <c r="G33" s="1"/>
      <c r="N33" s="1"/>
    </row>
    <row r="34" spans="1:14" s="2" customFormat="1" x14ac:dyDescent="0.2">
      <c r="A34" s="89">
        <v>45254</v>
      </c>
      <c r="B34" s="128" t="s">
        <v>6</v>
      </c>
      <c r="C34" s="10" t="s">
        <v>15</v>
      </c>
      <c r="D34" s="11" t="s">
        <v>13</v>
      </c>
      <c r="E34" s="86">
        <v>2533.8200000000002</v>
      </c>
      <c r="F34" s="70"/>
      <c r="G34" s="1"/>
      <c r="N34" s="1"/>
    </row>
    <row r="35" spans="1:14" s="2" customFormat="1" x14ac:dyDescent="0.2">
      <c r="A35" s="89">
        <v>45254</v>
      </c>
      <c r="B35" s="128" t="s">
        <v>6</v>
      </c>
      <c r="C35" s="10" t="s">
        <v>389</v>
      </c>
      <c r="D35" s="11" t="s">
        <v>13</v>
      </c>
      <c r="E35" s="86">
        <v>457537.77</v>
      </c>
      <c r="F35" s="70"/>
      <c r="G35" s="1"/>
      <c r="N35" s="1"/>
    </row>
    <row r="36" spans="1:14" s="2" customFormat="1" x14ac:dyDescent="0.2">
      <c r="A36" s="89">
        <v>45254</v>
      </c>
      <c r="B36" s="128" t="s">
        <v>6</v>
      </c>
      <c r="C36" s="10" t="s">
        <v>955</v>
      </c>
      <c r="D36" s="11" t="s">
        <v>13</v>
      </c>
      <c r="E36" s="86">
        <v>5921959.0800000001</v>
      </c>
      <c r="F36" s="70"/>
      <c r="G36" s="1"/>
      <c r="N36" s="1"/>
    </row>
    <row r="37" spans="1:14" s="2" customFormat="1" x14ac:dyDescent="0.2">
      <c r="A37" s="89">
        <v>45254</v>
      </c>
      <c r="B37" s="128" t="s">
        <v>6</v>
      </c>
      <c r="C37" s="10" t="s">
        <v>947</v>
      </c>
      <c r="D37" s="11" t="s">
        <v>13</v>
      </c>
      <c r="E37" s="86">
        <v>3331375</v>
      </c>
      <c r="F37" s="70"/>
      <c r="G37" s="1"/>
      <c r="N37" s="1"/>
    </row>
    <row r="38" spans="1:14" s="2" customFormat="1" x14ac:dyDescent="0.2">
      <c r="A38" s="89">
        <v>45254</v>
      </c>
      <c r="B38" s="128" t="s">
        <v>6</v>
      </c>
      <c r="C38" s="10" t="s">
        <v>583</v>
      </c>
      <c r="D38" s="11" t="s">
        <v>13</v>
      </c>
      <c r="E38" s="86">
        <v>1000000</v>
      </c>
      <c r="F38" s="70"/>
      <c r="G38" s="1"/>
      <c r="N38" s="1"/>
    </row>
    <row r="39" spans="1:14" s="2" customFormat="1" x14ac:dyDescent="0.2">
      <c r="A39" s="89">
        <v>45254</v>
      </c>
      <c r="B39" s="128" t="s">
        <v>6</v>
      </c>
      <c r="C39" s="10" t="s">
        <v>120</v>
      </c>
      <c r="D39" s="11" t="s">
        <v>13</v>
      </c>
      <c r="E39" s="86">
        <v>1820185</v>
      </c>
      <c r="F39" s="70"/>
      <c r="G39" s="1"/>
      <c r="N39" s="1"/>
    </row>
    <row r="40" spans="1:14" s="2" customFormat="1" x14ac:dyDescent="0.2">
      <c r="A40" s="89">
        <v>45254</v>
      </c>
      <c r="B40" s="128" t="s">
        <v>11</v>
      </c>
      <c r="C40" s="10" t="s">
        <v>64</v>
      </c>
      <c r="D40" s="11" t="s">
        <v>29</v>
      </c>
      <c r="E40" s="86"/>
      <c r="F40" s="70">
        <v>15563.48</v>
      </c>
      <c r="G40" s="1"/>
      <c r="N40" s="1"/>
    </row>
    <row r="41" spans="1:14" s="2" customFormat="1" x14ac:dyDescent="0.2">
      <c r="A41" s="89">
        <v>45254</v>
      </c>
      <c r="B41" s="128" t="s">
        <v>11</v>
      </c>
      <c r="C41" s="10" t="s">
        <v>206</v>
      </c>
      <c r="D41" s="11" t="s">
        <v>29</v>
      </c>
      <c r="E41" s="86"/>
      <c r="F41" s="70">
        <v>99000</v>
      </c>
      <c r="G41" s="1"/>
      <c r="N41" s="1"/>
    </row>
    <row r="42" spans="1:14" s="2" customFormat="1" x14ac:dyDescent="0.2">
      <c r="A42" s="89">
        <v>45254</v>
      </c>
      <c r="B42" s="128" t="s">
        <v>11</v>
      </c>
      <c r="C42" s="10" t="s">
        <v>493</v>
      </c>
      <c r="D42" s="11" t="s">
        <v>29</v>
      </c>
      <c r="E42" s="86"/>
      <c r="F42" s="70">
        <v>38130</v>
      </c>
      <c r="G42" s="1"/>
      <c r="N42" s="1"/>
    </row>
    <row r="43" spans="1:14" s="2" customFormat="1" x14ac:dyDescent="0.2">
      <c r="A43" s="89">
        <v>45254</v>
      </c>
      <c r="B43" s="128" t="s">
        <v>11</v>
      </c>
      <c r="C43" s="10" t="s">
        <v>262</v>
      </c>
      <c r="D43" s="11" t="s">
        <v>29</v>
      </c>
      <c r="E43" s="86"/>
      <c r="F43" s="70">
        <v>17721</v>
      </c>
      <c r="G43" s="1"/>
      <c r="N43" s="1"/>
    </row>
    <row r="44" spans="1:14" s="2" customFormat="1" x14ac:dyDescent="0.2">
      <c r="A44" s="89">
        <v>45254</v>
      </c>
      <c r="B44" s="128" t="s">
        <v>11</v>
      </c>
      <c r="C44" s="10" t="s">
        <v>171</v>
      </c>
      <c r="D44" s="11" t="s">
        <v>29</v>
      </c>
      <c r="E44" s="86"/>
      <c r="F44" s="70">
        <v>1053</v>
      </c>
      <c r="G44" s="1"/>
      <c r="N44" s="1"/>
    </row>
    <row r="45" spans="1:14" s="2" customFormat="1" x14ac:dyDescent="0.2">
      <c r="A45" s="89">
        <v>45254</v>
      </c>
      <c r="B45" s="128" t="s">
        <v>11</v>
      </c>
      <c r="C45" s="10" t="s">
        <v>16</v>
      </c>
      <c r="D45" s="11" t="s">
        <v>29</v>
      </c>
      <c r="E45" s="86"/>
      <c r="F45" s="70">
        <v>244614.32</v>
      </c>
      <c r="G45" s="1"/>
      <c r="N45" s="1"/>
    </row>
    <row r="46" spans="1:14" s="2" customFormat="1" x14ac:dyDescent="0.2">
      <c r="A46" s="89">
        <v>45254</v>
      </c>
      <c r="B46" s="128" t="s">
        <v>11</v>
      </c>
      <c r="C46" s="10" t="s">
        <v>1805</v>
      </c>
      <c r="D46" s="11" t="s">
        <v>29</v>
      </c>
      <c r="E46" s="86"/>
      <c r="F46" s="70">
        <v>1000000</v>
      </c>
      <c r="G46" s="1"/>
      <c r="N46" s="1"/>
    </row>
    <row r="47" spans="1:14" s="2" customFormat="1" x14ac:dyDescent="0.2">
      <c r="A47" s="89">
        <v>45254</v>
      </c>
      <c r="B47" s="128" t="s">
        <v>11</v>
      </c>
      <c r="C47" s="10" t="s">
        <v>561</v>
      </c>
      <c r="D47" s="11" t="s">
        <v>29</v>
      </c>
      <c r="E47" s="86"/>
      <c r="F47" s="70">
        <v>322596</v>
      </c>
      <c r="G47" s="1"/>
      <c r="N47" s="1"/>
    </row>
    <row r="48" spans="1:14" s="2" customFormat="1" x14ac:dyDescent="0.2">
      <c r="A48" s="89">
        <v>45254</v>
      </c>
      <c r="B48" s="128" t="s">
        <v>11</v>
      </c>
      <c r="C48" s="10" t="s">
        <v>410</v>
      </c>
      <c r="D48" s="11" t="s">
        <v>29</v>
      </c>
      <c r="E48" s="86"/>
      <c r="F48" s="70">
        <v>239068</v>
      </c>
      <c r="G48" s="1"/>
      <c r="N48" s="1"/>
    </row>
    <row r="49" spans="1:14" s="2" customFormat="1" x14ac:dyDescent="0.2">
      <c r="A49" s="89">
        <v>45254</v>
      </c>
      <c r="B49" s="128" t="s">
        <v>11</v>
      </c>
      <c r="C49" s="10" t="s">
        <v>1025</v>
      </c>
      <c r="D49" s="11" t="s">
        <v>29</v>
      </c>
      <c r="E49" s="86"/>
      <c r="F49" s="70">
        <v>500000</v>
      </c>
      <c r="G49" s="1"/>
      <c r="N49" s="1"/>
    </row>
    <row r="50" spans="1:14" s="2" customFormat="1" x14ac:dyDescent="0.2">
      <c r="A50" s="89">
        <v>45254</v>
      </c>
      <c r="B50" s="128" t="s">
        <v>11</v>
      </c>
      <c r="C50" s="10" t="s">
        <v>1403</v>
      </c>
      <c r="D50" s="11" t="s">
        <v>29</v>
      </c>
      <c r="E50" s="86"/>
      <c r="F50" s="70">
        <v>6985121</v>
      </c>
      <c r="G50" s="1"/>
      <c r="N50" s="1"/>
    </row>
    <row r="51" spans="1:14" s="2" customFormat="1" x14ac:dyDescent="0.2">
      <c r="A51" s="32"/>
      <c r="B51" s="33"/>
      <c r="C51" s="14"/>
      <c r="D51" s="34"/>
      <c r="E51" s="16">
        <f>SUM(E24:E50)</f>
        <v>16959244.670000002</v>
      </c>
      <c r="F51" s="16">
        <f>SUM(F24:F50)</f>
        <v>235519750.00000006</v>
      </c>
      <c r="G51" s="1"/>
      <c r="H51" s="1"/>
      <c r="I51" s="38">
        <v>218560505.33000001</v>
      </c>
      <c r="K51" s="92">
        <f>E52-I51</f>
        <v>0</v>
      </c>
      <c r="N51" s="1"/>
    </row>
    <row r="52" spans="1:14" s="2" customFormat="1" x14ac:dyDescent="0.2">
      <c r="A52" s="36"/>
      <c r="B52" s="28" t="s">
        <v>11</v>
      </c>
      <c r="C52" s="19" t="s">
        <v>65</v>
      </c>
      <c r="D52" s="37"/>
      <c r="E52" s="38">
        <f>F51-E51</f>
        <v>218560505.33000004</v>
      </c>
      <c r="F52" s="22"/>
      <c r="G52" s="1"/>
      <c r="H52" s="1"/>
      <c r="I52" s="70"/>
      <c r="J52" s="70"/>
      <c r="K52" s="70"/>
      <c r="N52" s="1"/>
    </row>
    <row r="53" spans="1:14" s="2" customFormat="1" x14ac:dyDescent="0.2">
      <c r="A53" s="36"/>
      <c r="B53" s="28" t="s">
        <v>66</v>
      </c>
      <c r="C53" s="19" t="s">
        <v>67</v>
      </c>
      <c r="D53" s="37"/>
      <c r="E53" s="38">
        <v>6500000</v>
      </c>
      <c r="F53" s="22"/>
      <c r="G53" s="1"/>
      <c r="H53" s="70"/>
      <c r="I53" s="70"/>
      <c r="J53" s="70"/>
      <c r="K53" s="70"/>
      <c r="N53" s="1"/>
    </row>
    <row r="54" spans="1:14" s="2" customFormat="1" x14ac:dyDescent="0.2">
      <c r="A54" s="36"/>
      <c r="B54" s="28" t="s">
        <v>66</v>
      </c>
      <c r="C54" s="43" t="s">
        <v>1457</v>
      </c>
      <c r="D54" s="43"/>
      <c r="E54" s="12">
        <f>275000000+75000000+50000000-75000000+75000000-175000000</f>
        <v>225000000</v>
      </c>
      <c r="F54" s="22"/>
      <c r="G54" s="1"/>
      <c r="H54" s="70"/>
      <c r="I54" s="45">
        <v>2478.13</v>
      </c>
      <c r="J54" s="46"/>
      <c r="K54" s="46"/>
      <c r="N54" s="1"/>
    </row>
    <row r="55" spans="1:14" s="2" customFormat="1" ht="15" x14ac:dyDescent="0.25">
      <c r="A55" s="36"/>
      <c r="B55" s="28"/>
      <c r="C55" s="44" t="s">
        <v>1541</v>
      </c>
      <c r="D55" s="43"/>
      <c r="E55" s="7">
        <f>+E54+E52+E53</f>
        <v>450060505.33000004</v>
      </c>
      <c r="F55" s="22"/>
      <c r="G55" s="1"/>
      <c r="H55" s="103" t="s">
        <v>69</v>
      </c>
      <c r="I55" s="45">
        <v>-76.069999999999993</v>
      </c>
      <c r="J55" s="46"/>
      <c r="K55" s="46"/>
      <c r="N55" s="1"/>
    </row>
    <row r="56" spans="1:14" s="2" customFormat="1" ht="15" x14ac:dyDescent="0.25">
      <c r="A56" s="24"/>
      <c r="B56" s="1"/>
      <c r="C56" s="44" t="s">
        <v>1510</v>
      </c>
      <c r="D56" s="25"/>
      <c r="E56" s="156">
        <f>+I24-E53+H20-I20</f>
        <v>49939494.669999987</v>
      </c>
      <c r="G56" s="1"/>
      <c r="H56" s="35" t="s">
        <v>70</v>
      </c>
      <c r="I56" s="45">
        <v>63.81</v>
      </c>
      <c r="J56" s="46">
        <f>+I57-D59</f>
        <v>0</v>
      </c>
      <c r="N56" s="1"/>
    </row>
    <row r="57" spans="1:14" s="124" customFormat="1" ht="12.75" customHeight="1" x14ac:dyDescent="0.2">
      <c r="A57" s="24"/>
      <c r="B57" s="1"/>
      <c r="C57" s="56"/>
      <c r="D57" s="56"/>
      <c r="E57" s="104"/>
      <c r="F57" s="2"/>
      <c r="G57" s="166"/>
      <c r="H57" s="70"/>
      <c r="I57" s="49">
        <f>SUM(I54:I56)</f>
        <v>2465.87</v>
      </c>
      <c r="J57" s="46"/>
      <c r="K57" s="46"/>
    </row>
    <row r="58" spans="1:14" s="124" customFormat="1" ht="12.75" customHeight="1" x14ac:dyDescent="0.2">
      <c r="A58" s="24"/>
      <c r="B58" s="1"/>
      <c r="C58" s="78" t="s">
        <v>575</v>
      </c>
      <c r="D58" s="48" t="s">
        <v>576</v>
      </c>
      <c r="E58" s="104"/>
      <c r="F58" s="2"/>
      <c r="G58" s="168"/>
      <c r="H58" s="167"/>
      <c r="I58" s="167"/>
      <c r="J58" s="168"/>
    </row>
    <row r="59" spans="1:14" s="124" customFormat="1" ht="12.75" customHeight="1" x14ac:dyDescent="0.2">
      <c r="A59" s="24"/>
      <c r="B59" s="1"/>
      <c r="C59" s="47" t="s">
        <v>570</v>
      </c>
      <c r="D59" s="111">
        <v>2465.87</v>
      </c>
      <c r="E59" s="104"/>
      <c r="F59" s="2"/>
      <c r="G59" s="168"/>
      <c r="H59" s="110" t="s">
        <v>581</v>
      </c>
      <c r="I59" s="167"/>
      <c r="J59" s="168"/>
    </row>
    <row r="60" spans="1:14" s="124" customFormat="1" ht="12.75" customHeight="1" x14ac:dyDescent="0.2">
      <c r="A60" s="24"/>
      <c r="B60" s="1"/>
      <c r="C60" s="47" t="s">
        <v>931</v>
      </c>
      <c r="D60" s="111">
        <v>147.63</v>
      </c>
      <c r="E60" s="104"/>
      <c r="F60" s="2"/>
      <c r="G60" s="168"/>
      <c r="H60" s="110" t="s">
        <v>580</v>
      </c>
      <c r="I60" s="167"/>
      <c r="J60" s="168"/>
    </row>
    <row r="61" spans="1:14" s="124" customFormat="1" ht="12.75" customHeight="1" x14ac:dyDescent="0.2">
      <c r="A61" s="24"/>
      <c r="B61" s="1"/>
      <c r="C61" s="47" t="s">
        <v>572</v>
      </c>
      <c r="D61" s="111">
        <f>+D91/100000</f>
        <v>360.36584950000002</v>
      </c>
      <c r="E61" s="104"/>
      <c r="F61" s="2"/>
      <c r="G61" s="166"/>
      <c r="H61" s="90" t="s">
        <v>587</v>
      </c>
      <c r="I61" s="167"/>
      <c r="J61" s="168"/>
    </row>
    <row r="62" spans="1:14" s="2" customFormat="1" x14ac:dyDescent="0.2">
      <c r="A62" s="24"/>
      <c r="B62" s="1"/>
      <c r="C62" s="108" t="s">
        <v>578</v>
      </c>
      <c r="D62" s="48">
        <f>SUM(D59:D61)</f>
        <v>2973.8658495</v>
      </c>
      <c r="E62" s="104"/>
      <c r="G62" s="30"/>
      <c r="I62" s="13"/>
      <c r="J62" s="13"/>
    </row>
    <row r="63" spans="1:14" s="70" customFormat="1" x14ac:dyDescent="0.2">
      <c r="A63" s="24"/>
      <c r="B63" s="1"/>
      <c r="C63" s="47"/>
      <c r="D63" s="107"/>
      <c r="E63" s="104"/>
      <c r="F63" s="2"/>
      <c r="G63" s="30"/>
      <c r="H63" s="2"/>
    </row>
    <row r="64" spans="1:14" s="70" customFormat="1" x14ac:dyDescent="0.2">
      <c r="A64" s="24"/>
      <c r="B64" s="1"/>
      <c r="C64" s="47" t="s">
        <v>932</v>
      </c>
      <c r="D64" s="111">
        <v>11.99</v>
      </c>
      <c r="E64" s="104"/>
      <c r="F64" s="2"/>
      <c r="G64" s="30"/>
      <c r="H64" s="110" t="s">
        <v>581</v>
      </c>
    </row>
    <row r="65" spans="1:14" s="70" customFormat="1" x14ac:dyDescent="0.2">
      <c r="A65" s="24"/>
      <c r="B65" s="1"/>
      <c r="C65" s="136" t="s">
        <v>1142</v>
      </c>
      <c r="D65" s="111">
        <f>752.38-117.09</f>
        <v>635.29</v>
      </c>
      <c r="E65" s="104"/>
      <c r="F65" s="2"/>
      <c r="G65" s="30"/>
      <c r="H65" s="110" t="s">
        <v>581</v>
      </c>
    </row>
    <row r="66" spans="1:14" s="70" customFormat="1" x14ac:dyDescent="0.2">
      <c r="A66" s="24"/>
      <c r="B66" s="1"/>
      <c r="C66" s="78" t="s">
        <v>579</v>
      </c>
      <c r="D66" s="109">
        <f>D64+D65</f>
        <v>647.28</v>
      </c>
      <c r="E66" s="104"/>
      <c r="F66" s="2"/>
      <c r="G66" s="30"/>
    </row>
    <row r="67" spans="1:14" s="70" customFormat="1" x14ac:dyDescent="0.2">
      <c r="A67" s="24"/>
      <c r="B67" s="1"/>
      <c r="C67" s="105"/>
      <c r="D67" s="106"/>
      <c r="E67" s="104"/>
      <c r="F67" s="2"/>
      <c r="G67" s="30"/>
      <c r="I67" s="2"/>
      <c r="J67" s="114" t="s">
        <v>713</v>
      </c>
      <c r="K67" s="2"/>
      <c r="L67" s="2"/>
      <c r="M67" s="2"/>
    </row>
    <row r="68" spans="1:14" s="70" customFormat="1" x14ac:dyDescent="0.2">
      <c r="A68" s="24"/>
      <c r="B68" s="1"/>
      <c r="C68" s="78" t="s">
        <v>577</v>
      </c>
      <c r="D68" s="109">
        <f>D59+D66</f>
        <v>3113.1499999999996</v>
      </c>
      <c r="E68" s="104"/>
      <c r="F68" s="2"/>
      <c r="G68" s="30"/>
      <c r="I68" s="113"/>
      <c r="J68" s="113" t="s">
        <v>709</v>
      </c>
      <c r="K68" s="113" t="s">
        <v>710</v>
      </c>
      <c r="L68" s="113" t="s">
        <v>711</v>
      </c>
      <c r="M68" s="113" t="s">
        <v>712</v>
      </c>
    </row>
    <row r="69" spans="1:14" s="70" customFormat="1" x14ac:dyDescent="0.2">
      <c r="A69" s="24"/>
      <c r="B69" s="1"/>
      <c r="C69" s="56"/>
      <c r="D69" s="56"/>
      <c r="E69" s="104"/>
      <c r="F69" s="2"/>
      <c r="G69" s="30"/>
      <c r="I69" s="113" t="s">
        <v>706</v>
      </c>
      <c r="J69" s="115"/>
      <c r="K69" s="115">
        <v>968.99</v>
      </c>
      <c r="L69" s="115">
        <v>968.99</v>
      </c>
      <c r="M69" s="113">
        <f>+J69+L69-K69</f>
        <v>0</v>
      </c>
    </row>
    <row r="70" spans="1:14" s="70" customFormat="1" ht="38.25" x14ac:dyDescent="0.2">
      <c r="A70" s="24"/>
      <c r="B70" s="1"/>
      <c r="C70" s="79" t="str">
        <f>"Particulars ( 01-04-2021 to "&amp;TEXT(A5,"dd-mm-yyyy")&amp;" )"</f>
        <v>Particulars ( 01-04-2021 to 24-11-2023 )</v>
      </c>
      <c r="D70" s="80" t="s">
        <v>73</v>
      </c>
      <c r="E70" s="80" t="s">
        <v>74</v>
      </c>
      <c r="F70" s="81" t="s">
        <v>75</v>
      </c>
      <c r="G70" s="80" t="s">
        <v>76</v>
      </c>
      <c r="I70" s="113" t="s">
        <v>707</v>
      </c>
      <c r="J70" s="115">
        <v>183.1</v>
      </c>
      <c r="K70" s="115">
        <v>4044.96</v>
      </c>
      <c r="L70" s="115">
        <v>4132.1499999999996</v>
      </c>
      <c r="M70" s="113">
        <f>+J70+L70-K70</f>
        <v>270.28999999999996</v>
      </c>
    </row>
    <row r="71" spans="1:14" s="70" customFormat="1" x14ac:dyDescent="0.2">
      <c r="A71" s="24"/>
      <c r="B71" s="1"/>
      <c r="C71" s="50" t="s">
        <v>444</v>
      </c>
      <c r="D71" s="55">
        <f>+L69+L70+J70</f>
        <v>5284.24</v>
      </c>
      <c r="E71" s="55">
        <f>+K69+K70</f>
        <v>5013.95</v>
      </c>
      <c r="F71" s="55">
        <f>+D71-E71</f>
        <v>270.28999999999996</v>
      </c>
      <c r="G71" s="55">
        <f>1500-F71</f>
        <v>1229.71</v>
      </c>
      <c r="I71" s="113" t="s">
        <v>708</v>
      </c>
      <c r="J71" s="115">
        <v>1371.02</v>
      </c>
      <c r="K71" s="115">
        <v>15221.96</v>
      </c>
      <c r="L71" s="115">
        <v>15307.54</v>
      </c>
      <c r="M71" s="113">
        <f>+J71+L71-K71</f>
        <v>1456.6000000000022</v>
      </c>
    </row>
    <row r="72" spans="1:14" s="70" customFormat="1" ht="12.75" customHeight="1" x14ac:dyDescent="0.2">
      <c r="A72" s="24"/>
      <c r="B72" s="1"/>
      <c r="C72" s="50" t="s">
        <v>71</v>
      </c>
      <c r="D72" s="55">
        <f>+J71+L71</f>
        <v>16678.560000000001</v>
      </c>
      <c r="E72" s="55">
        <f>+K71</f>
        <v>15221.96</v>
      </c>
      <c r="F72" s="55">
        <f>+D72-E72</f>
        <v>1456.6000000000022</v>
      </c>
      <c r="G72" s="55">
        <f>1500+700-F72</f>
        <v>743.39999999999782</v>
      </c>
      <c r="I72" s="2"/>
      <c r="J72" s="118">
        <f>SUM(J69:J71)</f>
        <v>1554.12</v>
      </c>
      <c r="K72" s="118">
        <f>SUM(K69:K71)</f>
        <v>20235.91</v>
      </c>
      <c r="L72" s="118">
        <f>SUM(L69:L71)</f>
        <v>20408.68</v>
      </c>
      <c r="M72" s="118">
        <f>SUM(M69:M71)</f>
        <v>1726.8900000000021</v>
      </c>
    </row>
    <row r="73" spans="1:14" s="70" customFormat="1" ht="12.75" customHeight="1" x14ac:dyDescent="0.2">
      <c r="A73" s="24"/>
      <c r="B73" s="1"/>
      <c r="C73" s="14"/>
      <c r="D73" s="56"/>
      <c r="E73" s="13"/>
      <c r="F73" s="2"/>
      <c r="G73" s="30"/>
    </row>
    <row r="74" spans="1:14" s="70" customFormat="1" ht="12.75" customHeight="1" x14ac:dyDescent="0.2">
      <c r="A74" s="215" t="s">
        <v>80</v>
      </c>
      <c r="B74" s="216"/>
      <c r="C74" s="216"/>
      <c r="D74" s="217"/>
      <c r="E74" s="69"/>
      <c r="G74" s="30"/>
    </row>
    <row r="75" spans="1:14" s="70" customFormat="1" ht="12.75" customHeight="1" x14ac:dyDescent="0.2">
      <c r="A75" s="71" t="s">
        <v>81</v>
      </c>
      <c r="B75" s="71"/>
      <c r="C75" s="72" t="s">
        <v>82</v>
      </c>
      <c r="D75" s="73" t="s">
        <v>83</v>
      </c>
      <c r="E75" s="69"/>
      <c r="G75" s="30"/>
    </row>
    <row r="76" spans="1:14" s="70" customFormat="1" ht="12.75" customHeight="1" x14ac:dyDescent="0.2">
      <c r="A76" s="87">
        <v>45232</v>
      </c>
      <c r="B76" s="120" t="s">
        <v>6</v>
      </c>
      <c r="C76" s="75" t="s">
        <v>767</v>
      </c>
      <c r="D76" s="88">
        <v>515100</v>
      </c>
      <c r="E76" s="2"/>
      <c r="F76" s="2"/>
      <c r="G76" s="30"/>
      <c r="H76" s="2"/>
      <c r="I76" s="2"/>
      <c r="J76" s="2"/>
      <c r="K76" s="2"/>
      <c r="L76" s="41"/>
      <c r="M76" s="42"/>
      <c r="N76" s="2"/>
    </row>
    <row r="77" spans="1:14" s="70" customFormat="1" ht="12.75" customHeight="1" x14ac:dyDescent="0.2">
      <c r="A77" s="87">
        <v>45232</v>
      </c>
      <c r="B77" s="120" t="s">
        <v>6</v>
      </c>
      <c r="C77" s="75" t="s">
        <v>566</v>
      </c>
      <c r="D77" s="88">
        <v>52450</v>
      </c>
      <c r="E77" s="2"/>
      <c r="F77" s="2"/>
      <c r="G77" s="30"/>
      <c r="H77" s="2"/>
      <c r="I77" s="2"/>
      <c r="J77" s="2"/>
      <c r="K77" s="2"/>
      <c r="L77" s="41"/>
      <c r="M77" s="42"/>
      <c r="N77" s="2"/>
    </row>
    <row r="78" spans="1:14" s="70" customFormat="1" ht="12.75" customHeight="1" x14ac:dyDescent="0.2">
      <c r="A78" s="87">
        <v>45233</v>
      </c>
      <c r="B78" s="120" t="s">
        <v>6</v>
      </c>
      <c r="C78" s="75" t="s">
        <v>1084</v>
      </c>
      <c r="D78" s="88">
        <v>1833799</v>
      </c>
      <c r="E78" s="2"/>
      <c r="F78" s="2"/>
      <c r="G78" s="30"/>
      <c r="H78" s="2"/>
      <c r="I78" s="2"/>
      <c r="J78" s="2"/>
      <c r="K78" s="2"/>
      <c r="L78" s="41"/>
      <c r="M78" s="42"/>
      <c r="N78" s="2"/>
    </row>
    <row r="79" spans="1:14" s="70" customFormat="1" ht="12.75" customHeight="1" x14ac:dyDescent="0.2">
      <c r="A79" s="87">
        <v>45233</v>
      </c>
      <c r="B79" s="120" t="s">
        <v>6</v>
      </c>
      <c r="C79" s="75" t="s">
        <v>909</v>
      </c>
      <c r="D79" s="88">
        <v>366980</v>
      </c>
      <c r="E79" s="2"/>
      <c r="F79" s="2"/>
      <c r="G79" s="30"/>
      <c r="H79" s="2"/>
      <c r="I79" s="2"/>
      <c r="J79" s="2"/>
      <c r="K79" s="2"/>
      <c r="L79" s="41"/>
      <c r="M79" s="42"/>
      <c r="N79" s="2"/>
    </row>
    <row r="80" spans="1:14" s="70" customFormat="1" ht="12.75" customHeight="1" x14ac:dyDescent="0.2">
      <c r="A80" s="87">
        <v>45233</v>
      </c>
      <c r="B80" s="120" t="s">
        <v>6</v>
      </c>
      <c r="C80" s="75" t="s">
        <v>909</v>
      </c>
      <c r="D80" s="88">
        <v>30038</v>
      </c>
      <c r="E80" s="2"/>
      <c r="F80" s="2"/>
      <c r="G80" s="30"/>
      <c r="H80" s="2"/>
      <c r="I80" s="2"/>
      <c r="J80" s="2"/>
      <c r="K80" s="2"/>
      <c r="L80" s="41"/>
      <c r="M80" s="42"/>
      <c r="N80" s="2"/>
    </row>
    <row r="81" spans="1:14" s="70" customFormat="1" ht="12.75" customHeight="1" x14ac:dyDescent="0.2">
      <c r="A81" s="87">
        <v>45237</v>
      </c>
      <c r="B81" s="120" t="s">
        <v>6</v>
      </c>
      <c r="C81" s="75" t="s">
        <v>888</v>
      </c>
      <c r="D81" s="88">
        <v>14999721.949999999</v>
      </c>
      <c r="E81" s="2"/>
      <c r="F81" s="2"/>
      <c r="G81" s="30"/>
      <c r="H81" s="2"/>
      <c r="I81" s="2"/>
      <c r="J81" s="2"/>
      <c r="K81" s="2"/>
      <c r="L81" s="41"/>
      <c r="M81" s="42"/>
      <c r="N81" s="2"/>
    </row>
    <row r="82" spans="1:14" s="70" customFormat="1" ht="12.75" customHeight="1" x14ac:dyDescent="0.2">
      <c r="A82" s="87">
        <v>45238</v>
      </c>
      <c r="B82" s="120" t="s">
        <v>6</v>
      </c>
      <c r="C82" s="75" t="s">
        <v>606</v>
      </c>
      <c r="D82" s="88">
        <v>1098495</v>
      </c>
      <c r="E82" s="2"/>
      <c r="F82" s="2"/>
      <c r="G82" s="30"/>
      <c r="H82" s="2"/>
      <c r="I82" s="2"/>
      <c r="J82" s="2"/>
      <c r="K82" s="2"/>
      <c r="L82" s="41"/>
      <c r="M82" s="42"/>
      <c r="N82" s="2"/>
    </row>
    <row r="83" spans="1:14" s="70" customFormat="1" ht="12.75" customHeight="1" x14ac:dyDescent="0.2">
      <c r="A83" s="87">
        <v>45239</v>
      </c>
      <c r="B83" s="120" t="s">
        <v>6</v>
      </c>
      <c r="C83" s="75" t="s">
        <v>566</v>
      </c>
      <c r="D83" s="88">
        <f>183507+63254</f>
        <v>246761</v>
      </c>
      <c r="E83" s="2"/>
      <c r="F83" s="2"/>
      <c r="G83" s="30"/>
      <c r="H83" s="2"/>
      <c r="I83" s="2"/>
      <c r="J83" s="2"/>
      <c r="K83" s="2"/>
      <c r="L83" s="41"/>
      <c r="M83" s="42"/>
      <c r="N83" s="2"/>
    </row>
    <row r="84" spans="1:14" s="70" customFormat="1" ht="12.75" customHeight="1" x14ac:dyDescent="0.2">
      <c r="A84" s="87">
        <v>45240</v>
      </c>
      <c r="B84" s="120" t="s">
        <v>6</v>
      </c>
      <c r="C84" s="75" t="s">
        <v>767</v>
      </c>
      <c r="D84" s="88">
        <v>287037</v>
      </c>
      <c r="E84" s="2"/>
      <c r="F84" s="2"/>
      <c r="G84" s="30"/>
      <c r="H84" s="2"/>
      <c r="I84" s="2"/>
      <c r="J84" s="2"/>
      <c r="K84" s="2"/>
      <c r="L84" s="41"/>
      <c r="M84" s="42"/>
      <c r="N84" s="2"/>
    </row>
    <row r="85" spans="1:14" s="70" customFormat="1" ht="12.75" customHeight="1" x14ac:dyDescent="0.2">
      <c r="A85" s="87">
        <v>45240</v>
      </c>
      <c r="B85" s="120" t="s">
        <v>6</v>
      </c>
      <c r="C85" s="75" t="s">
        <v>1767</v>
      </c>
      <c r="D85" s="88">
        <v>1000000</v>
      </c>
      <c r="E85" s="2"/>
      <c r="F85" s="2"/>
      <c r="G85" s="30"/>
      <c r="H85" s="2"/>
      <c r="I85" s="2"/>
      <c r="J85" s="2"/>
      <c r="K85" s="2"/>
      <c r="L85" s="41"/>
      <c r="M85" s="42"/>
      <c r="N85" s="2"/>
    </row>
    <row r="86" spans="1:14" s="70" customFormat="1" ht="12.75" customHeight="1" x14ac:dyDescent="0.2">
      <c r="A86" s="87">
        <v>45248</v>
      </c>
      <c r="B86" s="120" t="s">
        <v>6</v>
      </c>
      <c r="C86" s="75" t="s">
        <v>1084</v>
      </c>
      <c r="D86" s="88">
        <v>5733144</v>
      </c>
      <c r="E86" s="2"/>
      <c r="F86" s="2"/>
      <c r="G86" s="30"/>
      <c r="H86" s="2"/>
      <c r="I86" s="2"/>
      <c r="J86" s="2"/>
      <c r="K86" s="2"/>
      <c r="L86" s="41"/>
      <c r="M86" s="42"/>
      <c r="N86" s="2"/>
    </row>
    <row r="87" spans="1:14" s="70" customFormat="1" ht="12.75" customHeight="1" x14ac:dyDescent="0.2">
      <c r="A87" s="87">
        <v>45251</v>
      </c>
      <c r="B87" s="120" t="s">
        <v>6</v>
      </c>
      <c r="C87" s="75" t="s">
        <v>1801</v>
      </c>
      <c r="D87" s="88">
        <v>29372</v>
      </c>
      <c r="E87" s="2"/>
      <c r="F87" s="2"/>
      <c r="G87" s="30"/>
      <c r="H87" s="2"/>
      <c r="I87" s="2"/>
      <c r="J87" s="2"/>
      <c r="K87" s="2"/>
      <c r="L87" s="41"/>
      <c r="M87" s="42"/>
      <c r="N87" s="2"/>
    </row>
    <row r="88" spans="1:14" s="70" customFormat="1" ht="12.75" customHeight="1" x14ac:dyDescent="0.2">
      <c r="A88" s="87">
        <v>45252</v>
      </c>
      <c r="B88" s="120" t="s">
        <v>6</v>
      </c>
      <c r="C88" s="75" t="s">
        <v>909</v>
      </c>
      <c r="D88" s="88">
        <v>1380738</v>
      </c>
      <c r="E88" s="2"/>
      <c r="F88" s="2"/>
      <c r="G88" s="30"/>
      <c r="H88" s="2"/>
      <c r="I88" s="2"/>
      <c r="J88" s="2"/>
      <c r="K88" s="2"/>
      <c r="L88" s="41"/>
      <c r="M88" s="42"/>
      <c r="N88" s="2"/>
    </row>
    <row r="89" spans="1:14" s="70" customFormat="1" ht="12.75" customHeight="1" x14ac:dyDescent="0.2">
      <c r="A89" s="87">
        <v>45252</v>
      </c>
      <c r="B89" s="120" t="s">
        <v>6</v>
      </c>
      <c r="C89" s="75" t="s">
        <v>909</v>
      </c>
      <c r="D89" s="88">
        <v>4316660</v>
      </c>
      <c r="E89" s="2"/>
      <c r="F89" s="2"/>
      <c r="G89" s="30"/>
      <c r="H89" s="2"/>
      <c r="I89" s="2"/>
      <c r="J89" s="2"/>
      <c r="K89" s="2"/>
      <c r="L89" s="41"/>
      <c r="M89" s="42"/>
      <c r="N89" s="2"/>
    </row>
    <row r="90" spans="1:14" s="70" customFormat="1" ht="12.75" customHeight="1" x14ac:dyDescent="0.2">
      <c r="A90" s="87">
        <v>45254</v>
      </c>
      <c r="B90" s="120" t="s">
        <v>6</v>
      </c>
      <c r="C90" s="75" t="s">
        <v>1806</v>
      </c>
      <c r="D90" s="88">
        <v>4146289</v>
      </c>
      <c r="E90" s="2"/>
      <c r="F90" s="2"/>
      <c r="G90" s="30"/>
      <c r="H90" s="2"/>
      <c r="I90" s="2"/>
      <c r="J90" s="2"/>
      <c r="K90" s="2"/>
      <c r="L90" s="41"/>
      <c r="M90" s="42"/>
      <c r="N90" s="2"/>
    </row>
    <row r="91" spans="1:14" s="2" customFormat="1" x14ac:dyDescent="0.2">
      <c r="A91" s="87"/>
      <c r="B91" s="74"/>
      <c r="C91" s="75"/>
      <c r="D91" s="51">
        <f>SUM(D76:D90)</f>
        <v>36036584.950000003</v>
      </c>
      <c r="F91" s="2" t="s">
        <v>396</v>
      </c>
      <c r="G91" s="1"/>
    </row>
    <row r="92" spans="1:14" s="2" customFormat="1" x14ac:dyDescent="0.2">
      <c r="A92" s="24"/>
      <c r="B92" s="1"/>
      <c r="C92" s="14"/>
      <c r="D92" s="56"/>
      <c r="E92" s="13"/>
      <c r="G92" s="1"/>
    </row>
    <row r="93" spans="1:14" s="2" customFormat="1" x14ac:dyDescent="0.2">
      <c r="A93" s="24"/>
      <c r="B93" s="1"/>
      <c r="C93" s="218" t="s">
        <v>77</v>
      </c>
      <c r="D93" s="219"/>
      <c r="E93" s="219"/>
      <c r="F93" s="220"/>
      <c r="H93" s="2" t="s">
        <v>396</v>
      </c>
    </row>
    <row r="94" spans="1:14" s="2" customFormat="1" x14ac:dyDescent="0.2">
      <c r="A94" s="24"/>
      <c r="B94" s="1"/>
      <c r="C94" s="50"/>
      <c r="D94" s="57" t="s">
        <v>78</v>
      </c>
      <c r="E94" s="58" t="s">
        <v>79</v>
      </c>
      <c r="F94" s="57" t="s">
        <v>72</v>
      </c>
      <c r="H94" s="2" t="s">
        <v>396</v>
      </c>
    </row>
    <row r="95" spans="1:14" s="2" customFormat="1" x14ac:dyDescent="0.2">
      <c r="A95" s="24"/>
      <c r="B95" s="1"/>
      <c r="C95" s="59" t="str">
        <f>"01-11-2023 to "&amp;TEXT(A5-2,"dd-mm-yyyy")</f>
        <v>01-11-2023 to 22-11-2023</v>
      </c>
      <c r="D95" s="60">
        <v>1595.79</v>
      </c>
      <c r="E95" s="60">
        <v>341.76</v>
      </c>
      <c r="F95" s="61">
        <f>SUM(D95:E95)</f>
        <v>1937.55</v>
      </c>
    </row>
    <row r="96" spans="1:14" s="2" customFormat="1" x14ac:dyDescent="0.2">
      <c r="A96" s="24"/>
      <c r="B96" s="1"/>
      <c r="C96" s="62" t="str">
        <f>TEXT(A5-1,"dd-mm-yyyy")</f>
        <v>23-11-2023</v>
      </c>
      <c r="D96" s="60">
        <v>117.18</v>
      </c>
      <c r="E96" s="60">
        <v>23.24</v>
      </c>
      <c r="F96" s="61">
        <f>SUM(D96:E96)</f>
        <v>140.42000000000002</v>
      </c>
      <c r="G96" s="1"/>
      <c r="H96" s="53"/>
    </row>
    <row r="97" spans="1:13" s="2" customFormat="1" ht="13.5" thickBot="1" x14ac:dyDescent="0.25">
      <c r="A97" s="24"/>
      <c r="B97" s="1"/>
      <c r="C97" s="63" t="str">
        <f>"01-11-2023 to "&amp;TEXT(A5-1,"dd-mm-yyyy")</f>
        <v>01-11-2023 to 23-11-2023</v>
      </c>
      <c r="D97" s="64">
        <f>SUM(D95:D96)</f>
        <v>1712.97</v>
      </c>
      <c r="E97" s="64">
        <f>SUM(E95:E96)</f>
        <v>365</v>
      </c>
      <c r="F97" s="64">
        <f>SUM(F95:F96)</f>
        <v>2077.9699999999998</v>
      </c>
      <c r="G97" s="1"/>
      <c r="H97" s="53"/>
    </row>
    <row r="98" spans="1:13" s="2" customFormat="1" ht="13.5" thickTop="1" x14ac:dyDescent="0.2">
      <c r="A98" s="24"/>
      <c r="B98" s="1"/>
      <c r="C98" s="62"/>
      <c r="D98" s="65"/>
      <c r="E98" s="66"/>
      <c r="F98" s="67"/>
      <c r="L98" s="1"/>
      <c r="M98" s="1"/>
    </row>
    <row r="99" spans="1:13" s="2" customFormat="1" x14ac:dyDescent="0.2">
      <c r="A99" s="24"/>
      <c r="B99" s="1"/>
      <c r="C99" s="62" t="str">
        <f>"01-04-2023 to " &amp;C96</f>
        <v>01-04-2023 to 23-11-2023</v>
      </c>
      <c r="D99" s="68">
        <f>+D97+29859.78</f>
        <v>31572.75</v>
      </c>
      <c r="E99" s="68">
        <f>+E97+2548.34</f>
        <v>2913.34</v>
      </c>
      <c r="F99" s="68">
        <f>+F97+32408.1</f>
        <v>34486.07</v>
      </c>
      <c r="G99" s="1"/>
      <c r="L99" s="1"/>
      <c r="M99" s="1"/>
    </row>
    <row r="100" spans="1:13" s="2" customFormat="1" x14ac:dyDescent="0.2">
      <c r="A100" s="24"/>
      <c r="B100" s="1"/>
      <c r="C100" s="52"/>
      <c r="D100" s="85"/>
      <c r="E100" s="53"/>
      <c r="F100" s="53"/>
      <c r="G100" s="1"/>
      <c r="L100" s="1"/>
      <c r="M100" s="1"/>
    </row>
    <row r="101" spans="1:13" s="2" customFormat="1" x14ac:dyDescent="0.2">
      <c r="A101" s="24"/>
      <c r="B101" s="1"/>
      <c r="C101" s="52"/>
      <c r="D101" s="85"/>
      <c r="E101" s="53"/>
      <c r="F101" s="53"/>
      <c r="G101" s="1"/>
      <c r="L101" s="1"/>
      <c r="M101" s="1"/>
    </row>
    <row r="102" spans="1:13" s="2" customFormat="1" x14ac:dyDescent="0.2">
      <c r="A102" s="24"/>
      <c r="B102" s="1"/>
      <c r="C102" s="52"/>
      <c r="D102" s="85"/>
      <c r="E102" s="53"/>
      <c r="F102" s="53"/>
      <c r="G102" s="1"/>
      <c r="L102" s="1"/>
      <c r="M102" s="1"/>
    </row>
    <row r="103" spans="1:13" s="2" customFormat="1" x14ac:dyDescent="0.2">
      <c r="A103" s="24"/>
      <c r="B103" s="1"/>
      <c r="C103" s="52"/>
      <c r="D103" s="85"/>
      <c r="E103" s="53"/>
      <c r="F103" s="53"/>
      <c r="G103" s="1"/>
      <c r="L103" s="1"/>
      <c r="M103" s="1"/>
    </row>
    <row r="104" spans="1:13" s="2" customFormat="1" x14ac:dyDescent="0.2">
      <c r="A104" s="24"/>
      <c r="B104" s="1"/>
      <c r="C104" s="14"/>
      <c r="D104" s="25">
        <f>SUM(D101:D103)</f>
        <v>0</v>
      </c>
      <c r="E104" s="2">
        <f>SUM(E101:E103)</f>
        <v>0</v>
      </c>
      <c r="G104" s="1"/>
      <c r="L104" s="1"/>
      <c r="M104" s="1"/>
    </row>
    <row r="105" spans="1:13" s="2" customFormat="1" x14ac:dyDescent="0.2">
      <c r="A105" s="24"/>
      <c r="B105" s="1"/>
      <c r="C105" s="14"/>
      <c r="D105" s="25"/>
      <c r="G105" s="1"/>
      <c r="L105" s="1"/>
      <c r="M105" s="1"/>
    </row>
    <row r="106" spans="1:13" s="2" customFormat="1" x14ac:dyDescent="0.2">
      <c r="A106" s="24"/>
      <c r="B106" s="1"/>
      <c r="C106" s="14"/>
      <c r="D106" s="25"/>
      <c r="G106" s="1"/>
      <c r="L106" s="1"/>
      <c r="M106" s="1"/>
    </row>
    <row r="107" spans="1:13" s="2" customFormat="1" x14ac:dyDescent="0.2">
      <c r="A107" s="24"/>
      <c r="B107" s="1"/>
      <c r="C107" s="14"/>
      <c r="D107" s="25"/>
      <c r="G107" s="1"/>
      <c r="L107" s="1"/>
      <c r="M107" s="1"/>
    </row>
    <row r="108" spans="1:13" s="2" customFormat="1" x14ac:dyDescent="0.2">
      <c r="A108" s="24"/>
      <c r="B108" s="1"/>
      <c r="C108" s="14"/>
      <c r="D108" s="25"/>
      <c r="G108" s="1"/>
      <c r="L108" s="1"/>
      <c r="M108" s="1"/>
    </row>
    <row r="109" spans="1:13" s="2" customFormat="1" x14ac:dyDescent="0.2">
      <c r="A109" s="24"/>
      <c r="B109" s="1"/>
      <c r="C109" s="14"/>
      <c r="D109" s="25"/>
      <c r="G109" s="1"/>
      <c r="L109" s="1"/>
      <c r="M109" s="1"/>
    </row>
    <row r="110" spans="1:13" s="2" customFormat="1" x14ac:dyDescent="0.2">
      <c r="A110" s="24"/>
      <c r="B110" s="1"/>
      <c r="C110" s="14"/>
      <c r="D110" s="25"/>
      <c r="G110" s="1"/>
      <c r="L110" s="1"/>
      <c r="M110" s="1"/>
    </row>
    <row r="111" spans="1:13" s="2" customFormat="1" x14ac:dyDescent="0.2">
      <c r="A111" s="24"/>
      <c r="B111" s="1"/>
      <c r="C111" s="14"/>
      <c r="D111" s="25"/>
      <c r="G111" s="1"/>
      <c r="L111" s="1"/>
      <c r="M111" s="1"/>
    </row>
    <row r="112" spans="1:13" s="2" customFormat="1" x14ac:dyDescent="0.2">
      <c r="A112" s="24"/>
      <c r="B112" s="1"/>
      <c r="C112" s="14"/>
      <c r="D112" s="25"/>
      <c r="G112" s="1"/>
      <c r="L112" s="1"/>
      <c r="M112" s="1"/>
    </row>
    <row r="113" spans="1:14" s="2" customFormat="1" x14ac:dyDescent="0.2">
      <c r="A113" s="24"/>
      <c r="B113" s="1"/>
      <c r="C113" s="14"/>
      <c r="D113" s="25"/>
      <c r="G113" s="1"/>
      <c r="L113" s="1"/>
      <c r="M113" s="1"/>
    </row>
    <row r="114" spans="1:14" s="2" customFormat="1" x14ac:dyDescent="0.2">
      <c r="A114" s="24"/>
      <c r="B114" s="1"/>
      <c r="C114" s="14"/>
      <c r="D114" s="25"/>
      <c r="G114" s="1"/>
      <c r="L114" s="1"/>
      <c r="M114" s="1"/>
    </row>
    <row r="115" spans="1:14" s="2" customFormat="1" x14ac:dyDescent="0.2">
      <c r="A115" s="24"/>
      <c r="B115" s="1"/>
      <c r="C115" s="14"/>
      <c r="D115" s="25"/>
      <c r="G115" s="1"/>
      <c r="L115" s="1"/>
      <c r="M115" s="1"/>
    </row>
    <row r="116" spans="1:14" s="2" customFormat="1" x14ac:dyDescent="0.2">
      <c r="A116" s="24"/>
      <c r="B116" s="1"/>
      <c r="C116" s="14"/>
      <c r="D116" s="25"/>
      <c r="G116" s="1"/>
      <c r="L116" s="1"/>
      <c r="M116" s="1"/>
    </row>
    <row r="117" spans="1:14" s="2" customFormat="1" x14ac:dyDescent="0.2">
      <c r="A117" s="24"/>
      <c r="B117" s="1"/>
      <c r="C117" s="14"/>
      <c r="D117" s="25"/>
      <c r="G117" s="1"/>
      <c r="L117" s="1"/>
      <c r="M117" s="1"/>
    </row>
    <row r="118" spans="1:14" s="2" customFormat="1" x14ac:dyDescent="0.2">
      <c r="A118" s="24"/>
      <c r="B118" s="1"/>
      <c r="C118" s="14"/>
      <c r="D118" s="25"/>
      <c r="G118" s="1"/>
      <c r="I118" s="1"/>
      <c r="J118" s="1"/>
      <c r="K118" s="1"/>
      <c r="L118" s="1"/>
      <c r="M118" s="1"/>
    </row>
    <row r="119" spans="1:14" s="2" customFormat="1" x14ac:dyDescent="0.2">
      <c r="A119" s="24"/>
      <c r="B119" s="1"/>
      <c r="C119" s="14"/>
      <c r="D119" s="25"/>
      <c r="G119" s="1"/>
    </row>
    <row r="120" spans="1:14" s="2" customFormat="1" x14ac:dyDescent="0.2">
      <c r="A120" s="24"/>
      <c r="B120" s="1"/>
      <c r="C120" s="14"/>
      <c r="D120" s="25"/>
      <c r="G120" s="1"/>
      <c r="I120" s="1"/>
      <c r="J120" s="1"/>
      <c r="K120" s="1"/>
      <c r="L120" s="1"/>
      <c r="M120" s="1"/>
    </row>
    <row r="121" spans="1:14" s="2" customFormat="1" x14ac:dyDescent="0.2">
      <c r="A121" s="24"/>
      <c r="B121" s="1"/>
      <c r="C121" s="14"/>
      <c r="D121" s="25"/>
      <c r="G121" s="54"/>
      <c r="I121" s="1"/>
      <c r="J121" s="1"/>
      <c r="K121" s="1"/>
      <c r="L121" s="1"/>
      <c r="M121" s="1"/>
    </row>
    <row r="122" spans="1:14" s="2" customFormat="1" x14ac:dyDescent="0.2">
      <c r="A122" s="24"/>
      <c r="B122" s="1"/>
      <c r="C122" s="14"/>
      <c r="D122" s="25"/>
      <c r="G122" s="54"/>
      <c r="I122" s="1"/>
      <c r="J122" s="1"/>
      <c r="K122" s="1"/>
      <c r="L122" s="1"/>
      <c r="M122" s="1"/>
    </row>
    <row r="123" spans="1:14" s="2" customFormat="1" x14ac:dyDescent="0.2">
      <c r="A123" s="24"/>
      <c r="B123" s="1"/>
      <c r="C123" s="14"/>
      <c r="D123" s="25"/>
      <c r="G123" s="54"/>
      <c r="I123" s="1"/>
      <c r="J123" s="1"/>
      <c r="K123" s="1"/>
      <c r="L123" s="1"/>
      <c r="M123" s="1"/>
    </row>
    <row r="124" spans="1:14" s="2" customFormat="1" x14ac:dyDescent="0.2">
      <c r="A124" s="24"/>
      <c r="B124" s="1"/>
      <c r="C124" s="14"/>
      <c r="D124" s="25"/>
      <c r="G124" s="54"/>
      <c r="H124" s="2" t="s">
        <v>396</v>
      </c>
      <c r="I124" s="1"/>
      <c r="J124" s="1"/>
      <c r="K124" s="1"/>
      <c r="L124" s="1"/>
      <c r="M124" s="1"/>
      <c r="N124" s="1"/>
    </row>
    <row r="125" spans="1:14" s="2" customFormat="1" x14ac:dyDescent="0.2">
      <c r="A125" s="24"/>
      <c r="B125" s="1"/>
      <c r="C125" s="14"/>
      <c r="D125" s="25"/>
      <c r="G125" s="54"/>
      <c r="H125" s="53"/>
    </row>
    <row r="126" spans="1:14" s="2" customFormat="1" x14ac:dyDescent="0.2">
      <c r="A126" s="24"/>
      <c r="B126" s="1"/>
      <c r="C126" s="14"/>
      <c r="D126" s="25"/>
      <c r="G126" s="54"/>
      <c r="H126" s="53" t="s">
        <v>396</v>
      </c>
      <c r="I126" s="1"/>
      <c r="J126" s="1"/>
      <c r="K126" s="1"/>
      <c r="L126" s="1"/>
      <c r="M126" s="1"/>
      <c r="N126" s="1"/>
    </row>
    <row r="127" spans="1:14" x14ac:dyDescent="0.2">
      <c r="G127" s="54"/>
      <c r="H127" s="53" t="s">
        <v>396</v>
      </c>
      <c r="J127" s="42"/>
    </row>
    <row r="128" spans="1:14" s="2" customFormat="1" x14ac:dyDescent="0.2">
      <c r="A128" s="24"/>
      <c r="B128" s="1"/>
      <c r="C128" s="14"/>
      <c r="D128" s="25"/>
      <c r="G128" s="54"/>
      <c r="H128" s="53"/>
      <c r="I128" s="101"/>
      <c r="J128" s="1"/>
      <c r="K128" s="1"/>
      <c r="L128" s="1"/>
      <c r="M128" s="1"/>
      <c r="N128" s="1"/>
    </row>
    <row r="129" spans="7:8" x14ac:dyDescent="0.2">
      <c r="G129" s="54"/>
      <c r="H129" s="53"/>
    </row>
    <row r="130" spans="7:8" x14ac:dyDescent="0.2">
      <c r="G130" s="54"/>
      <c r="H130" s="53"/>
    </row>
    <row r="131" spans="7:8" x14ac:dyDescent="0.2">
      <c r="G131" s="54"/>
      <c r="H131" s="53"/>
    </row>
  </sheetData>
  <sheetProtection insertRows="0"/>
  <mergeCells count="6">
    <mergeCell ref="C93:F93"/>
    <mergeCell ref="A1:G1"/>
    <mergeCell ref="A3:F3"/>
    <mergeCell ref="A9:F9"/>
    <mergeCell ref="A22:F22"/>
    <mergeCell ref="A74:D74"/>
  </mergeCells>
  <conditionalFormatting sqref="G71:G72">
    <cfRule type="cellIs" dxfId="209" priority="1" operator="lessThan">
      <formula>0</formula>
    </cfRule>
  </conditionalFormatting>
  <conditionalFormatting sqref="C24">
    <cfRule type="duplicateValues" dxfId="208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A00-000000000000}">
  <sheetPr codeName="Sheet482">
    <pageSetUpPr fitToPage="1"/>
  </sheetPr>
  <dimension ref="A1:N131"/>
  <sheetViews>
    <sheetView topLeftCell="A7" zoomScaleNormal="100" workbookViewId="0">
      <selection activeCell="C29" sqref="C29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3" ht="20.25" customHeight="1" x14ac:dyDescent="0.4">
      <c r="A1" s="212" t="s">
        <v>1807</v>
      </c>
      <c r="B1" s="212"/>
      <c r="C1" s="212"/>
      <c r="D1" s="212"/>
      <c r="E1" s="212"/>
      <c r="F1" s="212"/>
      <c r="G1" s="212"/>
      <c r="H1" s="112"/>
      <c r="I1" s="112"/>
    </row>
    <row r="2" spans="1:13" ht="12.75" customHeight="1" x14ac:dyDescent="0.4">
      <c r="H2" s="112"/>
      <c r="I2" s="112"/>
    </row>
    <row r="3" spans="1:13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3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3" s="2" customFormat="1" ht="14.25" customHeight="1" x14ac:dyDescent="0.4">
      <c r="A5" s="89">
        <v>45255</v>
      </c>
      <c r="B5" s="9" t="s">
        <v>6</v>
      </c>
      <c r="C5" s="10" t="s">
        <v>7</v>
      </c>
      <c r="D5" s="11"/>
      <c r="E5" s="12">
        <v>700315.42</v>
      </c>
      <c r="F5" s="12"/>
      <c r="G5" s="1"/>
      <c r="H5" s="112"/>
      <c r="I5" s="112"/>
    </row>
    <row r="6" spans="1:13" s="2" customFormat="1" ht="12.75" customHeight="1" x14ac:dyDescent="0.4">
      <c r="D6" s="15" t="s">
        <v>8</v>
      </c>
      <c r="E6" s="16">
        <f>SUM(E5:E5)</f>
        <v>700315.42</v>
      </c>
      <c r="F6" s="16">
        <f>+F5</f>
        <v>0</v>
      </c>
      <c r="G6" s="1"/>
      <c r="H6" s="112"/>
      <c r="I6" s="112"/>
    </row>
    <row r="7" spans="1:13" s="2" customFormat="1" ht="12.75" customHeight="1" x14ac:dyDescent="0.4">
      <c r="A7" s="17"/>
      <c r="B7" s="18"/>
      <c r="C7" s="19" t="s">
        <v>9</v>
      </c>
      <c r="D7" s="20"/>
      <c r="E7" s="21">
        <f>+E6-F6</f>
        <v>700315.42</v>
      </c>
      <c r="F7" s="22"/>
      <c r="G7" s="23"/>
      <c r="H7" s="112"/>
      <c r="I7" s="112"/>
      <c r="J7" s="13"/>
    </row>
    <row r="8" spans="1:13" ht="12.75" customHeight="1" x14ac:dyDescent="0.4">
      <c r="H8" s="112"/>
      <c r="I8" s="112"/>
    </row>
    <row r="9" spans="1:13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69">
        <f>90000000-60000000</f>
        <v>30000000</v>
      </c>
      <c r="J9" s="169" t="s">
        <v>1508</v>
      </c>
    </row>
    <row r="10" spans="1:13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69">
        <v>30662426</v>
      </c>
      <c r="J10" s="169" t="s">
        <v>1509</v>
      </c>
      <c r="K10" s="124"/>
    </row>
    <row r="11" spans="1:13" s="2" customFormat="1" ht="14.25" customHeight="1" x14ac:dyDescent="0.2">
      <c r="A11" s="89">
        <v>45255</v>
      </c>
      <c r="B11" s="9" t="s">
        <v>6</v>
      </c>
      <c r="C11" s="10" t="s">
        <v>7</v>
      </c>
      <c r="D11" s="11"/>
      <c r="F11" s="12">
        <v>29970500</v>
      </c>
      <c r="G11" s="1"/>
      <c r="H11" s="130" t="s">
        <v>396</v>
      </c>
      <c r="I11" s="169">
        <f>+I9-I10</f>
        <v>-662426</v>
      </c>
      <c r="J11" s="169" t="s">
        <v>712</v>
      </c>
      <c r="K11" s="165" t="s">
        <v>1512</v>
      </c>
    </row>
    <row r="12" spans="1:13" s="2" customFormat="1" ht="14.25" customHeight="1" x14ac:dyDescent="0.2">
      <c r="D12" s="11" t="s">
        <v>8</v>
      </c>
      <c r="E12" s="16">
        <f>SUM(E11:E11)</f>
        <v>0</v>
      </c>
      <c r="F12" s="16">
        <f>SUM(F11:F11)</f>
        <v>29970500</v>
      </c>
      <c r="G12" s="1"/>
      <c r="H12" s="143"/>
      <c r="I12" s="130"/>
      <c r="J12" s="143"/>
      <c r="K12" s="143"/>
      <c r="L12" s="143"/>
      <c r="M12" s="143"/>
    </row>
    <row r="13" spans="1:13" s="2" customFormat="1" ht="14.25" customHeight="1" x14ac:dyDescent="0.4">
      <c r="A13" s="17"/>
      <c r="B13" s="18"/>
      <c r="C13" s="96" t="s">
        <v>9</v>
      </c>
      <c r="D13" s="20"/>
      <c r="E13" s="21">
        <f>+F12-E12</f>
        <v>29970500</v>
      </c>
      <c r="G13" s="1"/>
      <c r="I13" s="112"/>
      <c r="J13" s="153" t="s">
        <v>779</v>
      </c>
    </row>
    <row r="14" spans="1:13" s="2" customFormat="1" ht="14.25" customHeight="1" x14ac:dyDescent="0.2">
      <c r="A14" s="36"/>
      <c r="B14" s="28" t="s">
        <v>66</v>
      </c>
      <c r="C14" s="43" t="s">
        <v>1458</v>
      </c>
      <c r="D14" s="43"/>
      <c r="E14" s="12">
        <f>30000000+60000000</f>
        <v>90000000</v>
      </c>
      <c r="F14" s="22"/>
      <c r="G14" s="1"/>
      <c r="I14" s="40">
        <v>29970500</v>
      </c>
      <c r="J14" s="154">
        <f>I14-E13</f>
        <v>0</v>
      </c>
    </row>
    <row r="15" spans="1:13" s="2" customFormat="1" ht="14.25" customHeight="1" x14ac:dyDescent="0.25">
      <c r="A15" s="36"/>
      <c r="B15" s="28"/>
      <c r="C15" s="44" t="s">
        <v>1541</v>
      </c>
      <c r="D15" s="43"/>
      <c r="E15" s="7">
        <f>+E13+E14</f>
        <v>119970500</v>
      </c>
      <c r="F15" s="22"/>
      <c r="G15" s="1"/>
      <c r="H15" s="13" t="s">
        <v>1582</v>
      </c>
      <c r="I15" s="13" t="s">
        <v>1583</v>
      </c>
    </row>
    <row r="16" spans="1:13" s="2" customFormat="1" ht="14.25" customHeight="1" x14ac:dyDescent="0.25">
      <c r="A16" s="36"/>
      <c r="B16" s="28"/>
      <c r="C16" s="44" t="s">
        <v>1511</v>
      </c>
      <c r="D16" s="43"/>
      <c r="E16" s="38">
        <f>+I11</f>
        <v>-662426</v>
      </c>
      <c r="F16" s="22"/>
      <c r="G16" s="1"/>
      <c r="H16" s="2">
        <v>3737244</v>
      </c>
      <c r="I16" s="2">
        <v>2230266</v>
      </c>
      <c r="J16" s="176">
        <f>H16-I16</f>
        <v>1506978</v>
      </c>
    </row>
    <row r="17" spans="1:14" s="2" customFormat="1" ht="14.25" customHeight="1" x14ac:dyDescent="0.2">
      <c r="A17" s="24"/>
      <c r="B17" s="1"/>
      <c r="C17" s="14"/>
      <c r="D17" s="25"/>
      <c r="G17" s="1"/>
      <c r="I17" s="130"/>
      <c r="J17" s="130"/>
    </row>
    <row r="18" spans="1:14" s="2" customFormat="1" x14ac:dyDescent="0.2">
      <c r="A18" s="214" t="s">
        <v>10</v>
      </c>
      <c r="B18" s="214"/>
      <c r="C18" s="214"/>
      <c r="D18" s="214"/>
      <c r="E18" s="214"/>
      <c r="F18" s="214"/>
      <c r="G18" s="1"/>
      <c r="H18" s="159"/>
      <c r="I18" s="160">
        <f>225000000-75000000-50000000+75000000-75000000+175000000</f>
        <v>275000000</v>
      </c>
      <c r="J18" s="160" t="s">
        <v>1506</v>
      </c>
      <c r="K18" s="70"/>
    </row>
    <row r="19" spans="1:14" s="2" customFormat="1" x14ac:dyDescent="0.2">
      <c r="A19" s="26" t="s">
        <v>1</v>
      </c>
      <c r="B19" s="27" t="s">
        <v>2</v>
      </c>
      <c r="C19" s="5"/>
      <c r="D19" s="6" t="s">
        <v>3</v>
      </c>
      <c r="E19" s="7" t="s">
        <v>4</v>
      </c>
      <c r="F19" s="7" t="s">
        <v>5</v>
      </c>
      <c r="G19" s="1"/>
      <c r="H19" s="159"/>
      <c r="I19" s="160">
        <v>224382787.66999999</v>
      </c>
      <c r="J19" s="160" t="s">
        <v>1507</v>
      </c>
      <c r="K19" s="70" t="s">
        <v>1512</v>
      </c>
    </row>
    <row r="20" spans="1:14" s="2" customFormat="1" x14ac:dyDescent="0.2">
      <c r="A20" s="89">
        <v>45255</v>
      </c>
      <c r="B20" s="128" t="s">
        <v>11</v>
      </c>
      <c r="C20" s="29" t="s">
        <v>7</v>
      </c>
      <c r="D20" s="25"/>
      <c r="E20" s="31"/>
      <c r="F20" s="2">
        <v>218560505.33000004</v>
      </c>
      <c r="G20" s="23"/>
      <c r="H20" s="159" t="s">
        <v>1505</v>
      </c>
      <c r="I20" s="160">
        <f>+I18-I19</f>
        <v>50617212.330000013</v>
      </c>
      <c r="J20" s="160"/>
      <c r="K20" s="70"/>
    </row>
    <row r="21" spans="1:14" s="2" customFormat="1" x14ac:dyDescent="0.2">
      <c r="A21" s="89">
        <v>45255</v>
      </c>
      <c r="B21" s="128" t="s">
        <v>6</v>
      </c>
      <c r="C21" s="10" t="s">
        <v>667</v>
      </c>
      <c r="D21" s="11" t="s">
        <v>13</v>
      </c>
      <c r="E21" s="86">
        <v>24736</v>
      </c>
      <c r="F21" s="70"/>
      <c r="G21" s="1"/>
      <c r="N21" s="1"/>
    </row>
    <row r="22" spans="1:14" s="2" customFormat="1" x14ac:dyDescent="0.2">
      <c r="A22" s="89">
        <v>45255</v>
      </c>
      <c r="B22" s="128" t="s">
        <v>6</v>
      </c>
      <c r="C22" s="10" t="s">
        <v>146</v>
      </c>
      <c r="D22" s="11" t="s">
        <v>13</v>
      </c>
      <c r="E22" s="86">
        <v>322679.25</v>
      </c>
      <c r="F22" s="70"/>
      <c r="G22" s="1"/>
      <c r="N22" s="1"/>
    </row>
    <row r="23" spans="1:14" s="2" customFormat="1" x14ac:dyDescent="0.2">
      <c r="A23" s="89">
        <v>45255</v>
      </c>
      <c r="B23" s="128" t="s">
        <v>6</v>
      </c>
      <c r="C23" s="10" t="s">
        <v>164</v>
      </c>
      <c r="D23" s="11" t="s">
        <v>13</v>
      </c>
      <c r="E23" s="86">
        <v>1200000</v>
      </c>
      <c r="F23" s="70"/>
      <c r="G23" s="1"/>
      <c r="N23" s="1"/>
    </row>
    <row r="24" spans="1:14" s="2" customFormat="1" x14ac:dyDescent="0.2">
      <c r="A24" s="89">
        <v>45255</v>
      </c>
      <c r="B24" s="128" t="s">
        <v>6</v>
      </c>
      <c r="C24" s="10" t="s">
        <v>752</v>
      </c>
      <c r="D24" s="11" t="s">
        <v>13</v>
      </c>
      <c r="E24" s="86">
        <v>1000000</v>
      </c>
      <c r="F24" s="70"/>
      <c r="G24" s="1"/>
      <c r="N24" s="1"/>
    </row>
    <row r="25" spans="1:14" s="2" customFormat="1" x14ac:dyDescent="0.2">
      <c r="A25" s="89">
        <v>45255</v>
      </c>
      <c r="B25" s="128" t="s">
        <v>6</v>
      </c>
      <c r="C25" s="10" t="s">
        <v>797</v>
      </c>
      <c r="D25" s="11" t="s">
        <v>13</v>
      </c>
      <c r="E25" s="86">
        <v>49606</v>
      </c>
      <c r="F25" s="70"/>
      <c r="G25" s="1"/>
      <c r="N25" s="1"/>
    </row>
    <row r="26" spans="1:14" s="2" customFormat="1" x14ac:dyDescent="0.2">
      <c r="A26" s="89">
        <v>45255</v>
      </c>
      <c r="B26" s="128" t="s">
        <v>6</v>
      </c>
      <c r="C26" s="10" t="s">
        <v>765</v>
      </c>
      <c r="D26" s="11" t="s">
        <v>13</v>
      </c>
      <c r="E26" s="86">
        <v>981298.81</v>
      </c>
      <c r="F26" s="70"/>
      <c r="G26" s="1"/>
      <c r="N26" s="1"/>
    </row>
    <row r="27" spans="1:14" s="2" customFormat="1" x14ac:dyDescent="0.2">
      <c r="A27" s="89">
        <v>45255</v>
      </c>
      <c r="B27" s="128" t="s">
        <v>6</v>
      </c>
      <c r="C27" s="10" t="s">
        <v>759</v>
      </c>
      <c r="D27" s="11" t="s">
        <v>13</v>
      </c>
      <c r="E27" s="86">
        <v>1703869.7</v>
      </c>
      <c r="F27" s="70"/>
      <c r="G27" s="1"/>
      <c r="N27" s="1"/>
    </row>
    <row r="28" spans="1:14" s="2" customFormat="1" x14ac:dyDescent="0.2">
      <c r="A28" s="89">
        <v>45255</v>
      </c>
      <c r="B28" s="128" t="s">
        <v>6</v>
      </c>
      <c r="C28" s="10" t="s">
        <v>748</v>
      </c>
      <c r="D28" s="11" t="s">
        <v>13</v>
      </c>
      <c r="E28" s="86">
        <v>1107318.43</v>
      </c>
      <c r="F28" s="70"/>
      <c r="G28" s="1"/>
      <c r="N28" s="1"/>
    </row>
    <row r="29" spans="1:14" s="2" customFormat="1" x14ac:dyDescent="0.2">
      <c r="A29" s="89">
        <v>45255</v>
      </c>
      <c r="B29" s="128" t="s">
        <v>6</v>
      </c>
      <c r="C29" s="10" t="s">
        <v>757</v>
      </c>
      <c r="D29" s="11" t="s">
        <v>13</v>
      </c>
      <c r="E29" s="86">
        <v>1829927.9</v>
      </c>
      <c r="F29" s="70"/>
      <c r="G29" s="1"/>
      <c r="N29" s="1"/>
    </row>
    <row r="30" spans="1:14" s="2" customFormat="1" x14ac:dyDescent="0.2">
      <c r="A30" s="89">
        <v>45255</v>
      </c>
      <c r="B30" s="128" t="s">
        <v>6</v>
      </c>
      <c r="C30" s="10" t="s">
        <v>764</v>
      </c>
      <c r="D30" s="11" t="s">
        <v>13</v>
      </c>
      <c r="E30" s="86">
        <v>4168610.11</v>
      </c>
      <c r="F30" s="70"/>
      <c r="G30" s="1"/>
      <c r="N30" s="1"/>
    </row>
    <row r="31" spans="1:14" s="2" customFormat="1" x14ac:dyDescent="0.2">
      <c r="A31" s="89">
        <v>45255</v>
      </c>
      <c r="B31" s="128" t="s">
        <v>6</v>
      </c>
      <c r="C31" s="10" t="s">
        <v>1808</v>
      </c>
      <c r="D31" s="11" t="s">
        <v>13</v>
      </c>
      <c r="E31" s="86">
        <v>13705110</v>
      </c>
      <c r="F31" s="70"/>
      <c r="G31" s="1"/>
      <c r="N31" s="1"/>
    </row>
    <row r="32" spans="1:14" s="2" customFormat="1" x14ac:dyDescent="0.2">
      <c r="A32" s="89">
        <v>45255</v>
      </c>
      <c r="B32" s="128" t="s">
        <v>6</v>
      </c>
      <c r="C32" s="10" t="s">
        <v>586</v>
      </c>
      <c r="D32" s="11" t="s">
        <v>13</v>
      </c>
      <c r="E32" s="86">
        <v>59711</v>
      </c>
      <c r="F32" s="70"/>
      <c r="G32" s="1"/>
      <c r="N32" s="1"/>
    </row>
    <row r="33" spans="1:14" s="2" customFormat="1" x14ac:dyDescent="0.2">
      <c r="A33" s="89">
        <v>45255</v>
      </c>
      <c r="B33" s="128" t="s">
        <v>6</v>
      </c>
      <c r="C33" s="10" t="s">
        <v>14</v>
      </c>
      <c r="D33" s="11" t="s">
        <v>13</v>
      </c>
      <c r="E33" s="86">
        <v>16942</v>
      </c>
      <c r="F33" s="70"/>
      <c r="G33" s="1"/>
      <c r="N33" s="1"/>
    </row>
    <row r="34" spans="1:14" s="2" customFormat="1" x14ac:dyDescent="0.2">
      <c r="A34" s="89">
        <v>45255</v>
      </c>
      <c r="B34" s="128" t="s">
        <v>6</v>
      </c>
      <c r="C34" s="10" t="s">
        <v>1270</v>
      </c>
      <c r="D34" s="11" t="s">
        <v>13</v>
      </c>
      <c r="E34" s="86">
        <v>442339</v>
      </c>
      <c r="F34" s="70"/>
      <c r="G34" s="1"/>
      <c r="N34" s="1"/>
    </row>
    <row r="35" spans="1:14" s="2" customFormat="1" x14ac:dyDescent="0.2">
      <c r="A35" s="89">
        <v>45255</v>
      </c>
      <c r="B35" s="128" t="s">
        <v>11</v>
      </c>
      <c r="C35" s="10" t="s">
        <v>64</v>
      </c>
      <c r="D35" s="11" t="s">
        <v>29</v>
      </c>
      <c r="E35" s="86"/>
      <c r="F35" s="70">
        <v>10924.439999999999</v>
      </c>
      <c r="G35" s="1"/>
      <c r="N35" s="1"/>
    </row>
    <row r="36" spans="1:14" s="2" customFormat="1" x14ac:dyDescent="0.2">
      <c r="A36" s="89">
        <v>45255</v>
      </c>
      <c r="B36" s="128" t="s">
        <v>11</v>
      </c>
      <c r="C36" s="10" t="s">
        <v>15</v>
      </c>
      <c r="D36" s="11" t="s">
        <v>29</v>
      </c>
      <c r="E36" s="86"/>
      <c r="F36" s="70">
        <v>50464.100000000006</v>
      </c>
      <c r="G36" s="1"/>
      <c r="N36" s="1"/>
    </row>
    <row r="37" spans="1:14" s="2" customFormat="1" x14ac:dyDescent="0.2">
      <c r="A37" s="89">
        <v>45255</v>
      </c>
      <c r="B37" s="128" t="s">
        <v>11</v>
      </c>
      <c r="C37" s="10" t="s">
        <v>107</v>
      </c>
      <c r="D37" s="11" t="s">
        <v>29</v>
      </c>
      <c r="E37" s="86"/>
      <c r="F37" s="70">
        <v>697556.77</v>
      </c>
      <c r="G37" s="1"/>
      <c r="N37" s="1"/>
    </row>
    <row r="38" spans="1:14" s="2" customFormat="1" x14ac:dyDescent="0.2">
      <c r="A38" s="89">
        <v>45255</v>
      </c>
      <c r="B38" s="128" t="s">
        <v>11</v>
      </c>
      <c r="C38" s="10" t="s">
        <v>558</v>
      </c>
      <c r="D38" s="11" t="s">
        <v>29</v>
      </c>
      <c r="E38" s="86"/>
      <c r="F38" s="70">
        <v>1679974.23</v>
      </c>
      <c r="G38" s="1"/>
      <c r="N38" s="1"/>
    </row>
    <row r="39" spans="1:14" s="2" customFormat="1" x14ac:dyDescent="0.2">
      <c r="A39" s="89">
        <v>45255</v>
      </c>
      <c r="B39" s="128" t="s">
        <v>11</v>
      </c>
      <c r="C39" s="10" t="s">
        <v>63</v>
      </c>
      <c r="D39" s="11" t="s">
        <v>29</v>
      </c>
      <c r="E39" s="86"/>
      <c r="F39" s="70">
        <v>6500000</v>
      </c>
      <c r="G39" s="1"/>
      <c r="N39" s="1"/>
    </row>
    <row r="40" spans="1:14" s="2" customFormat="1" x14ac:dyDescent="0.2">
      <c r="A40" s="89">
        <v>45255</v>
      </c>
      <c r="B40" s="128" t="s">
        <v>11</v>
      </c>
      <c r="C40" s="10" t="s">
        <v>1809</v>
      </c>
      <c r="D40" s="11" t="s">
        <v>29</v>
      </c>
      <c r="E40" s="86"/>
      <c r="F40" s="70">
        <v>1197700</v>
      </c>
      <c r="G40" s="1"/>
      <c r="N40" s="1"/>
    </row>
    <row r="41" spans="1:14" s="2" customFormat="1" x14ac:dyDescent="0.2">
      <c r="A41" s="89">
        <v>45255</v>
      </c>
      <c r="B41" s="128" t="s">
        <v>11</v>
      </c>
      <c r="C41" s="10" t="s">
        <v>696</v>
      </c>
      <c r="D41" s="11" t="s">
        <v>29</v>
      </c>
      <c r="E41" s="86"/>
      <c r="F41" s="70">
        <v>2052256</v>
      </c>
      <c r="G41" s="1"/>
      <c r="N41" s="1"/>
    </row>
    <row r="42" spans="1:14" s="2" customFormat="1" x14ac:dyDescent="0.2">
      <c r="A42" s="89">
        <v>45255</v>
      </c>
      <c r="B42" s="128" t="s">
        <v>11</v>
      </c>
      <c r="C42" s="10" t="s">
        <v>301</v>
      </c>
      <c r="D42" s="11" t="s">
        <v>29</v>
      </c>
      <c r="E42" s="86"/>
      <c r="F42" s="70">
        <v>1275855</v>
      </c>
      <c r="G42" s="1"/>
      <c r="N42" s="1"/>
    </row>
    <row r="43" spans="1:14" s="2" customFormat="1" x14ac:dyDescent="0.2">
      <c r="A43" s="89">
        <v>45255</v>
      </c>
      <c r="B43" s="128" t="s">
        <v>11</v>
      </c>
      <c r="C43" s="10" t="s">
        <v>1502</v>
      </c>
      <c r="D43" s="11" t="s">
        <v>29</v>
      </c>
      <c r="E43" s="86"/>
      <c r="F43" s="70">
        <v>1744029</v>
      </c>
      <c r="G43" s="1"/>
      <c r="N43" s="1"/>
    </row>
    <row r="44" spans="1:14" s="2" customFormat="1" x14ac:dyDescent="0.2">
      <c r="A44" s="89">
        <v>45255</v>
      </c>
      <c r="B44" s="128" t="s">
        <v>11</v>
      </c>
      <c r="C44" s="10" t="s">
        <v>1472</v>
      </c>
      <c r="D44" s="11" t="s">
        <v>29</v>
      </c>
      <c r="E44" s="86"/>
      <c r="F44" s="70">
        <v>264279</v>
      </c>
      <c r="G44" s="1"/>
      <c r="N44" s="1"/>
    </row>
    <row r="45" spans="1:14" s="2" customFormat="1" x14ac:dyDescent="0.2">
      <c r="A45" s="89">
        <v>45255</v>
      </c>
      <c r="B45" s="128" t="s">
        <v>11</v>
      </c>
      <c r="C45" s="10" t="s">
        <v>1810</v>
      </c>
      <c r="D45" s="11" t="s">
        <v>29</v>
      </c>
      <c r="E45" s="86"/>
      <c r="F45" s="70">
        <v>735572</v>
      </c>
      <c r="G45" s="1"/>
      <c r="N45" s="1"/>
    </row>
    <row r="46" spans="1:14" s="2" customFormat="1" x14ac:dyDescent="0.2">
      <c r="A46" s="89">
        <v>45255</v>
      </c>
      <c r="B46" s="128" t="s">
        <v>11</v>
      </c>
      <c r="C46" s="10" t="s">
        <v>1131</v>
      </c>
      <c r="D46" s="11" t="s">
        <v>29</v>
      </c>
      <c r="E46" s="86"/>
      <c r="F46" s="70">
        <v>835470</v>
      </c>
      <c r="G46" s="1"/>
      <c r="N46" s="1"/>
    </row>
    <row r="47" spans="1:14" s="2" customFormat="1" x14ac:dyDescent="0.2">
      <c r="A47" s="89">
        <v>45255</v>
      </c>
      <c r="B47" s="128" t="s">
        <v>11</v>
      </c>
      <c r="C47" s="10" t="s">
        <v>442</v>
      </c>
      <c r="D47" s="11" t="s">
        <v>29</v>
      </c>
      <c r="E47" s="86"/>
      <c r="F47" s="70">
        <v>1657250</v>
      </c>
      <c r="G47" s="1"/>
      <c r="N47" s="1"/>
    </row>
    <row r="48" spans="1:14" s="2" customFormat="1" x14ac:dyDescent="0.2">
      <c r="A48" s="89">
        <v>45255</v>
      </c>
      <c r="B48" s="128" t="s">
        <v>11</v>
      </c>
      <c r="C48" s="10" t="s">
        <v>33</v>
      </c>
      <c r="D48" s="11" t="s">
        <v>29</v>
      </c>
      <c r="E48" s="86"/>
      <c r="F48" s="70">
        <v>2050619</v>
      </c>
      <c r="G48" s="1"/>
      <c r="N48" s="1"/>
    </row>
    <row r="49" spans="1:14" s="2" customFormat="1" x14ac:dyDescent="0.2">
      <c r="A49" s="89">
        <v>45255</v>
      </c>
      <c r="B49" s="128" t="s">
        <v>11</v>
      </c>
      <c r="C49" s="10" t="s">
        <v>96</v>
      </c>
      <c r="D49" s="11" t="s">
        <v>29</v>
      </c>
      <c r="E49" s="86"/>
      <c r="F49" s="70">
        <v>5371</v>
      </c>
      <c r="G49" s="1"/>
      <c r="N49" s="1"/>
    </row>
    <row r="50" spans="1:14" s="2" customFormat="1" x14ac:dyDescent="0.2">
      <c r="A50" s="89">
        <v>45255</v>
      </c>
      <c r="B50" s="128" t="s">
        <v>11</v>
      </c>
      <c r="C50" s="10" t="s">
        <v>1403</v>
      </c>
      <c r="D50" s="11" t="s">
        <v>29</v>
      </c>
      <c r="E50" s="86"/>
      <c r="F50" s="70">
        <v>10170132</v>
      </c>
      <c r="G50" s="1"/>
      <c r="N50" s="1"/>
    </row>
    <row r="51" spans="1:14" s="2" customFormat="1" x14ac:dyDescent="0.2">
      <c r="A51" s="32"/>
      <c r="B51" s="33"/>
      <c r="C51" s="14"/>
      <c r="D51" s="34"/>
      <c r="E51" s="16">
        <f>SUM(E20:E50)</f>
        <v>26612148.199999999</v>
      </c>
      <c r="F51" s="16">
        <f>SUM(F20:F50)</f>
        <v>249487957.87000003</v>
      </c>
      <c r="G51" s="1"/>
      <c r="H51" s="1"/>
      <c r="I51" s="38">
        <v>222875809.66999999</v>
      </c>
      <c r="K51" s="92">
        <f>E52-I51</f>
        <v>0</v>
      </c>
      <c r="N51" s="1"/>
    </row>
    <row r="52" spans="1:14" s="2" customFormat="1" x14ac:dyDescent="0.2">
      <c r="A52" s="36"/>
      <c r="B52" s="28" t="s">
        <v>11</v>
      </c>
      <c r="C52" s="19" t="s">
        <v>65</v>
      </c>
      <c r="D52" s="37"/>
      <c r="E52" s="38">
        <f>F51-E51</f>
        <v>222875809.67000005</v>
      </c>
      <c r="F52" s="22"/>
      <c r="G52" s="1"/>
      <c r="H52" s="1"/>
      <c r="I52" s="70"/>
      <c r="J52" s="70"/>
      <c r="K52" s="70"/>
      <c r="N52" s="1"/>
    </row>
    <row r="53" spans="1:14" s="2" customFormat="1" x14ac:dyDescent="0.2">
      <c r="A53" s="36"/>
      <c r="B53" s="28" t="s">
        <v>66</v>
      </c>
      <c r="C53" s="19" t="s">
        <v>67</v>
      </c>
      <c r="D53" s="37"/>
      <c r="E53" s="38">
        <v>6500000</v>
      </c>
      <c r="F53" s="22"/>
      <c r="G53" s="1"/>
      <c r="H53" s="70"/>
      <c r="I53" s="70"/>
      <c r="J53" s="70"/>
      <c r="K53" s="70"/>
      <c r="N53" s="1"/>
    </row>
    <row r="54" spans="1:14" s="2" customFormat="1" x14ac:dyDescent="0.2">
      <c r="A54" s="36"/>
      <c r="B54" s="28" t="s">
        <v>66</v>
      </c>
      <c r="C54" s="43" t="s">
        <v>1457</v>
      </c>
      <c r="D54" s="43"/>
      <c r="E54" s="12">
        <f>275000000+75000000+50000000-75000000+75000000-175000000</f>
        <v>225000000</v>
      </c>
      <c r="F54" s="22"/>
      <c r="G54" s="1"/>
      <c r="H54" s="70"/>
      <c r="I54" s="45">
        <v>2508.84</v>
      </c>
      <c r="J54" s="46"/>
      <c r="K54" s="46"/>
      <c r="N54" s="1"/>
    </row>
    <row r="55" spans="1:14" s="2" customFormat="1" ht="15" x14ac:dyDescent="0.25">
      <c r="A55" s="36"/>
      <c r="B55" s="28"/>
      <c r="C55" s="44" t="s">
        <v>1541</v>
      </c>
      <c r="D55" s="43"/>
      <c r="E55" s="7">
        <f>+E54+E52+E53</f>
        <v>454375809.67000008</v>
      </c>
      <c r="F55" s="22"/>
      <c r="G55" s="1"/>
      <c r="H55" s="103" t="s">
        <v>69</v>
      </c>
      <c r="I55" s="45">
        <v>-76.069999999999993</v>
      </c>
      <c r="J55" s="46"/>
      <c r="K55" s="46"/>
      <c r="N55" s="1"/>
    </row>
    <row r="56" spans="1:14" s="2" customFormat="1" ht="15" x14ac:dyDescent="0.25">
      <c r="A56" s="24"/>
      <c r="B56" s="1"/>
      <c r="C56" s="44" t="s">
        <v>1510</v>
      </c>
      <c r="D56" s="25"/>
      <c r="E56" s="156">
        <f>+I20-E53+H16-I16</f>
        <v>45624190.330000013</v>
      </c>
      <c r="G56" s="1"/>
      <c r="H56" s="35" t="s">
        <v>70</v>
      </c>
      <c r="I56" s="45">
        <v>63.81</v>
      </c>
      <c r="J56" s="46">
        <f>+I57-D59</f>
        <v>0</v>
      </c>
      <c r="N56" s="1"/>
    </row>
    <row r="57" spans="1:14" s="124" customFormat="1" ht="12.75" customHeight="1" x14ac:dyDescent="0.2">
      <c r="A57" s="24"/>
      <c r="B57" s="1"/>
      <c r="C57" s="56"/>
      <c r="D57" s="56"/>
      <c r="E57" s="104"/>
      <c r="F57" s="2"/>
      <c r="G57" s="166"/>
      <c r="H57" s="70"/>
      <c r="I57" s="49">
        <f>SUM(I54:I56)</f>
        <v>2496.58</v>
      </c>
      <c r="J57" s="46"/>
      <c r="K57" s="46"/>
    </row>
    <row r="58" spans="1:14" s="124" customFormat="1" ht="12.75" customHeight="1" x14ac:dyDescent="0.2">
      <c r="A58" s="24"/>
      <c r="B58" s="1"/>
      <c r="C58" s="78" t="s">
        <v>575</v>
      </c>
      <c r="D58" s="48" t="s">
        <v>576</v>
      </c>
      <c r="E58" s="104"/>
      <c r="F58" s="2"/>
      <c r="G58" s="168"/>
      <c r="H58" s="167"/>
      <c r="I58" s="167"/>
      <c r="J58" s="168"/>
    </row>
    <row r="59" spans="1:14" s="124" customFormat="1" ht="12.75" customHeight="1" x14ac:dyDescent="0.2">
      <c r="A59" s="24"/>
      <c r="B59" s="1"/>
      <c r="C59" s="47" t="s">
        <v>570</v>
      </c>
      <c r="D59" s="111">
        <v>2496.58</v>
      </c>
      <c r="E59" s="104"/>
      <c r="F59" s="2"/>
      <c r="G59" s="168"/>
      <c r="H59" s="110" t="s">
        <v>581</v>
      </c>
      <c r="I59" s="167"/>
      <c r="J59" s="168"/>
    </row>
    <row r="60" spans="1:14" s="124" customFormat="1" ht="12.75" customHeight="1" x14ac:dyDescent="0.2">
      <c r="A60" s="24"/>
      <c r="B60" s="1"/>
      <c r="C60" s="47" t="s">
        <v>931</v>
      </c>
      <c r="D60" s="111">
        <v>147.63</v>
      </c>
      <c r="E60" s="104"/>
      <c r="F60" s="2"/>
      <c r="G60" s="168"/>
      <c r="H60" s="110" t="s">
        <v>580</v>
      </c>
      <c r="I60" s="167"/>
      <c r="J60" s="168"/>
    </row>
    <row r="61" spans="1:14" s="124" customFormat="1" ht="12.75" customHeight="1" x14ac:dyDescent="0.2">
      <c r="A61" s="24"/>
      <c r="B61" s="1"/>
      <c r="C61" s="47" t="s">
        <v>572</v>
      </c>
      <c r="D61" s="111">
        <f>+D91/100000</f>
        <v>360.36584950000002</v>
      </c>
      <c r="E61" s="104"/>
      <c r="F61" s="2"/>
      <c r="G61" s="166"/>
      <c r="H61" s="90" t="s">
        <v>587</v>
      </c>
      <c r="I61" s="167"/>
      <c r="J61" s="168"/>
    </row>
    <row r="62" spans="1:14" s="2" customFormat="1" x14ac:dyDescent="0.2">
      <c r="A62" s="24"/>
      <c r="B62" s="1"/>
      <c r="C62" s="108" t="s">
        <v>578</v>
      </c>
      <c r="D62" s="48">
        <f>SUM(D59:D61)</f>
        <v>3004.5758495</v>
      </c>
      <c r="E62" s="104"/>
      <c r="G62" s="30"/>
      <c r="I62" s="13"/>
      <c r="J62" s="13"/>
    </row>
    <row r="63" spans="1:14" s="70" customFormat="1" x14ac:dyDescent="0.2">
      <c r="A63" s="24"/>
      <c r="B63" s="1"/>
      <c r="C63" s="47"/>
      <c r="D63" s="107"/>
      <c r="E63" s="104"/>
      <c r="F63" s="2"/>
      <c r="G63" s="30"/>
      <c r="H63" s="2"/>
    </row>
    <row r="64" spans="1:14" s="70" customFormat="1" x14ac:dyDescent="0.2">
      <c r="A64" s="24"/>
      <c r="B64" s="1"/>
      <c r="C64" s="47" t="s">
        <v>932</v>
      </c>
      <c r="D64" s="111">
        <v>149.04</v>
      </c>
      <c r="E64" s="104"/>
      <c r="F64" s="2"/>
      <c r="G64" s="30"/>
      <c r="H64" s="110" t="s">
        <v>581</v>
      </c>
    </row>
    <row r="65" spans="1:14" s="70" customFormat="1" x14ac:dyDescent="0.2">
      <c r="A65" s="24"/>
      <c r="B65" s="1"/>
      <c r="C65" s="136" t="s">
        <v>1142</v>
      </c>
      <c r="D65" s="111">
        <v>735.5</v>
      </c>
      <c r="E65" s="104"/>
      <c r="F65" s="2"/>
      <c r="G65" s="30"/>
      <c r="H65" s="110" t="s">
        <v>581</v>
      </c>
    </row>
    <row r="66" spans="1:14" s="70" customFormat="1" x14ac:dyDescent="0.2">
      <c r="A66" s="24"/>
      <c r="B66" s="1"/>
      <c r="C66" s="78" t="s">
        <v>579</v>
      </c>
      <c r="D66" s="109">
        <f>D64+D65</f>
        <v>884.54</v>
      </c>
      <c r="E66" s="104"/>
      <c r="F66" s="2"/>
      <c r="G66" s="30"/>
    </row>
    <row r="67" spans="1:14" s="70" customFormat="1" x14ac:dyDescent="0.2">
      <c r="A67" s="24"/>
      <c r="B67" s="1"/>
      <c r="C67" s="105"/>
      <c r="D67" s="106"/>
      <c r="E67" s="104"/>
      <c r="F67" s="2"/>
      <c r="G67" s="30"/>
      <c r="I67" s="2"/>
      <c r="J67" s="114" t="s">
        <v>713</v>
      </c>
      <c r="K67" s="2"/>
      <c r="L67" s="2"/>
      <c r="M67" s="2"/>
    </row>
    <row r="68" spans="1:14" s="70" customFormat="1" x14ac:dyDescent="0.2">
      <c r="A68" s="24"/>
      <c r="B68" s="1"/>
      <c r="C68" s="78" t="s">
        <v>577</v>
      </c>
      <c r="D68" s="109">
        <f>D59+D66</f>
        <v>3381.12</v>
      </c>
      <c r="E68" s="104"/>
      <c r="F68" s="2"/>
      <c r="G68" s="30"/>
      <c r="I68" s="113"/>
      <c r="J68" s="113" t="s">
        <v>709</v>
      </c>
      <c r="K68" s="113" t="s">
        <v>710</v>
      </c>
      <c r="L68" s="113" t="s">
        <v>711</v>
      </c>
      <c r="M68" s="113" t="s">
        <v>712</v>
      </c>
    </row>
    <row r="69" spans="1:14" s="70" customFormat="1" x14ac:dyDescent="0.2">
      <c r="A69" s="24"/>
      <c r="B69" s="1"/>
      <c r="C69" s="56"/>
      <c r="D69" s="56"/>
      <c r="E69" s="104"/>
      <c r="F69" s="2"/>
      <c r="G69" s="30"/>
      <c r="I69" s="113" t="s">
        <v>706</v>
      </c>
      <c r="J69" s="115"/>
      <c r="K69" s="115">
        <v>968.99</v>
      </c>
      <c r="L69" s="115">
        <v>968.99</v>
      </c>
      <c r="M69" s="113">
        <f>+J69+L69-K69</f>
        <v>0</v>
      </c>
    </row>
    <row r="70" spans="1:14" s="70" customFormat="1" ht="38.25" x14ac:dyDescent="0.2">
      <c r="A70" s="24"/>
      <c r="B70" s="1"/>
      <c r="C70" s="79" t="str">
        <f>"Particulars ( 01-04-2021 to "&amp;TEXT(A5,"dd-mm-yyyy")&amp;" )"</f>
        <v>Particulars ( 01-04-2021 to 25-11-2023 )</v>
      </c>
      <c r="D70" s="80" t="s">
        <v>73</v>
      </c>
      <c r="E70" s="80" t="s">
        <v>74</v>
      </c>
      <c r="F70" s="81" t="s">
        <v>75</v>
      </c>
      <c r="G70" s="80" t="s">
        <v>76</v>
      </c>
      <c r="I70" s="113" t="s">
        <v>707</v>
      </c>
      <c r="J70" s="115">
        <v>183.1</v>
      </c>
      <c r="K70" s="115">
        <v>4068.23</v>
      </c>
      <c r="L70" s="115">
        <v>4269.2</v>
      </c>
      <c r="M70" s="113">
        <f>+J70+L70-K70</f>
        <v>384.07000000000016</v>
      </c>
    </row>
    <row r="71" spans="1:14" s="70" customFormat="1" x14ac:dyDescent="0.2">
      <c r="A71" s="24"/>
      <c r="B71" s="1"/>
      <c r="C71" s="50" t="s">
        <v>444</v>
      </c>
      <c r="D71" s="55">
        <f>+L69+L70+J70</f>
        <v>5421.29</v>
      </c>
      <c r="E71" s="55">
        <f>+K69+K70</f>
        <v>5037.22</v>
      </c>
      <c r="F71" s="55">
        <f>+D71-E71</f>
        <v>384.06999999999971</v>
      </c>
      <c r="G71" s="55">
        <f>1500-F71</f>
        <v>1115.9300000000003</v>
      </c>
      <c r="I71" s="113" t="s">
        <v>708</v>
      </c>
      <c r="J71" s="115">
        <v>1371.02</v>
      </c>
      <c r="K71" s="115">
        <v>15221.96</v>
      </c>
      <c r="L71" s="115">
        <v>15407.75</v>
      </c>
      <c r="M71" s="113">
        <f>+J71+L71-K71</f>
        <v>1556.8100000000013</v>
      </c>
    </row>
    <row r="72" spans="1:14" s="70" customFormat="1" ht="12.75" customHeight="1" x14ac:dyDescent="0.2">
      <c r="A72" s="24"/>
      <c r="B72" s="1"/>
      <c r="C72" s="50" t="s">
        <v>71</v>
      </c>
      <c r="D72" s="55">
        <f>+J71+L71</f>
        <v>16778.77</v>
      </c>
      <c r="E72" s="55">
        <f>+K71</f>
        <v>15221.96</v>
      </c>
      <c r="F72" s="55">
        <f>+D72-E72</f>
        <v>1556.8100000000013</v>
      </c>
      <c r="G72" s="55">
        <f>1500+700-F72</f>
        <v>643.18999999999869</v>
      </c>
      <c r="I72" s="2"/>
      <c r="J72" s="118">
        <f>SUM(J69:J71)</f>
        <v>1554.12</v>
      </c>
      <c r="K72" s="118">
        <f>SUM(K69:K71)</f>
        <v>20259.18</v>
      </c>
      <c r="L72" s="118">
        <f>SUM(L69:L71)</f>
        <v>20645.939999999999</v>
      </c>
      <c r="M72" s="118">
        <f>SUM(M69:M71)</f>
        <v>1940.8800000000015</v>
      </c>
    </row>
    <row r="73" spans="1:14" s="70" customFormat="1" ht="12.75" customHeight="1" x14ac:dyDescent="0.2">
      <c r="A73" s="24"/>
      <c r="B73" s="1"/>
      <c r="C73" s="14"/>
      <c r="D73" s="56"/>
      <c r="E73" s="13"/>
      <c r="F73" s="2"/>
      <c r="G73" s="30"/>
    </row>
    <row r="74" spans="1:14" s="70" customFormat="1" ht="12.75" customHeight="1" x14ac:dyDescent="0.2">
      <c r="A74" s="215" t="s">
        <v>80</v>
      </c>
      <c r="B74" s="216"/>
      <c r="C74" s="216"/>
      <c r="D74" s="217"/>
      <c r="E74" s="69"/>
      <c r="G74" s="30"/>
    </row>
    <row r="75" spans="1:14" s="70" customFormat="1" ht="12.75" customHeight="1" x14ac:dyDescent="0.2">
      <c r="A75" s="71" t="s">
        <v>81</v>
      </c>
      <c r="B75" s="71"/>
      <c r="C75" s="72" t="s">
        <v>82</v>
      </c>
      <c r="D75" s="73" t="s">
        <v>83</v>
      </c>
      <c r="E75" s="69"/>
      <c r="G75" s="30"/>
    </row>
    <row r="76" spans="1:14" s="70" customFormat="1" ht="12.75" customHeight="1" x14ac:dyDescent="0.2">
      <c r="A76" s="87">
        <v>45232</v>
      </c>
      <c r="B76" s="120" t="s">
        <v>6</v>
      </c>
      <c r="C76" s="75" t="s">
        <v>767</v>
      </c>
      <c r="D76" s="88">
        <v>515100</v>
      </c>
      <c r="E76" s="2"/>
      <c r="F76" s="2"/>
      <c r="G76" s="30"/>
      <c r="H76" s="2"/>
      <c r="I76" s="2"/>
      <c r="J76" s="2"/>
      <c r="K76" s="2"/>
      <c r="L76" s="41"/>
      <c r="M76" s="42"/>
      <c r="N76" s="2"/>
    </row>
    <row r="77" spans="1:14" s="70" customFormat="1" ht="12.75" customHeight="1" x14ac:dyDescent="0.2">
      <c r="A77" s="87">
        <v>45232</v>
      </c>
      <c r="B77" s="120" t="s">
        <v>6</v>
      </c>
      <c r="C77" s="75" t="s">
        <v>566</v>
      </c>
      <c r="D77" s="88">
        <v>52450</v>
      </c>
      <c r="E77" s="2"/>
      <c r="F77" s="2"/>
      <c r="G77" s="30"/>
      <c r="H77" s="2"/>
      <c r="I77" s="2"/>
      <c r="J77" s="2"/>
      <c r="K77" s="2"/>
      <c r="L77" s="41"/>
      <c r="M77" s="42"/>
      <c r="N77" s="2"/>
    </row>
    <row r="78" spans="1:14" s="70" customFormat="1" ht="12.75" customHeight="1" x14ac:dyDescent="0.2">
      <c r="A78" s="87">
        <v>45233</v>
      </c>
      <c r="B78" s="120" t="s">
        <v>6</v>
      </c>
      <c r="C78" s="75" t="s">
        <v>1084</v>
      </c>
      <c r="D78" s="88">
        <v>1833799</v>
      </c>
      <c r="E78" s="2"/>
      <c r="F78" s="2"/>
      <c r="G78" s="30"/>
      <c r="H78" s="2"/>
      <c r="I78" s="2"/>
      <c r="J78" s="2"/>
      <c r="K78" s="2"/>
      <c r="L78" s="41"/>
      <c r="M78" s="42"/>
      <c r="N78" s="2"/>
    </row>
    <row r="79" spans="1:14" s="70" customFormat="1" ht="12.75" customHeight="1" x14ac:dyDescent="0.2">
      <c r="A79" s="87">
        <v>45233</v>
      </c>
      <c r="B79" s="120" t="s">
        <v>6</v>
      </c>
      <c r="C79" s="75" t="s">
        <v>909</v>
      </c>
      <c r="D79" s="88">
        <v>366980</v>
      </c>
      <c r="E79" s="2"/>
      <c r="F79" s="2"/>
      <c r="G79" s="30"/>
      <c r="H79" s="2"/>
      <c r="I79" s="2"/>
      <c r="J79" s="2"/>
      <c r="K79" s="2"/>
      <c r="L79" s="41"/>
      <c r="M79" s="42"/>
      <c r="N79" s="2"/>
    </row>
    <row r="80" spans="1:14" s="70" customFormat="1" ht="12.75" customHeight="1" x14ac:dyDescent="0.2">
      <c r="A80" s="87">
        <v>45233</v>
      </c>
      <c r="B80" s="120" t="s">
        <v>6</v>
      </c>
      <c r="C80" s="75" t="s">
        <v>909</v>
      </c>
      <c r="D80" s="88">
        <v>30038</v>
      </c>
      <c r="E80" s="2"/>
      <c r="F80" s="2"/>
      <c r="G80" s="30"/>
      <c r="H80" s="2"/>
      <c r="I80" s="2"/>
      <c r="J80" s="2"/>
      <c r="K80" s="2"/>
      <c r="L80" s="41"/>
      <c r="M80" s="42"/>
      <c r="N80" s="2"/>
    </row>
    <row r="81" spans="1:14" s="70" customFormat="1" ht="12.75" customHeight="1" x14ac:dyDescent="0.2">
      <c r="A81" s="87">
        <v>45237</v>
      </c>
      <c r="B81" s="120" t="s">
        <v>6</v>
      </c>
      <c r="C81" s="75" t="s">
        <v>888</v>
      </c>
      <c r="D81" s="88">
        <v>14999721.949999999</v>
      </c>
      <c r="E81" s="2"/>
      <c r="F81" s="2"/>
      <c r="G81" s="30"/>
      <c r="H81" s="2"/>
      <c r="I81" s="2"/>
      <c r="J81" s="2"/>
      <c r="K81" s="2"/>
      <c r="L81" s="41"/>
      <c r="M81" s="42"/>
      <c r="N81" s="2"/>
    </row>
    <row r="82" spans="1:14" s="70" customFormat="1" ht="12.75" customHeight="1" x14ac:dyDescent="0.2">
      <c r="A82" s="87">
        <v>45238</v>
      </c>
      <c r="B82" s="120" t="s">
        <v>6</v>
      </c>
      <c r="C82" s="75" t="s">
        <v>606</v>
      </c>
      <c r="D82" s="88">
        <v>1098495</v>
      </c>
      <c r="E82" s="2"/>
      <c r="F82" s="2"/>
      <c r="G82" s="30"/>
      <c r="H82" s="2"/>
      <c r="I82" s="2"/>
      <c r="J82" s="2"/>
      <c r="K82" s="2"/>
      <c r="L82" s="41"/>
      <c r="M82" s="42"/>
      <c r="N82" s="2"/>
    </row>
    <row r="83" spans="1:14" s="70" customFormat="1" ht="12.75" customHeight="1" x14ac:dyDescent="0.2">
      <c r="A83" s="87">
        <v>45239</v>
      </c>
      <c r="B83" s="120" t="s">
        <v>6</v>
      </c>
      <c r="C83" s="75" t="s">
        <v>566</v>
      </c>
      <c r="D83" s="88">
        <f>183507+63254</f>
        <v>246761</v>
      </c>
      <c r="E83" s="2"/>
      <c r="F83" s="2"/>
      <c r="G83" s="30"/>
      <c r="H83" s="2"/>
      <c r="I83" s="2"/>
      <c r="J83" s="2"/>
      <c r="K83" s="2"/>
      <c r="L83" s="41"/>
      <c r="M83" s="42"/>
      <c r="N83" s="2"/>
    </row>
    <row r="84" spans="1:14" s="70" customFormat="1" ht="12.75" customHeight="1" x14ac:dyDescent="0.2">
      <c r="A84" s="87">
        <v>45240</v>
      </c>
      <c r="B84" s="120" t="s">
        <v>6</v>
      </c>
      <c r="C84" s="75" t="s">
        <v>767</v>
      </c>
      <c r="D84" s="88">
        <v>287037</v>
      </c>
      <c r="E84" s="2"/>
      <c r="F84" s="2"/>
      <c r="G84" s="30"/>
      <c r="H84" s="2"/>
      <c r="I84" s="2"/>
      <c r="J84" s="2"/>
      <c r="K84" s="2"/>
      <c r="L84" s="41"/>
      <c r="M84" s="42"/>
      <c r="N84" s="2"/>
    </row>
    <row r="85" spans="1:14" s="70" customFormat="1" ht="12.75" customHeight="1" x14ac:dyDescent="0.2">
      <c r="A85" s="87">
        <v>45240</v>
      </c>
      <c r="B85" s="120" t="s">
        <v>6</v>
      </c>
      <c r="C85" s="75" t="s">
        <v>1767</v>
      </c>
      <c r="D85" s="88">
        <v>1000000</v>
      </c>
      <c r="E85" s="2"/>
      <c r="F85" s="2"/>
      <c r="G85" s="30"/>
      <c r="H85" s="2"/>
      <c r="I85" s="2"/>
      <c r="J85" s="2"/>
      <c r="K85" s="2"/>
      <c r="L85" s="41"/>
      <c r="M85" s="42"/>
      <c r="N85" s="2"/>
    </row>
    <row r="86" spans="1:14" s="70" customFormat="1" ht="12.75" customHeight="1" x14ac:dyDescent="0.2">
      <c r="A86" s="87">
        <v>45248</v>
      </c>
      <c r="B86" s="120" t="s">
        <v>6</v>
      </c>
      <c r="C86" s="75" t="s">
        <v>1084</v>
      </c>
      <c r="D86" s="88">
        <v>5733144</v>
      </c>
      <c r="E86" s="2"/>
      <c r="F86" s="2"/>
      <c r="G86" s="30"/>
      <c r="H86" s="2"/>
      <c r="I86" s="2"/>
      <c r="J86" s="2"/>
      <c r="K86" s="2"/>
      <c r="L86" s="41"/>
      <c r="M86" s="42"/>
      <c r="N86" s="2"/>
    </row>
    <row r="87" spans="1:14" s="70" customFormat="1" ht="12.75" customHeight="1" x14ac:dyDescent="0.2">
      <c r="A87" s="87">
        <v>45251</v>
      </c>
      <c r="B87" s="120" t="s">
        <v>6</v>
      </c>
      <c r="C87" s="75" t="s">
        <v>1801</v>
      </c>
      <c r="D87" s="88">
        <v>29372</v>
      </c>
      <c r="E87" s="2"/>
      <c r="F87" s="2"/>
      <c r="G87" s="30"/>
      <c r="H87" s="2"/>
      <c r="I87" s="2"/>
      <c r="J87" s="2"/>
      <c r="K87" s="2"/>
      <c r="L87" s="41"/>
      <c r="M87" s="42"/>
      <c r="N87" s="2"/>
    </row>
    <row r="88" spans="1:14" s="70" customFormat="1" ht="12.75" customHeight="1" x14ac:dyDescent="0.2">
      <c r="A88" s="87">
        <v>45252</v>
      </c>
      <c r="B88" s="120" t="s">
        <v>6</v>
      </c>
      <c r="C88" s="75" t="s">
        <v>909</v>
      </c>
      <c r="D88" s="88">
        <v>1380738</v>
      </c>
      <c r="E88" s="2"/>
      <c r="F88" s="2"/>
      <c r="G88" s="30"/>
      <c r="H88" s="2"/>
      <c r="I88" s="2"/>
      <c r="J88" s="2"/>
      <c r="K88" s="2"/>
      <c r="L88" s="41"/>
      <c r="M88" s="42"/>
      <c r="N88" s="2"/>
    </row>
    <row r="89" spans="1:14" s="70" customFormat="1" ht="12.75" customHeight="1" x14ac:dyDescent="0.2">
      <c r="A89" s="87">
        <v>45252</v>
      </c>
      <c r="B89" s="120" t="s">
        <v>6</v>
      </c>
      <c r="C89" s="75" t="s">
        <v>909</v>
      </c>
      <c r="D89" s="88">
        <v>4316660</v>
      </c>
      <c r="E89" s="2"/>
      <c r="F89" s="2"/>
      <c r="G89" s="30"/>
      <c r="H89" s="2"/>
      <c r="I89" s="2"/>
      <c r="J89" s="2"/>
      <c r="K89" s="2"/>
      <c r="L89" s="41"/>
      <c r="M89" s="42"/>
      <c r="N89" s="2"/>
    </row>
    <row r="90" spans="1:14" s="70" customFormat="1" ht="12.75" customHeight="1" x14ac:dyDescent="0.2">
      <c r="A90" s="87">
        <v>45254</v>
      </c>
      <c r="B90" s="120" t="s">
        <v>6</v>
      </c>
      <c r="C90" s="75" t="s">
        <v>1806</v>
      </c>
      <c r="D90" s="88">
        <v>4146289</v>
      </c>
      <c r="E90" s="2"/>
      <c r="F90" s="2"/>
      <c r="G90" s="30"/>
      <c r="H90" s="2"/>
      <c r="I90" s="2"/>
      <c r="J90" s="2"/>
      <c r="K90" s="2"/>
      <c r="L90" s="41"/>
      <c r="M90" s="42"/>
      <c r="N90" s="2"/>
    </row>
    <row r="91" spans="1:14" s="2" customFormat="1" x14ac:dyDescent="0.2">
      <c r="A91" s="87"/>
      <c r="B91" s="74"/>
      <c r="C91" s="75"/>
      <c r="D91" s="51">
        <f>SUM(D76:D90)</f>
        <v>36036584.950000003</v>
      </c>
      <c r="F91" s="2" t="s">
        <v>396</v>
      </c>
      <c r="G91" s="1"/>
    </row>
    <row r="92" spans="1:14" s="2" customFormat="1" x14ac:dyDescent="0.2">
      <c r="A92" s="24"/>
      <c r="B92" s="1"/>
      <c r="C92" s="14"/>
      <c r="D92" s="56"/>
      <c r="E92" s="13"/>
      <c r="G92" s="1"/>
    </row>
    <row r="93" spans="1:14" s="2" customFormat="1" x14ac:dyDescent="0.2">
      <c r="A93" s="24"/>
      <c r="B93" s="1"/>
      <c r="C93" s="218" t="s">
        <v>77</v>
      </c>
      <c r="D93" s="219"/>
      <c r="E93" s="219"/>
      <c r="F93" s="220"/>
      <c r="H93" s="2" t="s">
        <v>396</v>
      </c>
    </row>
    <row r="94" spans="1:14" s="2" customFormat="1" x14ac:dyDescent="0.2">
      <c r="A94" s="24"/>
      <c r="B94" s="1"/>
      <c r="C94" s="50"/>
      <c r="D94" s="57" t="s">
        <v>78</v>
      </c>
      <c r="E94" s="58" t="s">
        <v>79</v>
      </c>
      <c r="F94" s="57" t="s">
        <v>72</v>
      </c>
      <c r="H94" s="2" t="s">
        <v>396</v>
      </c>
    </row>
    <row r="95" spans="1:14" s="2" customFormat="1" x14ac:dyDescent="0.2">
      <c r="A95" s="24"/>
      <c r="B95" s="1"/>
      <c r="C95" s="59" t="str">
        <f>"01-11-2023 to "&amp;TEXT(A5-2,"dd-mm-yyyy")</f>
        <v>01-11-2023 to 23-11-2023</v>
      </c>
      <c r="D95" s="60">
        <v>1712.97</v>
      </c>
      <c r="E95" s="60">
        <v>365</v>
      </c>
      <c r="F95" s="61">
        <f>SUM(D95:E95)</f>
        <v>2077.9700000000003</v>
      </c>
    </row>
    <row r="96" spans="1:14" s="2" customFormat="1" x14ac:dyDescent="0.2">
      <c r="A96" s="24"/>
      <c r="B96" s="1"/>
      <c r="C96" s="62" t="str">
        <f>TEXT(A5-1,"dd-mm-yyyy")</f>
        <v>24-11-2023</v>
      </c>
      <c r="D96" s="60">
        <v>97.04</v>
      </c>
      <c r="E96" s="60">
        <v>20.16</v>
      </c>
      <c r="F96" s="61">
        <f>SUM(D96:E96)</f>
        <v>117.2</v>
      </c>
      <c r="G96" s="1"/>
      <c r="H96" s="53"/>
    </row>
    <row r="97" spans="1:13" s="2" customFormat="1" ht="13.5" thickBot="1" x14ac:dyDescent="0.25">
      <c r="A97" s="24"/>
      <c r="B97" s="1"/>
      <c r="C97" s="63" t="str">
        <f>"01-11-2023 to "&amp;TEXT(A5-1,"dd-mm-yyyy")</f>
        <v>01-11-2023 to 24-11-2023</v>
      </c>
      <c r="D97" s="64">
        <f>SUM(D95:D96)</f>
        <v>1810.01</v>
      </c>
      <c r="E97" s="64">
        <f>SUM(E95:E96)</f>
        <v>385.16</v>
      </c>
      <c r="F97" s="64">
        <f>SUM(F95:F96)</f>
        <v>2195.17</v>
      </c>
      <c r="G97" s="1"/>
      <c r="H97" s="53"/>
    </row>
    <row r="98" spans="1:13" s="2" customFormat="1" ht="13.5" thickTop="1" x14ac:dyDescent="0.2">
      <c r="A98" s="24"/>
      <c r="B98" s="1"/>
      <c r="C98" s="62"/>
      <c r="D98" s="65"/>
      <c r="E98" s="66"/>
      <c r="F98" s="67"/>
      <c r="L98" s="1"/>
      <c r="M98" s="1"/>
    </row>
    <row r="99" spans="1:13" s="2" customFormat="1" x14ac:dyDescent="0.2">
      <c r="A99" s="24"/>
      <c r="B99" s="1"/>
      <c r="C99" s="62" t="str">
        <f>"01-04-2023 to " &amp;C96</f>
        <v>01-04-2023 to 24-11-2023</v>
      </c>
      <c r="D99" s="68">
        <f>+D97+29859.78</f>
        <v>31669.789999999997</v>
      </c>
      <c r="E99" s="68">
        <f>+E97+2548.34</f>
        <v>2933.5</v>
      </c>
      <c r="F99" s="68">
        <f>+F97+32408.1</f>
        <v>34603.269999999997</v>
      </c>
      <c r="G99" s="1"/>
      <c r="L99" s="1"/>
      <c r="M99" s="1"/>
    </row>
    <row r="100" spans="1:13" s="2" customFormat="1" x14ac:dyDescent="0.2">
      <c r="A100" s="24"/>
      <c r="B100" s="1"/>
      <c r="C100" s="52"/>
      <c r="D100" s="85"/>
      <c r="E100" s="53"/>
      <c r="F100" s="53"/>
      <c r="G100" s="1"/>
      <c r="L100" s="1"/>
      <c r="M100" s="1"/>
    </row>
    <row r="101" spans="1:13" s="2" customFormat="1" x14ac:dyDescent="0.2">
      <c r="A101" s="24"/>
      <c r="B101" s="1"/>
      <c r="C101" s="52"/>
      <c r="D101" s="85"/>
      <c r="E101" s="53"/>
      <c r="F101" s="53"/>
      <c r="G101" s="1"/>
      <c r="L101" s="1"/>
      <c r="M101" s="1"/>
    </row>
    <row r="102" spans="1:13" s="2" customFormat="1" x14ac:dyDescent="0.2">
      <c r="A102" s="24"/>
      <c r="B102" s="1"/>
      <c r="C102" s="52"/>
      <c r="D102" s="85"/>
      <c r="E102" s="53"/>
      <c r="F102" s="53"/>
      <c r="G102" s="1"/>
      <c r="L102" s="1"/>
      <c r="M102" s="1"/>
    </row>
    <row r="103" spans="1:13" s="2" customFormat="1" x14ac:dyDescent="0.2">
      <c r="A103" s="24"/>
      <c r="B103" s="1"/>
      <c r="C103" s="52"/>
      <c r="D103" s="85"/>
      <c r="E103" s="53"/>
      <c r="F103" s="53"/>
      <c r="G103" s="1"/>
      <c r="L103" s="1"/>
      <c r="M103" s="1"/>
    </row>
    <row r="104" spans="1:13" s="2" customFormat="1" x14ac:dyDescent="0.2">
      <c r="A104" s="24"/>
      <c r="B104" s="1"/>
      <c r="C104" s="14"/>
      <c r="D104" s="25">
        <f>SUM(D101:D103)</f>
        <v>0</v>
      </c>
      <c r="E104" s="2">
        <f>SUM(E101:E103)</f>
        <v>0</v>
      </c>
      <c r="G104" s="1"/>
      <c r="L104" s="1"/>
      <c r="M104" s="1"/>
    </row>
    <row r="105" spans="1:13" s="2" customFormat="1" x14ac:dyDescent="0.2">
      <c r="A105" s="24"/>
      <c r="B105" s="1"/>
      <c r="C105" s="14"/>
      <c r="D105" s="25"/>
      <c r="G105" s="1"/>
      <c r="L105" s="1"/>
      <c r="M105" s="1"/>
    </row>
    <row r="106" spans="1:13" s="2" customFormat="1" x14ac:dyDescent="0.2">
      <c r="A106" s="24"/>
      <c r="B106" s="1"/>
      <c r="C106" s="14"/>
      <c r="D106" s="25"/>
      <c r="G106" s="1"/>
      <c r="L106" s="1"/>
      <c r="M106" s="1"/>
    </row>
    <row r="107" spans="1:13" s="2" customFormat="1" x14ac:dyDescent="0.2">
      <c r="A107" s="24"/>
      <c r="B107" s="1"/>
      <c r="C107" s="14"/>
      <c r="D107" s="25"/>
      <c r="G107" s="1"/>
      <c r="L107" s="1"/>
      <c r="M107" s="1"/>
    </row>
    <row r="108" spans="1:13" s="2" customFormat="1" x14ac:dyDescent="0.2">
      <c r="A108" s="24"/>
      <c r="B108" s="1"/>
      <c r="C108" s="14"/>
      <c r="D108" s="25"/>
      <c r="G108" s="1"/>
      <c r="L108" s="1"/>
      <c r="M108" s="1"/>
    </row>
    <row r="109" spans="1:13" s="2" customFormat="1" x14ac:dyDescent="0.2">
      <c r="A109" s="24"/>
      <c r="B109" s="1"/>
      <c r="C109" s="14"/>
      <c r="D109" s="25"/>
      <c r="G109" s="1"/>
      <c r="L109" s="1"/>
      <c r="M109" s="1"/>
    </row>
    <row r="110" spans="1:13" s="2" customFormat="1" x14ac:dyDescent="0.2">
      <c r="A110" s="24"/>
      <c r="B110" s="1"/>
      <c r="C110" s="14"/>
      <c r="D110" s="25"/>
      <c r="G110" s="1"/>
      <c r="L110" s="1"/>
      <c r="M110" s="1"/>
    </row>
    <row r="111" spans="1:13" s="2" customFormat="1" x14ac:dyDescent="0.2">
      <c r="A111" s="24"/>
      <c r="B111" s="1"/>
      <c r="C111" s="14"/>
      <c r="D111" s="25"/>
      <c r="G111" s="1"/>
      <c r="L111" s="1"/>
      <c r="M111" s="1"/>
    </row>
    <row r="112" spans="1:13" s="2" customFormat="1" x14ac:dyDescent="0.2">
      <c r="A112" s="24"/>
      <c r="B112" s="1"/>
      <c r="C112" s="14"/>
      <c r="D112" s="25"/>
      <c r="G112" s="1"/>
      <c r="L112" s="1"/>
      <c r="M112" s="1"/>
    </row>
    <row r="113" spans="1:14" s="2" customFormat="1" x14ac:dyDescent="0.2">
      <c r="A113" s="24"/>
      <c r="B113" s="1"/>
      <c r="C113" s="14"/>
      <c r="D113" s="25"/>
      <c r="G113" s="1"/>
      <c r="L113" s="1"/>
      <c r="M113" s="1"/>
    </row>
    <row r="114" spans="1:14" s="2" customFormat="1" x14ac:dyDescent="0.2">
      <c r="A114" s="24"/>
      <c r="B114" s="1"/>
      <c r="C114" s="14"/>
      <c r="D114" s="25"/>
      <c r="G114" s="1"/>
      <c r="L114" s="1"/>
      <c r="M114" s="1"/>
    </row>
    <row r="115" spans="1:14" s="2" customFormat="1" x14ac:dyDescent="0.2">
      <c r="A115" s="24"/>
      <c r="B115" s="1"/>
      <c r="C115" s="14"/>
      <c r="D115" s="25"/>
      <c r="G115" s="1"/>
      <c r="L115" s="1"/>
      <c r="M115" s="1"/>
    </row>
    <row r="116" spans="1:14" s="2" customFormat="1" x14ac:dyDescent="0.2">
      <c r="A116" s="24"/>
      <c r="B116" s="1"/>
      <c r="C116" s="14"/>
      <c r="D116" s="25"/>
      <c r="G116" s="1"/>
      <c r="L116" s="1"/>
      <c r="M116" s="1"/>
    </row>
    <row r="117" spans="1:14" s="2" customFormat="1" x14ac:dyDescent="0.2">
      <c r="A117" s="24"/>
      <c r="B117" s="1"/>
      <c r="C117" s="14"/>
      <c r="D117" s="25"/>
      <c r="G117" s="1"/>
      <c r="L117" s="1"/>
      <c r="M117" s="1"/>
    </row>
    <row r="118" spans="1:14" s="2" customFormat="1" x14ac:dyDescent="0.2">
      <c r="A118" s="24"/>
      <c r="B118" s="1"/>
      <c r="C118" s="14"/>
      <c r="D118" s="25"/>
      <c r="G118" s="1"/>
      <c r="I118" s="1"/>
      <c r="J118" s="1"/>
      <c r="K118" s="1"/>
      <c r="L118" s="1"/>
      <c r="M118" s="1"/>
    </row>
    <row r="119" spans="1:14" s="2" customFormat="1" x14ac:dyDescent="0.2">
      <c r="A119" s="24"/>
      <c r="B119" s="1"/>
      <c r="C119" s="14"/>
      <c r="D119" s="25"/>
      <c r="G119" s="1"/>
    </row>
    <row r="120" spans="1:14" s="2" customFormat="1" x14ac:dyDescent="0.2">
      <c r="A120" s="24"/>
      <c r="B120" s="1"/>
      <c r="C120" s="14"/>
      <c r="D120" s="25"/>
      <c r="G120" s="1"/>
      <c r="I120" s="1"/>
      <c r="J120" s="1"/>
      <c r="K120" s="1"/>
      <c r="L120" s="1"/>
      <c r="M120" s="1"/>
    </row>
    <row r="121" spans="1:14" s="2" customFormat="1" x14ac:dyDescent="0.2">
      <c r="A121" s="24"/>
      <c r="B121" s="1"/>
      <c r="C121" s="14"/>
      <c r="D121" s="25"/>
      <c r="G121" s="54"/>
      <c r="I121" s="1"/>
      <c r="J121" s="1"/>
      <c r="K121" s="1"/>
      <c r="L121" s="1"/>
      <c r="M121" s="1"/>
    </row>
    <row r="122" spans="1:14" s="2" customFormat="1" x14ac:dyDescent="0.2">
      <c r="A122" s="24"/>
      <c r="B122" s="1"/>
      <c r="C122" s="14"/>
      <c r="D122" s="25"/>
      <c r="G122" s="54"/>
      <c r="I122" s="1"/>
      <c r="J122" s="1"/>
      <c r="K122" s="1"/>
      <c r="L122" s="1"/>
      <c r="M122" s="1"/>
    </row>
    <row r="123" spans="1:14" s="2" customFormat="1" x14ac:dyDescent="0.2">
      <c r="A123" s="24"/>
      <c r="B123" s="1"/>
      <c r="C123" s="14"/>
      <c r="D123" s="25"/>
      <c r="G123" s="54"/>
      <c r="I123" s="1"/>
      <c r="J123" s="1"/>
      <c r="K123" s="1"/>
      <c r="L123" s="1"/>
      <c r="M123" s="1"/>
    </row>
    <row r="124" spans="1:14" s="2" customFormat="1" x14ac:dyDescent="0.2">
      <c r="A124" s="24"/>
      <c r="B124" s="1"/>
      <c r="C124" s="14"/>
      <c r="D124" s="25"/>
      <c r="G124" s="54"/>
      <c r="H124" s="2" t="s">
        <v>396</v>
      </c>
      <c r="I124" s="1"/>
      <c r="J124" s="1"/>
      <c r="K124" s="1"/>
      <c r="L124" s="1"/>
      <c r="M124" s="1"/>
      <c r="N124" s="1"/>
    </row>
    <row r="125" spans="1:14" s="2" customFormat="1" x14ac:dyDescent="0.2">
      <c r="A125" s="24"/>
      <c r="B125" s="1"/>
      <c r="C125" s="14"/>
      <c r="D125" s="25"/>
      <c r="G125" s="54"/>
      <c r="H125" s="53"/>
    </row>
    <row r="126" spans="1:14" s="2" customFormat="1" x14ac:dyDescent="0.2">
      <c r="A126" s="24"/>
      <c r="B126" s="1"/>
      <c r="C126" s="14"/>
      <c r="D126" s="25"/>
      <c r="G126" s="54"/>
      <c r="H126" s="53" t="s">
        <v>396</v>
      </c>
      <c r="I126" s="1"/>
      <c r="J126" s="1"/>
      <c r="K126" s="1"/>
      <c r="L126" s="1"/>
      <c r="M126" s="1"/>
      <c r="N126" s="1"/>
    </row>
    <row r="127" spans="1:14" x14ac:dyDescent="0.2">
      <c r="G127" s="54"/>
      <c r="H127" s="53" t="s">
        <v>396</v>
      </c>
      <c r="J127" s="42"/>
    </row>
    <row r="128" spans="1:14" s="2" customFormat="1" x14ac:dyDescent="0.2">
      <c r="A128" s="24"/>
      <c r="B128" s="1"/>
      <c r="C128" s="14"/>
      <c r="D128" s="25"/>
      <c r="G128" s="54"/>
      <c r="H128" s="53"/>
      <c r="I128" s="101"/>
      <c r="J128" s="1"/>
      <c r="K128" s="1"/>
      <c r="L128" s="1"/>
      <c r="M128" s="1"/>
      <c r="N128" s="1"/>
    </row>
    <row r="129" spans="7:8" x14ac:dyDescent="0.2">
      <c r="G129" s="54"/>
      <c r="H129" s="53"/>
    </row>
    <row r="130" spans="7:8" x14ac:dyDescent="0.2">
      <c r="G130" s="54"/>
      <c r="H130" s="53"/>
    </row>
    <row r="131" spans="7:8" x14ac:dyDescent="0.2">
      <c r="G131" s="54"/>
      <c r="H131" s="53"/>
    </row>
  </sheetData>
  <sheetProtection insertRows="0"/>
  <mergeCells count="6">
    <mergeCell ref="C93:F93"/>
    <mergeCell ref="A1:G1"/>
    <mergeCell ref="A3:F3"/>
    <mergeCell ref="A9:F9"/>
    <mergeCell ref="A18:F18"/>
    <mergeCell ref="A74:D74"/>
  </mergeCells>
  <conditionalFormatting sqref="G71:G72">
    <cfRule type="cellIs" dxfId="207" priority="1" operator="lessThan">
      <formula>0</formula>
    </cfRule>
  </conditionalFormatting>
  <conditionalFormatting sqref="C20">
    <cfRule type="duplicateValues" dxfId="206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B00-000000000000}">
  <sheetPr codeName="Sheet483">
    <pageSetUpPr fitToPage="1"/>
  </sheetPr>
  <dimension ref="A1:N125"/>
  <sheetViews>
    <sheetView topLeftCell="A31" zoomScaleNormal="100" workbookViewId="0">
      <selection activeCell="E48" sqref="E48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3" ht="20.25" customHeight="1" x14ac:dyDescent="0.4">
      <c r="A1" s="212" t="s">
        <v>1811</v>
      </c>
      <c r="B1" s="212"/>
      <c r="C1" s="212"/>
      <c r="D1" s="212"/>
      <c r="E1" s="212"/>
      <c r="F1" s="212"/>
      <c r="G1" s="212"/>
      <c r="H1" s="112"/>
      <c r="I1" s="112"/>
    </row>
    <row r="2" spans="1:13" ht="12.75" customHeight="1" x14ac:dyDescent="0.4">
      <c r="H2" s="112"/>
      <c r="I2" s="112"/>
    </row>
    <row r="3" spans="1:13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3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3" s="2" customFormat="1" ht="14.25" customHeight="1" x14ac:dyDescent="0.4">
      <c r="A5" s="89">
        <v>45257</v>
      </c>
      <c r="B5" s="9" t="s">
        <v>6</v>
      </c>
      <c r="C5" s="10" t="s">
        <v>7</v>
      </c>
      <c r="D5" s="11"/>
      <c r="E5" s="12">
        <v>700315.42</v>
      </c>
      <c r="F5" s="12"/>
      <c r="G5" s="1"/>
      <c r="H5" s="112"/>
      <c r="I5" s="112"/>
    </row>
    <row r="6" spans="1:13" s="2" customFormat="1" ht="12.75" customHeight="1" x14ac:dyDescent="0.4">
      <c r="D6" s="15" t="s">
        <v>8</v>
      </c>
      <c r="E6" s="16">
        <f>SUM(E5:E5)</f>
        <v>700315.42</v>
      </c>
      <c r="F6" s="16">
        <f>+F5</f>
        <v>0</v>
      </c>
      <c r="G6" s="1"/>
      <c r="H6" s="112"/>
      <c r="I6" s="112"/>
    </row>
    <row r="7" spans="1:13" s="2" customFormat="1" ht="12.75" customHeight="1" x14ac:dyDescent="0.4">
      <c r="A7" s="17"/>
      <c r="B7" s="18"/>
      <c r="C7" s="19" t="s">
        <v>9</v>
      </c>
      <c r="D7" s="20"/>
      <c r="E7" s="21">
        <f>+E6-F6</f>
        <v>700315.42</v>
      </c>
      <c r="F7" s="22"/>
      <c r="G7" s="23"/>
      <c r="H7" s="112"/>
      <c r="I7" s="112"/>
      <c r="J7" s="13"/>
    </row>
    <row r="8" spans="1:13" ht="12.75" customHeight="1" x14ac:dyDescent="0.4">
      <c r="H8" s="112"/>
      <c r="I8" s="112"/>
    </row>
    <row r="9" spans="1:13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69">
        <f>90000000-60000000</f>
        <v>30000000</v>
      </c>
      <c r="J9" s="169" t="s">
        <v>1508</v>
      </c>
    </row>
    <row r="10" spans="1:13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69">
        <v>30662426</v>
      </c>
      <c r="J10" s="169" t="s">
        <v>1509</v>
      </c>
      <c r="K10" s="124"/>
    </row>
    <row r="11" spans="1:13" s="2" customFormat="1" ht="14.25" customHeight="1" x14ac:dyDescent="0.2">
      <c r="A11" s="89">
        <v>45257</v>
      </c>
      <c r="B11" s="9" t="s">
        <v>6</v>
      </c>
      <c r="C11" s="10" t="s">
        <v>7</v>
      </c>
      <c r="D11" s="11"/>
      <c r="F11" s="12">
        <v>29970500</v>
      </c>
      <c r="G11" s="1"/>
      <c r="H11" s="130" t="s">
        <v>396</v>
      </c>
      <c r="I11" s="169">
        <f>+I9-I10</f>
        <v>-662426</v>
      </c>
      <c r="J11" s="169" t="s">
        <v>712</v>
      </c>
      <c r="K11" s="165" t="s">
        <v>1512</v>
      </c>
    </row>
    <row r="12" spans="1:13" s="2" customFormat="1" ht="14.25" customHeight="1" x14ac:dyDescent="0.2">
      <c r="D12" s="11" t="s">
        <v>8</v>
      </c>
      <c r="E12" s="16">
        <f>SUM(E11:E11)</f>
        <v>0</v>
      </c>
      <c r="F12" s="16">
        <f>SUM(F11:F11)</f>
        <v>29970500</v>
      </c>
      <c r="G12" s="1"/>
      <c r="H12" s="143"/>
      <c r="I12" s="130"/>
      <c r="J12" s="143"/>
      <c r="K12" s="143"/>
      <c r="L12" s="143"/>
      <c r="M12" s="143"/>
    </row>
    <row r="13" spans="1:13" s="2" customFormat="1" ht="14.25" customHeight="1" x14ac:dyDescent="0.4">
      <c r="A13" s="17"/>
      <c r="B13" s="18"/>
      <c r="C13" s="96" t="s">
        <v>9</v>
      </c>
      <c r="D13" s="20"/>
      <c r="E13" s="21">
        <f>+F12-E12</f>
        <v>29970500</v>
      </c>
      <c r="G13" s="1"/>
      <c r="I13" s="112"/>
      <c r="J13" s="153" t="s">
        <v>779</v>
      </c>
    </row>
    <row r="14" spans="1:13" s="2" customFormat="1" ht="14.25" customHeight="1" x14ac:dyDescent="0.2">
      <c r="A14" s="36"/>
      <c r="B14" s="28" t="s">
        <v>66</v>
      </c>
      <c r="C14" s="43" t="s">
        <v>1458</v>
      </c>
      <c r="D14" s="43"/>
      <c r="E14" s="12">
        <f>30000000+60000000</f>
        <v>90000000</v>
      </c>
      <c r="F14" s="22"/>
      <c r="G14" s="1"/>
      <c r="I14" s="40">
        <v>29970500</v>
      </c>
      <c r="J14" s="154">
        <f>I14-E13</f>
        <v>0</v>
      </c>
    </row>
    <row r="15" spans="1:13" s="2" customFormat="1" ht="14.25" customHeight="1" x14ac:dyDescent="0.25">
      <c r="A15" s="36"/>
      <c r="B15" s="28"/>
      <c r="C15" s="44" t="s">
        <v>1541</v>
      </c>
      <c r="D15" s="43"/>
      <c r="E15" s="7">
        <f>+E13+E14</f>
        <v>119970500</v>
      </c>
      <c r="F15" s="22"/>
      <c r="G15" s="1"/>
      <c r="H15" s="13" t="s">
        <v>1582</v>
      </c>
      <c r="I15" s="13" t="s">
        <v>1583</v>
      </c>
    </row>
    <row r="16" spans="1:13" s="2" customFormat="1" ht="14.25" customHeight="1" x14ac:dyDescent="0.25">
      <c r="A16" s="36"/>
      <c r="B16" s="28"/>
      <c r="C16" s="44" t="s">
        <v>1511</v>
      </c>
      <c r="D16" s="43"/>
      <c r="E16" s="38">
        <f>+I11</f>
        <v>-662426</v>
      </c>
      <c r="F16" s="22"/>
      <c r="G16" s="1"/>
      <c r="H16" s="2">
        <v>795889</v>
      </c>
      <c r="I16" s="2">
        <v>16214039</v>
      </c>
      <c r="J16" s="176">
        <f>H16-I16</f>
        <v>-15418150</v>
      </c>
    </row>
    <row r="17" spans="1:14" s="2" customFormat="1" ht="14.25" customHeight="1" x14ac:dyDescent="0.2">
      <c r="A17" s="24"/>
      <c r="B17" s="1"/>
      <c r="C17" s="14"/>
      <c r="D17" s="25"/>
      <c r="G17" s="1"/>
      <c r="I17" s="130"/>
      <c r="J17" s="130"/>
    </row>
    <row r="18" spans="1:14" s="2" customFormat="1" x14ac:dyDescent="0.2">
      <c r="A18" s="214" t="s">
        <v>10</v>
      </c>
      <c r="B18" s="214"/>
      <c r="C18" s="214"/>
      <c r="D18" s="214"/>
      <c r="E18" s="214"/>
      <c r="F18" s="214"/>
      <c r="G18" s="1"/>
      <c r="H18" s="159"/>
      <c r="I18" s="160">
        <f>225000000-75000000-50000000+75000000-75000000+175000000</f>
        <v>275000000</v>
      </c>
      <c r="J18" s="160" t="s">
        <v>1506</v>
      </c>
      <c r="K18" s="70"/>
    </row>
    <row r="19" spans="1:14" s="2" customFormat="1" x14ac:dyDescent="0.2">
      <c r="A19" s="26" t="s">
        <v>1</v>
      </c>
      <c r="B19" s="27" t="s">
        <v>2</v>
      </c>
      <c r="C19" s="5"/>
      <c r="D19" s="6" t="s">
        <v>3</v>
      </c>
      <c r="E19" s="7" t="s">
        <v>4</v>
      </c>
      <c r="F19" s="7" t="s">
        <v>5</v>
      </c>
      <c r="G19" s="1"/>
      <c r="H19" s="159"/>
      <c r="I19" s="160">
        <v>223259307.50999999</v>
      </c>
      <c r="J19" s="160" t="s">
        <v>1507</v>
      </c>
      <c r="K19" s="70" t="s">
        <v>1512</v>
      </c>
    </row>
    <row r="20" spans="1:14" s="2" customFormat="1" x14ac:dyDescent="0.2">
      <c r="A20" s="89">
        <v>45257</v>
      </c>
      <c r="B20" s="128" t="s">
        <v>11</v>
      </c>
      <c r="C20" s="29" t="s">
        <v>7</v>
      </c>
      <c r="D20" s="25"/>
      <c r="E20" s="31"/>
      <c r="F20" s="2">
        <v>222875809.67000005</v>
      </c>
      <c r="G20" s="23"/>
      <c r="H20" s="159" t="s">
        <v>1505</v>
      </c>
      <c r="I20" s="160">
        <f>+I18-I19</f>
        <v>51740692.49000001</v>
      </c>
      <c r="J20" s="160"/>
      <c r="K20" s="70"/>
    </row>
    <row r="21" spans="1:14" s="2" customFormat="1" x14ac:dyDescent="0.2">
      <c r="A21" s="89">
        <v>45257</v>
      </c>
      <c r="B21" s="128" t="s">
        <v>6</v>
      </c>
      <c r="C21" s="10" t="s">
        <v>390</v>
      </c>
      <c r="D21" s="11" t="s">
        <v>13</v>
      </c>
      <c r="E21" s="86">
        <v>532110</v>
      </c>
      <c r="F21" s="70"/>
      <c r="G21" s="1"/>
      <c r="N21" s="1"/>
    </row>
    <row r="22" spans="1:14" s="2" customFormat="1" x14ac:dyDescent="0.2">
      <c r="A22" s="89">
        <v>45257</v>
      </c>
      <c r="B22" s="128" t="s">
        <v>6</v>
      </c>
      <c r="C22" s="10" t="s">
        <v>555</v>
      </c>
      <c r="D22" s="11" t="s">
        <v>13</v>
      </c>
      <c r="E22" s="86">
        <v>320856</v>
      </c>
      <c r="F22" s="70"/>
      <c r="G22" s="1"/>
      <c r="N22" s="1"/>
    </row>
    <row r="23" spans="1:14" s="2" customFormat="1" x14ac:dyDescent="0.2">
      <c r="A23" s="89">
        <v>45257</v>
      </c>
      <c r="B23" s="128" t="s">
        <v>6</v>
      </c>
      <c r="C23" s="10" t="s">
        <v>164</v>
      </c>
      <c r="D23" s="11" t="s">
        <v>13</v>
      </c>
      <c r="E23" s="86">
        <v>1500000</v>
      </c>
      <c r="F23" s="70"/>
      <c r="G23" s="1"/>
      <c r="N23" s="1"/>
    </row>
    <row r="24" spans="1:14" s="2" customFormat="1" x14ac:dyDescent="0.2">
      <c r="A24" s="89">
        <v>45257</v>
      </c>
      <c r="B24" s="128" t="s">
        <v>6</v>
      </c>
      <c r="C24" s="10" t="s">
        <v>1812</v>
      </c>
      <c r="D24" s="11" t="s">
        <v>13</v>
      </c>
      <c r="E24" s="86">
        <v>4725</v>
      </c>
      <c r="F24" s="70"/>
      <c r="G24" s="1"/>
      <c r="N24" s="1"/>
    </row>
    <row r="25" spans="1:14" s="2" customFormat="1" x14ac:dyDescent="0.2">
      <c r="A25" s="89">
        <v>45257</v>
      </c>
      <c r="B25" s="128" t="s">
        <v>6</v>
      </c>
      <c r="C25" s="10" t="s">
        <v>757</v>
      </c>
      <c r="D25" s="11" t="s">
        <v>13</v>
      </c>
      <c r="E25" s="86">
        <v>2000</v>
      </c>
      <c r="F25" s="70"/>
      <c r="G25" s="1"/>
      <c r="N25" s="1"/>
    </row>
    <row r="26" spans="1:14" s="2" customFormat="1" x14ac:dyDescent="0.2">
      <c r="A26" s="89">
        <v>45257</v>
      </c>
      <c r="B26" s="128" t="s">
        <v>11</v>
      </c>
      <c r="C26" s="10" t="s">
        <v>64</v>
      </c>
      <c r="D26" s="11" t="s">
        <v>29</v>
      </c>
      <c r="E26" s="86"/>
      <c r="F26" s="70">
        <v>545.16</v>
      </c>
      <c r="G26" s="1"/>
      <c r="N26" s="1"/>
    </row>
    <row r="27" spans="1:14" s="2" customFormat="1" x14ac:dyDescent="0.2">
      <c r="A27" s="89">
        <v>45257</v>
      </c>
      <c r="B27" s="128" t="s">
        <v>11</v>
      </c>
      <c r="C27" s="10" t="s">
        <v>284</v>
      </c>
      <c r="D27" s="11" t="s">
        <v>29</v>
      </c>
      <c r="E27" s="86"/>
      <c r="F27" s="70">
        <v>2890161</v>
      </c>
      <c r="G27" s="1"/>
      <c r="N27" s="1"/>
    </row>
    <row r="28" spans="1:14" s="2" customFormat="1" x14ac:dyDescent="0.2">
      <c r="A28" s="89">
        <v>45257</v>
      </c>
      <c r="B28" s="128" t="s">
        <v>11</v>
      </c>
      <c r="C28" s="10" t="s">
        <v>57</v>
      </c>
      <c r="D28" s="11" t="s">
        <v>29</v>
      </c>
      <c r="E28" s="86"/>
      <c r="F28" s="70">
        <v>11000000</v>
      </c>
      <c r="G28" s="1"/>
      <c r="N28" s="1"/>
    </row>
    <row r="29" spans="1:14" s="2" customFormat="1" x14ac:dyDescent="0.2">
      <c r="A29" s="89">
        <v>45257</v>
      </c>
      <c r="B29" s="128" t="s">
        <v>11</v>
      </c>
      <c r="C29" s="10" t="s">
        <v>194</v>
      </c>
      <c r="D29" s="11" t="s">
        <v>29</v>
      </c>
      <c r="E29" s="86"/>
      <c r="F29" s="70">
        <v>114748</v>
      </c>
      <c r="G29" s="1"/>
      <c r="N29" s="1"/>
    </row>
    <row r="30" spans="1:14" s="2" customFormat="1" x14ac:dyDescent="0.2">
      <c r="A30" s="89">
        <v>45257</v>
      </c>
      <c r="B30" s="128" t="s">
        <v>11</v>
      </c>
      <c r="C30" s="10" t="s">
        <v>790</v>
      </c>
      <c r="D30" s="11" t="s">
        <v>29</v>
      </c>
      <c r="E30" s="86"/>
      <c r="F30" s="70">
        <v>1981050</v>
      </c>
      <c r="G30" s="1"/>
      <c r="N30" s="1"/>
    </row>
    <row r="31" spans="1:14" s="2" customFormat="1" x14ac:dyDescent="0.2">
      <c r="A31" s="89">
        <v>45257</v>
      </c>
      <c r="B31" s="128" t="s">
        <v>11</v>
      </c>
      <c r="C31" s="10" t="s">
        <v>745</v>
      </c>
      <c r="D31" s="11" t="s">
        <v>29</v>
      </c>
      <c r="E31" s="86"/>
      <c r="F31" s="70">
        <v>289743</v>
      </c>
      <c r="G31" s="1"/>
      <c r="N31" s="1"/>
    </row>
    <row r="32" spans="1:14" s="2" customFormat="1" x14ac:dyDescent="0.2">
      <c r="A32" s="89">
        <v>45257</v>
      </c>
      <c r="B32" s="128" t="s">
        <v>11</v>
      </c>
      <c r="C32" s="10" t="s">
        <v>193</v>
      </c>
      <c r="D32" s="11" t="s">
        <v>29</v>
      </c>
      <c r="E32" s="86"/>
      <c r="F32" s="70">
        <v>741294</v>
      </c>
      <c r="G32" s="1"/>
      <c r="N32" s="1"/>
    </row>
    <row r="33" spans="1:14" s="2" customFormat="1" x14ac:dyDescent="0.2">
      <c r="A33" s="89">
        <v>45257</v>
      </c>
      <c r="B33" s="128" t="s">
        <v>11</v>
      </c>
      <c r="C33" s="10" t="s">
        <v>814</v>
      </c>
      <c r="D33" s="11" t="s">
        <v>29</v>
      </c>
      <c r="E33" s="86"/>
      <c r="F33" s="70">
        <v>101075</v>
      </c>
      <c r="G33" s="1"/>
      <c r="N33" s="1"/>
    </row>
    <row r="34" spans="1:14" s="2" customFormat="1" x14ac:dyDescent="0.2">
      <c r="A34" s="89">
        <v>45257</v>
      </c>
      <c r="B34" s="128" t="s">
        <v>11</v>
      </c>
      <c r="C34" s="10" t="s">
        <v>300</v>
      </c>
      <c r="D34" s="11" t="s">
        <v>29</v>
      </c>
      <c r="E34" s="86"/>
      <c r="F34" s="70">
        <v>271442</v>
      </c>
      <c r="G34" s="1"/>
      <c r="N34" s="1"/>
    </row>
    <row r="35" spans="1:14" s="2" customFormat="1" x14ac:dyDescent="0.2">
      <c r="A35" s="89">
        <v>45257</v>
      </c>
      <c r="B35" s="128" t="s">
        <v>11</v>
      </c>
      <c r="C35" s="10" t="s">
        <v>774</v>
      </c>
      <c r="D35" s="11" t="s">
        <v>29</v>
      </c>
      <c r="E35" s="86"/>
      <c r="F35" s="70">
        <v>50000</v>
      </c>
      <c r="G35" s="1"/>
      <c r="N35" s="1"/>
    </row>
    <row r="36" spans="1:14" s="2" customFormat="1" x14ac:dyDescent="0.2">
      <c r="A36" s="89">
        <v>45257</v>
      </c>
      <c r="B36" s="128" t="s">
        <v>11</v>
      </c>
      <c r="C36" s="10" t="s">
        <v>262</v>
      </c>
      <c r="D36" s="11" t="s">
        <v>29</v>
      </c>
      <c r="E36" s="86"/>
      <c r="F36" s="70">
        <v>24181</v>
      </c>
      <c r="G36" s="1"/>
      <c r="N36" s="1"/>
    </row>
    <row r="37" spans="1:14" s="2" customFormat="1" x14ac:dyDescent="0.2">
      <c r="A37" s="89">
        <v>45257</v>
      </c>
      <c r="B37" s="128" t="s">
        <v>11</v>
      </c>
      <c r="C37" s="10" t="s">
        <v>438</v>
      </c>
      <c r="D37" s="11" t="s">
        <v>29</v>
      </c>
      <c r="E37" s="86"/>
      <c r="F37" s="70">
        <v>19954</v>
      </c>
      <c r="G37" s="1"/>
      <c r="N37" s="1"/>
    </row>
    <row r="38" spans="1:14" s="2" customFormat="1" x14ac:dyDescent="0.2">
      <c r="A38" s="89">
        <v>45257</v>
      </c>
      <c r="B38" s="128" t="s">
        <v>11</v>
      </c>
      <c r="C38" s="10" t="s">
        <v>604</v>
      </c>
      <c r="D38" s="11" t="s">
        <v>29</v>
      </c>
      <c r="E38" s="86"/>
      <c r="F38" s="70">
        <v>85400</v>
      </c>
      <c r="G38" s="1"/>
      <c r="N38" s="1"/>
    </row>
    <row r="39" spans="1:14" s="2" customFormat="1" x14ac:dyDescent="0.2">
      <c r="A39" s="89">
        <v>45257</v>
      </c>
      <c r="B39" s="128" t="s">
        <v>11</v>
      </c>
      <c r="C39" s="10" t="s">
        <v>508</v>
      </c>
      <c r="D39" s="11" t="s">
        <v>29</v>
      </c>
      <c r="E39" s="86"/>
      <c r="F39" s="70">
        <v>8415</v>
      </c>
      <c r="G39" s="1"/>
      <c r="N39" s="1"/>
    </row>
    <row r="40" spans="1:14" s="2" customFormat="1" x14ac:dyDescent="0.2">
      <c r="A40" s="89">
        <v>45257</v>
      </c>
      <c r="B40" s="128" t="s">
        <v>11</v>
      </c>
      <c r="C40" s="10" t="s">
        <v>302</v>
      </c>
      <c r="D40" s="11" t="s">
        <v>29</v>
      </c>
      <c r="E40" s="86"/>
      <c r="F40" s="70">
        <v>6060</v>
      </c>
      <c r="G40" s="1"/>
      <c r="N40" s="1"/>
    </row>
    <row r="41" spans="1:14" s="2" customFormat="1" x14ac:dyDescent="0.2">
      <c r="A41" s="89">
        <v>45257</v>
      </c>
      <c r="B41" s="128" t="s">
        <v>11</v>
      </c>
      <c r="C41" s="10" t="s">
        <v>1348</v>
      </c>
      <c r="D41" s="11" t="s">
        <v>29</v>
      </c>
      <c r="E41" s="86"/>
      <c r="F41" s="70">
        <v>93612</v>
      </c>
      <c r="G41" s="1"/>
      <c r="N41" s="1"/>
    </row>
    <row r="42" spans="1:14" s="2" customFormat="1" x14ac:dyDescent="0.2">
      <c r="A42" s="89">
        <v>45257</v>
      </c>
      <c r="B42" s="128" t="s">
        <v>11</v>
      </c>
      <c r="C42" s="10" t="s">
        <v>339</v>
      </c>
      <c r="D42" s="11" t="s">
        <v>29</v>
      </c>
      <c r="E42" s="86"/>
      <c r="F42" s="70">
        <v>40443.32</v>
      </c>
      <c r="G42" s="1"/>
      <c r="N42" s="1"/>
    </row>
    <row r="43" spans="1:14" s="2" customFormat="1" x14ac:dyDescent="0.2">
      <c r="A43" s="89">
        <v>45257</v>
      </c>
      <c r="B43" s="128" t="s">
        <v>11</v>
      </c>
      <c r="C43" s="10" t="s">
        <v>1670</v>
      </c>
      <c r="D43" s="11" t="s">
        <v>29</v>
      </c>
      <c r="E43" s="86"/>
      <c r="F43" s="70">
        <v>148500</v>
      </c>
      <c r="G43" s="1"/>
      <c r="N43" s="1"/>
    </row>
    <row r="44" spans="1:14" s="2" customFormat="1" x14ac:dyDescent="0.2">
      <c r="A44" s="89">
        <v>45257</v>
      </c>
      <c r="B44" s="128" t="s">
        <v>11</v>
      </c>
      <c r="C44" s="10" t="s">
        <v>354</v>
      </c>
      <c r="D44" s="11" t="s">
        <v>29</v>
      </c>
      <c r="E44" s="86"/>
      <c r="F44" s="70">
        <v>294715.36</v>
      </c>
      <c r="G44" s="1"/>
      <c r="N44" s="1"/>
    </row>
    <row r="45" spans="1:14" s="2" customFormat="1" x14ac:dyDescent="0.2">
      <c r="A45" s="32"/>
      <c r="B45" s="33"/>
      <c r="C45" s="14"/>
      <c r="D45" s="34"/>
      <c r="E45" s="16">
        <f>SUM(E20:E44)</f>
        <v>2359691</v>
      </c>
      <c r="F45" s="16">
        <f>SUM(F20:F44)</f>
        <v>241037148.51000005</v>
      </c>
      <c r="G45" s="1"/>
      <c r="H45" s="1"/>
      <c r="I45" s="38">
        <v>238677457.50999999</v>
      </c>
      <c r="K45" s="92">
        <f>E46-I45</f>
        <v>0</v>
      </c>
      <c r="N45" s="1"/>
    </row>
    <row r="46" spans="1:14" s="2" customFormat="1" x14ac:dyDescent="0.2">
      <c r="A46" s="36"/>
      <c r="B46" s="28" t="s">
        <v>11</v>
      </c>
      <c r="C46" s="19" t="s">
        <v>65</v>
      </c>
      <c r="D46" s="37"/>
      <c r="E46" s="38">
        <f>F45-E45</f>
        <v>238677457.51000005</v>
      </c>
      <c r="F46" s="22"/>
      <c r="G46" s="1"/>
      <c r="H46" s="1"/>
      <c r="I46" s="70"/>
      <c r="J46" s="70"/>
      <c r="K46" s="70"/>
      <c r="N46" s="1"/>
    </row>
    <row r="47" spans="1:14" s="2" customFormat="1" x14ac:dyDescent="0.2">
      <c r="A47" s="36"/>
      <c r="B47" s="28" t="s">
        <v>66</v>
      </c>
      <c r="C47" s="19" t="s">
        <v>67</v>
      </c>
      <c r="D47" s="37"/>
      <c r="E47" s="38">
        <v>6500000</v>
      </c>
      <c r="F47" s="22"/>
      <c r="G47" s="1"/>
      <c r="H47" s="70"/>
      <c r="I47" s="70"/>
      <c r="J47" s="70"/>
      <c r="K47" s="70"/>
      <c r="N47" s="1"/>
    </row>
    <row r="48" spans="1:14" s="2" customFormat="1" x14ac:dyDescent="0.2">
      <c r="A48" s="36"/>
      <c r="B48" s="28" t="s">
        <v>66</v>
      </c>
      <c r="C48" s="43" t="s">
        <v>1457</v>
      </c>
      <c r="D48" s="43"/>
      <c r="E48" s="12">
        <f>275000000+75000000+50000000-75000000+75000000-175000000</f>
        <v>225000000</v>
      </c>
      <c r="F48" s="22"/>
      <c r="G48" s="1"/>
      <c r="H48" s="70"/>
      <c r="I48" s="45">
        <v>2537.6999999999998</v>
      </c>
      <c r="J48" s="46"/>
      <c r="K48" s="46"/>
      <c r="N48" s="1"/>
    </row>
    <row r="49" spans="1:14" s="2" customFormat="1" ht="15" x14ac:dyDescent="0.25">
      <c r="A49" s="36"/>
      <c r="B49" s="28"/>
      <c r="C49" s="44" t="s">
        <v>1541</v>
      </c>
      <c r="D49" s="43"/>
      <c r="E49" s="7">
        <f>+E48+E46+E47</f>
        <v>470177457.51000005</v>
      </c>
      <c r="F49" s="22"/>
      <c r="G49" s="1"/>
      <c r="H49" s="103" t="s">
        <v>69</v>
      </c>
      <c r="I49" s="45">
        <v>-76.09</v>
      </c>
      <c r="J49" s="46"/>
      <c r="K49" s="46"/>
      <c r="N49" s="1"/>
    </row>
    <row r="50" spans="1:14" s="2" customFormat="1" ht="15" x14ac:dyDescent="0.25">
      <c r="A50" s="24"/>
      <c r="B50" s="1"/>
      <c r="C50" s="44" t="s">
        <v>1510</v>
      </c>
      <c r="D50" s="25"/>
      <c r="E50" s="156">
        <f>+I20-E47+H16-I16</f>
        <v>29822542.49000001</v>
      </c>
      <c r="G50" s="1"/>
      <c r="H50" s="35" t="s">
        <v>70</v>
      </c>
      <c r="I50" s="45">
        <v>63.81</v>
      </c>
      <c r="J50" s="46">
        <f>+I51-D53</f>
        <v>0</v>
      </c>
      <c r="N50" s="1"/>
    </row>
    <row r="51" spans="1:14" s="124" customFormat="1" ht="12.75" customHeight="1" x14ac:dyDescent="0.2">
      <c r="A51" s="24"/>
      <c r="B51" s="1"/>
      <c r="C51" s="56"/>
      <c r="D51" s="56"/>
      <c r="E51" s="104"/>
      <c r="F51" s="2"/>
      <c r="G51" s="166"/>
      <c r="H51" s="70"/>
      <c r="I51" s="49">
        <f>SUM(I48:I50)</f>
        <v>2525.4199999999996</v>
      </c>
      <c r="J51" s="46"/>
      <c r="K51" s="46"/>
    </row>
    <row r="52" spans="1:14" s="124" customFormat="1" ht="12.75" customHeight="1" x14ac:dyDescent="0.2">
      <c r="A52" s="24"/>
      <c r="B52" s="1"/>
      <c r="C52" s="78" t="s">
        <v>575</v>
      </c>
      <c r="D52" s="48" t="s">
        <v>576</v>
      </c>
      <c r="E52" s="104"/>
      <c r="F52" s="2"/>
      <c r="G52" s="168"/>
      <c r="H52" s="167"/>
      <c r="I52" s="167"/>
      <c r="J52" s="168"/>
    </row>
    <row r="53" spans="1:14" s="124" customFormat="1" ht="12.75" customHeight="1" x14ac:dyDescent="0.2">
      <c r="A53" s="24"/>
      <c r="B53" s="1"/>
      <c r="C53" s="47" t="s">
        <v>570</v>
      </c>
      <c r="D53" s="111">
        <v>2525.42</v>
      </c>
      <c r="E53" s="104"/>
      <c r="F53" s="2"/>
      <c r="G53" s="168"/>
      <c r="H53" s="110" t="s">
        <v>581</v>
      </c>
      <c r="I53" s="167"/>
      <c r="J53" s="168"/>
    </row>
    <row r="54" spans="1:14" s="124" customFormat="1" ht="12.75" customHeight="1" x14ac:dyDescent="0.2">
      <c r="A54" s="24"/>
      <c r="B54" s="1"/>
      <c r="C54" s="47" t="s">
        <v>931</v>
      </c>
      <c r="D54" s="111">
        <v>170.9</v>
      </c>
      <c r="E54" s="104"/>
      <c r="F54" s="2"/>
      <c r="G54" s="168"/>
      <c r="H54" s="110" t="s">
        <v>580</v>
      </c>
      <c r="I54" s="167"/>
      <c r="J54" s="168"/>
    </row>
    <row r="55" spans="1:14" s="124" customFormat="1" ht="12.75" customHeight="1" x14ac:dyDescent="0.2">
      <c r="A55" s="24"/>
      <c r="B55" s="1"/>
      <c r="C55" s="47" t="s">
        <v>572</v>
      </c>
      <c r="D55" s="111">
        <f>+D85/100000</f>
        <v>360.36584950000002</v>
      </c>
      <c r="E55" s="104"/>
      <c r="F55" s="2"/>
      <c r="G55" s="166"/>
      <c r="H55" s="90" t="s">
        <v>587</v>
      </c>
      <c r="I55" s="167"/>
      <c r="J55" s="168"/>
    </row>
    <row r="56" spans="1:14" s="2" customFormat="1" x14ac:dyDescent="0.2">
      <c r="A56" s="24"/>
      <c r="B56" s="1"/>
      <c r="C56" s="108" t="s">
        <v>578</v>
      </c>
      <c r="D56" s="48">
        <f>SUM(D53:D55)</f>
        <v>3056.6858495000001</v>
      </c>
      <c r="E56" s="104"/>
      <c r="G56" s="30"/>
      <c r="I56" s="13"/>
      <c r="J56" s="13"/>
    </row>
    <row r="57" spans="1:14" s="70" customFormat="1" x14ac:dyDescent="0.2">
      <c r="A57" s="24"/>
      <c r="B57" s="1"/>
      <c r="C57" s="47"/>
      <c r="D57" s="107"/>
      <c r="E57" s="104"/>
      <c r="F57" s="2"/>
      <c r="G57" s="30"/>
      <c r="H57" s="2"/>
    </row>
    <row r="58" spans="1:14" s="70" customFormat="1" x14ac:dyDescent="0.2">
      <c r="A58" s="24"/>
      <c r="B58" s="1"/>
      <c r="C58" s="47" t="s">
        <v>932</v>
      </c>
      <c r="D58" s="111">
        <v>149.04</v>
      </c>
      <c r="E58" s="104"/>
      <c r="F58" s="2"/>
      <c r="G58" s="30"/>
      <c r="H58" s="110" t="s">
        <v>581</v>
      </c>
    </row>
    <row r="59" spans="1:14" s="70" customFormat="1" x14ac:dyDescent="0.2">
      <c r="A59" s="24"/>
      <c r="B59" s="1"/>
      <c r="C59" s="136" t="s">
        <v>1142</v>
      </c>
      <c r="D59" s="111">
        <v>735.52</v>
      </c>
      <c r="E59" s="104"/>
      <c r="F59" s="2"/>
      <c r="G59" s="30"/>
      <c r="H59" s="110" t="s">
        <v>581</v>
      </c>
    </row>
    <row r="60" spans="1:14" s="70" customFormat="1" x14ac:dyDescent="0.2">
      <c r="A60" s="24"/>
      <c r="B60" s="1"/>
      <c r="C60" s="78" t="s">
        <v>579</v>
      </c>
      <c r="D60" s="109">
        <f>D58+D59</f>
        <v>884.56</v>
      </c>
      <c r="E60" s="104"/>
      <c r="F60" s="2"/>
      <c r="G60" s="30"/>
    </row>
    <row r="61" spans="1:14" s="70" customFormat="1" x14ac:dyDescent="0.2">
      <c r="A61" s="24"/>
      <c r="B61" s="1"/>
      <c r="C61" s="105"/>
      <c r="D61" s="106"/>
      <c r="E61" s="104"/>
      <c r="F61" s="2"/>
      <c r="G61" s="30"/>
      <c r="I61" s="2"/>
      <c r="J61" s="114" t="s">
        <v>713</v>
      </c>
      <c r="K61" s="2"/>
      <c r="L61" s="2"/>
      <c r="M61" s="2"/>
    </row>
    <row r="62" spans="1:14" s="70" customFormat="1" x14ac:dyDescent="0.2">
      <c r="A62" s="24"/>
      <c r="B62" s="1"/>
      <c r="C62" s="78" t="s">
        <v>577</v>
      </c>
      <c r="D62" s="109">
        <f>D53+D60</f>
        <v>3409.98</v>
      </c>
      <c r="E62" s="104"/>
      <c r="F62" s="2"/>
      <c r="G62" s="30"/>
      <c r="I62" s="113"/>
      <c r="J62" s="113" t="s">
        <v>709</v>
      </c>
      <c r="K62" s="113" t="s">
        <v>710</v>
      </c>
      <c r="L62" s="113" t="s">
        <v>711</v>
      </c>
      <c r="M62" s="113" t="s">
        <v>712</v>
      </c>
    </row>
    <row r="63" spans="1:14" s="70" customFormat="1" x14ac:dyDescent="0.2">
      <c r="A63" s="24"/>
      <c r="B63" s="1"/>
      <c r="C63" s="56"/>
      <c r="D63" s="56"/>
      <c r="E63" s="104"/>
      <c r="F63" s="2"/>
      <c r="G63" s="30"/>
      <c r="I63" s="113" t="s">
        <v>706</v>
      </c>
      <c r="J63" s="115"/>
      <c r="K63" s="115">
        <v>968.99</v>
      </c>
      <c r="L63" s="115">
        <v>968.99</v>
      </c>
      <c r="M63" s="113">
        <f>+J63+L63-K63</f>
        <v>0</v>
      </c>
    </row>
    <row r="64" spans="1:14" s="70" customFormat="1" ht="38.25" x14ac:dyDescent="0.2">
      <c r="A64" s="24"/>
      <c r="B64" s="1"/>
      <c r="C64" s="79" t="str">
        <f>"Particulars ( 01-04-2021 to "&amp;TEXT(A5,"dd-mm-yyyy")&amp;" )"</f>
        <v>Particulars ( 01-04-2021 to 27-11-2023 )</v>
      </c>
      <c r="D64" s="80" t="s">
        <v>73</v>
      </c>
      <c r="E64" s="80" t="s">
        <v>74</v>
      </c>
      <c r="F64" s="81" t="s">
        <v>75</v>
      </c>
      <c r="G64" s="80" t="s">
        <v>76</v>
      </c>
      <c r="I64" s="113" t="s">
        <v>707</v>
      </c>
      <c r="J64" s="115">
        <v>183.1</v>
      </c>
      <c r="K64" s="115">
        <v>4068.23</v>
      </c>
      <c r="L64" s="115">
        <v>4269.2</v>
      </c>
      <c r="M64" s="113">
        <f>+J64+L64-K64</f>
        <v>384.07000000000016</v>
      </c>
    </row>
    <row r="65" spans="1:14" s="70" customFormat="1" x14ac:dyDescent="0.2">
      <c r="A65" s="24"/>
      <c r="B65" s="1"/>
      <c r="C65" s="50" t="s">
        <v>444</v>
      </c>
      <c r="D65" s="55">
        <f>+L63+L64+J64</f>
        <v>5421.29</v>
      </c>
      <c r="E65" s="55">
        <f>+K63+K64</f>
        <v>5037.22</v>
      </c>
      <c r="F65" s="55">
        <f>+D65-E65</f>
        <v>384.06999999999971</v>
      </c>
      <c r="G65" s="55">
        <f>1500-F65</f>
        <v>1115.9300000000003</v>
      </c>
      <c r="I65" s="113" t="s">
        <v>708</v>
      </c>
      <c r="J65" s="115">
        <v>1371.02</v>
      </c>
      <c r="K65" s="115">
        <v>15221.96</v>
      </c>
      <c r="L65" s="115">
        <v>15407.75</v>
      </c>
      <c r="M65" s="113">
        <f>+J65+L65-K65</f>
        <v>1556.8100000000013</v>
      </c>
    </row>
    <row r="66" spans="1:14" s="70" customFormat="1" ht="12.75" customHeight="1" x14ac:dyDescent="0.2">
      <c r="A66" s="24"/>
      <c r="B66" s="1"/>
      <c r="C66" s="50" t="s">
        <v>71</v>
      </c>
      <c r="D66" s="55">
        <f>+J65+L65</f>
        <v>16778.77</v>
      </c>
      <c r="E66" s="55">
        <f>+K65</f>
        <v>15221.96</v>
      </c>
      <c r="F66" s="55">
        <f>+D66-E66</f>
        <v>1556.8100000000013</v>
      </c>
      <c r="G66" s="55">
        <f>1500+700-F66</f>
        <v>643.18999999999869</v>
      </c>
      <c r="I66" s="2"/>
      <c r="J66" s="118">
        <f>SUM(J63:J65)</f>
        <v>1554.12</v>
      </c>
      <c r="K66" s="118">
        <f>SUM(K63:K65)</f>
        <v>20259.18</v>
      </c>
      <c r="L66" s="118">
        <f>SUM(L63:L65)</f>
        <v>20645.939999999999</v>
      </c>
      <c r="M66" s="118">
        <f>SUM(M63:M65)</f>
        <v>1940.8800000000015</v>
      </c>
    </row>
    <row r="67" spans="1:14" s="70" customFormat="1" ht="12.75" customHeight="1" x14ac:dyDescent="0.2">
      <c r="A67" s="24"/>
      <c r="B67" s="1"/>
      <c r="C67" s="14"/>
      <c r="D67" s="56"/>
      <c r="E67" s="13"/>
      <c r="F67" s="2"/>
      <c r="G67" s="30"/>
    </row>
    <row r="68" spans="1:14" s="70" customFormat="1" ht="12.75" customHeight="1" x14ac:dyDescent="0.2">
      <c r="A68" s="215" t="s">
        <v>80</v>
      </c>
      <c r="B68" s="216"/>
      <c r="C68" s="216"/>
      <c r="D68" s="217"/>
      <c r="E68" s="69"/>
      <c r="G68" s="30"/>
    </row>
    <row r="69" spans="1:14" s="70" customFormat="1" ht="12.75" customHeight="1" x14ac:dyDescent="0.2">
      <c r="A69" s="71" t="s">
        <v>81</v>
      </c>
      <c r="B69" s="71"/>
      <c r="C69" s="72" t="s">
        <v>82</v>
      </c>
      <c r="D69" s="73" t="s">
        <v>83</v>
      </c>
      <c r="E69" s="69"/>
      <c r="G69" s="30"/>
    </row>
    <row r="70" spans="1:14" s="70" customFormat="1" ht="12.75" customHeight="1" x14ac:dyDescent="0.2">
      <c r="A70" s="87">
        <v>45232</v>
      </c>
      <c r="B70" s="120" t="s">
        <v>6</v>
      </c>
      <c r="C70" s="75" t="s">
        <v>767</v>
      </c>
      <c r="D70" s="88">
        <v>515100</v>
      </c>
      <c r="E70" s="2"/>
      <c r="F70" s="2"/>
      <c r="G70" s="30"/>
      <c r="H70" s="2"/>
      <c r="I70" s="2"/>
      <c r="J70" s="2"/>
      <c r="K70" s="2"/>
      <c r="L70" s="41"/>
      <c r="M70" s="42"/>
      <c r="N70" s="2"/>
    </row>
    <row r="71" spans="1:14" s="70" customFormat="1" ht="12.75" customHeight="1" x14ac:dyDescent="0.2">
      <c r="A71" s="87">
        <v>45232</v>
      </c>
      <c r="B71" s="120" t="s">
        <v>6</v>
      </c>
      <c r="C71" s="75" t="s">
        <v>566</v>
      </c>
      <c r="D71" s="88">
        <v>52450</v>
      </c>
      <c r="E71" s="2"/>
      <c r="F71" s="2"/>
      <c r="G71" s="30"/>
      <c r="H71" s="2"/>
      <c r="I71" s="2"/>
      <c r="J71" s="2"/>
      <c r="K71" s="2"/>
      <c r="L71" s="41"/>
      <c r="M71" s="42"/>
      <c r="N71" s="2"/>
    </row>
    <row r="72" spans="1:14" s="70" customFormat="1" ht="12.75" customHeight="1" x14ac:dyDescent="0.2">
      <c r="A72" s="87">
        <v>45233</v>
      </c>
      <c r="B72" s="120" t="s">
        <v>6</v>
      </c>
      <c r="C72" s="75" t="s">
        <v>1084</v>
      </c>
      <c r="D72" s="88">
        <v>1833799</v>
      </c>
      <c r="E72" s="2"/>
      <c r="F72" s="2"/>
      <c r="G72" s="30"/>
      <c r="H72" s="2"/>
      <c r="I72" s="2"/>
      <c r="J72" s="2"/>
      <c r="K72" s="2"/>
      <c r="L72" s="41"/>
      <c r="M72" s="42"/>
      <c r="N72" s="2"/>
    </row>
    <row r="73" spans="1:14" s="70" customFormat="1" ht="12.75" customHeight="1" x14ac:dyDescent="0.2">
      <c r="A73" s="87">
        <v>45233</v>
      </c>
      <c r="B73" s="120" t="s">
        <v>6</v>
      </c>
      <c r="C73" s="75" t="s">
        <v>909</v>
      </c>
      <c r="D73" s="88">
        <v>366980</v>
      </c>
      <c r="E73" s="2"/>
      <c r="F73" s="2"/>
      <c r="G73" s="30"/>
      <c r="H73" s="2"/>
      <c r="I73" s="2"/>
      <c r="J73" s="2"/>
      <c r="K73" s="2"/>
      <c r="L73" s="41"/>
      <c r="M73" s="42"/>
      <c r="N73" s="2"/>
    </row>
    <row r="74" spans="1:14" s="70" customFormat="1" ht="12.75" customHeight="1" x14ac:dyDescent="0.2">
      <c r="A74" s="87">
        <v>45233</v>
      </c>
      <c r="B74" s="120" t="s">
        <v>6</v>
      </c>
      <c r="C74" s="75" t="s">
        <v>909</v>
      </c>
      <c r="D74" s="88">
        <v>30038</v>
      </c>
      <c r="E74" s="2"/>
      <c r="F74" s="2"/>
      <c r="G74" s="30"/>
      <c r="H74" s="2"/>
      <c r="I74" s="2"/>
      <c r="J74" s="2"/>
      <c r="K74" s="2"/>
      <c r="L74" s="41"/>
      <c r="M74" s="42"/>
      <c r="N74" s="2"/>
    </row>
    <row r="75" spans="1:14" s="70" customFormat="1" ht="12.75" customHeight="1" x14ac:dyDescent="0.2">
      <c r="A75" s="87">
        <v>45237</v>
      </c>
      <c r="B75" s="120" t="s">
        <v>6</v>
      </c>
      <c r="C75" s="75" t="s">
        <v>888</v>
      </c>
      <c r="D75" s="88">
        <v>14999721.949999999</v>
      </c>
      <c r="E75" s="2"/>
      <c r="F75" s="2"/>
      <c r="G75" s="30"/>
      <c r="H75" s="2"/>
      <c r="I75" s="2"/>
      <c r="J75" s="2"/>
      <c r="K75" s="2"/>
      <c r="L75" s="41"/>
      <c r="M75" s="42"/>
      <c r="N75" s="2"/>
    </row>
    <row r="76" spans="1:14" s="70" customFormat="1" ht="12.75" customHeight="1" x14ac:dyDescent="0.2">
      <c r="A76" s="87">
        <v>45238</v>
      </c>
      <c r="B76" s="120" t="s">
        <v>6</v>
      </c>
      <c r="C76" s="75" t="s">
        <v>606</v>
      </c>
      <c r="D76" s="88">
        <v>1098495</v>
      </c>
      <c r="E76" s="2"/>
      <c r="F76" s="2"/>
      <c r="G76" s="30"/>
      <c r="H76" s="2"/>
      <c r="I76" s="2"/>
      <c r="J76" s="2"/>
      <c r="K76" s="2"/>
      <c r="L76" s="41"/>
      <c r="M76" s="42"/>
      <c r="N76" s="2"/>
    </row>
    <row r="77" spans="1:14" s="70" customFormat="1" ht="12.75" customHeight="1" x14ac:dyDescent="0.2">
      <c r="A77" s="87">
        <v>45239</v>
      </c>
      <c r="B77" s="120" t="s">
        <v>6</v>
      </c>
      <c r="C77" s="75" t="s">
        <v>566</v>
      </c>
      <c r="D77" s="88">
        <f>183507+63254</f>
        <v>246761</v>
      </c>
      <c r="E77" s="2"/>
      <c r="F77" s="2"/>
      <c r="G77" s="30"/>
      <c r="H77" s="2"/>
      <c r="I77" s="2"/>
      <c r="J77" s="2"/>
      <c r="K77" s="2"/>
      <c r="L77" s="41"/>
      <c r="M77" s="42"/>
      <c r="N77" s="2"/>
    </row>
    <row r="78" spans="1:14" s="70" customFormat="1" ht="12.75" customHeight="1" x14ac:dyDescent="0.2">
      <c r="A78" s="87">
        <v>45240</v>
      </c>
      <c r="B78" s="120" t="s">
        <v>6</v>
      </c>
      <c r="C78" s="75" t="s">
        <v>767</v>
      </c>
      <c r="D78" s="88">
        <v>287037</v>
      </c>
      <c r="E78" s="2"/>
      <c r="F78" s="2"/>
      <c r="G78" s="30"/>
      <c r="H78" s="2"/>
      <c r="I78" s="2"/>
      <c r="J78" s="2"/>
      <c r="K78" s="2"/>
      <c r="L78" s="41"/>
      <c r="M78" s="42"/>
      <c r="N78" s="2"/>
    </row>
    <row r="79" spans="1:14" s="70" customFormat="1" ht="12.75" customHeight="1" x14ac:dyDescent="0.2">
      <c r="A79" s="87">
        <v>45240</v>
      </c>
      <c r="B79" s="120" t="s">
        <v>6</v>
      </c>
      <c r="C79" s="75" t="s">
        <v>1767</v>
      </c>
      <c r="D79" s="88">
        <v>1000000</v>
      </c>
      <c r="E79" s="2"/>
      <c r="F79" s="2"/>
      <c r="G79" s="30"/>
      <c r="H79" s="2"/>
      <c r="I79" s="2"/>
      <c r="J79" s="2"/>
      <c r="K79" s="2"/>
      <c r="L79" s="41"/>
      <c r="M79" s="42"/>
      <c r="N79" s="2"/>
    </row>
    <row r="80" spans="1:14" s="70" customFormat="1" ht="12.75" customHeight="1" x14ac:dyDescent="0.2">
      <c r="A80" s="87">
        <v>45248</v>
      </c>
      <c r="B80" s="120" t="s">
        <v>6</v>
      </c>
      <c r="C80" s="75" t="s">
        <v>1084</v>
      </c>
      <c r="D80" s="88">
        <v>5733144</v>
      </c>
      <c r="E80" s="2"/>
      <c r="F80" s="2"/>
      <c r="G80" s="30"/>
      <c r="H80" s="2"/>
      <c r="I80" s="2"/>
      <c r="J80" s="2"/>
      <c r="K80" s="2"/>
      <c r="L80" s="41"/>
      <c r="M80" s="42"/>
      <c r="N80" s="2"/>
    </row>
    <row r="81" spans="1:14" s="70" customFormat="1" ht="12.75" customHeight="1" x14ac:dyDescent="0.2">
      <c r="A81" s="87">
        <v>45251</v>
      </c>
      <c r="B81" s="120" t="s">
        <v>6</v>
      </c>
      <c r="C81" s="75" t="s">
        <v>1801</v>
      </c>
      <c r="D81" s="88">
        <v>29372</v>
      </c>
      <c r="E81" s="2"/>
      <c r="F81" s="2"/>
      <c r="G81" s="30"/>
      <c r="H81" s="2"/>
      <c r="I81" s="2"/>
      <c r="J81" s="2"/>
      <c r="K81" s="2"/>
      <c r="L81" s="41"/>
      <c r="M81" s="42"/>
      <c r="N81" s="2"/>
    </row>
    <row r="82" spans="1:14" s="70" customFormat="1" ht="12.75" customHeight="1" x14ac:dyDescent="0.2">
      <c r="A82" s="87">
        <v>45252</v>
      </c>
      <c r="B82" s="120" t="s">
        <v>6</v>
      </c>
      <c r="C82" s="75" t="s">
        <v>909</v>
      </c>
      <c r="D82" s="88">
        <v>1380738</v>
      </c>
      <c r="E82" s="2"/>
      <c r="F82" s="2"/>
      <c r="G82" s="30"/>
      <c r="H82" s="2"/>
      <c r="I82" s="2"/>
      <c r="J82" s="2"/>
      <c r="K82" s="2"/>
      <c r="L82" s="41"/>
      <c r="M82" s="42"/>
      <c r="N82" s="2"/>
    </row>
    <row r="83" spans="1:14" s="70" customFormat="1" ht="12.75" customHeight="1" x14ac:dyDescent="0.2">
      <c r="A83" s="87">
        <v>45252</v>
      </c>
      <c r="B83" s="120" t="s">
        <v>6</v>
      </c>
      <c r="C83" s="75" t="s">
        <v>909</v>
      </c>
      <c r="D83" s="88">
        <v>4316660</v>
      </c>
      <c r="E83" s="2"/>
      <c r="F83" s="2"/>
      <c r="G83" s="30"/>
      <c r="H83" s="2"/>
      <c r="I83" s="2"/>
      <c r="J83" s="2"/>
      <c r="K83" s="2"/>
      <c r="L83" s="41"/>
      <c r="M83" s="42"/>
      <c r="N83" s="2"/>
    </row>
    <row r="84" spans="1:14" s="70" customFormat="1" ht="12.75" customHeight="1" x14ac:dyDescent="0.2">
      <c r="A84" s="87">
        <v>45254</v>
      </c>
      <c r="B84" s="120" t="s">
        <v>6</v>
      </c>
      <c r="C84" s="75" t="s">
        <v>1806</v>
      </c>
      <c r="D84" s="88">
        <v>4146289</v>
      </c>
      <c r="E84" s="2"/>
      <c r="F84" s="2"/>
      <c r="G84" s="30"/>
      <c r="H84" s="2"/>
      <c r="I84" s="2"/>
      <c r="J84" s="2"/>
      <c r="K84" s="2"/>
      <c r="L84" s="41"/>
      <c r="M84" s="42"/>
      <c r="N84" s="2"/>
    </row>
    <row r="85" spans="1:14" s="2" customFormat="1" x14ac:dyDescent="0.2">
      <c r="A85" s="87"/>
      <c r="B85" s="74"/>
      <c r="C85" s="75"/>
      <c r="D85" s="51">
        <f>SUM(D70:D84)</f>
        <v>36036584.950000003</v>
      </c>
      <c r="F85" s="2" t="s">
        <v>396</v>
      </c>
      <c r="G85" s="1"/>
    </row>
    <row r="86" spans="1:14" s="2" customFormat="1" x14ac:dyDescent="0.2">
      <c r="A86" s="24"/>
      <c r="B86" s="1"/>
      <c r="C86" s="14"/>
      <c r="D86" s="56"/>
      <c r="E86" s="13"/>
      <c r="G86" s="1"/>
    </row>
    <row r="87" spans="1:14" s="2" customFormat="1" x14ac:dyDescent="0.2">
      <c r="A87" s="24"/>
      <c r="B87" s="1"/>
      <c r="C87" s="218" t="s">
        <v>77</v>
      </c>
      <c r="D87" s="219"/>
      <c r="E87" s="219"/>
      <c r="F87" s="220"/>
      <c r="H87" s="2" t="s">
        <v>396</v>
      </c>
    </row>
    <row r="88" spans="1:14" s="2" customFormat="1" x14ac:dyDescent="0.2">
      <c r="A88" s="24"/>
      <c r="B88" s="1"/>
      <c r="C88" s="50"/>
      <c r="D88" s="57" t="s">
        <v>78</v>
      </c>
      <c r="E88" s="58" t="s">
        <v>79</v>
      </c>
      <c r="F88" s="57" t="s">
        <v>72</v>
      </c>
      <c r="H88" s="2" t="s">
        <v>396</v>
      </c>
    </row>
    <row r="89" spans="1:14" s="2" customFormat="1" x14ac:dyDescent="0.2">
      <c r="A89" s="24"/>
      <c r="B89" s="1"/>
      <c r="C89" s="59" t="str">
        <f>"01-11-2023 to "&amp;TEXT(A5-2,"dd-mm-yyyy")</f>
        <v>01-11-2023 to 25-11-2023</v>
      </c>
      <c r="D89" s="60">
        <v>1899.64</v>
      </c>
      <c r="E89" s="60">
        <v>418.5</v>
      </c>
      <c r="F89" s="61">
        <f>SUM(D89:E89)</f>
        <v>2318.1400000000003</v>
      </c>
    </row>
    <row r="90" spans="1:14" s="2" customFormat="1" x14ac:dyDescent="0.2">
      <c r="A90" s="24"/>
      <c r="B90" s="1"/>
      <c r="C90" s="62" t="str">
        <f>TEXT(A5-1,"dd-mm-yyyy")</f>
        <v>26-11-2023</v>
      </c>
      <c r="D90" s="60">
        <v>4.6100000000000003</v>
      </c>
      <c r="E90" s="60">
        <v>0</v>
      </c>
      <c r="F90" s="61">
        <f>SUM(D90:E90)</f>
        <v>4.6100000000000003</v>
      </c>
      <c r="G90" s="1"/>
      <c r="H90" s="53"/>
    </row>
    <row r="91" spans="1:14" s="2" customFormat="1" ht="13.5" thickBot="1" x14ac:dyDescent="0.25">
      <c r="A91" s="24"/>
      <c r="B91" s="1"/>
      <c r="C91" s="63" t="str">
        <f>"01-11-2023 to "&amp;TEXT(A5-1,"dd-mm-yyyy")</f>
        <v>01-11-2023 to 26-11-2023</v>
      </c>
      <c r="D91" s="64">
        <f>SUM(D89:D90)</f>
        <v>1904.25</v>
      </c>
      <c r="E91" s="64">
        <f>SUM(E89:E90)</f>
        <v>418.5</v>
      </c>
      <c r="F91" s="64">
        <f>SUM(F89:F90)</f>
        <v>2322.7500000000005</v>
      </c>
      <c r="G91" s="1"/>
      <c r="H91" s="53"/>
    </row>
    <row r="92" spans="1:14" s="2" customFormat="1" ht="13.5" thickTop="1" x14ac:dyDescent="0.2">
      <c r="A92" s="24"/>
      <c r="B92" s="1"/>
      <c r="C92" s="62"/>
      <c r="D92" s="65"/>
      <c r="E92" s="66"/>
      <c r="F92" s="67"/>
      <c r="L92" s="1"/>
      <c r="M92" s="1"/>
    </row>
    <row r="93" spans="1:14" s="2" customFormat="1" x14ac:dyDescent="0.2">
      <c r="A93" s="24"/>
      <c r="B93" s="1"/>
      <c r="C93" s="62" t="str">
        <f>"01-04-2023 to " &amp;C90</f>
        <v>01-04-2023 to 26-11-2023</v>
      </c>
      <c r="D93" s="68">
        <f>+D91+29859.78</f>
        <v>31764.03</v>
      </c>
      <c r="E93" s="68">
        <f>+E91+2548.34</f>
        <v>2966.84</v>
      </c>
      <c r="F93" s="68">
        <f>+F91+32408.1</f>
        <v>34730.85</v>
      </c>
      <c r="G93" s="1"/>
      <c r="L93" s="1"/>
      <c r="M93" s="1"/>
    </row>
    <row r="94" spans="1:14" s="2" customFormat="1" x14ac:dyDescent="0.2">
      <c r="A94" s="24"/>
      <c r="B94" s="1"/>
      <c r="C94" s="52"/>
      <c r="D94" s="85"/>
      <c r="E94" s="53"/>
      <c r="F94" s="53"/>
      <c r="G94" s="1"/>
      <c r="L94" s="1"/>
      <c r="M94" s="1"/>
    </row>
    <row r="95" spans="1:14" s="2" customFormat="1" x14ac:dyDescent="0.2">
      <c r="A95" s="24"/>
      <c r="B95" s="1"/>
      <c r="C95" s="52"/>
      <c r="D95" s="85"/>
      <c r="E95" s="53"/>
      <c r="F95" s="53"/>
      <c r="G95" s="1"/>
      <c r="L95" s="1"/>
      <c r="M95" s="1"/>
    </row>
    <row r="96" spans="1:14" s="2" customFormat="1" x14ac:dyDescent="0.2">
      <c r="A96" s="24"/>
      <c r="B96" s="1"/>
      <c r="C96" s="52"/>
      <c r="D96" s="85"/>
      <c r="E96" s="53"/>
      <c r="F96" s="53"/>
      <c r="G96" s="1"/>
      <c r="L96" s="1"/>
      <c r="M96" s="1"/>
    </row>
    <row r="97" spans="1:13" s="2" customFormat="1" x14ac:dyDescent="0.2">
      <c r="A97" s="24"/>
      <c r="B97" s="1"/>
      <c r="C97" s="52"/>
      <c r="D97" s="85"/>
      <c r="E97" s="53"/>
      <c r="F97" s="53"/>
      <c r="G97" s="1"/>
      <c r="L97" s="1"/>
      <c r="M97" s="1"/>
    </row>
    <row r="98" spans="1:13" s="2" customFormat="1" x14ac:dyDescent="0.2">
      <c r="A98" s="24"/>
      <c r="B98" s="1"/>
      <c r="C98" s="14"/>
      <c r="D98" s="25">
        <f>SUM(D95:D97)</f>
        <v>0</v>
      </c>
      <c r="E98" s="2">
        <f>SUM(E95:E97)</f>
        <v>0</v>
      </c>
      <c r="G98" s="1"/>
      <c r="L98" s="1"/>
      <c r="M98" s="1"/>
    </row>
    <row r="99" spans="1:13" s="2" customFormat="1" x14ac:dyDescent="0.2">
      <c r="A99" s="24"/>
      <c r="B99" s="1"/>
      <c r="C99" s="14"/>
      <c r="D99" s="25"/>
      <c r="G99" s="1"/>
      <c r="L99" s="1"/>
      <c r="M99" s="1"/>
    </row>
    <row r="100" spans="1:13" s="2" customFormat="1" x14ac:dyDescent="0.2">
      <c r="A100" s="24"/>
      <c r="B100" s="1"/>
      <c r="C100" s="14"/>
      <c r="D100" s="25"/>
      <c r="G100" s="1"/>
      <c r="L100" s="1"/>
      <c r="M100" s="1"/>
    </row>
    <row r="101" spans="1:13" s="2" customFormat="1" x14ac:dyDescent="0.2">
      <c r="A101" s="24"/>
      <c r="B101" s="1"/>
      <c r="C101" s="14"/>
      <c r="D101" s="25"/>
      <c r="G101" s="1"/>
      <c r="L101" s="1"/>
      <c r="M101" s="1"/>
    </row>
    <row r="102" spans="1:13" s="2" customFormat="1" x14ac:dyDescent="0.2">
      <c r="A102" s="24"/>
      <c r="B102" s="1"/>
      <c r="C102" s="14"/>
      <c r="D102" s="25"/>
      <c r="G102" s="1"/>
      <c r="L102" s="1"/>
      <c r="M102" s="1"/>
    </row>
    <row r="103" spans="1:13" s="2" customFormat="1" x14ac:dyDescent="0.2">
      <c r="A103" s="24"/>
      <c r="B103" s="1"/>
      <c r="C103" s="14"/>
      <c r="D103" s="25"/>
      <c r="G103" s="1"/>
      <c r="L103" s="1"/>
      <c r="M103" s="1"/>
    </row>
    <row r="104" spans="1:13" s="2" customFormat="1" x14ac:dyDescent="0.2">
      <c r="A104" s="24"/>
      <c r="B104" s="1"/>
      <c r="C104" s="14"/>
      <c r="D104" s="25"/>
      <c r="G104" s="1"/>
      <c r="L104" s="1"/>
      <c r="M104" s="1"/>
    </row>
    <row r="105" spans="1:13" s="2" customFormat="1" x14ac:dyDescent="0.2">
      <c r="A105" s="24"/>
      <c r="B105" s="1"/>
      <c r="C105" s="14"/>
      <c r="D105" s="25"/>
      <c r="G105" s="1"/>
      <c r="L105" s="1"/>
      <c r="M105" s="1"/>
    </row>
    <row r="106" spans="1:13" s="2" customFormat="1" x14ac:dyDescent="0.2">
      <c r="A106" s="24"/>
      <c r="B106" s="1"/>
      <c r="C106" s="14"/>
      <c r="D106" s="25"/>
      <c r="G106" s="1"/>
      <c r="L106" s="1"/>
      <c r="M106" s="1"/>
    </row>
    <row r="107" spans="1:13" s="2" customFormat="1" x14ac:dyDescent="0.2">
      <c r="A107" s="24"/>
      <c r="B107" s="1"/>
      <c r="C107" s="14"/>
      <c r="D107" s="25"/>
      <c r="G107" s="1"/>
      <c r="L107" s="1"/>
      <c r="M107" s="1"/>
    </row>
    <row r="108" spans="1:13" s="2" customFormat="1" x14ac:dyDescent="0.2">
      <c r="A108" s="24"/>
      <c r="B108" s="1"/>
      <c r="C108" s="14"/>
      <c r="D108" s="25"/>
      <c r="G108" s="1"/>
      <c r="L108" s="1"/>
      <c r="M108" s="1"/>
    </row>
    <row r="109" spans="1:13" s="2" customFormat="1" x14ac:dyDescent="0.2">
      <c r="A109" s="24"/>
      <c r="B109" s="1"/>
      <c r="C109" s="14"/>
      <c r="D109" s="25"/>
      <c r="G109" s="1"/>
      <c r="L109" s="1"/>
      <c r="M109" s="1"/>
    </row>
    <row r="110" spans="1:13" s="2" customFormat="1" x14ac:dyDescent="0.2">
      <c r="A110" s="24"/>
      <c r="B110" s="1"/>
      <c r="C110" s="14"/>
      <c r="D110" s="25"/>
      <c r="G110" s="1"/>
      <c r="L110" s="1"/>
      <c r="M110" s="1"/>
    </row>
    <row r="111" spans="1:13" s="2" customFormat="1" x14ac:dyDescent="0.2">
      <c r="A111" s="24"/>
      <c r="B111" s="1"/>
      <c r="C111" s="14"/>
      <c r="D111" s="25"/>
      <c r="G111" s="1"/>
      <c r="L111" s="1"/>
      <c r="M111" s="1"/>
    </row>
    <row r="112" spans="1:13" s="2" customFormat="1" x14ac:dyDescent="0.2">
      <c r="A112" s="24"/>
      <c r="B112" s="1"/>
      <c r="C112" s="14"/>
      <c r="D112" s="25"/>
      <c r="G112" s="1"/>
      <c r="I112" s="1"/>
      <c r="J112" s="1"/>
      <c r="K112" s="1"/>
      <c r="L112" s="1"/>
      <c r="M112" s="1"/>
    </row>
    <row r="113" spans="1:14" s="2" customFormat="1" x14ac:dyDescent="0.2">
      <c r="A113" s="24"/>
      <c r="B113" s="1"/>
      <c r="C113" s="14"/>
      <c r="D113" s="25"/>
      <c r="G113" s="1"/>
    </row>
    <row r="114" spans="1:14" s="2" customFormat="1" x14ac:dyDescent="0.2">
      <c r="A114" s="24"/>
      <c r="B114" s="1"/>
      <c r="C114" s="14"/>
      <c r="D114" s="25"/>
      <c r="G114" s="1"/>
      <c r="I114" s="1"/>
      <c r="J114" s="1"/>
      <c r="K114" s="1"/>
      <c r="L114" s="1"/>
      <c r="M114" s="1"/>
    </row>
    <row r="115" spans="1:14" s="2" customFormat="1" x14ac:dyDescent="0.2">
      <c r="A115" s="24"/>
      <c r="B115" s="1"/>
      <c r="C115" s="14"/>
      <c r="D115" s="25"/>
      <c r="G115" s="54"/>
      <c r="I115" s="1"/>
      <c r="J115" s="1"/>
      <c r="K115" s="1"/>
      <c r="L115" s="1"/>
      <c r="M115" s="1"/>
    </row>
    <row r="116" spans="1:14" s="2" customFormat="1" x14ac:dyDescent="0.2">
      <c r="A116" s="24"/>
      <c r="B116" s="1"/>
      <c r="C116" s="14"/>
      <c r="D116" s="25"/>
      <c r="G116" s="54"/>
      <c r="I116" s="1"/>
      <c r="J116" s="1"/>
      <c r="K116" s="1"/>
      <c r="L116" s="1"/>
      <c r="M116" s="1"/>
    </row>
    <row r="117" spans="1:14" s="2" customFormat="1" x14ac:dyDescent="0.2">
      <c r="A117" s="24"/>
      <c r="B117" s="1"/>
      <c r="C117" s="14"/>
      <c r="D117" s="25"/>
      <c r="G117" s="54"/>
      <c r="I117" s="1"/>
      <c r="J117" s="1"/>
      <c r="K117" s="1"/>
      <c r="L117" s="1"/>
      <c r="M117" s="1"/>
    </row>
    <row r="118" spans="1:14" s="2" customFormat="1" x14ac:dyDescent="0.2">
      <c r="A118" s="24"/>
      <c r="B118" s="1"/>
      <c r="C118" s="14"/>
      <c r="D118" s="25"/>
      <c r="G118" s="54"/>
      <c r="H118" s="2" t="s">
        <v>396</v>
      </c>
      <c r="I118" s="1"/>
      <c r="J118" s="1"/>
      <c r="K118" s="1"/>
      <c r="L118" s="1"/>
      <c r="M118" s="1"/>
      <c r="N118" s="1"/>
    </row>
    <row r="119" spans="1:14" s="2" customFormat="1" x14ac:dyDescent="0.2">
      <c r="A119" s="24"/>
      <c r="B119" s="1"/>
      <c r="C119" s="14"/>
      <c r="D119" s="25"/>
      <c r="G119" s="54"/>
      <c r="H119" s="53"/>
    </row>
    <row r="120" spans="1:14" s="2" customFormat="1" x14ac:dyDescent="0.2">
      <c r="A120" s="24"/>
      <c r="B120" s="1"/>
      <c r="C120" s="14"/>
      <c r="D120" s="25"/>
      <c r="G120" s="54"/>
      <c r="H120" s="53" t="s">
        <v>396</v>
      </c>
      <c r="I120" s="1"/>
      <c r="J120" s="1"/>
      <c r="K120" s="1"/>
      <c r="L120" s="1"/>
      <c r="M120" s="1"/>
      <c r="N120" s="1"/>
    </row>
    <row r="121" spans="1:14" x14ac:dyDescent="0.2">
      <c r="G121" s="54"/>
      <c r="H121" s="53" t="s">
        <v>396</v>
      </c>
      <c r="J121" s="42"/>
    </row>
    <row r="122" spans="1:14" s="2" customFormat="1" x14ac:dyDescent="0.2">
      <c r="A122" s="24"/>
      <c r="B122" s="1"/>
      <c r="C122" s="14"/>
      <c r="D122" s="25"/>
      <c r="G122" s="54"/>
      <c r="H122" s="53"/>
      <c r="I122" s="101"/>
      <c r="J122" s="1"/>
      <c r="K122" s="1"/>
      <c r="L122" s="1"/>
      <c r="M122" s="1"/>
      <c r="N122" s="1"/>
    </row>
    <row r="123" spans="1:14" x14ac:dyDescent="0.2">
      <c r="G123" s="54"/>
      <c r="H123" s="53"/>
    </row>
    <row r="124" spans="1:14" x14ac:dyDescent="0.2">
      <c r="G124" s="54"/>
      <c r="H124" s="53"/>
    </row>
    <row r="125" spans="1:14" x14ac:dyDescent="0.2">
      <c r="G125" s="54"/>
      <c r="H125" s="53"/>
    </row>
  </sheetData>
  <sheetProtection insertRows="0"/>
  <mergeCells count="6">
    <mergeCell ref="C87:F87"/>
    <mergeCell ref="A1:G1"/>
    <mergeCell ref="A3:F3"/>
    <mergeCell ref="A9:F9"/>
    <mergeCell ref="A18:F18"/>
    <mergeCell ref="A68:D68"/>
  </mergeCells>
  <conditionalFormatting sqref="G65:G66">
    <cfRule type="cellIs" dxfId="205" priority="1" operator="lessThan">
      <formula>0</formula>
    </cfRule>
  </conditionalFormatting>
  <conditionalFormatting sqref="C20">
    <cfRule type="duplicateValues" dxfId="204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C00-000000000000}">
  <sheetPr codeName="Sheet484">
    <pageSetUpPr fitToPage="1"/>
  </sheetPr>
  <dimension ref="A1:N138"/>
  <sheetViews>
    <sheetView topLeftCell="C31" zoomScaleNormal="100" workbookViewId="0">
      <selection activeCell="E42" sqref="E42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3" ht="20.25" customHeight="1" x14ac:dyDescent="0.4">
      <c r="A1" s="212" t="s">
        <v>1813</v>
      </c>
      <c r="B1" s="212"/>
      <c r="C1" s="212"/>
      <c r="D1" s="212"/>
      <c r="E1" s="212"/>
      <c r="F1" s="212"/>
      <c r="G1" s="212"/>
      <c r="H1" s="112"/>
      <c r="I1" s="112"/>
    </row>
    <row r="2" spans="1:13" ht="12.75" customHeight="1" x14ac:dyDescent="0.4">
      <c r="H2" s="112"/>
      <c r="I2" s="112"/>
    </row>
    <row r="3" spans="1:13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3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3" s="2" customFormat="1" ht="14.25" customHeight="1" x14ac:dyDescent="0.4">
      <c r="A5" s="89">
        <v>45258</v>
      </c>
      <c r="B5" s="9" t="s">
        <v>6</v>
      </c>
      <c r="C5" s="10" t="s">
        <v>7</v>
      </c>
      <c r="D5" s="11"/>
      <c r="E5" s="12">
        <v>700315.42</v>
      </c>
      <c r="F5" s="12"/>
      <c r="G5" s="1"/>
      <c r="H5" s="112"/>
      <c r="I5" s="112"/>
    </row>
    <row r="6" spans="1:13" s="2" customFormat="1" ht="12.75" customHeight="1" x14ac:dyDescent="0.2">
      <c r="D6" s="15" t="s">
        <v>8</v>
      </c>
      <c r="E6" s="16">
        <f>SUM(E5:E5)</f>
        <v>700315.42</v>
      </c>
      <c r="F6" s="16">
        <f>+F5</f>
        <v>0</v>
      </c>
      <c r="G6" s="1"/>
      <c r="H6" s="13" t="s">
        <v>1582</v>
      </c>
      <c r="I6" s="13" t="s">
        <v>1583</v>
      </c>
    </row>
    <row r="7" spans="1:13" s="2" customFormat="1" ht="12.75" customHeight="1" x14ac:dyDescent="0.2">
      <c r="A7" s="17"/>
      <c r="B7" s="18"/>
      <c r="C7" s="19" t="s">
        <v>9</v>
      </c>
      <c r="D7" s="20"/>
      <c r="E7" s="21">
        <f>+E6-F6</f>
        <v>700315.42</v>
      </c>
      <c r="F7" s="22"/>
      <c r="G7" s="23"/>
      <c r="H7" s="2">
        <v>691926</v>
      </c>
      <c r="I7" s="2">
        <v>0</v>
      </c>
      <c r="J7" s="176">
        <f>H7-I7</f>
        <v>691926</v>
      </c>
    </row>
    <row r="8" spans="1:13" ht="12.75" customHeight="1" x14ac:dyDescent="0.4">
      <c r="H8" s="112"/>
      <c r="I8" s="112"/>
    </row>
    <row r="9" spans="1:13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69">
        <f>90000000-60000000</f>
        <v>30000000</v>
      </c>
      <c r="J9" s="169" t="s">
        <v>1508</v>
      </c>
    </row>
    <row r="10" spans="1:13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69">
        <v>30662426</v>
      </c>
      <c r="J10" s="169" t="s">
        <v>1509</v>
      </c>
      <c r="K10" s="124"/>
    </row>
    <row r="11" spans="1:13" s="2" customFormat="1" ht="14.25" customHeight="1" x14ac:dyDescent="0.2">
      <c r="A11" s="89">
        <v>45258</v>
      </c>
      <c r="B11" s="9" t="s">
        <v>6</v>
      </c>
      <c r="C11" s="10" t="s">
        <v>7</v>
      </c>
      <c r="D11" s="11"/>
      <c r="F11" s="12">
        <v>29970500</v>
      </c>
      <c r="G11" s="1"/>
      <c r="H11" s="130" t="s">
        <v>396</v>
      </c>
      <c r="I11" s="169">
        <f>+I9-I10</f>
        <v>-662426</v>
      </c>
      <c r="J11" s="169" t="s">
        <v>712</v>
      </c>
      <c r="K11" s="165" t="s">
        <v>1512</v>
      </c>
    </row>
    <row r="12" spans="1:13" s="2" customFormat="1" ht="14.25" customHeight="1" x14ac:dyDescent="0.2">
      <c r="D12" s="11" t="s">
        <v>8</v>
      </c>
      <c r="E12" s="16">
        <f>SUM(E11:E11)</f>
        <v>0</v>
      </c>
      <c r="F12" s="16">
        <f>SUM(F11:F11)</f>
        <v>29970500</v>
      </c>
      <c r="G12" s="1"/>
      <c r="H12" s="143"/>
      <c r="I12" s="130"/>
      <c r="J12" s="143"/>
      <c r="K12" s="143"/>
      <c r="L12" s="143"/>
      <c r="M12" s="143"/>
    </row>
    <row r="13" spans="1:13" s="2" customFormat="1" ht="14.25" customHeight="1" x14ac:dyDescent="0.4">
      <c r="A13" s="17"/>
      <c r="B13" s="18"/>
      <c r="C13" s="96" t="s">
        <v>9</v>
      </c>
      <c r="D13" s="20"/>
      <c r="E13" s="21">
        <f>+F12-E12</f>
        <v>29970500</v>
      </c>
      <c r="G13" s="1"/>
      <c r="I13" s="112"/>
      <c r="J13" s="153" t="s">
        <v>779</v>
      </c>
    </row>
    <row r="14" spans="1:13" s="2" customFormat="1" ht="14.25" customHeight="1" x14ac:dyDescent="0.2">
      <c r="A14" s="36"/>
      <c r="B14" s="28" t="s">
        <v>66</v>
      </c>
      <c r="C14" s="43" t="s">
        <v>1458</v>
      </c>
      <c r="D14" s="43"/>
      <c r="E14" s="12">
        <f>30000000+60000000</f>
        <v>90000000</v>
      </c>
      <c r="F14" s="22"/>
      <c r="G14" s="1"/>
      <c r="I14" s="40">
        <v>29970500</v>
      </c>
      <c r="J14" s="154">
        <f>I14-E13</f>
        <v>0</v>
      </c>
    </row>
    <row r="15" spans="1:13" s="2" customFormat="1" ht="14.25" customHeight="1" x14ac:dyDescent="0.25">
      <c r="A15" s="36"/>
      <c r="B15" s="28"/>
      <c r="C15" s="44" t="s">
        <v>1541</v>
      </c>
      <c r="D15" s="43"/>
      <c r="E15" s="7">
        <f>+E13+E14</f>
        <v>119970500</v>
      </c>
      <c r="F15" s="22"/>
      <c r="G15" s="1"/>
      <c r="H15" s="13" t="s">
        <v>1582</v>
      </c>
      <c r="I15" s="13" t="s">
        <v>1583</v>
      </c>
    </row>
    <row r="16" spans="1:13" s="2" customFormat="1" ht="14.25" customHeight="1" x14ac:dyDescent="0.25">
      <c r="A16" s="36"/>
      <c r="B16" s="28"/>
      <c r="C16" s="44" t="s">
        <v>1511</v>
      </c>
      <c r="D16" s="43"/>
      <c r="E16" s="38">
        <f>+I11+H7-I7</f>
        <v>29500</v>
      </c>
      <c r="F16" s="22"/>
      <c r="G16" s="1"/>
      <c r="H16" s="2">
        <v>1112013</v>
      </c>
      <c r="I16" s="2">
        <v>5144283</v>
      </c>
      <c r="J16" s="176">
        <f>H16-I16</f>
        <v>-4032270</v>
      </c>
    </row>
    <row r="17" spans="1:14" s="2" customFormat="1" ht="14.25" customHeight="1" x14ac:dyDescent="0.2">
      <c r="A17" s="24"/>
      <c r="B17" s="1"/>
      <c r="C17" s="14"/>
      <c r="D17" s="25"/>
      <c r="G17" s="1"/>
      <c r="I17" s="130"/>
      <c r="J17" s="130"/>
    </row>
    <row r="18" spans="1:14" s="2" customFormat="1" x14ac:dyDescent="0.2">
      <c r="A18" s="214" t="s">
        <v>10</v>
      </c>
      <c r="B18" s="214"/>
      <c r="C18" s="214"/>
      <c r="D18" s="214"/>
      <c r="E18" s="214"/>
      <c r="F18" s="214"/>
      <c r="G18" s="1"/>
      <c r="H18" s="159"/>
      <c r="I18" s="160">
        <f>225000000-75000000-50000000</f>
        <v>100000000</v>
      </c>
      <c r="J18" s="160" t="s">
        <v>1506</v>
      </c>
      <c r="K18" s="70"/>
    </row>
    <row r="19" spans="1:14" s="2" customFormat="1" x14ac:dyDescent="0.2">
      <c r="A19" s="26" t="s">
        <v>1</v>
      </c>
      <c r="B19" s="27" t="s">
        <v>2</v>
      </c>
      <c r="C19" s="5"/>
      <c r="D19" s="6" t="s">
        <v>3</v>
      </c>
      <c r="E19" s="7" t="s">
        <v>4</v>
      </c>
      <c r="F19" s="7" t="s">
        <v>5</v>
      </c>
      <c r="G19" s="1"/>
      <c r="H19" s="159"/>
      <c r="I19" s="160">
        <v>59472303.909999996</v>
      </c>
      <c r="J19" s="160" t="s">
        <v>1507</v>
      </c>
      <c r="K19" s="70" t="s">
        <v>1512</v>
      </c>
    </row>
    <row r="20" spans="1:14" s="2" customFormat="1" x14ac:dyDescent="0.2">
      <c r="A20" s="89">
        <v>45258</v>
      </c>
      <c r="B20" s="128" t="s">
        <v>11</v>
      </c>
      <c r="C20" s="29" t="s">
        <v>7</v>
      </c>
      <c r="D20" s="25"/>
      <c r="E20" s="31"/>
      <c r="F20" s="2">
        <v>238677457.51000005</v>
      </c>
      <c r="G20" s="23"/>
      <c r="H20" s="159" t="s">
        <v>1505</v>
      </c>
      <c r="I20" s="160">
        <f>+I18-I19</f>
        <v>40527696.090000004</v>
      </c>
      <c r="J20" s="160"/>
      <c r="K20" s="70"/>
    </row>
    <row r="21" spans="1:14" s="2" customFormat="1" x14ac:dyDescent="0.2">
      <c r="A21" s="89">
        <v>45258</v>
      </c>
      <c r="B21" s="128" t="s">
        <v>6</v>
      </c>
      <c r="C21" s="10" t="s">
        <v>1814</v>
      </c>
      <c r="D21" s="11" t="s">
        <v>13</v>
      </c>
      <c r="E21" s="86">
        <v>243879.36</v>
      </c>
      <c r="F21" s="70"/>
      <c r="G21" s="1"/>
      <c r="N21" s="1"/>
    </row>
    <row r="22" spans="1:14" s="2" customFormat="1" x14ac:dyDescent="0.2">
      <c r="A22" s="89">
        <v>45258</v>
      </c>
      <c r="B22" s="128" t="s">
        <v>6</v>
      </c>
      <c r="C22" s="10" t="s">
        <v>1273</v>
      </c>
      <c r="D22" s="11" t="s">
        <v>13</v>
      </c>
      <c r="E22" s="86">
        <v>248912</v>
      </c>
      <c r="F22" s="70"/>
      <c r="G22" s="1"/>
      <c r="N22" s="1"/>
    </row>
    <row r="23" spans="1:14" s="2" customFormat="1" x14ac:dyDescent="0.2">
      <c r="A23" s="89">
        <v>45258</v>
      </c>
      <c r="B23" s="128" t="s">
        <v>6</v>
      </c>
      <c r="C23" s="10" t="s">
        <v>1274</v>
      </c>
      <c r="D23" s="11" t="s">
        <v>13</v>
      </c>
      <c r="E23" s="86">
        <v>213277</v>
      </c>
      <c r="F23" s="70"/>
      <c r="G23" s="1"/>
      <c r="N23" s="1"/>
    </row>
    <row r="24" spans="1:14" s="2" customFormat="1" x14ac:dyDescent="0.2">
      <c r="A24" s="89">
        <v>45258</v>
      </c>
      <c r="B24" s="128" t="s">
        <v>6</v>
      </c>
      <c r="C24" s="10" t="s">
        <v>1815</v>
      </c>
      <c r="D24" s="11" t="s">
        <v>13</v>
      </c>
      <c r="E24" s="86">
        <v>11970</v>
      </c>
      <c r="F24" s="70"/>
      <c r="G24" s="1"/>
      <c r="N24" s="1"/>
    </row>
    <row r="25" spans="1:14" s="2" customFormat="1" x14ac:dyDescent="0.2">
      <c r="A25" s="89">
        <v>45258</v>
      </c>
      <c r="B25" s="128" t="s">
        <v>6</v>
      </c>
      <c r="C25" s="10" t="s">
        <v>332</v>
      </c>
      <c r="D25" s="11" t="s">
        <v>13</v>
      </c>
      <c r="E25" s="86">
        <v>30636</v>
      </c>
      <c r="F25" s="70"/>
      <c r="G25" s="1"/>
      <c r="N25" s="1"/>
    </row>
    <row r="26" spans="1:14" s="2" customFormat="1" x14ac:dyDescent="0.2">
      <c r="A26" s="89">
        <v>45258</v>
      </c>
      <c r="B26" s="128" t="s">
        <v>6</v>
      </c>
      <c r="C26" s="10" t="s">
        <v>105</v>
      </c>
      <c r="D26" s="11" t="s">
        <v>13</v>
      </c>
      <c r="E26" s="86">
        <v>18881</v>
      </c>
      <c r="F26" s="70"/>
      <c r="G26" s="1"/>
      <c r="N26" s="1"/>
    </row>
    <row r="27" spans="1:14" s="2" customFormat="1" x14ac:dyDescent="0.2">
      <c r="A27" s="89">
        <v>45258</v>
      </c>
      <c r="B27" s="128" t="s">
        <v>6</v>
      </c>
      <c r="C27" s="10" t="s">
        <v>381</v>
      </c>
      <c r="D27" s="11" t="s">
        <v>13</v>
      </c>
      <c r="E27" s="86">
        <v>24780</v>
      </c>
      <c r="F27" s="70"/>
      <c r="G27" s="1"/>
      <c r="N27" s="1"/>
    </row>
    <row r="28" spans="1:14" s="2" customFormat="1" x14ac:dyDescent="0.2">
      <c r="A28" s="89">
        <v>45258</v>
      </c>
      <c r="B28" s="128" t="s">
        <v>6</v>
      </c>
      <c r="C28" s="10" t="s">
        <v>177</v>
      </c>
      <c r="D28" s="11" t="s">
        <v>13</v>
      </c>
      <c r="E28" s="86">
        <v>728131</v>
      </c>
      <c r="F28" s="70"/>
      <c r="G28" s="1"/>
      <c r="N28" s="1"/>
    </row>
    <row r="29" spans="1:14" s="2" customFormat="1" x14ac:dyDescent="0.2">
      <c r="A29" s="89">
        <v>45258</v>
      </c>
      <c r="B29" s="128" t="s">
        <v>6</v>
      </c>
      <c r="C29" s="10" t="s">
        <v>336</v>
      </c>
      <c r="D29" s="11" t="s">
        <v>13</v>
      </c>
      <c r="E29" s="86">
        <v>275834</v>
      </c>
      <c r="F29" s="70"/>
      <c r="G29" s="1"/>
      <c r="N29" s="1"/>
    </row>
    <row r="30" spans="1:14" s="2" customFormat="1" x14ac:dyDescent="0.2">
      <c r="A30" s="89">
        <v>45258</v>
      </c>
      <c r="B30" s="128" t="s">
        <v>6</v>
      </c>
      <c r="C30" s="10" t="s">
        <v>106</v>
      </c>
      <c r="D30" s="11" t="s">
        <v>13</v>
      </c>
      <c r="E30" s="86">
        <v>10490</v>
      </c>
      <c r="F30" s="70"/>
      <c r="G30" s="1"/>
      <c r="N30" s="1"/>
    </row>
    <row r="31" spans="1:14" s="2" customFormat="1" x14ac:dyDescent="0.2">
      <c r="A31" s="89">
        <v>45258</v>
      </c>
      <c r="B31" s="128" t="s">
        <v>6</v>
      </c>
      <c r="C31" s="10" t="s">
        <v>538</v>
      </c>
      <c r="D31" s="11" t="s">
        <v>13</v>
      </c>
      <c r="E31" s="86">
        <v>1469</v>
      </c>
      <c r="F31" s="70"/>
      <c r="G31" s="1"/>
      <c r="N31" s="1"/>
    </row>
    <row r="32" spans="1:14" s="2" customFormat="1" x14ac:dyDescent="0.2">
      <c r="A32" s="89">
        <v>45258</v>
      </c>
      <c r="B32" s="128" t="s">
        <v>6</v>
      </c>
      <c r="C32" s="10" t="s">
        <v>316</v>
      </c>
      <c r="D32" s="11" t="s">
        <v>13</v>
      </c>
      <c r="E32" s="86">
        <v>1030200</v>
      </c>
      <c r="F32" s="70"/>
      <c r="G32" s="1"/>
      <c r="N32" s="1"/>
    </row>
    <row r="33" spans="1:14" s="2" customFormat="1" x14ac:dyDescent="0.2">
      <c r="A33" s="89">
        <v>45258</v>
      </c>
      <c r="B33" s="128" t="s">
        <v>6</v>
      </c>
      <c r="C33" s="10" t="s">
        <v>1155</v>
      </c>
      <c r="D33" s="11" t="s">
        <v>13</v>
      </c>
      <c r="E33" s="86">
        <v>175000000</v>
      </c>
      <c r="F33" s="70"/>
      <c r="G33" s="1"/>
      <c r="N33" s="1"/>
    </row>
    <row r="34" spans="1:14" s="2" customFormat="1" x14ac:dyDescent="0.2">
      <c r="A34" s="89">
        <v>45258</v>
      </c>
      <c r="B34" s="128" t="s">
        <v>6</v>
      </c>
      <c r="C34" s="10" t="s">
        <v>671</v>
      </c>
      <c r="D34" s="11" t="s">
        <v>13</v>
      </c>
      <c r="E34" s="86">
        <v>275000</v>
      </c>
      <c r="F34" s="70"/>
      <c r="G34" s="1"/>
      <c r="N34" s="1"/>
    </row>
    <row r="35" spans="1:14" s="2" customFormat="1" x14ac:dyDescent="0.2">
      <c r="A35" s="89">
        <v>45258</v>
      </c>
      <c r="B35" s="128" t="s">
        <v>6</v>
      </c>
      <c r="C35" s="10" t="s">
        <v>376</v>
      </c>
      <c r="D35" s="11" t="s">
        <v>13</v>
      </c>
      <c r="E35" s="86">
        <v>2205</v>
      </c>
      <c r="F35" s="70"/>
      <c r="G35" s="1"/>
      <c r="N35" s="1"/>
    </row>
    <row r="36" spans="1:14" s="2" customFormat="1" x14ac:dyDescent="0.2">
      <c r="A36" s="89">
        <v>45258</v>
      </c>
      <c r="B36" s="128" t="s">
        <v>6</v>
      </c>
      <c r="C36" s="10" t="s">
        <v>14</v>
      </c>
      <c r="D36" s="11" t="s">
        <v>13</v>
      </c>
      <c r="E36" s="86">
        <v>13480</v>
      </c>
      <c r="F36" s="70"/>
      <c r="G36" s="1"/>
      <c r="N36" s="1"/>
    </row>
    <row r="37" spans="1:14" s="2" customFormat="1" x14ac:dyDescent="0.2">
      <c r="A37" s="89">
        <v>45258</v>
      </c>
      <c r="B37" s="128" t="s">
        <v>6</v>
      </c>
      <c r="C37" s="10" t="s">
        <v>15</v>
      </c>
      <c r="D37" s="11" t="s">
        <v>13</v>
      </c>
      <c r="E37" s="86">
        <v>1501.19</v>
      </c>
      <c r="F37" s="70"/>
      <c r="G37" s="1"/>
      <c r="N37" s="1"/>
    </row>
    <row r="38" spans="1:14" s="2" customFormat="1" x14ac:dyDescent="0.2">
      <c r="A38" s="89">
        <v>45258</v>
      </c>
      <c r="B38" s="128" t="s">
        <v>6</v>
      </c>
      <c r="C38" s="10" t="s">
        <v>964</v>
      </c>
      <c r="D38" s="11" t="s">
        <v>13</v>
      </c>
      <c r="E38" s="86">
        <v>625000</v>
      </c>
      <c r="F38" s="70"/>
      <c r="G38" s="1"/>
      <c r="N38" s="1"/>
    </row>
    <row r="39" spans="1:14" s="2" customFormat="1" x14ac:dyDescent="0.2">
      <c r="A39" s="89">
        <v>45258</v>
      </c>
      <c r="B39" s="128" t="s">
        <v>6</v>
      </c>
      <c r="C39" s="10" t="s">
        <v>120</v>
      </c>
      <c r="D39" s="11" t="s">
        <v>13</v>
      </c>
      <c r="E39" s="86">
        <v>5100255.75</v>
      </c>
      <c r="F39" s="70"/>
      <c r="G39" s="1"/>
      <c r="N39" s="1"/>
    </row>
    <row r="40" spans="1:14" s="2" customFormat="1" x14ac:dyDescent="0.2">
      <c r="A40" s="89">
        <v>45258</v>
      </c>
      <c r="B40" s="128" t="s">
        <v>6</v>
      </c>
      <c r="C40" s="10" t="s">
        <v>927</v>
      </c>
      <c r="D40" s="11" t="s">
        <v>13</v>
      </c>
      <c r="E40" s="86">
        <v>85922</v>
      </c>
      <c r="F40" s="70"/>
      <c r="G40" s="1"/>
      <c r="N40" s="1"/>
    </row>
    <row r="41" spans="1:14" s="2" customFormat="1" x14ac:dyDescent="0.2">
      <c r="A41" s="89">
        <v>45258</v>
      </c>
      <c r="B41" s="128" t="s">
        <v>6</v>
      </c>
      <c r="C41" s="10" t="s">
        <v>947</v>
      </c>
      <c r="D41" s="11" t="s">
        <v>13</v>
      </c>
      <c r="E41" s="86">
        <v>2022940</v>
      </c>
      <c r="F41" s="70"/>
      <c r="G41" s="1"/>
      <c r="N41" s="1"/>
    </row>
    <row r="42" spans="1:14" s="2" customFormat="1" x14ac:dyDescent="0.2">
      <c r="A42" s="89">
        <v>45258</v>
      </c>
      <c r="B42" s="128" t="s">
        <v>6</v>
      </c>
      <c r="C42" s="10" t="s">
        <v>57</v>
      </c>
      <c r="D42" s="11" t="s">
        <v>499</v>
      </c>
      <c r="E42" s="86">
        <v>7000000</v>
      </c>
      <c r="F42" s="70"/>
      <c r="G42" s="1"/>
      <c r="N42" s="1"/>
    </row>
    <row r="43" spans="1:14" s="2" customFormat="1" x14ac:dyDescent="0.2">
      <c r="A43" s="89">
        <v>45258</v>
      </c>
      <c r="B43" s="128" t="s">
        <v>6</v>
      </c>
      <c r="C43" s="10" t="s">
        <v>1430</v>
      </c>
      <c r="D43" s="11" t="s">
        <v>13</v>
      </c>
      <c r="E43" s="86">
        <v>9450</v>
      </c>
      <c r="F43" s="70"/>
      <c r="G43" s="1"/>
      <c r="N43" s="1"/>
    </row>
    <row r="44" spans="1:14" s="2" customFormat="1" x14ac:dyDescent="0.2">
      <c r="A44" s="89">
        <v>45258</v>
      </c>
      <c r="B44" s="128" t="s">
        <v>11</v>
      </c>
      <c r="C44" s="10" t="s">
        <v>1734</v>
      </c>
      <c r="D44" s="11" t="s">
        <v>29</v>
      </c>
      <c r="E44" s="86"/>
      <c r="F44" s="70">
        <v>1170697</v>
      </c>
      <c r="G44" s="1"/>
      <c r="N44" s="1"/>
    </row>
    <row r="45" spans="1:14" s="2" customFormat="1" x14ac:dyDescent="0.2">
      <c r="A45" s="89">
        <v>45258</v>
      </c>
      <c r="B45" s="128" t="s">
        <v>11</v>
      </c>
      <c r="C45" s="10" t="s">
        <v>1816</v>
      </c>
      <c r="D45" s="11" t="s">
        <v>29</v>
      </c>
      <c r="E45" s="86"/>
      <c r="F45" s="70">
        <v>9525901</v>
      </c>
      <c r="G45" s="1"/>
      <c r="N45" s="1"/>
    </row>
    <row r="46" spans="1:14" s="2" customFormat="1" x14ac:dyDescent="0.2">
      <c r="A46" s="89">
        <v>45258</v>
      </c>
      <c r="B46" s="128" t="s">
        <v>11</v>
      </c>
      <c r="C46" s="10" t="s">
        <v>147</v>
      </c>
      <c r="D46" s="11" t="s">
        <v>29</v>
      </c>
      <c r="E46" s="86"/>
      <c r="F46" s="70">
        <v>5201874</v>
      </c>
      <c r="G46" s="1"/>
      <c r="N46" s="1"/>
    </row>
    <row r="47" spans="1:14" s="2" customFormat="1" x14ac:dyDescent="0.2">
      <c r="A47" s="89">
        <v>45258</v>
      </c>
      <c r="B47" s="128" t="s">
        <v>11</v>
      </c>
      <c r="C47" s="10" t="s">
        <v>64</v>
      </c>
      <c r="D47" s="11" t="s">
        <v>29</v>
      </c>
      <c r="E47" s="86"/>
      <c r="F47" s="70">
        <v>17.700000000000003</v>
      </c>
      <c r="G47" s="1"/>
      <c r="N47" s="1"/>
    </row>
    <row r="48" spans="1:14" s="2" customFormat="1" x14ac:dyDescent="0.2">
      <c r="A48" s="89">
        <v>45258</v>
      </c>
      <c r="B48" s="128" t="s">
        <v>11</v>
      </c>
      <c r="C48" s="10" t="s">
        <v>57</v>
      </c>
      <c r="D48" s="11" t="s">
        <v>29</v>
      </c>
      <c r="E48" s="86"/>
      <c r="F48" s="70">
        <v>1000000</v>
      </c>
      <c r="G48" s="1"/>
      <c r="N48" s="1"/>
    </row>
    <row r="49" spans="1:14" s="2" customFormat="1" x14ac:dyDescent="0.2">
      <c r="A49" s="89">
        <v>45258</v>
      </c>
      <c r="B49" s="128" t="s">
        <v>11</v>
      </c>
      <c r="C49" s="10" t="s">
        <v>208</v>
      </c>
      <c r="D49" s="11" t="s">
        <v>29</v>
      </c>
      <c r="E49" s="86"/>
      <c r="F49" s="70">
        <v>13539</v>
      </c>
      <c r="G49" s="1"/>
      <c r="N49" s="1"/>
    </row>
    <row r="50" spans="1:14" s="2" customFormat="1" x14ac:dyDescent="0.2">
      <c r="A50" s="89">
        <v>45258</v>
      </c>
      <c r="B50" s="128" t="s">
        <v>11</v>
      </c>
      <c r="C50" s="10" t="s">
        <v>738</v>
      </c>
      <c r="D50" s="11" t="s">
        <v>29</v>
      </c>
      <c r="E50" s="86"/>
      <c r="F50" s="70">
        <v>17496</v>
      </c>
      <c r="G50" s="1"/>
      <c r="N50" s="1"/>
    </row>
    <row r="51" spans="1:14" s="2" customFormat="1" x14ac:dyDescent="0.2">
      <c r="A51" s="89">
        <v>45258</v>
      </c>
      <c r="B51" s="128" t="s">
        <v>11</v>
      </c>
      <c r="C51" s="10" t="s">
        <v>242</v>
      </c>
      <c r="D51" s="11" t="s">
        <v>29</v>
      </c>
      <c r="E51" s="86"/>
      <c r="F51" s="70">
        <v>7692</v>
      </c>
      <c r="G51" s="1"/>
      <c r="N51" s="1"/>
    </row>
    <row r="52" spans="1:14" s="2" customFormat="1" x14ac:dyDescent="0.2">
      <c r="A52" s="89">
        <v>45258</v>
      </c>
      <c r="B52" s="128" t="s">
        <v>11</v>
      </c>
      <c r="C52" s="10" t="s">
        <v>252</v>
      </c>
      <c r="D52" s="11" t="s">
        <v>29</v>
      </c>
      <c r="E52" s="86"/>
      <c r="F52" s="70">
        <v>63408</v>
      </c>
      <c r="G52" s="1"/>
      <c r="N52" s="1"/>
    </row>
    <row r="53" spans="1:14" s="2" customFormat="1" x14ac:dyDescent="0.2">
      <c r="A53" s="89">
        <v>45258</v>
      </c>
      <c r="B53" s="128" t="s">
        <v>11</v>
      </c>
      <c r="C53" s="10" t="s">
        <v>1817</v>
      </c>
      <c r="D53" s="11" t="s">
        <v>29</v>
      </c>
      <c r="E53" s="86"/>
      <c r="F53" s="70">
        <v>23856</v>
      </c>
      <c r="G53" s="1"/>
      <c r="N53" s="1"/>
    </row>
    <row r="54" spans="1:14" s="2" customFormat="1" x14ac:dyDescent="0.2">
      <c r="A54" s="89">
        <v>45258</v>
      </c>
      <c r="B54" s="128" t="s">
        <v>11</v>
      </c>
      <c r="C54" s="10" t="s">
        <v>500</v>
      </c>
      <c r="D54" s="11" t="s">
        <v>29</v>
      </c>
      <c r="E54" s="86"/>
      <c r="F54" s="70">
        <v>776849</v>
      </c>
      <c r="G54" s="1"/>
      <c r="N54" s="1"/>
    </row>
    <row r="55" spans="1:14" s="2" customFormat="1" x14ac:dyDescent="0.2">
      <c r="A55" s="32"/>
      <c r="B55" s="33"/>
      <c r="C55" s="14"/>
      <c r="D55" s="34"/>
      <c r="E55" s="16">
        <f>SUM(E20:E54)</f>
        <v>192974213.30000001</v>
      </c>
      <c r="F55" s="16">
        <f>SUM(F20:F54)</f>
        <v>256478787.21000004</v>
      </c>
      <c r="G55" s="1"/>
      <c r="H55" s="1"/>
      <c r="I55" s="38">
        <v>63504573.909999996</v>
      </c>
      <c r="K55" s="92">
        <f>E56-I55</f>
        <v>0</v>
      </c>
      <c r="N55" s="1"/>
    </row>
    <row r="56" spans="1:14" s="2" customFormat="1" x14ac:dyDescent="0.2">
      <c r="A56" s="36"/>
      <c r="B56" s="28" t="s">
        <v>11</v>
      </c>
      <c r="C56" s="19" t="s">
        <v>65</v>
      </c>
      <c r="D56" s="37"/>
      <c r="E56" s="38">
        <f>F55-E55</f>
        <v>63504573.910000026</v>
      </c>
      <c r="F56" s="22"/>
      <c r="G56" s="1"/>
      <c r="H56" s="1"/>
      <c r="I56" s="70"/>
      <c r="J56" s="70"/>
      <c r="K56" s="70"/>
      <c r="N56" s="1"/>
    </row>
    <row r="57" spans="1:14" s="2" customFormat="1" x14ac:dyDescent="0.2">
      <c r="A57" s="36"/>
      <c r="B57" s="28" t="s">
        <v>66</v>
      </c>
      <c r="C57" s="19" t="s">
        <v>67</v>
      </c>
      <c r="D57" s="37"/>
      <c r="E57" s="38">
        <v>6500000</v>
      </c>
      <c r="F57" s="22"/>
      <c r="G57" s="1"/>
      <c r="H57" s="70"/>
      <c r="I57" s="70"/>
      <c r="J57" s="70"/>
      <c r="K57" s="70"/>
      <c r="N57" s="1"/>
    </row>
    <row r="58" spans="1:14" s="2" customFormat="1" x14ac:dyDescent="0.2">
      <c r="A58" s="36"/>
      <c r="B58" s="28" t="s">
        <v>66</v>
      </c>
      <c r="C58" s="43" t="s">
        <v>1457</v>
      </c>
      <c r="D58" s="43"/>
      <c r="E58" s="12">
        <f>275000000+75000000+50000000</f>
        <v>400000000</v>
      </c>
      <c r="F58" s="22"/>
      <c r="G58" s="1"/>
      <c r="H58" s="70"/>
      <c r="I58" s="45">
        <v>2648.69</v>
      </c>
      <c r="J58" s="46"/>
      <c r="K58" s="46"/>
      <c r="N58" s="1"/>
    </row>
    <row r="59" spans="1:14" s="2" customFormat="1" ht="15" x14ac:dyDescent="0.25">
      <c r="A59" s="36"/>
      <c r="B59" s="28"/>
      <c r="C59" s="44" t="s">
        <v>1541</v>
      </c>
      <c r="D59" s="43"/>
      <c r="E59" s="7">
        <f>+E58+E56+E57</f>
        <v>470004573.91000003</v>
      </c>
      <c r="F59" s="22"/>
      <c r="G59" s="1"/>
      <c r="H59" s="103" t="s">
        <v>69</v>
      </c>
      <c r="I59" s="45">
        <v>-128.11000000000001</v>
      </c>
      <c r="J59" s="46"/>
      <c r="K59" s="46"/>
      <c r="N59" s="1"/>
    </row>
    <row r="60" spans="1:14" s="2" customFormat="1" ht="15" x14ac:dyDescent="0.25">
      <c r="A60" s="24"/>
      <c r="B60" s="1"/>
      <c r="C60" s="44" t="s">
        <v>1510</v>
      </c>
      <c r="D60" s="25"/>
      <c r="E60" s="156">
        <f>+I20-E57+H16-I16</f>
        <v>29995426.090000004</v>
      </c>
      <c r="G60" s="1"/>
      <c r="H60" s="35" t="s">
        <v>70</v>
      </c>
      <c r="I60" s="45">
        <v>115.83</v>
      </c>
      <c r="J60" s="46">
        <f>+I61-D63</f>
        <v>0</v>
      </c>
      <c r="N60" s="1"/>
    </row>
    <row r="61" spans="1:14" s="124" customFormat="1" ht="12.75" customHeight="1" x14ac:dyDescent="0.2">
      <c r="A61" s="24"/>
      <c r="B61" s="1"/>
      <c r="C61" s="56"/>
      <c r="D61" s="56"/>
      <c r="E61" s="104"/>
      <c r="F61" s="2"/>
      <c r="G61" s="166"/>
      <c r="H61" s="70"/>
      <c r="I61" s="49">
        <f>SUM(I58:I60)</f>
        <v>2636.41</v>
      </c>
      <c r="J61" s="46"/>
      <c r="K61" s="46"/>
    </row>
    <row r="62" spans="1:14" s="124" customFormat="1" ht="12.75" customHeight="1" x14ac:dyDescent="0.2">
      <c r="A62" s="24"/>
      <c r="B62" s="1"/>
      <c r="C62" s="78" t="s">
        <v>575</v>
      </c>
      <c r="D62" s="48" t="s">
        <v>576</v>
      </c>
      <c r="E62" s="104"/>
      <c r="F62" s="2"/>
      <c r="G62" s="168"/>
      <c r="H62" s="167"/>
      <c r="I62" s="167"/>
      <c r="J62" s="168"/>
    </row>
    <row r="63" spans="1:14" s="124" customFormat="1" ht="12.75" customHeight="1" x14ac:dyDescent="0.2">
      <c r="A63" s="24"/>
      <c r="B63" s="1"/>
      <c r="C63" s="47" t="s">
        <v>570</v>
      </c>
      <c r="D63" s="111">
        <v>2636.41</v>
      </c>
      <c r="E63" s="104"/>
      <c r="F63" s="2"/>
      <c r="G63" s="168"/>
      <c r="H63" s="110" t="s">
        <v>581</v>
      </c>
      <c r="I63" s="167"/>
      <c r="J63" s="168"/>
    </row>
    <row r="64" spans="1:14" s="124" customFormat="1" ht="12.75" customHeight="1" x14ac:dyDescent="0.2">
      <c r="A64" s="24"/>
      <c r="B64" s="1"/>
      <c r="C64" s="47" t="s">
        <v>931</v>
      </c>
      <c r="D64" s="111">
        <v>170.9</v>
      </c>
      <c r="E64" s="104"/>
      <c r="F64" s="2"/>
      <c r="G64" s="168"/>
      <c r="H64" s="110" t="s">
        <v>580</v>
      </c>
      <c r="I64" s="167"/>
      <c r="J64" s="168"/>
    </row>
    <row r="65" spans="1:14" s="124" customFormat="1" ht="12.75" customHeight="1" x14ac:dyDescent="0.2">
      <c r="A65" s="24"/>
      <c r="B65" s="1"/>
      <c r="C65" s="47" t="s">
        <v>572</v>
      </c>
      <c r="D65" s="111">
        <f>+D98/100000</f>
        <v>394.39061950000001</v>
      </c>
      <c r="E65" s="104"/>
      <c r="F65" s="2"/>
      <c r="G65" s="166"/>
      <c r="H65" s="90" t="s">
        <v>587</v>
      </c>
      <c r="I65" s="167"/>
      <c r="J65" s="168"/>
    </row>
    <row r="66" spans="1:14" s="2" customFormat="1" x14ac:dyDescent="0.2">
      <c r="A66" s="24"/>
      <c r="B66" s="1"/>
      <c r="C66" s="108" t="s">
        <v>578</v>
      </c>
      <c r="D66" s="48">
        <f>SUM(D63:D65)</f>
        <v>3201.7006194999999</v>
      </c>
      <c r="E66" s="104"/>
      <c r="G66" s="30"/>
      <c r="I66" s="13"/>
      <c r="J66" s="13"/>
    </row>
    <row r="67" spans="1:14" s="70" customFormat="1" x14ac:dyDescent="0.2">
      <c r="A67" s="24"/>
      <c r="B67" s="1"/>
      <c r="C67" s="47"/>
      <c r="D67" s="107"/>
      <c r="E67" s="104"/>
      <c r="F67" s="2"/>
      <c r="G67" s="30"/>
      <c r="H67" s="2"/>
    </row>
    <row r="68" spans="1:14" s="70" customFormat="1" x14ac:dyDescent="0.2">
      <c r="A68" s="24"/>
      <c r="B68" s="1"/>
      <c r="C68" s="47" t="s">
        <v>932</v>
      </c>
      <c r="D68" s="111">
        <v>149.04</v>
      </c>
      <c r="E68" s="104"/>
      <c r="F68" s="2"/>
      <c r="G68" s="30"/>
      <c r="H68" s="110" t="s">
        <v>581</v>
      </c>
    </row>
    <row r="69" spans="1:14" s="70" customFormat="1" x14ac:dyDescent="0.2">
      <c r="A69" s="24"/>
      <c r="B69" s="1"/>
      <c r="C69" s="136" t="s">
        <v>1142</v>
      </c>
      <c r="D69" s="111">
        <f>852.61-117.09</f>
        <v>735.52</v>
      </c>
      <c r="E69" s="104"/>
      <c r="F69" s="2"/>
      <c r="G69" s="30"/>
      <c r="H69" s="110" t="s">
        <v>581</v>
      </c>
    </row>
    <row r="70" spans="1:14" s="70" customFormat="1" x14ac:dyDescent="0.2">
      <c r="A70" s="24"/>
      <c r="B70" s="1"/>
      <c r="C70" s="78" t="s">
        <v>579</v>
      </c>
      <c r="D70" s="109">
        <f>D68+D69</f>
        <v>884.56</v>
      </c>
      <c r="E70" s="104"/>
      <c r="F70" s="2"/>
      <c r="G70" s="30"/>
    </row>
    <row r="71" spans="1:14" s="70" customFormat="1" x14ac:dyDescent="0.2">
      <c r="A71" s="24"/>
      <c r="B71" s="1"/>
      <c r="C71" s="105"/>
      <c r="D71" s="106"/>
      <c r="E71" s="104"/>
      <c r="F71" s="2"/>
      <c r="G71" s="30"/>
      <c r="I71" s="2"/>
      <c r="J71" s="114" t="s">
        <v>713</v>
      </c>
      <c r="K71" s="2"/>
      <c r="L71" s="2"/>
      <c r="M71" s="2"/>
    </row>
    <row r="72" spans="1:14" s="70" customFormat="1" x14ac:dyDescent="0.2">
      <c r="A72" s="24"/>
      <c r="B72" s="1"/>
      <c r="C72" s="78" t="s">
        <v>577</v>
      </c>
      <c r="D72" s="109">
        <f>D63+D70</f>
        <v>3520.97</v>
      </c>
      <c r="E72" s="104"/>
      <c r="F72" s="2"/>
      <c r="G72" s="30"/>
      <c r="I72" s="113"/>
      <c r="J72" s="113" t="s">
        <v>709</v>
      </c>
      <c r="K72" s="113" t="s">
        <v>710</v>
      </c>
      <c r="L72" s="113" t="s">
        <v>711</v>
      </c>
      <c r="M72" s="113" t="s">
        <v>712</v>
      </c>
    </row>
    <row r="73" spans="1:14" s="70" customFormat="1" x14ac:dyDescent="0.2">
      <c r="A73" s="24"/>
      <c r="B73" s="1"/>
      <c r="C73" s="56"/>
      <c r="D73" s="56"/>
      <c r="E73" s="104"/>
      <c r="F73" s="2"/>
      <c r="G73" s="30"/>
      <c r="I73" s="113" t="s">
        <v>706</v>
      </c>
      <c r="J73" s="115"/>
      <c r="K73" s="115">
        <v>968.99</v>
      </c>
      <c r="L73" s="115">
        <v>968.99</v>
      </c>
      <c r="M73" s="113">
        <f>+J73+L73-K73</f>
        <v>0</v>
      </c>
    </row>
    <row r="74" spans="1:14" s="70" customFormat="1" ht="38.25" x14ac:dyDescent="0.2">
      <c r="A74" s="24"/>
      <c r="B74" s="1"/>
      <c r="C74" s="79" t="str">
        <f>"Particulars ( 01-04-2021 to "&amp;TEXT(A5,"dd-mm-yyyy")&amp;" )"</f>
        <v>Particulars ( 01-04-2021 to 28-11-2023 )</v>
      </c>
      <c r="D74" s="80" t="s">
        <v>73</v>
      </c>
      <c r="E74" s="80" t="s">
        <v>74</v>
      </c>
      <c r="F74" s="81" t="s">
        <v>75</v>
      </c>
      <c r="G74" s="80" t="s">
        <v>76</v>
      </c>
      <c r="I74" s="113" t="s">
        <v>707</v>
      </c>
      <c r="J74" s="115">
        <v>183.1</v>
      </c>
      <c r="K74" s="115">
        <v>4068.23</v>
      </c>
      <c r="L74" s="115">
        <v>4269.2</v>
      </c>
      <c r="M74" s="113">
        <f>+J74+L74-K74</f>
        <v>384.07000000000016</v>
      </c>
    </row>
    <row r="75" spans="1:14" s="70" customFormat="1" x14ac:dyDescent="0.2">
      <c r="A75" s="24"/>
      <c r="B75" s="1"/>
      <c r="C75" s="50" t="s">
        <v>444</v>
      </c>
      <c r="D75" s="55">
        <f>+L73+L74+J74</f>
        <v>5421.29</v>
      </c>
      <c r="E75" s="55">
        <f>+K73+K74</f>
        <v>5037.22</v>
      </c>
      <c r="F75" s="55">
        <f>+D75-E75</f>
        <v>384.06999999999971</v>
      </c>
      <c r="G75" s="55">
        <f>1500-F75</f>
        <v>1115.9300000000003</v>
      </c>
      <c r="I75" s="113" t="s">
        <v>708</v>
      </c>
      <c r="J75" s="115">
        <v>1371.02</v>
      </c>
      <c r="K75" s="115">
        <v>15255.99</v>
      </c>
      <c r="L75" s="115">
        <v>15407.75</v>
      </c>
      <c r="M75" s="113">
        <f>+J75+L75-K75</f>
        <v>1522.7800000000007</v>
      </c>
    </row>
    <row r="76" spans="1:14" s="70" customFormat="1" ht="12.75" customHeight="1" x14ac:dyDescent="0.2">
      <c r="A76" s="24"/>
      <c r="B76" s="1"/>
      <c r="C76" s="50" t="s">
        <v>71</v>
      </c>
      <c r="D76" s="55">
        <f>+J75+L75</f>
        <v>16778.77</v>
      </c>
      <c r="E76" s="55">
        <f>+K75</f>
        <v>15255.99</v>
      </c>
      <c r="F76" s="55">
        <f>+D76-E76</f>
        <v>1522.7800000000007</v>
      </c>
      <c r="G76" s="55">
        <f>1500+700-F76</f>
        <v>677.21999999999935</v>
      </c>
      <c r="I76" s="2"/>
      <c r="J76" s="118">
        <f>SUM(J73:J75)</f>
        <v>1554.12</v>
      </c>
      <c r="K76" s="118">
        <f>SUM(K73:K75)</f>
        <v>20293.21</v>
      </c>
      <c r="L76" s="118">
        <f>SUM(L73:L75)</f>
        <v>20645.939999999999</v>
      </c>
      <c r="M76" s="118">
        <f>SUM(M73:M75)</f>
        <v>1906.8500000000008</v>
      </c>
    </row>
    <row r="77" spans="1:14" s="70" customFormat="1" ht="12.75" customHeight="1" x14ac:dyDescent="0.2">
      <c r="A77" s="24"/>
      <c r="B77" s="1"/>
      <c r="C77" s="14"/>
      <c r="D77" s="56"/>
      <c r="E77" s="13"/>
      <c r="F77" s="2"/>
      <c r="G77" s="30"/>
    </row>
    <row r="78" spans="1:14" s="70" customFormat="1" ht="12.75" customHeight="1" x14ac:dyDescent="0.2">
      <c r="A78" s="215" t="s">
        <v>80</v>
      </c>
      <c r="B78" s="216"/>
      <c r="C78" s="216"/>
      <c r="D78" s="217"/>
      <c r="E78" s="69"/>
      <c r="G78" s="30"/>
    </row>
    <row r="79" spans="1:14" s="70" customFormat="1" ht="12.75" customHeight="1" x14ac:dyDescent="0.2">
      <c r="A79" s="71" t="s">
        <v>81</v>
      </c>
      <c r="B79" s="71"/>
      <c r="C79" s="72" t="s">
        <v>82</v>
      </c>
      <c r="D79" s="73" t="s">
        <v>83</v>
      </c>
      <c r="E79" s="69"/>
      <c r="G79" s="30"/>
    </row>
    <row r="80" spans="1:14" s="70" customFormat="1" ht="12.75" customHeight="1" x14ac:dyDescent="0.2">
      <c r="A80" s="87">
        <v>45232</v>
      </c>
      <c r="B80" s="120" t="s">
        <v>6</v>
      </c>
      <c r="C80" s="75" t="s">
        <v>767</v>
      </c>
      <c r="D80" s="88">
        <v>515100</v>
      </c>
      <c r="E80" s="2"/>
      <c r="F80" s="2"/>
      <c r="G80" s="30"/>
      <c r="H80" s="2"/>
      <c r="I80" s="2"/>
      <c r="J80" s="2"/>
      <c r="K80" s="2"/>
      <c r="L80" s="41"/>
      <c r="M80" s="42"/>
      <c r="N80" s="2"/>
    </row>
    <row r="81" spans="1:14" s="70" customFormat="1" ht="12.75" customHeight="1" x14ac:dyDescent="0.2">
      <c r="A81" s="87">
        <v>45232</v>
      </c>
      <c r="B81" s="120" t="s">
        <v>6</v>
      </c>
      <c r="C81" s="75" t="s">
        <v>566</v>
      </c>
      <c r="D81" s="88">
        <v>52450</v>
      </c>
      <c r="E81" s="2"/>
      <c r="F81" s="2"/>
      <c r="G81" s="30"/>
      <c r="H81" s="2"/>
      <c r="I81" s="2"/>
      <c r="J81" s="2"/>
      <c r="K81" s="2"/>
      <c r="L81" s="41"/>
      <c r="M81" s="42"/>
      <c r="N81" s="2"/>
    </row>
    <row r="82" spans="1:14" s="70" customFormat="1" ht="12.75" customHeight="1" x14ac:dyDescent="0.2">
      <c r="A82" s="87">
        <v>45233</v>
      </c>
      <c r="B82" s="120" t="s">
        <v>6</v>
      </c>
      <c r="C82" s="75" t="s">
        <v>1084</v>
      </c>
      <c r="D82" s="88">
        <v>1833799</v>
      </c>
      <c r="E82" s="2"/>
      <c r="F82" s="2"/>
      <c r="G82" s="30"/>
      <c r="H82" s="2"/>
      <c r="I82" s="2"/>
      <c r="J82" s="2"/>
      <c r="K82" s="2"/>
      <c r="L82" s="41"/>
      <c r="M82" s="42"/>
      <c r="N82" s="2"/>
    </row>
    <row r="83" spans="1:14" s="70" customFormat="1" ht="12.75" customHeight="1" x14ac:dyDescent="0.2">
      <c r="A83" s="87">
        <v>45233</v>
      </c>
      <c r="B83" s="120" t="s">
        <v>6</v>
      </c>
      <c r="C83" s="75" t="s">
        <v>909</v>
      </c>
      <c r="D83" s="88">
        <v>366980</v>
      </c>
      <c r="E83" s="2"/>
      <c r="F83" s="2"/>
      <c r="G83" s="30"/>
      <c r="H83" s="2"/>
      <c r="I83" s="2"/>
      <c r="J83" s="2"/>
      <c r="K83" s="2"/>
      <c r="L83" s="41"/>
      <c r="M83" s="42"/>
      <c r="N83" s="2"/>
    </row>
    <row r="84" spans="1:14" s="70" customFormat="1" ht="12.75" customHeight="1" x14ac:dyDescent="0.2">
      <c r="A84" s="87">
        <v>45233</v>
      </c>
      <c r="B84" s="120" t="s">
        <v>6</v>
      </c>
      <c r="C84" s="75" t="s">
        <v>909</v>
      </c>
      <c r="D84" s="88">
        <v>30038</v>
      </c>
      <c r="E84" s="2"/>
      <c r="F84" s="2"/>
      <c r="G84" s="30"/>
      <c r="H84" s="2"/>
      <c r="I84" s="2"/>
      <c r="J84" s="2"/>
      <c r="K84" s="2"/>
      <c r="L84" s="41"/>
      <c r="M84" s="42"/>
      <c r="N84" s="2"/>
    </row>
    <row r="85" spans="1:14" s="70" customFormat="1" ht="12.75" customHeight="1" x14ac:dyDescent="0.2">
      <c r="A85" s="87">
        <v>45237</v>
      </c>
      <c r="B85" s="120" t="s">
        <v>6</v>
      </c>
      <c r="C85" s="75" t="s">
        <v>888</v>
      </c>
      <c r="D85" s="88">
        <v>14999721.949999999</v>
      </c>
      <c r="E85" s="2"/>
      <c r="F85" s="2"/>
      <c r="G85" s="30"/>
      <c r="H85" s="2"/>
      <c r="I85" s="2"/>
      <c r="J85" s="2"/>
      <c r="K85" s="2"/>
      <c r="L85" s="41"/>
      <c r="M85" s="42"/>
      <c r="N85" s="2"/>
    </row>
    <row r="86" spans="1:14" s="70" customFormat="1" ht="12.75" customHeight="1" x14ac:dyDescent="0.2">
      <c r="A86" s="87">
        <v>45238</v>
      </c>
      <c r="B86" s="120" t="s">
        <v>6</v>
      </c>
      <c r="C86" s="75" t="s">
        <v>606</v>
      </c>
      <c r="D86" s="88">
        <v>1098495</v>
      </c>
      <c r="E86" s="2"/>
      <c r="F86" s="2"/>
      <c r="G86" s="30"/>
      <c r="H86" s="2"/>
      <c r="I86" s="2"/>
      <c r="J86" s="2"/>
      <c r="K86" s="2"/>
      <c r="L86" s="41"/>
      <c r="M86" s="42"/>
      <c r="N86" s="2"/>
    </row>
    <row r="87" spans="1:14" s="70" customFormat="1" ht="12.75" customHeight="1" x14ac:dyDescent="0.2">
      <c r="A87" s="87">
        <v>45239</v>
      </c>
      <c r="B87" s="120" t="s">
        <v>6</v>
      </c>
      <c r="C87" s="75" t="s">
        <v>566</v>
      </c>
      <c r="D87" s="88">
        <f>183507+63254</f>
        <v>246761</v>
      </c>
      <c r="E87" s="2"/>
      <c r="F87" s="2"/>
      <c r="G87" s="30"/>
      <c r="H87" s="2"/>
      <c r="I87" s="2"/>
      <c r="J87" s="2"/>
      <c r="K87" s="2"/>
      <c r="L87" s="41"/>
      <c r="M87" s="42"/>
      <c r="N87" s="2"/>
    </row>
    <row r="88" spans="1:14" s="70" customFormat="1" ht="12.75" customHeight="1" x14ac:dyDescent="0.2">
      <c r="A88" s="87">
        <v>45240</v>
      </c>
      <c r="B88" s="120" t="s">
        <v>6</v>
      </c>
      <c r="C88" s="75" t="s">
        <v>767</v>
      </c>
      <c r="D88" s="88">
        <v>287037</v>
      </c>
      <c r="E88" s="2"/>
      <c r="F88" s="2"/>
      <c r="G88" s="30"/>
      <c r="H88" s="2"/>
      <c r="I88" s="2"/>
      <c r="J88" s="2"/>
      <c r="K88" s="2"/>
      <c r="L88" s="41"/>
      <c r="M88" s="42"/>
      <c r="N88" s="2"/>
    </row>
    <row r="89" spans="1:14" s="70" customFormat="1" ht="12.75" customHeight="1" x14ac:dyDescent="0.2">
      <c r="A89" s="87">
        <v>45240</v>
      </c>
      <c r="B89" s="120" t="s">
        <v>6</v>
      </c>
      <c r="C89" s="75" t="s">
        <v>1767</v>
      </c>
      <c r="D89" s="88">
        <v>1000000</v>
      </c>
      <c r="E89" s="2"/>
      <c r="F89" s="2"/>
      <c r="G89" s="30"/>
      <c r="H89" s="2"/>
      <c r="I89" s="2"/>
      <c r="J89" s="2"/>
      <c r="K89" s="2"/>
      <c r="L89" s="41"/>
      <c r="M89" s="42"/>
      <c r="N89" s="2"/>
    </row>
    <row r="90" spans="1:14" s="70" customFormat="1" ht="12.75" customHeight="1" x14ac:dyDescent="0.2">
      <c r="A90" s="87">
        <v>45248</v>
      </c>
      <c r="B90" s="120" t="s">
        <v>6</v>
      </c>
      <c r="C90" s="75" t="s">
        <v>1084</v>
      </c>
      <c r="D90" s="88">
        <v>5733144</v>
      </c>
      <c r="E90" s="2"/>
      <c r="F90" s="2"/>
      <c r="G90" s="30"/>
      <c r="H90" s="2"/>
      <c r="I90" s="2"/>
      <c r="J90" s="2"/>
      <c r="K90" s="2"/>
      <c r="L90" s="41"/>
      <c r="M90" s="42"/>
      <c r="N90" s="2"/>
    </row>
    <row r="91" spans="1:14" s="70" customFormat="1" ht="12.75" customHeight="1" x14ac:dyDescent="0.2">
      <c r="A91" s="87">
        <v>45251</v>
      </c>
      <c r="B91" s="120" t="s">
        <v>6</v>
      </c>
      <c r="C91" s="75" t="s">
        <v>1801</v>
      </c>
      <c r="D91" s="88">
        <v>29372</v>
      </c>
      <c r="E91" s="2"/>
      <c r="F91" s="2"/>
      <c r="G91" s="30"/>
      <c r="H91" s="2"/>
      <c r="I91" s="2"/>
      <c r="J91" s="2"/>
      <c r="K91" s="2"/>
      <c r="L91" s="41"/>
      <c r="M91" s="42"/>
      <c r="N91" s="2"/>
    </row>
    <row r="92" spans="1:14" s="70" customFormat="1" ht="12.75" customHeight="1" x14ac:dyDescent="0.2">
      <c r="A92" s="87">
        <v>45252</v>
      </c>
      <c r="B92" s="120" t="s">
        <v>6</v>
      </c>
      <c r="C92" s="75" t="s">
        <v>909</v>
      </c>
      <c r="D92" s="88">
        <v>1380738</v>
      </c>
      <c r="E92" s="2"/>
      <c r="F92" s="2"/>
      <c r="G92" s="30"/>
      <c r="H92" s="2"/>
      <c r="I92" s="2"/>
      <c r="J92" s="2"/>
      <c r="K92" s="2"/>
      <c r="L92" s="41"/>
      <c r="M92" s="42"/>
      <c r="N92" s="2"/>
    </row>
    <row r="93" spans="1:14" s="70" customFormat="1" ht="12.75" customHeight="1" x14ac:dyDescent="0.2">
      <c r="A93" s="87">
        <v>45252</v>
      </c>
      <c r="B93" s="120" t="s">
        <v>6</v>
      </c>
      <c r="C93" s="75" t="s">
        <v>909</v>
      </c>
      <c r="D93" s="88">
        <v>4316660</v>
      </c>
      <c r="E93" s="2"/>
      <c r="F93" s="2"/>
      <c r="G93" s="30"/>
      <c r="H93" s="2"/>
      <c r="I93" s="2"/>
      <c r="J93" s="2"/>
      <c r="K93" s="2"/>
      <c r="L93" s="41"/>
      <c r="M93" s="42"/>
      <c r="N93" s="2"/>
    </row>
    <row r="94" spans="1:14" s="70" customFormat="1" ht="12.75" customHeight="1" x14ac:dyDescent="0.2">
      <c r="A94" s="87">
        <v>45254</v>
      </c>
      <c r="B94" s="120" t="s">
        <v>6</v>
      </c>
      <c r="C94" s="75" t="s">
        <v>1806</v>
      </c>
      <c r="D94" s="88">
        <v>4146289</v>
      </c>
      <c r="E94" s="2"/>
      <c r="F94" s="2"/>
      <c r="G94" s="30"/>
      <c r="H94" s="2"/>
      <c r="I94" s="2"/>
      <c r="J94" s="2"/>
      <c r="K94" s="2"/>
      <c r="L94" s="41"/>
      <c r="M94" s="42"/>
      <c r="N94" s="2"/>
    </row>
    <row r="95" spans="1:14" s="70" customFormat="1" ht="12.75" customHeight="1" x14ac:dyDescent="0.2">
      <c r="A95" s="87">
        <v>45257</v>
      </c>
      <c r="B95" s="120" t="s">
        <v>6</v>
      </c>
      <c r="C95" s="75" t="s">
        <v>888</v>
      </c>
      <c r="D95" s="88">
        <v>2109308</v>
      </c>
      <c r="E95" s="2"/>
      <c r="F95" s="2"/>
      <c r="G95" s="30"/>
      <c r="H95" s="2"/>
      <c r="I95" s="2"/>
      <c r="J95" s="2"/>
      <c r="K95" s="2"/>
      <c r="L95" s="41"/>
      <c r="M95" s="42"/>
      <c r="N95" s="2"/>
    </row>
    <row r="96" spans="1:14" s="70" customFormat="1" ht="12.75" customHeight="1" x14ac:dyDescent="0.2">
      <c r="A96" s="87">
        <v>45258</v>
      </c>
      <c r="B96" s="120" t="s">
        <v>6</v>
      </c>
      <c r="C96" s="75" t="s">
        <v>566</v>
      </c>
      <c r="D96" s="88">
        <v>554230</v>
      </c>
      <c r="E96" s="2"/>
      <c r="F96" s="2"/>
      <c r="G96" s="30"/>
      <c r="H96" s="2"/>
      <c r="I96" s="2"/>
      <c r="J96" s="2"/>
      <c r="K96" s="2"/>
      <c r="L96" s="41"/>
      <c r="M96" s="42"/>
      <c r="N96" s="2"/>
    </row>
    <row r="97" spans="1:14" s="70" customFormat="1" ht="12.75" customHeight="1" x14ac:dyDescent="0.2">
      <c r="A97" s="87">
        <v>45258</v>
      </c>
      <c r="B97" s="120" t="s">
        <v>6</v>
      </c>
      <c r="C97" s="75" t="s">
        <v>566</v>
      </c>
      <c r="D97" s="88">
        <v>738939</v>
      </c>
      <c r="E97" s="2"/>
      <c r="F97" s="2"/>
      <c r="G97" s="30"/>
      <c r="H97" s="2"/>
      <c r="I97" s="2"/>
      <c r="J97" s="2"/>
      <c r="K97" s="2"/>
      <c r="L97" s="41"/>
      <c r="M97" s="42"/>
      <c r="N97" s="2"/>
    </row>
    <row r="98" spans="1:14" s="2" customFormat="1" x14ac:dyDescent="0.2">
      <c r="A98" s="87"/>
      <c r="B98" s="74"/>
      <c r="C98" s="75"/>
      <c r="D98" s="51">
        <f>SUM(D80:D97)</f>
        <v>39439061.950000003</v>
      </c>
      <c r="F98" s="2" t="s">
        <v>396</v>
      </c>
      <c r="G98" s="1"/>
    </row>
    <row r="99" spans="1:14" s="2" customFormat="1" x14ac:dyDescent="0.2">
      <c r="A99" s="24"/>
      <c r="B99" s="1"/>
      <c r="C99" s="14"/>
      <c r="D99" s="56"/>
      <c r="E99" s="13"/>
      <c r="G99" s="1"/>
    </row>
    <row r="100" spans="1:14" s="2" customFormat="1" x14ac:dyDescent="0.2">
      <c r="A100" s="24"/>
      <c r="B100" s="1"/>
      <c r="C100" s="218" t="s">
        <v>77</v>
      </c>
      <c r="D100" s="219"/>
      <c r="E100" s="219"/>
      <c r="F100" s="220"/>
      <c r="H100" s="2" t="s">
        <v>396</v>
      </c>
    </row>
    <row r="101" spans="1:14" s="2" customFormat="1" x14ac:dyDescent="0.2">
      <c r="A101" s="24"/>
      <c r="B101" s="1"/>
      <c r="C101" s="50"/>
      <c r="D101" s="57" t="s">
        <v>78</v>
      </c>
      <c r="E101" s="58" t="s">
        <v>79</v>
      </c>
      <c r="F101" s="57" t="s">
        <v>72</v>
      </c>
      <c r="H101" s="2" t="s">
        <v>396</v>
      </c>
    </row>
    <row r="102" spans="1:14" s="2" customFormat="1" x14ac:dyDescent="0.2">
      <c r="A102" s="24"/>
      <c r="B102" s="1"/>
      <c r="C102" s="59" t="str">
        <f>"01-11-2023 to "&amp;TEXT(A5-2,"dd-mm-yyyy")</f>
        <v>01-11-2023 to 26-11-2023</v>
      </c>
      <c r="D102" s="60">
        <v>1904.25</v>
      </c>
      <c r="E102" s="60">
        <v>418.5</v>
      </c>
      <c r="F102" s="61">
        <f>SUM(D102:E102)</f>
        <v>2322.75</v>
      </c>
    </row>
    <row r="103" spans="1:14" s="2" customFormat="1" x14ac:dyDescent="0.2">
      <c r="A103" s="24"/>
      <c r="B103" s="1"/>
      <c r="C103" s="62" t="str">
        <f>TEXT(A5-1,"dd-mm-yyyy")</f>
        <v>27-11-2023</v>
      </c>
      <c r="D103" s="60">
        <v>53.06</v>
      </c>
      <c r="E103" s="60">
        <v>41.99</v>
      </c>
      <c r="F103" s="61">
        <f>SUM(D103:E103)</f>
        <v>95.050000000000011</v>
      </c>
      <c r="G103" s="1"/>
      <c r="H103" s="53"/>
    </row>
    <row r="104" spans="1:14" s="2" customFormat="1" ht="13.5" thickBot="1" x14ac:dyDescent="0.25">
      <c r="A104" s="24"/>
      <c r="B104" s="1"/>
      <c r="C104" s="63" t="str">
        <f>"01-11-2023 to "&amp;TEXT(A5-1,"dd-mm-yyyy")</f>
        <v>01-11-2023 to 27-11-2023</v>
      </c>
      <c r="D104" s="64">
        <f>SUM(D102:D103)</f>
        <v>1957.31</v>
      </c>
      <c r="E104" s="64">
        <f>SUM(E102:E103)</f>
        <v>460.49</v>
      </c>
      <c r="F104" s="64">
        <f>SUM(F102:F103)</f>
        <v>2417.8000000000002</v>
      </c>
      <c r="G104" s="1"/>
      <c r="H104" s="53"/>
    </row>
    <row r="105" spans="1:14" s="2" customFormat="1" ht="13.5" thickTop="1" x14ac:dyDescent="0.2">
      <c r="A105" s="24"/>
      <c r="B105" s="1"/>
      <c r="C105" s="62"/>
      <c r="D105" s="65"/>
      <c r="E105" s="66"/>
      <c r="F105" s="67"/>
      <c r="L105" s="1"/>
      <c r="M105" s="1"/>
    </row>
    <row r="106" spans="1:14" s="2" customFormat="1" x14ac:dyDescent="0.2">
      <c r="A106" s="24"/>
      <c r="B106" s="1"/>
      <c r="C106" s="62" t="str">
        <f>"01-04-2023 to " &amp;C103</f>
        <v>01-04-2023 to 27-11-2023</v>
      </c>
      <c r="D106" s="68">
        <f>+D104+29859.78</f>
        <v>31817.09</v>
      </c>
      <c r="E106" s="68">
        <f>+E104+2548.34</f>
        <v>3008.83</v>
      </c>
      <c r="F106" s="68">
        <f>+F104+32408.1</f>
        <v>34825.9</v>
      </c>
      <c r="G106" s="1"/>
      <c r="L106" s="1"/>
      <c r="M106" s="1"/>
    </row>
    <row r="107" spans="1:14" s="2" customFormat="1" x14ac:dyDescent="0.2">
      <c r="A107" s="24"/>
      <c r="B107" s="1"/>
      <c r="C107" s="52"/>
      <c r="D107" s="85"/>
      <c r="E107" s="53"/>
      <c r="F107" s="53"/>
      <c r="G107" s="1"/>
      <c r="L107" s="1"/>
      <c r="M107" s="1"/>
    </row>
    <row r="108" spans="1:14" s="2" customFormat="1" x14ac:dyDescent="0.2">
      <c r="A108" s="24"/>
      <c r="B108" s="1"/>
      <c r="C108" s="52"/>
      <c r="D108" s="85"/>
      <c r="E108" s="53"/>
      <c r="F108" s="53"/>
      <c r="G108" s="1"/>
      <c r="L108" s="1"/>
      <c r="M108" s="1"/>
    </row>
    <row r="109" spans="1:14" s="2" customFormat="1" x14ac:dyDescent="0.2">
      <c r="A109" s="24"/>
      <c r="B109" s="1"/>
      <c r="C109" s="52"/>
      <c r="D109" s="85"/>
      <c r="E109" s="53"/>
      <c r="F109" s="53"/>
      <c r="G109" s="1"/>
      <c r="L109" s="1"/>
      <c r="M109" s="1"/>
    </row>
    <row r="110" spans="1:14" s="2" customFormat="1" x14ac:dyDescent="0.2">
      <c r="A110" s="24"/>
      <c r="B110" s="1"/>
      <c r="C110" s="52"/>
      <c r="D110" s="85"/>
      <c r="E110" s="53"/>
      <c r="F110" s="53"/>
      <c r="G110" s="1"/>
      <c r="L110" s="1"/>
      <c r="M110" s="1"/>
    </row>
    <row r="111" spans="1:14" s="2" customFormat="1" x14ac:dyDescent="0.2">
      <c r="A111" s="24"/>
      <c r="B111" s="1"/>
      <c r="C111" s="14"/>
      <c r="D111" s="25">
        <f>SUM(D108:D110)</f>
        <v>0</v>
      </c>
      <c r="E111" s="2">
        <f>SUM(E108:E110)</f>
        <v>0</v>
      </c>
      <c r="G111" s="1"/>
      <c r="L111" s="1"/>
      <c r="M111" s="1"/>
    </row>
    <row r="112" spans="1:14" s="2" customFormat="1" x14ac:dyDescent="0.2">
      <c r="A112" s="24"/>
      <c r="B112" s="1"/>
      <c r="C112" s="14"/>
      <c r="D112" s="25"/>
      <c r="G112" s="1"/>
      <c r="L112" s="1"/>
      <c r="M112" s="1"/>
    </row>
    <row r="113" spans="1:13" s="2" customFormat="1" x14ac:dyDescent="0.2">
      <c r="A113" s="24"/>
      <c r="B113" s="1"/>
      <c r="C113" s="14"/>
      <c r="D113" s="25"/>
      <c r="G113" s="1"/>
      <c r="L113" s="1"/>
      <c r="M113" s="1"/>
    </row>
    <row r="114" spans="1:13" s="2" customFormat="1" x14ac:dyDescent="0.2">
      <c r="A114" s="24"/>
      <c r="B114" s="1"/>
      <c r="C114" s="14"/>
      <c r="D114" s="25"/>
      <c r="G114" s="1"/>
      <c r="L114" s="1"/>
      <c r="M114" s="1"/>
    </row>
    <row r="115" spans="1:13" s="2" customFormat="1" x14ac:dyDescent="0.2">
      <c r="A115" s="24"/>
      <c r="B115" s="1"/>
      <c r="C115" s="14"/>
      <c r="D115" s="25"/>
      <c r="G115" s="1"/>
      <c r="L115" s="1"/>
      <c r="M115" s="1"/>
    </row>
    <row r="116" spans="1:13" s="2" customFormat="1" x14ac:dyDescent="0.2">
      <c r="A116" s="24"/>
      <c r="B116" s="1"/>
      <c r="C116" s="14"/>
      <c r="D116" s="25"/>
      <c r="G116" s="1"/>
      <c r="L116" s="1"/>
      <c r="M116" s="1"/>
    </row>
    <row r="117" spans="1:13" s="2" customFormat="1" x14ac:dyDescent="0.2">
      <c r="A117" s="24"/>
      <c r="B117" s="1"/>
      <c r="C117" s="14"/>
      <c r="D117" s="25"/>
      <c r="G117" s="1"/>
      <c r="L117" s="1"/>
      <c r="M117" s="1"/>
    </row>
    <row r="118" spans="1:13" s="2" customFormat="1" x14ac:dyDescent="0.2">
      <c r="A118" s="24"/>
      <c r="B118" s="1"/>
      <c r="C118" s="14"/>
      <c r="D118" s="25"/>
      <c r="G118" s="1"/>
      <c r="L118" s="1"/>
      <c r="M118" s="1"/>
    </row>
    <row r="119" spans="1:13" s="2" customFormat="1" x14ac:dyDescent="0.2">
      <c r="A119" s="24"/>
      <c r="B119" s="1"/>
      <c r="C119" s="14"/>
      <c r="D119" s="25"/>
      <c r="G119" s="1"/>
      <c r="L119" s="1"/>
      <c r="M119" s="1"/>
    </row>
    <row r="120" spans="1:13" s="2" customFormat="1" x14ac:dyDescent="0.2">
      <c r="A120" s="24"/>
      <c r="B120" s="1"/>
      <c r="C120" s="14"/>
      <c r="D120" s="25"/>
      <c r="G120" s="1"/>
      <c r="L120" s="1"/>
      <c r="M120" s="1"/>
    </row>
    <row r="121" spans="1:13" s="2" customFormat="1" x14ac:dyDescent="0.2">
      <c r="A121" s="24"/>
      <c r="B121" s="1"/>
      <c r="C121" s="14"/>
      <c r="D121" s="25"/>
      <c r="G121" s="1"/>
      <c r="L121" s="1"/>
      <c r="M121" s="1"/>
    </row>
    <row r="122" spans="1:13" s="2" customFormat="1" x14ac:dyDescent="0.2">
      <c r="A122" s="24"/>
      <c r="B122" s="1"/>
      <c r="C122" s="14"/>
      <c r="D122" s="25"/>
      <c r="G122" s="1"/>
      <c r="L122" s="1"/>
      <c r="M122" s="1"/>
    </row>
    <row r="123" spans="1:13" s="2" customFormat="1" x14ac:dyDescent="0.2">
      <c r="A123" s="24"/>
      <c r="B123" s="1"/>
      <c r="C123" s="14"/>
      <c r="D123" s="25"/>
      <c r="G123" s="1"/>
      <c r="L123" s="1"/>
      <c r="M123" s="1"/>
    </row>
    <row r="124" spans="1:13" s="2" customFormat="1" x14ac:dyDescent="0.2">
      <c r="A124" s="24"/>
      <c r="B124" s="1"/>
      <c r="C124" s="14"/>
      <c r="D124" s="25"/>
      <c r="G124" s="1"/>
      <c r="L124" s="1"/>
      <c r="M124" s="1"/>
    </row>
    <row r="125" spans="1:13" s="2" customFormat="1" x14ac:dyDescent="0.2">
      <c r="A125" s="24"/>
      <c r="B125" s="1"/>
      <c r="C125" s="14"/>
      <c r="D125" s="25"/>
      <c r="G125" s="1"/>
      <c r="I125" s="1"/>
      <c r="J125" s="1"/>
      <c r="K125" s="1"/>
      <c r="L125" s="1"/>
      <c r="M125" s="1"/>
    </row>
    <row r="126" spans="1:13" s="2" customFormat="1" x14ac:dyDescent="0.2">
      <c r="A126" s="24"/>
      <c r="B126" s="1"/>
      <c r="C126" s="14"/>
      <c r="D126" s="25"/>
      <c r="G126" s="1"/>
    </row>
    <row r="127" spans="1:13" s="2" customFormat="1" x14ac:dyDescent="0.2">
      <c r="A127" s="24"/>
      <c r="B127" s="1"/>
      <c r="C127" s="14"/>
      <c r="D127" s="25"/>
      <c r="G127" s="1"/>
      <c r="I127" s="1"/>
      <c r="J127" s="1"/>
      <c r="K127" s="1"/>
      <c r="L127" s="1"/>
      <c r="M127" s="1"/>
    </row>
    <row r="128" spans="1:13" s="2" customFormat="1" x14ac:dyDescent="0.2">
      <c r="A128" s="24"/>
      <c r="B128" s="1"/>
      <c r="C128" s="14"/>
      <c r="D128" s="25"/>
      <c r="G128" s="54"/>
      <c r="I128" s="1"/>
      <c r="J128" s="1"/>
      <c r="K128" s="1"/>
      <c r="L128" s="1"/>
      <c r="M128" s="1"/>
    </row>
    <row r="129" spans="1:14" s="2" customFormat="1" x14ac:dyDescent="0.2">
      <c r="A129" s="24"/>
      <c r="B129" s="1"/>
      <c r="C129" s="14"/>
      <c r="D129" s="25"/>
      <c r="G129" s="54"/>
      <c r="I129" s="1"/>
      <c r="J129" s="1"/>
      <c r="K129" s="1"/>
      <c r="L129" s="1"/>
      <c r="M129" s="1"/>
    </row>
    <row r="130" spans="1:14" s="2" customFormat="1" x14ac:dyDescent="0.2">
      <c r="A130" s="24"/>
      <c r="B130" s="1"/>
      <c r="C130" s="14"/>
      <c r="D130" s="25"/>
      <c r="G130" s="54"/>
      <c r="I130" s="1"/>
      <c r="J130" s="1"/>
      <c r="K130" s="1"/>
      <c r="L130" s="1"/>
      <c r="M130" s="1"/>
    </row>
    <row r="131" spans="1:14" s="2" customFormat="1" x14ac:dyDescent="0.2">
      <c r="A131" s="24"/>
      <c r="B131" s="1"/>
      <c r="C131" s="14"/>
      <c r="D131" s="25"/>
      <c r="G131" s="54"/>
      <c r="H131" s="2" t="s">
        <v>396</v>
      </c>
      <c r="I131" s="1"/>
      <c r="J131" s="1"/>
      <c r="K131" s="1"/>
      <c r="L131" s="1"/>
      <c r="M131" s="1"/>
      <c r="N131" s="1"/>
    </row>
    <row r="132" spans="1:14" s="2" customFormat="1" x14ac:dyDescent="0.2">
      <c r="A132" s="24"/>
      <c r="B132" s="1"/>
      <c r="C132" s="14"/>
      <c r="D132" s="25"/>
      <c r="G132" s="54"/>
      <c r="H132" s="53"/>
    </row>
    <row r="133" spans="1:14" s="2" customFormat="1" x14ac:dyDescent="0.2">
      <c r="A133" s="24"/>
      <c r="B133" s="1"/>
      <c r="C133" s="14"/>
      <c r="D133" s="25"/>
      <c r="G133" s="54"/>
      <c r="H133" s="53" t="s">
        <v>396</v>
      </c>
      <c r="I133" s="1"/>
      <c r="J133" s="1"/>
      <c r="K133" s="1"/>
      <c r="L133" s="1"/>
      <c r="M133" s="1"/>
      <c r="N133" s="1"/>
    </row>
    <row r="134" spans="1:14" x14ac:dyDescent="0.2">
      <c r="G134" s="54"/>
      <c r="H134" s="53" t="s">
        <v>396</v>
      </c>
      <c r="J134" s="42"/>
    </row>
    <row r="135" spans="1:14" s="2" customFormat="1" x14ac:dyDescent="0.2">
      <c r="A135" s="24"/>
      <c r="B135" s="1"/>
      <c r="C135" s="14"/>
      <c r="D135" s="25"/>
      <c r="G135" s="54"/>
      <c r="H135" s="53"/>
      <c r="I135" s="101"/>
      <c r="J135" s="1"/>
      <c r="K135" s="1"/>
      <c r="L135" s="1"/>
      <c r="M135" s="1"/>
      <c r="N135" s="1"/>
    </row>
    <row r="136" spans="1:14" x14ac:dyDescent="0.2">
      <c r="G136" s="54"/>
      <c r="H136" s="53"/>
    </row>
    <row r="137" spans="1:14" x14ac:dyDescent="0.2">
      <c r="G137" s="54"/>
      <c r="H137" s="53"/>
    </row>
    <row r="138" spans="1:14" x14ac:dyDescent="0.2">
      <c r="G138" s="54"/>
      <c r="H138" s="53"/>
    </row>
  </sheetData>
  <sheetProtection insertRows="0"/>
  <mergeCells count="6">
    <mergeCell ref="C100:F100"/>
    <mergeCell ref="A1:G1"/>
    <mergeCell ref="A3:F3"/>
    <mergeCell ref="A9:F9"/>
    <mergeCell ref="A18:F18"/>
    <mergeCell ref="A78:D78"/>
  </mergeCells>
  <conditionalFormatting sqref="G75:G76">
    <cfRule type="cellIs" dxfId="203" priority="1" operator="lessThan">
      <formula>0</formula>
    </cfRule>
  </conditionalFormatting>
  <conditionalFormatting sqref="C20">
    <cfRule type="duplicateValues" dxfId="202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D00-000000000000}">
  <sheetPr codeName="Sheet485">
    <pageSetUpPr fitToPage="1"/>
  </sheetPr>
  <dimension ref="A1:N154"/>
  <sheetViews>
    <sheetView topLeftCell="A38" zoomScaleNormal="100" workbookViewId="0">
      <selection activeCell="E49" sqref="E49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1" ht="20.25" customHeight="1" x14ac:dyDescent="0.4">
      <c r="A1" s="212" t="s">
        <v>1818</v>
      </c>
      <c r="B1" s="212"/>
      <c r="C1" s="212"/>
      <c r="D1" s="212"/>
      <c r="E1" s="212"/>
      <c r="F1" s="212"/>
      <c r="G1" s="212"/>
      <c r="H1" s="112"/>
      <c r="I1" s="112"/>
    </row>
    <row r="2" spans="1:11" ht="12.75" customHeight="1" x14ac:dyDescent="0.4">
      <c r="H2" s="112"/>
      <c r="I2" s="112"/>
    </row>
    <row r="3" spans="1:11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1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1" s="2" customFormat="1" ht="14.25" customHeight="1" x14ac:dyDescent="0.4">
      <c r="A5" s="89">
        <v>45259</v>
      </c>
      <c r="B5" s="9" t="s">
        <v>6</v>
      </c>
      <c r="C5" s="10" t="s">
        <v>7</v>
      </c>
      <c r="D5" s="11"/>
      <c r="E5" s="12">
        <v>700315.42</v>
      </c>
      <c r="F5" s="12"/>
      <c r="G5" s="1"/>
      <c r="H5" s="112"/>
      <c r="I5" s="112"/>
    </row>
    <row r="6" spans="1:11" s="2" customFormat="1" ht="12.75" customHeight="1" x14ac:dyDescent="0.2">
      <c r="D6" s="15" t="s">
        <v>8</v>
      </c>
      <c r="E6" s="16">
        <f>SUM(E5:E5)</f>
        <v>700315.42</v>
      </c>
      <c r="F6" s="16">
        <f>+F5</f>
        <v>0</v>
      </c>
      <c r="G6" s="1"/>
      <c r="H6" s="13" t="s">
        <v>1582</v>
      </c>
      <c r="I6" s="13" t="s">
        <v>1583</v>
      </c>
    </row>
    <row r="7" spans="1:11" s="2" customFormat="1" ht="12.75" customHeight="1" x14ac:dyDescent="0.2">
      <c r="A7" s="17"/>
      <c r="B7" s="18"/>
      <c r="C7" s="19" t="s">
        <v>9</v>
      </c>
      <c r="D7" s="20"/>
      <c r="E7" s="21">
        <f>+E6-F6</f>
        <v>700315.42</v>
      </c>
      <c r="F7" s="22"/>
      <c r="G7" s="23"/>
      <c r="H7" s="2">
        <v>41816</v>
      </c>
      <c r="I7" s="2">
        <v>0</v>
      </c>
      <c r="J7" s="176">
        <f>H7-I7</f>
        <v>41816</v>
      </c>
    </row>
    <row r="8" spans="1:11" ht="12.75" customHeight="1" x14ac:dyDescent="0.4">
      <c r="H8" s="112"/>
      <c r="I8" s="112"/>
    </row>
    <row r="9" spans="1:11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69">
        <f>90000000-60000000</f>
        <v>30000000</v>
      </c>
      <c r="J9" s="169" t="s">
        <v>1508</v>
      </c>
    </row>
    <row r="10" spans="1:11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69">
        <v>25337125.629999999</v>
      </c>
      <c r="J10" s="169" t="s">
        <v>1509</v>
      </c>
      <c r="K10" s="124"/>
    </row>
    <row r="11" spans="1:11" s="2" customFormat="1" ht="14.25" customHeight="1" x14ac:dyDescent="0.2">
      <c r="A11" s="89">
        <v>45259</v>
      </c>
      <c r="B11" s="9" t="s">
        <v>6</v>
      </c>
      <c r="C11" s="10" t="s">
        <v>7</v>
      </c>
      <c r="D11" s="11"/>
      <c r="F11" s="12">
        <v>29970500</v>
      </c>
      <c r="G11" s="1"/>
      <c r="H11" s="130" t="s">
        <v>396</v>
      </c>
      <c r="I11" s="169">
        <f>+I9-I10</f>
        <v>4662874.370000001</v>
      </c>
      <c r="J11" s="169" t="s">
        <v>712</v>
      </c>
      <c r="K11" s="165" t="s">
        <v>1512</v>
      </c>
    </row>
    <row r="12" spans="1:11" s="2" customFormat="1" ht="14.25" customHeight="1" x14ac:dyDescent="0.2">
      <c r="A12" s="89">
        <v>45259</v>
      </c>
      <c r="B12" s="9" t="s">
        <v>6</v>
      </c>
      <c r="C12" s="10" t="s">
        <v>1819</v>
      </c>
      <c r="D12" s="11" t="s">
        <v>13</v>
      </c>
      <c r="E12" s="2">
        <v>4817260.37</v>
      </c>
      <c r="F12" s="12"/>
      <c r="G12" s="1"/>
      <c r="H12" s="130"/>
      <c r="I12" s="169"/>
      <c r="J12" s="169"/>
      <c r="K12" s="165"/>
    </row>
    <row r="13" spans="1:11" s="2" customFormat="1" ht="14.25" customHeight="1" x14ac:dyDescent="0.2">
      <c r="A13" s="89">
        <v>45259</v>
      </c>
      <c r="B13" s="9" t="s">
        <v>6</v>
      </c>
      <c r="C13" s="10" t="s">
        <v>310</v>
      </c>
      <c r="D13" s="11" t="s">
        <v>13</v>
      </c>
      <c r="E13" s="2">
        <v>41816</v>
      </c>
      <c r="F13" s="12"/>
      <c r="G13" s="1"/>
      <c r="H13" s="130"/>
      <c r="I13" s="169"/>
      <c r="J13" s="169"/>
      <c r="K13" s="165"/>
    </row>
    <row r="14" spans="1:11" s="2" customFormat="1" ht="14.25" customHeight="1" x14ac:dyDescent="0.2">
      <c r="A14" s="89">
        <v>45259</v>
      </c>
      <c r="B14" s="9" t="s">
        <v>6</v>
      </c>
      <c r="C14" s="10" t="s">
        <v>1137</v>
      </c>
      <c r="D14" s="11" t="s">
        <v>13</v>
      </c>
      <c r="E14" s="2">
        <v>6591</v>
      </c>
      <c r="F14" s="12"/>
      <c r="G14" s="1"/>
      <c r="H14" s="130"/>
      <c r="I14" s="169"/>
      <c r="J14" s="169"/>
      <c r="K14" s="165"/>
    </row>
    <row r="15" spans="1:11" s="2" customFormat="1" ht="14.25" customHeight="1" x14ac:dyDescent="0.2">
      <c r="A15" s="89">
        <v>45259</v>
      </c>
      <c r="B15" s="9" t="s">
        <v>11</v>
      </c>
      <c r="C15" s="10" t="s">
        <v>64</v>
      </c>
      <c r="D15" s="11" t="s">
        <v>29</v>
      </c>
      <c r="F15" s="12">
        <v>29500</v>
      </c>
      <c r="G15" s="1"/>
      <c r="H15" s="130"/>
      <c r="I15" s="169"/>
      <c r="J15" s="169"/>
      <c r="K15" s="165"/>
    </row>
    <row r="16" spans="1:11" s="2" customFormat="1" ht="14.25" customHeight="1" x14ac:dyDescent="0.2">
      <c r="A16" s="89">
        <v>45259</v>
      </c>
      <c r="B16" s="9" t="s">
        <v>11</v>
      </c>
      <c r="C16" s="10" t="s">
        <v>1137</v>
      </c>
      <c r="D16" s="11" t="s">
        <v>29</v>
      </c>
      <c r="F16" s="12">
        <v>45</v>
      </c>
      <c r="G16" s="1"/>
      <c r="H16" s="130"/>
      <c r="I16" s="169"/>
      <c r="J16" s="169"/>
      <c r="K16" s="165"/>
    </row>
    <row r="17" spans="1:14" s="2" customFormat="1" ht="14.25" customHeight="1" x14ac:dyDescent="0.2">
      <c r="A17" s="89">
        <v>45259</v>
      </c>
      <c r="B17" s="9" t="s">
        <v>11</v>
      </c>
      <c r="C17" s="10" t="s">
        <v>1462</v>
      </c>
      <c r="D17" s="11" t="s">
        <v>29</v>
      </c>
      <c r="F17" s="12">
        <v>160932</v>
      </c>
      <c r="G17" s="1"/>
      <c r="H17" s="130"/>
      <c r="I17" s="169"/>
      <c r="J17" s="169"/>
      <c r="K17" s="165"/>
    </row>
    <row r="18" spans="1:14" s="2" customFormat="1" ht="14.25" customHeight="1" x14ac:dyDescent="0.2">
      <c r="D18" s="11" t="s">
        <v>8</v>
      </c>
      <c r="E18" s="16">
        <f>SUM(E12:E17)</f>
        <v>4865667.37</v>
      </c>
      <c r="F18" s="16">
        <f>SUM(F11:F17)</f>
        <v>30160977</v>
      </c>
      <c r="G18" s="1"/>
      <c r="H18" s="143"/>
      <c r="I18" s="130"/>
      <c r="J18" s="143"/>
      <c r="K18" s="143"/>
      <c r="L18" s="143"/>
      <c r="M18" s="143"/>
    </row>
    <row r="19" spans="1:14" s="2" customFormat="1" ht="14.25" customHeight="1" x14ac:dyDescent="0.4">
      <c r="A19" s="17"/>
      <c r="B19" s="18"/>
      <c r="C19" s="96" t="s">
        <v>9</v>
      </c>
      <c r="D19" s="20"/>
      <c r="E19" s="21">
        <f>+F18-E18</f>
        <v>25295309.629999999</v>
      </c>
      <c r="G19" s="1"/>
      <c r="I19" s="112"/>
      <c r="J19" s="153" t="s">
        <v>779</v>
      </c>
    </row>
    <row r="20" spans="1:14" s="2" customFormat="1" ht="14.25" customHeight="1" x14ac:dyDescent="0.2">
      <c r="A20" s="36"/>
      <c r="B20" s="28" t="s">
        <v>66</v>
      </c>
      <c r="C20" s="43" t="s">
        <v>1458</v>
      </c>
      <c r="D20" s="43"/>
      <c r="E20" s="12">
        <f>30000000+60000000</f>
        <v>90000000</v>
      </c>
      <c r="F20" s="22"/>
      <c r="G20" s="1"/>
      <c r="I20" s="40">
        <v>29970500</v>
      </c>
      <c r="J20" s="154">
        <f>I20-E19</f>
        <v>4675190.370000001</v>
      </c>
    </row>
    <row r="21" spans="1:14" s="2" customFormat="1" ht="14.25" customHeight="1" x14ac:dyDescent="0.25">
      <c r="A21" s="36"/>
      <c r="B21" s="28"/>
      <c r="C21" s="44" t="s">
        <v>1541</v>
      </c>
      <c r="D21" s="43"/>
      <c r="E21" s="7">
        <f>+E19+E20</f>
        <v>115295309.63</v>
      </c>
      <c r="F21" s="22"/>
      <c r="G21" s="1"/>
      <c r="H21" s="13" t="s">
        <v>1582</v>
      </c>
      <c r="I21" s="13" t="s">
        <v>1583</v>
      </c>
    </row>
    <row r="22" spans="1:14" s="2" customFormat="1" ht="14.25" customHeight="1" x14ac:dyDescent="0.25">
      <c r="A22" s="36"/>
      <c r="B22" s="28"/>
      <c r="C22" s="44" t="s">
        <v>1511</v>
      </c>
      <c r="D22" s="43"/>
      <c r="E22" s="38">
        <f>+I11+H7-I7</f>
        <v>4704690.370000001</v>
      </c>
      <c r="F22" s="22"/>
      <c r="G22" s="1"/>
      <c r="H22" s="2">
        <v>3330875</v>
      </c>
      <c r="I22" s="2">
        <v>1416243.56</v>
      </c>
      <c r="J22" s="176">
        <f>H22-I22</f>
        <v>1914631.44</v>
      </c>
    </row>
    <row r="23" spans="1:14" s="2" customFormat="1" ht="14.25" customHeight="1" x14ac:dyDescent="0.2">
      <c r="A23" s="24"/>
      <c r="B23" s="1"/>
      <c r="C23" s="14"/>
      <c r="D23" s="25"/>
      <c r="G23" s="1"/>
      <c r="I23" s="130"/>
      <c r="J23" s="130"/>
    </row>
    <row r="24" spans="1:14" s="2" customFormat="1" x14ac:dyDescent="0.2">
      <c r="A24" s="214" t="s">
        <v>10</v>
      </c>
      <c r="B24" s="214"/>
      <c r="C24" s="214"/>
      <c r="D24" s="214"/>
      <c r="E24" s="214"/>
      <c r="F24" s="214"/>
      <c r="G24" s="1"/>
      <c r="H24" s="159"/>
      <c r="I24" s="160">
        <f>225000000-75000000-50000000</f>
        <v>100000000</v>
      </c>
      <c r="J24" s="160" t="s">
        <v>1506</v>
      </c>
      <c r="K24" s="70"/>
    </row>
    <row r="25" spans="1:14" s="2" customFormat="1" x14ac:dyDescent="0.2">
      <c r="A25" s="26" t="s">
        <v>1</v>
      </c>
      <c r="B25" s="27" t="s">
        <v>2</v>
      </c>
      <c r="C25" s="5"/>
      <c r="D25" s="6" t="s">
        <v>3</v>
      </c>
      <c r="E25" s="7" t="s">
        <v>4</v>
      </c>
      <c r="F25" s="7" t="s">
        <v>5</v>
      </c>
      <c r="G25" s="1"/>
      <c r="H25" s="159"/>
      <c r="I25" s="160">
        <v>60711643.149999999</v>
      </c>
      <c r="J25" s="160" t="s">
        <v>1507</v>
      </c>
      <c r="K25" s="70" t="s">
        <v>1512</v>
      </c>
    </row>
    <row r="26" spans="1:14" s="2" customFormat="1" x14ac:dyDescent="0.2">
      <c r="A26" s="89">
        <v>45259</v>
      </c>
      <c r="B26" s="128" t="s">
        <v>11</v>
      </c>
      <c r="C26" s="29" t="s">
        <v>7</v>
      </c>
      <c r="D26" s="25"/>
      <c r="E26" s="31"/>
      <c r="F26" s="2">
        <v>63504573.910000026</v>
      </c>
      <c r="G26" s="23"/>
      <c r="H26" s="159" t="s">
        <v>1505</v>
      </c>
      <c r="I26" s="160">
        <f>+I24-I25</f>
        <v>39288356.850000001</v>
      </c>
      <c r="J26" s="160"/>
      <c r="K26" s="70"/>
    </row>
    <row r="27" spans="1:14" s="2" customFormat="1" x14ac:dyDescent="0.2">
      <c r="A27" s="89">
        <v>45259</v>
      </c>
      <c r="B27" s="128" t="s">
        <v>6</v>
      </c>
      <c r="C27" s="10" t="s">
        <v>1766</v>
      </c>
      <c r="D27" s="11" t="s">
        <v>13</v>
      </c>
      <c r="E27" s="86">
        <v>81500</v>
      </c>
      <c r="F27" s="70"/>
      <c r="G27" s="1"/>
      <c r="N27" s="1"/>
    </row>
    <row r="28" spans="1:14" s="2" customFormat="1" x14ac:dyDescent="0.2">
      <c r="A28" s="89">
        <v>45259</v>
      </c>
      <c r="B28" s="128" t="s">
        <v>6</v>
      </c>
      <c r="C28" s="10" t="s">
        <v>1820</v>
      </c>
      <c r="D28" s="11" t="s">
        <v>13</v>
      </c>
      <c r="E28" s="86">
        <v>773561</v>
      </c>
      <c r="F28" s="70"/>
      <c r="G28" s="1"/>
      <c r="N28" s="1"/>
    </row>
    <row r="29" spans="1:14" s="2" customFormat="1" x14ac:dyDescent="0.2">
      <c r="A29" s="89">
        <v>45259</v>
      </c>
      <c r="B29" s="128" t="s">
        <v>6</v>
      </c>
      <c r="C29" s="10" t="s">
        <v>332</v>
      </c>
      <c r="D29" s="11" t="s">
        <v>13</v>
      </c>
      <c r="E29" s="86">
        <v>6687</v>
      </c>
      <c r="F29" s="70"/>
      <c r="G29" s="1"/>
      <c r="N29" s="1"/>
    </row>
    <row r="30" spans="1:14" s="2" customFormat="1" x14ac:dyDescent="0.2">
      <c r="A30" s="89">
        <v>45259</v>
      </c>
      <c r="B30" s="128" t="s">
        <v>6</v>
      </c>
      <c r="C30" s="10" t="s">
        <v>1821</v>
      </c>
      <c r="D30" s="11" t="s">
        <v>13</v>
      </c>
      <c r="E30" s="86">
        <v>9450</v>
      </c>
      <c r="F30" s="70"/>
      <c r="G30" s="1"/>
      <c r="N30" s="1"/>
    </row>
    <row r="31" spans="1:14" s="2" customFormat="1" x14ac:dyDescent="0.2">
      <c r="A31" s="89">
        <v>45259</v>
      </c>
      <c r="B31" s="128" t="s">
        <v>6</v>
      </c>
      <c r="C31" s="10" t="s">
        <v>1708</v>
      </c>
      <c r="D31" s="11" t="s">
        <v>13</v>
      </c>
      <c r="E31" s="86">
        <v>7350</v>
      </c>
      <c r="F31" s="70"/>
      <c r="G31" s="1"/>
      <c r="N31" s="1"/>
    </row>
    <row r="32" spans="1:14" s="2" customFormat="1" x14ac:dyDescent="0.2">
      <c r="A32" s="89">
        <v>45259</v>
      </c>
      <c r="B32" s="128" t="s">
        <v>6</v>
      </c>
      <c r="C32" s="10" t="s">
        <v>764</v>
      </c>
      <c r="D32" s="11" t="s">
        <v>13</v>
      </c>
      <c r="E32" s="86">
        <v>413860.6</v>
      </c>
      <c r="F32" s="70"/>
      <c r="G32" s="1"/>
      <c r="N32" s="1"/>
    </row>
    <row r="33" spans="1:14" s="2" customFormat="1" x14ac:dyDescent="0.2">
      <c r="A33" s="89">
        <v>45259</v>
      </c>
      <c r="B33" s="128" t="s">
        <v>6</v>
      </c>
      <c r="C33" s="10" t="s">
        <v>15</v>
      </c>
      <c r="D33" s="11" t="s">
        <v>13</v>
      </c>
      <c r="E33" s="86">
        <v>136612.38</v>
      </c>
      <c r="F33" s="70"/>
      <c r="G33" s="1"/>
      <c r="N33" s="1"/>
    </row>
    <row r="34" spans="1:14" s="2" customFormat="1" x14ac:dyDescent="0.2">
      <c r="A34" s="89">
        <v>45259</v>
      </c>
      <c r="B34" s="128" t="s">
        <v>6</v>
      </c>
      <c r="C34" s="10" t="s">
        <v>819</v>
      </c>
      <c r="D34" s="11" t="s">
        <v>13</v>
      </c>
      <c r="E34" s="86">
        <v>197890</v>
      </c>
      <c r="F34" s="70"/>
      <c r="G34" s="1"/>
      <c r="N34" s="1"/>
    </row>
    <row r="35" spans="1:14" s="2" customFormat="1" x14ac:dyDescent="0.2">
      <c r="A35" s="89">
        <v>45259</v>
      </c>
      <c r="B35" s="128" t="s">
        <v>6</v>
      </c>
      <c r="C35" s="10" t="s">
        <v>27</v>
      </c>
      <c r="D35" s="11" t="s">
        <v>13</v>
      </c>
      <c r="E35" s="86">
        <v>153733.75</v>
      </c>
      <c r="F35" s="70"/>
      <c r="G35" s="1"/>
      <c r="N35" s="1"/>
    </row>
    <row r="36" spans="1:14" s="2" customFormat="1" x14ac:dyDescent="0.2">
      <c r="A36" s="89">
        <v>45259</v>
      </c>
      <c r="B36" s="128" t="s">
        <v>6</v>
      </c>
      <c r="C36" s="10" t="s">
        <v>1822</v>
      </c>
      <c r="D36" s="11" t="s">
        <v>13</v>
      </c>
      <c r="E36" s="86">
        <v>314811</v>
      </c>
      <c r="F36" s="70"/>
      <c r="G36" s="1"/>
      <c r="N36" s="1"/>
    </row>
    <row r="37" spans="1:14" s="2" customFormat="1" x14ac:dyDescent="0.2">
      <c r="A37" s="89">
        <v>45259</v>
      </c>
      <c r="B37" s="128" t="s">
        <v>6</v>
      </c>
      <c r="C37" s="10" t="s">
        <v>516</v>
      </c>
      <c r="D37" s="11" t="s">
        <v>13</v>
      </c>
      <c r="E37" s="86">
        <v>60000</v>
      </c>
      <c r="F37" s="70"/>
      <c r="G37" s="1"/>
      <c r="N37" s="1"/>
    </row>
    <row r="38" spans="1:14" s="2" customFormat="1" x14ac:dyDescent="0.2">
      <c r="A38" s="89">
        <v>45259</v>
      </c>
      <c r="B38" s="128" t="s">
        <v>6</v>
      </c>
      <c r="C38" s="10" t="s">
        <v>386</v>
      </c>
      <c r="D38" s="11" t="s">
        <v>13</v>
      </c>
      <c r="E38" s="86">
        <v>200000</v>
      </c>
      <c r="F38" s="70"/>
      <c r="G38" s="1"/>
      <c r="N38" s="1"/>
    </row>
    <row r="39" spans="1:14" s="2" customFormat="1" x14ac:dyDescent="0.2">
      <c r="A39" s="89">
        <v>45259</v>
      </c>
      <c r="B39" s="128" t="s">
        <v>6</v>
      </c>
      <c r="C39" s="10" t="s">
        <v>1471</v>
      </c>
      <c r="D39" s="11" t="s">
        <v>13</v>
      </c>
      <c r="E39" s="86">
        <v>1223459</v>
      </c>
      <c r="F39" s="70"/>
      <c r="G39" s="1"/>
      <c r="N39" s="1"/>
    </row>
    <row r="40" spans="1:14" s="2" customFormat="1" x14ac:dyDescent="0.2">
      <c r="A40" s="89">
        <v>45259</v>
      </c>
      <c r="B40" s="128" t="s">
        <v>6</v>
      </c>
      <c r="C40" s="10" t="s">
        <v>93</v>
      </c>
      <c r="D40" s="11" t="s">
        <v>13</v>
      </c>
      <c r="E40" s="86">
        <v>1679863</v>
      </c>
      <c r="F40" s="70"/>
      <c r="G40" s="1"/>
      <c r="N40" s="1"/>
    </row>
    <row r="41" spans="1:14" s="2" customFormat="1" x14ac:dyDescent="0.2">
      <c r="A41" s="89">
        <v>45259</v>
      </c>
      <c r="B41" s="128" t="s">
        <v>6</v>
      </c>
      <c r="C41" s="10" t="s">
        <v>425</v>
      </c>
      <c r="D41" s="11" t="s">
        <v>13</v>
      </c>
      <c r="E41" s="86">
        <v>67200</v>
      </c>
      <c r="F41" s="70"/>
      <c r="G41" s="1"/>
      <c r="N41" s="1"/>
    </row>
    <row r="42" spans="1:14" s="2" customFormat="1" x14ac:dyDescent="0.2">
      <c r="A42" s="89">
        <v>45259</v>
      </c>
      <c r="B42" s="128" t="s">
        <v>6</v>
      </c>
      <c r="C42" s="10" t="s">
        <v>1596</v>
      </c>
      <c r="D42" s="11" t="s">
        <v>13</v>
      </c>
      <c r="E42" s="86">
        <v>10500</v>
      </c>
      <c r="F42" s="70"/>
      <c r="G42" s="1"/>
      <c r="N42" s="1"/>
    </row>
    <row r="43" spans="1:14" s="2" customFormat="1" x14ac:dyDescent="0.2">
      <c r="A43" s="89">
        <v>45259</v>
      </c>
      <c r="B43" s="128" t="s">
        <v>6</v>
      </c>
      <c r="C43" s="10" t="s">
        <v>765</v>
      </c>
      <c r="D43" s="11" t="s">
        <v>13</v>
      </c>
      <c r="E43" s="86">
        <v>358825</v>
      </c>
      <c r="F43" s="70"/>
      <c r="G43" s="1"/>
      <c r="N43" s="1"/>
    </row>
    <row r="44" spans="1:14" s="2" customFormat="1" x14ac:dyDescent="0.2">
      <c r="A44" s="89">
        <v>45259</v>
      </c>
      <c r="B44" s="128" t="s">
        <v>6</v>
      </c>
      <c r="C44" s="10" t="s">
        <v>457</v>
      </c>
      <c r="D44" s="11" t="s">
        <v>13</v>
      </c>
      <c r="E44" s="86">
        <v>5513</v>
      </c>
      <c r="F44" s="70"/>
      <c r="G44" s="1"/>
      <c r="N44" s="1"/>
    </row>
    <row r="45" spans="1:14" s="2" customFormat="1" x14ac:dyDescent="0.2">
      <c r="A45" s="89">
        <v>45259</v>
      </c>
      <c r="B45" s="128" t="s">
        <v>6</v>
      </c>
      <c r="C45" s="10" t="s">
        <v>1726</v>
      </c>
      <c r="D45" s="11" t="s">
        <v>13</v>
      </c>
      <c r="E45" s="86">
        <v>754322</v>
      </c>
      <c r="F45" s="70"/>
      <c r="G45" s="1"/>
      <c r="N45" s="1"/>
    </row>
    <row r="46" spans="1:14" s="2" customFormat="1" x14ac:dyDescent="0.2">
      <c r="A46" s="89">
        <v>45259</v>
      </c>
      <c r="B46" s="128" t="s">
        <v>6</v>
      </c>
      <c r="C46" s="10" t="s">
        <v>458</v>
      </c>
      <c r="D46" s="11" t="s">
        <v>13</v>
      </c>
      <c r="E46" s="86">
        <v>32239</v>
      </c>
      <c r="F46" s="70"/>
      <c r="G46" s="1"/>
      <c r="N46" s="1"/>
    </row>
    <row r="47" spans="1:14" s="2" customFormat="1" x14ac:dyDescent="0.2">
      <c r="A47" s="89">
        <v>45259</v>
      </c>
      <c r="B47" s="128" t="s">
        <v>6</v>
      </c>
      <c r="C47" s="10" t="s">
        <v>272</v>
      </c>
      <c r="D47" s="11" t="s">
        <v>13</v>
      </c>
      <c r="E47" s="86">
        <v>59700</v>
      </c>
      <c r="F47" s="70"/>
      <c r="G47" s="1"/>
      <c r="N47" s="1"/>
    </row>
    <row r="48" spans="1:14" s="2" customFormat="1" x14ac:dyDescent="0.2">
      <c r="A48" s="89">
        <v>45259</v>
      </c>
      <c r="B48" s="128" t="s">
        <v>6</v>
      </c>
      <c r="C48" s="10" t="s">
        <v>105</v>
      </c>
      <c r="D48" s="11" t="s">
        <v>13</v>
      </c>
      <c r="E48" s="86">
        <v>2360</v>
      </c>
      <c r="F48" s="70"/>
      <c r="G48" s="1"/>
      <c r="N48" s="1"/>
    </row>
    <row r="49" spans="1:14" s="2" customFormat="1" x14ac:dyDescent="0.2">
      <c r="A49" s="89">
        <v>45259</v>
      </c>
      <c r="B49" s="128" t="s">
        <v>6</v>
      </c>
      <c r="C49" s="10" t="s">
        <v>788</v>
      </c>
      <c r="D49" s="11" t="s">
        <v>13</v>
      </c>
      <c r="E49" s="86">
        <v>368483</v>
      </c>
      <c r="F49" s="70"/>
      <c r="G49" s="1"/>
      <c r="N49" s="1"/>
    </row>
    <row r="50" spans="1:14" s="2" customFormat="1" x14ac:dyDescent="0.2">
      <c r="A50" s="89">
        <v>45259</v>
      </c>
      <c r="B50" s="128" t="s">
        <v>11</v>
      </c>
      <c r="C50" s="10" t="s">
        <v>109</v>
      </c>
      <c r="D50" s="11" t="s">
        <v>29</v>
      </c>
      <c r="E50" s="86"/>
      <c r="F50" s="70">
        <v>691754.56</v>
      </c>
      <c r="G50" s="1"/>
      <c r="N50" s="1"/>
    </row>
    <row r="51" spans="1:14" s="2" customFormat="1" x14ac:dyDescent="0.2">
      <c r="A51" s="89">
        <v>45259</v>
      </c>
      <c r="B51" s="128" t="s">
        <v>11</v>
      </c>
      <c r="C51" s="10" t="s">
        <v>284</v>
      </c>
      <c r="D51" s="11" t="s">
        <v>29</v>
      </c>
      <c r="E51" s="86"/>
      <c r="F51" s="70">
        <v>654640</v>
      </c>
      <c r="G51" s="1"/>
      <c r="N51" s="1"/>
    </row>
    <row r="52" spans="1:14" s="2" customFormat="1" x14ac:dyDescent="0.2">
      <c r="A52" s="89">
        <v>45259</v>
      </c>
      <c r="B52" s="128" t="s">
        <v>11</v>
      </c>
      <c r="C52" s="10" t="s">
        <v>64</v>
      </c>
      <c r="D52" s="11" t="s">
        <v>29</v>
      </c>
      <c r="E52" s="86"/>
      <c r="F52" s="70">
        <v>1777.08</v>
      </c>
      <c r="G52" s="1"/>
      <c r="N52" s="1"/>
    </row>
    <row r="53" spans="1:14" s="2" customFormat="1" x14ac:dyDescent="0.2">
      <c r="A53" s="89">
        <v>45259</v>
      </c>
      <c r="B53" s="128" t="s">
        <v>11</v>
      </c>
      <c r="C53" s="10" t="s">
        <v>602</v>
      </c>
      <c r="D53" s="11" t="s">
        <v>29</v>
      </c>
      <c r="E53" s="86"/>
      <c r="F53" s="70">
        <v>12899</v>
      </c>
      <c r="G53" s="1"/>
      <c r="N53" s="1"/>
    </row>
    <row r="54" spans="1:14" s="2" customFormat="1" x14ac:dyDescent="0.2">
      <c r="A54" s="89">
        <v>45259</v>
      </c>
      <c r="B54" s="128" t="s">
        <v>11</v>
      </c>
      <c r="C54" s="10" t="s">
        <v>911</v>
      </c>
      <c r="D54" s="11" t="s">
        <v>29</v>
      </c>
      <c r="E54" s="86"/>
      <c r="F54" s="70">
        <v>6918</v>
      </c>
      <c r="G54" s="1"/>
      <c r="N54" s="1"/>
    </row>
    <row r="55" spans="1:14" s="2" customFormat="1" x14ac:dyDescent="0.2">
      <c r="A55" s="89">
        <v>45259</v>
      </c>
      <c r="B55" s="128" t="s">
        <v>11</v>
      </c>
      <c r="C55" s="10" t="s">
        <v>262</v>
      </c>
      <c r="D55" s="11" t="s">
        <v>29</v>
      </c>
      <c r="E55" s="86"/>
      <c r="F55" s="70">
        <v>47946</v>
      </c>
      <c r="G55" s="1"/>
      <c r="N55" s="1"/>
    </row>
    <row r="56" spans="1:14" s="2" customFormat="1" x14ac:dyDescent="0.2">
      <c r="A56" s="89">
        <v>45259</v>
      </c>
      <c r="B56" s="128" t="s">
        <v>11</v>
      </c>
      <c r="C56" s="10" t="s">
        <v>95</v>
      </c>
      <c r="D56" s="11" t="s">
        <v>29</v>
      </c>
      <c r="E56" s="86"/>
      <c r="F56" s="70">
        <v>69795</v>
      </c>
      <c r="G56" s="1"/>
      <c r="N56" s="1"/>
    </row>
    <row r="57" spans="1:14" s="2" customFormat="1" x14ac:dyDescent="0.2">
      <c r="A57" s="89">
        <v>45259</v>
      </c>
      <c r="B57" s="128" t="s">
        <v>11</v>
      </c>
      <c r="C57" s="10" t="s">
        <v>685</v>
      </c>
      <c r="D57" s="11" t="s">
        <v>29</v>
      </c>
      <c r="E57" s="86"/>
      <c r="F57" s="70">
        <v>16689</v>
      </c>
      <c r="G57" s="1"/>
      <c r="N57" s="1"/>
    </row>
    <row r="58" spans="1:14" s="2" customFormat="1" x14ac:dyDescent="0.2">
      <c r="A58" s="89">
        <v>45259</v>
      </c>
      <c r="B58" s="128" t="s">
        <v>11</v>
      </c>
      <c r="C58" s="10" t="s">
        <v>528</v>
      </c>
      <c r="D58" s="11" t="s">
        <v>29</v>
      </c>
      <c r="E58" s="86"/>
      <c r="F58" s="70">
        <v>28910</v>
      </c>
      <c r="G58" s="1"/>
      <c r="N58" s="1"/>
    </row>
    <row r="59" spans="1:14" s="2" customFormat="1" x14ac:dyDescent="0.2">
      <c r="A59" s="89">
        <v>45259</v>
      </c>
      <c r="B59" s="128" t="s">
        <v>11</v>
      </c>
      <c r="C59" s="10" t="s">
        <v>278</v>
      </c>
      <c r="D59" s="11" t="s">
        <v>29</v>
      </c>
      <c r="E59" s="86"/>
      <c r="F59" s="70">
        <v>97662</v>
      </c>
      <c r="G59" s="1"/>
      <c r="N59" s="1"/>
    </row>
    <row r="60" spans="1:14" s="2" customFormat="1" x14ac:dyDescent="0.2">
      <c r="A60" s="89">
        <v>45259</v>
      </c>
      <c r="B60" s="128" t="s">
        <v>11</v>
      </c>
      <c r="C60" s="10" t="s">
        <v>42</v>
      </c>
      <c r="D60" s="11" t="s">
        <v>29</v>
      </c>
      <c r="E60" s="86"/>
      <c r="F60" s="70">
        <v>28606</v>
      </c>
      <c r="G60" s="1"/>
      <c r="N60" s="1"/>
    </row>
    <row r="61" spans="1:14" s="2" customFormat="1" x14ac:dyDescent="0.2">
      <c r="A61" s="89">
        <v>45259</v>
      </c>
      <c r="B61" s="128" t="s">
        <v>11</v>
      </c>
      <c r="C61" s="10" t="s">
        <v>1607</v>
      </c>
      <c r="D61" s="11" t="s">
        <v>29</v>
      </c>
      <c r="E61" s="86"/>
      <c r="F61" s="70">
        <v>8850</v>
      </c>
      <c r="G61" s="1"/>
      <c r="N61" s="1"/>
    </row>
    <row r="62" spans="1:14" s="2" customFormat="1" x14ac:dyDescent="0.2">
      <c r="A62" s="89">
        <v>45259</v>
      </c>
      <c r="B62" s="128" t="s">
        <v>11</v>
      </c>
      <c r="C62" s="10" t="s">
        <v>725</v>
      </c>
      <c r="D62" s="11" t="s">
        <v>29</v>
      </c>
      <c r="E62" s="86"/>
      <c r="F62" s="70">
        <v>11918</v>
      </c>
      <c r="G62" s="1"/>
      <c r="N62" s="1"/>
    </row>
    <row r="63" spans="1:14" s="2" customFormat="1" x14ac:dyDescent="0.2">
      <c r="A63" s="89">
        <v>45259</v>
      </c>
      <c r="B63" s="128" t="s">
        <v>11</v>
      </c>
      <c r="C63" s="10" t="s">
        <v>507</v>
      </c>
      <c r="D63" s="11" t="s">
        <v>29</v>
      </c>
      <c r="E63" s="86"/>
      <c r="F63" s="70">
        <v>5310</v>
      </c>
      <c r="G63" s="1"/>
      <c r="N63" s="1"/>
    </row>
    <row r="64" spans="1:14" s="2" customFormat="1" x14ac:dyDescent="0.2">
      <c r="A64" s="89">
        <v>45259</v>
      </c>
      <c r="B64" s="128" t="s">
        <v>11</v>
      </c>
      <c r="C64" s="10" t="s">
        <v>61</v>
      </c>
      <c r="D64" s="11" t="s">
        <v>29</v>
      </c>
      <c r="E64" s="86"/>
      <c r="F64" s="70">
        <v>75638</v>
      </c>
      <c r="G64" s="1"/>
      <c r="N64" s="1"/>
    </row>
    <row r="65" spans="1:14" s="2" customFormat="1" x14ac:dyDescent="0.2">
      <c r="A65" s="89">
        <v>45259</v>
      </c>
      <c r="B65" s="128" t="s">
        <v>11</v>
      </c>
      <c r="C65" s="10" t="s">
        <v>753</v>
      </c>
      <c r="D65" s="11" t="s">
        <v>29</v>
      </c>
      <c r="E65" s="86"/>
      <c r="F65" s="70">
        <v>2283</v>
      </c>
      <c r="G65" s="1"/>
      <c r="N65" s="1"/>
    </row>
    <row r="66" spans="1:14" s="2" customFormat="1" x14ac:dyDescent="0.2">
      <c r="A66" s="89">
        <v>45259</v>
      </c>
      <c r="B66" s="128" t="s">
        <v>11</v>
      </c>
      <c r="C66" s="10" t="s">
        <v>224</v>
      </c>
      <c r="D66" s="11" t="s">
        <v>29</v>
      </c>
      <c r="E66" s="86"/>
      <c r="F66" s="70">
        <v>17977</v>
      </c>
      <c r="G66" s="1"/>
      <c r="N66" s="1"/>
    </row>
    <row r="67" spans="1:14" s="2" customFormat="1" x14ac:dyDescent="0.2">
      <c r="A67" s="89">
        <v>45259</v>
      </c>
      <c r="B67" s="128" t="s">
        <v>11</v>
      </c>
      <c r="C67" s="10" t="s">
        <v>226</v>
      </c>
      <c r="D67" s="11" t="s">
        <v>29</v>
      </c>
      <c r="E67" s="86"/>
      <c r="F67" s="70">
        <v>60539</v>
      </c>
      <c r="G67" s="1"/>
      <c r="N67" s="1"/>
    </row>
    <row r="68" spans="1:14" s="2" customFormat="1" x14ac:dyDescent="0.2">
      <c r="A68" s="89">
        <v>45259</v>
      </c>
      <c r="B68" s="128" t="s">
        <v>11</v>
      </c>
      <c r="C68" s="10" t="s">
        <v>337</v>
      </c>
      <c r="D68" s="11" t="s">
        <v>29</v>
      </c>
      <c r="E68" s="86"/>
      <c r="F68" s="70">
        <v>135000</v>
      </c>
      <c r="G68" s="1"/>
      <c r="N68" s="1"/>
    </row>
    <row r="69" spans="1:14" s="2" customFormat="1" x14ac:dyDescent="0.2">
      <c r="A69" s="89">
        <v>45259</v>
      </c>
      <c r="B69" s="128" t="s">
        <v>11</v>
      </c>
      <c r="C69" s="10" t="s">
        <v>43</v>
      </c>
      <c r="D69" s="11" t="s">
        <v>29</v>
      </c>
      <c r="E69" s="86"/>
      <c r="F69" s="70">
        <v>11210</v>
      </c>
      <c r="G69" s="1"/>
      <c r="N69" s="1"/>
    </row>
    <row r="70" spans="1:14" s="2" customFormat="1" x14ac:dyDescent="0.2">
      <c r="A70" s="89">
        <v>45259</v>
      </c>
      <c r="B70" s="128" t="s">
        <v>11</v>
      </c>
      <c r="C70" s="10" t="s">
        <v>1823</v>
      </c>
      <c r="D70" s="11" t="s">
        <v>29</v>
      </c>
      <c r="E70" s="86"/>
      <c r="F70" s="70">
        <v>224035.89</v>
      </c>
      <c r="G70" s="1"/>
      <c r="N70" s="1"/>
    </row>
    <row r="71" spans="1:14" s="2" customFormat="1" x14ac:dyDescent="0.2">
      <c r="A71" s="32"/>
      <c r="B71" s="33"/>
      <c r="C71" s="14"/>
      <c r="D71" s="34"/>
      <c r="E71" s="16">
        <f>SUM(E26:E70)</f>
        <v>6917919.7300000004</v>
      </c>
      <c r="F71" s="16">
        <f>SUM(F26:F70)</f>
        <v>65714931.440000027</v>
      </c>
      <c r="G71" s="1"/>
      <c r="H71" s="1"/>
      <c r="I71" s="38">
        <v>58797011.710000001</v>
      </c>
      <c r="K71" s="92">
        <f>E72-I71</f>
        <v>0</v>
      </c>
      <c r="N71" s="1"/>
    </row>
    <row r="72" spans="1:14" s="2" customFormat="1" x14ac:dyDescent="0.2">
      <c r="A72" s="36"/>
      <c r="B72" s="28" t="s">
        <v>11</v>
      </c>
      <c r="C72" s="19" t="s">
        <v>65</v>
      </c>
      <c r="D72" s="37"/>
      <c r="E72" s="38">
        <f>F71-E71</f>
        <v>58797011.710000023</v>
      </c>
      <c r="F72" s="22"/>
      <c r="G72" s="1"/>
      <c r="H72" s="1"/>
      <c r="I72" s="70"/>
      <c r="J72" s="70"/>
      <c r="K72" s="70"/>
      <c r="N72" s="1"/>
    </row>
    <row r="73" spans="1:14" s="2" customFormat="1" x14ac:dyDescent="0.2">
      <c r="A73" s="36"/>
      <c r="B73" s="28" t="s">
        <v>66</v>
      </c>
      <c r="C73" s="19" t="s">
        <v>67</v>
      </c>
      <c r="D73" s="37"/>
      <c r="E73" s="38">
        <v>6500000</v>
      </c>
      <c r="F73" s="22"/>
      <c r="G73" s="1"/>
      <c r="H73" s="70"/>
      <c r="I73" s="70"/>
      <c r="J73" s="70"/>
      <c r="K73" s="70"/>
      <c r="N73" s="1"/>
    </row>
    <row r="74" spans="1:14" s="2" customFormat="1" x14ac:dyDescent="0.2">
      <c r="A74" s="36"/>
      <c r="B74" s="28" t="s">
        <v>66</v>
      </c>
      <c r="C74" s="43" t="s">
        <v>1457</v>
      </c>
      <c r="D74" s="43"/>
      <c r="E74" s="12">
        <f>275000000+75000000+50000000</f>
        <v>400000000</v>
      </c>
      <c r="F74" s="22"/>
      <c r="G74" s="1"/>
      <c r="H74" s="70"/>
      <c r="I74" s="45">
        <f>2755.83-52.27</f>
        <v>2703.56</v>
      </c>
      <c r="J74" s="46"/>
      <c r="K74" s="46"/>
      <c r="N74" s="1"/>
    </row>
    <row r="75" spans="1:14" s="2" customFormat="1" ht="15" x14ac:dyDescent="0.25">
      <c r="A75" s="36"/>
      <c r="B75" s="28"/>
      <c r="C75" s="44" t="s">
        <v>1541</v>
      </c>
      <c r="D75" s="43"/>
      <c r="E75" s="7">
        <f>+E74+E72+E73</f>
        <v>465297011.71000004</v>
      </c>
      <c r="F75" s="22"/>
      <c r="G75" s="1"/>
      <c r="H75" s="103" t="s">
        <v>69</v>
      </c>
      <c r="I75" s="45">
        <v>-131.96</v>
      </c>
      <c r="J75" s="46"/>
      <c r="K75" s="46"/>
      <c r="N75" s="1"/>
    </row>
    <row r="76" spans="1:14" s="2" customFormat="1" ht="15" x14ac:dyDescent="0.25">
      <c r="A76" s="24"/>
      <c r="B76" s="1"/>
      <c r="C76" s="44" t="s">
        <v>1510</v>
      </c>
      <c r="D76" s="25"/>
      <c r="E76" s="156">
        <f>+I26-E73+H22-I22</f>
        <v>34702988.289999999</v>
      </c>
      <c r="G76" s="1"/>
      <c r="H76" s="35" t="s">
        <v>70</v>
      </c>
      <c r="I76" s="45">
        <v>115.83</v>
      </c>
      <c r="J76" s="46">
        <f>+I77-D79</f>
        <v>0</v>
      </c>
      <c r="N76" s="1"/>
    </row>
    <row r="77" spans="1:14" s="124" customFormat="1" ht="12.75" customHeight="1" x14ac:dyDescent="0.2">
      <c r="A77" s="24"/>
      <c r="B77" s="1"/>
      <c r="C77" s="56"/>
      <c r="D77" s="56"/>
      <c r="E77" s="104"/>
      <c r="F77" s="2"/>
      <c r="G77" s="166"/>
      <c r="H77" s="70"/>
      <c r="I77" s="49">
        <f>SUM(I74:I76)</f>
        <v>2687.43</v>
      </c>
      <c r="J77" s="46"/>
      <c r="K77" s="46"/>
    </row>
    <row r="78" spans="1:14" s="124" customFormat="1" ht="12.75" customHeight="1" x14ac:dyDescent="0.2">
      <c r="A78" s="24"/>
      <c r="B78" s="1"/>
      <c r="C78" s="78" t="s">
        <v>575</v>
      </c>
      <c r="D78" s="48" t="s">
        <v>576</v>
      </c>
      <c r="E78" s="104"/>
      <c r="F78" s="2"/>
      <c r="G78" s="168"/>
      <c r="H78" s="167"/>
      <c r="I78" s="167"/>
      <c r="J78" s="168"/>
    </row>
    <row r="79" spans="1:14" s="124" customFormat="1" ht="12.75" customHeight="1" x14ac:dyDescent="0.2">
      <c r="A79" s="24"/>
      <c r="B79" s="1"/>
      <c r="C79" s="47" t="s">
        <v>570</v>
      </c>
      <c r="D79" s="111">
        <v>2687.43</v>
      </c>
      <c r="E79" s="104"/>
      <c r="F79" s="2"/>
      <c r="G79" s="168"/>
      <c r="H79" s="110" t="s">
        <v>581</v>
      </c>
      <c r="I79" s="167"/>
      <c r="J79" s="168"/>
    </row>
    <row r="80" spans="1:14" s="124" customFormat="1" ht="12.75" customHeight="1" x14ac:dyDescent="0.2">
      <c r="A80" s="24"/>
      <c r="B80" s="1"/>
      <c r="C80" s="47" t="s">
        <v>931</v>
      </c>
      <c r="D80" s="111">
        <v>170.9</v>
      </c>
      <c r="E80" s="104"/>
      <c r="F80" s="2"/>
      <c r="G80" s="168"/>
      <c r="H80" s="110" t="s">
        <v>580</v>
      </c>
      <c r="I80" s="167"/>
      <c r="J80" s="168"/>
    </row>
    <row r="81" spans="1:14" s="124" customFormat="1" ht="12.75" customHeight="1" x14ac:dyDescent="0.2">
      <c r="A81" s="24"/>
      <c r="B81" s="1"/>
      <c r="C81" s="47" t="s">
        <v>572</v>
      </c>
      <c r="D81" s="111">
        <f>+D114/100000</f>
        <v>394.39061950000001</v>
      </c>
      <c r="E81" s="104"/>
      <c r="F81" s="2"/>
      <c r="G81" s="166"/>
      <c r="H81" s="90" t="s">
        <v>587</v>
      </c>
      <c r="I81" s="167"/>
      <c r="J81" s="168"/>
    </row>
    <row r="82" spans="1:14" s="2" customFormat="1" x14ac:dyDescent="0.2">
      <c r="A82" s="24"/>
      <c r="B82" s="1"/>
      <c r="C82" s="108" t="s">
        <v>578</v>
      </c>
      <c r="D82" s="48">
        <f>SUM(D79:D81)</f>
        <v>3252.7206194999999</v>
      </c>
      <c r="E82" s="104"/>
      <c r="G82" s="30"/>
      <c r="I82" s="13"/>
      <c r="J82" s="13"/>
    </row>
    <row r="83" spans="1:14" s="70" customFormat="1" x14ac:dyDescent="0.2">
      <c r="A83" s="24"/>
      <c r="B83" s="1"/>
      <c r="C83" s="47"/>
      <c r="D83" s="107"/>
      <c r="E83" s="104"/>
      <c r="F83" s="2"/>
      <c r="G83" s="30"/>
      <c r="H83" s="2"/>
    </row>
    <row r="84" spans="1:14" s="70" customFormat="1" x14ac:dyDescent="0.2">
      <c r="A84" s="24"/>
      <c r="B84" s="1"/>
      <c r="C84" s="47" t="s">
        <v>932</v>
      </c>
      <c r="D84" s="111">
        <v>149.04</v>
      </c>
      <c r="E84" s="104"/>
      <c r="F84" s="2"/>
      <c r="G84" s="30"/>
      <c r="H84" s="110" t="s">
        <v>581</v>
      </c>
    </row>
    <row r="85" spans="1:14" s="70" customFormat="1" x14ac:dyDescent="0.2">
      <c r="A85" s="24"/>
      <c r="B85" s="1"/>
      <c r="C85" s="136" t="s">
        <v>1142</v>
      </c>
      <c r="D85" s="111">
        <f>861.87-117.09</f>
        <v>744.78</v>
      </c>
      <c r="E85" s="104"/>
      <c r="F85" s="2"/>
      <c r="G85" s="30"/>
      <c r="H85" s="110" t="s">
        <v>581</v>
      </c>
    </row>
    <row r="86" spans="1:14" s="70" customFormat="1" x14ac:dyDescent="0.2">
      <c r="A86" s="24"/>
      <c r="B86" s="1"/>
      <c r="C86" s="78" t="s">
        <v>579</v>
      </c>
      <c r="D86" s="109">
        <f>D84+D85</f>
        <v>893.81999999999994</v>
      </c>
      <c r="E86" s="104"/>
      <c r="F86" s="2"/>
      <c r="G86" s="30"/>
    </row>
    <row r="87" spans="1:14" s="70" customFormat="1" x14ac:dyDescent="0.2">
      <c r="A87" s="24"/>
      <c r="B87" s="1"/>
      <c r="C87" s="105"/>
      <c r="D87" s="106"/>
      <c r="E87" s="104"/>
      <c r="F87" s="2"/>
      <c r="G87" s="30"/>
      <c r="I87" s="2"/>
      <c r="J87" s="114" t="s">
        <v>713</v>
      </c>
      <c r="K87" s="2"/>
      <c r="L87" s="2"/>
      <c r="M87" s="2"/>
    </row>
    <row r="88" spans="1:14" s="70" customFormat="1" x14ac:dyDescent="0.2">
      <c r="A88" s="24"/>
      <c r="B88" s="1"/>
      <c r="C88" s="78" t="s">
        <v>577</v>
      </c>
      <c r="D88" s="109">
        <f>D79+D86</f>
        <v>3581.25</v>
      </c>
      <c r="E88" s="104"/>
      <c r="F88" s="2"/>
      <c r="G88" s="30"/>
      <c r="I88" s="113"/>
      <c r="J88" s="113" t="s">
        <v>709</v>
      </c>
      <c r="K88" s="113" t="s">
        <v>710</v>
      </c>
      <c r="L88" s="113" t="s">
        <v>711</v>
      </c>
      <c r="M88" s="113" t="s">
        <v>712</v>
      </c>
    </row>
    <row r="89" spans="1:14" s="70" customFormat="1" x14ac:dyDescent="0.2">
      <c r="A89" s="24"/>
      <c r="B89" s="1"/>
      <c r="C89" s="56"/>
      <c r="D89" s="56"/>
      <c r="E89" s="104"/>
      <c r="F89" s="2"/>
      <c r="G89" s="30"/>
      <c r="I89" s="113" t="s">
        <v>706</v>
      </c>
      <c r="J89" s="115"/>
      <c r="K89" s="115">
        <v>968.99</v>
      </c>
      <c r="L89" s="115">
        <v>968.99</v>
      </c>
      <c r="M89" s="113">
        <f>+J89+L89-K89</f>
        <v>0</v>
      </c>
    </row>
    <row r="90" spans="1:14" s="70" customFormat="1" ht="38.25" x14ac:dyDescent="0.2">
      <c r="A90" s="24"/>
      <c r="B90" s="1"/>
      <c r="C90" s="79" t="str">
        <f>"Particulars ( 01-04-2021 to "&amp;TEXT(A5,"dd-mm-yyyy")&amp;" )"</f>
        <v>Particulars ( 01-04-2021 to 29-11-2023 )</v>
      </c>
      <c r="D90" s="80" t="s">
        <v>73</v>
      </c>
      <c r="E90" s="80" t="s">
        <v>74</v>
      </c>
      <c r="F90" s="81" t="s">
        <v>75</v>
      </c>
      <c r="G90" s="80" t="s">
        <v>76</v>
      </c>
      <c r="I90" s="113" t="s">
        <v>707</v>
      </c>
      <c r="J90" s="115">
        <v>183.1</v>
      </c>
      <c r="K90" s="115">
        <v>4068.23</v>
      </c>
      <c r="L90" s="115">
        <v>4269.2</v>
      </c>
      <c r="M90" s="113">
        <f>+J90+L90-K90</f>
        <v>384.07000000000016</v>
      </c>
    </row>
    <row r="91" spans="1:14" s="70" customFormat="1" x14ac:dyDescent="0.2">
      <c r="A91" s="24"/>
      <c r="B91" s="1"/>
      <c r="C91" s="50" t="s">
        <v>444</v>
      </c>
      <c r="D91" s="55">
        <f>+L89+L90+J90</f>
        <v>5421.29</v>
      </c>
      <c r="E91" s="55">
        <f>+K89+K90</f>
        <v>5037.22</v>
      </c>
      <c r="F91" s="55">
        <f>+D91-E91</f>
        <v>384.06999999999971</v>
      </c>
      <c r="G91" s="55">
        <f>1500-F91</f>
        <v>1115.9300000000003</v>
      </c>
      <c r="I91" s="113" t="s">
        <v>708</v>
      </c>
      <c r="J91" s="115">
        <v>1371.02</v>
      </c>
      <c r="K91" s="115">
        <v>15255.99</v>
      </c>
      <c r="L91" s="115">
        <v>15417.04</v>
      </c>
      <c r="M91" s="113">
        <f>+J91+L91-K91</f>
        <v>1532.0700000000015</v>
      </c>
    </row>
    <row r="92" spans="1:14" s="70" customFormat="1" ht="12.75" customHeight="1" x14ac:dyDescent="0.2">
      <c r="A92" s="24"/>
      <c r="B92" s="1"/>
      <c r="C92" s="50" t="s">
        <v>71</v>
      </c>
      <c r="D92" s="55">
        <f>+J91+L91</f>
        <v>16788.060000000001</v>
      </c>
      <c r="E92" s="55">
        <f>+K91</f>
        <v>15255.99</v>
      </c>
      <c r="F92" s="55">
        <f>+D92-E92</f>
        <v>1532.0700000000015</v>
      </c>
      <c r="G92" s="55">
        <f>1500+700-F92</f>
        <v>667.92999999999847</v>
      </c>
      <c r="I92" s="2"/>
      <c r="J92" s="118">
        <f>SUM(J89:J91)</f>
        <v>1554.12</v>
      </c>
      <c r="K92" s="118">
        <f>SUM(K89:K91)</f>
        <v>20293.21</v>
      </c>
      <c r="L92" s="118">
        <f>SUM(L89:L91)</f>
        <v>20655.23</v>
      </c>
      <c r="M92" s="118">
        <f>SUM(M89:M91)</f>
        <v>1916.1400000000017</v>
      </c>
    </row>
    <row r="93" spans="1:14" s="70" customFormat="1" ht="12.75" customHeight="1" x14ac:dyDescent="0.2">
      <c r="A93" s="24"/>
      <c r="B93" s="1"/>
      <c r="C93" s="14"/>
      <c r="D93" s="56"/>
      <c r="E93" s="13"/>
      <c r="F93" s="2"/>
      <c r="G93" s="30"/>
    </row>
    <row r="94" spans="1:14" s="70" customFormat="1" ht="12.75" customHeight="1" x14ac:dyDescent="0.2">
      <c r="A94" s="215" t="s">
        <v>80</v>
      </c>
      <c r="B94" s="216"/>
      <c r="C94" s="216"/>
      <c r="D94" s="217"/>
      <c r="E94" s="69"/>
      <c r="G94" s="30"/>
    </row>
    <row r="95" spans="1:14" s="70" customFormat="1" ht="12.75" customHeight="1" x14ac:dyDescent="0.2">
      <c r="A95" s="71" t="s">
        <v>81</v>
      </c>
      <c r="B95" s="71"/>
      <c r="C95" s="72" t="s">
        <v>82</v>
      </c>
      <c r="D95" s="73" t="s">
        <v>83</v>
      </c>
      <c r="E95" s="69"/>
      <c r="G95" s="30"/>
    </row>
    <row r="96" spans="1:14" s="70" customFormat="1" ht="12.75" customHeight="1" x14ac:dyDescent="0.2">
      <c r="A96" s="87">
        <v>45232</v>
      </c>
      <c r="B96" s="120" t="s">
        <v>6</v>
      </c>
      <c r="C96" s="75" t="s">
        <v>767</v>
      </c>
      <c r="D96" s="88">
        <v>515100</v>
      </c>
      <c r="E96" s="2"/>
      <c r="F96" s="2"/>
      <c r="G96" s="30"/>
      <c r="H96" s="2"/>
      <c r="I96" s="2"/>
      <c r="J96" s="2"/>
      <c r="K96" s="2"/>
      <c r="L96" s="41"/>
      <c r="M96" s="42"/>
      <c r="N96" s="2"/>
    </row>
    <row r="97" spans="1:14" s="70" customFormat="1" ht="12.75" customHeight="1" x14ac:dyDescent="0.2">
      <c r="A97" s="87">
        <v>45232</v>
      </c>
      <c r="B97" s="120" t="s">
        <v>6</v>
      </c>
      <c r="C97" s="75" t="s">
        <v>566</v>
      </c>
      <c r="D97" s="88">
        <v>52450</v>
      </c>
      <c r="E97" s="2"/>
      <c r="F97" s="2"/>
      <c r="G97" s="30"/>
      <c r="H97" s="2"/>
      <c r="I97" s="2"/>
      <c r="J97" s="2"/>
      <c r="K97" s="2"/>
      <c r="L97" s="41"/>
      <c r="M97" s="42"/>
      <c r="N97" s="2"/>
    </row>
    <row r="98" spans="1:14" s="70" customFormat="1" ht="12.75" customHeight="1" x14ac:dyDescent="0.2">
      <c r="A98" s="87">
        <v>45233</v>
      </c>
      <c r="B98" s="120" t="s">
        <v>6</v>
      </c>
      <c r="C98" s="75" t="s">
        <v>1084</v>
      </c>
      <c r="D98" s="88">
        <v>1833799</v>
      </c>
      <c r="E98" s="2"/>
      <c r="F98" s="2"/>
      <c r="G98" s="30"/>
      <c r="H98" s="2"/>
      <c r="I98" s="2"/>
      <c r="J98" s="2"/>
      <c r="K98" s="2"/>
      <c r="L98" s="41"/>
      <c r="M98" s="42"/>
      <c r="N98" s="2"/>
    </row>
    <row r="99" spans="1:14" s="70" customFormat="1" ht="12.75" customHeight="1" x14ac:dyDescent="0.2">
      <c r="A99" s="87">
        <v>45233</v>
      </c>
      <c r="B99" s="120" t="s">
        <v>6</v>
      </c>
      <c r="C99" s="75" t="s">
        <v>909</v>
      </c>
      <c r="D99" s="88">
        <v>366980</v>
      </c>
      <c r="E99" s="2"/>
      <c r="F99" s="2"/>
      <c r="G99" s="30"/>
      <c r="H99" s="2"/>
      <c r="I99" s="2"/>
      <c r="J99" s="2"/>
      <c r="K99" s="2"/>
      <c r="L99" s="41"/>
      <c r="M99" s="42"/>
      <c r="N99" s="2"/>
    </row>
    <row r="100" spans="1:14" s="70" customFormat="1" ht="12.75" customHeight="1" x14ac:dyDescent="0.2">
      <c r="A100" s="87">
        <v>45233</v>
      </c>
      <c r="B100" s="120" t="s">
        <v>6</v>
      </c>
      <c r="C100" s="75" t="s">
        <v>909</v>
      </c>
      <c r="D100" s="88">
        <v>30038</v>
      </c>
      <c r="E100" s="2"/>
      <c r="F100" s="2"/>
      <c r="G100" s="30"/>
      <c r="H100" s="2"/>
      <c r="I100" s="2"/>
      <c r="J100" s="2"/>
      <c r="K100" s="2"/>
      <c r="L100" s="41"/>
      <c r="M100" s="42"/>
      <c r="N100" s="2"/>
    </row>
    <row r="101" spans="1:14" s="70" customFormat="1" ht="12.75" customHeight="1" x14ac:dyDescent="0.2">
      <c r="A101" s="87">
        <v>45237</v>
      </c>
      <c r="B101" s="120" t="s">
        <v>6</v>
      </c>
      <c r="C101" s="75" t="s">
        <v>888</v>
      </c>
      <c r="D101" s="88">
        <v>14999721.949999999</v>
      </c>
      <c r="E101" s="2"/>
      <c r="F101" s="2"/>
      <c r="G101" s="30"/>
      <c r="H101" s="2"/>
      <c r="I101" s="2"/>
      <c r="J101" s="2"/>
      <c r="K101" s="2"/>
      <c r="L101" s="41"/>
      <c r="M101" s="42"/>
      <c r="N101" s="2"/>
    </row>
    <row r="102" spans="1:14" s="70" customFormat="1" ht="12.75" customHeight="1" x14ac:dyDescent="0.2">
      <c r="A102" s="87">
        <v>45238</v>
      </c>
      <c r="B102" s="120" t="s">
        <v>6</v>
      </c>
      <c r="C102" s="75" t="s">
        <v>606</v>
      </c>
      <c r="D102" s="88">
        <v>1098495</v>
      </c>
      <c r="E102" s="2"/>
      <c r="F102" s="2"/>
      <c r="G102" s="30"/>
      <c r="H102" s="2"/>
      <c r="I102" s="2"/>
      <c r="J102" s="2"/>
      <c r="K102" s="2"/>
      <c r="L102" s="41"/>
      <c r="M102" s="42"/>
      <c r="N102" s="2"/>
    </row>
    <row r="103" spans="1:14" s="70" customFormat="1" ht="12.75" customHeight="1" x14ac:dyDescent="0.2">
      <c r="A103" s="87">
        <v>45239</v>
      </c>
      <c r="B103" s="120" t="s">
        <v>6</v>
      </c>
      <c r="C103" s="75" t="s">
        <v>566</v>
      </c>
      <c r="D103" s="88">
        <f>183507+63254</f>
        <v>246761</v>
      </c>
      <c r="E103" s="2"/>
      <c r="F103" s="2"/>
      <c r="G103" s="30"/>
      <c r="H103" s="2"/>
      <c r="I103" s="2"/>
      <c r="J103" s="2"/>
      <c r="K103" s="2"/>
      <c r="L103" s="41"/>
      <c r="M103" s="42"/>
      <c r="N103" s="2"/>
    </row>
    <row r="104" spans="1:14" s="70" customFormat="1" ht="12.75" customHeight="1" x14ac:dyDescent="0.2">
      <c r="A104" s="87">
        <v>45240</v>
      </c>
      <c r="B104" s="120" t="s">
        <v>6</v>
      </c>
      <c r="C104" s="75" t="s">
        <v>767</v>
      </c>
      <c r="D104" s="88">
        <v>287037</v>
      </c>
      <c r="E104" s="2"/>
      <c r="F104" s="2"/>
      <c r="G104" s="30"/>
      <c r="H104" s="2"/>
      <c r="I104" s="2"/>
      <c r="J104" s="2"/>
      <c r="K104" s="2"/>
      <c r="L104" s="41"/>
      <c r="M104" s="42"/>
      <c r="N104" s="2"/>
    </row>
    <row r="105" spans="1:14" s="70" customFormat="1" ht="12.75" customHeight="1" x14ac:dyDescent="0.2">
      <c r="A105" s="87">
        <v>45240</v>
      </c>
      <c r="B105" s="120" t="s">
        <v>6</v>
      </c>
      <c r="C105" s="75" t="s">
        <v>1767</v>
      </c>
      <c r="D105" s="88">
        <v>1000000</v>
      </c>
      <c r="E105" s="2"/>
      <c r="F105" s="2"/>
      <c r="G105" s="30"/>
      <c r="H105" s="2"/>
      <c r="I105" s="2"/>
      <c r="J105" s="2"/>
      <c r="K105" s="2"/>
      <c r="L105" s="41"/>
      <c r="M105" s="42"/>
      <c r="N105" s="2"/>
    </row>
    <row r="106" spans="1:14" s="70" customFormat="1" ht="12.75" customHeight="1" x14ac:dyDescent="0.2">
      <c r="A106" s="87">
        <v>45248</v>
      </c>
      <c r="B106" s="120" t="s">
        <v>6</v>
      </c>
      <c r="C106" s="75" t="s">
        <v>1084</v>
      </c>
      <c r="D106" s="88">
        <v>5733144</v>
      </c>
      <c r="E106" s="2"/>
      <c r="F106" s="2"/>
      <c r="G106" s="30"/>
      <c r="H106" s="2"/>
      <c r="I106" s="2"/>
      <c r="J106" s="2"/>
      <c r="K106" s="2"/>
      <c r="L106" s="41"/>
      <c r="M106" s="42"/>
      <c r="N106" s="2"/>
    </row>
    <row r="107" spans="1:14" s="70" customFormat="1" ht="12.75" customHeight="1" x14ac:dyDescent="0.2">
      <c r="A107" s="87">
        <v>45251</v>
      </c>
      <c r="B107" s="120" t="s">
        <v>6</v>
      </c>
      <c r="C107" s="75" t="s">
        <v>1801</v>
      </c>
      <c r="D107" s="88">
        <v>29372</v>
      </c>
      <c r="E107" s="2"/>
      <c r="F107" s="2"/>
      <c r="G107" s="30"/>
      <c r="H107" s="2"/>
      <c r="I107" s="2"/>
      <c r="J107" s="2"/>
      <c r="K107" s="2"/>
      <c r="L107" s="41"/>
      <c r="M107" s="42"/>
      <c r="N107" s="2"/>
    </row>
    <row r="108" spans="1:14" s="70" customFormat="1" ht="12.75" customHeight="1" x14ac:dyDescent="0.2">
      <c r="A108" s="87">
        <v>45252</v>
      </c>
      <c r="B108" s="120" t="s">
        <v>6</v>
      </c>
      <c r="C108" s="75" t="s">
        <v>909</v>
      </c>
      <c r="D108" s="88">
        <v>1380738</v>
      </c>
      <c r="E108" s="2"/>
      <c r="F108" s="2"/>
      <c r="G108" s="30"/>
      <c r="H108" s="2"/>
      <c r="I108" s="2"/>
      <c r="J108" s="2"/>
      <c r="K108" s="2"/>
      <c r="L108" s="41"/>
      <c r="M108" s="42"/>
      <c r="N108" s="2"/>
    </row>
    <row r="109" spans="1:14" s="70" customFormat="1" ht="12.75" customHeight="1" x14ac:dyDescent="0.2">
      <c r="A109" s="87">
        <v>45252</v>
      </c>
      <c r="B109" s="120" t="s">
        <v>6</v>
      </c>
      <c r="C109" s="75" t="s">
        <v>909</v>
      </c>
      <c r="D109" s="88">
        <v>4316660</v>
      </c>
      <c r="E109" s="2"/>
      <c r="F109" s="2"/>
      <c r="G109" s="30"/>
      <c r="H109" s="2"/>
      <c r="I109" s="2"/>
      <c r="J109" s="2"/>
      <c r="K109" s="2"/>
      <c r="L109" s="41"/>
      <c r="M109" s="42"/>
      <c r="N109" s="2"/>
    </row>
    <row r="110" spans="1:14" s="70" customFormat="1" ht="12.75" customHeight="1" x14ac:dyDescent="0.2">
      <c r="A110" s="87">
        <v>45254</v>
      </c>
      <c r="B110" s="120" t="s">
        <v>6</v>
      </c>
      <c r="C110" s="75" t="s">
        <v>1806</v>
      </c>
      <c r="D110" s="88">
        <v>4146289</v>
      </c>
      <c r="E110" s="2"/>
      <c r="F110" s="2"/>
      <c r="G110" s="30"/>
      <c r="H110" s="2"/>
      <c r="I110" s="2"/>
      <c r="J110" s="2"/>
      <c r="K110" s="2"/>
      <c r="L110" s="41"/>
      <c r="M110" s="42"/>
      <c r="N110" s="2"/>
    </row>
    <row r="111" spans="1:14" s="70" customFormat="1" ht="12.75" customHeight="1" x14ac:dyDescent="0.2">
      <c r="A111" s="87">
        <v>45257</v>
      </c>
      <c r="B111" s="120" t="s">
        <v>6</v>
      </c>
      <c r="C111" s="75" t="s">
        <v>888</v>
      </c>
      <c r="D111" s="88">
        <v>2109308</v>
      </c>
      <c r="E111" s="2"/>
      <c r="F111" s="2"/>
      <c r="G111" s="30"/>
      <c r="H111" s="2"/>
      <c r="I111" s="2"/>
      <c r="J111" s="2"/>
      <c r="K111" s="2"/>
      <c r="L111" s="41"/>
      <c r="M111" s="42"/>
      <c r="N111" s="2"/>
    </row>
    <row r="112" spans="1:14" s="70" customFormat="1" ht="12.75" customHeight="1" x14ac:dyDescent="0.2">
      <c r="A112" s="87">
        <v>45258</v>
      </c>
      <c r="B112" s="120" t="s">
        <v>6</v>
      </c>
      <c r="C112" s="75" t="s">
        <v>566</v>
      </c>
      <c r="D112" s="88">
        <v>554230</v>
      </c>
      <c r="E112" s="2"/>
      <c r="F112" s="2"/>
      <c r="G112" s="30"/>
      <c r="H112" s="2"/>
      <c r="I112" s="2"/>
      <c r="J112" s="2"/>
      <c r="K112" s="2"/>
      <c r="L112" s="41"/>
      <c r="M112" s="42"/>
      <c r="N112" s="2"/>
    </row>
    <row r="113" spans="1:14" s="70" customFormat="1" ht="12.75" customHeight="1" x14ac:dyDescent="0.2">
      <c r="A113" s="87">
        <v>45258</v>
      </c>
      <c r="B113" s="120" t="s">
        <v>6</v>
      </c>
      <c r="C113" s="75" t="s">
        <v>566</v>
      </c>
      <c r="D113" s="88">
        <v>738939</v>
      </c>
      <c r="E113" s="2"/>
      <c r="F113" s="2"/>
      <c r="G113" s="30"/>
      <c r="H113" s="2"/>
      <c r="I113" s="2"/>
      <c r="J113" s="2"/>
      <c r="K113" s="2"/>
      <c r="L113" s="41"/>
      <c r="M113" s="42"/>
      <c r="N113" s="2"/>
    </row>
    <row r="114" spans="1:14" s="2" customFormat="1" x14ac:dyDescent="0.2">
      <c r="A114" s="87"/>
      <c r="B114" s="74"/>
      <c r="C114" s="75"/>
      <c r="D114" s="51">
        <f>SUM(D96:D113)</f>
        <v>39439061.950000003</v>
      </c>
      <c r="F114" s="2" t="s">
        <v>396</v>
      </c>
      <c r="G114" s="1"/>
    </row>
    <row r="115" spans="1:14" s="2" customFormat="1" x14ac:dyDescent="0.2">
      <c r="A115" s="24"/>
      <c r="B115" s="1"/>
      <c r="C115" s="14"/>
      <c r="D115" s="56"/>
      <c r="E115" s="13"/>
      <c r="G115" s="1"/>
    </row>
    <row r="116" spans="1:14" s="2" customFormat="1" x14ac:dyDescent="0.2">
      <c r="A116" s="24"/>
      <c r="B116" s="1"/>
      <c r="C116" s="218" t="s">
        <v>77</v>
      </c>
      <c r="D116" s="219"/>
      <c r="E116" s="219"/>
      <c r="F116" s="220"/>
      <c r="H116" s="2" t="s">
        <v>396</v>
      </c>
    </row>
    <row r="117" spans="1:14" s="2" customFormat="1" x14ac:dyDescent="0.2">
      <c r="A117" s="24"/>
      <c r="B117" s="1"/>
      <c r="C117" s="50"/>
      <c r="D117" s="57" t="s">
        <v>78</v>
      </c>
      <c r="E117" s="58" t="s">
        <v>79</v>
      </c>
      <c r="F117" s="57" t="s">
        <v>72</v>
      </c>
      <c r="H117" s="2" t="s">
        <v>396</v>
      </c>
    </row>
    <row r="118" spans="1:14" s="2" customFormat="1" x14ac:dyDescent="0.2">
      <c r="A118" s="24"/>
      <c r="B118" s="1"/>
      <c r="C118" s="59" t="str">
        <f>"01-11-2023 to "&amp;TEXT(A5-2,"dd-mm-yyyy")</f>
        <v>01-11-2023 to 27-11-2023</v>
      </c>
      <c r="D118" s="60">
        <v>1957.31</v>
      </c>
      <c r="E118" s="60">
        <v>460.49</v>
      </c>
      <c r="F118" s="61">
        <f>SUM(D118:E118)</f>
        <v>2417.8000000000002</v>
      </c>
    </row>
    <row r="119" spans="1:14" s="2" customFormat="1" x14ac:dyDescent="0.2">
      <c r="A119" s="24"/>
      <c r="B119" s="1"/>
      <c r="C119" s="62" t="str">
        <f>TEXT(A5-1,"dd-mm-yyyy")</f>
        <v>28-11-2023</v>
      </c>
      <c r="D119" s="60">
        <v>175.61</v>
      </c>
      <c r="E119" s="60">
        <v>23.33</v>
      </c>
      <c r="F119" s="61">
        <f>SUM(D119:E119)</f>
        <v>198.94</v>
      </c>
      <c r="G119" s="1"/>
      <c r="H119" s="53"/>
    </row>
    <row r="120" spans="1:14" s="2" customFormat="1" ht="13.5" thickBot="1" x14ac:dyDescent="0.25">
      <c r="A120" s="24"/>
      <c r="B120" s="1"/>
      <c r="C120" s="63" t="str">
        <f>"01-11-2023 to "&amp;TEXT(A5-1,"dd-mm-yyyy")</f>
        <v>01-11-2023 to 28-11-2023</v>
      </c>
      <c r="D120" s="64">
        <f>SUM(D118:D119)</f>
        <v>2132.92</v>
      </c>
      <c r="E120" s="64">
        <f>SUM(E118:E119)</f>
        <v>483.82</v>
      </c>
      <c r="F120" s="64">
        <f>SUM(F118:F119)</f>
        <v>2616.7400000000002</v>
      </c>
      <c r="G120" s="1"/>
      <c r="H120" s="53"/>
    </row>
    <row r="121" spans="1:14" s="2" customFormat="1" ht="13.5" thickTop="1" x14ac:dyDescent="0.2">
      <c r="A121" s="24"/>
      <c r="B121" s="1"/>
      <c r="C121" s="62"/>
      <c r="D121" s="65"/>
      <c r="E121" s="66"/>
      <c r="F121" s="67"/>
      <c r="L121" s="1"/>
      <c r="M121" s="1"/>
    </row>
    <row r="122" spans="1:14" s="2" customFormat="1" x14ac:dyDescent="0.2">
      <c r="A122" s="24"/>
      <c r="B122" s="1"/>
      <c r="C122" s="62" t="str">
        <f>"01-04-2023 to " &amp;C119</f>
        <v>01-04-2023 to 28-11-2023</v>
      </c>
      <c r="D122" s="68">
        <f>+D120+29859.78</f>
        <v>31992.699999999997</v>
      </c>
      <c r="E122" s="68">
        <f>+E120+2548.34</f>
        <v>3032.1600000000003</v>
      </c>
      <c r="F122" s="68">
        <f>+F120+32408.1</f>
        <v>35024.839999999997</v>
      </c>
      <c r="G122" s="1"/>
      <c r="L122" s="1"/>
      <c r="M122" s="1"/>
    </row>
    <row r="123" spans="1:14" s="2" customFormat="1" x14ac:dyDescent="0.2">
      <c r="A123" s="24"/>
      <c r="B123" s="1"/>
      <c r="C123" s="52"/>
      <c r="D123" s="85"/>
      <c r="E123" s="53"/>
      <c r="F123" s="53"/>
      <c r="G123" s="1"/>
      <c r="L123" s="1"/>
      <c r="M123" s="1"/>
    </row>
    <row r="124" spans="1:14" s="2" customFormat="1" x14ac:dyDescent="0.2">
      <c r="A124" s="24"/>
      <c r="B124" s="1"/>
      <c r="C124" s="52"/>
      <c r="D124" s="85"/>
      <c r="E124" s="53"/>
      <c r="F124" s="53"/>
      <c r="G124" s="1"/>
      <c r="L124" s="1"/>
      <c r="M124" s="1"/>
    </row>
    <row r="125" spans="1:14" s="2" customFormat="1" x14ac:dyDescent="0.2">
      <c r="A125" s="24"/>
      <c r="B125" s="1"/>
      <c r="C125" s="52"/>
      <c r="D125" s="85"/>
      <c r="E125" s="53"/>
      <c r="F125" s="53"/>
      <c r="G125" s="1"/>
      <c r="L125" s="1"/>
      <c r="M125" s="1"/>
    </row>
    <row r="126" spans="1:14" s="2" customFormat="1" x14ac:dyDescent="0.2">
      <c r="A126" s="24"/>
      <c r="B126" s="1"/>
      <c r="C126" s="52"/>
      <c r="D126" s="85"/>
      <c r="E126" s="53"/>
      <c r="F126" s="53"/>
      <c r="G126" s="1"/>
      <c r="L126" s="1"/>
      <c r="M126" s="1"/>
    </row>
    <row r="127" spans="1:14" s="2" customFormat="1" x14ac:dyDescent="0.2">
      <c r="A127" s="24"/>
      <c r="B127" s="1"/>
      <c r="C127" s="14"/>
      <c r="D127" s="25">
        <f>SUM(D124:D126)</f>
        <v>0</v>
      </c>
      <c r="E127" s="2">
        <f>SUM(E124:E126)</f>
        <v>0</v>
      </c>
      <c r="G127" s="1"/>
      <c r="L127" s="1"/>
      <c r="M127" s="1"/>
    </row>
    <row r="128" spans="1:14" s="2" customFormat="1" x14ac:dyDescent="0.2">
      <c r="A128" s="24"/>
      <c r="B128" s="1"/>
      <c r="C128" s="14"/>
      <c r="D128" s="25"/>
      <c r="G128" s="1"/>
      <c r="L128" s="1"/>
      <c r="M128" s="1"/>
    </row>
    <row r="129" spans="1:13" s="2" customFormat="1" x14ac:dyDescent="0.2">
      <c r="A129" s="24"/>
      <c r="B129" s="1"/>
      <c r="C129" s="14"/>
      <c r="D129" s="25"/>
      <c r="G129" s="1"/>
      <c r="L129" s="1"/>
      <c r="M129" s="1"/>
    </row>
    <row r="130" spans="1:13" s="2" customFormat="1" x14ac:dyDescent="0.2">
      <c r="A130" s="24"/>
      <c r="B130" s="1"/>
      <c r="C130" s="14"/>
      <c r="D130" s="25"/>
      <c r="G130" s="1"/>
      <c r="L130" s="1"/>
      <c r="M130" s="1"/>
    </row>
    <row r="131" spans="1:13" s="2" customFormat="1" x14ac:dyDescent="0.2">
      <c r="A131" s="24"/>
      <c r="B131" s="1"/>
      <c r="C131" s="14"/>
      <c r="D131" s="25"/>
      <c r="G131" s="1"/>
      <c r="L131" s="1"/>
      <c r="M131" s="1"/>
    </row>
    <row r="132" spans="1:13" s="2" customFormat="1" x14ac:dyDescent="0.2">
      <c r="A132" s="24"/>
      <c r="B132" s="1"/>
      <c r="C132" s="14"/>
      <c r="D132" s="25"/>
      <c r="G132" s="1"/>
      <c r="L132" s="1"/>
      <c r="M132" s="1"/>
    </row>
    <row r="133" spans="1:13" s="2" customFormat="1" x14ac:dyDescent="0.2">
      <c r="A133" s="24"/>
      <c r="B133" s="1"/>
      <c r="C133" s="14"/>
      <c r="D133" s="25"/>
      <c r="G133" s="1"/>
      <c r="L133" s="1"/>
      <c r="M133" s="1"/>
    </row>
    <row r="134" spans="1:13" s="2" customFormat="1" x14ac:dyDescent="0.2">
      <c r="A134" s="24"/>
      <c r="B134" s="1"/>
      <c r="C134" s="14"/>
      <c r="D134" s="25"/>
      <c r="G134" s="1"/>
      <c r="L134" s="1"/>
      <c r="M134" s="1"/>
    </row>
    <row r="135" spans="1:13" s="2" customFormat="1" x14ac:dyDescent="0.2">
      <c r="A135" s="24"/>
      <c r="B135" s="1"/>
      <c r="C135" s="14"/>
      <c r="D135" s="25"/>
      <c r="G135" s="1"/>
      <c r="L135" s="1"/>
      <c r="M135" s="1"/>
    </row>
    <row r="136" spans="1:13" s="2" customFormat="1" x14ac:dyDescent="0.2">
      <c r="A136" s="24"/>
      <c r="B136" s="1"/>
      <c r="C136" s="14"/>
      <c r="D136" s="25"/>
      <c r="G136" s="1"/>
      <c r="L136" s="1"/>
      <c r="M136" s="1"/>
    </row>
    <row r="137" spans="1:13" s="2" customFormat="1" x14ac:dyDescent="0.2">
      <c r="A137" s="24"/>
      <c r="B137" s="1"/>
      <c r="C137" s="14"/>
      <c r="D137" s="25"/>
      <c r="G137" s="1"/>
      <c r="L137" s="1"/>
      <c r="M137" s="1"/>
    </row>
    <row r="138" spans="1:13" s="2" customFormat="1" x14ac:dyDescent="0.2">
      <c r="A138" s="24"/>
      <c r="B138" s="1"/>
      <c r="C138" s="14"/>
      <c r="D138" s="25"/>
      <c r="G138" s="1"/>
      <c r="L138" s="1"/>
      <c r="M138" s="1"/>
    </row>
    <row r="139" spans="1:13" s="2" customFormat="1" x14ac:dyDescent="0.2">
      <c r="A139" s="24"/>
      <c r="B139" s="1"/>
      <c r="C139" s="14"/>
      <c r="D139" s="25"/>
      <c r="G139" s="1"/>
      <c r="L139" s="1"/>
      <c r="M139" s="1"/>
    </row>
    <row r="140" spans="1:13" s="2" customFormat="1" x14ac:dyDescent="0.2">
      <c r="A140" s="24"/>
      <c r="B140" s="1"/>
      <c r="C140" s="14"/>
      <c r="D140" s="25"/>
      <c r="G140" s="1"/>
      <c r="L140" s="1"/>
      <c r="M140" s="1"/>
    </row>
    <row r="141" spans="1:13" s="2" customFormat="1" x14ac:dyDescent="0.2">
      <c r="A141" s="24"/>
      <c r="B141" s="1"/>
      <c r="C141" s="14"/>
      <c r="D141" s="25"/>
      <c r="G141" s="1"/>
      <c r="I141" s="1"/>
      <c r="J141" s="1"/>
      <c r="K141" s="1"/>
      <c r="L141" s="1"/>
      <c r="M141" s="1"/>
    </row>
    <row r="142" spans="1:13" s="2" customFormat="1" x14ac:dyDescent="0.2">
      <c r="A142" s="24"/>
      <c r="B142" s="1"/>
      <c r="C142" s="14"/>
      <c r="D142" s="25"/>
      <c r="G142" s="1"/>
    </row>
    <row r="143" spans="1:13" s="2" customFormat="1" x14ac:dyDescent="0.2">
      <c r="A143" s="24"/>
      <c r="B143" s="1"/>
      <c r="C143" s="14"/>
      <c r="D143" s="25"/>
      <c r="G143" s="1"/>
      <c r="I143" s="1"/>
      <c r="J143" s="1"/>
      <c r="K143" s="1"/>
      <c r="L143" s="1"/>
      <c r="M143" s="1"/>
    </row>
    <row r="144" spans="1:13" s="2" customFormat="1" x14ac:dyDescent="0.2">
      <c r="A144" s="24"/>
      <c r="B144" s="1"/>
      <c r="C144" s="14"/>
      <c r="D144" s="25"/>
      <c r="G144" s="54"/>
      <c r="I144" s="1"/>
      <c r="J144" s="1"/>
      <c r="K144" s="1"/>
      <c r="L144" s="1"/>
      <c r="M144" s="1"/>
    </row>
    <row r="145" spans="1:14" s="2" customFormat="1" x14ac:dyDescent="0.2">
      <c r="A145" s="24"/>
      <c r="B145" s="1"/>
      <c r="C145" s="14"/>
      <c r="D145" s="25"/>
      <c r="G145" s="54"/>
      <c r="I145" s="1"/>
      <c r="J145" s="1"/>
      <c r="K145" s="1"/>
      <c r="L145" s="1"/>
      <c r="M145" s="1"/>
    </row>
    <row r="146" spans="1:14" s="2" customFormat="1" x14ac:dyDescent="0.2">
      <c r="A146" s="24"/>
      <c r="B146" s="1"/>
      <c r="C146" s="14"/>
      <c r="D146" s="25"/>
      <c r="G146" s="54"/>
      <c r="I146" s="1"/>
      <c r="J146" s="1"/>
      <c r="K146" s="1"/>
      <c r="L146" s="1"/>
      <c r="M146" s="1"/>
    </row>
    <row r="147" spans="1:14" s="2" customFormat="1" x14ac:dyDescent="0.2">
      <c r="A147" s="24"/>
      <c r="B147" s="1"/>
      <c r="C147" s="14"/>
      <c r="D147" s="25"/>
      <c r="G147" s="54"/>
      <c r="H147" s="2" t="s">
        <v>396</v>
      </c>
      <c r="I147" s="1"/>
      <c r="J147" s="1"/>
      <c r="K147" s="1"/>
      <c r="L147" s="1"/>
      <c r="M147" s="1"/>
      <c r="N147" s="1"/>
    </row>
    <row r="148" spans="1:14" s="2" customFormat="1" x14ac:dyDescent="0.2">
      <c r="A148" s="24"/>
      <c r="B148" s="1"/>
      <c r="C148" s="14"/>
      <c r="D148" s="25"/>
      <c r="G148" s="54"/>
      <c r="H148" s="53"/>
    </row>
    <row r="149" spans="1:14" s="2" customFormat="1" x14ac:dyDescent="0.2">
      <c r="A149" s="24"/>
      <c r="B149" s="1"/>
      <c r="C149" s="14"/>
      <c r="D149" s="25"/>
      <c r="G149" s="54"/>
      <c r="H149" s="53" t="s">
        <v>396</v>
      </c>
      <c r="I149" s="1"/>
      <c r="J149" s="1"/>
      <c r="K149" s="1"/>
      <c r="L149" s="1"/>
      <c r="M149" s="1"/>
      <c r="N149" s="1"/>
    </row>
    <row r="150" spans="1:14" x14ac:dyDescent="0.2">
      <c r="G150" s="54"/>
      <c r="H150" s="53" t="s">
        <v>396</v>
      </c>
      <c r="J150" s="42"/>
    </row>
    <row r="151" spans="1:14" s="2" customFormat="1" x14ac:dyDescent="0.2">
      <c r="A151" s="24"/>
      <c r="B151" s="1"/>
      <c r="C151" s="14"/>
      <c r="D151" s="25"/>
      <c r="G151" s="54"/>
      <c r="H151" s="53"/>
      <c r="I151" s="101"/>
      <c r="J151" s="1"/>
      <c r="K151" s="1"/>
      <c r="L151" s="1"/>
      <c r="M151" s="1"/>
      <c r="N151" s="1"/>
    </row>
    <row r="152" spans="1:14" x14ac:dyDescent="0.2">
      <c r="G152" s="54"/>
      <c r="H152" s="53"/>
    </row>
    <row r="153" spans="1:14" x14ac:dyDescent="0.2">
      <c r="G153" s="54"/>
      <c r="H153" s="53"/>
    </row>
    <row r="154" spans="1:14" x14ac:dyDescent="0.2">
      <c r="G154" s="54"/>
      <c r="H154" s="53"/>
    </row>
  </sheetData>
  <sheetProtection insertRows="0"/>
  <mergeCells count="6">
    <mergeCell ref="C116:F116"/>
    <mergeCell ref="A1:G1"/>
    <mergeCell ref="A3:F3"/>
    <mergeCell ref="A9:F9"/>
    <mergeCell ref="A24:F24"/>
    <mergeCell ref="A94:D94"/>
  </mergeCells>
  <conditionalFormatting sqref="G91:G92">
    <cfRule type="cellIs" dxfId="201" priority="1" operator="lessThan">
      <formula>0</formula>
    </cfRule>
  </conditionalFormatting>
  <conditionalFormatting sqref="C26">
    <cfRule type="duplicateValues" dxfId="200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E00-000000000000}">
  <sheetPr codeName="Sheet486">
    <pageSetUpPr fitToPage="1"/>
  </sheetPr>
  <dimension ref="A1:N126"/>
  <sheetViews>
    <sheetView topLeftCell="A48" zoomScaleNormal="100" workbookViewId="0">
      <selection activeCell="D54" sqref="D54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3" ht="20.25" customHeight="1" x14ac:dyDescent="0.4">
      <c r="A1" s="212" t="s">
        <v>1824</v>
      </c>
      <c r="B1" s="212"/>
      <c r="C1" s="212"/>
      <c r="D1" s="212"/>
      <c r="E1" s="212"/>
      <c r="F1" s="212"/>
      <c r="G1" s="212"/>
      <c r="H1" s="112"/>
      <c r="I1" s="112"/>
    </row>
    <row r="2" spans="1:13" ht="12.75" customHeight="1" x14ac:dyDescent="0.4">
      <c r="H2" s="112"/>
      <c r="I2" s="112"/>
    </row>
    <row r="3" spans="1:13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3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3" s="2" customFormat="1" ht="14.25" customHeight="1" x14ac:dyDescent="0.4">
      <c r="A5" s="89">
        <v>45260</v>
      </c>
      <c r="B5" s="9" t="s">
        <v>6</v>
      </c>
      <c r="C5" s="10" t="s">
        <v>7</v>
      </c>
      <c r="D5" s="11"/>
      <c r="E5" s="12">
        <v>700315.42</v>
      </c>
      <c r="F5" s="12"/>
      <c r="G5" s="1"/>
      <c r="H5" s="112"/>
      <c r="I5" s="112"/>
    </row>
    <row r="6" spans="1:13" s="2" customFormat="1" ht="12.75" customHeight="1" x14ac:dyDescent="0.2">
      <c r="D6" s="15" t="s">
        <v>8</v>
      </c>
      <c r="E6" s="16">
        <f>SUM(E5:E5)</f>
        <v>700315.42</v>
      </c>
      <c r="F6" s="16">
        <f>+F5</f>
        <v>0</v>
      </c>
      <c r="G6" s="1"/>
      <c r="H6" s="13" t="s">
        <v>1582</v>
      </c>
      <c r="I6" s="13" t="s">
        <v>1583</v>
      </c>
    </row>
    <row r="7" spans="1:13" s="2" customFormat="1" ht="12.75" customHeight="1" x14ac:dyDescent="0.2">
      <c r="A7" s="17"/>
      <c r="B7" s="18"/>
      <c r="C7" s="19" t="s">
        <v>9</v>
      </c>
      <c r="D7" s="20"/>
      <c r="E7" s="21">
        <f>+E6-F6</f>
        <v>700315.42</v>
      </c>
      <c r="F7" s="22"/>
      <c r="G7" s="23"/>
      <c r="H7" s="2">
        <v>58757</v>
      </c>
      <c r="I7" s="2">
        <v>0</v>
      </c>
      <c r="J7" s="176">
        <f>H7-I7</f>
        <v>58757</v>
      </c>
    </row>
    <row r="8" spans="1:13" ht="12.75" customHeight="1" x14ac:dyDescent="0.4">
      <c r="H8" s="112"/>
      <c r="I8" s="112"/>
    </row>
    <row r="9" spans="1:13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69">
        <f>90000000-60000000</f>
        <v>30000000</v>
      </c>
      <c r="J9" s="169" t="s">
        <v>1508</v>
      </c>
    </row>
    <row r="10" spans="1:13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69">
        <v>24742103.629999999</v>
      </c>
      <c r="J10" s="169" t="s">
        <v>1509</v>
      </c>
      <c r="K10" s="124"/>
    </row>
    <row r="11" spans="1:13" s="2" customFormat="1" ht="14.25" customHeight="1" x14ac:dyDescent="0.2">
      <c r="A11" s="89">
        <v>45260</v>
      </c>
      <c r="B11" s="9" t="s">
        <v>6</v>
      </c>
      <c r="C11" s="10" t="s">
        <v>7</v>
      </c>
      <c r="D11" s="11"/>
      <c r="F11" s="12">
        <v>25295309.629999999</v>
      </c>
      <c r="G11" s="1"/>
      <c r="H11" s="130" t="s">
        <v>396</v>
      </c>
      <c r="I11" s="169">
        <f>+I9-I10</f>
        <v>5257896.370000001</v>
      </c>
      <c r="J11" s="169" t="s">
        <v>712</v>
      </c>
      <c r="K11" s="165" t="s">
        <v>1512</v>
      </c>
    </row>
    <row r="12" spans="1:13" s="2" customFormat="1" ht="14.25" customHeight="1" x14ac:dyDescent="0.2">
      <c r="A12" s="89">
        <v>45260</v>
      </c>
      <c r="B12" s="9" t="s">
        <v>6</v>
      </c>
      <c r="C12" s="10" t="s">
        <v>158</v>
      </c>
      <c r="D12" s="11" t="s">
        <v>13</v>
      </c>
      <c r="E12" s="2">
        <v>303474</v>
      </c>
      <c r="F12" s="12"/>
      <c r="G12" s="1"/>
      <c r="H12" s="130"/>
      <c r="I12" s="169"/>
      <c r="J12" s="169"/>
      <c r="K12" s="165"/>
    </row>
    <row r="13" spans="1:13" s="2" customFormat="1" ht="14.25" customHeight="1" x14ac:dyDescent="0.2">
      <c r="A13" s="89">
        <v>45260</v>
      </c>
      <c r="B13" s="9" t="s">
        <v>6</v>
      </c>
      <c r="C13" s="10" t="s">
        <v>234</v>
      </c>
      <c r="D13" s="11" t="s">
        <v>13</v>
      </c>
      <c r="E13" s="2">
        <v>58757</v>
      </c>
      <c r="F13" s="12"/>
      <c r="G13" s="1"/>
      <c r="H13" s="130"/>
      <c r="I13" s="169"/>
      <c r="J13" s="169"/>
      <c r="K13" s="165"/>
    </row>
    <row r="14" spans="1:13" s="2" customFormat="1" ht="14.25" customHeight="1" x14ac:dyDescent="0.2">
      <c r="A14" s="89">
        <v>45260</v>
      </c>
      <c r="B14" s="9" t="s">
        <v>6</v>
      </c>
      <c r="C14" s="10" t="s">
        <v>420</v>
      </c>
      <c r="D14" s="11" t="s">
        <v>13</v>
      </c>
      <c r="E14" s="2">
        <v>225039</v>
      </c>
      <c r="F14" s="12"/>
      <c r="G14" s="1"/>
      <c r="H14" s="130"/>
      <c r="I14" s="169"/>
      <c r="J14" s="169"/>
      <c r="K14" s="165"/>
    </row>
    <row r="15" spans="1:13" s="2" customFormat="1" ht="14.25" customHeight="1" x14ac:dyDescent="0.2">
      <c r="A15" s="89">
        <v>45260</v>
      </c>
      <c r="B15" s="9" t="s">
        <v>11</v>
      </c>
      <c r="C15" s="10" t="s">
        <v>1137</v>
      </c>
      <c r="D15" s="11" t="s">
        <v>29</v>
      </c>
      <c r="E15" s="2">
        <v>24693</v>
      </c>
      <c r="F15" s="12"/>
      <c r="G15" s="1"/>
      <c r="H15" s="130"/>
      <c r="I15" s="169"/>
      <c r="J15" s="169"/>
      <c r="K15" s="165"/>
    </row>
    <row r="16" spans="1:13" s="2" customFormat="1" ht="14.25" customHeight="1" x14ac:dyDescent="0.2">
      <c r="D16" s="11" t="s">
        <v>8</v>
      </c>
      <c r="E16" s="16">
        <f>SUM(E12:E15)</f>
        <v>611963</v>
      </c>
      <c r="F16" s="16">
        <f>SUM(F11:F15)</f>
        <v>25295309.629999999</v>
      </c>
      <c r="G16" s="1"/>
      <c r="H16" s="143"/>
      <c r="I16" s="130"/>
      <c r="J16" s="143"/>
      <c r="K16" s="143"/>
      <c r="L16" s="143"/>
      <c r="M16" s="143"/>
    </row>
    <row r="17" spans="1:14" s="2" customFormat="1" ht="14.25" customHeight="1" x14ac:dyDescent="0.4">
      <c r="A17" s="17"/>
      <c r="B17" s="18"/>
      <c r="C17" s="96" t="s">
        <v>9</v>
      </c>
      <c r="D17" s="20"/>
      <c r="E17" s="21">
        <f>+F16-E16</f>
        <v>24683346.629999999</v>
      </c>
      <c r="G17" s="1"/>
      <c r="I17" s="112"/>
      <c r="J17" s="153" t="s">
        <v>779</v>
      </c>
    </row>
    <row r="18" spans="1:14" s="2" customFormat="1" ht="14.25" customHeight="1" x14ac:dyDescent="0.2">
      <c r="A18" s="36"/>
      <c r="B18" s="28" t="s">
        <v>66</v>
      </c>
      <c r="C18" s="43" t="s">
        <v>1458</v>
      </c>
      <c r="D18" s="43"/>
      <c r="E18" s="12">
        <f>30000000+60000000</f>
        <v>90000000</v>
      </c>
      <c r="F18" s="22"/>
      <c r="G18" s="1"/>
      <c r="I18" s="40">
        <v>24683346.629999999</v>
      </c>
      <c r="J18" s="154">
        <f>I18-E17</f>
        <v>0</v>
      </c>
    </row>
    <row r="19" spans="1:14" s="2" customFormat="1" ht="14.25" customHeight="1" x14ac:dyDescent="0.25">
      <c r="A19" s="36"/>
      <c r="B19" s="28"/>
      <c r="C19" s="44" t="s">
        <v>1541</v>
      </c>
      <c r="D19" s="43"/>
      <c r="E19" s="7">
        <f>+E17+E18</f>
        <v>114683346.63</v>
      </c>
      <c r="F19" s="22"/>
      <c r="G19" s="1"/>
      <c r="H19" s="13" t="s">
        <v>1582</v>
      </c>
      <c r="I19" s="13" t="s">
        <v>1583</v>
      </c>
    </row>
    <row r="20" spans="1:14" s="2" customFormat="1" ht="14.25" customHeight="1" x14ac:dyDescent="0.25">
      <c r="A20" s="36"/>
      <c r="B20" s="28"/>
      <c r="C20" s="44" t="s">
        <v>1511</v>
      </c>
      <c r="D20" s="43"/>
      <c r="E20" s="38">
        <f>+I11+H7-I7</f>
        <v>5316653.370000001</v>
      </c>
      <c r="F20" s="22"/>
      <c r="G20" s="1"/>
      <c r="H20" s="2">
        <v>1218588</v>
      </c>
      <c r="I20" s="2">
        <v>7820438.5599999996</v>
      </c>
      <c r="J20" s="176">
        <f>H20-I20</f>
        <v>-6601850.5599999996</v>
      </c>
    </row>
    <row r="21" spans="1:14" s="2" customFormat="1" ht="14.25" customHeight="1" x14ac:dyDescent="0.2">
      <c r="A21" s="24"/>
      <c r="B21" s="1"/>
      <c r="C21" s="14"/>
      <c r="D21" s="25"/>
      <c r="G21" s="1"/>
      <c r="I21" s="130"/>
      <c r="J21" s="130"/>
    </row>
    <row r="22" spans="1:14" s="2" customFormat="1" x14ac:dyDescent="0.2">
      <c r="A22" s="214" t="s">
        <v>10</v>
      </c>
      <c r="B22" s="214"/>
      <c r="C22" s="214"/>
      <c r="D22" s="214"/>
      <c r="E22" s="214"/>
      <c r="F22" s="214"/>
      <c r="G22" s="1"/>
      <c r="H22" s="159"/>
      <c r="I22" s="160">
        <f>225000000-75000000-50000000</f>
        <v>100000000</v>
      </c>
      <c r="J22" s="160" t="s">
        <v>1506</v>
      </c>
      <c r="K22" s="70"/>
    </row>
    <row r="23" spans="1:14" s="2" customFormat="1" x14ac:dyDescent="0.2">
      <c r="A23" s="26" t="s">
        <v>1</v>
      </c>
      <c r="B23" s="27" t="s">
        <v>2</v>
      </c>
      <c r="C23" s="5"/>
      <c r="D23" s="6" t="s">
        <v>3</v>
      </c>
      <c r="E23" s="7" t="s">
        <v>4</v>
      </c>
      <c r="F23" s="7" t="s">
        <v>5</v>
      </c>
      <c r="G23" s="1"/>
      <c r="H23" s="159"/>
      <c r="I23" s="160">
        <v>54425120.210000001</v>
      </c>
      <c r="J23" s="160" t="s">
        <v>1507</v>
      </c>
      <c r="K23" s="70" t="s">
        <v>1512</v>
      </c>
    </row>
    <row r="24" spans="1:14" s="2" customFormat="1" x14ac:dyDescent="0.2">
      <c r="A24" s="89">
        <v>45260</v>
      </c>
      <c r="B24" s="128" t="s">
        <v>11</v>
      </c>
      <c r="C24" s="29" t="s">
        <v>7</v>
      </c>
      <c r="D24" s="25"/>
      <c r="E24" s="31"/>
      <c r="F24" s="2">
        <v>58797011.710000023</v>
      </c>
      <c r="G24" s="23"/>
      <c r="H24" s="159" t="s">
        <v>1505</v>
      </c>
      <c r="I24" s="160">
        <f>+I22-I23</f>
        <v>45574879.789999999</v>
      </c>
      <c r="J24" s="160"/>
      <c r="K24" s="70"/>
    </row>
    <row r="25" spans="1:14" s="2" customFormat="1" x14ac:dyDescent="0.2">
      <c r="A25" s="89">
        <v>45260</v>
      </c>
      <c r="B25" s="128" t="s">
        <v>6</v>
      </c>
      <c r="C25" s="10" t="s">
        <v>391</v>
      </c>
      <c r="D25" s="11" t="s">
        <v>13</v>
      </c>
      <c r="E25" s="86">
        <v>13178</v>
      </c>
      <c r="F25" s="70"/>
      <c r="G25" s="1"/>
      <c r="N25" s="1"/>
    </row>
    <row r="26" spans="1:14" s="2" customFormat="1" x14ac:dyDescent="0.2">
      <c r="A26" s="89">
        <v>45260</v>
      </c>
      <c r="B26" s="128" t="s">
        <v>6</v>
      </c>
      <c r="C26" s="10" t="s">
        <v>122</v>
      </c>
      <c r="D26" s="11" t="s">
        <v>13</v>
      </c>
      <c r="E26" s="86">
        <v>89521</v>
      </c>
      <c r="F26" s="70"/>
      <c r="G26" s="1"/>
      <c r="N26" s="1"/>
    </row>
    <row r="27" spans="1:14" s="2" customFormat="1" x14ac:dyDescent="0.2">
      <c r="A27" s="89">
        <v>45260</v>
      </c>
      <c r="B27" s="128" t="s">
        <v>6</v>
      </c>
      <c r="C27" s="10" t="s">
        <v>1708</v>
      </c>
      <c r="D27" s="11" t="s">
        <v>13</v>
      </c>
      <c r="E27" s="86">
        <v>29216</v>
      </c>
      <c r="F27" s="70"/>
      <c r="G27" s="1"/>
      <c r="N27" s="1"/>
    </row>
    <row r="28" spans="1:14" s="2" customFormat="1" x14ac:dyDescent="0.2">
      <c r="A28" s="89">
        <v>45260</v>
      </c>
      <c r="B28" s="128" t="s">
        <v>6</v>
      </c>
      <c r="C28" s="10" t="s">
        <v>200</v>
      </c>
      <c r="D28" s="11" t="s">
        <v>13</v>
      </c>
      <c r="E28" s="86">
        <v>46187</v>
      </c>
      <c r="F28" s="70"/>
      <c r="G28" s="1"/>
      <c r="N28" s="1"/>
    </row>
    <row r="29" spans="1:14" s="2" customFormat="1" x14ac:dyDescent="0.2">
      <c r="A29" s="89">
        <v>45260</v>
      </c>
      <c r="B29" s="128" t="s">
        <v>6</v>
      </c>
      <c r="C29" s="10" t="s">
        <v>121</v>
      </c>
      <c r="D29" s="11" t="s">
        <v>13</v>
      </c>
      <c r="E29" s="86">
        <v>300000</v>
      </c>
      <c r="F29" s="70"/>
      <c r="G29" s="1"/>
      <c r="N29" s="1"/>
    </row>
    <row r="30" spans="1:14" s="2" customFormat="1" x14ac:dyDescent="0.2">
      <c r="A30" s="89">
        <v>45260</v>
      </c>
      <c r="B30" s="128" t="s">
        <v>6</v>
      </c>
      <c r="C30" s="10" t="s">
        <v>843</v>
      </c>
      <c r="D30" s="11" t="s">
        <v>13</v>
      </c>
      <c r="E30" s="86">
        <v>493272</v>
      </c>
      <c r="F30" s="70"/>
      <c r="G30" s="1"/>
      <c r="N30" s="1"/>
    </row>
    <row r="31" spans="1:14" s="2" customFormat="1" x14ac:dyDescent="0.2">
      <c r="A31" s="89">
        <v>45260</v>
      </c>
      <c r="B31" s="128" t="s">
        <v>6</v>
      </c>
      <c r="C31" s="10" t="s">
        <v>164</v>
      </c>
      <c r="D31" s="11" t="s">
        <v>13</v>
      </c>
      <c r="E31" s="86">
        <v>500000</v>
      </c>
      <c r="F31" s="70"/>
      <c r="G31" s="1"/>
      <c r="N31" s="1"/>
    </row>
    <row r="32" spans="1:14" s="2" customFormat="1" x14ac:dyDescent="0.2">
      <c r="A32" s="89">
        <v>45260</v>
      </c>
      <c r="B32" s="128" t="s">
        <v>6</v>
      </c>
      <c r="C32" s="10" t="s">
        <v>105</v>
      </c>
      <c r="D32" s="11" t="s">
        <v>13</v>
      </c>
      <c r="E32" s="86">
        <v>172846</v>
      </c>
      <c r="F32" s="70"/>
      <c r="G32" s="1"/>
      <c r="N32" s="1"/>
    </row>
    <row r="33" spans="1:14" s="2" customFormat="1" x14ac:dyDescent="0.2">
      <c r="A33" s="89">
        <v>45260</v>
      </c>
      <c r="B33" s="128" t="s">
        <v>6</v>
      </c>
      <c r="C33" s="10" t="s">
        <v>1633</v>
      </c>
      <c r="D33" s="11" t="s">
        <v>13</v>
      </c>
      <c r="E33" s="86">
        <v>451878</v>
      </c>
      <c r="F33" s="70"/>
      <c r="G33" s="1"/>
      <c r="N33" s="1"/>
    </row>
    <row r="34" spans="1:14" s="2" customFormat="1" x14ac:dyDescent="0.2">
      <c r="A34" s="89">
        <v>45260</v>
      </c>
      <c r="B34" s="128" t="s">
        <v>6</v>
      </c>
      <c r="C34" s="10" t="s">
        <v>219</v>
      </c>
      <c r="D34" s="11" t="s">
        <v>13</v>
      </c>
      <c r="E34" s="86">
        <v>1156528</v>
      </c>
      <c r="F34" s="70"/>
      <c r="G34" s="1"/>
      <c r="N34" s="1"/>
    </row>
    <row r="35" spans="1:14" s="2" customFormat="1" x14ac:dyDescent="0.2">
      <c r="A35" s="89">
        <v>45260</v>
      </c>
      <c r="B35" s="128" t="s">
        <v>6</v>
      </c>
      <c r="C35" s="10" t="s">
        <v>421</v>
      </c>
      <c r="D35" s="11" t="s">
        <v>13</v>
      </c>
      <c r="E35" s="86">
        <v>500000</v>
      </c>
      <c r="F35" s="70"/>
      <c r="G35" s="1"/>
      <c r="N35" s="1"/>
    </row>
    <row r="36" spans="1:14" s="2" customFormat="1" x14ac:dyDescent="0.2">
      <c r="A36" s="89">
        <v>45260</v>
      </c>
      <c r="B36" s="128" t="s">
        <v>6</v>
      </c>
      <c r="C36" s="10" t="s">
        <v>1820</v>
      </c>
      <c r="D36" s="11" t="s">
        <v>13</v>
      </c>
      <c r="E36" s="86">
        <v>19220</v>
      </c>
      <c r="F36" s="70"/>
      <c r="G36" s="1"/>
      <c r="N36" s="1"/>
    </row>
    <row r="37" spans="1:14" s="2" customFormat="1" x14ac:dyDescent="0.2">
      <c r="A37" s="89">
        <v>45260</v>
      </c>
      <c r="B37" s="128" t="s">
        <v>6</v>
      </c>
      <c r="C37" s="10" t="s">
        <v>163</v>
      </c>
      <c r="D37" s="11" t="s">
        <v>13</v>
      </c>
      <c r="E37" s="86">
        <v>579133</v>
      </c>
      <c r="F37" s="70"/>
      <c r="G37" s="1"/>
      <c r="N37" s="1"/>
    </row>
    <row r="38" spans="1:14" s="2" customFormat="1" x14ac:dyDescent="0.2">
      <c r="A38" s="89">
        <v>45260</v>
      </c>
      <c r="B38" s="128" t="s">
        <v>6</v>
      </c>
      <c r="C38" s="10" t="s">
        <v>318</v>
      </c>
      <c r="D38" s="11" t="s">
        <v>13</v>
      </c>
      <c r="E38" s="86">
        <v>501773</v>
      </c>
      <c r="F38" s="70"/>
      <c r="G38" s="1"/>
      <c r="N38" s="1"/>
    </row>
    <row r="39" spans="1:14" s="2" customFormat="1" x14ac:dyDescent="0.2">
      <c r="A39" s="89">
        <v>45260</v>
      </c>
      <c r="B39" s="128" t="s">
        <v>11</v>
      </c>
      <c r="C39" s="10" t="s">
        <v>64</v>
      </c>
      <c r="D39" s="11" t="s">
        <v>29</v>
      </c>
      <c r="E39" s="86"/>
      <c r="F39" s="70">
        <v>20.059999999999999</v>
      </c>
      <c r="G39" s="1"/>
      <c r="N39" s="1"/>
    </row>
    <row r="40" spans="1:14" s="2" customFormat="1" x14ac:dyDescent="0.2">
      <c r="A40" s="89">
        <v>45260</v>
      </c>
      <c r="B40" s="128" t="s">
        <v>11</v>
      </c>
      <c r="C40" s="10" t="s">
        <v>135</v>
      </c>
      <c r="D40" s="11" t="s">
        <v>29</v>
      </c>
      <c r="E40" s="86"/>
      <c r="F40" s="70">
        <v>1735019</v>
      </c>
      <c r="G40" s="1"/>
      <c r="N40" s="1"/>
    </row>
    <row r="41" spans="1:14" s="2" customFormat="1" x14ac:dyDescent="0.2">
      <c r="A41" s="89">
        <v>45260</v>
      </c>
      <c r="B41" s="128" t="s">
        <v>11</v>
      </c>
      <c r="C41" s="10" t="s">
        <v>733</v>
      </c>
      <c r="D41" s="11" t="s">
        <v>29</v>
      </c>
      <c r="E41" s="86"/>
      <c r="F41" s="70">
        <v>2139069</v>
      </c>
      <c r="G41" s="1"/>
      <c r="N41" s="1"/>
    </row>
    <row r="42" spans="1:14" s="2" customFormat="1" x14ac:dyDescent="0.2">
      <c r="A42" s="89">
        <v>45260</v>
      </c>
      <c r="B42" s="128" t="s">
        <v>11</v>
      </c>
      <c r="C42" s="10" t="s">
        <v>732</v>
      </c>
      <c r="D42" s="11" t="s">
        <v>29</v>
      </c>
      <c r="E42" s="86"/>
      <c r="F42" s="70">
        <v>3208603</v>
      </c>
      <c r="G42" s="1"/>
      <c r="N42" s="1"/>
    </row>
    <row r="43" spans="1:14" s="2" customFormat="1" x14ac:dyDescent="0.2">
      <c r="A43" s="32"/>
      <c r="B43" s="33"/>
      <c r="C43" s="14"/>
      <c r="D43" s="34"/>
      <c r="E43" s="16">
        <f>SUM(E24:E42)</f>
        <v>4852752</v>
      </c>
      <c r="F43" s="16">
        <f>SUM(F24:F42)</f>
        <v>65879722.770000026</v>
      </c>
      <c r="G43" s="1"/>
      <c r="H43" s="1"/>
      <c r="I43" s="38">
        <v>61026970.770000003</v>
      </c>
      <c r="K43" s="92">
        <f>E44-I43</f>
        <v>0</v>
      </c>
      <c r="N43" s="1"/>
    </row>
    <row r="44" spans="1:14" s="2" customFormat="1" x14ac:dyDescent="0.2">
      <c r="A44" s="36"/>
      <c r="B44" s="28" t="s">
        <v>11</v>
      </c>
      <c r="C44" s="19" t="s">
        <v>65</v>
      </c>
      <c r="D44" s="37"/>
      <c r="E44" s="38">
        <f>F43-E43</f>
        <v>61026970.770000026</v>
      </c>
      <c r="F44" s="22"/>
      <c r="G44" s="1"/>
      <c r="H44" s="1"/>
      <c r="I44" s="70"/>
      <c r="J44" s="70"/>
      <c r="K44" s="70"/>
      <c r="N44" s="1"/>
    </row>
    <row r="45" spans="1:14" s="2" customFormat="1" x14ac:dyDescent="0.2">
      <c r="A45" s="36"/>
      <c r="B45" s="28" t="s">
        <v>66</v>
      </c>
      <c r="C45" s="19" t="s">
        <v>67</v>
      </c>
      <c r="D45" s="37"/>
      <c r="E45" s="38">
        <v>6500000</v>
      </c>
      <c r="F45" s="22"/>
      <c r="G45" s="1"/>
      <c r="H45" s="70"/>
      <c r="I45" s="70"/>
      <c r="J45" s="70"/>
      <c r="K45" s="70"/>
      <c r="N45" s="1"/>
    </row>
    <row r="46" spans="1:14" s="2" customFormat="1" x14ac:dyDescent="0.2">
      <c r="A46" s="36"/>
      <c r="B46" s="28" t="s">
        <v>66</v>
      </c>
      <c r="C46" s="43" t="s">
        <v>1457</v>
      </c>
      <c r="D46" s="43"/>
      <c r="E46" s="12">
        <f>275000000+75000000+50000000</f>
        <v>400000000</v>
      </c>
      <c r="F46" s="22"/>
      <c r="G46" s="1"/>
      <c r="H46" s="70"/>
      <c r="I46" s="45">
        <v>2812.37</v>
      </c>
      <c r="J46" s="46"/>
      <c r="K46" s="46"/>
      <c r="N46" s="1"/>
    </row>
    <row r="47" spans="1:14" s="2" customFormat="1" ht="15" x14ac:dyDescent="0.25">
      <c r="A47" s="36"/>
      <c r="B47" s="28"/>
      <c r="C47" s="44" t="s">
        <v>1541</v>
      </c>
      <c r="D47" s="43"/>
      <c r="E47" s="7">
        <f>+E46+E44+E45</f>
        <v>467526970.77000004</v>
      </c>
      <c r="F47" s="22"/>
      <c r="G47" s="1"/>
      <c r="H47" s="103" t="s">
        <v>69</v>
      </c>
      <c r="I47" s="45">
        <v>-133.72</v>
      </c>
      <c r="J47" s="46"/>
      <c r="K47" s="46"/>
      <c r="N47" s="1"/>
    </row>
    <row r="48" spans="1:14" s="2" customFormat="1" ht="15" x14ac:dyDescent="0.25">
      <c r="A48" s="24"/>
      <c r="B48" s="1"/>
      <c r="C48" s="44" t="s">
        <v>1510</v>
      </c>
      <c r="D48" s="25"/>
      <c r="E48" s="156">
        <f>+I24-E45+H20-I20</f>
        <v>32473029.23</v>
      </c>
      <c r="G48" s="1"/>
      <c r="H48" s="35" t="s">
        <v>70</v>
      </c>
      <c r="I48" s="45">
        <v>121.45</v>
      </c>
      <c r="J48" s="46">
        <f>+I49-D51</f>
        <v>58.710000000000036</v>
      </c>
      <c r="N48" s="1"/>
    </row>
    <row r="49" spans="1:13" s="124" customFormat="1" ht="12.75" customHeight="1" x14ac:dyDescent="0.2">
      <c r="A49" s="24"/>
      <c r="B49" s="1"/>
      <c r="C49" s="56"/>
      <c r="D49" s="56"/>
      <c r="E49" s="104"/>
      <c r="F49" s="2"/>
      <c r="G49" s="166"/>
      <c r="H49" s="70"/>
      <c r="I49" s="49">
        <f>SUM(I46:I48)</f>
        <v>2800.1</v>
      </c>
      <c r="J49" s="46"/>
      <c r="K49" s="46"/>
    </row>
    <row r="50" spans="1:13" s="124" customFormat="1" ht="12.75" customHeight="1" x14ac:dyDescent="0.2">
      <c r="A50" s="24"/>
      <c r="B50" s="1"/>
      <c r="C50" s="78" t="s">
        <v>575</v>
      </c>
      <c r="D50" s="48" t="s">
        <v>576</v>
      </c>
      <c r="E50" s="104"/>
      <c r="F50" s="2"/>
      <c r="G50" s="168"/>
      <c r="H50" s="167"/>
      <c r="I50" s="167"/>
      <c r="J50" s="168"/>
    </row>
    <row r="51" spans="1:13" s="124" customFormat="1" ht="12.75" customHeight="1" x14ac:dyDescent="0.2">
      <c r="A51" s="24"/>
      <c r="B51" s="1"/>
      <c r="C51" s="47" t="s">
        <v>570</v>
      </c>
      <c r="D51" s="111">
        <v>2741.39</v>
      </c>
      <c r="E51" s="104"/>
      <c r="F51" s="2"/>
      <c r="G51" s="168"/>
      <c r="H51" s="110" t="s">
        <v>581</v>
      </c>
      <c r="I51" s="167"/>
      <c r="J51" s="168"/>
    </row>
    <row r="52" spans="1:13" s="124" customFormat="1" ht="12.75" customHeight="1" x14ac:dyDescent="0.2">
      <c r="A52" s="24"/>
      <c r="B52" s="1"/>
      <c r="C52" s="47" t="s">
        <v>931</v>
      </c>
      <c r="D52" s="111">
        <v>170.9</v>
      </c>
      <c r="E52" s="104"/>
      <c r="F52" s="2"/>
      <c r="G52" s="168"/>
      <c r="H52" s="110" t="s">
        <v>580</v>
      </c>
      <c r="I52" s="167"/>
      <c r="J52" s="168"/>
    </row>
    <row r="53" spans="1:13" s="124" customFormat="1" ht="12.75" customHeight="1" x14ac:dyDescent="0.2">
      <c r="A53" s="24"/>
      <c r="B53" s="1"/>
      <c r="C53" s="47" t="s">
        <v>572</v>
      </c>
      <c r="D53" s="111">
        <f>+D86/100000</f>
        <v>394.39061950000001</v>
      </c>
      <c r="E53" s="104"/>
      <c r="F53" s="2"/>
      <c r="G53" s="166"/>
      <c r="H53" s="90" t="s">
        <v>587</v>
      </c>
      <c r="I53" s="167"/>
      <c r="J53" s="168"/>
    </row>
    <row r="54" spans="1:13" s="2" customFormat="1" x14ac:dyDescent="0.2">
      <c r="A54" s="24"/>
      <c r="B54" s="1"/>
      <c r="C54" s="108" t="s">
        <v>578</v>
      </c>
      <c r="D54" s="48">
        <f>SUM(D51:D53)</f>
        <v>3306.6806194999999</v>
      </c>
      <c r="E54" s="104"/>
      <c r="G54" s="30"/>
      <c r="I54" s="13"/>
      <c r="J54" s="13"/>
    </row>
    <row r="55" spans="1:13" s="70" customFormat="1" x14ac:dyDescent="0.2">
      <c r="A55" s="24"/>
      <c r="B55" s="1"/>
      <c r="C55" s="47"/>
      <c r="D55" s="107"/>
      <c r="E55" s="104"/>
      <c r="F55" s="2"/>
      <c r="G55" s="30"/>
      <c r="H55" s="2"/>
    </row>
    <row r="56" spans="1:13" s="70" customFormat="1" x14ac:dyDescent="0.2">
      <c r="A56" s="24"/>
      <c r="B56" s="1"/>
      <c r="C56" s="47" t="s">
        <v>932</v>
      </c>
      <c r="D56" s="111">
        <v>149.04</v>
      </c>
      <c r="E56" s="104"/>
      <c r="F56" s="2"/>
      <c r="G56" s="30"/>
      <c r="H56" s="110" t="s">
        <v>581</v>
      </c>
    </row>
    <row r="57" spans="1:13" s="70" customFormat="1" x14ac:dyDescent="0.2">
      <c r="A57" s="24"/>
      <c r="B57" s="1"/>
      <c r="C57" s="136" t="s">
        <v>1142</v>
      </c>
      <c r="D57" s="111">
        <f>861.87-117.09</f>
        <v>744.78</v>
      </c>
      <c r="E57" s="104"/>
      <c r="F57" s="2"/>
      <c r="G57" s="30"/>
      <c r="H57" s="110" t="s">
        <v>581</v>
      </c>
    </row>
    <row r="58" spans="1:13" s="70" customFormat="1" x14ac:dyDescent="0.2">
      <c r="A58" s="24"/>
      <c r="B58" s="1"/>
      <c r="C58" s="78" t="s">
        <v>579</v>
      </c>
      <c r="D58" s="109">
        <f>D56+D57</f>
        <v>893.81999999999994</v>
      </c>
      <c r="E58" s="104"/>
      <c r="F58" s="2"/>
      <c r="G58" s="30"/>
    </row>
    <row r="59" spans="1:13" s="70" customFormat="1" x14ac:dyDescent="0.2">
      <c r="A59" s="24"/>
      <c r="B59" s="1"/>
      <c r="C59" s="105"/>
      <c r="D59" s="106"/>
      <c r="E59" s="104"/>
      <c r="F59" s="2"/>
      <c r="G59" s="30"/>
      <c r="I59" s="2"/>
      <c r="J59" s="114" t="s">
        <v>713</v>
      </c>
      <c r="K59" s="2"/>
      <c r="L59" s="2"/>
      <c r="M59" s="2"/>
    </row>
    <row r="60" spans="1:13" s="70" customFormat="1" x14ac:dyDescent="0.2">
      <c r="A60" s="24"/>
      <c r="B60" s="1"/>
      <c r="C60" s="78" t="s">
        <v>577</v>
      </c>
      <c r="D60" s="109">
        <f>D51+D58</f>
        <v>3635.21</v>
      </c>
      <c r="E60" s="104"/>
      <c r="F60" s="2"/>
      <c r="G60" s="30"/>
      <c r="I60" s="113"/>
      <c r="J60" s="113" t="s">
        <v>709</v>
      </c>
      <c r="K60" s="113" t="s">
        <v>710</v>
      </c>
      <c r="L60" s="113" t="s">
        <v>711</v>
      </c>
      <c r="M60" s="113" t="s">
        <v>712</v>
      </c>
    </row>
    <row r="61" spans="1:13" s="70" customFormat="1" x14ac:dyDescent="0.2">
      <c r="A61" s="24"/>
      <c r="B61" s="1"/>
      <c r="C61" s="56"/>
      <c r="D61" s="56"/>
      <c r="E61" s="104"/>
      <c r="F61" s="2"/>
      <c r="G61" s="30"/>
      <c r="I61" s="113" t="s">
        <v>706</v>
      </c>
      <c r="J61" s="115"/>
      <c r="K61" s="115">
        <v>968.99</v>
      </c>
      <c r="L61" s="115">
        <v>968.99</v>
      </c>
      <c r="M61" s="113">
        <f>+J61+L61-K61</f>
        <v>0</v>
      </c>
    </row>
    <row r="62" spans="1:13" s="70" customFormat="1" ht="38.25" x14ac:dyDescent="0.2">
      <c r="A62" s="24"/>
      <c r="B62" s="1"/>
      <c r="C62" s="79" t="str">
        <f>"Particulars ( 01-04-2021 to "&amp;TEXT(A5,"dd-mm-yyyy")&amp;" )"</f>
        <v>Particulars ( 01-04-2021 to 30-11-2023 )</v>
      </c>
      <c r="D62" s="80" t="s">
        <v>73</v>
      </c>
      <c r="E62" s="80" t="s">
        <v>74</v>
      </c>
      <c r="F62" s="81" t="s">
        <v>75</v>
      </c>
      <c r="G62" s="80" t="s">
        <v>76</v>
      </c>
      <c r="I62" s="113" t="s">
        <v>707</v>
      </c>
      <c r="J62" s="115">
        <v>183.1</v>
      </c>
      <c r="K62" s="115">
        <v>4068.23</v>
      </c>
      <c r="L62" s="115">
        <v>4269.2</v>
      </c>
      <c r="M62" s="113">
        <f>+J62+L62-K62</f>
        <v>384.07000000000016</v>
      </c>
    </row>
    <row r="63" spans="1:13" s="70" customFormat="1" x14ac:dyDescent="0.2">
      <c r="A63" s="24"/>
      <c r="B63" s="1"/>
      <c r="C63" s="50" t="s">
        <v>444</v>
      </c>
      <c r="D63" s="55">
        <f>+L61+L62+J62</f>
        <v>5421.29</v>
      </c>
      <c r="E63" s="55">
        <f>+K61+K62</f>
        <v>5037.22</v>
      </c>
      <c r="F63" s="55">
        <f>+D63-E63</f>
        <v>384.06999999999971</v>
      </c>
      <c r="G63" s="55">
        <f>1500-F63</f>
        <v>1115.9300000000003</v>
      </c>
      <c r="I63" s="113" t="s">
        <v>708</v>
      </c>
      <c r="J63" s="115">
        <v>1371.02</v>
      </c>
      <c r="K63" s="115">
        <v>15255.99</v>
      </c>
      <c r="L63" s="115">
        <v>15417.04</v>
      </c>
      <c r="M63" s="113">
        <f>+J63+L63-K63</f>
        <v>1532.0700000000015</v>
      </c>
    </row>
    <row r="64" spans="1:13" s="70" customFormat="1" ht="12.75" customHeight="1" x14ac:dyDescent="0.2">
      <c r="A64" s="24"/>
      <c r="B64" s="1"/>
      <c r="C64" s="50" t="s">
        <v>71</v>
      </c>
      <c r="D64" s="55">
        <f>+J63+L63</f>
        <v>16788.060000000001</v>
      </c>
      <c r="E64" s="55">
        <f>+K63</f>
        <v>15255.99</v>
      </c>
      <c r="F64" s="55">
        <f>+D64-E64</f>
        <v>1532.0700000000015</v>
      </c>
      <c r="G64" s="55">
        <f>1500+700-F64</f>
        <v>667.92999999999847</v>
      </c>
      <c r="I64" s="2"/>
      <c r="J64" s="118">
        <f>SUM(J61:J63)</f>
        <v>1554.12</v>
      </c>
      <c r="K64" s="118">
        <f>SUM(K61:K63)</f>
        <v>20293.21</v>
      </c>
      <c r="L64" s="118">
        <f>SUM(L61:L63)</f>
        <v>20655.23</v>
      </c>
      <c r="M64" s="118">
        <f>SUM(M61:M63)</f>
        <v>1916.1400000000017</v>
      </c>
    </row>
    <row r="65" spans="1:14" s="70" customFormat="1" ht="12.75" customHeight="1" x14ac:dyDescent="0.2">
      <c r="A65" s="24"/>
      <c r="B65" s="1"/>
      <c r="C65" s="14"/>
      <c r="D65" s="56"/>
      <c r="E65" s="13"/>
      <c r="F65" s="2"/>
      <c r="G65" s="30"/>
    </row>
    <row r="66" spans="1:14" s="70" customFormat="1" ht="12.75" customHeight="1" x14ac:dyDescent="0.2">
      <c r="A66" s="215" t="s">
        <v>80</v>
      </c>
      <c r="B66" s="216"/>
      <c r="C66" s="216"/>
      <c r="D66" s="217"/>
      <c r="E66" s="69"/>
      <c r="G66" s="30"/>
    </row>
    <row r="67" spans="1:14" s="70" customFormat="1" ht="12.75" customHeight="1" x14ac:dyDescent="0.2">
      <c r="A67" s="71" t="s">
        <v>81</v>
      </c>
      <c r="B67" s="71"/>
      <c r="C67" s="72" t="s">
        <v>82</v>
      </c>
      <c r="D67" s="73" t="s">
        <v>83</v>
      </c>
      <c r="E67" s="69"/>
      <c r="G67" s="30"/>
    </row>
    <row r="68" spans="1:14" s="70" customFormat="1" ht="12.75" customHeight="1" x14ac:dyDescent="0.2">
      <c r="A68" s="87">
        <v>45232</v>
      </c>
      <c r="B68" s="120" t="s">
        <v>6</v>
      </c>
      <c r="C68" s="75" t="s">
        <v>767</v>
      </c>
      <c r="D68" s="88">
        <v>515100</v>
      </c>
      <c r="E68" s="2"/>
      <c r="F68" s="2"/>
      <c r="G68" s="30"/>
      <c r="H68" s="2"/>
      <c r="I68" s="2"/>
      <c r="J68" s="2"/>
      <c r="K68" s="2"/>
      <c r="L68" s="41"/>
      <c r="M68" s="42"/>
      <c r="N68" s="2"/>
    </row>
    <row r="69" spans="1:14" s="70" customFormat="1" ht="12.75" customHeight="1" x14ac:dyDescent="0.2">
      <c r="A69" s="87">
        <v>45232</v>
      </c>
      <c r="B69" s="120" t="s">
        <v>6</v>
      </c>
      <c r="C69" s="75" t="s">
        <v>566</v>
      </c>
      <c r="D69" s="88">
        <v>52450</v>
      </c>
      <c r="E69" s="2"/>
      <c r="F69" s="2"/>
      <c r="G69" s="30"/>
      <c r="H69" s="2"/>
      <c r="I69" s="2"/>
      <c r="J69" s="2"/>
      <c r="K69" s="2"/>
      <c r="L69" s="41"/>
      <c r="M69" s="42"/>
      <c r="N69" s="2"/>
    </row>
    <row r="70" spans="1:14" s="70" customFormat="1" ht="12.75" customHeight="1" x14ac:dyDescent="0.2">
      <c r="A70" s="87">
        <v>45233</v>
      </c>
      <c r="B70" s="120" t="s">
        <v>6</v>
      </c>
      <c r="C70" s="75" t="s">
        <v>1084</v>
      </c>
      <c r="D70" s="88">
        <v>1833799</v>
      </c>
      <c r="E70" s="2"/>
      <c r="F70" s="2"/>
      <c r="G70" s="30"/>
      <c r="H70" s="2"/>
      <c r="I70" s="2"/>
      <c r="J70" s="2"/>
      <c r="K70" s="2"/>
      <c r="L70" s="41"/>
      <c r="M70" s="42"/>
      <c r="N70" s="2"/>
    </row>
    <row r="71" spans="1:14" s="70" customFormat="1" ht="12.75" customHeight="1" x14ac:dyDescent="0.2">
      <c r="A71" s="87">
        <v>45233</v>
      </c>
      <c r="B71" s="120" t="s">
        <v>6</v>
      </c>
      <c r="C71" s="75" t="s">
        <v>909</v>
      </c>
      <c r="D71" s="88">
        <v>366980</v>
      </c>
      <c r="E71" s="2"/>
      <c r="F71" s="2"/>
      <c r="G71" s="30"/>
      <c r="H71" s="2"/>
      <c r="I71" s="2"/>
      <c r="J71" s="2"/>
      <c r="K71" s="2"/>
      <c r="L71" s="41"/>
      <c r="M71" s="42"/>
      <c r="N71" s="2"/>
    </row>
    <row r="72" spans="1:14" s="70" customFormat="1" ht="12.75" customHeight="1" x14ac:dyDescent="0.2">
      <c r="A72" s="87">
        <v>45233</v>
      </c>
      <c r="B72" s="120" t="s">
        <v>6</v>
      </c>
      <c r="C72" s="75" t="s">
        <v>909</v>
      </c>
      <c r="D72" s="88">
        <v>30038</v>
      </c>
      <c r="E72" s="2"/>
      <c r="F72" s="2"/>
      <c r="G72" s="30"/>
      <c r="H72" s="2"/>
      <c r="I72" s="2"/>
      <c r="J72" s="2"/>
      <c r="K72" s="2"/>
      <c r="L72" s="41"/>
      <c r="M72" s="42"/>
      <c r="N72" s="2"/>
    </row>
    <row r="73" spans="1:14" s="70" customFormat="1" ht="12.75" customHeight="1" x14ac:dyDescent="0.2">
      <c r="A73" s="87">
        <v>45237</v>
      </c>
      <c r="B73" s="120" t="s">
        <v>6</v>
      </c>
      <c r="C73" s="75" t="s">
        <v>888</v>
      </c>
      <c r="D73" s="88">
        <v>14999721.949999999</v>
      </c>
      <c r="E73" s="2"/>
      <c r="F73" s="2"/>
      <c r="G73" s="30"/>
      <c r="H73" s="2"/>
      <c r="I73" s="2"/>
      <c r="J73" s="2"/>
      <c r="K73" s="2"/>
      <c r="L73" s="41"/>
      <c r="M73" s="42"/>
      <c r="N73" s="2"/>
    </row>
    <row r="74" spans="1:14" s="70" customFormat="1" ht="12.75" customHeight="1" x14ac:dyDescent="0.2">
      <c r="A74" s="87">
        <v>45238</v>
      </c>
      <c r="B74" s="120" t="s">
        <v>6</v>
      </c>
      <c r="C74" s="75" t="s">
        <v>606</v>
      </c>
      <c r="D74" s="88">
        <v>1098495</v>
      </c>
      <c r="E74" s="2"/>
      <c r="F74" s="2"/>
      <c r="G74" s="30"/>
      <c r="H74" s="2"/>
      <c r="I74" s="2"/>
      <c r="J74" s="2"/>
      <c r="K74" s="2"/>
      <c r="L74" s="41"/>
      <c r="M74" s="42"/>
      <c r="N74" s="2"/>
    </row>
    <row r="75" spans="1:14" s="70" customFormat="1" ht="12.75" customHeight="1" x14ac:dyDescent="0.2">
      <c r="A75" s="87">
        <v>45239</v>
      </c>
      <c r="B75" s="120" t="s">
        <v>6</v>
      </c>
      <c r="C75" s="75" t="s">
        <v>566</v>
      </c>
      <c r="D75" s="88">
        <f>183507+63254</f>
        <v>246761</v>
      </c>
      <c r="E75" s="2"/>
      <c r="F75" s="2"/>
      <c r="G75" s="30"/>
      <c r="H75" s="2"/>
      <c r="I75" s="2"/>
      <c r="J75" s="2"/>
      <c r="K75" s="2"/>
      <c r="L75" s="41"/>
      <c r="M75" s="42"/>
      <c r="N75" s="2"/>
    </row>
    <row r="76" spans="1:14" s="70" customFormat="1" ht="12.75" customHeight="1" x14ac:dyDescent="0.2">
      <c r="A76" s="87">
        <v>45240</v>
      </c>
      <c r="B76" s="120" t="s">
        <v>6</v>
      </c>
      <c r="C76" s="75" t="s">
        <v>767</v>
      </c>
      <c r="D76" s="88">
        <v>287037</v>
      </c>
      <c r="E76" s="2"/>
      <c r="F76" s="2"/>
      <c r="G76" s="30"/>
      <c r="H76" s="2"/>
      <c r="I76" s="2"/>
      <c r="J76" s="2"/>
      <c r="K76" s="2"/>
      <c r="L76" s="41"/>
      <c r="M76" s="42"/>
      <c r="N76" s="2"/>
    </row>
    <row r="77" spans="1:14" s="70" customFormat="1" ht="12.75" customHeight="1" x14ac:dyDescent="0.2">
      <c r="A77" s="87">
        <v>45240</v>
      </c>
      <c r="B77" s="120" t="s">
        <v>6</v>
      </c>
      <c r="C77" s="75" t="s">
        <v>1767</v>
      </c>
      <c r="D77" s="88">
        <v>1000000</v>
      </c>
      <c r="E77" s="2"/>
      <c r="F77" s="2"/>
      <c r="G77" s="30"/>
      <c r="H77" s="2"/>
      <c r="I77" s="2"/>
      <c r="J77" s="2"/>
      <c r="K77" s="2"/>
      <c r="L77" s="41"/>
      <c r="M77" s="42"/>
      <c r="N77" s="2"/>
    </row>
    <row r="78" spans="1:14" s="70" customFormat="1" ht="12.75" customHeight="1" x14ac:dyDescent="0.2">
      <c r="A78" s="87">
        <v>45248</v>
      </c>
      <c r="B78" s="120" t="s">
        <v>6</v>
      </c>
      <c r="C78" s="75" t="s">
        <v>1084</v>
      </c>
      <c r="D78" s="88">
        <v>5733144</v>
      </c>
      <c r="E78" s="2"/>
      <c r="F78" s="2"/>
      <c r="G78" s="30"/>
      <c r="H78" s="2"/>
      <c r="I78" s="2"/>
      <c r="J78" s="2"/>
      <c r="K78" s="2"/>
      <c r="L78" s="41"/>
      <c r="M78" s="42"/>
      <c r="N78" s="2"/>
    </row>
    <row r="79" spans="1:14" s="70" customFormat="1" ht="12.75" customHeight="1" x14ac:dyDescent="0.2">
      <c r="A79" s="87">
        <v>45251</v>
      </c>
      <c r="B79" s="120" t="s">
        <v>6</v>
      </c>
      <c r="C79" s="75" t="s">
        <v>1801</v>
      </c>
      <c r="D79" s="88">
        <v>29372</v>
      </c>
      <c r="E79" s="2"/>
      <c r="F79" s="2"/>
      <c r="G79" s="30"/>
      <c r="H79" s="2"/>
      <c r="I79" s="2"/>
      <c r="J79" s="2"/>
      <c r="K79" s="2"/>
      <c r="L79" s="41"/>
      <c r="M79" s="42"/>
      <c r="N79" s="2"/>
    </row>
    <row r="80" spans="1:14" s="70" customFormat="1" ht="12.75" customHeight="1" x14ac:dyDescent="0.2">
      <c r="A80" s="87">
        <v>45252</v>
      </c>
      <c r="B80" s="120" t="s">
        <v>6</v>
      </c>
      <c r="C80" s="75" t="s">
        <v>909</v>
      </c>
      <c r="D80" s="88">
        <v>1380738</v>
      </c>
      <c r="E80" s="2"/>
      <c r="F80" s="2"/>
      <c r="G80" s="30"/>
      <c r="H80" s="2"/>
      <c r="I80" s="2"/>
      <c r="J80" s="2"/>
      <c r="K80" s="2"/>
      <c r="L80" s="41"/>
      <c r="M80" s="42"/>
      <c r="N80" s="2"/>
    </row>
    <row r="81" spans="1:14" s="70" customFormat="1" ht="12.75" customHeight="1" x14ac:dyDescent="0.2">
      <c r="A81" s="87">
        <v>45252</v>
      </c>
      <c r="B81" s="120" t="s">
        <v>6</v>
      </c>
      <c r="C81" s="75" t="s">
        <v>909</v>
      </c>
      <c r="D81" s="88">
        <v>4316660</v>
      </c>
      <c r="E81" s="2"/>
      <c r="F81" s="2"/>
      <c r="G81" s="30"/>
      <c r="H81" s="2"/>
      <c r="I81" s="2"/>
      <c r="J81" s="2"/>
      <c r="K81" s="2"/>
      <c r="L81" s="41"/>
      <c r="M81" s="42"/>
      <c r="N81" s="2"/>
    </row>
    <row r="82" spans="1:14" s="70" customFormat="1" ht="12.75" customHeight="1" x14ac:dyDescent="0.2">
      <c r="A82" s="87">
        <v>45254</v>
      </c>
      <c r="B82" s="120" t="s">
        <v>6</v>
      </c>
      <c r="C82" s="75" t="s">
        <v>1806</v>
      </c>
      <c r="D82" s="88">
        <v>4146289</v>
      </c>
      <c r="E82" s="2"/>
      <c r="F82" s="2"/>
      <c r="G82" s="30"/>
      <c r="H82" s="2"/>
      <c r="I82" s="2"/>
      <c r="J82" s="2"/>
      <c r="K82" s="2"/>
      <c r="L82" s="41"/>
      <c r="M82" s="42"/>
      <c r="N82" s="2"/>
    </row>
    <row r="83" spans="1:14" s="70" customFormat="1" ht="12.75" customHeight="1" x14ac:dyDescent="0.2">
      <c r="A83" s="87">
        <v>45257</v>
      </c>
      <c r="B83" s="120" t="s">
        <v>6</v>
      </c>
      <c r="C83" s="75" t="s">
        <v>888</v>
      </c>
      <c r="D83" s="88">
        <v>2109308</v>
      </c>
      <c r="E83" s="2"/>
      <c r="F83" s="2"/>
      <c r="G83" s="30"/>
      <c r="H83" s="2"/>
      <c r="I83" s="2"/>
      <c r="J83" s="2"/>
      <c r="K83" s="2"/>
      <c r="L83" s="41"/>
      <c r="M83" s="42"/>
      <c r="N83" s="2"/>
    </row>
    <row r="84" spans="1:14" s="70" customFormat="1" ht="12.75" customHeight="1" x14ac:dyDescent="0.2">
      <c r="A84" s="87">
        <v>45258</v>
      </c>
      <c r="B84" s="120" t="s">
        <v>6</v>
      </c>
      <c r="C84" s="75" t="s">
        <v>566</v>
      </c>
      <c r="D84" s="88">
        <v>554230</v>
      </c>
      <c r="E84" s="2"/>
      <c r="F84" s="2"/>
      <c r="G84" s="30"/>
      <c r="H84" s="2"/>
      <c r="I84" s="2"/>
      <c r="J84" s="2"/>
      <c r="K84" s="2"/>
      <c r="L84" s="41"/>
      <c r="M84" s="42"/>
      <c r="N84" s="2"/>
    </row>
    <row r="85" spans="1:14" s="70" customFormat="1" ht="12.75" customHeight="1" x14ac:dyDescent="0.2">
      <c r="A85" s="87">
        <v>45258</v>
      </c>
      <c r="B85" s="120" t="s">
        <v>6</v>
      </c>
      <c r="C85" s="75" t="s">
        <v>566</v>
      </c>
      <c r="D85" s="88">
        <v>738939</v>
      </c>
      <c r="E85" s="2"/>
      <c r="F85" s="2"/>
      <c r="G85" s="30"/>
      <c r="H85" s="2"/>
      <c r="I85" s="2"/>
      <c r="J85" s="2"/>
      <c r="K85" s="2"/>
      <c r="L85" s="41"/>
      <c r="M85" s="42"/>
      <c r="N85" s="2"/>
    </row>
    <row r="86" spans="1:14" s="2" customFormat="1" x14ac:dyDescent="0.2">
      <c r="A86" s="87"/>
      <c r="B86" s="74"/>
      <c r="C86" s="75"/>
      <c r="D86" s="51">
        <f>SUM(D68:D85)</f>
        <v>39439061.950000003</v>
      </c>
      <c r="F86" s="2" t="s">
        <v>396</v>
      </c>
      <c r="G86" s="1"/>
    </row>
    <row r="87" spans="1:14" s="2" customFormat="1" x14ac:dyDescent="0.2">
      <c r="A87" s="24"/>
      <c r="B87" s="1"/>
      <c r="C87" s="14"/>
      <c r="D87" s="56"/>
      <c r="E87" s="13"/>
      <c r="G87" s="1"/>
    </row>
    <row r="88" spans="1:14" s="2" customFormat="1" x14ac:dyDescent="0.2">
      <c r="A88" s="24"/>
      <c r="B88" s="1"/>
      <c r="C88" s="218" t="s">
        <v>77</v>
      </c>
      <c r="D88" s="219"/>
      <c r="E88" s="219"/>
      <c r="F88" s="220"/>
      <c r="H88" s="2" t="s">
        <v>396</v>
      </c>
    </row>
    <row r="89" spans="1:14" s="2" customFormat="1" x14ac:dyDescent="0.2">
      <c r="A89" s="24"/>
      <c r="B89" s="1"/>
      <c r="C89" s="50"/>
      <c r="D89" s="57" t="s">
        <v>78</v>
      </c>
      <c r="E89" s="58" t="s">
        <v>79</v>
      </c>
      <c r="F89" s="57" t="s">
        <v>72</v>
      </c>
      <c r="H89" s="2" t="s">
        <v>396</v>
      </c>
    </row>
    <row r="90" spans="1:14" s="2" customFormat="1" x14ac:dyDescent="0.2">
      <c r="A90" s="24"/>
      <c r="B90" s="1"/>
      <c r="C90" s="59" t="str">
        <f>"01-11-2023 to "&amp;TEXT(A5-2,"dd-mm-yyyy")</f>
        <v>01-11-2023 to 28-11-2023</v>
      </c>
      <c r="D90" s="60">
        <v>2132.92</v>
      </c>
      <c r="E90" s="60">
        <v>483.82</v>
      </c>
      <c r="F90" s="61">
        <f>SUM(D90:E90)</f>
        <v>2616.7400000000002</v>
      </c>
    </row>
    <row r="91" spans="1:14" s="2" customFormat="1" x14ac:dyDescent="0.2">
      <c r="A91" s="24"/>
      <c r="B91" s="1"/>
      <c r="C91" s="62" t="str">
        <f>TEXT(A5-1,"dd-mm-yyyy")</f>
        <v>29-11-2023</v>
      </c>
      <c r="D91" s="60">
        <v>14.72</v>
      </c>
      <c r="E91" s="60">
        <v>2.88</v>
      </c>
      <c r="F91" s="61">
        <f>SUM(D91:E91)</f>
        <v>17.600000000000001</v>
      </c>
      <c r="G91" s="1"/>
      <c r="H91" s="53"/>
    </row>
    <row r="92" spans="1:14" s="2" customFormat="1" ht="13.5" thickBot="1" x14ac:dyDescent="0.25">
      <c r="A92" s="24"/>
      <c r="B92" s="1"/>
      <c r="C92" s="63" t="str">
        <f>"01-11-2023 to "&amp;TEXT(A5-1,"dd-mm-yyyy")</f>
        <v>01-11-2023 to 29-11-2023</v>
      </c>
      <c r="D92" s="64">
        <f>SUM(D90:D91)</f>
        <v>2147.64</v>
      </c>
      <c r="E92" s="64">
        <f>SUM(E90:E91)</f>
        <v>486.7</v>
      </c>
      <c r="F92" s="64">
        <f>SUM(F90:F91)</f>
        <v>2634.34</v>
      </c>
      <c r="G92" s="1"/>
      <c r="H92" s="53"/>
    </row>
    <row r="93" spans="1:14" s="2" customFormat="1" ht="13.5" thickTop="1" x14ac:dyDescent="0.2">
      <c r="A93" s="24"/>
      <c r="B93" s="1"/>
      <c r="C93" s="62"/>
      <c r="D93" s="65"/>
      <c r="E93" s="66"/>
      <c r="F93" s="67"/>
      <c r="L93" s="1"/>
      <c r="M93" s="1"/>
    </row>
    <row r="94" spans="1:14" s="2" customFormat="1" x14ac:dyDescent="0.2">
      <c r="A94" s="24"/>
      <c r="B94" s="1"/>
      <c r="C94" s="62" t="str">
        <f>"01-04-2023 to " &amp;C91</f>
        <v>01-04-2023 to 29-11-2023</v>
      </c>
      <c r="D94" s="68">
        <f>+D92+29859.78</f>
        <v>32007.42</v>
      </c>
      <c r="E94" s="68">
        <f>+E92+2548.34</f>
        <v>3035.04</v>
      </c>
      <c r="F94" s="68">
        <f>+F92+32408.1</f>
        <v>35042.44</v>
      </c>
      <c r="G94" s="1"/>
      <c r="L94" s="1"/>
      <c r="M94" s="1"/>
    </row>
    <row r="95" spans="1:14" s="2" customFormat="1" x14ac:dyDescent="0.2">
      <c r="A95" s="24"/>
      <c r="B95" s="1"/>
      <c r="C95" s="52"/>
      <c r="D95" s="85"/>
      <c r="E95" s="53"/>
      <c r="F95" s="53"/>
      <c r="G95" s="1"/>
      <c r="L95" s="1"/>
      <c r="M95" s="1"/>
    </row>
    <row r="96" spans="1:14" s="2" customFormat="1" x14ac:dyDescent="0.2">
      <c r="A96" s="24"/>
      <c r="B96" s="1"/>
      <c r="C96" s="52"/>
      <c r="D96" s="85"/>
      <c r="E96" s="53"/>
      <c r="F96" s="53"/>
      <c r="G96" s="1"/>
      <c r="L96" s="1"/>
      <c r="M96" s="1"/>
    </row>
    <row r="97" spans="1:13" s="2" customFormat="1" x14ac:dyDescent="0.2">
      <c r="A97" s="24"/>
      <c r="B97" s="1"/>
      <c r="C97" s="52"/>
      <c r="D97" s="85"/>
      <c r="E97" s="53"/>
      <c r="F97" s="53"/>
      <c r="G97" s="1"/>
      <c r="L97" s="1"/>
      <c r="M97" s="1"/>
    </row>
    <row r="98" spans="1:13" s="2" customFormat="1" x14ac:dyDescent="0.2">
      <c r="A98" s="24"/>
      <c r="B98" s="1"/>
      <c r="C98" s="52"/>
      <c r="D98" s="85"/>
      <c r="E98" s="53"/>
      <c r="F98" s="53"/>
      <c r="G98" s="1"/>
      <c r="L98" s="1"/>
      <c r="M98" s="1"/>
    </row>
    <row r="99" spans="1:13" s="2" customFormat="1" x14ac:dyDescent="0.2">
      <c r="A99" s="24"/>
      <c r="B99" s="1"/>
      <c r="C99" s="14"/>
      <c r="D99" s="25">
        <f>SUM(D96:D98)</f>
        <v>0</v>
      </c>
      <c r="E99" s="2">
        <f>SUM(E96:E98)</f>
        <v>0</v>
      </c>
      <c r="G99" s="1"/>
      <c r="L99" s="1"/>
      <c r="M99" s="1"/>
    </row>
    <row r="100" spans="1:13" s="2" customFormat="1" x14ac:dyDescent="0.2">
      <c r="A100" s="24"/>
      <c r="B100" s="1"/>
      <c r="C100" s="14"/>
      <c r="D100" s="25"/>
      <c r="G100" s="1"/>
      <c r="L100" s="1"/>
      <c r="M100" s="1"/>
    </row>
    <row r="101" spans="1:13" s="2" customFormat="1" x14ac:dyDescent="0.2">
      <c r="A101" s="24"/>
      <c r="B101" s="1"/>
      <c r="C101" s="14"/>
      <c r="D101" s="25"/>
      <c r="G101" s="1"/>
      <c r="L101" s="1"/>
      <c r="M101" s="1"/>
    </row>
    <row r="102" spans="1:13" s="2" customFormat="1" x14ac:dyDescent="0.2">
      <c r="A102" s="24"/>
      <c r="B102" s="1"/>
      <c r="C102" s="14"/>
      <c r="D102" s="25"/>
      <c r="G102" s="1"/>
      <c r="L102" s="1"/>
      <c r="M102" s="1"/>
    </row>
    <row r="103" spans="1:13" s="2" customFormat="1" x14ac:dyDescent="0.2">
      <c r="A103" s="24"/>
      <c r="B103" s="1"/>
      <c r="C103" s="14"/>
      <c r="D103" s="25"/>
      <c r="G103" s="1"/>
      <c r="L103" s="1"/>
      <c r="M103" s="1"/>
    </row>
    <row r="104" spans="1:13" s="2" customFormat="1" x14ac:dyDescent="0.2">
      <c r="A104" s="24"/>
      <c r="B104" s="1"/>
      <c r="C104" s="14"/>
      <c r="D104" s="25"/>
      <c r="G104" s="1"/>
      <c r="L104" s="1"/>
      <c r="M104" s="1"/>
    </row>
    <row r="105" spans="1:13" s="2" customFormat="1" x14ac:dyDescent="0.2">
      <c r="A105" s="24"/>
      <c r="B105" s="1"/>
      <c r="C105" s="14"/>
      <c r="D105" s="25"/>
      <c r="G105" s="1"/>
      <c r="L105" s="1"/>
      <c r="M105" s="1"/>
    </row>
    <row r="106" spans="1:13" s="2" customFormat="1" x14ac:dyDescent="0.2">
      <c r="A106" s="24"/>
      <c r="B106" s="1"/>
      <c r="C106" s="14"/>
      <c r="D106" s="25"/>
      <c r="G106" s="1"/>
      <c r="L106" s="1"/>
      <c r="M106" s="1"/>
    </row>
    <row r="107" spans="1:13" s="2" customFormat="1" x14ac:dyDescent="0.2">
      <c r="A107" s="24"/>
      <c r="B107" s="1"/>
      <c r="C107" s="14"/>
      <c r="D107" s="25"/>
      <c r="G107" s="1"/>
      <c r="L107" s="1"/>
      <c r="M107" s="1"/>
    </row>
    <row r="108" spans="1:13" s="2" customFormat="1" x14ac:dyDescent="0.2">
      <c r="A108" s="24"/>
      <c r="B108" s="1"/>
      <c r="C108" s="14"/>
      <c r="D108" s="25"/>
      <c r="G108" s="1"/>
      <c r="L108" s="1"/>
      <c r="M108" s="1"/>
    </row>
    <row r="109" spans="1:13" s="2" customFormat="1" x14ac:dyDescent="0.2">
      <c r="A109" s="24"/>
      <c r="B109" s="1"/>
      <c r="C109" s="14"/>
      <c r="D109" s="25"/>
      <c r="G109" s="1"/>
      <c r="L109" s="1"/>
      <c r="M109" s="1"/>
    </row>
    <row r="110" spans="1:13" s="2" customFormat="1" x14ac:dyDescent="0.2">
      <c r="A110" s="24"/>
      <c r="B110" s="1"/>
      <c r="C110" s="14"/>
      <c r="D110" s="25"/>
      <c r="G110" s="1"/>
      <c r="L110" s="1"/>
      <c r="M110" s="1"/>
    </row>
    <row r="111" spans="1:13" s="2" customFormat="1" x14ac:dyDescent="0.2">
      <c r="A111" s="24"/>
      <c r="B111" s="1"/>
      <c r="C111" s="14"/>
      <c r="D111" s="25"/>
      <c r="G111" s="1"/>
      <c r="L111" s="1"/>
      <c r="M111" s="1"/>
    </row>
    <row r="112" spans="1:13" s="2" customFormat="1" x14ac:dyDescent="0.2">
      <c r="A112" s="24"/>
      <c r="B112" s="1"/>
      <c r="C112" s="14"/>
      <c r="D112" s="25"/>
      <c r="G112" s="1"/>
      <c r="L112" s="1"/>
      <c r="M112" s="1"/>
    </row>
    <row r="113" spans="1:14" s="2" customFormat="1" x14ac:dyDescent="0.2">
      <c r="A113" s="24"/>
      <c r="B113" s="1"/>
      <c r="C113" s="14"/>
      <c r="D113" s="25"/>
      <c r="G113" s="1"/>
      <c r="I113" s="1"/>
      <c r="J113" s="1"/>
      <c r="K113" s="1"/>
      <c r="L113" s="1"/>
      <c r="M113" s="1"/>
    </row>
    <row r="114" spans="1:14" s="2" customFormat="1" x14ac:dyDescent="0.2">
      <c r="A114" s="24"/>
      <c r="B114" s="1"/>
      <c r="C114" s="14"/>
      <c r="D114" s="25"/>
      <c r="G114" s="1"/>
    </row>
    <row r="115" spans="1:14" s="2" customFormat="1" x14ac:dyDescent="0.2">
      <c r="A115" s="24"/>
      <c r="B115" s="1"/>
      <c r="C115" s="14"/>
      <c r="D115" s="25"/>
      <c r="G115" s="1"/>
      <c r="I115" s="1"/>
      <c r="J115" s="1"/>
      <c r="K115" s="1"/>
      <c r="L115" s="1"/>
      <c r="M115" s="1"/>
    </row>
    <row r="116" spans="1:14" s="2" customFormat="1" x14ac:dyDescent="0.2">
      <c r="A116" s="24"/>
      <c r="B116" s="1"/>
      <c r="C116" s="14"/>
      <c r="D116" s="25"/>
      <c r="G116" s="54"/>
      <c r="I116" s="1"/>
      <c r="J116" s="1"/>
      <c r="K116" s="1"/>
      <c r="L116" s="1"/>
      <c r="M116" s="1"/>
    </row>
    <row r="117" spans="1:14" s="2" customFormat="1" x14ac:dyDescent="0.2">
      <c r="A117" s="24"/>
      <c r="B117" s="1"/>
      <c r="C117" s="14"/>
      <c r="D117" s="25"/>
      <c r="G117" s="54"/>
      <c r="I117" s="1"/>
      <c r="J117" s="1"/>
      <c r="K117" s="1"/>
      <c r="L117" s="1"/>
      <c r="M117" s="1"/>
    </row>
    <row r="118" spans="1:14" s="2" customFormat="1" x14ac:dyDescent="0.2">
      <c r="A118" s="24"/>
      <c r="B118" s="1"/>
      <c r="C118" s="14"/>
      <c r="D118" s="25"/>
      <c r="G118" s="54"/>
      <c r="I118" s="1"/>
      <c r="J118" s="1"/>
      <c r="K118" s="1"/>
      <c r="L118" s="1"/>
      <c r="M118" s="1"/>
    </row>
    <row r="119" spans="1:14" s="2" customFormat="1" x14ac:dyDescent="0.2">
      <c r="A119" s="24"/>
      <c r="B119" s="1"/>
      <c r="C119" s="14"/>
      <c r="D119" s="25"/>
      <c r="G119" s="54"/>
      <c r="H119" s="2" t="s">
        <v>396</v>
      </c>
      <c r="I119" s="1"/>
      <c r="J119" s="1"/>
      <c r="K119" s="1"/>
      <c r="L119" s="1"/>
      <c r="M119" s="1"/>
      <c r="N119" s="1"/>
    </row>
    <row r="120" spans="1:14" s="2" customFormat="1" x14ac:dyDescent="0.2">
      <c r="A120" s="24"/>
      <c r="B120" s="1"/>
      <c r="C120" s="14"/>
      <c r="D120" s="25"/>
      <c r="G120" s="54"/>
      <c r="H120" s="53"/>
    </row>
    <row r="121" spans="1:14" s="2" customFormat="1" x14ac:dyDescent="0.2">
      <c r="A121" s="24"/>
      <c r="B121" s="1"/>
      <c r="C121" s="14"/>
      <c r="D121" s="25"/>
      <c r="G121" s="54"/>
      <c r="H121" s="53" t="s">
        <v>396</v>
      </c>
      <c r="I121" s="1"/>
      <c r="J121" s="1"/>
      <c r="K121" s="1"/>
      <c r="L121" s="1"/>
      <c r="M121" s="1"/>
      <c r="N121" s="1"/>
    </row>
    <row r="122" spans="1:14" x14ac:dyDescent="0.2">
      <c r="G122" s="54"/>
      <c r="H122" s="53" t="s">
        <v>396</v>
      </c>
      <c r="J122" s="42"/>
    </row>
    <row r="123" spans="1:14" s="2" customFormat="1" x14ac:dyDescent="0.2">
      <c r="A123" s="24"/>
      <c r="B123" s="1"/>
      <c r="C123" s="14"/>
      <c r="D123" s="25"/>
      <c r="G123" s="54"/>
      <c r="H123" s="53"/>
      <c r="I123" s="101"/>
      <c r="J123" s="1"/>
      <c r="K123" s="1"/>
      <c r="L123" s="1"/>
      <c r="M123" s="1"/>
      <c r="N123" s="1"/>
    </row>
    <row r="124" spans="1:14" x14ac:dyDescent="0.2">
      <c r="G124" s="54"/>
      <c r="H124" s="53"/>
    </row>
    <row r="125" spans="1:14" x14ac:dyDescent="0.2">
      <c r="G125" s="54"/>
      <c r="H125" s="53"/>
    </row>
    <row r="126" spans="1:14" x14ac:dyDescent="0.2">
      <c r="G126" s="54"/>
      <c r="H126" s="53"/>
    </row>
  </sheetData>
  <sheetProtection insertRows="0"/>
  <mergeCells count="6">
    <mergeCell ref="C88:F88"/>
    <mergeCell ref="A1:G1"/>
    <mergeCell ref="A3:F3"/>
    <mergeCell ref="A9:F9"/>
    <mergeCell ref="A22:F22"/>
    <mergeCell ref="A66:D66"/>
  </mergeCells>
  <conditionalFormatting sqref="G63:G64">
    <cfRule type="cellIs" dxfId="199" priority="1" operator="lessThan">
      <formula>0</formula>
    </cfRule>
  </conditionalFormatting>
  <conditionalFormatting sqref="C24">
    <cfRule type="duplicateValues" dxfId="198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F00-000000000000}">
  <sheetPr codeName="Sheet487">
    <pageSetUpPr fitToPage="1"/>
  </sheetPr>
  <dimension ref="A1:N134"/>
  <sheetViews>
    <sheetView topLeftCell="A6" zoomScaleNormal="100" workbookViewId="0">
      <selection activeCell="G115" sqref="G115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1" ht="20.25" customHeight="1" x14ac:dyDescent="0.4">
      <c r="A1" s="212" t="s">
        <v>1825</v>
      </c>
      <c r="B1" s="212"/>
      <c r="C1" s="212"/>
      <c r="D1" s="212"/>
      <c r="E1" s="212"/>
      <c r="F1" s="212"/>
      <c r="G1" s="212"/>
      <c r="H1" s="112"/>
      <c r="I1" s="112"/>
    </row>
    <row r="2" spans="1:11" ht="12.75" customHeight="1" x14ac:dyDescent="0.4">
      <c r="H2" s="112"/>
      <c r="I2" s="112"/>
    </row>
    <row r="3" spans="1:11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1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1" s="2" customFormat="1" ht="14.25" customHeight="1" x14ac:dyDescent="0.4">
      <c r="A5" s="89">
        <v>45261</v>
      </c>
      <c r="B5" s="9" t="s">
        <v>6</v>
      </c>
      <c r="C5" s="10" t="s">
        <v>7</v>
      </c>
      <c r="D5" s="11"/>
      <c r="E5" s="12">
        <v>700315.42</v>
      </c>
      <c r="F5" s="12"/>
      <c r="G5" s="1"/>
      <c r="H5" s="112"/>
      <c r="I5" s="112"/>
    </row>
    <row r="6" spans="1:11" s="2" customFormat="1" ht="14.25" customHeight="1" x14ac:dyDescent="0.4">
      <c r="A6" s="89">
        <v>45261</v>
      </c>
      <c r="B6" s="9" t="s">
        <v>6</v>
      </c>
      <c r="C6" s="10" t="s">
        <v>683</v>
      </c>
      <c r="D6" s="11" t="s">
        <v>13</v>
      </c>
      <c r="E6" s="12">
        <v>405148.92</v>
      </c>
      <c r="F6" s="12"/>
      <c r="G6" s="1"/>
      <c r="H6" s="112"/>
      <c r="I6" s="112"/>
    </row>
    <row r="7" spans="1:11" s="2" customFormat="1" ht="12.75" customHeight="1" x14ac:dyDescent="0.2">
      <c r="D7" s="15" t="s">
        <v>8</v>
      </c>
      <c r="E7" s="16">
        <f>SUM(E5:E6)</f>
        <v>1105464.3400000001</v>
      </c>
      <c r="F7" s="16">
        <f>+F5</f>
        <v>0</v>
      </c>
      <c r="G7" s="1"/>
      <c r="H7" s="13" t="s">
        <v>1582</v>
      </c>
      <c r="I7" s="13" t="s">
        <v>1583</v>
      </c>
    </row>
    <row r="8" spans="1:11" s="2" customFormat="1" ht="12.75" customHeight="1" x14ac:dyDescent="0.2">
      <c r="A8" s="17"/>
      <c r="B8" s="18"/>
      <c r="C8" s="19" t="s">
        <v>9</v>
      </c>
      <c r="D8" s="20"/>
      <c r="E8" s="21">
        <f>+E7-F7</f>
        <v>1105464.3400000001</v>
      </c>
      <c r="F8" s="22"/>
      <c r="G8" s="23"/>
      <c r="H8" s="2">
        <v>0</v>
      </c>
      <c r="I8" s="2">
        <v>0</v>
      </c>
      <c r="J8" s="176">
        <f>H8-I8</f>
        <v>0</v>
      </c>
    </row>
    <row r="9" spans="1:11" ht="12.75" customHeight="1" x14ac:dyDescent="0.4">
      <c r="H9" s="112"/>
      <c r="I9" s="112"/>
    </row>
    <row r="10" spans="1:11" ht="18" customHeight="1" x14ac:dyDescent="0.4">
      <c r="A10" s="213" t="s">
        <v>1037</v>
      </c>
      <c r="B10" s="213"/>
      <c r="C10" s="213"/>
      <c r="D10" s="213"/>
      <c r="E10" s="213"/>
      <c r="F10" s="213"/>
      <c r="H10" s="112"/>
      <c r="I10" s="169">
        <f>90000000-60000000</f>
        <v>30000000</v>
      </c>
      <c r="J10" s="169" t="s">
        <v>1508</v>
      </c>
    </row>
    <row r="11" spans="1:11" ht="12.75" customHeight="1" x14ac:dyDescent="0.4">
      <c r="A11" s="3" t="s">
        <v>1</v>
      </c>
      <c r="B11" s="4" t="s">
        <v>2</v>
      </c>
      <c r="C11" s="5"/>
      <c r="D11" s="6" t="s">
        <v>3</v>
      </c>
      <c r="E11" s="7" t="s">
        <v>4</v>
      </c>
      <c r="F11" s="7" t="s">
        <v>5</v>
      </c>
      <c r="H11" s="112"/>
      <c r="I11" s="169">
        <v>28617119.719999999</v>
      </c>
      <c r="J11" s="169" t="s">
        <v>1509</v>
      </c>
      <c r="K11" s="124"/>
    </row>
    <row r="12" spans="1:11" s="2" customFormat="1" ht="14.25" customHeight="1" x14ac:dyDescent="0.2">
      <c r="A12" s="89">
        <v>45261</v>
      </c>
      <c r="B12" s="9" t="s">
        <v>6</v>
      </c>
      <c r="C12" s="10" t="s">
        <v>7</v>
      </c>
      <c r="D12" s="11"/>
      <c r="F12" s="12">
        <v>24683346.629999999</v>
      </c>
      <c r="G12" s="1"/>
      <c r="H12" s="130" t="s">
        <v>396</v>
      </c>
      <c r="I12" s="169">
        <f>+I10-I11</f>
        <v>1382880.2800000012</v>
      </c>
      <c r="J12" s="169" t="s">
        <v>712</v>
      </c>
      <c r="K12" s="165" t="s">
        <v>1512</v>
      </c>
    </row>
    <row r="13" spans="1:11" s="2" customFormat="1" ht="14.25" customHeight="1" x14ac:dyDescent="0.2">
      <c r="A13" s="89">
        <v>45261</v>
      </c>
      <c r="B13" s="9" t="s">
        <v>6</v>
      </c>
      <c r="C13" s="10" t="s">
        <v>1137</v>
      </c>
      <c r="D13" s="11" t="s">
        <v>13</v>
      </c>
      <c r="E13" s="2">
        <v>74029.049999999988</v>
      </c>
      <c r="F13" s="12"/>
      <c r="G13" s="1"/>
      <c r="H13" s="130"/>
      <c r="I13" s="169"/>
      <c r="J13" s="169"/>
      <c r="K13" s="165"/>
    </row>
    <row r="14" spans="1:11" s="2" customFormat="1" ht="14.25" customHeight="1" x14ac:dyDescent="0.2">
      <c r="A14" s="89">
        <v>45261</v>
      </c>
      <c r="B14" s="9" t="s">
        <v>11</v>
      </c>
      <c r="C14" s="10" t="s">
        <v>102</v>
      </c>
      <c r="D14" s="11" t="s">
        <v>29</v>
      </c>
      <c r="F14" s="12">
        <v>608997.15</v>
      </c>
      <c r="G14" s="1"/>
      <c r="H14" s="130"/>
      <c r="I14" s="169"/>
      <c r="J14" s="169"/>
      <c r="K14" s="165"/>
    </row>
    <row r="15" spans="1:11" s="2" customFormat="1" ht="14.25" customHeight="1" x14ac:dyDescent="0.2">
      <c r="A15" s="89">
        <v>45261</v>
      </c>
      <c r="B15" s="9" t="s">
        <v>11</v>
      </c>
      <c r="C15" s="10" t="s">
        <v>1156</v>
      </c>
      <c r="D15" s="11" t="s">
        <v>29</v>
      </c>
      <c r="F15" s="12">
        <v>3224605.57</v>
      </c>
      <c r="G15" s="1"/>
      <c r="H15" s="130"/>
      <c r="I15" s="169"/>
      <c r="J15" s="169"/>
      <c r="K15" s="165"/>
    </row>
    <row r="16" spans="1:11" s="2" customFormat="1" ht="14.25" customHeight="1" x14ac:dyDescent="0.2">
      <c r="A16" s="89">
        <v>45261</v>
      </c>
      <c r="B16" s="9" t="s">
        <v>11</v>
      </c>
      <c r="C16" s="10" t="s">
        <v>156</v>
      </c>
      <c r="D16" s="11" t="s">
        <v>29</v>
      </c>
      <c r="F16" s="12">
        <v>1390.42</v>
      </c>
      <c r="G16" s="1"/>
      <c r="H16" s="130"/>
      <c r="I16" s="169"/>
      <c r="J16" s="169"/>
      <c r="K16" s="165"/>
    </row>
    <row r="17" spans="1:14" s="2" customFormat="1" ht="14.25" customHeight="1" x14ac:dyDescent="0.2">
      <c r="A17" s="89">
        <v>45261</v>
      </c>
      <c r="B17" s="9" t="s">
        <v>11</v>
      </c>
      <c r="C17" s="10" t="s">
        <v>1110</v>
      </c>
      <c r="D17" s="11" t="s">
        <v>29</v>
      </c>
      <c r="F17" s="12">
        <v>45094</v>
      </c>
      <c r="G17" s="1"/>
      <c r="H17" s="130"/>
      <c r="I17" s="169"/>
      <c r="J17" s="169"/>
      <c r="K17" s="165"/>
    </row>
    <row r="18" spans="1:14" s="2" customFormat="1" ht="14.25" customHeight="1" x14ac:dyDescent="0.2">
      <c r="A18" s="89">
        <v>45261</v>
      </c>
      <c r="B18" s="9" t="s">
        <v>11</v>
      </c>
      <c r="C18" s="10" t="s">
        <v>1791</v>
      </c>
      <c r="D18" s="11" t="s">
        <v>29</v>
      </c>
      <c r="F18" s="12">
        <v>4400</v>
      </c>
      <c r="G18" s="1"/>
      <c r="H18" s="130"/>
      <c r="I18" s="169"/>
      <c r="J18" s="169"/>
      <c r="K18" s="165"/>
    </row>
    <row r="19" spans="1:14" s="2" customFormat="1" ht="14.25" customHeight="1" x14ac:dyDescent="0.2">
      <c r="A19" s="89">
        <v>45261</v>
      </c>
      <c r="B19" s="9" t="s">
        <v>11</v>
      </c>
      <c r="C19" s="10" t="s">
        <v>1826</v>
      </c>
      <c r="D19" s="11" t="s">
        <v>29</v>
      </c>
      <c r="F19" s="12">
        <v>19750</v>
      </c>
      <c r="G19" s="1"/>
      <c r="H19" s="130"/>
      <c r="I19" s="169"/>
      <c r="J19" s="169"/>
      <c r="K19" s="165"/>
    </row>
    <row r="20" spans="1:14" s="2" customFormat="1" ht="14.25" customHeight="1" x14ac:dyDescent="0.2">
      <c r="A20" s="89">
        <v>45261</v>
      </c>
      <c r="B20" s="9" t="s">
        <v>11</v>
      </c>
      <c r="C20" s="10" t="s">
        <v>171</v>
      </c>
      <c r="D20" s="11" t="s">
        <v>29</v>
      </c>
      <c r="F20" s="12">
        <v>6215</v>
      </c>
      <c r="G20" s="1"/>
      <c r="H20" s="130"/>
      <c r="I20" s="169"/>
      <c r="J20" s="169"/>
      <c r="K20" s="165"/>
    </row>
    <row r="21" spans="1:14" s="2" customFormat="1" ht="14.25" customHeight="1" x14ac:dyDescent="0.2">
      <c r="A21" s="89">
        <v>45261</v>
      </c>
      <c r="B21" s="9" t="s">
        <v>11</v>
      </c>
      <c r="C21" s="10" t="s">
        <v>685</v>
      </c>
      <c r="D21" s="11" t="s">
        <v>29</v>
      </c>
      <c r="F21" s="12">
        <v>97350</v>
      </c>
      <c r="G21" s="1"/>
      <c r="H21" s="130"/>
      <c r="I21" s="169"/>
      <c r="J21" s="169"/>
      <c r="K21" s="165"/>
    </row>
    <row r="22" spans="1:14" s="2" customFormat="1" ht="14.25" customHeight="1" x14ac:dyDescent="0.2">
      <c r="D22" s="11" t="s">
        <v>8</v>
      </c>
      <c r="E22" s="16">
        <f>SUM(E13:E21)</f>
        <v>74029.049999999988</v>
      </c>
      <c r="F22" s="16">
        <f>SUM(F12:F21)</f>
        <v>28691148.77</v>
      </c>
      <c r="G22" s="1"/>
      <c r="H22" s="143"/>
      <c r="I22" s="130"/>
      <c r="J22" s="143"/>
      <c r="K22" s="143"/>
      <c r="L22" s="143"/>
      <c r="M22" s="143"/>
    </row>
    <row r="23" spans="1:14" s="2" customFormat="1" ht="14.25" customHeight="1" x14ac:dyDescent="0.4">
      <c r="A23" s="17"/>
      <c r="B23" s="18"/>
      <c r="C23" s="96" t="s">
        <v>9</v>
      </c>
      <c r="D23" s="20"/>
      <c r="E23" s="21">
        <f>+F22-E22</f>
        <v>28617119.719999999</v>
      </c>
      <c r="G23" s="1"/>
      <c r="I23" s="112"/>
      <c r="J23" s="153" t="s">
        <v>779</v>
      </c>
    </row>
    <row r="24" spans="1:14" s="2" customFormat="1" ht="14.25" customHeight="1" x14ac:dyDescent="0.2">
      <c r="A24" s="36"/>
      <c r="B24" s="28" t="s">
        <v>66</v>
      </c>
      <c r="C24" s="43" t="s">
        <v>1458</v>
      </c>
      <c r="D24" s="43"/>
      <c r="E24" s="12">
        <f>30000000+60000000</f>
        <v>90000000</v>
      </c>
      <c r="F24" s="22"/>
      <c r="G24" s="1"/>
      <c r="I24" s="40">
        <v>28617119.719999999</v>
      </c>
      <c r="J24" s="154">
        <f>I24-E23</f>
        <v>0</v>
      </c>
    </row>
    <row r="25" spans="1:14" s="2" customFormat="1" ht="14.25" customHeight="1" x14ac:dyDescent="0.25">
      <c r="A25" s="36"/>
      <c r="B25" s="28"/>
      <c r="C25" s="44" t="s">
        <v>1541</v>
      </c>
      <c r="D25" s="43"/>
      <c r="E25" s="7">
        <f>+E23+E24</f>
        <v>118617119.72</v>
      </c>
      <c r="F25" s="22"/>
      <c r="G25" s="1"/>
      <c r="H25" s="13" t="s">
        <v>1582</v>
      </c>
      <c r="I25" s="13" t="s">
        <v>1583</v>
      </c>
    </row>
    <row r="26" spans="1:14" s="2" customFormat="1" ht="14.25" customHeight="1" x14ac:dyDescent="0.25">
      <c r="A26" s="36"/>
      <c r="B26" s="28"/>
      <c r="C26" s="44" t="s">
        <v>1511</v>
      </c>
      <c r="D26" s="43"/>
      <c r="E26" s="38">
        <f>+I12+H8-I8</f>
        <v>1382880.2800000012</v>
      </c>
      <c r="F26" s="22"/>
      <c r="G26" s="1"/>
      <c r="H26" s="2">
        <v>576238</v>
      </c>
      <c r="I26" s="2">
        <v>12039609</v>
      </c>
      <c r="J26" s="176">
        <f>H26-I26</f>
        <v>-11463371</v>
      </c>
    </row>
    <row r="27" spans="1:14" s="2" customFormat="1" ht="14.25" customHeight="1" x14ac:dyDescent="0.2">
      <c r="A27" s="24"/>
      <c r="B27" s="1"/>
      <c r="C27" s="14"/>
      <c r="D27" s="25"/>
      <c r="G27" s="1"/>
      <c r="I27" s="130"/>
      <c r="J27" s="130"/>
    </row>
    <row r="28" spans="1:14" s="2" customFormat="1" x14ac:dyDescent="0.2">
      <c r="A28" s="214" t="s">
        <v>10</v>
      </c>
      <c r="B28" s="214"/>
      <c r="C28" s="214"/>
      <c r="D28" s="214"/>
      <c r="E28" s="214"/>
      <c r="F28" s="214"/>
      <c r="G28" s="1"/>
      <c r="H28" s="159"/>
      <c r="I28" s="160">
        <f>225000000-75000000-50000000</f>
        <v>100000000</v>
      </c>
      <c r="J28" s="160" t="s">
        <v>1506</v>
      </c>
      <c r="K28" s="70"/>
    </row>
    <row r="29" spans="1:14" s="2" customFormat="1" x14ac:dyDescent="0.2">
      <c r="A29" s="26" t="s">
        <v>1</v>
      </c>
      <c r="B29" s="27" t="s">
        <v>2</v>
      </c>
      <c r="C29" s="5"/>
      <c r="D29" s="6" t="s">
        <v>3</v>
      </c>
      <c r="E29" s="7" t="s">
        <v>4</v>
      </c>
      <c r="F29" s="7" t="s">
        <v>5</v>
      </c>
      <c r="G29" s="1"/>
      <c r="H29" s="159"/>
      <c r="I29" s="160">
        <v>32326851.32</v>
      </c>
      <c r="J29" s="160" t="s">
        <v>1507</v>
      </c>
      <c r="K29" s="70" t="s">
        <v>1512</v>
      </c>
    </row>
    <row r="30" spans="1:14" s="2" customFormat="1" x14ac:dyDescent="0.2">
      <c r="A30" s="89">
        <v>45261</v>
      </c>
      <c r="B30" s="128" t="s">
        <v>11</v>
      </c>
      <c r="C30" s="29" t="s">
        <v>7</v>
      </c>
      <c r="D30" s="25"/>
      <c r="E30" s="31"/>
      <c r="F30" s="2">
        <v>61026970.770000026</v>
      </c>
      <c r="G30" s="23"/>
      <c r="H30" s="159" t="s">
        <v>1505</v>
      </c>
      <c r="I30" s="160">
        <f>+I28-I29</f>
        <v>67673148.680000007</v>
      </c>
      <c r="J30" s="160"/>
      <c r="K30" s="70"/>
    </row>
    <row r="31" spans="1:14" s="2" customFormat="1" x14ac:dyDescent="0.2">
      <c r="A31" s="89">
        <v>45261</v>
      </c>
      <c r="B31" s="128" t="s">
        <v>6</v>
      </c>
      <c r="C31" s="10" t="s">
        <v>843</v>
      </c>
      <c r="D31" s="11" t="s">
        <v>13</v>
      </c>
      <c r="E31" s="86">
        <v>213292</v>
      </c>
      <c r="F31" s="70"/>
      <c r="G31" s="1"/>
      <c r="N31" s="1"/>
    </row>
    <row r="32" spans="1:14" s="2" customFormat="1" x14ac:dyDescent="0.2">
      <c r="A32" s="89">
        <v>45261</v>
      </c>
      <c r="B32" s="128" t="s">
        <v>6</v>
      </c>
      <c r="C32" s="10" t="s">
        <v>503</v>
      </c>
      <c r="D32" s="11" t="s">
        <v>13</v>
      </c>
      <c r="E32" s="86">
        <v>1387163.77</v>
      </c>
      <c r="F32" s="70"/>
      <c r="G32" s="1"/>
      <c r="N32" s="1"/>
    </row>
    <row r="33" spans="1:14" s="2" customFormat="1" x14ac:dyDescent="0.2">
      <c r="A33" s="89">
        <v>45261</v>
      </c>
      <c r="B33" s="128" t="s">
        <v>6</v>
      </c>
      <c r="C33" s="10" t="s">
        <v>105</v>
      </c>
      <c r="D33" s="11" t="s">
        <v>13</v>
      </c>
      <c r="E33" s="86">
        <v>10490</v>
      </c>
      <c r="F33" s="70"/>
      <c r="G33" s="1"/>
      <c r="N33" s="1"/>
    </row>
    <row r="34" spans="1:14" s="2" customFormat="1" x14ac:dyDescent="0.2">
      <c r="A34" s="89">
        <v>45261</v>
      </c>
      <c r="B34" s="128" t="s">
        <v>6</v>
      </c>
      <c r="C34" s="10" t="s">
        <v>120</v>
      </c>
      <c r="D34" s="11" t="s">
        <v>13</v>
      </c>
      <c r="E34" s="86">
        <v>2914183</v>
      </c>
      <c r="F34" s="70"/>
      <c r="G34" s="1"/>
      <c r="N34" s="1"/>
    </row>
    <row r="35" spans="1:14" s="2" customFormat="1" x14ac:dyDescent="0.2">
      <c r="A35" s="89">
        <v>45261</v>
      </c>
      <c r="B35" s="128" t="s">
        <v>6</v>
      </c>
      <c r="C35" s="10" t="s">
        <v>164</v>
      </c>
      <c r="D35" s="11" t="s">
        <v>13</v>
      </c>
      <c r="E35" s="86">
        <v>1000000</v>
      </c>
      <c r="F35" s="70"/>
      <c r="G35" s="1"/>
      <c r="N35" s="1"/>
    </row>
    <row r="36" spans="1:14" s="2" customFormat="1" x14ac:dyDescent="0.2">
      <c r="A36" s="89">
        <v>45261</v>
      </c>
      <c r="B36" s="128" t="s">
        <v>6</v>
      </c>
      <c r="C36" s="10" t="s">
        <v>93</v>
      </c>
      <c r="D36" s="11" t="s">
        <v>13</v>
      </c>
      <c r="E36" s="86">
        <v>336814</v>
      </c>
      <c r="F36" s="70"/>
      <c r="G36" s="1"/>
      <c r="N36" s="1"/>
    </row>
    <row r="37" spans="1:14" s="2" customFormat="1" x14ac:dyDescent="0.2">
      <c r="A37" s="89">
        <v>45261</v>
      </c>
      <c r="B37" s="128" t="s">
        <v>6</v>
      </c>
      <c r="C37" s="10" t="s">
        <v>1033</v>
      </c>
      <c r="D37" s="11" t="s">
        <v>13</v>
      </c>
      <c r="E37" s="86">
        <v>3567984</v>
      </c>
      <c r="F37" s="70"/>
      <c r="G37" s="1"/>
      <c r="N37" s="1"/>
    </row>
    <row r="38" spans="1:14" s="2" customFormat="1" x14ac:dyDescent="0.2">
      <c r="A38" s="89">
        <v>45261</v>
      </c>
      <c r="B38" s="128" t="s">
        <v>6</v>
      </c>
      <c r="C38" s="10" t="s">
        <v>1231</v>
      </c>
      <c r="D38" s="11" t="s">
        <v>13</v>
      </c>
      <c r="E38" s="86">
        <v>239424</v>
      </c>
      <c r="F38" s="70"/>
      <c r="G38" s="1"/>
      <c r="N38" s="1"/>
    </row>
    <row r="39" spans="1:14" s="2" customFormat="1" x14ac:dyDescent="0.2">
      <c r="A39" s="89">
        <v>45261</v>
      </c>
      <c r="B39" s="128" t="s">
        <v>6</v>
      </c>
      <c r="C39" s="10" t="s">
        <v>177</v>
      </c>
      <c r="D39" s="11" t="s">
        <v>13</v>
      </c>
      <c r="E39" s="86">
        <v>2163109</v>
      </c>
      <c r="F39" s="70"/>
      <c r="G39" s="1"/>
      <c r="N39" s="1"/>
    </row>
    <row r="40" spans="1:14" s="2" customFormat="1" x14ac:dyDescent="0.2">
      <c r="A40" s="89">
        <v>45261</v>
      </c>
      <c r="B40" s="128" t="s">
        <v>6</v>
      </c>
      <c r="C40" s="10" t="s">
        <v>24</v>
      </c>
      <c r="D40" s="11" t="s">
        <v>13</v>
      </c>
      <c r="E40" s="86">
        <v>386268</v>
      </c>
      <c r="F40" s="70"/>
      <c r="G40" s="1"/>
      <c r="N40" s="1"/>
    </row>
    <row r="41" spans="1:14" s="2" customFormat="1" x14ac:dyDescent="0.2">
      <c r="A41" s="89">
        <v>45261</v>
      </c>
      <c r="B41" s="128" t="s">
        <v>6</v>
      </c>
      <c r="C41" s="10" t="s">
        <v>15</v>
      </c>
      <c r="D41" s="11" t="s">
        <v>13</v>
      </c>
      <c r="E41" s="86">
        <v>13248.869999999999</v>
      </c>
      <c r="F41" s="70"/>
      <c r="G41" s="1"/>
      <c r="N41" s="1"/>
    </row>
    <row r="42" spans="1:14" s="2" customFormat="1" x14ac:dyDescent="0.2">
      <c r="A42" s="89">
        <v>45261</v>
      </c>
      <c r="B42" s="128" t="s">
        <v>6</v>
      </c>
      <c r="C42" s="10" t="s">
        <v>755</v>
      </c>
      <c r="D42" s="11" t="s">
        <v>13</v>
      </c>
      <c r="E42" s="86">
        <v>148424.1</v>
      </c>
      <c r="F42" s="70"/>
      <c r="G42" s="1"/>
      <c r="N42" s="1"/>
    </row>
    <row r="43" spans="1:14" s="2" customFormat="1" x14ac:dyDescent="0.2">
      <c r="A43" s="89">
        <v>45261</v>
      </c>
      <c r="B43" s="128" t="s">
        <v>6</v>
      </c>
      <c r="C43" s="10" t="s">
        <v>732</v>
      </c>
      <c r="D43" s="11" t="s">
        <v>13</v>
      </c>
      <c r="E43" s="86">
        <v>30000000</v>
      </c>
      <c r="F43" s="70"/>
      <c r="G43" s="1"/>
      <c r="N43" s="1"/>
    </row>
    <row r="44" spans="1:14" s="2" customFormat="1" x14ac:dyDescent="0.2">
      <c r="A44" s="89">
        <v>45261</v>
      </c>
      <c r="B44" s="128" t="s">
        <v>6</v>
      </c>
      <c r="C44" s="10" t="s">
        <v>174</v>
      </c>
      <c r="D44" s="11" t="s">
        <v>13</v>
      </c>
      <c r="E44" s="86">
        <v>49140</v>
      </c>
      <c r="F44" s="70"/>
      <c r="G44" s="1"/>
      <c r="N44" s="1"/>
    </row>
    <row r="45" spans="1:14" s="2" customFormat="1" x14ac:dyDescent="0.2">
      <c r="A45" s="89">
        <v>45261</v>
      </c>
      <c r="B45" s="128" t="s">
        <v>6</v>
      </c>
      <c r="C45" s="10" t="s">
        <v>765</v>
      </c>
      <c r="D45" s="11" t="s">
        <v>13</v>
      </c>
      <c r="E45" s="86">
        <v>10919296.220000001</v>
      </c>
      <c r="F45" s="70"/>
      <c r="G45" s="1"/>
      <c r="N45" s="1"/>
    </row>
    <row r="46" spans="1:14" s="2" customFormat="1" x14ac:dyDescent="0.2">
      <c r="A46" s="89">
        <v>45261</v>
      </c>
      <c r="B46" s="128" t="s">
        <v>6</v>
      </c>
      <c r="C46" s="10" t="s">
        <v>1823</v>
      </c>
      <c r="D46" s="11" t="s">
        <v>29</v>
      </c>
      <c r="E46" s="86">
        <v>176334.92</v>
      </c>
      <c r="F46" s="70"/>
      <c r="G46" s="1"/>
      <c r="N46" s="1"/>
    </row>
    <row r="47" spans="1:14" s="2" customFormat="1" x14ac:dyDescent="0.2">
      <c r="A47" s="89">
        <v>45261</v>
      </c>
      <c r="B47" s="128" t="s">
        <v>6</v>
      </c>
      <c r="C47" s="10" t="s">
        <v>1031</v>
      </c>
      <c r="D47" s="11" t="s">
        <v>29</v>
      </c>
      <c r="E47" s="86">
        <v>10684.93</v>
      </c>
      <c r="F47" s="70"/>
      <c r="G47" s="1"/>
      <c r="N47" s="1"/>
    </row>
    <row r="48" spans="1:14" s="2" customFormat="1" x14ac:dyDescent="0.2">
      <c r="A48" s="89">
        <v>45261</v>
      </c>
      <c r="B48" s="128" t="s">
        <v>11</v>
      </c>
      <c r="C48" s="10" t="s">
        <v>1823</v>
      </c>
      <c r="D48" s="11" t="s">
        <v>29</v>
      </c>
      <c r="E48" s="86"/>
      <c r="F48" s="70">
        <v>350667.27000000008</v>
      </c>
      <c r="G48" s="1"/>
      <c r="N48" s="1"/>
    </row>
    <row r="49" spans="1:14" s="2" customFormat="1" x14ac:dyDescent="0.2">
      <c r="A49" s="89">
        <v>45261</v>
      </c>
      <c r="B49" s="128" t="s">
        <v>11</v>
      </c>
      <c r="C49" s="10" t="s">
        <v>156</v>
      </c>
      <c r="D49" s="11" t="s">
        <v>29</v>
      </c>
      <c r="E49" s="86"/>
      <c r="F49" s="70">
        <v>1.08</v>
      </c>
      <c r="G49" s="1"/>
      <c r="N49" s="1"/>
    </row>
    <row r="50" spans="1:14" s="2" customFormat="1" x14ac:dyDescent="0.2">
      <c r="A50" s="89">
        <v>45261</v>
      </c>
      <c r="B50" s="128" t="s">
        <v>11</v>
      </c>
      <c r="C50" s="10" t="s">
        <v>336</v>
      </c>
      <c r="D50" s="11" t="s">
        <v>29</v>
      </c>
      <c r="E50" s="86"/>
      <c r="F50" s="70">
        <v>275834</v>
      </c>
      <c r="G50" s="1"/>
      <c r="N50" s="1"/>
    </row>
    <row r="51" spans="1:14" s="2" customFormat="1" x14ac:dyDescent="0.2">
      <c r="A51" s="89">
        <v>45261</v>
      </c>
      <c r="B51" s="128" t="s">
        <v>11</v>
      </c>
      <c r="C51" s="10" t="s">
        <v>1031</v>
      </c>
      <c r="D51" s="11" t="s">
        <v>29</v>
      </c>
      <c r="E51" s="86"/>
      <c r="F51" s="70">
        <v>47815.07</v>
      </c>
      <c r="G51" s="1"/>
      <c r="N51" s="1"/>
    </row>
    <row r="52" spans="1:14" s="2" customFormat="1" x14ac:dyDescent="0.2">
      <c r="A52" s="89">
        <v>45261</v>
      </c>
      <c r="B52" s="128" t="s">
        <v>11</v>
      </c>
      <c r="C52" s="10" t="s">
        <v>236</v>
      </c>
      <c r="D52" s="11" t="s">
        <v>29</v>
      </c>
      <c r="E52" s="86"/>
      <c r="F52" s="70">
        <v>3000000</v>
      </c>
      <c r="G52" s="1"/>
      <c r="N52" s="1"/>
    </row>
    <row r="53" spans="1:14" s="2" customFormat="1" x14ac:dyDescent="0.2">
      <c r="A53" s="89">
        <v>45261</v>
      </c>
      <c r="B53" s="128" t="s">
        <v>11</v>
      </c>
      <c r="C53" s="10" t="s">
        <v>57</v>
      </c>
      <c r="D53" s="11" t="s">
        <v>29</v>
      </c>
      <c r="E53" s="86"/>
      <c r="F53" s="70">
        <v>15500000</v>
      </c>
      <c r="G53" s="1"/>
      <c r="N53" s="1"/>
    </row>
    <row r="54" spans="1:14" s="2" customFormat="1" x14ac:dyDescent="0.2">
      <c r="A54" s="89">
        <v>45261</v>
      </c>
      <c r="B54" s="128" t="s">
        <v>11</v>
      </c>
      <c r="C54" s="10" t="s">
        <v>1348</v>
      </c>
      <c r="D54" s="11" t="s">
        <v>29</v>
      </c>
      <c r="E54" s="86"/>
      <c r="F54" s="70">
        <v>1924021</v>
      </c>
      <c r="G54" s="1"/>
      <c r="N54" s="1"/>
    </row>
    <row r="55" spans="1:14" s="2" customFormat="1" x14ac:dyDescent="0.2">
      <c r="A55" s="89">
        <v>45261</v>
      </c>
      <c r="B55" s="128" t="s">
        <v>11</v>
      </c>
      <c r="C55" s="10" t="s">
        <v>92</v>
      </c>
      <c r="D55" s="11" t="s">
        <v>29</v>
      </c>
      <c r="E55" s="86"/>
      <c r="F55" s="70">
        <v>16615</v>
      </c>
      <c r="G55" s="1"/>
      <c r="N55" s="1"/>
    </row>
    <row r="56" spans="1:14" s="2" customFormat="1" x14ac:dyDescent="0.2">
      <c r="A56" s="89">
        <v>45261</v>
      </c>
      <c r="B56" s="128" t="s">
        <v>11</v>
      </c>
      <c r="C56" s="10" t="s">
        <v>518</v>
      </c>
      <c r="D56" s="11" t="s">
        <v>29</v>
      </c>
      <c r="E56" s="86"/>
      <c r="F56" s="70">
        <v>20302</v>
      </c>
      <c r="G56" s="1"/>
      <c r="N56" s="1"/>
    </row>
    <row r="57" spans="1:14" s="2" customFormat="1" x14ac:dyDescent="0.2">
      <c r="A57" s="89">
        <v>45261</v>
      </c>
      <c r="B57" s="128" t="s">
        <v>11</v>
      </c>
      <c r="C57" s="10" t="s">
        <v>740</v>
      </c>
      <c r="D57" s="11" t="s">
        <v>29</v>
      </c>
      <c r="E57" s="86"/>
      <c r="F57" s="70">
        <v>44098</v>
      </c>
      <c r="G57" s="1"/>
      <c r="N57" s="1"/>
    </row>
    <row r="58" spans="1:14" s="2" customFormat="1" x14ac:dyDescent="0.2">
      <c r="A58" s="89">
        <v>45261</v>
      </c>
      <c r="B58" s="128" t="s">
        <v>11</v>
      </c>
      <c r="C58" s="10" t="s">
        <v>34</v>
      </c>
      <c r="D58" s="11" t="s">
        <v>29</v>
      </c>
      <c r="E58" s="86"/>
      <c r="F58" s="70">
        <v>70000</v>
      </c>
      <c r="G58" s="1"/>
      <c r="N58" s="1"/>
    </row>
    <row r="59" spans="1:14" s="2" customFormat="1" x14ac:dyDescent="0.2">
      <c r="A59" s="89">
        <v>45261</v>
      </c>
      <c r="B59" s="128" t="s">
        <v>11</v>
      </c>
      <c r="C59" s="10" t="s">
        <v>715</v>
      </c>
      <c r="D59" s="11" t="s">
        <v>29</v>
      </c>
      <c r="E59" s="86"/>
      <c r="F59" s="70">
        <v>2899050</v>
      </c>
      <c r="G59" s="1"/>
      <c r="N59" s="1"/>
    </row>
    <row r="60" spans="1:14" s="2" customFormat="1" x14ac:dyDescent="0.2">
      <c r="A60" s="89">
        <v>45261</v>
      </c>
      <c r="B60" s="128" t="s">
        <v>11</v>
      </c>
      <c r="C60" s="10" t="s">
        <v>107</v>
      </c>
      <c r="D60" s="11" t="s">
        <v>29</v>
      </c>
      <c r="E60" s="86"/>
      <c r="F60" s="70">
        <v>134660.04999999999</v>
      </c>
      <c r="G60" s="1"/>
      <c r="N60" s="1"/>
    </row>
    <row r="61" spans="1:14" s="2" customFormat="1" x14ac:dyDescent="0.2">
      <c r="A61" s="89">
        <v>45261</v>
      </c>
      <c r="B61" s="128" t="s">
        <v>11</v>
      </c>
      <c r="C61" s="10" t="s">
        <v>102</v>
      </c>
      <c r="D61" s="11" t="s">
        <v>29</v>
      </c>
      <c r="E61" s="86"/>
      <c r="F61" s="70">
        <v>1643047.94</v>
      </c>
      <c r="G61" s="1"/>
      <c r="N61" s="1"/>
    </row>
    <row r="62" spans="1:14" s="2" customFormat="1" x14ac:dyDescent="0.2">
      <c r="A62" s="89">
        <v>45261</v>
      </c>
      <c r="B62" s="128" t="s">
        <v>11</v>
      </c>
      <c r="C62" s="10" t="s">
        <v>108</v>
      </c>
      <c r="D62" s="11" t="s">
        <v>29</v>
      </c>
      <c r="E62" s="86"/>
      <c r="F62" s="70">
        <v>301926.95</v>
      </c>
      <c r="G62" s="1"/>
      <c r="N62" s="1"/>
    </row>
    <row r="63" spans="1:14" s="2" customFormat="1" x14ac:dyDescent="0.2">
      <c r="A63" s="89">
        <v>45261</v>
      </c>
      <c r="B63" s="128" t="s">
        <v>11</v>
      </c>
      <c r="C63" s="10" t="s">
        <v>199</v>
      </c>
      <c r="D63" s="11" t="s">
        <v>29</v>
      </c>
      <c r="E63" s="86"/>
      <c r="F63" s="70">
        <v>5482644</v>
      </c>
      <c r="G63" s="1"/>
      <c r="N63" s="1"/>
    </row>
    <row r="64" spans="1:14" s="2" customFormat="1" x14ac:dyDescent="0.2">
      <c r="A64" s="89">
        <v>45261</v>
      </c>
      <c r="B64" s="128" t="s">
        <v>11</v>
      </c>
      <c r="C64" s="10" t="s">
        <v>1403</v>
      </c>
      <c r="D64" s="11" t="s">
        <v>29</v>
      </c>
      <c r="E64" s="86"/>
      <c r="F64" s="70">
        <v>3086951</v>
      </c>
      <c r="G64" s="1"/>
      <c r="N64" s="1"/>
    </row>
    <row r="65" spans="1:14" s="2" customFormat="1" x14ac:dyDescent="0.2">
      <c r="A65" s="89">
        <v>45261</v>
      </c>
      <c r="B65" s="128" t="s">
        <v>11</v>
      </c>
      <c r="C65" s="10" t="s">
        <v>443</v>
      </c>
      <c r="D65" s="11" t="s">
        <v>29</v>
      </c>
      <c r="E65" s="86"/>
      <c r="F65" s="70">
        <v>750000</v>
      </c>
      <c r="G65" s="1"/>
      <c r="N65" s="1"/>
    </row>
    <row r="66" spans="1:14" s="2" customFormat="1" x14ac:dyDescent="0.2">
      <c r="A66" s="89">
        <v>45261</v>
      </c>
      <c r="B66" s="128" t="s">
        <v>11</v>
      </c>
      <c r="C66" s="10" t="s">
        <v>198</v>
      </c>
      <c r="D66" s="11" t="s">
        <v>29</v>
      </c>
      <c r="E66" s="86"/>
      <c r="F66" s="70">
        <v>750000</v>
      </c>
      <c r="G66" s="1"/>
      <c r="N66" s="1"/>
    </row>
    <row r="67" spans="1:14" s="2" customFormat="1" x14ac:dyDescent="0.2">
      <c r="A67" s="89">
        <v>45261</v>
      </c>
      <c r="B67" s="128" t="s">
        <v>11</v>
      </c>
      <c r="C67" s="10" t="s">
        <v>64</v>
      </c>
      <c r="D67" s="11" t="s">
        <v>29</v>
      </c>
      <c r="E67" s="86"/>
      <c r="F67" s="70">
        <v>1475</v>
      </c>
      <c r="G67" s="1"/>
      <c r="N67" s="1"/>
    </row>
    <row r="68" spans="1:14" s="2" customFormat="1" x14ac:dyDescent="0.2">
      <c r="A68" s="32"/>
      <c r="B68" s="33"/>
      <c r="C68" s="14"/>
      <c r="D68" s="34"/>
      <c r="E68" s="16">
        <f>SUM(E30:E67)</f>
        <v>53535856.809999995</v>
      </c>
      <c r="F68" s="16">
        <f>SUM(F30:F67)</f>
        <v>97326079.130000025</v>
      </c>
      <c r="G68" s="1"/>
      <c r="H68" s="1"/>
      <c r="I68" s="38">
        <v>43790222.32</v>
      </c>
      <c r="K68" s="92">
        <f>E69-I68</f>
        <v>0</v>
      </c>
      <c r="N68" s="1"/>
    </row>
    <row r="69" spans="1:14" s="2" customFormat="1" x14ac:dyDescent="0.2">
      <c r="A69" s="36"/>
      <c r="B69" s="28" t="s">
        <v>11</v>
      </c>
      <c r="C69" s="19" t="s">
        <v>65</v>
      </c>
      <c r="D69" s="37"/>
      <c r="E69" s="38">
        <f>F68-E68</f>
        <v>43790222.32000003</v>
      </c>
      <c r="F69" s="22"/>
      <c r="G69" s="1"/>
      <c r="H69" s="1"/>
      <c r="I69" s="70"/>
      <c r="J69" s="70"/>
      <c r="K69" s="70"/>
      <c r="N69" s="1"/>
    </row>
    <row r="70" spans="1:14" s="2" customFormat="1" x14ac:dyDescent="0.2">
      <c r="A70" s="36"/>
      <c r="B70" s="28" t="s">
        <v>66</v>
      </c>
      <c r="C70" s="19" t="s">
        <v>67</v>
      </c>
      <c r="D70" s="37"/>
      <c r="E70" s="38">
        <v>6500000</v>
      </c>
      <c r="F70" s="22"/>
      <c r="G70" s="1"/>
      <c r="H70" s="70"/>
      <c r="I70" s="70"/>
      <c r="J70" s="70"/>
      <c r="K70" s="70"/>
      <c r="N70" s="1"/>
    </row>
    <row r="71" spans="1:14" s="2" customFormat="1" x14ac:dyDescent="0.2">
      <c r="A71" s="36"/>
      <c r="B71" s="28" t="s">
        <v>66</v>
      </c>
      <c r="C71" s="43" t="s">
        <v>1457</v>
      </c>
      <c r="D71" s="43"/>
      <c r="E71" s="12">
        <f>275000000+75000000+50000000</f>
        <v>400000000</v>
      </c>
      <c r="F71" s="22"/>
      <c r="G71" s="1"/>
      <c r="H71" s="70"/>
      <c r="I71" s="45">
        <v>91.16</v>
      </c>
      <c r="J71" s="46"/>
      <c r="K71" s="46"/>
      <c r="N71" s="1"/>
    </row>
    <row r="72" spans="1:14" s="2" customFormat="1" ht="15" x14ac:dyDescent="0.25">
      <c r="A72" s="36"/>
      <c r="B72" s="28"/>
      <c r="C72" s="44" t="s">
        <v>1541</v>
      </c>
      <c r="D72" s="43"/>
      <c r="E72" s="7">
        <f>+E71+E69+E70</f>
        <v>450290222.32000005</v>
      </c>
      <c r="F72" s="22"/>
      <c r="G72" s="1"/>
      <c r="H72" s="103" t="s">
        <v>69</v>
      </c>
      <c r="I72" s="45">
        <v>-1.74</v>
      </c>
      <c r="J72" s="46"/>
      <c r="K72" s="46"/>
      <c r="N72" s="1"/>
    </row>
    <row r="73" spans="1:14" s="2" customFormat="1" ht="15" x14ac:dyDescent="0.25">
      <c r="A73" s="24"/>
      <c r="B73" s="1"/>
      <c r="C73" s="44" t="s">
        <v>1510</v>
      </c>
      <c r="D73" s="25"/>
      <c r="E73" s="156">
        <f>+I30-E70+H26-I26</f>
        <v>49709777.680000007</v>
      </c>
      <c r="G73" s="1"/>
      <c r="H73" s="35" t="s">
        <v>70</v>
      </c>
      <c r="I73" s="45">
        <v>0</v>
      </c>
      <c r="J73" s="46">
        <f>+I74-D76</f>
        <v>0</v>
      </c>
      <c r="N73" s="1"/>
    </row>
    <row r="74" spans="1:14" s="124" customFormat="1" ht="12.75" customHeight="1" x14ac:dyDescent="0.2">
      <c r="A74" s="24"/>
      <c r="B74" s="1"/>
      <c r="C74" s="56"/>
      <c r="D74" s="56"/>
      <c r="E74" s="104"/>
      <c r="F74" s="2"/>
      <c r="G74" s="166"/>
      <c r="H74" s="70"/>
      <c r="I74" s="49">
        <f>SUM(I71:I73)</f>
        <v>89.42</v>
      </c>
      <c r="J74" s="46"/>
      <c r="K74" s="46"/>
    </row>
    <row r="75" spans="1:14" s="124" customFormat="1" ht="12.75" customHeight="1" x14ac:dyDescent="0.2">
      <c r="A75" s="24"/>
      <c r="B75" s="1"/>
      <c r="C75" s="78" t="s">
        <v>575</v>
      </c>
      <c r="D75" s="48" t="s">
        <v>576</v>
      </c>
      <c r="E75" s="104"/>
      <c r="F75" s="2"/>
      <c r="G75" s="168"/>
      <c r="H75" s="167"/>
      <c r="I75" s="167"/>
      <c r="J75" s="168"/>
    </row>
    <row r="76" spans="1:14" s="124" customFormat="1" ht="12.75" customHeight="1" x14ac:dyDescent="0.2">
      <c r="A76" s="24"/>
      <c r="B76" s="1"/>
      <c r="C76" s="47" t="s">
        <v>570</v>
      </c>
      <c r="D76" s="111">
        <v>89.42</v>
      </c>
      <c r="E76" s="104"/>
      <c r="F76" s="2"/>
      <c r="G76" s="168"/>
      <c r="H76" s="110" t="s">
        <v>581</v>
      </c>
      <c r="I76" s="167"/>
      <c r="J76" s="168"/>
    </row>
    <row r="77" spans="1:14" s="124" customFormat="1" ht="12.75" customHeight="1" x14ac:dyDescent="0.2">
      <c r="A77" s="24"/>
      <c r="B77" s="1"/>
      <c r="C77" s="47" t="s">
        <v>931</v>
      </c>
      <c r="D77" s="111">
        <v>0</v>
      </c>
      <c r="E77" s="104"/>
      <c r="F77" s="2"/>
      <c r="G77" s="168"/>
      <c r="H77" s="110" t="s">
        <v>580</v>
      </c>
      <c r="I77" s="167"/>
      <c r="J77" s="168"/>
    </row>
    <row r="78" spans="1:14" s="124" customFormat="1" ht="12.75" customHeight="1" x14ac:dyDescent="0.2">
      <c r="A78" s="24"/>
      <c r="B78" s="1"/>
      <c r="C78" s="47" t="s">
        <v>572</v>
      </c>
      <c r="D78" s="111">
        <f>+D94/100000</f>
        <v>0</v>
      </c>
      <c r="E78" s="104"/>
      <c r="F78" s="2"/>
      <c r="G78" s="166"/>
      <c r="H78" s="90" t="s">
        <v>587</v>
      </c>
      <c r="I78" s="167"/>
      <c r="J78" s="168"/>
    </row>
    <row r="79" spans="1:14" s="2" customFormat="1" x14ac:dyDescent="0.2">
      <c r="A79" s="24"/>
      <c r="B79" s="1"/>
      <c r="C79" s="108" t="s">
        <v>578</v>
      </c>
      <c r="D79" s="48">
        <f>SUM(D76:D78)</f>
        <v>89.42</v>
      </c>
      <c r="E79" s="104"/>
      <c r="G79" s="30"/>
      <c r="I79" s="13"/>
      <c r="J79" s="13"/>
    </row>
    <row r="80" spans="1:14" s="70" customFormat="1" x14ac:dyDescent="0.2">
      <c r="A80" s="24"/>
      <c r="B80" s="1"/>
      <c r="C80" s="47"/>
      <c r="D80" s="107"/>
      <c r="E80" s="104"/>
      <c r="F80" s="2"/>
      <c r="G80" s="30"/>
      <c r="H80" s="2"/>
    </row>
    <row r="81" spans="1:14" s="70" customFormat="1" x14ac:dyDescent="0.2">
      <c r="A81" s="24"/>
      <c r="B81" s="1"/>
      <c r="C81" s="47" t="s">
        <v>932</v>
      </c>
      <c r="D81" s="111">
        <v>0</v>
      </c>
      <c r="E81" s="104"/>
      <c r="F81" s="2"/>
      <c r="G81" s="30"/>
      <c r="H81" s="110" t="s">
        <v>581</v>
      </c>
    </row>
    <row r="82" spans="1:14" s="70" customFormat="1" x14ac:dyDescent="0.2">
      <c r="A82" s="24"/>
      <c r="B82" s="1"/>
      <c r="C82" s="136" t="s">
        <v>1142</v>
      </c>
      <c r="D82" s="111">
        <v>113.22</v>
      </c>
      <c r="E82" s="104"/>
      <c r="F82" s="2"/>
      <c r="G82" s="30"/>
      <c r="H82" s="110" t="s">
        <v>581</v>
      </c>
    </row>
    <row r="83" spans="1:14" s="70" customFormat="1" x14ac:dyDescent="0.2">
      <c r="A83" s="24"/>
      <c r="B83" s="1"/>
      <c r="C83" s="78" t="s">
        <v>579</v>
      </c>
      <c r="D83" s="109">
        <f>D81+D82</f>
        <v>113.22</v>
      </c>
      <c r="E83" s="104"/>
      <c r="F83" s="2"/>
      <c r="G83" s="30"/>
    </row>
    <row r="84" spans="1:14" s="70" customFormat="1" x14ac:dyDescent="0.2">
      <c r="A84" s="24"/>
      <c r="B84" s="1"/>
      <c r="C84" s="105"/>
      <c r="D84" s="106"/>
      <c r="E84" s="104"/>
      <c r="F84" s="2"/>
      <c r="G84" s="30"/>
      <c r="I84" s="2"/>
      <c r="J84" s="114" t="s">
        <v>713</v>
      </c>
      <c r="K84" s="2"/>
      <c r="L84" s="2"/>
      <c r="M84" s="2"/>
    </row>
    <row r="85" spans="1:14" s="70" customFormat="1" x14ac:dyDescent="0.2">
      <c r="A85" s="24"/>
      <c r="B85" s="1"/>
      <c r="C85" s="78" t="s">
        <v>577</v>
      </c>
      <c r="D85" s="109">
        <f>D76+D83</f>
        <v>202.64</v>
      </c>
      <c r="E85" s="104"/>
      <c r="F85" s="2"/>
      <c r="G85" s="30"/>
      <c r="I85" s="113"/>
      <c r="J85" s="113" t="s">
        <v>709</v>
      </c>
      <c r="K85" s="113" t="s">
        <v>710</v>
      </c>
      <c r="L85" s="113" t="s">
        <v>711</v>
      </c>
      <c r="M85" s="113" t="s">
        <v>712</v>
      </c>
    </row>
    <row r="86" spans="1:14" s="70" customFormat="1" x14ac:dyDescent="0.2">
      <c r="A86" s="24"/>
      <c r="B86" s="1"/>
      <c r="C86" s="56"/>
      <c r="D86" s="56"/>
      <c r="E86" s="104"/>
      <c r="F86" s="2"/>
      <c r="G86" s="30"/>
      <c r="I86" s="113" t="s">
        <v>706</v>
      </c>
      <c r="J86" s="115"/>
      <c r="K86" s="115">
        <v>968.99</v>
      </c>
      <c r="L86" s="115">
        <v>968.99</v>
      </c>
      <c r="M86" s="113">
        <f>+J86+L86-K86</f>
        <v>0</v>
      </c>
    </row>
    <row r="87" spans="1:14" s="70" customFormat="1" ht="38.25" x14ac:dyDescent="0.2">
      <c r="A87" s="24"/>
      <c r="B87" s="1"/>
      <c r="C87" s="79" t="str">
        <f>"Particulars ( 01-04-2021 to "&amp;TEXT(A5,"dd-mm-yyyy")&amp;" )"</f>
        <v>Particulars ( 01-04-2021 to 01-12-2023 )</v>
      </c>
      <c r="D87" s="80" t="s">
        <v>73</v>
      </c>
      <c r="E87" s="80" t="s">
        <v>74</v>
      </c>
      <c r="F87" s="81" t="s">
        <v>75</v>
      </c>
      <c r="G87" s="80" t="s">
        <v>76</v>
      </c>
      <c r="I87" s="113" t="s">
        <v>707</v>
      </c>
      <c r="J87" s="115">
        <v>183.1</v>
      </c>
      <c r="K87" s="115">
        <v>4068.23</v>
      </c>
      <c r="L87" s="115">
        <v>4269.2</v>
      </c>
      <c r="M87" s="113">
        <f>+J87+L87-K87</f>
        <v>384.07000000000016</v>
      </c>
    </row>
    <row r="88" spans="1:14" s="70" customFormat="1" x14ac:dyDescent="0.2">
      <c r="A88" s="24"/>
      <c r="B88" s="1"/>
      <c r="C88" s="50" t="s">
        <v>444</v>
      </c>
      <c r="D88" s="55">
        <f>+L86+L87+J87</f>
        <v>5421.29</v>
      </c>
      <c r="E88" s="55">
        <f>+K86+K87</f>
        <v>5037.22</v>
      </c>
      <c r="F88" s="55">
        <f>+D88-E88</f>
        <v>384.06999999999971</v>
      </c>
      <c r="G88" s="55">
        <f>1500-F88</f>
        <v>1115.9300000000003</v>
      </c>
      <c r="I88" s="113" t="s">
        <v>708</v>
      </c>
      <c r="J88" s="115">
        <v>1371.02</v>
      </c>
      <c r="K88" s="115">
        <v>15268.35</v>
      </c>
      <c r="L88" s="115">
        <v>15531.59</v>
      </c>
      <c r="M88" s="113">
        <f>+J88+L88-K88</f>
        <v>1634.2600000000002</v>
      </c>
    </row>
    <row r="89" spans="1:14" s="70" customFormat="1" ht="12.75" customHeight="1" x14ac:dyDescent="0.2">
      <c r="A89" s="24"/>
      <c r="B89" s="1"/>
      <c r="C89" s="50" t="s">
        <v>71</v>
      </c>
      <c r="D89" s="55">
        <f>+J88+L88</f>
        <v>16902.61</v>
      </c>
      <c r="E89" s="55">
        <f>+K88</f>
        <v>15268.35</v>
      </c>
      <c r="F89" s="55">
        <f>+D89-E89</f>
        <v>1634.2600000000002</v>
      </c>
      <c r="G89" s="55">
        <f>1500+700-F89</f>
        <v>565.73999999999978</v>
      </c>
      <c r="I89" s="2"/>
      <c r="J89" s="118">
        <f>SUM(J86:J88)</f>
        <v>1554.12</v>
      </c>
      <c r="K89" s="118">
        <f>SUM(K86:K88)</f>
        <v>20305.57</v>
      </c>
      <c r="L89" s="118">
        <f>SUM(L86:L88)</f>
        <v>20769.78</v>
      </c>
      <c r="M89" s="118">
        <f>SUM(M86:M88)</f>
        <v>2018.3300000000004</v>
      </c>
    </row>
    <row r="90" spans="1:14" s="70" customFormat="1" ht="12.75" customHeight="1" x14ac:dyDescent="0.2">
      <c r="A90" s="24"/>
      <c r="B90" s="1"/>
      <c r="C90" s="14"/>
      <c r="D90" s="56"/>
      <c r="E90" s="13"/>
      <c r="F90" s="2"/>
      <c r="G90" s="30"/>
    </row>
    <row r="91" spans="1:14" s="70" customFormat="1" ht="12.75" customHeight="1" x14ac:dyDescent="0.2">
      <c r="A91" s="215" t="s">
        <v>80</v>
      </c>
      <c r="B91" s="216"/>
      <c r="C91" s="216"/>
      <c r="D91" s="217"/>
      <c r="E91" s="69"/>
      <c r="G91" s="30"/>
    </row>
    <row r="92" spans="1:14" s="70" customFormat="1" ht="12.75" customHeight="1" x14ac:dyDescent="0.2">
      <c r="A92" s="71" t="s">
        <v>81</v>
      </c>
      <c r="B92" s="71"/>
      <c r="C92" s="72" t="s">
        <v>82</v>
      </c>
      <c r="D92" s="73" t="s">
        <v>83</v>
      </c>
      <c r="E92" s="69"/>
      <c r="G92" s="30"/>
    </row>
    <row r="93" spans="1:14" s="70" customFormat="1" ht="12.75" customHeight="1" x14ac:dyDescent="0.2">
      <c r="A93" s="87"/>
      <c r="B93" s="120"/>
      <c r="C93" s="75"/>
      <c r="D93" s="88"/>
      <c r="E93" s="2"/>
      <c r="F93" s="2"/>
      <c r="G93" s="30"/>
      <c r="H93" s="2"/>
      <c r="I93" s="2"/>
      <c r="J93" s="2"/>
      <c r="K93" s="2"/>
      <c r="L93" s="41"/>
      <c r="M93" s="42"/>
      <c r="N93" s="2"/>
    </row>
    <row r="94" spans="1:14" s="2" customFormat="1" x14ac:dyDescent="0.2">
      <c r="A94" s="87"/>
      <c r="B94" s="74"/>
      <c r="C94" s="75"/>
      <c r="D94" s="51">
        <f>SUM(D93:D93)</f>
        <v>0</v>
      </c>
      <c r="F94" s="2" t="s">
        <v>396</v>
      </c>
      <c r="G94" s="1"/>
    </row>
    <row r="95" spans="1:14" s="2" customFormat="1" x14ac:dyDescent="0.2">
      <c r="A95" s="24"/>
      <c r="B95" s="1"/>
      <c r="C95" s="14"/>
      <c r="D95" s="56"/>
      <c r="E95" s="13"/>
      <c r="G95" s="1"/>
    </row>
    <row r="96" spans="1:14" s="2" customFormat="1" x14ac:dyDescent="0.2">
      <c r="A96" s="24"/>
      <c r="B96" s="1"/>
      <c r="C96" s="218" t="s">
        <v>77</v>
      </c>
      <c r="D96" s="219"/>
      <c r="E96" s="219"/>
      <c r="F96" s="220"/>
      <c r="H96" s="2" t="s">
        <v>396</v>
      </c>
    </row>
    <row r="97" spans="1:13" s="2" customFormat="1" x14ac:dyDescent="0.2">
      <c r="A97" s="24"/>
      <c r="B97" s="1"/>
      <c r="C97" s="50"/>
      <c r="D97" s="57" t="s">
        <v>78</v>
      </c>
      <c r="E97" s="58" t="s">
        <v>79</v>
      </c>
      <c r="F97" s="57" t="s">
        <v>72</v>
      </c>
      <c r="H97" s="2" t="s">
        <v>396</v>
      </c>
    </row>
    <row r="98" spans="1:13" s="2" customFormat="1" x14ac:dyDescent="0.2">
      <c r="A98" s="24"/>
      <c r="B98" s="1"/>
      <c r="C98" s="59" t="str">
        <f>"01-11-2023 to "&amp;TEXT(A5-2,"dd-mm-yyyy")</f>
        <v>01-11-2023 to 29-11-2023</v>
      </c>
      <c r="D98" s="60">
        <v>2274.85</v>
      </c>
      <c r="E98" s="60">
        <v>520.34</v>
      </c>
      <c r="F98" s="61">
        <f>SUM(D98:E98)</f>
        <v>2795.19</v>
      </c>
    </row>
    <row r="99" spans="1:13" s="2" customFormat="1" x14ac:dyDescent="0.2">
      <c r="A99" s="24"/>
      <c r="B99" s="1"/>
      <c r="C99" s="62" t="str">
        <f>TEXT(A5-1,"dd-mm-yyyy")</f>
        <v>30-11-2023</v>
      </c>
      <c r="D99" s="60">
        <v>99.6</v>
      </c>
      <c r="E99" s="60">
        <v>65.91</v>
      </c>
      <c r="F99" s="61">
        <f>SUM(D99:E99)</f>
        <v>165.51</v>
      </c>
      <c r="G99" s="1"/>
      <c r="H99" s="53"/>
    </row>
    <row r="100" spans="1:13" s="2" customFormat="1" ht="13.5" thickBot="1" x14ac:dyDescent="0.25">
      <c r="A100" s="24"/>
      <c r="B100" s="1"/>
      <c r="C100" s="63" t="str">
        <f>"01-11-2023 to "&amp;TEXT(A5-1,"dd-mm-yyyy")</f>
        <v>01-11-2023 to 30-11-2023</v>
      </c>
      <c r="D100" s="64">
        <f>SUM(D98:D99)</f>
        <v>2374.4499999999998</v>
      </c>
      <c r="E100" s="64">
        <f>SUM(E98:E99)</f>
        <v>586.25</v>
      </c>
      <c r="F100" s="64">
        <f>SUM(F98:F99)</f>
        <v>2960.7</v>
      </c>
      <c r="G100" s="1"/>
      <c r="H100" s="53"/>
    </row>
    <row r="101" spans="1:13" s="2" customFormat="1" ht="13.5" thickTop="1" x14ac:dyDescent="0.2">
      <c r="A101" s="24"/>
      <c r="B101" s="1"/>
      <c r="C101" s="62"/>
      <c r="D101" s="65"/>
      <c r="E101" s="66"/>
      <c r="F101" s="67"/>
      <c r="L101" s="1"/>
      <c r="M101" s="1"/>
    </row>
    <row r="102" spans="1:13" s="2" customFormat="1" x14ac:dyDescent="0.2">
      <c r="A102" s="24"/>
      <c r="B102" s="1"/>
      <c r="C102" s="62" t="str">
        <f>"01-04-2023 to " &amp;C99</f>
        <v>01-04-2023 to 30-11-2023</v>
      </c>
      <c r="D102" s="68">
        <f>+D100+29859.78</f>
        <v>32234.23</v>
      </c>
      <c r="E102" s="68">
        <f>+E100+2548.34</f>
        <v>3134.59</v>
      </c>
      <c r="F102" s="68">
        <f>+F100+32408.1</f>
        <v>35368.799999999996</v>
      </c>
      <c r="G102" s="1"/>
      <c r="L102" s="1"/>
      <c r="M102" s="1"/>
    </row>
    <row r="103" spans="1:13" s="2" customFormat="1" x14ac:dyDescent="0.2">
      <c r="A103" s="24"/>
      <c r="B103" s="1"/>
      <c r="C103" s="52"/>
      <c r="D103" s="85"/>
      <c r="E103" s="53"/>
      <c r="F103" s="53"/>
      <c r="G103" s="1"/>
      <c r="L103" s="1"/>
      <c r="M103" s="1"/>
    </row>
    <row r="104" spans="1:13" s="2" customFormat="1" x14ac:dyDescent="0.2">
      <c r="A104" s="24"/>
      <c r="B104" s="1"/>
      <c r="C104" s="52"/>
      <c r="D104" s="85"/>
      <c r="E104" s="53"/>
      <c r="F104" s="53"/>
      <c r="G104" s="1"/>
      <c r="L104" s="1"/>
      <c r="M104" s="1"/>
    </row>
    <row r="105" spans="1:13" s="2" customFormat="1" x14ac:dyDescent="0.2">
      <c r="A105" s="24"/>
      <c r="B105" s="1"/>
      <c r="C105" s="52"/>
      <c r="D105" s="85"/>
      <c r="E105" s="53"/>
      <c r="F105" s="53"/>
      <c r="G105" s="1"/>
      <c r="L105" s="1"/>
      <c r="M105" s="1"/>
    </row>
    <row r="106" spans="1:13" s="2" customFormat="1" x14ac:dyDescent="0.2">
      <c r="A106" s="24"/>
      <c r="B106" s="1"/>
      <c r="C106" s="52"/>
      <c r="D106" s="85"/>
      <c r="E106" s="53"/>
      <c r="F106" s="53"/>
      <c r="G106" s="1"/>
      <c r="L106" s="1"/>
      <c r="M106" s="1"/>
    </row>
    <row r="107" spans="1:13" s="2" customFormat="1" x14ac:dyDescent="0.2">
      <c r="A107" s="24"/>
      <c r="B107" s="1"/>
      <c r="C107" s="14"/>
      <c r="D107" s="25">
        <f>SUM(D104:D106)</f>
        <v>0</v>
      </c>
      <c r="E107" s="2">
        <f>SUM(E104:E106)</f>
        <v>0</v>
      </c>
      <c r="G107" s="1"/>
      <c r="L107" s="1"/>
      <c r="M107" s="1"/>
    </row>
    <row r="108" spans="1:13" s="2" customFormat="1" x14ac:dyDescent="0.2">
      <c r="A108" s="24"/>
      <c r="B108" s="1"/>
      <c r="C108" s="14"/>
      <c r="D108" s="25"/>
      <c r="G108" s="1"/>
      <c r="L108" s="1"/>
      <c r="M108" s="1"/>
    </row>
    <row r="109" spans="1:13" s="2" customFormat="1" x14ac:dyDescent="0.2">
      <c r="A109" s="24"/>
      <c r="B109" s="1"/>
      <c r="C109" s="14"/>
      <c r="D109" s="25"/>
      <c r="G109" s="1"/>
      <c r="L109" s="1"/>
      <c r="M109" s="1"/>
    </row>
    <row r="110" spans="1:13" s="2" customFormat="1" x14ac:dyDescent="0.2">
      <c r="A110" s="24"/>
      <c r="B110" s="1"/>
      <c r="C110" s="14"/>
      <c r="D110" s="25"/>
      <c r="G110" s="1"/>
      <c r="L110" s="1"/>
      <c r="M110" s="1"/>
    </row>
    <row r="111" spans="1:13" s="2" customFormat="1" x14ac:dyDescent="0.2">
      <c r="A111" s="24"/>
      <c r="B111" s="1"/>
      <c r="C111" s="14"/>
      <c r="D111" s="25"/>
      <c r="G111" s="1"/>
      <c r="L111" s="1"/>
      <c r="M111" s="1"/>
    </row>
    <row r="112" spans="1:13" s="2" customFormat="1" x14ac:dyDescent="0.2">
      <c r="A112" s="24"/>
      <c r="B112" s="1"/>
      <c r="C112" s="14"/>
      <c r="D112" s="25"/>
      <c r="G112" s="1"/>
      <c r="L112" s="1"/>
      <c r="M112" s="1"/>
    </row>
    <row r="113" spans="1:14" s="2" customFormat="1" x14ac:dyDescent="0.2">
      <c r="A113" s="24"/>
      <c r="B113" s="1"/>
      <c r="C113" s="14"/>
      <c r="D113" s="25"/>
      <c r="G113" s="1"/>
      <c r="L113" s="1"/>
      <c r="M113" s="1"/>
    </row>
    <row r="114" spans="1:14" s="2" customFormat="1" x14ac:dyDescent="0.2">
      <c r="A114" s="24"/>
      <c r="B114" s="1"/>
      <c r="C114" s="14"/>
      <c r="D114" s="25"/>
      <c r="G114" s="1"/>
      <c r="L114" s="1"/>
      <c r="M114" s="1"/>
    </row>
    <row r="115" spans="1:14" s="2" customFormat="1" x14ac:dyDescent="0.2">
      <c r="A115" s="24"/>
      <c r="B115" s="1"/>
      <c r="C115" s="14"/>
      <c r="D115" s="25"/>
      <c r="G115" s="1"/>
      <c r="L115" s="1"/>
      <c r="M115" s="1"/>
    </row>
    <row r="116" spans="1:14" s="2" customFormat="1" x14ac:dyDescent="0.2">
      <c r="A116" s="24"/>
      <c r="B116" s="1"/>
      <c r="C116" s="14"/>
      <c r="D116" s="25"/>
      <c r="G116" s="1"/>
      <c r="L116" s="1"/>
      <c r="M116" s="1"/>
    </row>
    <row r="117" spans="1:14" s="2" customFormat="1" x14ac:dyDescent="0.2">
      <c r="A117" s="24"/>
      <c r="B117" s="1"/>
      <c r="C117" s="14"/>
      <c r="D117" s="25"/>
      <c r="G117" s="1"/>
      <c r="L117" s="1"/>
      <c r="M117" s="1"/>
    </row>
    <row r="118" spans="1:14" s="2" customFormat="1" x14ac:dyDescent="0.2">
      <c r="A118" s="24"/>
      <c r="B118" s="1"/>
      <c r="C118" s="14"/>
      <c r="D118" s="25"/>
      <c r="G118" s="1"/>
      <c r="L118" s="1"/>
      <c r="M118" s="1"/>
    </row>
    <row r="119" spans="1:14" s="2" customFormat="1" x14ac:dyDescent="0.2">
      <c r="A119" s="24"/>
      <c r="B119" s="1"/>
      <c r="C119" s="14"/>
      <c r="D119" s="25"/>
      <c r="G119" s="1"/>
      <c r="L119" s="1"/>
      <c r="M119" s="1"/>
    </row>
    <row r="120" spans="1:14" s="2" customFormat="1" x14ac:dyDescent="0.2">
      <c r="A120" s="24"/>
      <c r="B120" s="1"/>
      <c r="C120" s="14"/>
      <c r="D120" s="25"/>
      <c r="G120" s="1"/>
      <c r="L120" s="1"/>
      <c r="M120" s="1"/>
    </row>
    <row r="121" spans="1:14" s="2" customFormat="1" x14ac:dyDescent="0.2">
      <c r="A121" s="24"/>
      <c r="B121" s="1"/>
      <c r="C121" s="14"/>
      <c r="D121" s="25"/>
      <c r="G121" s="1"/>
      <c r="I121" s="1"/>
      <c r="J121" s="1"/>
      <c r="K121" s="1"/>
      <c r="L121" s="1"/>
      <c r="M121" s="1"/>
    </row>
    <row r="122" spans="1:14" s="2" customFormat="1" x14ac:dyDescent="0.2">
      <c r="A122" s="24"/>
      <c r="B122" s="1"/>
      <c r="C122" s="14"/>
      <c r="D122" s="25"/>
      <c r="G122" s="1"/>
    </row>
    <row r="123" spans="1:14" s="2" customFormat="1" x14ac:dyDescent="0.2">
      <c r="A123" s="24"/>
      <c r="B123" s="1"/>
      <c r="C123" s="14"/>
      <c r="D123" s="25"/>
      <c r="G123" s="1"/>
      <c r="I123" s="1"/>
      <c r="J123" s="1"/>
      <c r="K123" s="1"/>
      <c r="L123" s="1"/>
      <c r="M123" s="1"/>
    </row>
    <row r="124" spans="1:14" s="2" customFormat="1" x14ac:dyDescent="0.2">
      <c r="A124" s="24"/>
      <c r="B124" s="1"/>
      <c r="C124" s="14"/>
      <c r="D124" s="25"/>
      <c r="G124" s="54"/>
      <c r="I124" s="1"/>
      <c r="J124" s="1"/>
      <c r="K124" s="1"/>
      <c r="L124" s="1"/>
      <c r="M124" s="1"/>
    </row>
    <row r="125" spans="1:14" s="2" customFormat="1" x14ac:dyDescent="0.2">
      <c r="A125" s="24"/>
      <c r="B125" s="1"/>
      <c r="C125" s="14"/>
      <c r="D125" s="25"/>
      <c r="G125" s="54"/>
      <c r="I125" s="1"/>
      <c r="J125" s="1"/>
      <c r="K125" s="1"/>
      <c r="L125" s="1"/>
      <c r="M125" s="1"/>
    </row>
    <row r="126" spans="1:14" s="2" customFormat="1" x14ac:dyDescent="0.2">
      <c r="A126" s="24"/>
      <c r="B126" s="1"/>
      <c r="C126" s="14"/>
      <c r="D126" s="25"/>
      <c r="G126" s="54"/>
      <c r="I126" s="1"/>
      <c r="J126" s="1"/>
      <c r="K126" s="1"/>
      <c r="L126" s="1"/>
      <c r="M126" s="1"/>
    </row>
    <row r="127" spans="1:14" s="2" customFormat="1" x14ac:dyDescent="0.2">
      <c r="A127" s="24"/>
      <c r="B127" s="1"/>
      <c r="C127" s="14"/>
      <c r="D127" s="25"/>
      <c r="G127" s="54"/>
      <c r="H127" s="2" t="s">
        <v>396</v>
      </c>
      <c r="I127" s="1"/>
      <c r="J127" s="1"/>
      <c r="K127" s="1"/>
      <c r="L127" s="1"/>
      <c r="M127" s="1"/>
      <c r="N127" s="1"/>
    </row>
    <row r="128" spans="1:14" s="2" customFormat="1" x14ac:dyDescent="0.2">
      <c r="A128" s="24"/>
      <c r="B128" s="1"/>
      <c r="C128" s="14"/>
      <c r="D128" s="25"/>
      <c r="G128" s="54"/>
      <c r="H128" s="53"/>
    </row>
    <row r="129" spans="1:14" s="2" customFormat="1" x14ac:dyDescent="0.2">
      <c r="A129" s="24"/>
      <c r="B129" s="1"/>
      <c r="C129" s="14"/>
      <c r="D129" s="25"/>
      <c r="G129" s="54"/>
      <c r="H129" s="53" t="s">
        <v>396</v>
      </c>
      <c r="I129" s="1"/>
      <c r="J129" s="1"/>
      <c r="K129" s="1"/>
      <c r="L129" s="1"/>
      <c r="M129" s="1"/>
      <c r="N129" s="1"/>
    </row>
    <row r="130" spans="1:14" x14ac:dyDescent="0.2">
      <c r="G130" s="54"/>
      <c r="H130" s="53" t="s">
        <v>396</v>
      </c>
      <c r="J130" s="42"/>
    </row>
    <row r="131" spans="1:14" s="2" customFormat="1" x14ac:dyDescent="0.2">
      <c r="A131" s="24"/>
      <c r="B131" s="1"/>
      <c r="C131" s="14"/>
      <c r="D131" s="25"/>
      <c r="G131" s="54"/>
      <c r="H131" s="53"/>
      <c r="I131" s="101"/>
      <c r="J131" s="1"/>
      <c r="K131" s="1"/>
      <c r="L131" s="1"/>
      <c r="M131" s="1"/>
      <c r="N131" s="1"/>
    </row>
    <row r="132" spans="1:14" x14ac:dyDescent="0.2">
      <c r="G132" s="54"/>
      <c r="H132" s="53"/>
    </row>
    <row r="133" spans="1:14" x14ac:dyDescent="0.2">
      <c r="G133" s="54"/>
      <c r="H133" s="53"/>
    </row>
    <row r="134" spans="1:14" x14ac:dyDescent="0.2">
      <c r="G134" s="54"/>
      <c r="H134" s="53"/>
    </row>
  </sheetData>
  <sheetProtection insertRows="0"/>
  <mergeCells count="6">
    <mergeCell ref="C96:F96"/>
    <mergeCell ref="A1:G1"/>
    <mergeCell ref="A3:F3"/>
    <mergeCell ref="A10:F10"/>
    <mergeCell ref="A28:F28"/>
    <mergeCell ref="A91:D91"/>
  </mergeCells>
  <conditionalFormatting sqref="G88:G89">
    <cfRule type="cellIs" dxfId="197" priority="1" operator="lessThan">
      <formula>0</formula>
    </cfRule>
  </conditionalFormatting>
  <conditionalFormatting sqref="C30">
    <cfRule type="duplicateValues" dxfId="196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000-000000000000}">
  <sheetPr codeName="Sheet488">
    <pageSetUpPr fitToPage="1"/>
  </sheetPr>
  <dimension ref="A1:N122"/>
  <sheetViews>
    <sheetView zoomScaleNormal="100" workbookViewId="0">
      <selection sqref="A1:G1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3" ht="20.25" customHeight="1" x14ac:dyDescent="0.4">
      <c r="A1" s="212" t="s">
        <v>1827</v>
      </c>
      <c r="B1" s="212"/>
      <c r="C1" s="212"/>
      <c r="D1" s="212"/>
      <c r="E1" s="212"/>
      <c r="F1" s="212"/>
      <c r="G1" s="212"/>
      <c r="H1" s="112"/>
      <c r="I1" s="112"/>
    </row>
    <row r="2" spans="1:13" ht="12.75" customHeight="1" x14ac:dyDescent="0.4">
      <c r="H2" s="112"/>
      <c r="I2" s="112"/>
    </row>
    <row r="3" spans="1:13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3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3" s="2" customFormat="1" ht="14.25" customHeight="1" x14ac:dyDescent="0.4">
      <c r="A5" s="89">
        <v>45262</v>
      </c>
      <c r="B5" s="9" t="s">
        <v>6</v>
      </c>
      <c r="C5" s="10" t="s">
        <v>7</v>
      </c>
      <c r="D5" s="11"/>
      <c r="E5" s="12">
        <v>1105464.3400000001</v>
      </c>
      <c r="F5" s="12"/>
      <c r="G5" s="1"/>
      <c r="H5" s="112"/>
      <c r="I5" s="112"/>
    </row>
    <row r="6" spans="1:13" s="2" customFormat="1" ht="12.75" customHeight="1" x14ac:dyDescent="0.2">
      <c r="D6" s="15" t="s">
        <v>8</v>
      </c>
      <c r="E6" s="16">
        <f>SUM(E5:E5)</f>
        <v>1105464.3400000001</v>
      </c>
      <c r="F6" s="16">
        <f>+F5</f>
        <v>0</v>
      </c>
      <c r="G6" s="1"/>
      <c r="H6" s="13" t="s">
        <v>1582</v>
      </c>
      <c r="I6" s="13" t="s">
        <v>1583</v>
      </c>
    </row>
    <row r="7" spans="1:13" s="2" customFormat="1" ht="12.75" customHeight="1" x14ac:dyDescent="0.2">
      <c r="A7" s="17"/>
      <c r="B7" s="18"/>
      <c r="C7" s="19" t="s">
        <v>9</v>
      </c>
      <c r="D7" s="20"/>
      <c r="E7" s="21">
        <f>+E6-F6</f>
        <v>1105464.3400000001</v>
      </c>
      <c r="F7" s="22"/>
      <c r="G7" s="23"/>
      <c r="H7" s="2">
        <v>0</v>
      </c>
      <c r="I7" s="2">
        <v>0</v>
      </c>
      <c r="J7" s="176">
        <f>H7-I7</f>
        <v>0</v>
      </c>
    </row>
    <row r="8" spans="1:13" ht="12.75" customHeight="1" x14ac:dyDescent="0.4">
      <c r="H8" s="112"/>
      <c r="I8" s="112"/>
    </row>
    <row r="9" spans="1:13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69">
        <f>90000000-60000000</f>
        <v>30000000</v>
      </c>
      <c r="J9" s="169" t="s">
        <v>1508</v>
      </c>
    </row>
    <row r="10" spans="1:13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69">
        <v>29394154.719999999</v>
      </c>
      <c r="J10" s="169" t="s">
        <v>1509</v>
      </c>
      <c r="K10" s="124"/>
    </row>
    <row r="11" spans="1:13" s="2" customFormat="1" ht="14.25" customHeight="1" x14ac:dyDescent="0.2">
      <c r="A11" s="89">
        <v>45262</v>
      </c>
      <c r="B11" s="9" t="s">
        <v>6</v>
      </c>
      <c r="C11" s="10" t="s">
        <v>7</v>
      </c>
      <c r="D11" s="11"/>
      <c r="F11" s="12">
        <v>28617119.719999999</v>
      </c>
      <c r="G11" s="1"/>
      <c r="H11" s="130" t="s">
        <v>396</v>
      </c>
      <c r="I11" s="169">
        <f>+I9-I10</f>
        <v>605845.28000000119</v>
      </c>
      <c r="J11" s="169" t="s">
        <v>712</v>
      </c>
      <c r="K11" s="165" t="s">
        <v>1512</v>
      </c>
    </row>
    <row r="12" spans="1:13" s="2" customFormat="1" ht="14.25" customHeight="1" x14ac:dyDescent="0.2">
      <c r="A12" s="89">
        <v>45262</v>
      </c>
      <c r="B12" s="9" t="s">
        <v>11</v>
      </c>
      <c r="C12" s="10" t="s">
        <v>102</v>
      </c>
      <c r="D12" s="11" t="s">
        <v>29</v>
      </c>
      <c r="F12" s="12">
        <v>206767</v>
      </c>
      <c r="G12" s="1"/>
      <c r="H12" s="130"/>
      <c r="I12" s="169"/>
      <c r="J12" s="169"/>
      <c r="K12" s="165"/>
    </row>
    <row r="13" spans="1:13" s="2" customFormat="1" ht="14.25" customHeight="1" x14ac:dyDescent="0.2">
      <c r="A13" s="89">
        <v>45262</v>
      </c>
      <c r="B13" s="9" t="s">
        <v>11</v>
      </c>
      <c r="C13" s="10" t="s">
        <v>1299</v>
      </c>
      <c r="D13" s="11" t="s">
        <v>29</v>
      </c>
      <c r="F13" s="12">
        <v>266525</v>
      </c>
      <c r="G13" s="1"/>
      <c r="H13" s="130"/>
      <c r="I13" s="169"/>
      <c r="J13" s="169"/>
      <c r="K13" s="165"/>
    </row>
    <row r="14" spans="1:13" s="2" customFormat="1" ht="14.25" customHeight="1" x14ac:dyDescent="0.2">
      <c r="A14" s="89">
        <v>45262</v>
      </c>
      <c r="B14" s="9" t="s">
        <v>11</v>
      </c>
      <c r="C14" s="10" t="s">
        <v>1828</v>
      </c>
      <c r="D14" s="11" t="s">
        <v>29</v>
      </c>
      <c r="F14" s="12">
        <v>3743</v>
      </c>
      <c r="G14" s="1"/>
      <c r="H14" s="130"/>
      <c r="I14" s="169"/>
      <c r="J14" s="169"/>
      <c r="K14" s="165"/>
    </row>
    <row r="15" spans="1:13" s="2" customFormat="1" ht="14.25" customHeight="1" x14ac:dyDescent="0.2">
      <c r="A15" s="89">
        <v>45262</v>
      </c>
      <c r="B15" s="9" t="s">
        <v>11</v>
      </c>
      <c r="C15" s="10" t="s">
        <v>486</v>
      </c>
      <c r="D15" s="11" t="s">
        <v>29</v>
      </c>
      <c r="F15" s="12">
        <v>300000</v>
      </c>
      <c r="G15" s="1"/>
      <c r="H15" s="130"/>
      <c r="I15" s="169"/>
      <c r="J15" s="169"/>
      <c r="K15" s="165"/>
    </row>
    <row r="16" spans="1:13" s="2" customFormat="1" ht="14.25" customHeight="1" x14ac:dyDescent="0.2">
      <c r="D16" s="11" t="s">
        <v>8</v>
      </c>
      <c r="E16" s="16">
        <f>SUM(E12:E15)</f>
        <v>0</v>
      </c>
      <c r="F16" s="16">
        <f>SUM(F11:F15)</f>
        <v>29394154.719999999</v>
      </c>
      <c r="G16" s="1"/>
      <c r="H16" s="143"/>
      <c r="I16" s="130"/>
      <c r="J16" s="143"/>
      <c r="K16" s="143"/>
      <c r="L16" s="143"/>
      <c r="M16" s="143"/>
    </row>
    <row r="17" spans="1:14" s="2" customFormat="1" ht="14.25" customHeight="1" x14ac:dyDescent="0.4">
      <c r="A17" s="17"/>
      <c r="B17" s="18"/>
      <c r="C17" s="96" t="s">
        <v>9</v>
      </c>
      <c r="D17" s="20"/>
      <c r="E17" s="21">
        <f>+F16-E16</f>
        <v>29394154.719999999</v>
      </c>
      <c r="G17" s="1"/>
      <c r="I17" s="112"/>
      <c r="J17" s="153" t="s">
        <v>779</v>
      </c>
    </row>
    <row r="18" spans="1:14" s="2" customFormat="1" ht="14.25" customHeight="1" x14ac:dyDescent="0.2">
      <c r="A18" s="36"/>
      <c r="B18" s="28" t="s">
        <v>66</v>
      </c>
      <c r="C18" s="43" t="s">
        <v>1458</v>
      </c>
      <c r="D18" s="43"/>
      <c r="E18" s="12">
        <f>30000000+60000000</f>
        <v>90000000</v>
      </c>
      <c r="F18" s="22"/>
      <c r="G18" s="1"/>
      <c r="I18" s="40">
        <v>29394154.719999999</v>
      </c>
      <c r="J18" s="154">
        <f>I18-E17</f>
        <v>0</v>
      </c>
    </row>
    <row r="19" spans="1:14" s="2" customFormat="1" ht="14.25" customHeight="1" x14ac:dyDescent="0.25">
      <c r="A19" s="36"/>
      <c r="B19" s="28"/>
      <c r="C19" s="44" t="s">
        <v>1541</v>
      </c>
      <c r="D19" s="43"/>
      <c r="E19" s="7">
        <f>+E17+E18</f>
        <v>119394154.72</v>
      </c>
      <c r="F19" s="22"/>
      <c r="G19" s="1"/>
      <c r="H19" s="13" t="s">
        <v>1582</v>
      </c>
      <c r="I19" s="13" t="s">
        <v>1583</v>
      </c>
    </row>
    <row r="20" spans="1:14" s="2" customFormat="1" ht="14.25" customHeight="1" x14ac:dyDescent="0.25">
      <c r="A20" s="36"/>
      <c r="B20" s="28"/>
      <c r="C20" s="44" t="s">
        <v>1511</v>
      </c>
      <c r="D20" s="43"/>
      <c r="E20" s="38">
        <f>+I11+H7-I7</f>
        <v>605845.28000000119</v>
      </c>
      <c r="F20" s="22"/>
      <c r="G20" s="1"/>
      <c r="H20" s="2">
        <v>1742924</v>
      </c>
      <c r="I20" s="2">
        <v>2419181.0699999998</v>
      </c>
      <c r="J20" s="176">
        <f>H20-I20</f>
        <v>-676257.06999999983</v>
      </c>
    </row>
    <row r="21" spans="1:14" s="2" customFormat="1" ht="14.25" customHeight="1" x14ac:dyDescent="0.2">
      <c r="A21" s="24"/>
      <c r="B21" s="1"/>
      <c r="C21" s="14"/>
      <c r="D21" s="25"/>
      <c r="G21" s="1"/>
      <c r="I21" s="130"/>
      <c r="J21" s="130"/>
    </row>
    <row r="22" spans="1:14" s="2" customFormat="1" x14ac:dyDescent="0.2">
      <c r="A22" s="214" t="s">
        <v>10</v>
      </c>
      <c r="B22" s="214"/>
      <c r="C22" s="214"/>
      <c r="D22" s="214"/>
      <c r="E22" s="214"/>
      <c r="F22" s="214"/>
      <c r="G22" s="1"/>
      <c r="H22" s="159"/>
      <c r="I22" s="160">
        <f>225000000-75000000-50000000</f>
        <v>100000000</v>
      </c>
      <c r="J22" s="160" t="s">
        <v>1506</v>
      </c>
      <c r="K22" s="70"/>
    </row>
    <row r="23" spans="1:14" s="2" customFormat="1" x14ac:dyDescent="0.2">
      <c r="A23" s="26" t="s">
        <v>1</v>
      </c>
      <c r="B23" s="27" t="s">
        <v>2</v>
      </c>
      <c r="C23" s="5"/>
      <c r="D23" s="6" t="s">
        <v>3</v>
      </c>
      <c r="E23" s="7" t="s">
        <v>4</v>
      </c>
      <c r="F23" s="7" t="s">
        <v>5</v>
      </c>
      <c r="G23" s="1"/>
      <c r="H23" s="159"/>
      <c r="I23" s="160">
        <v>45961253.289999999</v>
      </c>
      <c r="J23" s="160" t="s">
        <v>1507</v>
      </c>
      <c r="K23" s="70" t="s">
        <v>1512</v>
      </c>
    </row>
    <row r="24" spans="1:14" s="2" customFormat="1" x14ac:dyDescent="0.2">
      <c r="A24" s="89">
        <v>45262</v>
      </c>
      <c r="B24" s="128" t="s">
        <v>11</v>
      </c>
      <c r="C24" s="29" t="s">
        <v>7</v>
      </c>
      <c r="D24" s="25"/>
      <c r="E24" s="31"/>
      <c r="F24" s="2">
        <v>43790222.32000003</v>
      </c>
      <c r="G24" s="23"/>
      <c r="H24" s="159" t="s">
        <v>1505</v>
      </c>
      <c r="I24" s="160">
        <f>+I22-I23</f>
        <v>54038746.710000001</v>
      </c>
      <c r="J24" s="160"/>
      <c r="K24" s="70"/>
    </row>
    <row r="25" spans="1:14" s="2" customFormat="1" x14ac:dyDescent="0.2">
      <c r="A25" s="89">
        <v>45262</v>
      </c>
      <c r="B25" s="128" t="s">
        <v>6</v>
      </c>
      <c r="C25" s="10" t="s">
        <v>759</v>
      </c>
      <c r="D25" s="11" t="s">
        <v>13</v>
      </c>
      <c r="E25" s="86">
        <v>2847983.61</v>
      </c>
      <c r="F25" s="70"/>
      <c r="G25" s="1"/>
      <c r="N25" s="1"/>
    </row>
    <row r="26" spans="1:14" s="2" customFormat="1" x14ac:dyDescent="0.2">
      <c r="A26" s="89">
        <v>45262</v>
      </c>
      <c r="B26" s="128" t="s">
        <v>6</v>
      </c>
      <c r="C26" s="10" t="s">
        <v>764</v>
      </c>
      <c r="D26" s="11" t="s">
        <v>13</v>
      </c>
      <c r="E26" s="86">
        <v>2021972.67</v>
      </c>
      <c r="F26" s="70"/>
      <c r="G26" s="1"/>
      <c r="N26" s="1"/>
    </row>
    <row r="27" spans="1:14" s="2" customFormat="1" x14ac:dyDescent="0.2">
      <c r="A27" s="89">
        <v>45262</v>
      </c>
      <c r="B27" s="128" t="s">
        <v>6</v>
      </c>
      <c r="C27" s="10" t="s">
        <v>757</v>
      </c>
      <c r="D27" s="11" t="s">
        <v>13</v>
      </c>
      <c r="E27" s="86">
        <v>588756.65</v>
      </c>
      <c r="F27" s="70"/>
      <c r="G27" s="1"/>
      <c r="N27" s="1"/>
    </row>
    <row r="28" spans="1:14" s="2" customFormat="1" x14ac:dyDescent="0.2">
      <c r="A28" s="89">
        <v>45262</v>
      </c>
      <c r="B28" s="128" t="s">
        <v>6</v>
      </c>
      <c r="C28" s="10" t="s">
        <v>1829</v>
      </c>
      <c r="D28" s="11" t="s">
        <v>13</v>
      </c>
      <c r="E28" s="86">
        <v>3360</v>
      </c>
      <c r="F28" s="70"/>
      <c r="G28" s="1"/>
      <c r="N28" s="1"/>
    </row>
    <row r="29" spans="1:14" s="2" customFormat="1" x14ac:dyDescent="0.2">
      <c r="A29" s="89">
        <v>45262</v>
      </c>
      <c r="B29" s="128" t="s">
        <v>6</v>
      </c>
      <c r="C29" s="10" t="s">
        <v>749</v>
      </c>
      <c r="D29" s="11" t="s">
        <v>13</v>
      </c>
      <c r="E29" s="86">
        <v>1801000.62</v>
      </c>
      <c r="F29" s="70"/>
      <c r="G29" s="1"/>
      <c r="N29" s="1"/>
    </row>
    <row r="30" spans="1:14" s="2" customFormat="1" x14ac:dyDescent="0.2">
      <c r="A30" s="89">
        <v>45262</v>
      </c>
      <c r="B30" s="128" t="s">
        <v>6</v>
      </c>
      <c r="C30" s="10" t="s">
        <v>17</v>
      </c>
      <c r="D30" s="11" t="s">
        <v>13</v>
      </c>
      <c r="E30" s="86">
        <v>123152</v>
      </c>
      <c r="F30" s="70"/>
      <c r="G30" s="1"/>
      <c r="N30" s="1"/>
    </row>
    <row r="31" spans="1:14" s="2" customFormat="1" x14ac:dyDescent="0.2">
      <c r="A31" s="89">
        <v>45262</v>
      </c>
      <c r="B31" s="128" t="s">
        <v>6</v>
      </c>
      <c r="C31" s="10" t="s">
        <v>178</v>
      </c>
      <c r="D31" s="11" t="s">
        <v>13</v>
      </c>
      <c r="E31" s="86">
        <v>1500000</v>
      </c>
      <c r="F31" s="70"/>
      <c r="G31" s="1"/>
      <c r="N31" s="1"/>
    </row>
    <row r="32" spans="1:14" s="2" customFormat="1" x14ac:dyDescent="0.2">
      <c r="A32" s="89">
        <v>45262</v>
      </c>
      <c r="B32" s="128" t="s">
        <v>6</v>
      </c>
      <c r="C32" s="10" t="s">
        <v>200</v>
      </c>
      <c r="D32" s="11" t="s">
        <v>13</v>
      </c>
      <c r="E32" s="86">
        <v>33218</v>
      </c>
      <c r="F32" s="70"/>
      <c r="G32" s="1"/>
      <c r="N32" s="1"/>
    </row>
    <row r="33" spans="1:14" s="2" customFormat="1" x14ac:dyDescent="0.2">
      <c r="A33" s="89">
        <v>45262</v>
      </c>
      <c r="B33" s="128" t="s">
        <v>6</v>
      </c>
      <c r="C33" s="10" t="s">
        <v>1471</v>
      </c>
      <c r="D33" s="11" t="s">
        <v>13</v>
      </c>
      <c r="E33" s="86">
        <v>1166686</v>
      </c>
      <c r="F33" s="70"/>
      <c r="G33" s="1"/>
      <c r="N33" s="1"/>
    </row>
    <row r="34" spans="1:14" s="2" customFormat="1" x14ac:dyDescent="0.2">
      <c r="A34" s="89">
        <v>45262</v>
      </c>
      <c r="B34" s="128" t="s">
        <v>6</v>
      </c>
      <c r="C34" s="10" t="s">
        <v>966</v>
      </c>
      <c r="D34" s="11" t="s">
        <v>13</v>
      </c>
      <c r="E34" s="86">
        <v>60580</v>
      </c>
      <c r="F34" s="70"/>
      <c r="G34" s="1"/>
      <c r="N34" s="1"/>
    </row>
    <row r="35" spans="1:14" s="2" customFormat="1" x14ac:dyDescent="0.2">
      <c r="A35" s="89">
        <v>45262</v>
      </c>
      <c r="B35" s="128" t="s">
        <v>6</v>
      </c>
      <c r="C35" s="10" t="s">
        <v>15</v>
      </c>
      <c r="D35" s="11" t="s">
        <v>13</v>
      </c>
      <c r="E35" s="86">
        <v>1078.46</v>
      </c>
      <c r="F35" s="70"/>
      <c r="G35" s="1"/>
      <c r="N35" s="1"/>
    </row>
    <row r="36" spans="1:14" s="2" customFormat="1" x14ac:dyDescent="0.2">
      <c r="A36" s="89">
        <v>45262</v>
      </c>
      <c r="B36" s="128" t="s">
        <v>6</v>
      </c>
      <c r="C36" s="10" t="s">
        <v>819</v>
      </c>
      <c r="D36" s="11" t="s">
        <v>13</v>
      </c>
      <c r="E36" s="86">
        <v>754968</v>
      </c>
      <c r="F36" s="70"/>
      <c r="G36" s="1"/>
      <c r="N36" s="1"/>
    </row>
    <row r="37" spans="1:14" s="2" customFormat="1" x14ac:dyDescent="0.2">
      <c r="A37" s="89">
        <v>45262</v>
      </c>
      <c r="B37" s="128" t="s">
        <v>6</v>
      </c>
      <c r="C37" s="10" t="s">
        <v>465</v>
      </c>
      <c r="D37" s="11" t="s">
        <v>13</v>
      </c>
      <c r="E37" s="86">
        <v>315498.92</v>
      </c>
      <c r="F37" s="70"/>
      <c r="G37" s="1"/>
      <c r="N37" s="1"/>
    </row>
    <row r="38" spans="1:14" s="2" customFormat="1" x14ac:dyDescent="0.2">
      <c r="A38" s="89">
        <v>45262</v>
      </c>
      <c r="B38" s="128" t="s">
        <v>11</v>
      </c>
      <c r="C38" s="10" t="s">
        <v>64</v>
      </c>
      <c r="D38" s="11" t="s">
        <v>29</v>
      </c>
      <c r="E38" s="86"/>
      <c r="F38" s="70">
        <f>5900+2065</f>
        <v>7965</v>
      </c>
      <c r="G38" s="1"/>
      <c r="N38" s="1"/>
    </row>
    <row r="39" spans="1:14" s="2" customFormat="1" x14ac:dyDescent="0.2">
      <c r="A39" s="89">
        <v>45262</v>
      </c>
      <c r="B39" s="128" t="s">
        <v>11</v>
      </c>
      <c r="C39" s="10" t="s">
        <v>102</v>
      </c>
      <c r="D39" s="11" t="s">
        <v>29</v>
      </c>
      <c r="E39" s="86"/>
      <c r="F39" s="70">
        <v>748534</v>
      </c>
      <c r="G39" s="1"/>
      <c r="N39" s="1"/>
    </row>
    <row r="40" spans="1:14" s="2" customFormat="1" x14ac:dyDescent="0.2">
      <c r="A40" s="89">
        <v>45262</v>
      </c>
      <c r="B40" s="128" t="s">
        <v>11</v>
      </c>
      <c r="C40" s="10" t="s">
        <v>110</v>
      </c>
      <c r="D40" s="11" t="s">
        <v>29</v>
      </c>
      <c r="E40" s="86"/>
      <c r="F40" s="70">
        <v>2373188.0699999998</v>
      </c>
      <c r="G40" s="1"/>
      <c r="N40" s="1"/>
    </row>
    <row r="41" spans="1:14" s="2" customFormat="1" x14ac:dyDescent="0.2">
      <c r="A41" s="89">
        <v>45262</v>
      </c>
      <c r="B41" s="128" t="s">
        <v>11</v>
      </c>
      <c r="C41" s="10" t="s">
        <v>167</v>
      </c>
      <c r="D41" s="11" t="s">
        <v>29</v>
      </c>
      <c r="E41" s="86"/>
      <c r="F41" s="70">
        <v>65884</v>
      </c>
      <c r="G41" s="1"/>
      <c r="N41" s="1"/>
    </row>
    <row r="42" spans="1:14" s="2" customFormat="1" x14ac:dyDescent="0.2">
      <c r="A42" s="89">
        <v>45262</v>
      </c>
      <c r="B42" s="128" t="s">
        <v>11</v>
      </c>
      <c r="C42" s="10" t="s">
        <v>170</v>
      </c>
      <c r="D42" s="11" t="s">
        <v>29</v>
      </c>
      <c r="E42" s="86"/>
      <c r="F42" s="70">
        <v>10000</v>
      </c>
      <c r="G42" s="1"/>
      <c r="N42" s="1"/>
    </row>
    <row r="43" spans="1:14" s="2" customFormat="1" x14ac:dyDescent="0.2">
      <c r="A43" s="89">
        <v>45262</v>
      </c>
      <c r="B43" s="128" t="s">
        <v>11</v>
      </c>
      <c r="C43" s="10" t="s">
        <v>169</v>
      </c>
      <c r="D43" s="11" t="s">
        <v>29</v>
      </c>
      <c r="E43" s="86"/>
      <c r="F43" s="70">
        <v>8500</v>
      </c>
      <c r="G43" s="1"/>
      <c r="N43" s="1"/>
    </row>
    <row r="44" spans="1:14" s="2" customFormat="1" x14ac:dyDescent="0.2">
      <c r="A44" s="89">
        <v>45262</v>
      </c>
      <c r="B44" s="128" t="s">
        <v>11</v>
      </c>
      <c r="C44" s="10" t="s">
        <v>168</v>
      </c>
      <c r="D44" s="11" t="s">
        <v>29</v>
      </c>
      <c r="E44" s="86"/>
      <c r="F44" s="70">
        <v>3600</v>
      </c>
      <c r="G44" s="1"/>
      <c r="N44" s="1"/>
    </row>
    <row r="45" spans="1:14" s="2" customFormat="1" x14ac:dyDescent="0.2">
      <c r="A45" s="89">
        <v>45262</v>
      </c>
      <c r="B45" s="128" t="s">
        <v>11</v>
      </c>
      <c r="C45" s="10" t="s">
        <v>262</v>
      </c>
      <c r="D45" s="11" t="s">
        <v>29</v>
      </c>
      <c r="E45" s="86"/>
      <c r="F45" s="70">
        <v>17756</v>
      </c>
      <c r="G45" s="1"/>
      <c r="N45" s="1"/>
    </row>
    <row r="46" spans="1:14" s="2" customFormat="1" x14ac:dyDescent="0.2">
      <c r="A46" s="89">
        <v>45262</v>
      </c>
      <c r="B46" s="128" t="s">
        <v>11</v>
      </c>
      <c r="C46" s="10" t="s">
        <v>35</v>
      </c>
      <c r="D46" s="11" t="s">
        <v>29</v>
      </c>
      <c r="E46" s="86"/>
      <c r="F46" s="70">
        <v>95834.8</v>
      </c>
      <c r="G46" s="1"/>
      <c r="N46" s="1"/>
    </row>
    <row r="47" spans="1:14" s="2" customFormat="1" x14ac:dyDescent="0.2">
      <c r="A47" s="89">
        <v>45262</v>
      </c>
      <c r="B47" s="128" t="s">
        <v>11</v>
      </c>
      <c r="C47" s="10" t="s">
        <v>181</v>
      </c>
      <c r="D47" s="11" t="s">
        <v>29</v>
      </c>
      <c r="E47" s="86"/>
      <c r="F47" s="70">
        <v>48600</v>
      </c>
      <c r="G47" s="1"/>
      <c r="N47" s="1"/>
    </row>
    <row r="48" spans="1:14" s="2" customFormat="1" x14ac:dyDescent="0.2">
      <c r="A48" s="89">
        <v>45262</v>
      </c>
      <c r="B48" s="128" t="s">
        <v>11</v>
      </c>
      <c r="C48" s="10" t="s">
        <v>477</v>
      </c>
      <c r="D48" s="11" t="s">
        <v>29</v>
      </c>
      <c r="E48" s="86"/>
      <c r="F48" s="70">
        <v>56940</v>
      </c>
      <c r="G48" s="1"/>
      <c r="N48" s="1"/>
    </row>
    <row r="49" spans="1:14" s="2" customFormat="1" x14ac:dyDescent="0.2">
      <c r="A49" s="89">
        <v>45262</v>
      </c>
      <c r="B49" s="128" t="s">
        <v>11</v>
      </c>
      <c r="C49" s="10" t="s">
        <v>47</v>
      </c>
      <c r="D49" s="11" t="s">
        <v>29</v>
      </c>
      <c r="E49" s="86"/>
      <c r="F49" s="70">
        <v>21392</v>
      </c>
      <c r="G49" s="1"/>
      <c r="N49" s="1"/>
    </row>
    <row r="50" spans="1:14" s="2" customFormat="1" x14ac:dyDescent="0.2">
      <c r="A50" s="89">
        <v>45262</v>
      </c>
      <c r="B50" s="128" t="s">
        <v>11</v>
      </c>
      <c r="C50" s="10" t="s">
        <v>561</v>
      </c>
      <c r="D50" s="11" t="s">
        <v>29</v>
      </c>
      <c r="E50" s="86"/>
      <c r="F50" s="70">
        <v>446837</v>
      </c>
      <c r="G50" s="1"/>
      <c r="N50" s="1"/>
    </row>
    <row r="51" spans="1:14" s="2" customFormat="1" x14ac:dyDescent="0.2">
      <c r="A51" s="89">
        <v>45262</v>
      </c>
      <c r="B51" s="128" t="s">
        <v>11</v>
      </c>
      <c r="C51" s="10" t="s">
        <v>1219</v>
      </c>
      <c r="D51" s="11" t="s">
        <v>29</v>
      </c>
      <c r="E51" s="86"/>
      <c r="F51" s="70">
        <v>10000000</v>
      </c>
      <c r="G51" s="1"/>
      <c r="N51" s="1"/>
    </row>
    <row r="52" spans="1:14" s="2" customFormat="1" x14ac:dyDescent="0.2">
      <c r="A52" s="89">
        <v>45262</v>
      </c>
      <c r="B52" s="128" t="s">
        <v>11</v>
      </c>
      <c r="C52" s="10" t="s">
        <v>603</v>
      </c>
      <c r="D52" s="11" t="s">
        <v>29</v>
      </c>
      <c r="E52" s="86"/>
      <c r="F52" s="70">
        <v>30000</v>
      </c>
      <c r="G52" s="1"/>
      <c r="N52" s="1"/>
    </row>
    <row r="53" spans="1:14" s="2" customFormat="1" x14ac:dyDescent="0.2">
      <c r="A53" s="89">
        <v>45262</v>
      </c>
      <c r="B53" s="128" t="s">
        <v>11</v>
      </c>
      <c r="C53" s="10" t="s">
        <v>339</v>
      </c>
      <c r="D53" s="11" t="s">
        <v>29</v>
      </c>
      <c r="E53" s="86"/>
      <c r="F53" s="70">
        <v>27509.7</v>
      </c>
      <c r="G53" s="1"/>
      <c r="N53" s="1"/>
    </row>
    <row r="54" spans="1:14" s="2" customFormat="1" x14ac:dyDescent="0.2">
      <c r="A54" s="89">
        <v>45262</v>
      </c>
      <c r="B54" s="128" t="s">
        <v>11</v>
      </c>
      <c r="C54" s="10" t="s">
        <v>268</v>
      </c>
      <c r="D54" s="11" t="s">
        <v>29</v>
      </c>
      <c r="E54" s="86"/>
      <c r="F54" s="70">
        <v>87656</v>
      </c>
      <c r="G54" s="1"/>
      <c r="N54" s="1"/>
    </row>
    <row r="55" spans="1:14" s="2" customFormat="1" x14ac:dyDescent="0.2">
      <c r="A55" s="89">
        <v>45262</v>
      </c>
      <c r="B55" s="128" t="s">
        <v>11</v>
      </c>
      <c r="C55" s="10" t="s">
        <v>362</v>
      </c>
      <c r="D55" s="11" t="s">
        <v>29</v>
      </c>
      <c r="E55" s="86"/>
      <c r="F55" s="70">
        <v>15346.4</v>
      </c>
      <c r="G55" s="1"/>
      <c r="N55" s="1"/>
    </row>
    <row r="56" spans="1:14" s="2" customFormat="1" x14ac:dyDescent="0.2">
      <c r="A56" s="32"/>
      <c r="B56" s="33"/>
      <c r="C56" s="14"/>
      <c r="D56" s="34"/>
      <c r="E56" s="16">
        <f>SUM(E24:E55)</f>
        <v>11218254.930000002</v>
      </c>
      <c r="F56" s="16">
        <f>SUM(F24:F55)</f>
        <v>57855765.290000029</v>
      </c>
      <c r="G56" s="1"/>
      <c r="H56" s="1"/>
      <c r="I56" s="38">
        <v>46637510.359999999</v>
      </c>
      <c r="K56" s="92">
        <f>E57-I56</f>
        <v>0</v>
      </c>
      <c r="N56" s="1"/>
    </row>
    <row r="57" spans="1:14" s="2" customFormat="1" x14ac:dyDescent="0.2">
      <c r="A57" s="36"/>
      <c r="B57" s="28" t="s">
        <v>11</v>
      </c>
      <c r="C57" s="19" t="s">
        <v>65</v>
      </c>
      <c r="D57" s="37"/>
      <c r="E57" s="38">
        <f>F56-E56</f>
        <v>46637510.360000029</v>
      </c>
      <c r="F57" s="22"/>
      <c r="G57" s="1"/>
      <c r="H57" s="1"/>
      <c r="I57" s="70"/>
      <c r="J57" s="70"/>
      <c r="K57" s="70"/>
      <c r="N57" s="1"/>
    </row>
    <row r="58" spans="1:14" s="2" customFormat="1" x14ac:dyDescent="0.2">
      <c r="A58" s="36"/>
      <c r="B58" s="28" t="s">
        <v>66</v>
      </c>
      <c r="C58" s="19" t="s">
        <v>67</v>
      </c>
      <c r="D58" s="37"/>
      <c r="E58" s="38">
        <v>6500000</v>
      </c>
      <c r="F58" s="22"/>
      <c r="G58" s="1"/>
      <c r="H58" s="70"/>
      <c r="I58" s="70"/>
      <c r="J58" s="70"/>
      <c r="K58" s="70"/>
      <c r="N58" s="1"/>
    </row>
    <row r="59" spans="1:14" s="2" customFormat="1" x14ac:dyDescent="0.2">
      <c r="A59" s="36"/>
      <c r="B59" s="28" t="s">
        <v>66</v>
      </c>
      <c r="C59" s="43" t="s">
        <v>1457</v>
      </c>
      <c r="D59" s="43"/>
      <c r="E59" s="12">
        <f>275000000+75000000+50000000</f>
        <v>400000000</v>
      </c>
      <c r="F59" s="22"/>
      <c r="G59" s="1"/>
      <c r="H59" s="70"/>
      <c r="I59" s="45">
        <v>130.72999999999999</v>
      </c>
      <c r="J59" s="46"/>
      <c r="K59" s="46"/>
      <c r="N59" s="1"/>
    </row>
    <row r="60" spans="1:14" s="2" customFormat="1" ht="15" x14ac:dyDescent="0.25">
      <c r="A60" s="36"/>
      <c r="B60" s="28"/>
      <c r="C60" s="44" t="s">
        <v>1541</v>
      </c>
      <c r="D60" s="43"/>
      <c r="E60" s="7">
        <f>+E59+E57+E58</f>
        <v>453137510.36000001</v>
      </c>
      <c r="F60" s="22"/>
      <c r="G60" s="1"/>
      <c r="H60" s="103" t="s">
        <v>69</v>
      </c>
      <c r="I60" s="45">
        <v>-1.74</v>
      </c>
      <c r="J60" s="46"/>
      <c r="K60" s="46"/>
      <c r="N60" s="1"/>
    </row>
    <row r="61" spans="1:14" s="2" customFormat="1" ht="15" x14ac:dyDescent="0.25">
      <c r="A61" s="24"/>
      <c r="B61" s="1"/>
      <c r="C61" s="44" t="s">
        <v>1510</v>
      </c>
      <c r="D61" s="25"/>
      <c r="E61" s="156">
        <f>+I24-E58+H20-I20</f>
        <v>46862489.640000001</v>
      </c>
      <c r="G61" s="1"/>
      <c r="H61" s="35" t="s">
        <v>70</v>
      </c>
      <c r="I61" s="45">
        <v>0</v>
      </c>
      <c r="J61" s="46">
        <f>+I62-D64</f>
        <v>0</v>
      </c>
      <c r="N61" s="1"/>
    </row>
    <row r="62" spans="1:14" s="124" customFormat="1" ht="12.75" customHeight="1" x14ac:dyDescent="0.2">
      <c r="A62" s="24"/>
      <c r="B62" s="1"/>
      <c r="C62" s="56"/>
      <c r="D62" s="56"/>
      <c r="E62" s="104"/>
      <c r="F62" s="2"/>
      <c r="G62" s="166"/>
      <c r="H62" s="70"/>
      <c r="I62" s="49">
        <f>SUM(I59:I61)</f>
        <v>128.98999999999998</v>
      </c>
      <c r="J62" s="46"/>
      <c r="K62" s="46"/>
    </row>
    <row r="63" spans="1:14" s="124" customFormat="1" ht="12.75" customHeight="1" x14ac:dyDescent="0.2">
      <c r="A63" s="24"/>
      <c r="B63" s="1"/>
      <c r="C63" s="78" t="s">
        <v>575</v>
      </c>
      <c r="D63" s="48" t="s">
        <v>576</v>
      </c>
      <c r="E63" s="104"/>
      <c r="F63" s="2"/>
      <c r="G63" s="168"/>
      <c r="H63" s="167"/>
      <c r="I63" s="167"/>
      <c r="J63" s="168"/>
    </row>
    <row r="64" spans="1:14" s="124" customFormat="1" ht="12.75" customHeight="1" x14ac:dyDescent="0.2">
      <c r="A64" s="24"/>
      <c r="B64" s="1"/>
      <c r="C64" s="47" t="s">
        <v>570</v>
      </c>
      <c r="D64" s="111">
        <v>128.99</v>
      </c>
      <c r="E64" s="104"/>
      <c r="F64" s="2"/>
      <c r="G64" s="168"/>
      <c r="H64" s="110" t="s">
        <v>581</v>
      </c>
      <c r="I64" s="167"/>
      <c r="J64" s="168"/>
    </row>
    <row r="65" spans="1:13" s="124" customFormat="1" ht="12.75" customHeight="1" x14ac:dyDescent="0.2">
      <c r="A65" s="24"/>
      <c r="B65" s="1"/>
      <c r="C65" s="47" t="s">
        <v>931</v>
      </c>
      <c r="D65" s="111">
        <v>15.2</v>
      </c>
      <c r="E65" s="104"/>
      <c r="F65" s="2"/>
      <c r="G65" s="168"/>
      <c r="H65" s="110" t="s">
        <v>580</v>
      </c>
      <c r="I65" s="167"/>
      <c r="J65" s="168"/>
    </row>
    <row r="66" spans="1:13" s="124" customFormat="1" ht="12.75" customHeight="1" x14ac:dyDescent="0.2">
      <c r="A66" s="24"/>
      <c r="B66" s="1"/>
      <c r="C66" s="47" t="s">
        <v>572</v>
      </c>
      <c r="D66" s="111">
        <f>+D82/100000</f>
        <v>0</v>
      </c>
      <c r="E66" s="104"/>
      <c r="F66" s="2"/>
      <c r="G66" s="166"/>
      <c r="H66" s="90" t="s">
        <v>587</v>
      </c>
      <c r="I66" s="167"/>
      <c r="J66" s="168"/>
    </row>
    <row r="67" spans="1:13" s="2" customFormat="1" x14ac:dyDescent="0.2">
      <c r="A67" s="24"/>
      <c r="B67" s="1"/>
      <c r="C67" s="108" t="s">
        <v>578</v>
      </c>
      <c r="D67" s="48">
        <f>SUM(D64:D66)</f>
        <v>144.19</v>
      </c>
      <c r="E67" s="104"/>
      <c r="G67" s="30"/>
      <c r="I67" s="13"/>
      <c r="J67" s="13"/>
    </row>
    <row r="68" spans="1:13" s="70" customFormat="1" x14ac:dyDescent="0.2">
      <c r="A68" s="24"/>
      <c r="B68" s="1"/>
      <c r="C68" s="47"/>
      <c r="D68" s="107"/>
      <c r="E68" s="104"/>
      <c r="F68" s="2"/>
      <c r="G68" s="30"/>
      <c r="H68" s="2"/>
    </row>
    <row r="69" spans="1:13" s="70" customFormat="1" x14ac:dyDescent="0.2">
      <c r="A69" s="24"/>
      <c r="B69" s="1"/>
      <c r="C69" s="47" t="s">
        <v>932</v>
      </c>
      <c r="D69" s="111">
        <v>0</v>
      </c>
      <c r="E69" s="104"/>
      <c r="F69" s="2"/>
      <c r="G69" s="30"/>
      <c r="H69" s="110" t="s">
        <v>581</v>
      </c>
    </row>
    <row r="70" spans="1:13" s="70" customFormat="1" x14ac:dyDescent="0.2">
      <c r="A70" s="24"/>
      <c r="B70" s="1"/>
      <c r="C70" s="136" t="s">
        <v>1142</v>
      </c>
      <c r="D70" s="111">
        <v>187.49</v>
      </c>
      <c r="E70" s="104"/>
      <c r="F70" s="2"/>
      <c r="G70" s="30"/>
      <c r="H70" s="110" t="s">
        <v>581</v>
      </c>
    </row>
    <row r="71" spans="1:13" s="70" customFormat="1" x14ac:dyDescent="0.2">
      <c r="A71" s="24"/>
      <c r="B71" s="1"/>
      <c r="C71" s="78" t="s">
        <v>579</v>
      </c>
      <c r="D71" s="109">
        <f>D69+D70</f>
        <v>187.49</v>
      </c>
      <c r="E71" s="104"/>
      <c r="F71" s="2"/>
      <c r="G71" s="30"/>
    </row>
    <row r="72" spans="1:13" s="70" customFormat="1" x14ac:dyDescent="0.2">
      <c r="A72" s="24"/>
      <c r="B72" s="1"/>
      <c r="C72" s="105"/>
      <c r="D72" s="106"/>
      <c r="E72" s="104"/>
      <c r="F72" s="2"/>
      <c r="G72" s="30"/>
      <c r="I72" s="2"/>
      <c r="J72" s="114" t="s">
        <v>713</v>
      </c>
      <c r="K72" s="2"/>
      <c r="L72" s="2"/>
      <c r="M72" s="2"/>
    </row>
    <row r="73" spans="1:13" s="70" customFormat="1" x14ac:dyDescent="0.2">
      <c r="A73" s="24"/>
      <c r="B73" s="1"/>
      <c r="C73" s="78" t="s">
        <v>577</v>
      </c>
      <c r="D73" s="109">
        <f>D64+D71</f>
        <v>316.48</v>
      </c>
      <c r="E73" s="104"/>
      <c r="F73" s="2"/>
      <c r="G73" s="30"/>
      <c r="I73" s="113"/>
      <c r="J73" s="113" t="s">
        <v>709</v>
      </c>
      <c r="K73" s="113" t="s">
        <v>710</v>
      </c>
      <c r="L73" s="113" t="s">
        <v>711</v>
      </c>
      <c r="M73" s="113" t="s">
        <v>712</v>
      </c>
    </row>
    <row r="74" spans="1:13" s="70" customFormat="1" x14ac:dyDescent="0.2">
      <c r="A74" s="24"/>
      <c r="B74" s="1"/>
      <c r="C74" s="56"/>
      <c r="D74" s="56"/>
      <c r="E74" s="104"/>
      <c r="F74" s="2"/>
      <c r="G74" s="30"/>
      <c r="I74" s="113" t="s">
        <v>706</v>
      </c>
      <c r="J74" s="115"/>
      <c r="K74" s="115">
        <v>968.99</v>
      </c>
      <c r="L74" s="115">
        <v>968.99</v>
      </c>
      <c r="M74" s="113">
        <f>+J74+L74-K74</f>
        <v>0</v>
      </c>
    </row>
    <row r="75" spans="1:13" s="70" customFormat="1" ht="38.25" x14ac:dyDescent="0.2">
      <c r="A75" s="24"/>
      <c r="B75" s="1"/>
      <c r="C75" s="79" t="str">
        <f>"Particulars ( 01-04-2021 to "&amp;TEXT(A5,"dd-mm-yyyy")&amp;" )"</f>
        <v>Particulars ( 01-04-2021 to 02-12-2023 )</v>
      </c>
      <c r="D75" s="80" t="s">
        <v>73</v>
      </c>
      <c r="E75" s="80" t="s">
        <v>74</v>
      </c>
      <c r="F75" s="81" t="s">
        <v>75</v>
      </c>
      <c r="G75" s="80" t="s">
        <v>76</v>
      </c>
      <c r="I75" s="113" t="s">
        <v>707</v>
      </c>
      <c r="J75" s="115">
        <v>183.1</v>
      </c>
      <c r="K75" s="115">
        <v>4106.3999999999996</v>
      </c>
      <c r="L75" s="115">
        <v>4269.2</v>
      </c>
      <c r="M75" s="113">
        <f>+J75+L75-K75</f>
        <v>345.90000000000055</v>
      </c>
    </row>
    <row r="76" spans="1:13" s="70" customFormat="1" x14ac:dyDescent="0.2">
      <c r="A76" s="24"/>
      <c r="B76" s="1"/>
      <c r="C76" s="50" t="s">
        <v>444</v>
      </c>
      <c r="D76" s="55">
        <f>+L74+L75+J75</f>
        <v>5421.29</v>
      </c>
      <c r="E76" s="55">
        <f>+K74+K75</f>
        <v>5075.3899999999994</v>
      </c>
      <c r="F76" s="55">
        <f>+D76-E76</f>
        <v>345.90000000000055</v>
      </c>
      <c r="G76" s="55">
        <f>1500-F76</f>
        <v>1154.0999999999995</v>
      </c>
      <c r="I76" s="113" t="s">
        <v>708</v>
      </c>
      <c r="J76" s="115">
        <v>1371.02</v>
      </c>
      <c r="K76" s="115">
        <v>15270.6</v>
      </c>
      <c r="L76" s="115">
        <v>15605.87</v>
      </c>
      <c r="M76" s="113">
        <f>+J76+L76-K76</f>
        <v>1706.2899999999991</v>
      </c>
    </row>
    <row r="77" spans="1:13" s="70" customFormat="1" ht="12.75" customHeight="1" x14ac:dyDescent="0.2">
      <c r="A77" s="24"/>
      <c r="B77" s="1"/>
      <c r="C77" s="50" t="s">
        <v>71</v>
      </c>
      <c r="D77" s="55">
        <f>+J76+L76</f>
        <v>16976.89</v>
      </c>
      <c r="E77" s="55">
        <f>+K76</f>
        <v>15270.6</v>
      </c>
      <c r="F77" s="55">
        <f>+D77-E77</f>
        <v>1706.2899999999991</v>
      </c>
      <c r="G77" s="55">
        <f>1500+700-F77</f>
        <v>493.71000000000095</v>
      </c>
      <c r="I77" s="2"/>
      <c r="J77" s="118">
        <f>SUM(J74:J76)</f>
        <v>1554.12</v>
      </c>
      <c r="K77" s="118">
        <f>SUM(K74:K76)</f>
        <v>20345.989999999998</v>
      </c>
      <c r="L77" s="118">
        <f>SUM(L74:L76)</f>
        <v>20844.060000000001</v>
      </c>
      <c r="M77" s="118">
        <f>SUM(M74:M76)</f>
        <v>2052.1899999999996</v>
      </c>
    </row>
    <row r="78" spans="1:13" s="70" customFormat="1" ht="12.75" customHeight="1" x14ac:dyDescent="0.2">
      <c r="A78" s="24"/>
      <c r="B78" s="1"/>
      <c r="C78" s="14"/>
      <c r="D78" s="56"/>
      <c r="E78" s="13"/>
      <c r="F78" s="2"/>
      <c r="G78" s="30"/>
    </row>
    <row r="79" spans="1:13" s="70" customFormat="1" ht="12.75" customHeight="1" x14ac:dyDescent="0.2">
      <c r="A79" s="215" t="s">
        <v>80</v>
      </c>
      <c r="B79" s="216"/>
      <c r="C79" s="216"/>
      <c r="D79" s="217"/>
      <c r="E79" s="69"/>
      <c r="G79" s="30"/>
    </row>
    <row r="80" spans="1:13" s="70" customFormat="1" ht="12.75" customHeight="1" x14ac:dyDescent="0.2">
      <c r="A80" s="71" t="s">
        <v>81</v>
      </c>
      <c r="B80" s="71"/>
      <c r="C80" s="72" t="s">
        <v>82</v>
      </c>
      <c r="D80" s="73" t="s">
        <v>83</v>
      </c>
      <c r="E80" s="69"/>
      <c r="G80" s="30"/>
    </row>
    <row r="81" spans="1:14" s="70" customFormat="1" ht="12.75" customHeight="1" x14ac:dyDescent="0.2">
      <c r="A81" s="87"/>
      <c r="B81" s="120"/>
      <c r="C81" s="75"/>
      <c r="D81" s="88"/>
      <c r="E81" s="2"/>
      <c r="F81" s="2"/>
      <c r="G81" s="30"/>
      <c r="H81" s="2"/>
      <c r="I81" s="2"/>
      <c r="J81" s="2"/>
      <c r="K81" s="2"/>
      <c r="L81" s="41"/>
      <c r="M81" s="42"/>
      <c r="N81" s="2"/>
    </row>
    <row r="82" spans="1:14" s="2" customFormat="1" x14ac:dyDescent="0.2">
      <c r="A82" s="87"/>
      <c r="B82" s="74"/>
      <c r="C82" s="75"/>
      <c r="D82" s="51">
        <f>SUM(D81:D81)</f>
        <v>0</v>
      </c>
      <c r="F82" s="2" t="s">
        <v>396</v>
      </c>
      <c r="G82" s="1"/>
    </row>
    <row r="83" spans="1:14" s="2" customFormat="1" x14ac:dyDescent="0.2">
      <c r="A83" s="24"/>
      <c r="B83" s="1"/>
      <c r="C83" s="14"/>
      <c r="D83" s="56"/>
      <c r="E83" s="13"/>
      <c r="G83" s="1"/>
    </row>
    <row r="84" spans="1:14" s="2" customFormat="1" x14ac:dyDescent="0.2">
      <c r="A84" s="24"/>
      <c r="B84" s="1"/>
      <c r="C84" s="218" t="s">
        <v>77</v>
      </c>
      <c r="D84" s="219"/>
      <c r="E84" s="219"/>
      <c r="F84" s="220"/>
      <c r="H84" s="2" t="s">
        <v>396</v>
      </c>
    </row>
    <row r="85" spans="1:14" s="2" customFormat="1" x14ac:dyDescent="0.2">
      <c r="A85" s="24"/>
      <c r="B85" s="1"/>
      <c r="C85" s="50"/>
      <c r="D85" s="57" t="s">
        <v>78</v>
      </c>
      <c r="E85" s="58" t="s">
        <v>79</v>
      </c>
      <c r="F85" s="57" t="s">
        <v>72</v>
      </c>
      <c r="H85" s="2" t="s">
        <v>396</v>
      </c>
    </row>
    <row r="86" spans="1:14" s="2" customFormat="1" x14ac:dyDescent="0.2">
      <c r="A86" s="24"/>
      <c r="B86" s="1"/>
      <c r="C86" s="59" t="str">
        <f>"01-11-2023 to "&amp;TEXT(A5-2,"dd-mm-yyyy")</f>
        <v>01-11-2023 to 30-11-2023</v>
      </c>
      <c r="D86" s="60">
        <v>2374.4499999999998</v>
      </c>
      <c r="E86" s="60">
        <v>586.25</v>
      </c>
      <c r="F86" s="61">
        <f>SUM(D86:E86)</f>
        <v>2960.7</v>
      </c>
    </row>
    <row r="87" spans="1:14" s="2" customFormat="1" x14ac:dyDescent="0.2">
      <c r="A87" s="24"/>
      <c r="B87" s="1"/>
      <c r="C87" s="62" t="str">
        <f>TEXT(A5-1,"dd-mm-yyyy")</f>
        <v>01-12-2023</v>
      </c>
      <c r="D87" s="60">
        <v>129.59</v>
      </c>
      <c r="E87" s="60">
        <v>16.25</v>
      </c>
      <c r="F87" s="61">
        <f>SUM(D87:E87)</f>
        <v>145.84</v>
      </c>
      <c r="G87" s="1"/>
      <c r="H87" s="53"/>
    </row>
    <row r="88" spans="1:14" s="2" customFormat="1" ht="13.5" thickBot="1" x14ac:dyDescent="0.25">
      <c r="A88" s="24"/>
      <c r="B88" s="1"/>
      <c r="C88" s="63" t="str">
        <f>"01-11-2023 to "&amp;TEXT(A5-1,"dd-mm-yyyy")</f>
        <v>01-11-2023 to 01-12-2023</v>
      </c>
      <c r="D88" s="64">
        <f>SUM(D86:D87)</f>
        <v>2504.04</v>
      </c>
      <c r="E88" s="64">
        <f>SUM(E86:E87)</f>
        <v>602.5</v>
      </c>
      <c r="F88" s="64">
        <f>SUM(F86:F87)</f>
        <v>3106.54</v>
      </c>
      <c r="G88" s="1"/>
      <c r="H88" s="53"/>
    </row>
    <row r="89" spans="1:14" s="2" customFormat="1" ht="13.5" thickTop="1" x14ac:dyDescent="0.2">
      <c r="A89" s="24"/>
      <c r="B89" s="1"/>
      <c r="C89" s="62"/>
      <c r="D89" s="65"/>
      <c r="E89" s="66"/>
      <c r="F89" s="67"/>
      <c r="L89" s="1"/>
      <c r="M89" s="1"/>
    </row>
    <row r="90" spans="1:14" s="2" customFormat="1" x14ac:dyDescent="0.2">
      <c r="A90" s="24"/>
      <c r="B90" s="1"/>
      <c r="C90" s="62" t="str">
        <f>"01-04-2023 to " &amp;C87</f>
        <v>01-04-2023 to 01-12-2023</v>
      </c>
      <c r="D90" s="68">
        <f>+D88+29859.78</f>
        <v>32363.82</v>
      </c>
      <c r="E90" s="68">
        <f>+E88+2548.34</f>
        <v>3150.84</v>
      </c>
      <c r="F90" s="68">
        <f>+F88+32408.1</f>
        <v>35514.639999999999</v>
      </c>
      <c r="G90" s="1"/>
      <c r="L90" s="1"/>
      <c r="M90" s="1"/>
    </row>
    <row r="91" spans="1:14" s="2" customFormat="1" x14ac:dyDescent="0.2">
      <c r="A91" s="24"/>
      <c r="B91" s="1"/>
      <c r="C91" s="52"/>
      <c r="D91" s="85"/>
      <c r="E91" s="53"/>
      <c r="F91" s="53"/>
      <c r="G91" s="1"/>
      <c r="L91" s="1"/>
      <c r="M91" s="1"/>
    </row>
    <row r="92" spans="1:14" s="2" customFormat="1" x14ac:dyDescent="0.2">
      <c r="A92" s="24"/>
      <c r="B92" s="1"/>
      <c r="C92" s="52"/>
      <c r="D92" s="85"/>
      <c r="E92" s="53"/>
      <c r="F92" s="53"/>
      <c r="G92" s="1"/>
      <c r="L92" s="1"/>
      <c r="M92" s="1"/>
    </row>
    <row r="93" spans="1:14" s="2" customFormat="1" x14ac:dyDescent="0.2">
      <c r="A93" s="24"/>
      <c r="B93" s="1"/>
      <c r="C93" s="52"/>
      <c r="D93" s="85"/>
      <c r="E93" s="53"/>
      <c r="F93" s="53"/>
      <c r="G93" s="1"/>
      <c r="L93" s="1"/>
      <c r="M93" s="1"/>
    </row>
    <row r="94" spans="1:14" s="2" customFormat="1" x14ac:dyDescent="0.2">
      <c r="A94" s="24"/>
      <c r="B94" s="1"/>
      <c r="C94" s="52"/>
      <c r="D94" s="85"/>
      <c r="E94" s="53"/>
      <c r="F94" s="53"/>
      <c r="G94" s="1"/>
      <c r="L94" s="1"/>
      <c r="M94" s="1"/>
    </row>
    <row r="95" spans="1:14" s="2" customFormat="1" x14ac:dyDescent="0.2">
      <c r="A95" s="24"/>
      <c r="B95" s="1"/>
      <c r="C95" s="14"/>
      <c r="D95" s="25">
        <f>SUM(D92:D94)</f>
        <v>0</v>
      </c>
      <c r="E95" s="2">
        <f>SUM(E92:E94)</f>
        <v>0</v>
      </c>
      <c r="G95" s="1"/>
      <c r="L95" s="1"/>
      <c r="M95" s="1"/>
    </row>
    <row r="96" spans="1:14" s="2" customFormat="1" x14ac:dyDescent="0.2">
      <c r="A96" s="24"/>
      <c r="B96" s="1"/>
      <c r="C96" s="14"/>
      <c r="D96" s="25"/>
      <c r="G96" s="1"/>
      <c r="L96" s="1"/>
      <c r="M96" s="1"/>
    </row>
    <row r="97" spans="1:13" s="2" customFormat="1" x14ac:dyDescent="0.2">
      <c r="A97" s="24"/>
      <c r="B97" s="1"/>
      <c r="C97" s="14"/>
      <c r="D97" s="25"/>
      <c r="G97" s="1"/>
      <c r="L97" s="1"/>
      <c r="M97" s="1"/>
    </row>
    <row r="98" spans="1:13" s="2" customFormat="1" x14ac:dyDescent="0.2">
      <c r="A98" s="24"/>
      <c r="B98" s="1"/>
      <c r="C98" s="14"/>
      <c r="D98" s="25"/>
      <c r="G98" s="1"/>
      <c r="L98" s="1"/>
      <c r="M98" s="1"/>
    </row>
    <row r="99" spans="1:13" s="2" customFormat="1" x14ac:dyDescent="0.2">
      <c r="A99" s="24"/>
      <c r="B99" s="1"/>
      <c r="C99" s="14"/>
      <c r="D99" s="25"/>
      <c r="G99" s="1"/>
      <c r="L99" s="1"/>
      <c r="M99" s="1"/>
    </row>
    <row r="100" spans="1:13" s="2" customFormat="1" x14ac:dyDescent="0.2">
      <c r="A100" s="24"/>
      <c r="B100" s="1"/>
      <c r="C100" s="14"/>
      <c r="D100" s="25"/>
      <c r="G100" s="1"/>
      <c r="L100" s="1"/>
      <c r="M100" s="1"/>
    </row>
    <row r="101" spans="1:13" s="2" customFormat="1" x14ac:dyDescent="0.2">
      <c r="A101" s="24"/>
      <c r="B101" s="1"/>
      <c r="C101" s="14"/>
      <c r="D101" s="25"/>
      <c r="G101" s="1"/>
      <c r="L101" s="1"/>
      <c r="M101" s="1"/>
    </row>
    <row r="102" spans="1:13" s="2" customFormat="1" x14ac:dyDescent="0.2">
      <c r="A102" s="24"/>
      <c r="B102" s="1"/>
      <c r="C102" s="14"/>
      <c r="D102" s="25"/>
      <c r="G102" s="1"/>
      <c r="L102" s="1"/>
      <c r="M102" s="1"/>
    </row>
    <row r="103" spans="1:13" s="2" customFormat="1" x14ac:dyDescent="0.2">
      <c r="A103" s="24"/>
      <c r="B103" s="1"/>
      <c r="C103" s="14"/>
      <c r="D103" s="25"/>
      <c r="G103" s="1"/>
      <c r="L103" s="1"/>
      <c r="M103" s="1"/>
    </row>
    <row r="104" spans="1:13" s="2" customFormat="1" x14ac:dyDescent="0.2">
      <c r="A104" s="24"/>
      <c r="B104" s="1"/>
      <c r="C104" s="14"/>
      <c r="D104" s="25"/>
      <c r="G104" s="1"/>
      <c r="L104" s="1"/>
      <c r="M104" s="1"/>
    </row>
    <row r="105" spans="1:13" s="2" customFormat="1" x14ac:dyDescent="0.2">
      <c r="A105" s="24"/>
      <c r="B105" s="1"/>
      <c r="C105" s="14"/>
      <c r="D105" s="25"/>
      <c r="G105" s="1"/>
      <c r="L105" s="1"/>
      <c r="M105" s="1"/>
    </row>
    <row r="106" spans="1:13" s="2" customFormat="1" x14ac:dyDescent="0.2">
      <c r="A106" s="24"/>
      <c r="B106" s="1"/>
      <c r="C106" s="14"/>
      <c r="D106" s="25"/>
      <c r="G106" s="1"/>
      <c r="L106" s="1"/>
      <c r="M106" s="1"/>
    </row>
    <row r="107" spans="1:13" s="2" customFormat="1" x14ac:dyDescent="0.2">
      <c r="A107" s="24"/>
      <c r="B107" s="1"/>
      <c r="C107" s="14"/>
      <c r="D107" s="25"/>
      <c r="G107" s="1"/>
      <c r="L107" s="1"/>
      <c r="M107" s="1"/>
    </row>
    <row r="108" spans="1:13" s="2" customFormat="1" x14ac:dyDescent="0.2">
      <c r="A108" s="24"/>
      <c r="B108" s="1"/>
      <c r="C108" s="14"/>
      <c r="D108" s="25"/>
      <c r="G108" s="1"/>
      <c r="L108" s="1"/>
      <c r="M108" s="1"/>
    </row>
    <row r="109" spans="1:13" s="2" customFormat="1" x14ac:dyDescent="0.2">
      <c r="A109" s="24"/>
      <c r="B109" s="1"/>
      <c r="C109" s="14"/>
      <c r="D109" s="25"/>
      <c r="G109" s="1"/>
      <c r="I109" s="1"/>
      <c r="J109" s="1"/>
      <c r="K109" s="1"/>
      <c r="L109" s="1"/>
      <c r="M109" s="1"/>
    </row>
    <row r="110" spans="1:13" s="2" customFormat="1" x14ac:dyDescent="0.2">
      <c r="A110" s="24"/>
      <c r="B110" s="1"/>
      <c r="C110" s="14"/>
      <c r="D110" s="25"/>
      <c r="G110" s="1"/>
    </row>
    <row r="111" spans="1:13" s="2" customFormat="1" x14ac:dyDescent="0.2">
      <c r="A111" s="24"/>
      <c r="B111" s="1"/>
      <c r="C111" s="14"/>
      <c r="D111" s="25"/>
      <c r="G111" s="1"/>
      <c r="I111" s="1"/>
      <c r="J111" s="1"/>
      <c r="K111" s="1"/>
      <c r="L111" s="1"/>
      <c r="M111" s="1"/>
    </row>
    <row r="112" spans="1:13" s="2" customFormat="1" x14ac:dyDescent="0.2">
      <c r="A112" s="24"/>
      <c r="B112" s="1"/>
      <c r="C112" s="14"/>
      <c r="D112" s="25"/>
      <c r="G112" s="54"/>
      <c r="I112" s="1"/>
      <c r="J112" s="1"/>
      <c r="K112" s="1"/>
      <c r="L112" s="1"/>
      <c r="M112" s="1"/>
    </row>
    <row r="113" spans="1:14" s="2" customFormat="1" x14ac:dyDescent="0.2">
      <c r="A113" s="24"/>
      <c r="B113" s="1"/>
      <c r="C113" s="14"/>
      <c r="D113" s="25"/>
      <c r="G113" s="54"/>
      <c r="I113" s="1"/>
      <c r="J113" s="1"/>
      <c r="K113" s="1"/>
      <c r="L113" s="1"/>
      <c r="M113" s="1"/>
    </row>
    <row r="114" spans="1:14" s="2" customFormat="1" x14ac:dyDescent="0.2">
      <c r="A114" s="24"/>
      <c r="B114" s="1"/>
      <c r="C114" s="14"/>
      <c r="D114" s="25"/>
      <c r="G114" s="54"/>
      <c r="I114" s="1"/>
      <c r="J114" s="1"/>
      <c r="K114" s="1"/>
      <c r="L114" s="1"/>
      <c r="M114" s="1"/>
    </row>
    <row r="115" spans="1:14" s="2" customFormat="1" x14ac:dyDescent="0.2">
      <c r="A115" s="24"/>
      <c r="B115" s="1"/>
      <c r="C115" s="14"/>
      <c r="D115" s="25"/>
      <c r="G115" s="54"/>
      <c r="H115" s="2" t="s">
        <v>396</v>
      </c>
      <c r="I115" s="1"/>
      <c r="J115" s="1"/>
      <c r="K115" s="1"/>
      <c r="L115" s="1"/>
      <c r="M115" s="1"/>
      <c r="N115" s="1"/>
    </row>
    <row r="116" spans="1:14" s="2" customFormat="1" x14ac:dyDescent="0.2">
      <c r="A116" s="24"/>
      <c r="B116" s="1"/>
      <c r="C116" s="14"/>
      <c r="D116" s="25"/>
      <c r="G116" s="54"/>
      <c r="H116" s="53"/>
    </row>
    <row r="117" spans="1:14" s="2" customFormat="1" x14ac:dyDescent="0.2">
      <c r="A117" s="24"/>
      <c r="B117" s="1"/>
      <c r="C117" s="14"/>
      <c r="D117" s="25"/>
      <c r="G117" s="54"/>
      <c r="H117" s="53" t="s">
        <v>396</v>
      </c>
      <c r="I117" s="1"/>
      <c r="J117" s="1"/>
      <c r="K117" s="1"/>
      <c r="L117" s="1"/>
      <c r="M117" s="1"/>
      <c r="N117" s="1"/>
    </row>
    <row r="118" spans="1:14" x14ac:dyDescent="0.2">
      <c r="G118" s="54"/>
      <c r="H118" s="53" t="s">
        <v>396</v>
      </c>
      <c r="J118" s="42"/>
    </row>
    <row r="119" spans="1:14" s="2" customFormat="1" x14ac:dyDescent="0.2">
      <c r="A119" s="24"/>
      <c r="B119" s="1"/>
      <c r="C119" s="14"/>
      <c r="D119" s="25"/>
      <c r="G119" s="54"/>
      <c r="H119" s="53"/>
      <c r="I119" s="101"/>
      <c r="J119" s="1"/>
      <c r="K119" s="1"/>
      <c r="L119" s="1"/>
      <c r="M119" s="1"/>
      <c r="N119" s="1"/>
    </row>
    <row r="120" spans="1:14" x14ac:dyDescent="0.2">
      <c r="G120" s="54"/>
      <c r="H120" s="53"/>
    </row>
    <row r="121" spans="1:14" x14ac:dyDescent="0.2">
      <c r="G121" s="54"/>
      <c r="H121" s="53"/>
    </row>
    <row r="122" spans="1:14" x14ac:dyDescent="0.2">
      <c r="G122" s="54"/>
      <c r="H122" s="53"/>
    </row>
  </sheetData>
  <sheetProtection insertRows="0"/>
  <mergeCells count="6">
    <mergeCell ref="C84:F84"/>
    <mergeCell ref="A1:G1"/>
    <mergeCell ref="A3:F3"/>
    <mergeCell ref="A9:F9"/>
    <mergeCell ref="A22:F22"/>
    <mergeCell ref="A79:D79"/>
  </mergeCells>
  <conditionalFormatting sqref="G76:G77">
    <cfRule type="cellIs" dxfId="195" priority="1" operator="lessThan">
      <formula>0</formula>
    </cfRule>
  </conditionalFormatting>
  <conditionalFormatting sqref="C24">
    <cfRule type="duplicateValues" dxfId="194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100-000000000000}">
  <sheetPr codeName="Sheet489">
    <pageSetUpPr fitToPage="1"/>
  </sheetPr>
  <dimension ref="A1:N135"/>
  <sheetViews>
    <sheetView zoomScaleNormal="100" workbookViewId="0">
      <selection activeCell="E37" sqref="E37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3" ht="20.25" customHeight="1" x14ac:dyDescent="0.4">
      <c r="A1" s="212" t="s">
        <v>1830</v>
      </c>
      <c r="B1" s="212"/>
      <c r="C1" s="212"/>
      <c r="D1" s="212"/>
      <c r="E1" s="212"/>
      <c r="F1" s="212"/>
      <c r="G1" s="212"/>
      <c r="H1" s="112"/>
      <c r="I1" s="112"/>
    </row>
    <row r="2" spans="1:13" ht="12.75" customHeight="1" x14ac:dyDescent="0.4">
      <c r="H2" s="112"/>
      <c r="I2" s="112"/>
    </row>
    <row r="3" spans="1:13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3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3" s="2" customFormat="1" ht="14.25" customHeight="1" x14ac:dyDescent="0.4">
      <c r="A5" s="89">
        <v>45264</v>
      </c>
      <c r="B5" s="9" t="s">
        <v>6</v>
      </c>
      <c r="C5" s="10" t="s">
        <v>7</v>
      </c>
      <c r="D5" s="11"/>
      <c r="E5" s="12">
        <v>1105464.3400000001</v>
      </c>
      <c r="F5" s="12"/>
      <c r="G5" s="1"/>
      <c r="H5" s="112"/>
      <c r="I5" s="112"/>
    </row>
    <row r="6" spans="1:13" s="2" customFormat="1" ht="12.75" customHeight="1" x14ac:dyDescent="0.2">
      <c r="D6" s="15" t="s">
        <v>8</v>
      </c>
      <c r="E6" s="16">
        <f>SUM(E5:E5)</f>
        <v>1105464.3400000001</v>
      </c>
      <c r="F6" s="16">
        <f>+F5</f>
        <v>0</v>
      </c>
      <c r="G6" s="1"/>
      <c r="H6" s="13" t="s">
        <v>1582</v>
      </c>
      <c r="I6" s="13" t="s">
        <v>1583</v>
      </c>
    </row>
    <row r="7" spans="1:13" s="2" customFormat="1" ht="12.75" customHeight="1" x14ac:dyDescent="0.2">
      <c r="A7" s="17"/>
      <c r="B7" s="18"/>
      <c r="C7" s="19" t="s">
        <v>9</v>
      </c>
      <c r="D7" s="20"/>
      <c r="E7" s="21">
        <f>+E6-F6</f>
        <v>1105464.3400000001</v>
      </c>
      <c r="F7" s="22"/>
      <c r="G7" s="23"/>
      <c r="H7" s="2">
        <v>0</v>
      </c>
      <c r="I7" s="2">
        <v>0</v>
      </c>
      <c r="J7" s="176">
        <f>H7-I7</f>
        <v>0</v>
      </c>
    </row>
    <row r="8" spans="1:13" ht="12.75" customHeight="1" x14ac:dyDescent="0.4">
      <c r="H8" s="112"/>
      <c r="I8" s="112"/>
    </row>
    <row r="9" spans="1:13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69">
        <f>90000000-60000000</f>
        <v>30000000</v>
      </c>
      <c r="J9" s="169" t="s">
        <v>1508</v>
      </c>
    </row>
    <row r="10" spans="1:13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69">
        <v>26648451.449999999</v>
      </c>
      <c r="J10" s="169" t="s">
        <v>1509</v>
      </c>
      <c r="K10" s="124"/>
    </row>
    <row r="11" spans="1:13" s="2" customFormat="1" ht="14.25" customHeight="1" x14ac:dyDescent="0.2">
      <c r="A11" s="89">
        <v>45264</v>
      </c>
      <c r="B11" s="9" t="s">
        <v>6</v>
      </c>
      <c r="C11" s="10" t="s">
        <v>7</v>
      </c>
      <c r="D11" s="11"/>
      <c r="F11" s="12">
        <v>29394154.719999999</v>
      </c>
      <c r="G11" s="1"/>
      <c r="H11" s="130" t="s">
        <v>396</v>
      </c>
      <c r="I11" s="169">
        <f>+I9-I10</f>
        <v>3351548.5500000007</v>
      </c>
      <c r="J11" s="169" t="s">
        <v>712</v>
      </c>
      <c r="K11" s="165" t="s">
        <v>1512</v>
      </c>
    </row>
    <row r="12" spans="1:13" s="2" customFormat="1" ht="14.25" customHeight="1" x14ac:dyDescent="0.2">
      <c r="A12" s="89">
        <v>45264</v>
      </c>
      <c r="B12" s="9" t="s">
        <v>11</v>
      </c>
      <c r="C12" s="10" t="s">
        <v>21</v>
      </c>
      <c r="D12" s="11" t="s">
        <v>13</v>
      </c>
      <c r="E12" s="2">
        <v>400000</v>
      </c>
      <c r="F12" s="12"/>
      <c r="G12" s="1"/>
      <c r="H12" s="130"/>
      <c r="I12" s="169"/>
      <c r="J12" s="169"/>
      <c r="K12" s="165"/>
    </row>
    <row r="13" spans="1:13" s="2" customFormat="1" ht="14.25" customHeight="1" x14ac:dyDescent="0.2">
      <c r="A13" s="89">
        <v>45264</v>
      </c>
      <c r="B13" s="9" t="s">
        <v>11</v>
      </c>
      <c r="C13" s="10" t="s">
        <v>1002</v>
      </c>
      <c r="D13" s="11" t="s">
        <v>29</v>
      </c>
      <c r="E13" s="2">
        <v>2350712.39</v>
      </c>
      <c r="F13" s="12"/>
      <c r="G13" s="1"/>
      <c r="H13" s="130"/>
      <c r="I13" s="169"/>
      <c r="J13" s="169"/>
      <c r="K13" s="165"/>
    </row>
    <row r="14" spans="1:13" s="2" customFormat="1" ht="14.25" customHeight="1" x14ac:dyDescent="0.2">
      <c r="A14" s="89">
        <v>45264</v>
      </c>
      <c r="B14" s="9" t="s">
        <v>11</v>
      </c>
      <c r="C14" s="10" t="s">
        <v>1137</v>
      </c>
      <c r="D14" s="11" t="s">
        <v>29</v>
      </c>
      <c r="F14" s="12">
        <v>5009.12</v>
      </c>
      <c r="G14" s="1"/>
      <c r="H14" s="130"/>
      <c r="I14" s="169"/>
      <c r="J14" s="169"/>
      <c r="K14" s="165"/>
    </row>
    <row r="15" spans="1:13" s="2" customFormat="1" ht="14.25" customHeight="1" x14ac:dyDescent="0.2">
      <c r="D15" s="11" t="s">
        <v>8</v>
      </c>
      <c r="E15" s="16">
        <f>SUM(E12:E14)</f>
        <v>2750712.39</v>
      </c>
      <c r="F15" s="16">
        <f>SUM(F11:F14)</f>
        <v>29399163.84</v>
      </c>
      <c r="G15" s="1"/>
      <c r="H15" s="143"/>
      <c r="I15" s="130"/>
      <c r="J15" s="143"/>
      <c r="K15" s="143"/>
      <c r="L15" s="143"/>
      <c r="M15" s="143"/>
    </row>
    <row r="16" spans="1:13" s="2" customFormat="1" ht="14.25" customHeight="1" x14ac:dyDescent="0.4">
      <c r="A16" s="17"/>
      <c r="B16" s="18"/>
      <c r="C16" s="96" t="s">
        <v>9</v>
      </c>
      <c r="D16" s="20"/>
      <c r="E16" s="21">
        <f>+F15-E15</f>
        <v>26648451.449999999</v>
      </c>
      <c r="G16" s="1"/>
      <c r="I16" s="112"/>
      <c r="J16" s="153" t="s">
        <v>779</v>
      </c>
    </row>
    <row r="17" spans="1:14" s="2" customFormat="1" ht="14.25" customHeight="1" x14ac:dyDescent="0.2">
      <c r="A17" s="36"/>
      <c r="B17" s="28" t="s">
        <v>66</v>
      </c>
      <c r="C17" s="43" t="s">
        <v>1458</v>
      </c>
      <c r="D17" s="43"/>
      <c r="E17" s="12">
        <f>30000000+60000000</f>
        <v>90000000</v>
      </c>
      <c r="F17" s="22"/>
      <c r="G17" s="1"/>
      <c r="I17" s="40">
        <v>26648451.449999999</v>
      </c>
      <c r="J17" s="154">
        <f>I17-E16</f>
        <v>0</v>
      </c>
    </row>
    <row r="18" spans="1:14" s="2" customFormat="1" ht="14.25" customHeight="1" x14ac:dyDescent="0.25">
      <c r="A18" s="36"/>
      <c r="B18" s="28"/>
      <c r="C18" s="44" t="s">
        <v>1541</v>
      </c>
      <c r="D18" s="43"/>
      <c r="E18" s="7">
        <f>+E16+E17</f>
        <v>116648451.45</v>
      </c>
      <c r="F18" s="22"/>
      <c r="G18" s="1"/>
      <c r="H18" s="13" t="s">
        <v>1582</v>
      </c>
      <c r="I18" s="13" t="s">
        <v>1583</v>
      </c>
    </row>
    <row r="19" spans="1:14" s="2" customFormat="1" ht="14.25" customHeight="1" x14ac:dyDescent="0.25">
      <c r="A19" s="36"/>
      <c r="B19" s="28"/>
      <c r="C19" s="44" t="s">
        <v>1511</v>
      </c>
      <c r="D19" s="43"/>
      <c r="E19" s="38">
        <f>+I11+H7-I7</f>
        <v>3351548.5500000007</v>
      </c>
      <c r="F19" s="22"/>
      <c r="G19" s="1"/>
      <c r="H19" s="2">
        <v>372132</v>
      </c>
      <c r="I19" s="2">
        <v>24176260.949999999</v>
      </c>
      <c r="J19" s="176">
        <f>H19-I19</f>
        <v>-23804128.949999999</v>
      </c>
    </row>
    <row r="20" spans="1:14" s="2" customFormat="1" ht="14.25" customHeight="1" x14ac:dyDescent="0.2">
      <c r="A20" s="24"/>
      <c r="B20" s="1"/>
      <c r="C20" s="14"/>
      <c r="D20" s="25"/>
      <c r="G20" s="1"/>
      <c r="I20" s="130"/>
      <c r="J20" s="130"/>
    </row>
    <row r="21" spans="1:14" s="2" customFormat="1" x14ac:dyDescent="0.2">
      <c r="A21" s="214" t="s">
        <v>10</v>
      </c>
      <c r="B21" s="214"/>
      <c r="C21" s="214"/>
      <c r="D21" s="214"/>
      <c r="E21" s="214"/>
      <c r="F21" s="214"/>
      <c r="G21" s="1"/>
      <c r="H21" s="159"/>
      <c r="I21" s="160">
        <f>225000000-75000000-50000000</f>
        <v>100000000</v>
      </c>
      <c r="J21" s="160" t="s">
        <v>1506</v>
      </c>
      <c r="K21" s="70"/>
    </row>
    <row r="22" spans="1:14" s="2" customFormat="1" x14ac:dyDescent="0.2">
      <c r="A22" s="26" t="s">
        <v>1</v>
      </c>
      <c r="B22" s="27" t="s">
        <v>2</v>
      </c>
      <c r="C22" s="5"/>
      <c r="D22" s="6" t="s">
        <v>3</v>
      </c>
      <c r="E22" s="7" t="s">
        <v>4</v>
      </c>
      <c r="F22" s="7" t="s">
        <v>5</v>
      </c>
      <c r="G22" s="1"/>
      <c r="H22" s="159"/>
      <c r="I22" s="160">
        <v>40459414.990000002</v>
      </c>
      <c r="J22" s="160" t="s">
        <v>1507</v>
      </c>
      <c r="K22" s="70" t="s">
        <v>1512</v>
      </c>
    </row>
    <row r="23" spans="1:14" s="2" customFormat="1" x14ac:dyDescent="0.2">
      <c r="A23" s="89">
        <v>45264</v>
      </c>
      <c r="B23" s="128" t="s">
        <v>11</v>
      </c>
      <c r="C23" s="29" t="s">
        <v>7</v>
      </c>
      <c r="D23" s="25"/>
      <c r="E23" s="31"/>
      <c r="F23" s="2">
        <v>46637510.360000029</v>
      </c>
      <c r="G23" s="23"/>
      <c r="H23" s="159" t="s">
        <v>1505</v>
      </c>
      <c r="I23" s="160">
        <f>+I21-I22</f>
        <v>59540585.009999998</v>
      </c>
      <c r="J23" s="160"/>
      <c r="K23" s="70"/>
    </row>
    <row r="24" spans="1:14" s="2" customFormat="1" x14ac:dyDescent="0.2">
      <c r="A24" s="89">
        <v>45264</v>
      </c>
      <c r="B24" s="128" t="s">
        <v>6</v>
      </c>
      <c r="C24" s="10" t="s">
        <v>1831</v>
      </c>
      <c r="D24" s="11" t="s">
        <v>13</v>
      </c>
      <c r="E24" s="86">
        <v>500000</v>
      </c>
      <c r="F24" s="70"/>
      <c r="G24" s="1"/>
      <c r="N24" s="1"/>
    </row>
    <row r="25" spans="1:14" s="2" customFormat="1" x14ac:dyDescent="0.2">
      <c r="A25" s="89">
        <v>45264</v>
      </c>
      <c r="B25" s="128" t="s">
        <v>6</v>
      </c>
      <c r="C25" s="10" t="s">
        <v>15</v>
      </c>
      <c r="D25" s="11" t="s">
        <v>13</v>
      </c>
      <c r="E25" s="86">
        <v>6154.34</v>
      </c>
      <c r="F25" s="70"/>
      <c r="G25" s="1"/>
      <c r="N25" s="1"/>
    </row>
    <row r="26" spans="1:14" s="2" customFormat="1" x14ac:dyDescent="0.2">
      <c r="A26" s="89">
        <v>45264</v>
      </c>
      <c r="B26" s="128" t="s">
        <v>6</v>
      </c>
      <c r="C26" s="10" t="s">
        <v>547</v>
      </c>
      <c r="D26" s="11" t="s">
        <v>13</v>
      </c>
      <c r="E26" s="86">
        <v>56148</v>
      </c>
      <c r="F26" s="70"/>
      <c r="G26" s="1"/>
      <c r="N26" s="1"/>
    </row>
    <row r="27" spans="1:14" s="2" customFormat="1" x14ac:dyDescent="0.2">
      <c r="A27" s="89">
        <v>45264</v>
      </c>
      <c r="B27" s="128" t="s">
        <v>6</v>
      </c>
      <c r="C27" s="10" t="s">
        <v>749</v>
      </c>
      <c r="D27" s="11" t="s">
        <v>13</v>
      </c>
      <c r="E27" s="86">
        <v>1469696.38</v>
      </c>
      <c r="F27" s="70"/>
      <c r="G27" s="1"/>
      <c r="N27" s="1"/>
    </row>
    <row r="28" spans="1:14" s="2" customFormat="1" x14ac:dyDescent="0.2">
      <c r="A28" s="89">
        <v>45264</v>
      </c>
      <c r="B28" s="128" t="s">
        <v>6</v>
      </c>
      <c r="C28" s="10" t="s">
        <v>759</v>
      </c>
      <c r="D28" s="11" t="s">
        <v>13</v>
      </c>
      <c r="E28" s="86">
        <v>1825394.03</v>
      </c>
      <c r="F28" s="70"/>
      <c r="G28" s="1"/>
      <c r="N28" s="1"/>
    </row>
    <row r="29" spans="1:14" s="2" customFormat="1" x14ac:dyDescent="0.2">
      <c r="A29" s="89">
        <v>45264</v>
      </c>
      <c r="B29" s="128" t="s">
        <v>6</v>
      </c>
      <c r="C29" s="10" t="s">
        <v>764</v>
      </c>
      <c r="D29" s="11" t="s">
        <v>13</v>
      </c>
      <c r="E29" s="86">
        <v>899394.84</v>
      </c>
      <c r="F29" s="70"/>
      <c r="G29" s="1"/>
      <c r="N29" s="1"/>
    </row>
    <row r="30" spans="1:14" s="2" customFormat="1" x14ac:dyDescent="0.2">
      <c r="A30" s="89">
        <v>45264</v>
      </c>
      <c r="B30" s="128" t="s">
        <v>6</v>
      </c>
      <c r="C30" s="10" t="s">
        <v>765</v>
      </c>
      <c r="D30" s="11" t="s">
        <v>13</v>
      </c>
      <c r="E30" s="86">
        <v>5530481.1100000003</v>
      </c>
      <c r="F30" s="70"/>
      <c r="G30" s="1"/>
      <c r="N30" s="1"/>
    </row>
    <row r="31" spans="1:14" s="2" customFormat="1" x14ac:dyDescent="0.2">
      <c r="A31" s="89">
        <v>45264</v>
      </c>
      <c r="B31" s="128" t="s">
        <v>6</v>
      </c>
      <c r="C31" s="10" t="s">
        <v>386</v>
      </c>
      <c r="D31" s="11" t="s">
        <v>13</v>
      </c>
      <c r="E31" s="86">
        <v>200000</v>
      </c>
      <c r="F31" s="70"/>
      <c r="G31" s="1"/>
      <c r="N31" s="1"/>
    </row>
    <row r="32" spans="1:14" s="2" customFormat="1" x14ac:dyDescent="0.2">
      <c r="A32" s="89">
        <v>45264</v>
      </c>
      <c r="B32" s="128" t="s">
        <v>6</v>
      </c>
      <c r="C32" s="10" t="s">
        <v>105</v>
      </c>
      <c r="D32" s="11" t="s">
        <v>13</v>
      </c>
      <c r="E32" s="86">
        <v>372132</v>
      </c>
      <c r="F32" s="70"/>
      <c r="G32" s="1"/>
      <c r="N32" s="1"/>
    </row>
    <row r="33" spans="1:14" s="2" customFormat="1" x14ac:dyDescent="0.2">
      <c r="A33" s="89">
        <v>45264</v>
      </c>
      <c r="B33" s="128" t="s">
        <v>6</v>
      </c>
      <c r="C33" s="10" t="s">
        <v>820</v>
      </c>
      <c r="D33" s="11" t="s">
        <v>13</v>
      </c>
      <c r="E33" s="86">
        <v>9083</v>
      </c>
      <c r="F33" s="70"/>
      <c r="G33" s="1"/>
      <c r="N33" s="1"/>
    </row>
    <row r="34" spans="1:14" s="2" customFormat="1" x14ac:dyDescent="0.2">
      <c r="A34" s="89">
        <v>45264</v>
      </c>
      <c r="B34" s="128" t="s">
        <v>6</v>
      </c>
      <c r="C34" s="10" t="s">
        <v>19</v>
      </c>
      <c r="D34" s="11" t="s">
        <v>13</v>
      </c>
      <c r="E34" s="86">
        <v>15578</v>
      </c>
      <c r="F34" s="70"/>
      <c r="G34" s="1"/>
      <c r="N34" s="1"/>
    </row>
    <row r="35" spans="1:14" s="2" customFormat="1" x14ac:dyDescent="0.2">
      <c r="A35" s="89">
        <v>45264</v>
      </c>
      <c r="B35" s="128" t="s">
        <v>6</v>
      </c>
      <c r="C35" s="10" t="s">
        <v>120</v>
      </c>
      <c r="D35" s="11" t="s">
        <v>13</v>
      </c>
      <c r="E35" s="86">
        <v>1725382</v>
      </c>
      <c r="F35" s="70"/>
      <c r="G35" s="1"/>
      <c r="N35" s="1"/>
    </row>
    <row r="36" spans="1:14" s="2" customFormat="1" x14ac:dyDescent="0.2">
      <c r="A36" s="89">
        <v>45264</v>
      </c>
      <c r="B36" s="128" t="s">
        <v>6</v>
      </c>
      <c r="C36" s="10" t="s">
        <v>915</v>
      </c>
      <c r="D36" s="11" t="s">
        <v>13</v>
      </c>
      <c r="E36" s="86">
        <v>132888</v>
      </c>
      <c r="F36" s="70"/>
      <c r="G36" s="1"/>
      <c r="N36" s="1"/>
    </row>
    <row r="37" spans="1:14" s="2" customFormat="1" x14ac:dyDescent="0.2">
      <c r="A37" s="89">
        <v>45264</v>
      </c>
      <c r="B37" s="128" t="s">
        <v>6</v>
      </c>
      <c r="C37" s="10" t="s">
        <v>336</v>
      </c>
      <c r="D37" s="11" t="s">
        <v>13</v>
      </c>
      <c r="E37" s="86">
        <v>275834</v>
      </c>
      <c r="F37" s="70"/>
      <c r="G37" s="1"/>
      <c r="N37" s="1"/>
    </row>
    <row r="38" spans="1:14" s="2" customFormat="1" x14ac:dyDescent="0.2">
      <c r="A38" s="89">
        <v>45264</v>
      </c>
      <c r="B38" s="128" t="s">
        <v>6</v>
      </c>
      <c r="C38" s="10" t="s">
        <v>16</v>
      </c>
      <c r="D38" s="11" t="s">
        <v>13</v>
      </c>
      <c r="E38" s="86">
        <v>10</v>
      </c>
      <c r="F38" s="70"/>
      <c r="G38" s="1"/>
      <c r="N38" s="1"/>
    </row>
    <row r="39" spans="1:14" s="2" customFormat="1" x14ac:dyDescent="0.2">
      <c r="A39" s="89">
        <v>45264</v>
      </c>
      <c r="B39" s="128" t="s">
        <v>11</v>
      </c>
      <c r="C39" s="10" t="s">
        <v>64</v>
      </c>
      <c r="D39" s="11" t="s">
        <v>29</v>
      </c>
      <c r="E39" s="86"/>
      <c r="F39" s="70">
        <v>5922.42</v>
      </c>
      <c r="G39" s="1"/>
      <c r="N39" s="1"/>
    </row>
    <row r="40" spans="1:14" s="2" customFormat="1" x14ac:dyDescent="0.2">
      <c r="A40" s="89">
        <v>45264</v>
      </c>
      <c r="B40" s="128" t="s">
        <v>11</v>
      </c>
      <c r="C40" s="10" t="s">
        <v>1834</v>
      </c>
      <c r="D40" s="11" t="s">
        <v>29</v>
      </c>
      <c r="E40" s="86"/>
      <c r="F40" s="70">
        <v>95206.91</v>
      </c>
      <c r="G40" s="1"/>
      <c r="N40" s="1"/>
    </row>
    <row r="41" spans="1:14" s="2" customFormat="1" x14ac:dyDescent="0.2">
      <c r="A41" s="89">
        <v>45264</v>
      </c>
      <c r="B41" s="128" t="s">
        <v>11</v>
      </c>
      <c r="C41" s="10" t="s">
        <v>96</v>
      </c>
      <c r="D41" s="11" t="s">
        <v>29</v>
      </c>
      <c r="E41" s="86"/>
      <c r="F41" s="70">
        <v>5926</v>
      </c>
      <c r="G41" s="1"/>
      <c r="N41" s="1"/>
    </row>
    <row r="42" spans="1:14" s="2" customFormat="1" x14ac:dyDescent="0.2">
      <c r="A42" s="89">
        <v>45264</v>
      </c>
      <c r="B42" s="128" t="s">
        <v>11</v>
      </c>
      <c r="C42" s="10" t="s">
        <v>664</v>
      </c>
      <c r="D42" s="11" t="s">
        <v>29</v>
      </c>
      <c r="E42" s="86"/>
      <c r="F42" s="70">
        <v>44500</v>
      </c>
      <c r="G42" s="1"/>
      <c r="N42" s="1"/>
    </row>
    <row r="43" spans="1:14" s="2" customFormat="1" x14ac:dyDescent="0.2">
      <c r="A43" s="89">
        <v>45264</v>
      </c>
      <c r="B43" s="128" t="s">
        <v>11</v>
      </c>
      <c r="C43" s="10" t="s">
        <v>207</v>
      </c>
      <c r="D43" s="11" t="s">
        <v>29</v>
      </c>
      <c r="E43" s="86"/>
      <c r="F43" s="70">
        <v>171840</v>
      </c>
      <c r="G43" s="1"/>
      <c r="N43" s="1"/>
    </row>
    <row r="44" spans="1:14" s="2" customFormat="1" x14ac:dyDescent="0.2">
      <c r="A44" s="89">
        <v>45264</v>
      </c>
      <c r="B44" s="128" t="s">
        <v>11</v>
      </c>
      <c r="C44" s="10" t="s">
        <v>1832</v>
      </c>
      <c r="D44" s="11" t="s">
        <v>29</v>
      </c>
      <c r="E44" s="86"/>
      <c r="F44" s="70">
        <v>3084352</v>
      </c>
      <c r="G44" s="1"/>
      <c r="N44" s="1"/>
    </row>
    <row r="45" spans="1:14" s="2" customFormat="1" x14ac:dyDescent="0.2">
      <c r="A45" s="89">
        <v>45264</v>
      </c>
      <c r="B45" s="128" t="s">
        <v>11</v>
      </c>
      <c r="C45" s="10" t="s">
        <v>1816</v>
      </c>
      <c r="D45" s="11" t="s">
        <v>29</v>
      </c>
      <c r="E45" s="86"/>
      <c r="F45" s="70">
        <v>2813647</v>
      </c>
      <c r="G45" s="1"/>
      <c r="N45" s="1"/>
    </row>
    <row r="46" spans="1:14" s="2" customFormat="1" x14ac:dyDescent="0.2">
      <c r="A46" s="89">
        <v>45264</v>
      </c>
      <c r="B46" s="128" t="s">
        <v>11</v>
      </c>
      <c r="C46" s="10" t="s">
        <v>284</v>
      </c>
      <c r="D46" s="11" t="s">
        <v>29</v>
      </c>
      <c r="E46" s="86"/>
      <c r="F46" s="70">
        <v>679525</v>
      </c>
      <c r="G46" s="1"/>
      <c r="N46" s="1"/>
    </row>
    <row r="47" spans="1:14" s="2" customFormat="1" x14ac:dyDescent="0.2">
      <c r="A47" s="89">
        <v>45264</v>
      </c>
      <c r="B47" s="128" t="s">
        <v>11</v>
      </c>
      <c r="C47" s="10" t="s">
        <v>110</v>
      </c>
      <c r="D47" s="11" t="s">
        <v>29</v>
      </c>
      <c r="E47" s="86"/>
      <c r="F47" s="70">
        <v>216790.95</v>
      </c>
      <c r="G47" s="1"/>
      <c r="N47" s="1"/>
    </row>
    <row r="48" spans="1:14" s="2" customFormat="1" x14ac:dyDescent="0.2">
      <c r="A48" s="89">
        <v>45264</v>
      </c>
      <c r="B48" s="128" t="s">
        <v>11</v>
      </c>
      <c r="C48" s="10" t="s">
        <v>417</v>
      </c>
      <c r="D48" s="11" t="s">
        <v>29</v>
      </c>
      <c r="E48" s="86"/>
      <c r="F48" s="70">
        <v>438165</v>
      </c>
      <c r="G48" s="1"/>
      <c r="N48" s="1"/>
    </row>
    <row r="49" spans="1:14" s="2" customFormat="1" x14ac:dyDescent="0.2">
      <c r="A49" s="89">
        <v>45264</v>
      </c>
      <c r="B49" s="128" t="s">
        <v>11</v>
      </c>
      <c r="C49" s="10" t="s">
        <v>186</v>
      </c>
      <c r="D49" s="11" t="s">
        <v>29</v>
      </c>
      <c r="E49" s="86"/>
      <c r="F49" s="70">
        <v>553012</v>
      </c>
      <c r="G49" s="1"/>
      <c r="N49" s="1"/>
    </row>
    <row r="50" spans="1:14" s="2" customFormat="1" x14ac:dyDescent="0.2">
      <c r="A50" s="89">
        <v>45264</v>
      </c>
      <c r="B50" s="128" t="s">
        <v>11</v>
      </c>
      <c r="C50" s="10" t="s">
        <v>184</v>
      </c>
      <c r="D50" s="11" t="s">
        <v>29</v>
      </c>
      <c r="E50" s="86"/>
      <c r="F50" s="70">
        <v>53856</v>
      </c>
      <c r="G50" s="1"/>
      <c r="N50" s="1"/>
    </row>
    <row r="51" spans="1:14" s="2" customFormat="1" x14ac:dyDescent="0.2">
      <c r="A51" s="89">
        <v>45264</v>
      </c>
      <c r="B51" s="128" t="s">
        <v>11</v>
      </c>
      <c r="C51" s="10" t="s">
        <v>185</v>
      </c>
      <c r="D51" s="11" t="s">
        <v>29</v>
      </c>
      <c r="E51" s="86"/>
      <c r="F51" s="70">
        <v>933422</v>
      </c>
      <c r="G51" s="1"/>
      <c r="N51" s="1"/>
    </row>
    <row r="52" spans="1:14" s="2" customFormat="1" x14ac:dyDescent="0.2">
      <c r="A52" s="89">
        <v>45264</v>
      </c>
      <c r="B52" s="128" t="s">
        <v>11</v>
      </c>
      <c r="C52" s="10" t="s">
        <v>187</v>
      </c>
      <c r="D52" s="11" t="s">
        <v>29</v>
      </c>
      <c r="E52" s="86"/>
      <c r="F52" s="70">
        <v>1163502</v>
      </c>
      <c r="G52" s="1"/>
      <c r="N52" s="1"/>
    </row>
    <row r="53" spans="1:14" s="2" customFormat="1" x14ac:dyDescent="0.2">
      <c r="A53" s="89">
        <v>45264</v>
      </c>
      <c r="B53" s="128" t="s">
        <v>11</v>
      </c>
      <c r="C53" s="10" t="s">
        <v>188</v>
      </c>
      <c r="D53" s="11" t="s">
        <v>29</v>
      </c>
      <c r="E53" s="86"/>
      <c r="F53" s="70">
        <v>151604</v>
      </c>
      <c r="G53" s="1"/>
      <c r="N53" s="1"/>
    </row>
    <row r="54" spans="1:14" s="2" customFormat="1" x14ac:dyDescent="0.2">
      <c r="A54" s="89">
        <v>45264</v>
      </c>
      <c r="B54" s="128" t="s">
        <v>11</v>
      </c>
      <c r="C54" s="10" t="s">
        <v>190</v>
      </c>
      <c r="D54" s="11" t="s">
        <v>29</v>
      </c>
      <c r="E54" s="86"/>
      <c r="F54" s="70">
        <v>1486473</v>
      </c>
      <c r="G54" s="1"/>
      <c r="N54" s="1"/>
    </row>
    <row r="55" spans="1:14" s="2" customFormat="1" x14ac:dyDescent="0.2">
      <c r="A55" s="89">
        <v>45264</v>
      </c>
      <c r="B55" s="128" t="s">
        <v>11</v>
      </c>
      <c r="C55" s="10" t="s">
        <v>191</v>
      </c>
      <c r="D55" s="11" t="s">
        <v>29</v>
      </c>
      <c r="E55" s="86"/>
      <c r="F55" s="70">
        <v>205019</v>
      </c>
      <c r="G55" s="1"/>
      <c r="N55" s="1"/>
    </row>
    <row r="56" spans="1:14" s="2" customFormat="1" x14ac:dyDescent="0.2">
      <c r="A56" s="89">
        <v>45264</v>
      </c>
      <c r="B56" s="128" t="s">
        <v>11</v>
      </c>
      <c r="C56" s="10" t="s">
        <v>804</v>
      </c>
      <c r="D56" s="11" t="s">
        <v>29</v>
      </c>
      <c r="E56" s="86"/>
      <c r="F56" s="70">
        <v>392591</v>
      </c>
      <c r="G56" s="1"/>
      <c r="N56" s="1"/>
    </row>
    <row r="57" spans="1:14" s="2" customFormat="1" x14ac:dyDescent="0.2">
      <c r="A57" s="89">
        <v>45264</v>
      </c>
      <c r="B57" s="128" t="s">
        <v>11</v>
      </c>
      <c r="C57" s="10" t="s">
        <v>206</v>
      </c>
      <c r="D57" s="11" t="s">
        <v>29</v>
      </c>
      <c r="E57" s="86"/>
      <c r="F57" s="70">
        <v>771138</v>
      </c>
      <c r="G57" s="1"/>
      <c r="N57" s="1"/>
    </row>
    <row r="58" spans="1:14" s="2" customFormat="1" x14ac:dyDescent="0.2">
      <c r="A58" s="89">
        <v>45264</v>
      </c>
      <c r="B58" s="128" t="s">
        <v>11</v>
      </c>
      <c r="C58" s="10" t="s">
        <v>192</v>
      </c>
      <c r="D58" s="11" t="s">
        <v>29</v>
      </c>
      <c r="E58" s="86"/>
      <c r="F58" s="70">
        <v>651535</v>
      </c>
      <c r="G58" s="1"/>
      <c r="N58" s="1"/>
    </row>
    <row r="59" spans="1:14" s="2" customFormat="1" x14ac:dyDescent="0.2">
      <c r="A59" s="89">
        <v>45264</v>
      </c>
      <c r="B59" s="128" t="s">
        <v>11</v>
      </c>
      <c r="C59" s="10" t="s">
        <v>189</v>
      </c>
      <c r="D59" s="11" t="s">
        <v>29</v>
      </c>
      <c r="E59" s="86"/>
      <c r="F59" s="70">
        <v>514857</v>
      </c>
      <c r="G59" s="1"/>
      <c r="N59" s="1"/>
    </row>
    <row r="60" spans="1:14" s="2" customFormat="1" x14ac:dyDescent="0.2">
      <c r="A60" s="89">
        <v>45264</v>
      </c>
      <c r="B60" s="128" t="s">
        <v>11</v>
      </c>
      <c r="C60" s="10" t="s">
        <v>387</v>
      </c>
      <c r="D60" s="11" t="s">
        <v>29</v>
      </c>
      <c r="E60" s="86"/>
      <c r="F60" s="70">
        <v>31611</v>
      </c>
      <c r="G60" s="1"/>
      <c r="N60" s="1"/>
    </row>
    <row r="61" spans="1:14" s="2" customFormat="1" x14ac:dyDescent="0.2">
      <c r="A61" s="89">
        <v>45264</v>
      </c>
      <c r="B61" s="128" t="s">
        <v>11</v>
      </c>
      <c r="C61" s="10" t="s">
        <v>57</v>
      </c>
      <c r="D61" s="11" t="s">
        <v>29</v>
      </c>
      <c r="E61" s="86"/>
      <c r="F61" s="70">
        <v>1900000</v>
      </c>
      <c r="G61" s="1"/>
      <c r="N61" s="1"/>
    </row>
    <row r="62" spans="1:14" s="2" customFormat="1" x14ac:dyDescent="0.2">
      <c r="A62" s="89">
        <v>45264</v>
      </c>
      <c r="B62" s="128" t="s">
        <v>11</v>
      </c>
      <c r="C62" s="10" t="s">
        <v>1219</v>
      </c>
      <c r="D62" s="11" t="s">
        <v>29</v>
      </c>
      <c r="E62" s="86"/>
      <c r="F62" s="70">
        <v>3500000</v>
      </c>
      <c r="G62" s="1"/>
      <c r="N62" s="1"/>
    </row>
    <row r="63" spans="1:14" s="2" customFormat="1" x14ac:dyDescent="0.2">
      <c r="A63" s="89">
        <v>45264</v>
      </c>
      <c r="B63" s="128" t="s">
        <v>11</v>
      </c>
      <c r="C63" s="10" t="s">
        <v>823</v>
      </c>
      <c r="D63" s="11" t="s">
        <v>29</v>
      </c>
      <c r="E63" s="86"/>
      <c r="F63" s="70">
        <v>17179</v>
      </c>
      <c r="G63" s="1"/>
      <c r="N63" s="1"/>
    </row>
    <row r="64" spans="1:14" s="2" customFormat="1" x14ac:dyDescent="0.2">
      <c r="A64" s="89">
        <v>45264</v>
      </c>
      <c r="B64" s="128" t="s">
        <v>11</v>
      </c>
      <c r="C64" s="10" t="s">
        <v>62</v>
      </c>
      <c r="D64" s="11" t="s">
        <v>29</v>
      </c>
      <c r="E64" s="86"/>
      <c r="F64" s="70">
        <v>25000</v>
      </c>
      <c r="G64" s="1"/>
      <c r="N64" s="1"/>
    </row>
    <row r="65" spans="1:14" s="2" customFormat="1" x14ac:dyDescent="0.2">
      <c r="A65" s="89">
        <v>45264</v>
      </c>
      <c r="B65" s="128" t="s">
        <v>11</v>
      </c>
      <c r="C65" s="10" t="s">
        <v>1269</v>
      </c>
      <c r="D65" s="11" t="s">
        <v>29</v>
      </c>
      <c r="E65" s="86"/>
      <c r="F65" s="70">
        <v>518911</v>
      </c>
      <c r="G65" s="1"/>
      <c r="N65" s="1"/>
    </row>
    <row r="66" spans="1:14" s="2" customFormat="1" x14ac:dyDescent="0.2">
      <c r="A66" s="89">
        <v>45264</v>
      </c>
      <c r="B66" s="128" t="s">
        <v>11</v>
      </c>
      <c r="C66" s="10" t="s">
        <v>1833</v>
      </c>
      <c r="D66" s="11" t="s">
        <v>29</v>
      </c>
      <c r="E66" s="86"/>
      <c r="F66" s="70">
        <v>887960</v>
      </c>
      <c r="G66" s="1"/>
      <c r="N66" s="1"/>
    </row>
    <row r="67" spans="1:14" s="2" customFormat="1" x14ac:dyDescent="0.2">
      <c r="A67" s="89">
        <v>45264</v>
      </c>
      <c r="B67" s="128" t="s">
        <v>11</v>
      </c>
      <c r="C67" s="10" t="s">
        <v>147</v>
      </c>
      <c r="D67" s="11" t="s">
        <v>29</v>
      </c>
      <c r="E67" s="86"/>
      <c r="F67" s="70">
        <v>5186443</v>
      </c>
      <c r="G67" s="1"/>
      <c r="N67" s="1"/>
    </row>
    <row r="68" spans="1:14" s="2" customFormat="1" x14ac:dyDescent="0.2">
      <c r="A68" s="89">
        <v>45264</v>
      </c>
      <c r="B68" s="128" t="s">
        <v>11</v>
      </c>
      <c r="C68" s="10" t="s">
        <v>500</v>
      </c>
      <c r="D68" s="11" t="s">
        <v>29</v>
      </c>
      <c r="E68" s="86"/>
      <c r="F68" s="70">
        <v>4144221</v>
      </c>
      <c r="G68" s="1"/>
      <c r="N68" s="1"/>
    </row>
    <row r="69" spans="1:14" s="2" customFormat="1" x14ac:dyDescent="0.2">
      <c r="A69" s="32"/>
      <c r="B69" s="33"/>
      <c r="C69" s="14"/>
      <c r="D69" s="34"/>
      <c r="E69" s="16">
        <f>SUM(E23:E68)</f>
        <v>13018175.699999999</v>
      </c>
      <c r="F69" s="16">
        <f>SUM(F23:F68)</f>
        <v>77281719.64000003</v>
      </c>
      <c r="G69" s="1"/>
      <c r="H69" s="1"/>
      <c r="I69" s="38">
        <v>64263543.939999998</v>
      </c>
      <c r="K69" s="92">
        <f>E70-I69</f>
        <v>0</v>
      </c>
      <c r="N69" s="1"/>
    </row>
    <row r="70" spans="1:14" s="2" customFormat="1" x14ac:dyDescent="0.2">
      <c r="A70" s="36"/>
      <c r="B70" s="28" t="s">
        <v>11</v>
      </c>
      <c r="C70" s="19" t="s">
        <v>65</v>
      </c>
      <c r="D70" s="37"/>
      <c r="E70" s="38">
        <f>F69-E69</f>
        <v>64263543.940000027</v>
      </c>
      <c r="F70" s="22"/>
      <c r="G70" s="1"/>
      <c r="H70" s="1"/>
      <c r="I70" s="70"/>
      <c r="J70" s="70"/>
      <c r="K70" s="70"/>
      <c r="N70" s="1"/>
    </row>
    <row r="71" spans="1:14" s="2" customFormat="1" x14ac:dyDescent="0.2">
      <c r="A71" s="36"/>
      <c r="B71" s="28" t="s">
        <v>66</v>
      </c>
      <c r="C71" s="19" t="s">
        <v>67</v>
      </c>
      <c r="D71" s="37"/>
      <c r="E71" s="38">
        <v>6500000</v>
      </c>
      <c r="F71" s="22"/>
      <c r="G71" s="1"/>
      <c r="H71" s="70"/>
      <c r="I71" s="70"/>
      <c r="J71" s="70"/>
      <c r="K71" s="70"/>
      <c r="N71" s="1"/>
    </row>
    <row r="72" spans="1:14" s="2" customFormat="1" x14ac:dyDescent="0.2">
      <c r="A72" s="36"/>
      <c r="B72" s="28" t="s">
        <v>66</v>
      </c>
      <c r="C72" s="43" t="s">
        <v>1457</v>
      </c>
      <c r="D72" s="43"/>
      <c r="E72" s="12">
        <f>275000000+75000000+50000000</f>
        <v>400000000</v>
      </c>
      <c r="F72" s="22"/>
      <c r="G72" s="1"/>
      <c r="H72" s="70"/>
      <c r="I72" s="45">
        <v>191.18</v>
      </c>
      <c r="J72" s="46"/>
      <c r="K72" s="46"/>
      <c r="N72" s="1"/>
    </row>
    <row r="73" spans="1:14" s="2" customFormat="1" ht="15" x14ac:dyDescent="0.25">
      <c r="A73" s="36"/>
      <c r="B73" s="28"/>
      <c r="C73" s="44" t="s">
        <v>1541</v>
      </c>
      <c r="D73" s="43"/>
      <c r="E73" s="7">
        <f>+E72+E70+E71</f>
        <v>470763543.94000006</v>
      </c>
      <c r="F73" s="22"/>
      <c r="G73" s="1"/>
      <c r="H73" s="103" t="s">
        <v>69</v>
      </c>
      <c r="I73" s="45">
        <v>-54.56</v>
      </c>
      <c r="J73" s="46"/>
      <c r="K73" s="46"/>
      <c r="N73" s="1"/>
    </row>
    <row r="74" spans="1:14" s="2" customFormat="1" ht="15" x14ac:dyDescent="0.25">
      <c r="A74" s="24"/>
      <c r="B74" s="1"/>
      <c r="C74" s="44" t="s">
        <v>1510</v>
      </c>
      <c r="D74" s="25"/>
      <c r="E74" s="156">
        <f>+I23-E71+H19-I19</f>
        <v>29236456.059999999</v>
      </c>
      <c r="G74" s="1"/>
      <c r="H74" s="35" t="s">
        <v>70</v>
      </c>
      <c r="I74" s="45">
        <v>54.56</v>
      </c>
      <c r="J74" s="46">
        <f>+I75-D77</f>
        <v>0</v>
      </c>
      <c r="N74" s="1"/>
    </row>
    <row r="75" spans="1:14" s="124" customFormat="1" ht="12.75" customHeight="1" x14ac:dyDescent="0.2">
      <c r="A75" s="24"/>
      <c r="B75" s="1"/>
      <c r="C75" s="56"/>
      <c r="D75" s="56"/>
      <c r="E75" s="104"/>
      <c r="F75" s="2"/>
      <c r="G75" s="166"/>
      <c r="H75" s="70"/>
      <c r="I75" s="49">
        <f>SUM(I72:I74)</f>
        <v>191.18</v>
      </c>
      <c r="J75" s="46"/>
      <c r="K75" s="46"/>
    </row>
    <row r="76" spans="1:14" s="124" customFormat="1" ht="12.75" customHeight="1" x14ac:dyDescent="0.2">
      <c r="A76" s="24"/>
      <c r="B76" s="1"/>
      <c r="C76" s="78" t="s">
        <v>575</v>
      </c>
      <c r="D76" s="48" t="s">
        <v>576</v>
      </c>
      <c r="E76" s="104"/>
      <c r="F76" s="2"/>
      <c r="G76" s="168"/>
      <c r="H76" s="167"/>
      <c r="I76" s="167"/>
      <c r="J76" s="168"/>
    </row>
    <row r="77" spans="1:14" s="124" customFormat="1" ht="12.75" customHeight="1" x14ac:dyDescent="0.2">
      <c r="A77" s="24"/>
      <c r="B77" s="1"/>
      <c r="C77" s="47" t="s">
        <v>570</v>
      </c>
      <c r="D77" s="111">
        <v>191.18</v>
      </c>
      <c r="E77" s="104"/>
      <c r="F77" s="2"/>
      <c r="G77" s="168"/>
      <c r="H77" s="110" t="s">
        <v>581</v>
      </c>
      <c r="I77" s="167"/>
      <c r="J77" s="168"/>
    </row>
    <row r="78" spans="1:14" s="124" customFormat="1" ht="12.75" customHeight="1" x14ac:dyDescent="0.2">
      <c r="A78" s="24"/>
      <c r="B78" s="1"/>
      <c r="C78" s="47" t="s">
        <v>931</v>
      </c>
      <c r="D78" s="111">
        <v>80.44</v>
      </c>
      <c r="E78" s="104"/>
      <c r="F78" s="2"/>
      <c r="G78" s="168"/>
      <c r="H78" s="110" t="s">
        <v>580</v>
      </c>
      <c r="I78" s="167"/>
      <c r="J78" s="168"/>
    </row>
    <row r="79" spans="1:14" s="124" customFormat="1" ht="12.75" customHeight="1" x14ac:dyDescent="0.2">
      <c r="A79" s="24"/>
      <c r="B79" s="1"/>
      <c r="C79" s="47" t="s">
        <v>572</v>
      </c>
      <c r="D79" s="111">
        <f>+D95/100000</f>
        <v>0</v>
      </c>
      <c r="E79" s="104"/>
      <c r="F79" s="2"/>
      <c r="G79" s="166"/>
      <c r="H79" s="90" t="s">
        <v>587</v>
      </c>
      <c r="I79" s="167"/>
      <c r="J79" s="168"/>
    </row>
    <row r="80" spans="1:14" s="2" customFormat="1" x14ac:dyDescent="0.2">
      <c r="A80" s="24"/>
      <c r="B80" s="1"/>
      <c r="C80" s="108" t="s">
        <v>578</v>
      </c>
      <c r="D80" s="48">
        <f>SUM(D77:D79)</f>
        <v>271.62</v>
      </c>
      <c r="E80" s="104"/>
      <c r="G80" s="30"/>
      <c r="I80" s="13"/>
      <c r="J80" s="13"/>
    </row>
    <row r="81" spans="1:14" s="70" customFormat="1" x14ac:dyDescent="0.2">
      <c r="A81" s="24"/>
      <c r="B81" s="1"/>
      <c r="C81" s="47"/>
      <c r="D81" s="107"/>
      <c r="E81" s="104"/>
      <c r="F81" s="2"/>
      <c r="G81" s="30"/>
      <c r="H81" s="2"/>
    </row>
    <row r="82" spans="1:14" s="70" customFormat="1" x14ac:dyDescent="0.2">
      <c r="A82" s="24"/>
      <c r="B82" s="1"/>
      <c r="C82" s="47" t="s">
        <v>932</v>
      </c>
      <c r="D82" s="111">
        <v>0</v>
      </c>
      <c r="E82" s="104"/>
      <c r="F82" s="2"/>
      <c r="G82" s="30"/>
      <c r="H82" s="110" t="s">
        <v>581</v>
      </c>
    </row>
    <row r="83" spans="1:14" s="70" customFormat="1" x14ac:dyDescent="0.2">
      <c r="A83" s="24"/>
      <c r="B83" s="1"/>
      <c r="C83" s="136" t="s">
        <v>1142</v>
      </c>
      <c r="D83" s="111">
        <v>287.02999999999997</v>
      </c>
      <c r="E83" s="104"/>
      <c r="F83" s="2"/>
      <c r="G83" s="30"/>
      <c r="H83" s="110" t="s">
        <v>581</v>
      </c>
    </row>
    <row r="84" spans="1:14" s="70" customFormat="1" x14ac:dyDescent="0.2">
      <c r="A84" s="24"/>
      <c r="B84" s="1"/>
      <c r="C84" s="78" t="s">
        <v>579</v>
      </c>
      <c r="D84" s="109">
        <f>D82+D83</f>
        <v>287.02999999999997</v>
      </c>
      <c r="E84" s="104"/>
      <c r="F84" s="2"/>
      <c r="G84" s="30"/>
    </row>
    <row r="85" spans="1:14" s="70" customFormat="1" x14ac:dyDescent="0.2">
      <c r="A85" s="24"/>
      <c r="B85" s="1"/>
      <c r="C85" s="105"/>
      <c r="D85" s="106"/>
      <c r="E85" s="104"/>
      <c r="F85" s="2"/>
      <c r="G85" s="30"/>
      <c r="I85" s="2"/>
      <c r="J85" s="114" t="s">
        <v>713</v>
      </c>
      <c r="K85" s="2"/>
      <c r="L85" s="2"/>
      <c r="M85" s="2"/>
    </row>
    <row r="86" spans="1:14" s="70" customFormat="1" x14ac:dyDescent="0.2">
      <c r="A86" s="24"/>
      <c r="B86" s="1"/>
      <c r="C86" s="78" t="s">
        <v>577</v>
      </c>
      <c r="D86" s="109">
        <f>D77+D84</f>
        <v>478.21</v>
      </c>
      <c r="E86" s="104"/>
      <c r="F86" s="2"/>
      <c r="G86" s="30"/>
      <c r="I86" s="113"/>
      <c r="J86" s="113" t="s">
        <v>709</v>
      </c>
      <c r="K86" s="113" t="s">
        <v>710</v>
      </c>
      <c r="L86" s="113" t="s">
        <v>711</v>
      </c>
      <c r="M86" s="113" t="s">
        <v>712</v>
      </c>
    </row>
    <row r="87" spans="1:14" s="70" customFormat="1" x14ac:dyDescent="0.2">
      <c r="A87" s="24"/>
      <c r="B87" s="1"/>
      <c r="C87" s="56"/>
      <c r="D87" s="56"/>
      <c r="E87" s="104"/>
      <c r="F87" s="2"/>
      <c r="G87" s="30"/>
      <c r="I87" s="113" t="s">
        <v>706</v>
      </c>
      <c r="J87" s="115"/>
      <c r="K87" s="115">
        <v>968.99</v>
      </c>
      <c r="L87" s="115">
        <v>968.99</v>
      </c>
      <c r="M87" s="113">
        <f>+J87+L87-K87</f>
        <v>0</v>
      </c>
    </row>
    <row r="88" spans="1:14" s="70" customFormat="1" ht="38.25" x14ac:dyDescent="0.2">
      <c r="A88" s="24"/>
      <c r="B88" s="1"/>
      <c r="C88" s="79" t="str">
        <f>"Particulars ( 01-04-2021 to "&amp;TEXT(A5,"dd-mm-yyyy")&amp;" )"</f>
        <v>Particulars ( 01-04-2021 to 04-12-2023 )</v>
      </c>
      <c r="D88" s="80" t="s">
        <v>73</v>
      </c>
      <c r="E88" s="80" t="s">
        <v>74</v>
      </c>
      <c r="F88" s="81" t="s">
        <v>75</v>
      </c>
      <c r="G88" s="80" t="s">
        <v>76</v>
      </c>
      <c r="I88" s="113" t="s">
        <v>707</v>
      </c>
      <c r="J88" s="115">
        <v>183.1</v>
      </c>
      <c r="K88" s="115">
        <v>4171.6400000000003</v>
      </c>
      <c r="L88" s="115">
        <v>4269.2</v>
      </c>
      <c r="M88" s="113">
        <f>+J88+L88-K88</f>
        <v>280.65999999999985</v>
      </c>
    </row>
    <row r="89" spans="1:14" s="70" customFormat="1" x14ac:dyDescent="0.2">
      <c r="A89" s="24"/>
      <c r="B89" s="1"/>
      <c r="C89" s="50" t="s">
        <v>444</v>
      </c>
      <c r="D89" s="55">
        <f>+L87+L88+J88</f>
        <v>5421.29</v>
      </c>
      <c r="E89" s="55">
        <f>+K87+K88</f>
        <v>5140.63</v>
      </c>
      <c r="F89" s="55">
        <f>+D89-E89</f>
        <v>280.65999999999985</v>
      </c>
      <c r="G89" s="55">
        <f>1500-F89</f>
        <v>1219.3400000000001</v>
      </c>
      <c r="I89" s="113" t="s">
        <v>708</v>
      </c>
      <c r="J89" s="115">
        <v>1371.02</v>
      </c>
      <c r="K89" s="115">
        <v>15270.6</v>
      </c>
      <c r="L89" s="115">
        <v>15705.4</v>
      </c>
      <c r="M89" s="113">
        <f>+J89+L89-K89</f>
        <v>1805.8199999999979</v>
      </c>
    </row>
    <row r="90" spans="1:14" s="70" customFormat="1" ht="12.75" customHeight="1" x14ac:dyDescent="0.2">
      <c r="A90" s="24"/>
      <c r="B90" s="1"/>
      <c r="C90" s="50" t="s">
        <v>71</v>
      </c>
      <c r="D90" s="55">
        <f>+J89+L89</f>
        <v>17076.419999999998</v>
      </c>
      <c r="E90" s="55">
        <f>+K89</f>
        <v>15270.6</v>
      </c>
      <c r="F90" s="55">
        <f>+D90-E90</f>
        <v>1805.8199999999979</v>
      </c>
      <c r="G90" s="55">
        <f>1500+700-F90</f>
        <v>394.18000000000211</v>
      </c>
      <c r="I90" s="2"/>
      <c r="J90" s="118">
        <f>SUM(J87:J89)</f>
        <v>1554.12</v>
      </c>
      <c r="K90" s="118">
        <f>SUM(K87:K89)</f>
        <v>20411.23</v>
      </c>
      <c r="L90" s="118">
        <f>SUM(L87:L89)</f>
        <v>20943.59</v>
      </c>
      <c r="M90" s="118">
        <f>SUM(M87:M89)</f>
        <v>2086.4799999999977</v>
      </c>
    </row>
    <row r="91" spans="1:14" s="70" customFormat="1" ht="12.75" customHeight="1" x14ac:dyDescent="0.2">
      <c r="A91" s="24"/>
      <c r="B91" s="1"/>
      <c r="C91" s="14"/>
      <c r="D91" s="56"/>
      <c r="E91" s="13"/>
      <c r="F91" s="2"/>
      <c r="G91" s="30"/>
    </row>
    <row r="92" spans="1:14" s="70" customFormat="1" ht="12.75" customHeight="1" x14ac:dyDescent="0.2">
      <c r="A92" s="215" t="s">
        <v>80</v>
      </c>
      <c r="B92" s="216"/>
      <c r="C92" s="216"/>
      <c r="D92" s="217"/>
      <c r="E92" s="69"/>
      <c r="G92" s="30"/>
    </row>
    <row r="93" spans="1:14" s="70" customFormat="1" ht="12.75" customHeight="1" x14ac:dyDescent="0.2">
      <c r="A93" s="71" t="s">
        <v>81</v>
      </c>
      <c r="B93" s="71"/>
      <c r="C93" s="72" t="s">
        <v>82</v>
      </c>
      <c r="D93" s="73" t="s">
        <v>83</v>
      </c>
      <c r="E93" s="69"/>
      <c r="G93" s="30"/>
    </row>
    <row r="94" spans="1:14" s="70" customFormat="1" ht="12.75" customHeight="1" x14ac:dyDescent="0.2">
      <c r="A94" s="87"/>
      <c r="B94" s="120"/>
      <c r="C94" s="75"/>
      <c r="D94" s="88"/>
      <c r="E94" s="2"/>
      <c r="F94" s="2"/>
      <c r="G94" s="30"/>
      <c r="H94" s="2"/>
      <c r="I94" s="2"/>
      <c r="J94" s="2"/>
      <c r="K94" s="2"/>
      <c r="L94" s="41"/>
      <c r="M94" s="42"/>
      <c r="N94" s="2"/>
    </row>
    <row r="95" spans="1:14" s="2" customFormat="1" x14ac:dyDescent="0.2">
      <c r="A95" s="87"/>
      <c r="B95" s="74"/>
      <c r="C95" s="75"/>
      <c r="D95" s="51">
        <f>SUM(D94:D94)</f>
        <v>0</v>
      </c>
      <c r="F95" s="2" t="s">
        <v>396</v>
      </c>
      <c r="G95" s="1"/>
    </row>
    <row r="96" spans="1:14" s="2" customFormat="1" x14ac:dyDescent="0.2">
      <c r="A96" s="24"/>
      <c r="B96" s="1"/>
      <c r="C96" s="14"/>
      <c r="D96" s="56"/>
      <c r="E96" s="13"/>
      <c r="G96" s="1"/>
    </row>
    <row r="97" spans="1:13" s="2" customFormat="1" x14ac:dyDescent="0.2">
      <c r="A97" s="24"/>
      <c r="B97" s="1"/>
      <c r="C97" s="218" t="s">
        <v>77</v>
      </c>
      <c r="D97" s="219"/>
      <c r="E97" s="219"/>
      <c r="F97" s="220"/>
      <c r="H97" s="2" t="s">
        <v>396</v>
      </c>
    </row>
    <row r="98" spans="1:13" s="2" customFormat="1" x14ac:dyDescent="0.2">
      <c r="A98" s="24"/>
      <c r="B98" s="1"/>
      <c r="C98" s="50"/>
      <c r="D98" s="57" t="s">
        <v>78</v>
      </c>
      <c r="E98" s="58" t="s">
        <v>79</v>
      </c>
      <c r="F98" s="57" t="s">
        <v>72</v>
      </c>
      <c r="H98" s="2" t="s">
        <v>396</v>
      </c>
    </row>
    <row r="99" spans="1:13" s="2" customFormat="1" x14ac:dyDescent="0.2">
      <c r="A99" s="24"/>
      <c r="B99" s="1"/>
      <c r="C99" s="59" t="str">
        <f>"01-12-2023 to "&amp;TEXT(A5-2,"dd-mm-yyyy")</f>
        <v>01-12-2023 to 02-12-2023</v>
      </c>
      <c r="D99" s="60">
        <v>173</v>
      </c>
      <c r="E99" s="60">
        <v>43.8</v>
      </c>
      <c r="F99" s="61">
        <f>SUM(D99:E99)</f>
        <v>216.8</v>
      </c>
    </row>
    <row r="100" spans="1:13" s="2" customFormat="1" x14ac:dyDescent="0.2">
      <c r="A100" s="24"/>
      <c r="B100" s="1"/>
      <c r="C100" s="62" t="str">
        <f>TEXT(A5-1,"dd-mm-yyyy")</f>
        <v>03-12-2023</v>
      </c>
      <c r="D100" s="60">
        <v>17.27</v>
      </c>
      <c r="E100" s="60">
        <v>0.77</v>
      </c>
      <c r="F100" s="61">
        <f>SUM(D100:E100)</f>
        <v>18.04</v>
      </c>
      <c r="G100" s="1"/>
      <c r="H100" s="53"/>
    </row>
    <row r="101" spans="1:13" s="2" customFormat="1" ht="13.5" thickBot="1" x14ac:dyDescent="0.25">
      <c r="A101" s="24"/>
      <c r="B101" s="1"/>
      <c r="C101" s="63" t="str">
        <f>"01-12-2023 to "&amp;TEXT(A5-1,"dd-mm-yyyy")</f>
        <v>01-12-2023 to 03-12-2023</v>
      </c>
      <c r="D101" s="64">
        <f>SUM(D99:D100)</f>
        <v>190.27</v>
      </c>
      <c r="E101" s="64">
        <f>SUM(E99:E100)</f>
        <v>44.57</v>
      </c>
      <c r="F101" s="64">
        <f>SUM(F99:F100)</f>
        <v>234.84</v>
      </c>
      <c r="G101" s="1"/>
      <c r="H101" s="53"/>
    </row>
    <row r="102" spans="1:13" s="2" customFormat="1" ht="13.5" thickTop="1" x14ac:dyDescent="0.2">
      <c r="A102" s="24"/>
      <c r="B102" s="1"/>
      <c r="C102" s="62"/>
      <c r="D102" s="65"/>
      <c r="E102" s="66"/>
      <c r="F102" s="67"/>
      <c r="L102" s="1"/>
      <c r="M102" s="1"/>
    </row>
    <row r="103" spans="1:13" s="2" customFormat="1" x14ac:dyDescent="0.2">
      <c r="A103" s="24"/>
      <c r="B103" s="1"/>
      <c r="C103" s="62" t="str">
        <f>"01-04-2023 to " &amp;C100</f>
        <v>01-04-2023 to 03-12-2023</v>
      </c>
      <c r="D103" s="68">
        <f>+D101+32234.22</f>
        <v>32424.49</v>
      </c>
      <c r="E103" s="68">
        <f>+E101+3134.59</f>
        <v>3179.1600000000003</v>
      </c>
      <c r="F103" s="68">
        <f>+F101+35368.81</f>
        <v>35603.649999999994</v>
      </c>
      <c r="G103" s="1"/>
      <c r="L103" s="1"/>
      <c r="M103" s="1"/>
    </row>
    <row r="104" spans="1:13" s="2" customFormat="1" x14ac:dyDescent="0.2">
      <c r="A104" s="24"/>
      <c r="B104" s="1"/>
      <c r="C104" s="52"/>
      <c r="D104" s="85"/>
      <c r="E104" s="53"/>
      <c r="F104" s="53"/>
      <c r="G104" s="1"/>
      <c r="L104" s="1"/>
      <c r="M104" s="1"/>
    </row>
    <row r="105" spans="1:13" s="2" customFormat="1" x14ac:dyDescent="0.2">
      <c r="A105" s="24"/>
      <c r="B105" s="1"/>
      <c r="C105" s="52"/>
      <c r="D105" s="85"/>
      <c r="E105" s="53"/>
      <c r="F105" s="53"/>
      <c r="G105" s="1"/>
      <c r="L105" s="1"/>
      <c r="M105" s="1"/>
    </row>
    <row r="106" spans="1:13" s="2" customFormat="1" x14ac:dyDescent="0.2">
      <c r="A106" s="24"/>
      <c r="B106" s="1"/>
      <c r="C106" s="52"/>
      <c r="D106" s="85"/>
      <c r="E106" s="53"/>
      <c r="F106" s="53"/>
      <c r="G106" s="1"/>
      <c r="L106" s="1"/>
      <c r="M106" s="1"/>
    </row>
    <row r="107" spans="1:13" s="2" customFormat="1" x14ac:dyDescent="0.2">
      <c r="A107" s="24"/>
      <c r="B107" s="1"/>
      <c r="C107" s="52"/>
      <c r="D107" s="85"/>
      <c r="E107" s="53"/>
      <c r="F107" s="53"/>
      <c r="G107" s="1"/>
      <c r="L107" s="1"/>
      <c r="M107" s="1"/>
    </row>
    <row r="108" spans="1:13" s="2" customFormat="1" x14ac:dyDescent="0.2">
      <c r="A108" s="24"/>
      <c r="B108" s="1"/>
      <c r="C108" s="14"/>
      <c r="D108" s="25">
        <f>SUM(D105:D107)</f>
        <v>0</v>
      </c>
      <c r="E108" s="2">
        <f>SUM(E105:E107)</f>
        <v>0</v>
      </c>
      <c r="G108" s="1"/>
      <c r="L108" s="1"/>
      <c r="M108" s="1"/>
    </row>
    <row r="109" spans="1:13" s="2" customFormat="1" x14ac:dyDescent="0.2">
      <c r="A109" s="24"/>
      <c r="B109" s="1"/>
      <c r="C109" s="14"/>
      <c r="D109" s="25"/>
      <c r="G109" s="1"/>
      <c r="L109" s="1"/>
      <c r="M109" s="1"/>
    </row>
    <row r="110" spans="1:13" s="2" customFormat="1" x14ac:dyDescent="0.2">
      <c r="A110" s="24"/>
      <c r="B110" s="1"/>
      <c r="C110" s="14"/>
      <c r="D110" s="25"/>
      <c r="G110" s="1"/>
      <c r="L110" s="1"/>
      <c r="M110" s="1"/>
    </row>
    <row r="111" spans="1:13" s="2" customFormat="1" x14ac:dyDescent="0.2">
      <c r="A111" s="24"/>
      <c r="B111" s="1"/>
      <c r="C111" s="14"/>
      <c r="D111" s="25"/>
      <c r="G111" s="1"/>
      <c r="L111" s="1"/>
      <c r="M111" s="1"/>
    </row>
    <row r="112" spans="1:13" s="2" customFormat="1" x14ac:dyDescent="0.2">
      <c r="A112" s="24"/>
      <c r="B112" s="1"/>
      <c r="C112" s="14"/>
      <c r="D112" s="25"/>
      <c r="G112" s="1"/>
      <c r="L112" s="1"/>
      <c r="M112" s="1"/>
    </row>
    <row r="113" spans="1:14" s="2" customFormat="1" x14ac:dyDescent="0.2">
      <c r="A113" s="24"/>
      <c r="B113" s="1"/>
      <c r="C113" s="14"/>
      <c r="D113" s="25"/>
      <c r="G113" s="1"/>
      <c r="L113" s="1"/>
      <c r="M113" s="1"/>
    </row>
    <row r="114" spans="1:14" s="2" customFormat="1" x14ac:dyDescent="0.2">
      <c r="A114" s="24"/>
      <c r="B114" s="1"/>
      <c r="C114" s="14"/>
      <c r="D114" s="25"/>
      <c r="G114" s="1"/>
      <c r="L114" s="1"/>
      <c r="M114" s="1"/>
    </row>
    <row r="115" spans="1:14" s="2" customFormat="1" x14ac:dyDescent="0.2">
      <c r="A115" s="24"/>
      <c r="B115" s="1"/>
      <c r="C115" s="14"/>
      <c r="D115" s="25"/>
      <c r="G115" s="1"/>
      <c r="L115" s="1"/>
      <c r="M115" s="1"/>
    </row>
    <row r="116" spans="1:14" s="2" customFormat="1" x14ac:dyDescent="0.2">
      <c r="A116" s="24"/>
      <c r="B116" s="1"/>
      <c r="C116" s="14"/>
      <c r="D116" s="25"/>
      <c r="G116" s="1"/>
      <c r="L116" s="1"/>
      <c r="M116" s="1"/>
    </row>
    <row r="117" spans="1:14" s="2" customFormat="1" x14ac:dyDescent="0.2">
      <c r="A117" s="24"/>
      <c r="B117" s="1"/>
      <c r="C117" s="14"/>
      <c r="D117" s="25"/>
      <c r="G117" s="1"/>
      <c r="L117" s="1"/>
      <c r="M117" s="1"/>
    </row>
    <row r="118" spans="1:14" s="2" customFormat="1" x14ac:dyDescent="0.2">
      <c r="A118" s="24"/>
      <c r="B118" s="1"/>
      <c r="C118" s="14"/>
      <c r="D118" s="25"/>
      <c r="G118" s="1"/>
      <c r="L118" s="1"/>
      <c r="M118" s="1"/>
    </row>
    <row r="119" spans="1:14" s="2" customFormat="1" x14ac:dyDescent="0.2">
      <c r="A119" s="24"/>
      <c r="B119" s="1"/>
      <c r="C119" s="14"/>
      <c r="D119" s="25"/>
      <c r="G119" s="1"/>
      <c r="L119" s="1"/>
      <c r="M119" s="1"/>
    </row>
    <row r="120" spans="1:14" s="2" customFormat="1" x14ac:dyDescent="0.2">
      <c r="A120" s="24"/>
      <c r="B120" s="1"/>
      <c r="C120" s="14"/>
      <c r="D120" s="25"/>
      <c r="G120" s="1"/>
      <c r="L120" s="1"/>
      <c r="M120" s="1"/>
    </row>
    <row r="121" spans="1:14" s="2" customFormat="1" x14ac:dyDescent="0.2">
      <c r="A121" s="24"/>
      <c r="B121" s="1"/>
      <c r="C121" s="14"/>
      <c r="D121" s="25"/>
      <c r="G121" s="1"/>
      <c r="L121" s="1"/>
      <c r="M121" s="1"/>
    </row>
    <row r="122" spans="1:14" s="2" customFormat="1" x14ac:dyDescent="0.2">
      <c r="A122" s="24"/>
      <c r="B122" s="1"/>
      <c r="C122" s="14"/>
      <c r="D122" s="25"/>
      <c r="G122" s="1"/>
      <c r="I122" s="1"/>
      <c r="J122" s="1"/>
      <c r="K122" s="1"/>
      <c r="L122" s="1"/>
      <c r="M122" s="1"/>
    </row>
    <row r="123" spans="1:14" s="2" customFormat="1" x14ac:dyDescent="0.2">
      <c r="A123" s="24"/>
      <c r="B123" s="1"/>
      <c r="C123" s="14"/>
      <c r="D123" s="25"/>
      <c r="G123" s="1"/>
    </row>
    <row r="124" spans="1:14" s="2" customFormat="1" x14ac:dyDescent="0.2">
      <c r="A124" s="24"/>
      <c r="B124" s="1"/>
      <c r="C124" s="14"/>
      <c r="D124" s="25"/>
      <c r="G124" s="1"/>
      <c r="I124" s="1"/>
      <c r="J124" s="1"/>
      <c r="K124" s="1"/>
      <c r="L124" s="1"/>
      <c r="M124" s="1"/>
    </row>
    <row r="125" spans="1:14" s="2" customFormat="1" x14ac:dyDescent="0.2">
      <c r="A125" s="24"/>
      <c r="B125" s="1"/>
      <c r="C125" s="14"/>
      <c r="D125" s="25"/>
      <c r="G125" s="54"/>
      <c r="I125" s="1"/>
      <c r="J125" s="1"/>
      <c r="K125" s="1"/>
      <c r="L125" s="1"/>
      <c r="M125" s="1"/>
    </row>
    <row r="126" spans="1:14" s="2" customFormat="1" x14ac:dyDescent="0.2">
      <c r="A126" s="24"/>
      <c r="B126" s="1"/>
      <c r="C126" s="14"/>
      <c r="D126" s="25"/>
      <c r="G126" s="54"/>
      <c r="I126" s="1"/>
      <c r="J126" s="1"/>
      <c r="K126" s="1"/>
      <c r="L126" s="1"/>
      <c r="M126" s="1"/>
    </row>
    <row r="127" spans="1:14" s="2" customFormat="1" x14ac:dyDescent="0.2">
      <c r="A127" s="24"/>
      <c r="B127" s="1"/>
      <c r="C127" s="14"/>
      <c r="D127" s="25"/>
      <c r="G127" s="54"/>
      <c r="I127" s="1"/>
      <c r="J127" s="1"/>
      <c r="K127" s="1"/>
      <c r="L127" s="1"/>
      <c r="M127" s="1"/>
    </row>
    <row r="128" spans="1:14" s="2" customFormat="1" x14ac:dyDescent="0.2">
      <c r="A128" s="24"/>
      <c r="B128" s="1"/>
      <c r="C128" s="14"/>
      <c r="D128" s="25"/>
      <c r="G128" s="54"/>
      <c r="H128" s="2" t="s">
        <v>396</v>
      </c>
      <c r="I128" s="1"/>
      <c r="J128" s="1"/>
      <c r="K128" s="1"/>
      <c r="L128" s="1"/>
      <c r="M128" s="1"/>
      <c r="N128" s="1"/>
    </row>
    <row r="129" spans="1:14" s="2" customFormat="1" x14ac:dyDescent="0.2">
      <c r="A129" s="24"/>
      <c r="B129" s="1"/>
      <c r="C129" s="14"/>
      <c r="D129" s="25"/>
      <c r="G129" s="54"/>
      <c r="H129" s="53"/>
    </row>
    <row r="130" spans="1:14" s="2" customFormat="1" x14ac:dyDescent="0.2">
      <c r="A130" s="24"/>
      <c r="B130" s="1"/>
      <c r="C130" s="14"/>
      <c r="D130" s="25"/>
      <c r="G130" s="54"/>
      <c r="H130" s="53" t="s">
        <v>396</v>
      </c>
      <c r="I130" s="1"/>
      <c r="J130" s="1"/>
      <c r="K130" s="1"/>
      <c r="L130" s="1"/>
      <c r="M130" s="1"/>
      <c r="N130" s="1"/>
    </row>
    <row r="131" spans="1:14" x14ac:dyDescent="0.2">
      <c r="G131" s="54"/>
      <c r="H131" s="53" t="s">
        <v>396</v>
      </c>
      <c r="J131" s="42"/>
    </row>
    <row r="132" spans="1:14" s="2" customFormat="1" x14ac:dyDescent="0.2">
      <c r="A132" s="24"/>
      <c r="B132" s="1"/>
      <c r="C132" s="14"/>
      <c r="D132" s="25"/>
      <c r="G132" s="54"/>
      <c r="H132" s="53"/>
      <c r="I132" s="101"/>
      <c r="J132" s="1"/>
      <c r="K132" s="1"/>
      <c r="L132" s="1"/>
      <c r="M132" s="1"/>
      <c r="N132" s="1"/>
    </row>
    <row r="133" spans="1:14" x14ac:dyDescent="0.2">
      <c r="G133" s="54"/>
      <c r="H133" s="53"/>
    </row>
    <row r="134" spans="1:14" x14ac:dyDescent="0.2">
      <c r="G134" s="54"/>
      <c r="H134" s="53"/>
    </row>
    <row r="135" spans="1:14" x14ac:dyDescent="0.2">
      <c r="G135" s="54"/>
      <c r="H135" s="53"/>
    </row>
  </sheetData>
  <sheetProtection insertRows="0"/>
  <mergeCells count="6">
    <mergeCell ref="C97:F97"/>
    <mergeCell ref="A1:G1"/>
    <mergeCell ref="A3:F3"/>
    <mergeCell ref="A9:F9"/>
    <mergeCell ref="A21:F21"/>
    <mergeCell ref="A92:D92"/>
  </mergeCells>
  <conditionalFormatting sqref="G89:G90">
    <cfRule type="cellIs" dxfId="193" priority="1" operator="lessThan">
      <formula>0</formula>
    </cfRule>
  </conditionalFormatting>
  <conditionalFormatting sqref="C23">
    <cfRule type="duplicateValues" dxfId="192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200-000000000000}">
  <sheetPr codeName="Sheet490">
    <pageSetUpPr fitToPage="1"/>
  </sheetPr>
  <dimension ref="A1:N130"/>
  <sheetViews>
    <sheetView zoomScaleNormal="100" workbookViewId="0">
      <selection activeCell="E65" sqref="E65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1" ht="20.25" customHeight="1" x14ac:dyDescent="0.4">
      <c r="A1" s="212" t="s">
        <v>1835</v>
      </c>
      <c r="B1" s="212"/>
      <c r="C1" s="212"/>
      <c r="D1" s="212"/>
      <c r="E1" s="212"/>
      <c r="F1" s="212"/>
      <c r="G1" s="212"/>
      <c r="H1" s="112"/>
      <c r="I1" s="112"/>
    </row>
    <row r="2" spans="1:11" ht="12.75" customHeight="1" x14ac:dyDescent="0.4">
      <c r="H2" s="112"/>
      <c r="I2" s="112"/>
    </row>
    <row r="3" spans="1:11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1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1" s="2" customFormat="1" ht="14.25" customHeight="1" x14ac:dyDescent="0.4">
      <c r="A5" s="89">
        <v>45265</v>
      </c>
      <c r="B5" s="9" t="s">
        <v>6</v>
      </c>
      <c r="C5" s="10" t="s">
        <v>7</v>
      </c>
      <c r="D5" s="11"/>
      <c r="E5" s="12">
        <v>1105464.3400000001</v>
      </c>
      <c r="F5" s="12"/>
      <c r="G5" s="1"/>
      <c r="H5" s="112"/>
      <c r="I5" s="112"/>
    </row>
    <row r="6" spans="1:11" s="2" customFormat="1" ht="12.75" customHeight="1" x14ac:dyDescent="0.2">
      <c r="D6" s="15" t="s">
        <v>8</v>
      </c>
      <c r="E6" s="16">
        <f>SUM(E5:E5)</f>
        <v>1105464.3400000001</v>
      </c>
      <c r="F6" s="16">
        <f>+F5</f>
        <v>0</v>
      </c>
      <c r="G6" s="1"/>
      <c r="H6" s="13" t="s">
        <v>1582</v>
      </c>
      <c r="I6" s="13" t="s">
        <v>1583</v>
      </c>
    </row>
    <row r="7" spans="1:11" s="2" customFormat="1" ht="12.75" customHeight="1" x14ac:dyDescent="0.2">
      <c r="A7" s="17"/>
      <c r="B7" s="18"/>
      <c r="C7" s="19" t="s">
        <v>9</v>
      </c>
      <c r="D7" s="20"/>
      <c r="E7" s="21">
        <f>+E6-F6</f>
        <v>1105464.3400000001</v>
      </c>
      <c r="F7" s="22"/>
      <c r="G7" s="23"/>
      <c r="H7" s="2">
        <v>0</v>
      </c>
      <c r="I7" s="2">
        <v>0</v>
      </c>
      <c r="J7" s="176">
        <f>H7-I7</f>
        <v>0</v>
      </c>
    </row>
    <row r="8" spans="1:11" ht="12.75" customHeight="1" x14ac:dyDescent="0.4">
      <c r="H8" s="112"/>
      <c r="I8" s="112"/>
    </row>
    <row r="9" spans="1:11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69">
        <f>90000000-60000000</f>
        <v>30000000</v>
      </c>
      <c r="J9" s="169" t="s">
        <v>1508</v>
      </c>
    </row>
    <row r="10" spans="1:11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69">
        <v>27407940.059999999</v>
      </c>
      <c r="J10" s="169" t="s">
        <v>1509</v>
      </c>
      <c r="K10" s="124"/>
    </row>
    <row r="11" spans="1:11" s="2" customFormat="1" ht="14.25" customHeight="1" x14ac:dyDescent="0.2">
      <c r="A11" s="89">
        <v>45265</v>
      </c>
      <c r="B11" s="9" t="s">
        <v>6</v>
      </c>
      <c r="C11" s="10" t="s">
        <v>7</v>
      </c>
      <c r="D11" s="11"/>
      <c r="F11" s="12">
        <v>26648451.449999999</v>
      </c>
      <c r="G11" s="1"/>
      <c r="H11" s="130" t="s">
        <v>396</v>
      </c>
      <c r="I11" s="169">
        <f>+I9-I10</f>
        <v>2592059.9400000013</v>
      </c>
      <c r="J11" s="169" t="s">
        <v>712</v>
      </c>
      <c r="K11" s="165" t="s">
        <v>1512</v>
      </c>
    </row>
    <row r="12" spans="1:11" s="2" customFormat="1" ht="14.25" customHeight="1" x14ac:dyDescent="0.2">
      <c r="A12" s="89">
        <v>45265</v>
      </c>
      <c r="B12" s="9" t="s">
        <v>11</v>
      </c>
      <c r="C12" s="10" t="s">
        <v>1091</v>
      </c>
      <c r="D12" s="11" t="s">
        <v>29</v>
      </c>
      <c r="F12" s="12">
        <v>22058.33</v>
      </c>
      <c r="G12" s="1"/>
      <c r="H12" s="130"/>
      <c r="I12" s="169"/>
      <c r="J12" s="169"/>
      <c r="K12" s="165"/>
    </row>
    <row r="13" spans="1:11" s="2" customFormat="1" ht="14.25" customHeight="1" x14ac:dyDescent="0.2">
      <c r="A13" s="89">
        <v>45265</v>
      </c>
      <c r="B13" s="9" t="s">
        <v>11</v>
      </c>
      <c r="C13" s="10" t="s">
        <v>132</v>
      </c>
      <c r="D13" s="11" t="s">
        <v>29</v>
      </c>
      <c r="F13" s="12">
        <v>6939</v>
      </c>
      <c r="G13" s="1"/>
      <c r="H13" s="130"/>
      <c r="I13" s="169"/>
      <c r="J13" s="169"/>
      <c r="K13" s="165"/>
    </row>
    <row r="14" spans="1:11" s="2" customFormat="1" ht="14.25" customHeight="1" x14ac:dyDescent="0.2">
      <c r="A14" s="89">
        <v>45265</v>
      </c>
      <c r="B14" s="9" t="s">
        <v>11</v>
      </c>
      <c r="C14" s="10" t="s">
        <v>1836</v>
      </c>
      <c r="D14" s="11" t="s">
        <v>29</v>
      </c>
      <c r="F14" s="12">
        <v>202022</v>
      </c>
      <c r="G14" s="1"/>
      <c r="H14" s="130"/>
      <c r="I14" s="169"/>
      <c r="J14" s="169"/>
      <c r="K14" s="165"/>
    </row>
    <row r="15" spans="1:11" s="2" customFormat="1" ht="14.25" customHeight="1" x14ac:dyDescent="0.2">
      <c r="A15" s="89">
        <v>45265</v>
      </c>
      <c r="B15" s="9" t="s">
        <v>11</v>
      </c>
      <c r="C15" s="10" t="s">
        <v>1643</v>
      </c>
      <c r="D15" s="11" t="s">
        <v>29</v>
      </c>
      <c r="F15" s="12">
        <v>96760</v>
      </c>
      <c r="G15" s="1"/>
      <c r="H15" s="130"/>
      <c r="I15" s="169"/>
      <c r="J15" s="169"/>
      <c r="K15" s="165"/>
    </row>
    <row r="16" spans="1:11" s="2" customFormat="1" ht="14.25" customHeight="1" x14ac:dyDescent="0.2">
      <c r="A16" s="89">
        <v>45265</v>
      </c>
      <c r="B16" s="9" t="s">
        <v>11</v>
      </c>
      <c r="C16" s="10" t="s">
        <v>1790</v>
      </c>
      <c r="D16" s="11" t="s">
        <v>29</v>
      </c>
      <c r="F16" s="12">
        <v>22456</v>
      </c>
      <c r="G16" s="1"/>
      <c r="H16" s="130"/>
      <c r="I16" s="169"/>
      <c r="J16" s="169"/>
      <c r="K16" s="165"/>
    </row>
    <row r="17" spans="1:13" s="2" customFormat="1" ht="14.25" customHeight="1" x14ac:dyDescent="0.2">
      <c r="A17" s="89">
        <v>45265</v>
      </c>
      <c r="B17" s="9" t="s">
        <v>11</v>
      </c>
      <c r="C17" s="10" t="s">
        <v>1795</v>
      </c>
      <c r="D17" s="11" t="s">
        <v>29</v>
      </c>
      <c r="F17" s="12">
        <v>13302</v>
      </c>
      <c r="G17" s="1"/>
      <c r="H17" s="130"/>
      <c r="I17" s="169"/>
      <c r="J17" s="169"/>
      <c r="K17" s="165"/>
    </row>
    <row r="18" spans="1:13" s="2" customFormat="1" ht="14.25" customHeight="1" x14ac:dyDescent="0.2">
      <c r="A18" s="89">
        <v>45265</v>
      </c>
      <c r="B18" s="9" t="s">
        <v>11</v>
      </c>
      <c r="C18" s="10" t="s">
        <v>718</v>
      </c>
      <c r="D18" s="11" t="s">
        <v>29</v>
      </c>
      <c r="F18" s="12">
        <v>5676</v>
      </c>
      <c r="G18" s="1"/>
      <c r="H18" s="130"/>
      <c r="I18" s="169"/>
      <c r="J18" s="169"/>
      <c r="K18" s="165"/>
    </row>
    <row r="19" spans="1:13" s="2" customFormat="1" ht="14.25" customHeight="1" x14ac:dyDescent="0.2">
      <c r="A19" s="89">
        <v>45265</v>
      </c>
      <c r="B19" s="9" t="s">
        <v>11</v>
      </c>
      <c r="C19" s="10" t="s">
        <v>1837</v>
      </c>
      <c r="D19" s="11" t="s">
        <v>29</v>
      </c>
      <c r="F19" s="12">
        <v>3337</v>
      </c>
      <c r="G19" s="1"/>
      <c r="H19" s="130"/>
      <c r="I19" s="169"/>
      <c r="J19" s="169"/>
      <c r="K19" s="165"/>
    </row>
    <row r="20" spans="1:13" s="2" customFormat="1" ht="14.25" customHeight="1" x14ac:dyDescent="0.2">
      <c r="A20" s="89">
        <v>45265</v>
      </c>
      <c r="B20" s="9" t="s">
        <v>11</v>
      </c>
      <c r="C20" s="10" t="s">
        <v>1345</v>
      </c>
      <c r="D20" s="11" t="s">
        <v>29</v>
      </c>
      <c r="F20" s="12">
        <v>29835</v>
      </c>
      <c r="G20" s="1"/>
      <c r="H20" s="130"/>
      <c r="I20" s="169"/>
      <c r="J20" s="169"/>
      <c r="K20" s="165"/>
    </row>
    <row r="21" spans="1:13" s="2" customFormat="1" ht="14.25" customHeight="1" x14ac:dyDescent="0.2">
      <c r="A21" s="89">
        <v>45265</v>
      </c>
      <c r="B21" s="9" t="s">
        <v>11</v>
      </c>
      <c r="C21" s="10" t="s">
        <v>630</v>
      </c>
      <c r="D21" s="11" t="s">
        <v>29</v>
      </c>
      <c r="F21" s="12">
        <v>22500</v>
      </c>
      <c r="G21" s="1"/>
      <c r="H21" s="130"/>
      <c r="I21" s="169"/>
      <c r="J21" s="169"/>
      <c r="K21" s="165"/>
    </row>
    <row r="22" spans="1:13" s="2" customFormat="1" ht="14.25" customHeight="1" x14ac:dyDescent="0.2">
      <c r="A22" s="89">
        <v>45265</v>
      </c>
      <c r="B22" s="9" t="s">
        <v>11</v>
      </c>
      <c r="C22" s="10" t="s">
        <v>196</v>
      </c>
      <c r="D22" s="11" t="s">
        <v>29</v>
      </c>
      <c r="F22" s="12">
        <v>77819</v>
      </c>
      <c r="G22" s="1"/>
      <c r="H22" s="130"/>
      <c r="I22" s="169"/>
      <c r="J22" s="169"/>
      <c r="K22" s="165"/>
    </row>
    <row r="23" spans="1:13" s="2" customFormat="1" ht="14.25" customHeight="1" x14ac:dyDescent="0.2">
      <c r="A23" s="89">
        <v>45265</v>
      </c>
      <c r="B23" s="9" t="s">
        <v>11</v>
      </c>
      <c r="C23" s="10" t="s">
        <v>222</v>
      </c>
      <c r="D23" s="11" t="s">
        <v>29</v>
      </c>
      <c r="F23" s="12">
        <v>2235</v>
      </c>
      <c r="G23" s="1"/>
      <c r="H23" s="130"/>
      <c r="I23" s="169"/>
      <c r="J23" s="169"/>
      <c r="K23" s="165"/>
    </row>
    <row r="24" spans="1:13" s="2" customFormat="1" ht="14.25" customHeight="1" x14ac:dyDescent="0.2">
      <c r="A24" s="89">
        <v>45265</v>
      </c>
      <c r="B24" s="9" t="s">
        <v>11</v>
      </c>
      <c r="C24" s="10" t="s">
        <v>1164</v>
      </c>
      <c r="D24" s="11" t="s">
        <v>29</v>
      </c>
      <c r="F24" s="12">
        <v>39600</v>
      </c>
      <c r="G24" s="1"/>
      <c r="H24" s="130"/>
      <c r="I24" s="169"/>
      <c r="J24" s="169"/>
      <c r="K24" s="165"/>
    </row>
    <row r="25" spans="1:13" s="2" customFormat="1" ht="14.25" customHeight="1" x14ac:dyDescent="0.2">
      <c r="A25" s="89">
        <v>45265</v>
      </c>
      <c r="B25" s="9" t="s">
        <v>11</v>
      </c>
      <c r="C25" s="10" t="s">
        <v>1068</v>
      </c>
      <c r="D25" s="11" t="s">
        <v>29</v>
      </c>
      <c r="F25" s="12">
        <v>45298</v>
      </c>
      <c r="G25" s="1"/>
      <c r="H25" s="130"/>
      <c r="I25" s="169"/>
      <c r="J25" s="169"/>
      <c r="K25" s="165"/>
    </row>
    <row r="26" spans="1:13" s="2" customFormat="1" ht="14.25" customHeight="1" x14ac:dyDescent="0.2">
      <c r="A26" s="89">
        <v>45265</v>
      </c>
      <c r="B26" s="9" t="s">
        <v>11</v>
      </c>
      <c r="C26" s="10" t="s">
        <v>494</v>
      </c>
      <c r="D26" s="11" t="s">
        <v>29</v>
      </c>
      <c r="F26" s="12">
        <v>19728.28</v>
      </c>
      <c r="G26" s="1"/>
      <c r="H26" s="130"/>
      <c r="I26" s="169"/>
      <c r="J26" s="169"/>
      <c r="K26" s="165"/>
    </row>
    <row r="27" spans="1:13" s="2" customFormat="1" ht="14.25" customHeight="1" x14ac:dyDescent="0.2">
      <c r="A27" s="89">
        <v>45265</v>
      </c>
      <c r="B27" s="9" t="s">
        <v>11</v>
      </c>
      <c r="C27" s="10" t="s">
        <v>1315</v>
      </c>
      <c r="D27" s="11" t="s">
        <v>29</v>
      </c>
      <c r="F27" s="12">
        <v>15023</v>
      </c>
      <c r="G27" s="1"/>
      <c r="H27" s="130"/>
      <c r="I27" s="169"/>
      <c r="J27" s="169"/>
      <c r="K27" s="165"/>
    </row>
    <row r="28" spans="1:13" s="2" customFormat="1" ht="14.25" customHeight="1" x14ac:dyDescent="0.2">
      <c r="A28" s="89">
        <v>45265</v>
      </c>
      <c r="B28" s="9" t="s">
        <v>11</v>
      </c>
      <c r="C28" s="10" t="s">
        <v>1642</v>
      </c>
      <c r="D28" s="11" t="s">
        <v>29</v>
      </c>
      <c r="F28" s="12">
        <v>48380</v>
      </c>
      <c r="G28" s="1"/>
      <c r="H28" s="130"/>
      <c r="I28" s="169"/>
      <c r="J28" s="169"/>
      <c r="K28" s="165"/>
    </row>
    <row r="29" spans="1:13" s="2" customFormat="1" ht="14.25" customHeight="1" x14ac:dyDescent="0.2">
      <c r="A29" s="89">
        <v>45265</v>
      </c>
      <c r="B29" s="9" t="s">
        <v>11</v>
      </c>
      <c r="C29" s="10" t="s">
        <v>98</v>
      </c>
      <c r="D29" s="11" t="s">
        <v>29</v>
      </c>
      <c r="F29" s="12">
        <v>5520</v>
      </c>
      <c r="G29" s="1"/>
      <c r="H29" s="130"/>
      <c r="I29" s="169"/>
      <c r="J29" s="169"/>
      <c r="K29" s="165"/>
    </row>
    <row r="30" spans="1:13" s="2" customFormat="1" ht="14.25" customHeight="1" x14ac:dyDescent="0.2">
      <c r="A30" s="89">
        <v>45265</v>
      </c>
      <c r="B30" s="9" t="s">
        <v>11</v>
      </c>
      <c r="C30" s="10" t="s">
        <v>1838</v>
      </c>
      <c r="D30" s="11" t="s">
        <v>29</v>
      </c>
      <c r="F30" s="12">
        <v>27000</v>
      </c>
      <c r="G30" s="1"/>
      <c r="H30" s="130"/>
      <c r="I30" s="169"/>
      <c r="J30" s="169"/>
      <c r="K30" s="165"/>
    </row>
    <row r="31" spans="1:13" s="2" customFormat="1" ht="14.25" customHeight="1" x14ac:dyDescent="0.2">
      <c r="A31" s="89">
        <v>45265</v>
      </c>
      <c r="B31" s="9" t="s">
        <v>11</v>
      </c>
      <c r="C31" s="10" t="s">
        <v>733</v>
      </c>
      <c r="D31" s="11" t="s">
        <v>29</v>
      </c>
      <c r="F31" s="12">
        <v>54000</v>
      </c>
      <c r="G31" s="1"/>
      <c r="H31" s="130"/>
      <c r="I31" s="169"/>
      <c r="J31" s="169"/>
      <c r="K31" s="165"/>
    </row>
    <row r="32" spans="1:13" s="2" customFormat="1" ht="14.25" customHeight="1" x14ac:dyDescent="0.2">
      <c r="D32" s="11" t="s">
        <v>8</v>
      </c>
      <c r="E32" s="16">
        <f>SUM(E12:E31)</f>
        <v>0</v>
      </c>
      <c r="F32" s="16">
        <f>SUM(F11:F31)</f>
        <v>27407940.059999999</v>
      </c>
      <c r="G32" s="1"/>
      <c r="H32" s="143"/>
      <c r="I32" s="130"/>
      <c r="J32" s="143"/>
      <c r="K32" s="143"/>
      <c r="L32" s="143"/>
      <c r="M32" s="143"/>
    </row>
    <row r="33" spans="1:14" s="2" customFormat="1" ht="14.25" customHeight="1" x14ac:dyDescent="0.4">
      <c r="A33" s="17"/>
      <c r="B33" s="18"/>
      <c r="C33" s="96" t="s">
        <v>9</v>
      </c>
      <c r="D33" s="20"/>
      <c r="E33" s="21">
        <f>+F32-E32</f>
        <v>27407940.059999999</v>
      </c>
      <c r="G33" s="1"/>
      <c r="I33" s="112"/>
      <c r="J33" s="153" t="s">
        <v>779</v>
      </c>
    </row>
    <row r="34" spans="1:14" s="2" customFormat="1" ht="14.25" customHeight="1" x14ac:dyDescent="0.2">
      <c r="A34" s="36"/>
      <c r="B34" s="28" t="s">
        <v>66</v>
      </c>
      <c r="C34" s="43" t="s">
        <v>1458</v>
      </c>
      <c r="D34" s="43"/>
      <c r="E34" s="12">
        <f>30000000+60000000</f>
        <v>90000000</v>
      </c>
      <c r="F34" s="22"/>
      <c r="G34" s="1"/>
      <c r="I34" s="40">
        <v>27407940.059999999</v>
      </c>
      <c r="J34" s="154">
        <f>I34-E33</f>
        <v>0</v>
      </c>
    </row>
    <row r="35" spans="1:14" s="2" customFormat="1" ht="14.25" customHeight="1" x14ac:dyDescent="0.25">
      <c r="A35" s="36"/>
      <c r="B35" s="28"/>
      <c r="C35" s="44" t="s">
        <v>1541</v>
      </c>
      <c r="D35" s="43"/>
      <c r="E35" s="7">
        <f>+E33+E34</f>
        <v>117407940.06</v>
      </c>
      <c r="F35" s="22"/>
      <c r="G35" s="1"/>
      <c r="H35" s="13" t="s">
        <v>1582</v>
      </c>
      <c r="I35" s="13" t="s">
        <v>1583</v>
      </c>
    </row>
    <row r="36" spans="1:14" s="2" customFormat="1" ht="14.25" customHeight="1" x14ac:dyDescent="0.25">
      <c r="A36" s="36"/>
      <c r="B36" s="28"/>
      <c r="C36" s="44" t="s">
        <v>1511</v>
      </c>
      <c r="D36" s="43"/>
      <c r="E36" s="38">
        <f>+I11+H7-I7</f>
        <v>2592059.9400000013</v>
      </c>
      <c r="F36" s="22"/>
      <c r="G36" s="1"/>
      <c r="H36" s="2">
        <v>517977</v>
      </c>
      <c r="I36" s="2">
        <v>3340916.95</v>
      </c>
      <c r="J36" s="176">
        <f>H36-I36</f>
        <v>-2822939.95</v>
      </c>
    </row>
    <row r="37" spans="1:14" s="2" customFormat="1" ht="14.25" customHeight="1" x14ac:dyDescent="0.2">
      <c r="A37" s="24"/>
      <c r="B37" s="1"/>
      <c r="C37" s="14"/>
      <c r="D37" s="25"/>
      <c r="G37" s="1"/>
      <c r="I37" s="130"/>
      <c r="J37" s="130"/>
    </row>
    <row r="38" spans="1:14" s="2" customFormat="1" x14ac:dyDescent="0.2">
      <c r="A38" s="214" t="s">
        <v>10</v>
      </c>
      <c r="B38" s="214"/>
      <c r="C38" s="214"/>
      <c r="D38" s="214"/>
      <c r="E38" s="214"/>
      <c r="F38" s="214"/>
      <c r="G38" s="1"/>
      <c r="H38" s="159"/>
      <c r="I38" s="160">
        <f>225000000-75000000-50000000</f>
        <v>100000000</v>
      </c>
      <c r="J38" s="160" t="s">
        <v>1506</v>
      </c>
      <c r="K38" s="70"/>
    </row>
    <row r="39" spans="1:14" s="2" customFormat="1" x14ac:dyDescent="0.2">
      <c r="A39" s="26" t="s">
        <v>1</v>
      </c>
      <c r="B39" s="27" t="s">
        <v>2</v>
      </c>
      <c r="C39" s="5"/>
      <c r="D39" s="6" t="s">
        <v>3</v>
      </c>
      <c r="E39" s="7" t="s">
        <v>4</v>
      </c>
      <c r="F39" s="7" t="s">
        <v>5</v>
      </c>
      <c r="G39" s="1"/>
      <c r="H39" s="159"/>
      <c r="I39" s="160">
        <v>59917065.100000001</v>
      </c>
      <c r="J39" s="160" t="s">
        <v>1507</v>
      </c>
      <c r="K39" s="70" t="s">
        <v>1512</v>
      </c>
    </row>
    <row r="40" spans="1:14" s="2" customFormat="1" x14ac:dyDescent="0.2">
      <c r="A40" s="89">
        <v>45265</v>
      </c>
      <c r="B40" s="128" t="s">
        <v>11</v>
      </c>
      <c r="C40" s="29" t="s">
        <v>7</v>
      </c>
      <c r="D40" s="25"/>
      <c r="E40" s="31"/>
      <c r="F40" s="2">
        <v>64263543.940000027</v>
      </c>
      <c r="G40" s="23"/>
      <c r="H40" s="159" t="s">
        <v>1505</v>
      </c>
      <c r="I40" s="160">
        <f>+I38-I39</f>
        <v>40082934.899999999</v>
      </c>
      <c r="J40" s="160"/>
      <c r="K40" s="70"/>
    </row>
    <row r="41" spans="1:14" s="2" customFormat="1" x14ac:dyDescent="0.2">
      <c r="A41" s="89">
        <v>45265</v>
      </c>
      <c r="B41" s="128" t="s">
        <v>6</v>
      </c>
      <c r="C41" s="10" t="s">
        <v>1815</v>
      </c>
      <c r="D41" s="11" t="s">
        <v>13</v>
      </c>
      <c r="E41" s="86">
        <v>793664</v>
      </c>
      <c r="F41" s="70"/>
      <c r="G41" s="1"/>
      <c r="N41" s="1"/>
    </row>
    <row r="42" spans="1:14" s="2" customFormat="1" x14ac:dyDescent="0.2">
      <c r="A42" s="89">
        <v>45265</v>
      </c>
      <c r="B42" s="128" t="s">
        <v>6</v>
      </c>
      <c r="C42" s="10" t="s">
        <v>794</v>
      </c>
      <c r="D42" s="11" t="s">
        <v>13</v>
      </c>
      <c r="E42" s="86">
        <v>80000</v>
      </c>
      <c r="F42" s="70"/>
      <c r="G42" s="1"/>
      <c r="N42" s="1"/>
    </row>
    <row r="43" spans="1:14" s="2" customFormat="1" x14ac:dyDescent="0.2">
      <c r="A43" s="89">
        <v>45265</v>
      </c>
      <c r="B43" s="128" t="s">
        <v>6</v>
      </c>
      <c r="C43" s="10" t="s">
        <v>149</v>
      </c>
      <c r="D43" s="11" t="s">
        <v>13</v>
      </c>
      <c r="E43" s="86">
        <v>1980</v>
      </c>
      <c r="F43" s="70"/>
      <c r="G43" s="1"/>
      <c r="N43" s="1"/>
    </row>
    <row r="44" spans="1:14" s="2" customFormat="1" x14ac:dyDescent="0.2">
      <c r="A44" s="89">
        <v>45265</v>
      </c>
      <c r="B44" s="128" t="s">
        <v>6</v>
      </c>
      <c r="C44" s="10" t="s">
        <v>180</v>
      </c>
      <c r="D44" s="11" t="s">
        <v>13</v>
      </c>
      <c r="E44" s="86">
        <v>6137</v>
      </c>
      <c r="F44" s="70"/>
      <c r="G44" s="1"/>
      <c r="N44" s="1"/>
    </row>
    <row r="45" spans="1:14" s="2" customFormat="1" x14ac:dyDescent="0.2">
      <c r="A45" s="89">
        <v>45265</v>
      </c>
      <c r="B45" s="128" t="s">
        <v>6</v>
      </c>
      <c r="C45" s="10" t="s">
        <v>1351</v>
      </c>
      <c r="D45" s="11" t="s">
        <v>13</v>
      </c>
      <c r="E45" s="86">
        <v>924051.17</v>
      </c>
      <c r="F45" s="70"/>
      <c r="G45" s="1"/>
      <c r="N45" s="1"/>
    </row>
    <row r="46" spans="1:14" s="2" customFormat="1" x14ac:dyDescent="0.2">
      <c r="A46" s="89">
        <v>45265</v>
      </c>
      <c r="B46" s="128" t="s">
        <v>6</v>
      </c>
      <c r="C46" s="10" t="s">
        <v>955</v>
      </c>
      <c r="D46" s="11" t="s">
        <v>13</v>
      </c>
      <c r="E46" s="86">
        <v>70604.009999999995</v>
      </c>
      <c r="F46" s="70"/>
      <c r="G46" s="1"/>
      <c r="N46" s="1"/>
    </row>
    <row r="47" spans="1:14" s="2" customFormat="1" x14ac:dyDescent="0.2">
      <c r="A47" s="89">
        <v>45265</v>
      </c>
      <c r="B47" s="128" t="s">
        <v>6</v>
      </c>
      <c r="C47" s="10" t="s">
        <v>1471</v>
      </c>
      <c r="D47" s="11" t="s">
        <v>13</v>
      </c>
      <c r="E47" s="86">
        <v>89855</v>
      </c>
      <c r="F47" s="70"/>
      <c r="G47" s="1"/>
      <c r="N47" s="1"/>
    </row>
    <row r="48" spans="1:14" s="2" customFormat="1" x14ac:dyDescent="0.2">
      <c r="A48" s="89">
        <v>45265</v>
      </c>
      <c r="B48" s="128" t="s">
        <v>6</v>
      </c>
      <c r="C48" s="10" t="s">
        <v>746</v>
      </c>
      <c r="D48" s="11" t="s">
        <v>13</v>
      </c>
      <c r="E48" s="86">
        <v>163612</v>
      </c>
      <c r="F48" s="70"/>
      <c r="G48" s="1"/>
      <c r="N48" s="1"/>
    </row>
    <row r="49" spans="1:14" s="2" customFormat="1" x14ac:dyDescent="0.2">
      <c r="A49" s="89">
        <v>45265</v>
      </c>
      <c r="B49" s="128" t="s">
        <v>6</v>
      </c>
      <c r="C49" s="10" t="s">
        <v>326</v>
      </c>
      <c r="D49" s="11" t="s">
        <v>13</v>
      </c>
      <c r="E49" s="86">
        <v>24922</v>
      </c>
      <c r="F49" s="70"/>
      <c r="G49" s="1"/>
      <c r="N49" s="1"/>
    </row>
    <row r="50" spans="1:14" s="2" customFormat="1" x14ac:dyDescent="0.2">
      <c r="A50" s="89">
        <v>45265</v>
      </c>
      <c r="B50" s="128" t="s">
        <v>6</v>
      </c>
      <c r="C50" s="10" t="s">
        <v>385</v>
      </c>
      <c r="D50" s="11" t="s">
        <v>13</v>
      </c>
      <c r="E50" s="86">
        <v>239588</v>
      </c>
      <c r="F50" s="70"/>
      <c r="G50" s="1"/>
      <c r="N50" s="1"/>
    </row>
    <row r="51" spans="1:14" s="2" customFormat="1" x14ac:dyDescent="0.2">
      <c r="A51" s="89">
        <v>45265</v>
      </c>
      <c r="B51" s="128" t="s">
        <v>6</v>
      </c>
      <c r="C51" s="10" t="s">
        <v>421</v>
      </c>
      <c r="D51" s="11" t="s">
        <v>13</v>
      </c>
      <c r="E51" s="86">
        <v>1365765</v>
      </c>
      <c r="F51" s="70"/>
      <c r="G51" s="1"/>
      <c r="N51" s="1"/>
    </row>
    <row r="52" spans="1:14" s="2" customFormat="1" x14ac:dyDescent="0.2">
      <c r="A52" s="89">
        <v>45265</v>
      </c>
      <c r="B52" s="128" t="s">
        <v>6</v>
      </c>
      <c r="C52" s="10" t="s">
        <v>727</v>
      </c>
      <c r="D52" s="11" t="s">
        <v>13</v>
      </c>
      <c r="E52" s="86">
        <v>250000</v>
      </c>
      <c r="F52" s="70"/>
      <c r="G52" s="1"/>
      <c r="N52" s="1"/>
    </row>
    <row r="53" spans="1:14" s="2" customFormat="1" x14ac:dyDescent="0.2">
      <c r="A53" s="89">
        <v>45265</v>
      </c>
      <c r="B53" s="128" t="s">
        <v>6</v>
      </c>
      <c r="C53" s="10" t="s">
        <v>1232</v>
      </c>
      <c r="D53" s="11" t="s">
        <v>13</v>
      </c>
      <c r="E53" s="86">
        <v>86714</v>
      </c>
      <c r="F53" s="70"/>
      <c r="G53" s="1"/>
      <c r="N53" s="1"/>
    </row>
    <row r="54" spans="1:14" s="2" customFormat="1" x14ac:dyDescent="0.2">
      <c r="A54" s="89">
        <v>45265</v>
      </c>
      <c r="B54" s="128" t="s">
        <v>6</v>
      </c>
      <c r="C54" s="10" t="s">
        <v>1331</v>
      </c>
      <c r="D54" s="11" t="s">
        <v>13</v>
      </c>
      <c r="E54" s="86">
        <v>350000</v>
      </c>
      <c r="F54" s="70"/>
      <c r="G54" s="1"/>
      <c r="N54" s="1"/>
    </row>
    <row r="55" spans="1:14" s="2" customFormat="1" x14ac:dyDescent="0.2">
      <c r="A55" s="89">
        <v>45265</v>
      </c>
      <c r="B55" s="128" t="s">
        <v>6</v>
      </c>
      <c r="C55" s="10" t="s">
        <v>179</v>
      </c>
      <c r="D55" s="11" t="s">
        <v>13</v>
      </c>
      <c r="E55" s="86">
        <v>190000</v>
      </c>
      <c r="F55" s="70"/>
      <c r="G55" s="1"/>
      <c r="N55" s="1"/>
    </row>
    <row r="56" spans="1:14" s="2" customFormat="1" x14ac:dyDescent="0.2">
      <c r="A56" s="89">
        <v>45265</v>
      </c>
      <c r="B56" s="128" t="s">
        <v>6</v>
      </c>
      <c r="C56" s="10" t="s">
        <v>1378</v>
      </c>
      <c r="D56" s="11" t="s">
        <v>13</v>
      </c>
      <c r="E56" s="86">
        <v>39900</v>
      </c>
      <c r="F56" s="70"/>
      <c r="G56" s="1"/>
      <c r="N56" s="1"/>
    </row>
    <row r="57" spans="1:14" s="2" customFormat="1" x14ac:dyDescent="0.2">
      <c r="A57" s="89">
        <v>45265</v>
      </c>
      <c r="B57" s="128" t="s">
        <v>6</v>
      </c>
      <c r="C57" s="10" t="s">
        <v>819</v>
      </c>
      <c r="D57" s="11" t="s">
        <v>13</v>
      </c>
      <c r="E57" s="86">
        <v>101229</v>
      </c>
      <c r="F57" s="70"/>
      <c r="G57" s="1"/>
      <c r="N57" s="1"/>
    </row>
    <row r="58" spans="1:14" s="2" customFormat="1" x14ac:dyDescent="0.2">
      <c r="A58" s="89">
        <v>45265</v>
      </c>
      <c r="B58" s="128" t="s">
        <v>6</v>
      </c>
      <c r="C58" s="10" t="s">
        <v>761</v>
      </c>
      <c r="D58" s="11" t="s">
        <v>13</v>
      </c>
      <c r="E58" s="86">
        <v>110973</v>
      </c>
      <c r="F58" s="70"/>
      <c r="G58" s="1"/>
      <c r="N58" s="1"/>
    </row>
    <row r="59" spans="1:14" s="2" customFormat="1" x14ac:dyDescent="0.2">
      <c r="A59" s="89">
        <v>45265</v>
      </c>
      <c r="B59" s="128" t="s">
        <v>11</v>
      </c>
      <c r="C59" s="10" t="s">
        <v>64</v>
      </c>
      <c r="D59" s="11" t="s">
        <v>29</v>
      </c>
      <c r="E59" s="86"/>
      <c r="F59" s="70">
        <v>6836.7300000000005</v>
      </c>
      <c r="G59" s="1"/>
      <c r="N59" s="1"/>
    </row>
    <row r="60" spans="1:14" s="2" customFormat="1" x14ac:dyDescent="0.2">
      <c r="A60" s="89">
        <v>45265</v>
      </c>
      <c r="B60" s="128" t="s">
        <v>11</v>
      </c>
      <c r="C60" s="10" t="s">
        <v>123</v>
      </c>
      <c r="D60" s="11" t="s">
        <v>29</v>
      </c>
      <c r="E60" s="86"/>
      <c r="F60" s="70">
        <v>3048633</v>
      </c>
      <c r="G60" s="1"/>
      <c r="N60" s="1"/>
    </row>
    <row r="61" spans="1:14" s="2" customFormat="1" x14ac:dyDescent="0.2">
      <c r="A61" s="89">
        <v>45265</v>
      </c>
      <c r="B61" s="128" t="s">
        <v>11</v>
      </c>
      <c r="C61" s="10" t="s">
        <v>183</v>
      </c>
      <c r="D61" s="11" t="s">
        <v>29</v>
      </c>
      <c r="E61" s="86"/>
      <c r="F61" s="70">
        <v>20623</v>
      </c>
      <c r="G61" s="1"/>
      <c r="N61" s="1"/>
    </row>
    <row r="62" spans="1:14" s="2" customFormat="1" x14ac:dyDescent="0.2">
      <c r="A62" s="89">
        <v>45265</v>
      </c>
      <c r="B62" s="128" t="s">
        <v>11</v>
      </c>
      <c r="C62" s="10" t="s">
        <v>1839</v>
      </c>
      <c r="D62" s="11" t="s">
        <v>29</v>
      </c>
      <c r="E62" s="86"/>
      <c r="F62" s="70">
        <v>29500</v>
      </c>
      <c r="G62" s="1"/>
      <c r="N62" s="1"/>
    </row>
    <row r="63" spans="1:14" s="2" customFormat="1" x14ac:dyDescent="0.2">
      <c r="A63" s="89">
        <v>45265</v>
      </c>
      <c r="B63" s="128" t="s">
        <v>11</v>
      </c>
      <c r="C63" s="10" t="s">
        <v>1840</v>
      </c>
      <c r="D63" s="11" t="s">
        <v>29</v>
      </c>
      <c r="E63" s="86"/>
      <c r="F63" s="70">
        <v>259862.56</v>
      </c>
      <c r="G63" s="1"/>
      <c r="N63" s="1"/>
    </row>
    <row r="64" spans="1:14" s="2" customFormat="1" x14ac:dyDescent="0.2">
      <c r="A64" s="32"/>
      <c r="B64" s="33"/>
      <c r="C64" s="14"/>
      <c r="D64" s="34"/>
      <c r="E64" s="16">
        <f>SUM(E40:E63)</f>
        <v>4888994.18</v>
      </c>
      <c r="F64" s="16">
        <f>SUM(F40:F63)</f>
        <v>67628999.230000019</v>
      </c>
      <c r="G64" s="1"/>
      <c r="H64" s="1"/>
      <c r="I64" s="38">
        <v>62740005.049999997</v>
      </c>
      <c r="K64" s="92">
        <f>E65-I64</f>
        <v>0</v>
      </c>
      <c r="N64" s="1"/>
    </row>
    <row r="65" spans="1:14" s="2" customFormat="1" x14ac:dyDescent="0.2">
      <c r="A65" s="36"/>
      <c r="B65" s="28" t="s">
        <v>11</v>
      </c>
      <c r="C65" s="19" t="s">
        <v>65</v>
      </c>
      <c r="D65" s="37"/>
      <c r="E65" s="38">
        <f>F64-E64</f>
        <v>62740005.050000019</v>
      </c>
      <c r="F65" s="22"/>
      <c r="G65" s="1"/>
      <c r="H65" s="1"/>
      <c r="I65" s="70"/>
      <c r="J65" s="70"/>
      <c r="K65" s="70"/>
      <c r="N65" s="1"/>
    </row>
    <row r="66" spans="1:14" s="2" customFormat="1" x14ac:dyDescent="0.2">
      <c r="A66" s="36"/>
      <c r="B66" s="28" t="s">
        <v>66</v>
      </c>
      <c r="C66" s="19" t="s">
        <v>67</v>
      </c>
      <c r="D66" s="37"/>
      <c r="E66" s="38">
        <v>6500000</v>
      </c>
      <c r="F66" s="22"/>
      <c r="G66" s="1"/>
      <c r="H66" s="70"/>
      <c r="I66" s="70"/>
      <c r="J66" s="70"/>
      <c r="K66" s="70"/>
      <c r="N66" s="1"/>
    </row>
    <row r="67" spans="1:14" s="2" customFormat="1" x14ac:dyDescent="0.2">
      <c r="A67" s="36"/>
      <c r="B67" s="28" t="s">
        <v>66</v>
      </c>
      <c r="C67" s="43" t="s">
        <v>1457</v>
      </c>
      <c r="D67" s="43"/>
      <c r="E67" s="12">
        <f>275000000+75000000+50000000</f>
        <v>400000000</v>
      </c>
      <c r="F67" s="22"/>
      <c r="G67" s="1"/>
      <c r="H67" s="70"/>
      <c r="I67" s="45">
        <v>250.12</v>
      </c>
      <c r="J67" s="46"/>
      <c r="K67" s="46"/>
      <c r="N67" s="1"/>
    </row>
    <row r="68" spans="1:14" s="2" customFormat="1" ht="15" x14ac:dyDescent="0.25">
      <c r="A68" s="36"/>
      <c r="B68" s="28"/>
      <c r="C68" s="44" t="s">
        <v>1541</v>
      </c>
      <c r="D68" s="43"/>
      <c r="E68" s="7">
        <f>+E67+E65+E66</f>
        <v>469240005.05000001</v>
      </c>
      <c r="F68" s="22"/>
      <c r="G68" s="1"/>
      <c r="H68" s="103" t="s">
        <v>69</v>
      </c>
      <c r="I68" s="45">
        <v>-57.16</v>
      </c>
      <c r="J68" s="46"/>
      <c r="K68" s="46"/>
      <c r="N68" s="1"/>
    </row>
    <row r="69" spans="1:14" s="2" customFormat="1" ht="15" x14ac:dyDescent="0.25">
      <c r="A69" s="24"/>
      <c r="B69" s="1"/>
      <c r="C69" s="44" t="s">
        <v>1510</v>
      </c>
      <c r="D69" s="25"/>
      <c r="E69" s="156">
        <f>+I40-E66+H36-I36</f>
        <v>30759994.949999999</v>
      </c>
      <c r="G69" s="1"/>
      <c r="H69" s="35" t="s">
        <v>70</v>
      </c>
      <c r="I69" s="45">
        <v>57.16</v>
      </c>
      <c r="J69" s="46">
        <f>+I70-D72</f>
        <v>0</v>
      </c>
      <c r="N69" s="1"/>
    </row>
    <row r="70" spans="1:14" s="124" customFormat="1" ht="12.75" customHeight="1" x14ac:dyDescent="0.2">
      <c r="A70" s="24"/>
      <c r="B70" s="1"/>
      <c r="C70" s="56"/>
      <c r="D70" s="56"/>
      <c r="E70" s="104"/>
      <c r="F70" s="2"/>
      <c r="G70" s="166"/>
      <c r="H70" s="70"/>
      <c r="I70" s="49">
        <f>SUM(I67:I69)</f>
        <v>250.12</v>
      </c>
      <c r="J70" s="46"/>
      <c r="K70" s="46"/>
    </row>
    <row r="71" spans="1:14" s="124" customFormat="1" ht="12.75" customHeight="1" x14ac:dyDescent="0.2">
      <c r="A71" s="24"/>
      <c r="B71" s="1"/>
      <c r="C71" s="78" t="s">
        <v>575</v>
      </c>
      <c r="D71" s="48" t="s">
        <v>576</v>
      </c>
      <c r="E71" s="104"/>
      <c r="F71" s="2"/>
      <c r="G71" s="168"/>
      <c r="H71" s="167"/>
      <c r="I71" s="167"/>
      <c r="J71" s="168"/>
    </row>
    <row r="72" spans="1:14" s="124" customFormat="1" ht="12.75" customHeight="1" x14ac:dyDescent="0.2">
      <c r="A72" s="24"/>
      <c r="B72" s="1"/>
      <c r="C72" s="47" t="s">
        <v>570</v>
      </c>
      <c r="D72" s="111">
        <v>250.12</v>
      </c>
      <c r="E72" s="104"/>
      <c r="F72" s="2"/>
      <c r="G72" s="168"/>
      <c r="H72" s="110" t="s">
        <v>581</v>
      </c>
      <c r="I72" s="167"/>
      <c r="J72" s="168"/>
    </row>
    <row r="73" spans="1:14" s="124" customFormat="1" ht="12.75" customHeight="1" x14ac:dyDescent="0.2">
      <c r="A73" s="24"/>
      <c r="B73" s="1"/>
      <c r="C73" s="47" t="s">
        <v>931</v>
      </c>
      <c r="D73" s="111">
        <v>80.44</v>
      </c>
      <c r="E73" s="104"/>
      <c r="F73" s="2"/>
      <c r="G73" s="168"/>
      <c r="H73" s="110" t="s">
        <v>580</v>
      </c>
      <c r="I73" s="167"/>
      <c r="J73" s="168"/>
    </row>
    <row r="74" spans="1:14" s="124" customFormat="1" ht="12.75" customHeight="1" x14ac:dyDescent="0.2">
      <c r="A74" s="24"/>
      <c r="B74" s="1"/>
      <c r="C74" s="47" t="s">
        <v>572</v>
      </c>
      <c r="D74" s="111">
        <f>+D90/100000</f>
        <v>137.56944999999999</v>
      </c>
      <c r="E74" s="104"/>
      <c r="F74" s="2"/>
      <c r="G74" s="166"/>
      <c r="H74" s="90" t="s">
        <v>587</v>
      </c>
      <c r="I74" s="167"/>
      <c r="J74" s="168"/>
    </row>
    <row r="75" spans="1:14" s="2" customFormat="1" x14ac:dyDescent="0.2">
      <c r="A75" s="24"/>
      <c r="B75" s="1"/>
      <c r="C75" s="108" t="s">
        <v>578</v>
      </c>
      <c r="D75" s="48">
        <f>SUM(D72:D74)</f>
        <v>468.12945000000002</v>
      </c>
      <c r="E75" s="104"/>
      <c r="G75" s="30"/>
      <c r="I75" s="13"/>
      <c r="J75" s="13"/>
    </row>
    <row r="76" spans="1:14" s="70" customFormat="1" x14ac:dyDescent="0.2">
      <c r="A76" s="24"/>
      <c r="B76" s="1"/>
      <c r="C76" s="47"/>
      <c r="D76" s="107"/>
      <c r="E76" s="104"/>
      <c r="F76" s="2"/>
      <c r="G76" s="30"/>
      <c r="H76" s="2"/>
    </row>
    <row r="77" spans="1:14" s="70" customFormat="1" x14ac:dyDescent="0.2">
      <c r="A77" s="24"/>
      <c r="B77" s="1"/>
      <c r="C77" s="47" t="s">
        <v>932</v>
      </c>
      <c r="D77" s="111">
        <v>0</v>
      </c>
      <c r="E77" s="104"/>
      <c r="F77" s="2"/>
      <c r="G77" s="30"/>
      <c r="H77" s="110" t="s">
        <v>581</v>
      </c>
    </row>
    <row r="78" spans="1:14" s="70" customFormat="1" x14ac:dyDescent="0.2">
      <c r="A78" s="24"/>
      <c r="B78" s="1"/>
      <c r="C78" s="136" t="s">
        <v>1142</v>
      </c>
      <c r="D78" s="111">
        <v>287.02999999999997</v>
      </c>
      <c r="E78" s="104"/>
      <c r="F78" s="2"/>
      <c r="G78" s="30"/>
      <c r="H78" s="110" t="s">
        <v>581</v>
      </c>
    </row>
    <row r="79" spans="1:14" s="70" customFormat="1" x14ac:dyDescent="0.2">
      <c r="A79" s="24"/>
      <c r="B79" s="1"/>
      <c r="C79" s="78" t="s">
        <v>579</v>
      </c>
      <c r="D79" s="109">
        <f>D77+D78</f>
        <v>287.02999999999997</v>
      </c>
      <c r="E79" s="104"/>
      <c r="F79" s="2"/>
      <c r="G79" s="30"/>
    </row>
    <row r="80" spans="1:14" s="70" customFormat="1" x14ac:dyDescent="0.2">
      <c r="A80" s="24"/>
      <c r="B80" s="1"/>
      <c r="C80" s="105"/>
      <c r="D80" s="106"/>
      <c r="E80" s="104"/>
      <c r="F80" s="2"/>
      <c r="G80" s="30"/>
      <c r="I80" s="2"/>
      <c r="J80" s="114" t="s">
        <v>713</v>
      </c>
      <c r="K80" s="2"/>
      <c r="L80" s="2"/>
      <c r="M80" s="2"/>
    </row>
    <row r="81" spans="1:14" s="70" customFormat="1" x14ac:dyDescent="0.2">
      <c r="A81" s="24"/>
      <c r="B81" s="1"/>
      <c r="C81" s="78" t="s">
        <v>577</v>
      </c>
      <c r="D81" s="109">
        <f>D72+D79</f>
        <v>537.15</v>
      </c>
      <c r="E81" s="104"/>
      <c r="F81" s="2"/>
      <c r="G81" s="30"/>
      <c r="I81" s="113"/>
      <c r="J81" s="113" t="s">
        <v>709</v>
      </c>
      <c r="K81" s="113" t="s">
        <v>710</v>
      </c>
      <c r="L81" s="113" t="s">
        <v>711</v>
      </c>
      <c r="M81" s="113" t="s">
        <v>712</v>
      </c>
    </row>
    <row r="82" spans="1:14" s="70" customFormat="1" x14ac:dyDescent="0.2">
      <c r="A82" s="24"/>
      <c r="B82" s="1"/>
      <c r="C82" s="56"/>
      <c r="D82" s="56"/>
      <c r="E82" s="104"/>
      <c r="F82" s="2"/>
      <c r="G82" s="30"/>
      <c r="I82" s="113" t="s">
        <v>706</v>
      </c>
      <c r="J82" s="115"/>
      <c r="K82" s="115">
        <v>968.99</v>
      </c>
      <c r="L82" s="115">
        <v>968.99</v>
      </c>
      <c r="M82" s="113">
        <f>+J82+L82-K82</f>
        <v>0</v>
      </c>
    </row>
    <row r="83" spans="1:14" s="70" customFormat="1" ht="38.25" x14ac:dyDescent="0.2">
      <c r="A83" s="24"/>
      <c r="B83" s="1"/>
      <c r="C83" s="79" t="str">
        <f>"Particulars ( 01-04-2021 to "&amp;TEXT(A5,"dd-mm-yyyy")&amp;" )"</f>
        <v>Particulars ( 01-04-2021 to 05-12-2023 )</v>
      </c>
      <c r="D83" s="80" t="s">
        <v>73</v>
      </c>
      <c r="E83" s="80" t="s">
        <v>74</v>
      </c>
      <c r="F83" s="81" t="s">
        <v>75</v>
      </c>
      <c r="G83" s="80" t="s">
        <v>76</v>
      </c>
      <c r="I83" s="113" t="s">
        <v>707</v>
      </c>
      <c r="J83" s="115">
        <v>183.1</v>
      </c>
      <c r="K83" s="115">
        <v>4171.6400000000003</v>
      </c>
      <c r="L83" s="115">
        <v>4269.2</v>
      </c>
      <c r="M83" s="113">
        <f>+J83+L83-K83</f>
        <v>280.65999999999985</v>
      </c>
    </row>
    <row r="84" spans="1:14" s="70" customFormat="1" x14ac:dyDescent="0.2">
      <c r="A84" s="24"/>
      <c r="B84" s="1"/>
      <c r="C84" s="50" t="s">
        <v>444</v>
      </c>
      <c r="D84" s="55">
        <f>+L82+L83+J83</f>
        <v>5421.29</v>
      </c>
      <c r="E84" s="55">
        <f>+K82+K83</f>
        <v>5140.63</v>
      </c>
      <c r="F84" s="55">
        <f>+D84-E84</f>
        <v>280.65999999999985</v>
      </c>
      <c r="G84" s="55">
        <f>1500-F84</f>
        <v>1219.3400000000001</v>
      </c>
      <c r="I84" s="113" t="s">
        <v>708</v>
      </c>
      <c r="J84" s="115">
        <v>1371.02</v>
      </c>
      <c r="K84" s="115">
        <v>15408.36</v>
      </c>
      <c r="L84" s="115">
        <v>15705.4</v>
      </c>
      <c r="M84" s="113">
        <f>+J84+L84-K84</f>
        <v>1668.0599999999977</v>
      </c>
    </row>
    <row r="85" spans="1:14" s="70" customFormat="1" ht="12.75" customHeight="1" x14ac:dyDescent="0.2">
      <c r="A85" s="24"/>
      <c r="B85" s="1"/>
      <c r="C85" s="50" t="s">
        <v>71</v>
      </c>
      <c r="D85" s="55">
        <f>+J84+L84</f>
        <v>17076.419999999998</v>
      </c>
      <c r="E85" s="55">
        <f>+K84</f>
        <v>15408.36</v>
      </c>
      <c r="F85" s="55">
        <f>+D85-E85</f>
        <v>1668.0599999999977</v>
      </c>
      <c r="G85" s="55">
        <f>1500+700-F85</f>
        <v>531.94000000000233</v>
      </c>
      <c r="I85" s="2"/>
      <c r="J85" s="118">
        <f>SUM(J82:J84)</f>
        <v>1554.12</v>
      </c>
      <c r="K85" s="118">
        <f>SUM(K82:K84)</f>
        <v>20548.990000000002</v>
      </c>
      <c r="L85" s="118">
        <f>SUM(L82:L84)</f>
        <v>20943.59</v>
      </c>
      <c r="M85" s="118">
        <f>SUM(M82:M84)</f>
        <v>1948.7199999999975</v>
      </c>
    </row>
    <row r="86" spans="1:14" s="70" customFormat="1" ht="12.75" customHeight="1" x14ac:dyDescent="0.2">
      <c r="A86" s="24"/>
      <c r="B86" s="1"/>
      <c r="C86" s="14"/>
      <c r="D86" s="56"/>
      <c r="E86" s="13"/>
      <c r="F86" s="2"/>
      <c r="G86" s="30"/>
    </row>
    <row r="87" spans="1:14" s="70" customFormat="1" ht="12.75" customHeight="1" x14ac:dyDescent="0.2">
      <c r="A87" s="215" t="s">
        <v>80</v>
      </c>
      <c r="B87" s="216"/>
      <c r="C87" s="216"/>
      <c r="D87" s="217"/>
      <c r="E87" s="69"/>
      <c r="G87" s="30"/>
    </row>
    <row r="88" spans="1:14" s="70" customFormat="1" ht="12.75" customHeight="1" x14ac:dyDescent="0.2">
      <c r="A88" s="71" t="s">
        <v>81</v>
      </c>
      <c r="B88" s="71"/>
      <c r="C88" s="72" t="s">
        <v>82</v>
      </c>
      <c r="D88" s="73" t="s">
        <v>83</v>
      </c>
      <c r="E88" s="69"/>
      <c r="G88" s="30"/>
    </row>
    <row r="89" spans="1:14" s="70" customFormat="1" ht="12.75" customHeight="1" x14ac:dyDescent="0.2">
      <c r="A89" s="87">
        <v>45264</v>
      </c>
      <c r="B89" s="120" t="s">
        <v>6</v>
      </c>
      <c r="C89" s="75" t="s">
        <v>909</v>
      </c>
      <c r="D89" s="88">
        <v>13756945</v>
      </c>
      <c r="E89" s="2"/>
      <c r="F89" s="2"/>
      <c r="G89" s="30"/>
      <c r="H89" s="2"/>
      <c r="I89" s="2"/>
      <c r="J89" s="2"/>
      <c r="K89" s="2"/>
      <c r="L89" s="41"/>
      <c r="M89" s="42"/>
      <c r="N89" s="2"/>
    </row>
    <row r="90" spans="1:14" s="2" customFormat="1" x14ac:dyDescent="0.2">
      <c r="A90" s="87"/>
      <c r="B90" s="74"/>
      <c r="C90" s="75"/>
      <c r="D90" s="51">
        <f>SUM(D89:D89)</f>
        <v>13756945</v>
      </c>
      <c r="F90" s="2" t="s">
        <v>396</v>
      </c>
      <c r="G90" s="1"/>
    </row>
    <row r="91" spans="1:14" s="2" customFormat="1" x14ac:dyDescent="0.2">
      <c r="A91" s="24"/>
      <c r="B91" s="1"/>
      <c r="C91" s="14"/>
      <c r="D91" s="56"/>
      <c r="E91" s="13"/>
      <c r="G91" s="1"/>
    </row>
    <row r="92" spans="1:14" s="2" customFormat="1" x14ac:dyDescent="0.2">
      <c r="A92" s="24"/>
      <c r="B92" s="1"/>
      <c r="C92" s="218" t="s">
        <v>77</v>
      </c>
      <c r="D92" s="219"/>
      <c r="E92" s="219"/>
      <c r="F92" s="220"/>
      <c r="H92" s="2" t="s">
        <v>396</v>
      </c>
    </row>
    <row r="93" spans="1:14" s="2" customFormat="1" x14ac:dyDescent="0.2">
      <c r="A93" s="24"/>
      <c r="B93" s="1"/>
      <c r="C93" s="50"/>
      <c r="D93" s="57" t="s">
        <v>78</v>
      </c>
      <c r="E93" s="58" t="s">
        <v>79</v>
      </c>
      <c r="F93" s="57" t="s">
        <v>72</v>
      </c>
      <c r="H93" s="2" t="s">
        <v>396</v>
      </c>
    </row>
    <row r="94" spans="1:14" s="2" customFormat="1" x14ac:dyDescent="0.2">
      <c r="A94" s="24"/>
      <c r="B94" s="1"/>
      <c r="C94" s="59" t="str">
        <f>"01-12-2023 to "&amp;TEXT(A5-2,"dd-mm-yyyy")</f>
        <v>01-12-2023 to 03-12-2023</v>
      </c>
      <c r="D94" s="60">
        <v>190.27</v>
      </c>
      <c r="E94" s="60">
        <v>44.58</v>
      </c>
      <c r="F94" s="61">
        <f>SUM(D94:E94)</f>
        <v>234.85000000000002</v>
      </c>
    </row>
    <row r="95" spans="1:14" s="2" customFormat="1" x14ac:dyDescent="0.2">
      <c r="A95" s="24"/>
      <c r="B95" s="1"/>
      <c r="C95" s="62" t="str">
        <f>TEXT(A5-1,"dd-mm-yyyy")</f>
        <v>04-12-2023</v>
      </c>
      <c r="D95" s="60">
        <v>47.1</v>
      </c>
      <c r="E95" s="60">
        <v>19.13</v>
      </c>
      <c r="F95" s="61">
        <f>SUM(D95:E95)</f>
        <v>66.23</v>
      </c>
      <c r="G95" s="1"/>
      <c r="H95" s="53"/>
    </row>
    <row r="96" spans="1:14" s="2" customFormat="1" ht="13.5" thickBot="1" x14ac:dyDescent="0.25">
      <c r="A96" s="24"/>
      <c r="B96" s="1"/>
      <c r="C96" s="63" t="str">
        <f>"01-12-2023 to "&amp;TEXT(A5-1,"dd-mm-yyyy")</f>
        <v>01-12-2023 to 04-12-2023</v>
      </c>
      <c r="D96" s="64">
        <f>SUM(D94:D95)</f>
        <v>237.37</v>
      </c>
      <c r="E96" s="64">
        <f>SUM(E94:E95)</f>
        <v>63.709999999999994</v>
      </c>
      <c r="F96" s="64">
        <f>SUM(F94:F95)</f>
        <v>301.08000000000004</v>
      </c>
      <c r="G96" s="1"/>
      <c r="H96" s="53"/>
    </row>
    <row r="97" spans="1:13" s="2" customFormat="1" ht="13.5" thickTop="1" x14ac:dyDescent="0.2">
      <c r="A97" s="24"/>
      <c r="B97" s="1"/>
      <c r="C97" s="62"/>
      <c r="D97" s="65"/>
      <c r="E97" s="66"/>
      <c r="F97" s="67"/>
      <c r="L97" s="1"/>
      <c r="M97" s="1"/>
    </row>
    <row r="98" spans="1:13" s="2" customFormat="1" x14ac:dyDescent="0.2">
      <c r="A98" s="24"/>
      <c r="B98" s="1"/>
      <c r="C98" s="62" t="str">
        <f>"01-04-2023 to " &amp;C95</f>
        <v>01-04-2023 to 04-12-2023</v>
      </c>
      <c r="D98" s="68">
        <f>+D96+32234.22</f>
        <v>32471.59</v>
      </c>
      <c r="E98" s="68">
        <f>+E96+3134.59</f>
        <v>3198.3</v>
      </c>
      <c r="F98" s="68">
        <f>+F96+35368.81</f>
        <v>35669.89</v>
      </c>
      <c r="G98" s="1"/>
      <c r="L98" s="1"/>
      <c r="M98" s="1"/>
    </row>
    <row r="99" spans="1:13" s="2" customFormat="1" x14ac:dyDescent="0.2">
      <c r="A99" s="24"/>
      <c r="B99" s="1"/>
      <c r="C99" s="52"/>
      <c r="D99" s="85"/>
      <c r="E99" s="53"/>
      <c r="F99" s="53"/>
      <c r="G99" s="1"/>
      <c r="L99" s="1"/>
      <c r="M99" s="1"/>
    </row>
    <row r="100" spans="1:13" s="2" customFormat="1" x14ac:dyDescent="0.2">
      <c r="A100" s="24"/>
      <c r="B100" s="1"/>
      <c r="C100" s="52"/>
      <c r="D100" s="85"/>
      <c r="E100" s="53"/>
      <c r="F100" s="53"/>
      <c r="G100" s="1"/>
      <c r="L100" s="1"/>
      <c r="M100" s="1"/>
    </row>
    <row r="101" spans="1:13" s="2" customFormat="1" x14ac:dyDescent="0.2">
      <c r="A101" s="24"/>
      <c r="B101" s="1"/>
      <c r="C101" s="52"/>
      <c r="D101" s="85"/>
      <c r="E101" s="53"/>
      <c r="F101" s="53"/>
      <c r="G101" s="1"/>
      <c r="L101" s="1"/>
      <c r="M101" s="1"/>
    </row>
    <row r="102" spans="1:13" s="2" customFormat="1" x14ac:dyDescent="0.2">
      <c r="A102" s="24"/>
      <c r="B102" s="1"/>
      <c r="C102" s="52"/>
      <c r="D102" s="85"/>
      <c r="E102" s="53"/>
      <c r="F102" s="53"/>
      <c r="G102" s="1"/>
      <c r="L102" s="1"/>
      <c r="M102" s="1"/>
    </row>
    <row r="103" spans="1:13" s="2" customFormat="1" x14ac:dyDescent="0.2">
      <c r="A103" s="24"/>
      <c r="B103" s="1"/>
      <c r="C103" s="14"/>
      <c r="D103" s="25">
        <f>SUM(D100:D102)</f>
        <v>0</v>
      </c>
      <c r="E103" s="2">
        <f>SUM(E100:E102)</f>
        <v>0</v>
      </c>
      <c r="G103" s="1"/>
      <c r="L103" s="1"/>
      <c r="M103" s="1"/>
    </row>
    <row r="104" spans="1:13" s="2" customFormat="1" x14ac:dyDescent="0.2">
      <c r="A104" s="24"/>
      <c r="B104" s="1"/>
      <c r="C104" s="14"/>
      <c r="D104" s="25"/>
      <c r="G104" s="1"/>
      <c r="L104" s="1"/>
      <c r="M104" s="1"/>
    </row>
    <row r="105" spans="1:13" s="2" customFormat="1" x14ac:dyDescent="0.2">
      <c r="A105" s="24"/>
      <c r="B105" s="1"/>
      <c r="C105" s="14"/>
      <c r="D105" s="25"/>
      <c r="G105" s="1"/>
      <c r="L105" s="1"/>
      <c r="M105" s="1"/>
    </row>
    <row r="106" spans="1:13" s="2" customFormat="1" x14ac:dyDescent="0.2">
      <c r="A106" s="24"/>
      <c r="B106" s="1"/>
      <c r="C106" s="14"/>
      <c r="D106" s="25"/>
      <c r="G106" s="1"/>
      <c r="L106" s="1"/>
      <c r="M106" s="1"/>
    </row>
    <row r="107" spans="1:13" s="2" customFormat="1" x14ac:dyDescent="0.2">
      <c r="A107" s="24"/>
      <c r="B107" s="1"/>
      <c r="C107" s="14"/>
      <c r="D107" s="25"/>
      <c r="G107" s="1"/>
      <c r="L107" s="1"/>
      <c r="M107" s="1"/>
    </row>
    <row r="108" spans="1:13" s="2" customFormat="1" x14ac:dyDescent="0.2">
      <c r="A108" s="24"/>
      <c r="B108" s="1"/>
      <c r="C108" s="14"/>
      <c r="D108" s="25"/>
      <c r="G108" s="1"/>
      <c r="L108" s="1"/>
      <c r="M108" s="1"/>
    </row>
    <row r="109" spans="1:13" s="2" customFormat="1" x14ac:dyDescent="0.2">
      <c r="A109" s="24"/>
      <c r="B109" s="1"/>
      <c r="C109" s="14"/>
      <c r="D109" s="25"/>
      <c r="G109" s="1"/>
      <c r="L109" s="1"/>
      <c r="M109" s="1"/>
    </row>
    <row r="110" spans="1:13" s="2" customFormat="1" x14ac:dyDescent="0.2">
      <c r="A110" s="24"/>
      <c r="B110" s="1"/>
      <c r="C110" s="14"/>
      <c r="D110" s="25"/>
      <c r="G110" s="1"/>
      <c r="L110" s="1"/>
      <c r="M110" s="1"/>
    </row>
    <row r="111" spans="1:13" s="2" customFormat="1" x14ac:dyDescent="0.2">
      <c r="A111" s="24"/>
      <c r="B111" s="1"/>
      <c r="C111" s="14"/>
      <c r="D111" s="25"/>
      <c r="G111" s="1"/>
      <c r="L111" s="1"/>
      <c r="M111" s="1"/>
    </row>
    <row r="112" spans="1:13" s="2" customFormat="1" x14ac:dyDescent="0.2">
      <c r="A112" s="24"/>
      <c r="B112" s="1"/>
      <c r="C112" s="14"/>
      <c r="D112" s="25"/>
      <c r="G112" s="1"/>
      <c r="L112" s="1"/>
      <c r="M112" s="1"/>
    </row>
    <row r="113" spans="1:14" s="2" customFormat="1" x14ac:dyDescent="0.2">
      <c r="A113" s="24"/>
      <c r="B113" s="1"/>
      <c r="C113" s="14"/>
      <c r="D113" s="25"/>
      <c r="G113" s="1"/>
      <c r="L113" s="1"/>
      <c r="M113" s="1"/>
    </row>
    <row r="114" spans="1:14" s="2" customFormat="1" x14ac:dyDescent="0.2">
      <c r="A114" s="24"/>
      <c r="B114" s="1"/>
      <c r="C114" s="14"/>
      <c r="D114" s="25"/>
      <c r="G114" s="1"/>
      <c r="L114" s="1"/>
      <c r="M114" s="1"/>
    </row>
    <row r="115" spans="1:14" s="2" customFormat="1" x14ac:dyDescent="0.2">
      <c r="A115" s="24"/>
      <c r="B115" s="1"/>
      <c r="C115" s="14"/>
      <c r="D115" s="25"/>
      <c r="G115" s="1"/>
      <c r="L115" s="1"/>
      <c r="M115" s="1"/>
    </row>
    <row r="116" spans="1:14" s="2" customFormat="1" x14ac:dyDescent="0.2">
      <c r="A116" s="24"/>
      <c r="B116" s="1"/>
      <c r="C116" s="14"/>
      <c r="D116" s="25"/>
      <c r="G116" s="1"/>
      <c r="L116" s="1"/>
      <c r="M116" s="1"/>
    </row>
    <row r="117" spans="1:14" s="2" customFormat="1" x14ac:dyDescent="0.2">
      <c r="A117" s="24"/>
      <c r="B117" s="1"/>
      <c r="C117" s="14"/>
      <c r="D117" s="25"/>
      <c r="G117" s="1"/>
      <c r="I117" s="1"/>
      <c r="J117" s="1"/>
      <c r="K117" s="1"/>
      <c r="L117" s="1"/>
      <c r="M117" s="1"/>
    </row>
    <row r="118" spans="1:14" s="2" customFormat="1" x14ac:dyDescent="0.2">
      <c r="A118" s="24"/>
      <c r="B118" s="1"/>
      <c r="C118" s="14"/>
      <c r="D118" s="25"/>
      <c r="G118" s="1"/>
    </row>
    <row r="119" spans="1:14" s="2" customFormat="1" x14ac:dyDescent="0.2">
      <c r="A119" s="24"/>
      <c r="B119" s="1"/>
      <c r="C119" s="14"/>
      <c r="D119" s="25"/>
      <c r="G119" s="1"/>
      <c r="I119" s="1"/>
      <c r="J119" s="1"/>
      <c r="K119" s="1"/>
      <c r="L119" s="1"/>
      <c r="M119" s="1"/>
    </row>
    <row r="120" spans="1:14" s="2" customFormat="1" x14ac:dyDescent="0.2">
      <c r="A120" s="24"/>
      <c r="B120" s="1"/>
      <c r="C120" s="14"/>
      <c r="D120" s="25"/>
      <c r="G120" s="54"/>
      <c r="I120" s="1"/>
      <c r="J120" s="1"/>
      <c r="K120" s="1"/>
      <c r="L120" s="1"/>
      <c r="M120" s="1"/>
    </row>
    <row r="121" spans="1:14" s="2" customFormat="1" x14ac:dyDescent="0.2">
      <c r="A121" s="24"/>
      <c r="B121" s="1"/>
      <c r="C121" s="14"/>
      <c r="D121" s="25"/>
      <c r="G121" s="54"/>
      <c r="I121" s="1"/>
      <c r="J121" s="1"/>
      <c r="K121" s="1"/>
      <c r="L121" s="1"/>
      <c r="M121" s="1"/>
    </row>
    <row r="122" spans="1:14" s="2" customFormat="1" x14ac:dyDescent="0.2">
      <c r="A122" s="24"/>
      <c r="B122" s="1"/>
      <c r="C122" s="14"/>
      <c r="D122" s="25"/>
      <c r="G122" s="54"/>
      <c r="I122" s="1"/>
      <c r="J122" s="1"/>
      <c r="K122" s="1"/>
      <c r="L122" s="1"/>
      <c r="M122" s="1"/>
    </row>
    <row r="123" spans="1:14" s="2" customFormat="1" x14ac:dyDescent="0.2">
      <c r="A123" s="24"/>
      <c r="B123" s="1"/>
      <c r="C123" s="14"/>
      <c r="D123" s="25"/>
      <c r="G123" s="54"/>
      <c r="H123" s="2" t="s">
        <v>396</v>
      </c>
      <c r="I123" s="1"/>
      <c r="J123" s="1"/>
      <c r="K123" s="1"/>
      <c r="L123" s="1"/>
      <c r="M123" s="1"/>
      <c r="N123" s="1"/>
    </row>
    <row r="124" spans="1:14" s="2" customFormat="1" x14ac:dyDescent="0.2">
      <c r="A124" s="24"/>
      <c r="B124" s="1"/>
      <c r="C124" s="14"/>
      <c r="D124" s="25"/>
      <c r="G124" s="54"/>
      <c r="H124" s="53"/>
    </row>
    <row r="125" spans="1:14" s="2" customFormat="1" x14ac:dyDescent="0.2">
      <c r="A125" s="24"/>
      <c r="B125" s="1"/>
      <c r="C125" s="14"/>
      <c r="D125" s="25"/>
      <c r="G125" s="54"/>
      <c r="H125" s="53" t="s">
        <v>396</v>
      </c>
      <c r="I125" s="1"/>
      <c r="J125" s="1"/>
      <c r="K125" s="1"/>
      <c r="L125" s="1"/>
      <c r="M125" s="1"/>
      <c r="N125" s="1"/>
    </row>
    <row r="126" spans="1:14" x14ac:dyDescent="0.2">
      <c r="G126" s="54"/>
      <c r="H126" s="53" t="s">
        <v>396</v>
      </c>
      <c r="J126" s="42"/>
    </row>
    <row r="127" spans="1:14" s="2" customFormat="1" x14ac:dyDescent="0.2">
      <c r="A127" s="24"/>
      <c r="B127" s="1"/>
      <c r="C127" s="14"/>
      <c r="D127" s="25"/>
      <c r="G127" s="54"/>
      <c r="H127" s="53"/>
      <c r="I127" s="101"/>
      <c r="J127" s="1"/>
      <c r="K127" s="1"/>
      <c r="L127" s="1"/>
      <c r="M127" s="1"/>
      <c r="N127" s="1"/>
    </row>
    <row r="128" spans="1:14" x14ac:dyDescent="0.2">
      <c r="G128" s="54"/>
      <c r="H128" s="53"/>
    </row>
    <row r="129" spans="7:8" x14ac:dyDescent="0.2">
      <c r="G129" s="54"/>
      <c r="H129" s="53"/>
    </row>
    <row r="130" spans="7:8" x14ac:dyDescent="0.2">
      <c r="G130" s="54"/>
      <c r="H130" s="53"/>
    </row>
  </sheetData>
  <sheetProtection insertRows="0"/>
  <mergeCells count="6">
    <mergeCell ref="C92:F92"/>
    <mergeCell ref="A1:G1"/>
    <mergeCell ref="A3:F3"/>
    <mergeCell ref="A9:F9"/>
    <mergeCell ref="A38:F38"/>
    <mergeCell ref="A87:D87"/>
  </mergeCells>
  <conditionalFormatting sqref="G84:G85">
    <cfRule type="cellIs" dxfId="191" priority="1" operator="lessThan">
      <formula>0</formula>
    </cfRule>
  </conditionalFormatting>
  <conditionalFormatting sqref="C40">
    <cfRule type="duplicateValues" dxfId="190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300-000000000000}">
  <sheetPr codeName="Sheet491">
    <pageSetUpPr fitToPage="1"/>
  </sheetPr>
  <dimension ref="A1:N130"/>
  <sheetViews>
    <sheetView topLeftCell="A16" zoomScaleNormal="100" workbookViewId="0">
      <selection activeCell="E39" sqref="E39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1" ht="20.25" customHeight="1" x14ac:dyDescent="0.4">
      <c r="A1" s="212" t="s">
        <v>1841</v>
      </c>
      <c r="B1" s="212"/>
      <c r="C1" s="212"/>
      <c r="D1" s="212"/>
      <c r="E1" s="212"/>
      <c r="F1" s="212"/>
      <c r="G1" s="212"/>
      <c r="H1" s="112"/>
      <c r="I1" s="112"/>
    </row>
    <row r="2" spans="1:11" ht="12.75" customHeight="1" x14ac:dyDescent="0.4">
      <c r="H2" s="112"/>
      <c r="I2" s="112"/>
    </row>
    <row r="3" spans="1:11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1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1" s="2" customFormat="1" ht="14.25" customHeight="1" x14ac:dyDescent="0.4">
      <c r="A5" s="89">
        <v>45266</v>
      </c>
      <c r="B5" s="9" t="s">
        <v>6</v>
      </c>
      <c r="C5" s="10" t="s">
        <v>7</v>
      </c>
      <c r="D5" s="11"/>
      <c r="E5" s="12">
        <v>1105464.3400000001</v>
      </c>
      <c r="F5" s="12"/>
      <c r="G5" s="1"/>
      <c r="H5" s="112"/>
      <c r="I5" s="112"/>
    </row>
    <row r="6" spans="1:11" s="2" customFormat="1" ht="14.25" customHeight="1" x14ac:dyDescent="0.4">
      <c r="A6" s="89">
        <v>45266</v>
      </c>
      <c r="B6" s="9" t="s">
        <v>6</v>
      </c>
      <c r="C6" s="10" t="s">
        <v>1842</v>
      </c>
      <c r="D6" s="11"/>
      <c r="E6" s="12">
        <v>2200000</v>
      </c>
      <c r="F6" s="12"/>
      <c r="G6" s="1"/>
      <c r="H6" s="112"/>
      <c r="I6" s="112"/>
    </row>
    <row r="7" spans="1:11" s="2" customFormat="1" ht="12.75" customHeight="1" x14ac:dyDescent="0.2">
      <c r="D7" s="15" t="s">
        <v>8</v>
      </c>
      <c r="E7" s="16">
        <f>SUM(E5:E5)</f>
        <v>1105464.3400000001</v>
      </c>
      <c r="F7" s="16">
        <f>+F5</f>
        <v>0</v>
      </c>
      <c r="G7" s="1"/>
      <c r="H7" s="13" t="s">
        <v>1582</v>
      </c>
      <c r="I7" s="13" t="s">
        <v>1583</v>
      </c>
    </row>
    <row r="8" spans="1:11" s="2" customFormat="1" ht="12.75" customHeight="1" x14ac:dyDescent="0.2">
      <c r="A8" s="17"/>
      <c r="B8" s="18"/>
      <c r="C8" s="19" t="s">
        <v>9</v>
      </c>
      <c r="D8" s="20"/>
      <c r="E8" s="21">
        <f>+E7-F7</f>
        <v>1105464.3400000001</v>
      </c>
      <c r="F8" s="22"/>
      <c r="G8" s="23"/>
      <c r="H8" s="2">
        <v>0</v>
      </c>
      <c r="I8" s="2">
        <v>0</v>
      </c>
      <c r="J8" s="176">
        <f>H8-I8</f>
        <v>0</v>
      </c>
    </row>
    <row r="9" spans="1:11" ht="12.75" customHeight="1" x14ac:dyDescent="0.4">
      <c r="H9" s="112"/>
      <c r="I9" s="112"/>
    </row>
    <row r="10" spans="1:11" ht="18" customHeight="1" x14ac:dyDescent="0.4">
      <c r="A10" s="213" t="s">
        <v>1037</v>
      </c>
      <c r="B10" s="213"/>
      <c r="C10" s="213"/>
      <c r="D10" s="213"/>
      <c r="E10" s="213"/>
      <c r="F10" s="213"/>
      <c r="H10" s="112"/>
      <c r="I10" s="169">
        <f>90000000-60000000</f>
        <v>30000000</v>
      </c>
      <c r="J10" s="169" t="s">
        <v>1508</v>
      </c>
    </row>
    <row r="11" spans="1:11" ht="12.75" customHeight="1" x14ac:dyDescent="0.4">
      <c r="A11" s="3" t="s">
        <v>1</v>
      </c>
      <c r="B11" s="4" t="s">
        <v>2</v>
      </c>
      <c r="C11" s="5"/>
      <c r="D11" s="6" t="s">
        <v>3</v>
      </c>
      <c r="E11" s="7" t="s">
        <v>4</v>
      </c>
      <c r="F11" s="7" t="s">
        <v>5</v>
      </c>
      <c r="H11" s="112"/>
      <c r="I11" s="169">
        <v>27354445.059999999</v>
      </c>
      <c r="J11" s="169" t="s">
        <v>1509</v>
      </c>
      <c r="K11" s="124"/>
    </row>
    <row r="12" spans="1:11" s="2" customFormat="1" ht="14.25" customHeight="1" x14ac:dyDescent="0.2">
      <c r="A12" s="89">
        <v>45266</v>
      </c>
      <c r="B12" s="9" t="s">
        <v>6</v>
      </c>
      <c r="C12" s="10" t="s">
        <v>7</v>
      </c>
      <c r="D12" s="11"/>
      <c r="F12" s="12">
        <v>27407940.059999999</v>
      </c>
      <c r="G12" s="1"/>
      <c r="H12" s="130" t="s">
        <v>396</v>
      </c>
      <c r="I12" s="169">
        <f>+I10-I11</f>
        <v>2645554.9400000013</v>
      </c>
      <c r="J12" s="169" t="s">
        <v>712</v>
      </c>
      <c r="K12" s="165" t="s">
        <v>1512</v>
      </c>
    </row>
    <row r="13" spans="1:11" s="2" customFormat="1" ht="14.25" customHeight="1" x14ac:dyDescent="0.2">
      <c r="A13" s="89">
        <v>45266</v>
      </c>
      <c r="B13" s="9" t="s">
        <v>6</v>
      </c>
      <c r="C13" s="10" t="s">
        <v>1431</v>
      </c>
      <c r="D13" s="11" t="s">
        <v>1793</v>
      </c>
      <c r="E13" s="2">
        <v>600736</v>
      </c>
      <c r="F13" s="12"/>
      <c r="G13" s="1"/>
      <c r="H13" s="130"/>
      <c r="I13" s="169"/>
      <c r="J13" s="169"/>
      <c r="K13" s="165"/>
    </row>
    <row r="14" spans="1:11" s="2" customFormat="1" ht="14.25" customHeight="1" x14ac:dyDescent="0.2">
      <c r="A14" s="89">
        <v>45266</v>
      </c>
      <c r="B14" s="9" t="s">
        <v>11</v>
      </c>
      <c r="C14" s="10" t="s">
        <v>1734</v>
      </c>
      <c r="D14" s="11" t="s">
        <v>29</v>
      </c>
      <c r="F14" s="12">
        <v>455689</v>
      </c>
      <c r="G14" s="1"/>
      <c r="H14" s="130"/>
      <c r="I14" s="169"/>
      <c r="J14" s="169"/>
      <c r="K14" s="165"/>
    </row>
    <row r="15" spans="1:11" s="2" customFormat="1" ht="14.25" customHeight="1" x14ac:dyDescent="0.2">
      <c r="A15" s="89">
        <v>45266</v>
      </c>
      <c r="B15" s="9" t="s">
        <v>11</v>
      </c>
      <c r="C15" s="10" t="s">
        <v>642</v>
      </c>
      <c r="D15" s="11" t="s">
        <v>29</v>
      </c>
      <c r="F15" s="12">
        <v>16740</v>
      </c>
      <c r="G15" s="1"/>
      <c r="H15" s="130"/>
      <c r="I15" s="169"/>
      <c r="J15" s="169"/>
      <c r="K15" s="165"/>
    </row>
    <row r="16" spans="1:11" s="2" customFormat="1" ht="14.25" customHeight="1" x14ac:dyDescent="0.2">
      <c r="A16" s="89">
        <v>45266</v>
      </c>
      <c r="B16" s="9" t="s">
        <v>11</v>
      </c>
      <c r="C16" s="10" t="s">
        <v>1843</v>
      </c>
      <c r="D16" s="11" t="s">
        <v>29</v>
      </c>
      <c r="F16" s="12">
        <v>74812</v>
      </c>
      <c r="G16" s="1"/>
      <c r="H16" s="130"/>
      <c r="I16" s="169"/>
      <c r="J16" s="169"/>
      <c r="K16" s="165"/>
    </row>
    <row r="17" spans="1:14" s="2" customFormat="1" ht="14.25" customHeight="1" x14ac:dyDescent="0.2">
      <c r="D17" s="11" t="s">
        <v>8</v>
      </c>
      <c r="E17" s="16">
        <f>SUM(E13:E16)</f>
        <v>600736</v>
      </c>
      <c r="F17" s="16">
        <f>SUM(F14:F16)+F12</f>
        <v>27955181.059999999</v>
      </c>
      <c r="G17" s="1"/>
      <c r="H17" s="143"/>
      <c r="I17" s="130"/>
      <c r="J17" s="143"/>
      <c r="K17" s="143"/>
      <c r="L17" s="143"/>
      <c r="M17" s="143"/>
    </row>
    <row r="18" spans="1:14" s="2" customFormat="1" ht="14.25" customHeight="1" x14ac:dyDescent="0.4">
      <c r="A18" s="17"/>
      <c r="B18" s="18"/>
      <c r="C18" s="96" t="s">
        <v>9</v>
      </c>
      <c r="D18" s="20"/>
      <c r="E18" s="21">
        <f>+F17-E17</f>
        <v>27354445.059999999</v>
      </c>
      <c r="G18" s="1"/>
      <c r="I18" s="112"/>
      <c r="J18" s="153" t="s">
        <v>779</v>
      </c>
    </row>
    <row r="19" spans="1:14" s="2" customFormat="1" ht="14.25" customHeight="1" x14ac:dyDescent="0.2">
      <c r="A19" s="36"/>
      <c r="B19" s="28" t="s">
        <v>66</v>
      </c>
      <c r="C19" s="43" t="s">
        <v>1458</v>
      </c>
      <c r="D19" s="43"/>
      <c r="E19" s="12">
        <f>30000000+60000000</f>
        <v>90000000</v>
      </c>
      <c r="F19" s="22"/>
      <c r="G19" s="1"/>
      <c r="I19" s="40">
        <v>27354445.059999999</v>
      </c>
      <c r="J19" s="154">
        <f>I19-E18</f>
        <v>0</v>
      </c>
    </row>
    <row r="20" spans="1:14" s="2" customFormat="1" ht="14.25" customHeight="1" x14ac:dyDescent="0.25">
      <c r="A20" s="36"/>
      <c r="B20" s="28"/>
      <c r="C20" s="44" t="s">
        <v>1541</v>
      </c>
      <c r="D20" s="43"/>
      <c r="E20" s="7">
        <f>+E18+E19</f>
        <v>117354445.06</v>
      </c>
      <c r="F20" s="22"/>
      <c r="G20" s="1"/>
      <c r="H20" s="13" t="s">
        <v>1582</v>
      </c>
      <c r="I20" s="13" t="s">
        <v>1583</v>
      </c>
    </row>
    <row r="21" spans="1:14" s="2" customFormat="1" ht="14.25" customHeight="1" x14ac:dyDescent="0.25">
      <c r="A21" s="36"/>
      <c r="B21" s="28"/>
      <c r="C21" s="44" t="s">
        <v>1511</v>
      </c>
      <c r="D21" s="43"/>
      <c r="E21" s="38">
        <f>+I12+H8-I8</f>
        <v>2645554.9400000013</v>
      </c>
      <c r="F21" s="22"/>
      <c r="G21" s="1"/>
      <c r="H21" s="2">
        <v>4399849</v>
      </c>
      <c r="I21" s="2">
        <v>1343267.34</v>
      </c>
      <c r="J21" s="176">
        <f>H21-I21</f>
        <v>3056581.66</v>
      </c>
    </row>
    <row r="22" spans="1:14" s="2" customFormat="1" ht="14.25" customHeight="1" x14ac:dyDescent="0.2">
      <c r="A22" s="24"/>
      <c r="B22" s="1"/>
      <c r="C22" s="14"/>
      <c r="D22" s="25"/>
      <c r="G22" s="1"/>
      <c r="I22" s="130"/>
      <c r="J22" s="130"/>
    </row>
    <row r="23" spans="1:14" s="2" customFormat="1" x14ac:dyDescent="0.2">
      <c r="A23" s="214" t="s">
        <v>10</v>
      </c>
      <c r="B23" s="214"/>
      <c r="C23" s="214"/>
      <c r="D23" s="214"/>
      <c r="E23" s="214"/>
      <c r="F23" s="214"/>
      <c r="G23" s="1"/>
      <c r="H23" s="159"/>
      <c r="I23" s="160">
        <f>225000000-75000000-50000000</f>
        <v>100000000</v>
      </c>
      <c r="J23" s="160" t="s">
        <v>1506</v>
      </c>
      <c r="K23" s="70"/>
    </row>
    <row r="24" spans="1:14" s="2" customFormat="1" x14ac:dyDescent="0.2">
      <c r="A24" s="26" t="s">
        <v>1</v>
      </c>
      <c r="B24" s="27" t="s">
        <v>2</v>
      </c>
      <c r="C24" s="5"/>
      <c r="D24" s="6" t="s">
        <v>3</v>
      </c>
      <c r="E24" s="7" t="s">
        <v>4</v>
      </c>
      <c r="F24" s="7" t="s">
        <v>5</v>
      </c>
      <c r="G24" s="1"/>
      <c r="H24" s="159"/>
      <c r="I24" s="160">
        <v>63329934.009999998</v>
      </c>
      <c r="J24" s="160" t="s">
        <v>1507</v>
      </c>
      <c r="K24" s="70" t="s">
        <v>1512</v>
      </c>
    </row>
    <row r="25" spans="1:14" s="2" customFormat="1" x14ac:dyDescent="0.2">
      <c r="A25" s="89">
        <v>45266</v>
      </c>
      <c r="B25" s="128" t="s">
        <v>11</v>
      </c>
      <c r="C25" s="29" t="s">
        <v>7</v>
      </c>
      <c r="D25" s="25"/>
      <c r="E25" s="31"/>
      <c r="F25" s="2">
        <v>62740005.050000019</v>
      </c>
      <c r="G25" s="23"/>
      <c r="H25" s="159" t="s">
        <v>1505</v>
      </c>
      <c r="I25" s="160">
        <f>+I23-I24</f>
        <v>36670065.990000002</v>
      </c>
      <c r="J25" s="160"/>
      <c r="K25" s="70"/>
    </row>
    <row r="26" spans="1:14" s="2" customFormat="1" x14ac:dyDescent="0.2">
      <c r="A26" s="89">
        <v>45266</v>
      </c>
      <c r="B26" s="128" t="s">
        <v>6</v>
      </c>
      <c r="C26" s="29" t="s">
        <v>122</v>
      </c>
      <c r="D26" s="11" t="s">
        <v>13</v>
      </c>
      <c r="E26" s="86">
        <v>4387167.53</v>
      </c>
      <c r="F26" s="70"/>
      <c r="G26" s="1"/>
      <c r="N26" s="1"/>
    </row>
    <row r="27" spans="1:14" s="2" customFormat="1" x14ac:dyDescent="0.2">
      <c r="A27" s="89">
        <v>45266</v>
      </c>
      <c r="B27" s="128" t="s">
        <v>6</v>
      </c>
      <c r="C27" s="29" t="s">
        <v>15</v>
      </c>
      <c r="D27" s="11" t="s">
        <v>13</v>
      </c>
      <c r="E27" s="86">
        <v>116486.31</v>
      </c>
      <c r="F27" s="70"/>
      <c r="G27" s="1"/>
      <c r="N27" s="1"/>
    </row>
    <row r="28" spans="1:14" s="2" customFormat="1" x14ac:dyDescent="0.2">
      <c r="A28" s="89">
        <v>45266</v>
      </c>
      <c r="B28" s="128" t="s">
        <v>6</v>
      </c>
      <c r="C28" s="29" t="s">
        <v>1808</v>
      </c>
      <c r="D28" s="11" t="s">
        <v>13</v>
      </c>
      <c r="E28" s="86">
        <v>7652027</v>
      </c>
      <c r="F28" s="70"/>
      <c r="G28" s="1"/>
      <c r="N28" s="1"/>
    </row>
    <row r="29" spans="1:14" s="2" customFormat="1" x14ac:dyDescent="0.2">
      <c r="A29" s="89">
        <v>45266</v>
      </c>
      <c r="B29" s="128" t="s">
        <v>6</v>
      </c>
      <c r="C29" s="29" t="s">
        <v>27</v>
      </c>
      <c r="D29" s="11" t="s">
        <v>13</v>
      </c>
      <c r="E29" s="86">
        <v>1375702.7</v>
      </c>
      <c r="F29" s="70"/>
      <c r="G29" s="1"/>
      <c r="N29" s="1"/>
    </row>
    <row r="30" spans="1:14" s="2" customFormat="1" x14ac:dyDescent="0.2">
      <c r="A30" s="89">
        <v>45266</v>
      </c>
      <c r="B30" s="128" t="s">
        <v>6</v>
      </c>
      <c r="C30" s="29" t="s">
        <v>955</v>
      </c>
      <c r="D30" s="11" t="s">
        <v>13</v>
      </c>
      <c r="E30" s="86">
        <v>1929633</v>
      </c>
      <c r="F30" s="70"/>
      <c r="G30" s="1"/>
      <c r="N30" s="1"/>
    </row>
    <row r="31" spans="1:14" s="2" customFormat="1" x14ac:dyDescent="0.2">
      <c r="A31" s="89">
        <v>45266</v>
      </c>
      <c r="B31" s="128" t="s">
        <v>6</v>
      </c>
      <c r="C31" s="29" t="s">
        <v>173</v>
      </c>
      <c r="D31" s="11" t="s">
        <v>13</v>
      </c>
      <c r="E31" s="86">
        <v>18795</v>
      </c>
      <c r="F31" s="70"/>
      <c r="G31" s="1"/>
      <c r="N31" s="1"/>
    </row>
    <row r="32" spans="1:14" s="2" customFormat="1" x14ac:dyDescent="0.2">
      <c r="A32" s="89">
        <v>45266</v>
      </c>
      <c r="B32" s="128" t="s">
        <v>6</v>
      </c>
      <c r="C32" s="29" t="s">
        <v>161</v>
      </c>
      <c r="D32" s="11" t="s">
        <v>13</v>
      </c>
      <c r="E32" s="86">
        <v>311565</v>
      </c>
      <c r="F32" s="70"/>
      <c r="G32" s="1"/>
      <c r="N32" s="1"/>
    </row>
    <row r="33" spans="1:14" s="2" customFormat="1" x14ac:dyDescent="0.2">
      <c r="A33" s="89">
        <v>45266</v>
      </c>
      <c r="B33" s="128" t="s">
        <v>6</v>
      </c>
      <c r="C33" s="29" t="s">
        <v>144</v>
      </c>
      <c r="D33" s="11" t="s">
        <v>13</v>
      </c>
      <c r="E33" s="86">
        <v>3881872</v>
      </c>
      <c r="F33" s="70"/>
      <c r="G33" s="1"/>
      <c r="N33" s="1"/>
    </row>
    <row r="34" spans="1:14" s="2" customFormat="1" x14ac:dyDescent="0.2">
      <c r="A34" s="89">
        <v>45266</v>
      </c>
      <c r="B34" s="128" t="s">
        <v>6</v>
      </c>
      <c r="C34" s="29" t="s">
        <v>223</v>
      </c>
      <c r="D34" s="11" t="s">
        <v>13</v>
      </c>
      <c r="E34" s="86">
        <v>10729</v>
      </c>
      <c r="F34" s="70"/>
      <c r="G34" s="1"/>
      <c r="N34" s="1"/>
    </row>
    <row r="35" spans="1:14" s="2" customFormat="1" x14ac:dyDescent="0.2">
      <c r="A35" s="89">
        <v>45266</v>
      </c>
      <c r="B35" s="128" t="s">
        <v>6</v>
      </c>
      <c r="C35" s="29" t="s">
        <v>19</v>
      </c>
      <c r="D35" s="11" t="s">
        <v>13</v>
      </c>
      <c r="E35" s="86">
        <v>9441</v>
      </c>
      <c r="F35" s="70"/>
      <c r="G35" s="1"/>
      <c r="N35" s="1"/>
    </row>
    <row r="36" spans="1:14" s="2" customFormat="1" x14ac:dyDescent="0.2">
      <c r="A36" s="89">
        <v>45266</v>
      </c>
      <c r="B36" s="128" t="s">
        <v>6</v>
      </c>
      <c r="C36" s="29" t="s">
        <v>16</v>
      </c>
      <c r="D36" s="11" t="s">
        <v>13</v>
      </c>
      <c r="E36" s="86">
        <v>3360</v>
      </c>
      <c r="F36" s="70"/>
      <c r="G36" s="1"/>
      <c r="N36" s="1"/>
    </row>
    <row r="37" spans="1:14" s="2" customFormat="1" x14ac:dyDescent="0.2">
      <c r="A37" s="89">
        <v>45266</v>
      </c>
      <c r="B37" s="128" t="s">
        <v>6</v>
      </c>
      <c r="C37" s="29" t="s">
        <v>266</v>
      </c>
      <c r="D37" s="11" t="s">
        <v>13</v>
      </c>
      <c r="E37" s="86">
        <v>367541</v>
      </c>
      <c r="F37" s="70"/>
      <c r="G37" s="1"/>
      <c r="N37" s="1"/>
    </row>
    <row r="38" spans="1:14" s="2" customFormat="1" x14ac:dyDescent="0.2">
      <c r="A38" s="89">
        <v>45266</v>
      </c>
      <c r="B38" s="128" t="s">
        <v>6</v>
      </c>
      <c r="C38" s="29" t="s">
        <v>146</v>
      </c>
      <c r="D38" s="11" t="s">
        <v>13</v>
      </c>
      <c r="E38" s="86">
        <v>398956.83999999997</v>
      </c>
      <c r="F38" s="70"/>
      <c r="G38" s="1"/>
      <c r="N38" s="1"/>
    </row>
    <row r="39" spans="1:14" s="2" customFormat="1" x14ac:dyDescent="0.2">
      <c r="A39" s="89">
        <v>45266</v>
      </c>
      <c r="B39" s="128" t="s">
        <v>6</v>
      </c>
      <c r="C39" s="29" t="s">
        <v>149</v>
      </c>
      <c r="D39" s="11" t="s">
        <v>13</v>
      </c>
      <c r="E39" s="86">
        <v>4718</v>
      </c>
      <c r="F39" s="70"/>
      <c r="G39" s="1"/>
      <c r="N39" s="1"/>
    </row>
    <row r="40" spans="1:14" s="2" customFormat="1" x14ac:dyDescent="0.2">
      <c r="A40" s="89">
        <v>45266</v>
      </c>
      <c r="B40" s="128" t="s">
        <v>11</v>
      </c>
      <c r="C40" s="29" t="s">
        <v>64</v>
      </c>
      <c r="D40" s="11" t="s">
        <v>29</v>
      </c>
      <c r="E40" s="86"/>
      <c r="F40" s="86">
        <v>14659.4</v>
      </c>
      <c r="G40" s="1"/>
      <c r="N40" s="1"/>
    </row>
    <row r="41" spans="1:14" s="2" customFormat="1" x14ac:dyDescent="0.2">
      <c r="A41" s="89">
        <v>45266</v>
      </c>
      <c r="B41" s="128" t="s">
        <v>11</v>
      </c>
      <c r="C41" s="29" t="s">
        <v>1844</v>
      </c>
      <c r="D41" s="11" t="s">
        <v>29</v>
      </c>
      <c r="E41" s="86"/>
      <c r="F41" s="86">
        <v>181154.8</v>
      </c>
      <c r="G41" s="1"/>
      <c r="N41" s="1"/>
    </row>
    <row r="42" spans="1:14" s="2" customFormat="1" x14ac:dyDescent="0.2">
      <c r="A42" s="89">
        <v>45266</v>
      </c>
      <c r="B42" s="128" t="s">
        <v>11</v>
      </c>
      <c r="C42" s="29" t="s">
        <v>156</v>
      </c>
      <c r="D42" s="11" t="s">
        <v>29</v>
      </c>
      <c r="E42" s="86"/>
      <c r="F42" s="86">
        <v>253.04</v>
      </c>
      <c r="G42" s="1"/>
      <c r="N42" s="1"/>
    </row>
    <row r="43" spans="1:14" s="2" customFormat="1" x14ac:dyDescent="0.2">
      <c r="A43" s="89">
        <v>45266</v>
      </c>
      <c r="B43" s="128" t="s">
        <v>11</v>
      </c>
      <c r="C43" s="29" t="s">
        <v>110</v>
      </c>
      <c r="D43" s="11" t="s">
        <v>29</v>
      </c>
      <c r="E43" s="86"/>
      <c r="F43" s="86">
        <v>1267774.3400000001</v>
      </c>
      <c r="G43" s="1"/>
      <c r="N43" s="1"/>
    </row>
    <row r="44" spans="1:14" s="2" customFormat="1" x14ac:dyDescent="0.2">
      <c r="A44" s="89">
        <v>45266</v>
      </c>
      <c r="B44" s="128" t="s">
        <v>11</v>
      </c>
      <c r="C44" s="29" t="s">
        <v>193</v>
      </c>
      <c r="D44" s="11" t="s">
        <v>29</v>
      </c>
      <c r="E44" s="86"/>
      <c r="F44" s="86">
        <v>358200</v>
      </c>
      <c r="G44" s="1"/>
      <c r="N44" s="1"/>
    </row>
    <row r="45" spans="1:14" s="2" customFormat="1" x14ac:dyDescent="0.2">
      <c r="A45" s="89">
        <v>45266</v>
      </c>
      <c r="B45" s="128" t="s">
        <v>11</v>
      </c>
      <c r="C45" s="29" t="s">
        <v>814</v>
      </c>
      <c r="D45" s="11" t="s">
        <v>29</v>
      </c>
      <c r="E45" s="86"/>
      <c r="F45" s="86">
        <v>313312.5</v>
      </c>
      <c r="G45" s="1"/>
      <c r="N45" s="1"/>
    </row>
    <row r="46" spans="1:14" s="2" customFormat="1" x14ac:dyDescent="0.2">
      <c r="A46" s="89">
        <v>45266</v>
      </c>
      <c r="B46" s="128" t="s">
        <v>11</v>
      </c>
      <c r="C46" s="29" t="s">
        <v>300</v>
      </c>
      <c r="D46" s="11" t="s">
        <v>29</v>
      </c>
      <c r="E46" s="86"/>
      <c r="F46" s="86">
        <v>147476</v>
      </c>
      <c r="G46" s="1"/>
      <c r="N46" s="1"/>
    </row>
    <row r="47" spans="1:14" s="2" customFormat="1" x14ac:dyDescent="0.2">
      <c r="A47" s="89">
        <v>45266</v>
      </c>
      <c r="B47" s="128" t="s">
        <v>11</v>
      </c>
      <c r="C47" s="29" t="s">
        <v>745</v>
      </c>
      <c r="D47" s="11" t="s">
        <v>29</v>
      </c>
      <c r="E47" s="86"/>
      <c r="F47" s="86">
        <v>2026515</v>
      </c>
      <c r="G47" s="1"/>
      <c r="N47" s="1"/>
    </row>
    <row r="48" spans="1:14" s="2" customFormat="1" x14ac:dyDescent="0.2">
      <c r="A48" s="89">
        <v>45266</v>
      </c>
      <c r="B48" s="128" t="s">
        <v>11</v>
      </c>
      <c r="C48" s="29" t="s">
        <v>849</v>
      </c>
      <c r="D48" s="11" t="s">
        <v>29</v>
      </c>
      <c r="E48" s="86"/>
      <c r="F48" s="86">
        <v>370305</v>
      </c>
      <c r="G48" s="1"/>
      <c r="N48" s="1"/>
    </row>
    <row r="49" spans="1:14" s="2" customFormat="1" x14ac:dyDescent="0.2">
      <c r="A49" s="89">
        <v>45266</v>
      </c>
      <c r="B49" s="128" t="s">
        <v>11</v>
      </c>
      <c r="C49" s="29" t="s">
        <v>790</v>
      </c>
      <c r="D49" s="11" t="s">
        <v>29</v>
      </c>
      <c r="E49" s="86"/>
      <c r="F49" s="86">
        <v>1993389</v>
      </c>
      <c r="G49" s="1"/>
      <c r="N49" s="1"/>
    </row>
    <row r="50" spans="1:14" s="2" customFormat="1" x14ac:dyDescent="0.2">
      <c r="A50" s="89">
        <v>45266</v>
      </c>
      <c r="B50" s="128" t="s">
        <v>11</v>
      </c>
      <c r="C50" s="29" t="s">
        <v>194</v>
      </c>
      <c r="D50" s="11" t="s">
        <v>29</v>
      </c>
      <c r="E50" s="86"/>
      <c r="F50" s="86">
        <v>322237</v>
      </c>
      <c r="G50" s="1"/>
      <c r="N50" s="1"/>
    </row>
    <row r="51" spans="1:14" s="2" customFormat="1" x14ac:dyDescent="0.2">
      <c r="A51" s="89">
        <v>45266</v>
      </c>
      <c r="B51" s="128" t="s">
        <v>11</v>
      </c>
      <c r="C51" s="29" t="s">
        <v>1845</v>
      </c>
      <c r="D51" s="11" t="s">
        <v>29</v>
      </c>
      <c r="E51" s="86"/>
      <c r="F51" s="86">
        <v>550464</v>
      </c>
      <c r="G51" s="1"/>
      <c r="N51" s="1"/>
    </row>
    <row r="52" spans="1:14" s="2" customFormat="1" x14ac:dyDescent="0.2">
      <c r="A52" s="89">
        <v>45266</v>
      </c>
      <c r="B52" s="128" t="s">
        <v>11</v>
      </c>
      <c r="C52" s="29" t="s">
        <v>402</v>
      </c>
      <c r="D52" s="11" t="s">
        <v>29</v>
      </c>
      <c r="E52" s="86"/>
      <c r="F52" s="86">
        <v>2200000</v>
      </c>
      <c r="G52" s="1"/>
      <c r="N52" s="1"/>
    </row>
    <row r="53" spans="1:14" s="2" customFormat="1" x14ac:dyDescent="0.2">
      <c r="A53" s="89">
        <v>45266</v>
      </c>
      <c r="B53" s="128" t="s">
        <v>11</v>
      </c>
      <c r="C53" s="29" t="s">
        <v>63</v>
      </c>
      <c r="D53" s="11" t="s">
        <v>29</v>
      </c>
      <c r="E53" s="86"/>
      <c r="F53" s="86">
        <v>500000</v>
      </c>
      <c r="G53" s="1"/>
      <c r="N53" s="1"/>
    </row>
    <row r="54" spans="1:14" s="2" customFormat="1" x14ac:dyDescent="0.2">
      <c r="A54" s="89">
        <v>45266</v>
      </c>
      <c r="B54" s="128" t="s">
        <v>11</v>
      </c>
      <c r="C54" s="29" t="s">
        <v>138</v>
      </c>
      <c r="D54" s="11" t="s">
        <v>29</v>
      </c>
      <c r="E54" s="86"/>
      <c r="F54" s="86">
        <v>1453859</v>
      </c>
      <c r="G54" s="1"/>
      <c r="N54" s="1"/>
    </row>
    <row r="55" spans="1:14" s="2" customFormat="1" x14ac:dyDescent="0.2">
      <c r="A55" s="89">
        <v>45266</v>
      </c>
      <c r="B55" s="128" t="s">
        <v>11</v>
      </c>
      <c r="C55" s="29" t="s">
        <v>1846</v>
      </c>
      <c r="D55" s="11" t="s">
        <v>29</v>
      </c>
      <c r="E55" s="86"/>
      <c r="F55" s="86">
        <v>25193</v>
      </c>
      <c r="G55" s="1"/>
      <c r="N55" s="1"/>
    </row>
    <row r="56" spans="1:14" s="2" customFormat="1" x14ac:dyDescent="0.2">
      <c r="A56" s="89">
        <v>45266</v>
      </c>
      <c r="B56" s="128" t="s">
        <v>11</v>
      </c>
      <c r="C56" s="29" t="s">
        <v>34</v>
      </c>
      <c r="D56" s="11" t="s">
        <v>29</v>
      </c>
      <c r="E56" s="86"/>
      <c r="F56" s="86">
        <v>45000</v>
      </c>
      <c r="G56" s="1"/>
      <c r="N56" s="1"/>
    </row>
    <row r="57" spans="1:14" s="2" customFormat="1" x14ac:dyDescent="0.2">
      <c r="A57" s="89">
        <v>45266</v>
      </c>
      <c r="B57" s="128" t="s">
        <v>11</v>
      </c>
      <c r="C57" s="29" t="s">
        <v>659</v>
      </c>
      <c r="D57" s="11" t="s">
        <v>29</v>
      </c>
      <c r="E57" s="86"/>
      <c r="F57" s="86">
        <v>2721</v>
      </c>
      <c r="G57" s="1"/>
      <c r="N57" s="1"/>
    </row>
    <row r="58" spans="1:14" s="2" customFormat="1" x14ac:dyDescent="0.2">
      <c r="A58" s="89">
        <v>45266</v>
      </c>
      <c r="B58" s="128" t="s">
        <v>11</v>
      </c>
      <c r="C58" s="29" t="s">
        <v>1736</v>
      </c>
      <c r="D58" s="11" t="s">
        <v>29</v>
      </c>
      <c r="E58" s="86"/>
      <c r="F58" s="86">
        <v>1180</v>
      </c>
      <c r="G58" s="1"/>
      <c r="N58" s="1"/>
    </row>
    <row r="59" spans="1:14" s="2" customFormat="1" x14ac:dyDescent="0.2">
      <c r="A59" s="89">
        <v>45266</v>
      </c>
      <c r="B59" s="128" t="s">
        <v>11</v>
      </c>
      <c r="C59" s="29" t="s">
        <v>738</v>
      </c>
      <c r="D59" s="11" t="s">
        <v>29</v>
      </c>
      <c r="E59" s="86"/>
      <c r="F59" s="86">
        <v>65535</v>
      </c>
      <c r="G59" s="1"/>
      <c r="N59" s="1"/>
    </row>
    <row r="60" spans="1:14" s="2" customFormat="1" x14ac:dyDescent="0.2">
      <c r="A60" s="89">
        <v>45266</v>
      </c>
      <c r="B60" s="128" t="s">
        <v>11</v>
      </c>
      <c r="C60" s="29" t="s">
        <v>15</v>
      </c>
      <c r="D60" s="11" t="s">
        <v>29</v>
      </c>
      <c r="E60" s="86"/>
      <c r="F60" s="86">
        <v>22012.11</v>
      </c>
      <c r="G60" s="1"/>
      <c r="N60" s="1"/>
    </row>
    <row r="61" spans="1:14" s="2" customFormat="1" x14ac:dyDescent="0.2">
      <c r="A61" s="89">
        <v>45266</v>
      </c>
      <c r="B61" s="128" t="s">
        <v>11</v>
      </c>
      <c r="C61" s="29" t="s">
        <v>223</v>
      </c>
      <c r="D61" s="11" t="s">
        <v>29</v>
      </c>
      <c r="E61" s="86"/>
      <c r="F61" s="86">
        <v>5908751</v>
      </c>
      <c r="G61" s="1"/>
      <c r="N61" s="1"/>
    </row>
    <row r="62" spans="1:14" s="2" customFormat="1" x14ac:dyDescent="0.2">
      <c r="A62" s="89">
        <v>45266</v>
      </c>
      <c r="B62" s="128" t="s">
        <v>11</v>
      </c>
      <c r="C62" s="29" t="s">
        <v>16</v>
      </c>
      <c r="D62" s="11" t="s">
        <v>29</v>
      </c>
      <c r="E62" s="86"/>
      <c r="F62" s="86">
        <v>231350.49</v>
      </c>
      <c r="G62" s="1"/>
      <c r="N62" s="1"/>
    </row>
    <row r="63" spans="1:14" s="2" customFormat="1" x14ac:dyDescent="0.2">
      <c r="A63" s="32"/>
      <c r="B63" s="33"/>
      <c r="C63" s="14"/>
      <c r="D63" s="34"/>
      <c r="E63" s="16">
        <f>SUM(E25:E59)</f>
        <v>20467994.379999999</v>
      </c>
      <c r="F63" s="16">
        <f>SUM(F25:F62)</f>
        <v>80741346.730000019</v>
      </c>
      <c r="G63" s="1"/>
      <c r="H63" s="1"/>
      <c r="I63" s="38">
        <v>60273352.350000001</v>
      </c>
      <c r="K63" s="92">
        <f>E64-I63</f>
        <v>0</v>
      </c>
      <c r="N63" s="1"/>
    </row>
    <row r="64" spans="1:14" s="2" customFormat="1" x14ac:dyDescent="0.2">
      <c r="A64" s="36"/>
      <c r="B64" s="28" t="s">
        <v>11</v>
      </c>
      <c r="C64" s="19" t="s">
        <v>65</v>
      </c>
      <c r="D64" s="37"/>
      <c r="E64" s="38">
        <f>F63-E63</f>
        <v>60273352.350000024</v>
      </c>
      <c r="F64" s="22"/>
      <c r="G64" s="1"/>
      <c r="H64" s="1"/>
      <c r="I64" s="70"/>
      <c r="J64" s="70"/>
      <c r="K64" s="70"/>
      <c r="N64" s="1"/>
    </row>
    <row r="65" spans="1:14" s="2" customFormat="1" x14ac:dyDescent="0.2">
      <c r="A65" s="36"/>
      <c r="B65" s="28" t="s">
        <v>66</v>
      </c>
      <c r="C65" s="19" t="s">
        <v>67</v>
      </c>
      <c r="D65" s="37"/>
      <c r="E65" s="38">
        <v>6500000</v>
      </c>
      <c r="F65" s="22"/>
      <c r="G65" s="1"/>
      <c r="H65" s="70"/>
      <c r="I65" s="70"/>
      <c r="J65" s="70"/>
      <c r="K65" s="70"/>
      <c r="N65" s="1"/>
    </row>
    <row r="66" spans="1:14" s="2" customFormat="1" x14ac:dyDescent="0.2">
      <c r="A66" s="36"/>
      <c r="B66" s="28" t="s">
        <v>66</v>
      </c>
      <c r="C66" s="43" t="s">
        <v>1457</v>
      </c>
      <c r="D66" s="43"/>
      <c r="E66" s="12">
        <f>275000000+75000000+50000000</f>
        <v>400000000</v>
      </c>
      <c r="F66" s="22"/>
      <c r="G66" s="1"/>
      <c r="H66" s="70"/>
      <c r="I66" s="45">
        <v>369.39</v>
      </c>
      <c r="J66" s="46"/>
      <c r="K66" s="46"/>
      <c r="N66" s="1"/>
    </row>
    <row r="67" spans="1:14" s="2" customFormat="1" ht="15" x14ac:dyDescent="0.25">
      <c r="A67" s="36"/>
      <c r="B67" s="28"/>
      <c r="C67" s="44" t="s">
        <v>1541</v>
      </c>
      <c r="D67" s="43"/>
      <c r="E67" s="7">
        <f>+E66+E64+E65</f>
        <v>466773352.35000002</v>
      </c>
      <c r="F67" s="22"/>
      <c r="G67" s="1"/>
      <c r="H67" s="103" t="s">
        <v>69</v>
      </c>
      <c r="I67" s="45">
        <v>-59.47</v>
      </c>
      <c r="J67" s="46"/>
      <c r="K67" s="46"/>
      <c r="N67" s="1"/>
    </row>
    <row r="68" spans="1:14" s="2" customFormat="1" ht="15" x14ac:dyDescent="0.25">
      <c r="A68" s="24"/>
      <c r="B68" s="1"/>
      <c r="C68" s="44" t="s">
        <v>1510</v>
      </c>
      <c r="D68" s="25"/>
      <c r="E68" s="156">
        <f>+I25-E65+H21-I21</f>
        <v>33226647.650000002</v>
      </c>
      <c r="G68" s="1"/>
      <c r="H68" s="35" t="s">
        <v>70</v>
      </c>
      <c r="I68" s="45">
        <v>59.47</v>
      </c>
      <c r="J68" s="46">
        <f>+I69-D71</f>
        <v>0</v>
      </c>
      <c r="N68" s="1"/>
    </row>
    <row r="69" spans="1:14" s="124" customFormat="1" ht="12.75" customHeight="1" x14ac:dyDescent="0.2">
      <c r="A69" s="24"/>
      <c r="B69" s="1"/>
      <c r="C69" s="56"/>
      <c r="D69" s="56"/>
      <c r="E69" s="104"/>
      <c r="F69" s="2"/>
      <c r="G69" s="166"/>
      <c r="H69" s="70"/>
      <c r="I69" s="49">
        <f>SUM(I66:I68)</f>
        <v>369.39</v>
      </c>
      <c r="J69" s="46"/>
      <c r="K69" s="46"/>
    </row>
    <row r="70" spans="1:14" s="124" customFormat="1" ht="12.75" customHeight="1" x14ac:dyDescent="0.2">
      <c r="A70" s="24"/>
      <c r="B70" s="1"/>
      <c r="C70" s="78" t="s">
        <v>575</v>
      </c>
      <c r="D70" s="48" t="s">
        <v>576</v>
      </c>
      <c r="E70" s="104"/>
      <c r="F70" s="2"/>
      <c r="G70" s="168"/>
      <c r="H70" s="167"/>
      <c r="I70" s="167"/>
      <c r="J70" s="168"/>
    </row>
    <row r="71" spans="1:14" s="124" customFormat="1" ht="12.75" customHeight="1" x14ac:dyDescent="0.2">
      <c r="A71" s="24"/>
      <c r="B71" s="1"/>
      <c r="C71" s="47" t="s">
        <v>570</v>
      </c>
      <c r="D71" s="111">
        <v>369.39</v>
      </c>
      <c r="E71" s="104"/>
      <c r="F71" s="2"/>
      <c r="G71" s="168"/>
      <c r="H71" s="110" t="s">
        <v>581</v>
      </c>
      <c r="I71" s="167"/>
      <c r="J71" s="168"/>
    </row>
    <row r="72" spans="1:14" s="124" customFormat="1" ht="12.75" customHeight="1" x14ac:dyDescent="0.2">
      <c r="A72" s="24"/>
      <c r="B72" s="1"/>
      <c r="C72" s="47" t="s">
        <v>931</v>
      </c>
      <c r="D72" s="111">
        <v>80.44</v>
      </c>
      <c r="E72" s="104"/>
      <c r="F72" s="2"/>
      <c r="G72" s="168"/>
      <c r="H72" s="110" t="s">
        <v>580</v>
      </c>
      <c r="I72" s="167"/>
      <c r="J72" s="168"/>
    </row>
    <row r="73" spans="1:14" s="124" customFormat="1" ht="12.75" customHeight="1" x14ac:dyDescent="0.2">
      <c r="A73" s="24"/>
      <c r="B73" s="1"/>
      <c r="C73" s="47" t="s">
        <v>572</v>
      </c>
      <c r="D73" s="111">
        <f>+D90/100000</f>
        <v>159.09446599999998</v>
      </c>
      <c r="E73" s="104"/>
      <c r="F73" s="2"/>
      <c r="G73" s="166"/>
      <c r="H73" s="90" t="s">
        <v>587</v>
      </c>
      <c r="I73" s="167"/>
      <c r="J73" s="168"/>
    </row>
    <row r="74" spans="1:14" s="2" customFormat="1" x14ac:dyDescent="0.2">
      <c r="A74" s="24"/>
      <c r="B74" s="1"/>
      <c r="C74" s="108" t="s">
        <v>578</v>
      </c>
      <c r="D74" s="48">
        <f>SUM(D71:D73)</f>
        <v>608.92446599999994</v>
      </c>
      <c r="E74" s="104"/>
      <c r="G74" s="30"/>
      <c r="I74" s="13"/>
      <c r="J74" s="13"/>
    </row>
    <row r="75" spans="1:14" s="70" customFormat="1" x14ac:dyDescent="0.2">
      <c r="A75" s="24"/>
      <c r="B75" s="1"/>
      <c r="C75" s="47"/>
      <c r="D75" s="107"/>
      <c r="E75" s="104"/>
      <c r="F75" s="2"/>
      <c r="G75" s="30"/>
      <c r="H75" s="2"/>
    </row>
    <row r="76" spans="1:14" s="70" customFormat="1" x14ac:dyDescent="0.2">
      <c r="A76" s="24"/>
      <c r="B76" s="1"/>
      <c r="C76" s="47" t="s">
        <v>932</v>
      </c>
      <c r="D76" s="111">
        <v>76.58</v>
      </c>
      <c r="E76" s="104"/>
      <c r="F76" s="2"/>
      <c r="G76" s="30"/>
      <c r="H76" s="110" t="s">
        <v>581</v>
      </c>
    </row>
    <row r="77" spans="1:14" s="70" customFormat="1" x14ac:dyDescent="0.2">
      <c r="A77" s="24"/>
      <c r="B77" s="1"/>
      <c r="C77" s="136" t="s">
        <v>1142</v>
      </c>
      <c r="D77" s="111">
        <v>300.79000000000002</v>
      </c>
      <c r="E77" s="104"/>
      <c r="F77" s="2"/>
      <c r="G77" s="30"/>
      <c r="H77" s="110" t="s">
        <v>581</v>
      </c>
    </row>
    <row r="78" spans="1:14" s="70" customFormat="1" x14ac:dyDescent="0.2">
      <c r="A78" s="24"/>
      <c r="B78" s="1"/>
      <c r="C78" s="78" t="s">
        <v>579</v>
      </c>
      <c r="D78" s="109">
        <f>D76+D77</f>
        <v>377.37</v>
      </c>
      <c r="E78" s="104"/>
      <c r="F78" s="2"/>
      <c r="G78" s="30"/>
    </row>
    <row r="79" spans="1:14" s="70" customFormat="1" x14ac:dyDescent="0.2">
      <c r="A79" s="24"/>
      <c r="B79" s="1"/>
      <c r="C79" s="105"/>
      <c r="D79" s="106"/>
      <c r="E79" s="104"/>
      <c r="F79" s="2"/>
      <c r="G79" s="30"/>
      <c r="I79" s="2"/>
      <c r="J79" s="114" t="s">
        <v>713</v>
      </c>
      <c r="K79" s="2"/>
      <c r="L79" s="2"/>
      <c r="M79" s="2"/>
    </row>
    <row r="80" spans="1:14" s="70" customFormat="1" x14ac:dyDescent="0.2">
      <c r="A80" s="24"/>
      <c r="B80" s="1"/>
      <c r="C80" s="78" t="s">
        <v>577</v>
      </c>
      <c r="D80" s="109">
        <f>D71+D78</f>
        <v>746.76</v>
      </c>
      <c r="E80" s="104"/>
      <c r="F80" s="2"/>
      <c r="G80" s="30"/>
      <c r="I80" s="113"/>
      <c r="J80" s="113" t="s">
        <v>709</v>
      </c>
      <c r="K80" s="113" t="s">
        <v>710</v>
      </c>
      <c r="L80" s="113" t="s">
        <v>711</v>
      </c>
      <c r="M80" s="113" t="s">
        <v>712</v>
      </c>
    </row>
    <row r="81" spans="1:14" s="70" customFormat="1" x14ac:dyDescent="0.2">
      <c r="A81" s="24"/>
      <c r="B81" s="1"/>
      <c r="C81" s="56"/>
      <c r="D81" s="56"/>
      <c r="E81" s="104"/>
      <c r="F81" s="2"/>
      <c r="G81" s="30"/>
      <c r="I81" s="113" t="s">
        <v>706</v>
      </c>
      <c r="J81" s="115"/>
      <c r="K81" s="115">
        <v>968.99</v>
      </c>
      <c r="L81" s="115">
        <v>968.99</v>
      </c>
      <c r="M81" s="113">
        <f>+J81+L81-K81</f>
        <v>0</v>
      </c>
    </row>
    <row r="82" spans="1:14" s="70" customFormat="1" ht="38.25" x14ac:dyDescent="0.2">
      <c r="A82" s="24"/>
      <c r="B82" s="1"/>
      <c r="C82" s="79" t="str">
        <f>"Particulars ( 01-04-2021 to "&amp;TEXT(A5,"dd-mm-yyyy")&amp;" )"</f>
        <v>Particulars ( 01-04-2021 to 06-12-2023 )</v>
      </c>
      <c r="D82" s="80" t="s">
        <v>73</v>
      </c>
      <c r="E82" s="80" t="s">
        <v>74</v>
      </c>
      <c r="F82" s="81" t="s">
        <v>75</v>
      </c>
      <c r="G82" s="80" t="s">
        <v>76</v>
      </c>
      <c r="I82" s="113" t="s">
        <v>707</v>
      </c>
      <c r="J82" s="115">
        <v>183.1</v>
      </c>
      <c r="K82" s="115">
        <v>4171.6400000000003</v>
      </c>
      <c r="L82" s="115">
        <v>4345.78</v>
      </c>
      <c r="M82" s="113">
        <f>+J82+L82-K82</f>
        <v>357.23999999999978</v>
      </c>
    </row>
    <row r="83" spans="1:14" s="70" customFormat="1" x14ac:dyDescent="0.2">
      <c r="A83" s="24"/>
      <c r="B83" s="1"/>
      <c r="C83" s="50" t="s">
        <v>444</v>
      </c>
      <c r="D83" s="55">
        <f>+L81+L82+J82</f>
        <v>5497.87</v>
      </c>
      <c r="E83" s="55">
        <f>+K81+K82</f>
        <v>5140.63</v>
      </c>
      <c r="F83" s="55">
        <f>+D83-E83</f>
        <v>357.23999999999978</v>
      </c>
      <c r="G83" s="55">
        <f>1500-F83</f>
        <v>1142.7600000000002</v>
      </c>
      <c r="I83" s="113" t="s">
        <v>708</v>
      </c>
      <c r="J83" s="115">
        <v>1371.02</v>
      </c>
      <c r="K83" s="115">
        <v>15429.88</v>
      </c>
      <c r="L83" s="115">
        <v>15719.16</v>
      </c>
      <c r="M83" s="113">
        <f>+J83+L83-K83</f>
        <v>1660.3000000000011</v>
      </c>
    </row>
    <row r="84" spans="1:14" s="70" customFormat="1" ht="12.75" customHeight="1" x14ac:dyDescent="0.2">
      <c r="A84" s="24"/>
      <c r="B84" s="1"/>
      <c r="C84" s="50" t="s">
        <v>71</v>
      </c>
      <c r="D84" s="55">
        <f>+J83+L83</f>
        <v>17090.18</v>
      </c>
      <c r="E84" s="55">
        <f>+K83</f>
        <v>15429.88</v>
      </c>
      <c r="F84" s="55">
        <f>+D84-E84</f>
        <v>1660.3000000000011</v>
      </c>
      <c r="G84" s="55">
        <f>1500+700-F84</f>
        <v>539.69999999999891</v>
      </c>
      <c r="I84" s="2"/>
      <c r="J84" s="118">
        <f>SUM(J81:J83)</f>
        <v>1554.12</v>
      </c>
      <c r="K84" s="118">
        <f>SUM(K81:K83)</f>
        <v>20570.509999999998</v>
      </c>
      <c r="L84" s="118">
        <f>SUM(L81:L83)</f>
        <v>21033.93</v>
      </c>
      <c r="M84" s="118">
        <f>SUM(M81:M83)</f>
        <v>2017.5400000000009</v>
      </c>
    </row>
    <row r="85" spans="1:14" s="70" customFormat="1" ht="12.75" customHeight="1" x14ac:dyDescent="0.2">
      <c r="A85" s="24"/>
      <c r="B85" s="1"/>
      <c r="C85" s="14"/>
      <c r="D85" s="56"/>
      <c r="E85" s="13"/>
      <c r="F85" s="2"/>
      <c r="G85" s="30"/>
    </row>
    <row r="86" spans="1:14" s="70" customFormat="1" ht="12.75" customHeight="1" x14ac:dyDescent="0.2">
      <c r="A86" s="215" t="s">
        <v>80</v>
      </c>
      <c r="B86" s="216"/>
      <c r="C86" s="216"/>
      <c r="D86" s="217"/>
      <c r="E86" s="69"/>
      <c r="G86" s="30"/>
    </row>
    <row r="87" spans="1:14" s="70" customFormat="1" ht="12.75" customHeight="1" x14ac:dyDescent="0.2">
      <c r="A87" s="71" t="s">
        <v>81</v>
      </c>
      <c r="B87" s="71"/>
      <c r="C87" s="72" t="s">
        <v>82</v>
      </c>
      <c r="D87" s="73" t="s">
        <v>83</v>
      </c>
      <c r="E87" s="69"/>
      <c r="G87" s="30"/>
    </row>
    <row r="88" spans="1:14" s="70" customFormat="1" ht="12.75" customHeight="1" x14ac:dyDescent="0.2">
      <c r="A88" s="87">
        <v>45264</v>
      </c>
      <c r="B88" s="120" t="s">
        <v>6</v>
      </c>
      <c r="C88" s="75" t="s">
        <v>909</v>
      </c>
      <c r="D88" s="88">
        <v>13756945</v>
      </c>
      <c r="E88" s="2"/>
      <c r="F88" s="2"/>
      <c r="G88" s="30"/>
      <c r="H88" s="2"/>
      <c r="I88" s="2"/>
      <c r="J88" s="2"/>
      <c r="K88" s="2"/>
      <c r="L88" s="41"/>
      <c r="M88" s="42"/>
      <c r="N88" s="2"/>
    </row>
    <row r="89" spans="1:14" s="70" customFormat="1" ht="12.75" customHeight="1" x14ac:dyDescent="0.2">
      <c r="A89" s="87">
        <v>45265</v>
      </c>
      <c r="B89" s="120" t="s">
        <v>6</v>
      </c>
      <c r="C89" s="75" t="s">
        <v>1552</v>
      </c>
      <c r="D89" s="88">
        <v>2152501.6</v>
      </c>
      <c r="E89" s="2"/>
      <c r="F89" s="2"/>
      <c r="G89" s="30"/>
      <c r="H89" s="2"/>
      <c r="I89" s="2"/>
      <c r="J89" s="2"/>
      <c r="K89" s="2"/>
      <c r="L89" s="41"/>
      <c r="M89" s="42"/>
      <c r="N89" s="2"/>
    </row>
    <row r="90" spans="1:14" s="2" customFormat="1" x14ac:dyDescent="0.2">
      <c r="A90" s="87"/>
      <c r="B90" s="74"/>
      <c r="C90" s="75"/>
      <c r="D90" s="51">
        <f>SUM(D88:D89)</f>
        <v>15909446.6</v>
      </c>
      <c r="F90" s="2" t="s">
        <v>396</v>
      </c>
      <c r="G90" s="1"/>
    </row>
    <row r="91" spans="1:14" s="2" customFormat="1" x14ac:dyDescent="0.2">
      <c r="A91" s="24"/>
      <c r="B91" s="1"/>
      <c r="C91" s="14"/>
      <c r="D91" s="56"/>
      <c r="E91" s="13"/>
      <c r="G91" s="1"/>
    </row>
    <row r="92" spans="1:14" s="2" customFormat="1" x14ac:dyDescent="0.2">
      <c r="A92" s="24"/>
      <c r="B92" s="1"/>
      <c r="C92" s="218" t="s">
        <v>77</v>
      </c>
      <c r="D92" s="219"/>
      <c r="E92" s="219"/>
      <c r="F92" s="220"/>
      <c r="H92" s="2" t="s">
        <v>396</v>
      </c>
    </row>
    <row r="93" spans="1:14" s="2" customFormat="1" x14ac:dyDescent="0.2">
      <c r="A93" s="24"/>
      <c r="B93" s="1"/>
      <c r="C93" s="50"/>
      <c r="D93" s="57" t="s">
        <v>78</v>
      </c>
      <c r="E93" s="58" t="s">
        <v>79</v>
      </c>
      <c r="F93" s="57" t="s">
        <v>72</v>
      </c>
      <c r="H93" s="2" t="s">
        <v>396</v>
      </c>
    </row>
    <row r="94" spans="1:14" s="2" customFormat="1" x14ac:dyDescent="0.2">
      <c r="A94" s="24"/>
      <c r="B94" s="1"/>
      <c r="C94" s="59" t="str">
        <f>"01-12-2023 to "&amp;TEXT(A5-2,"dd-mm-yyyy")</f>
        <v>01-12-2023 to 04-12-2023</v>
      </c>
      <c r="D94" s="60">
        <v>237.37</v>
      </c>
      <c r="E94" s="60">
        <v>63.71</v>
      </c>
      <c r="F94" s="61">
        <f>SUM(D94:E94)</f>
        <v>301.08</v>
      </c>
    </row>
    <row r="95" spans="1:14" s="2" customFormat="1" x14ac:dyDescent="0.2">
      <c r="A95" s="24"/>
      <c r="B95" s="1"/>
      <c r="C95" s="62" t="str">
        <f>TEXT(A5-1,"dd-mm-yyyy")</f>
        <v>05-12-2023</v>
      </c>
      <c r="D95" s="60">
        <v>49.12</v>
      </c>
      <c r="E95" s="60">
        <v>46.04</v>
      </c>
      <c r="F95" s="61">
        <f>SUM(D95:E95)</f>
        <v>95.16</v>
      </c>
      <c r="G95" s="1"/>
      <c r="H95" s="53"/>
    </row>
    <row r="96" spans="1:14" s="2" customFormat="1" ht="13.5" thickBot="1" x14ac:dyDescent="0.25">
      <c r="A96" s="24"/>
      <c r="B96" s="1"/>
      <c r="C96" s="63" t="str">
        <f>"01-12-2023 to "&amp;TEXT(A5-1,"dd-mm-yyyy")</f>
        <v>01-12-2023 to 05-12-2023</v>
      </c>
      <c r="D96" s="64">
        <f>SUM(D94:D95)</f>
        <v>286.49</v>
      </c>
      <c r="E96" s="64">
        <f>SUM(E94:E95)</f>
        <v>109.75</v>
      </c>
      <c r="F96" s="64">
        <f>SUM(F94:F95)</f>
        <v>396.24</v>
      </c>
      <c r="G96" s="1"/>
      <c r="H96" s="53"/>
    </row>
    <row r="97" spans="1:13" s="2" customFormat="1" ht="13.5" thickTop="1" x14ac:dyDescent="0.2">
      <c r="A97" s="24"/>
      <c r="B97" s="1"/>
      <c r="C97" s="62"/>
      <c r="D97" s="65"/>
      <c r="E97" s="66"/>
      <c r="F97" s="67"/>
      <c r="L97" s="1"/>
      <c r="M97" s="1"/>
    </row>
    <row r="98" spans="1:13" s="2" customFormat="1" x14ac:dyDescent="0.2">
      <c r="A98" s="24"/>
      <c r="B98" s="1"/>
      <c r="C98" s="62" t="str">
        <f>"01-04-2023 to " &amp;C95</f>
        <v>01-04-2023 to 05-12-2023</v>
      </c>
      <c r="D98" s="68">
        <f>+D96+32234.22</f>
        <v>32520.710000000003</v>
      </c>
      <c r="E98" s="68">
        <f>+E96+3134.59</f>
        <v>3244.34</v>
      </c>
      <c r="F98" s="68">
        <f>+F96+35368.81</f>
        <v>35765.049999999996</v>
      </c>
      <c r="G98" s="1"/>
      <c r="L98" s="1"/>
      <c r="M98" s="1"/>
    </row>
    <row r="99" spans="1:13" s="2" customFormat="1" x14ac:dyDescent="0.2">
      <c r="A99" s="24"/>
      <c r="B99" s="1"/>
      <c r="C99" s="52"/>
      <c r="D99" s="85"/>
      <c r="E99" s="53"/>
      <c r="F99" s="53"/>
      <c r="G99" s="1"/>
      <c r="L99" s="1"/>
      <c r="M99" s="1"/>
    </row>
    <row r="100" spans="1:13" s="2" customFormat="1" x14ac:dyDescent="0.2">
      <c r="A100" s="24"/>
      <c r="B100" s="1"/>
      <c r="C100" s="52"/>
      <c r="D100" s="85"/>
      <c r="E100" s="53"/>
      <c r="F100" s="53"/>
      <c r="G100" s="1"/>
      <c r="L100" s="1"/>
      <c r="M100" s="1"/>
    </row>
    <row r="101" spans="1:13" s="2" customFormat="1" x14ac:dyDescent="0.2">
      <c r="A101" s="24"/>
      <c r="B101" s="1"/>
      <c r="C101" s="52"/>
      <c r="D101" s="85"/>
      <c r="E101" s="53"/>
      <c r="F101" s="53"/>
      <c r="G101" s="1"/>
      <c r="L101" s="1"/>
      <c r="M101" s="1"/>
    </row>
    <row r="102" spans="1:13" s="2" customFormat="1" x14ac:dyDescent="0.2">
      <c r="A102" s="24"/>
      <c r="B102" s="1"/>
      <c r="C102" s="52"/>
      <c r="D102" s="85"/>
      <c r="E102" s="53"/>
      <c r="F102" s="53"/>
      <c r="G102" s="1"/>
      <c r="L102" s="1"/>
      <c r="M102" s="1"/>
    </row>
    <row r="103" spans="1:13" s="2" customFormat="1" x14ac:dyDescent="0.2">
      <c r="A103" s="24"/>
      <c r="B103" s="1"/>
      <c r="C103" s="14"/>
      <c r="D103" s="25">
        <f>SUM(D100:D102)</f>
        <v>0</v>
      </c>
      <c r="E103" s="2">
        <f>SUM(E100:E102)</f>
        <v>0</v>
      </c>
      <c r="G103" s="1"/>
      <c r="L103" s="1"/>
      <c r="M103" s="1"/>
    </row>
    <row r="104" spans="1:13" s="2" customFormat="1" x14ac:dyDescent="0.2">
      <c r="A104" s="24"/>
      <c r="B104" s="1"/>
      <c r="C104" s="14"/>
      <c r="D104" s="25"/>
      <c r="G104" s="1"/>
      <c r="L104" s="1"/>
      <c r="M104" s="1"/>
    </row>
    <row r="105" spans="1:13" s="2" customFormat="1" x14ac:dyDescent="0.2">
      <c r="A105" s="24"/>
      <c r="B105" s="1"/>
      <c r="C105" s="14"/>
      <c r="D105" s="25"/>
      <c r="G105" s="1"/>
      <c r="L105" s="1"/>
      <c r="M105" s="1"/>
    </row>
    <row r="106" spans="1:13" s="2" customFormat="1" x14ac:dyDescent="0.2">
      <c r="A106" s="24"/>
      <c r="B106" s="1"/>
      <c r="C106" s="14"/>
      <c r="D106" s="25"/>
      <c r="G106" s="1"/>
      <c r="L106" s="1"/>
      <c r="M106" s="1"/>
    </row>
    <row r="107" spans="1:13" s="2" customFormat="1" x14ac:dyDescent="0.2">
      <c r="A107" s="24"/>
      <c r="B107" s="1"/>
      <c r="C107" s="14"/>
      <c r="D107" s="25"/>
      <c r="G107" s="1"/>
      <c r="L107" s="1"/>
      <c r="M107" s="1"/>
    </row>
    <row r="108" spans="1:13" s="2" customFormat="1" x14ac:dyDescent="0.2">
      <c r="A108" s="24"/>
      <c r="B108" s="1"/>
      <c r="C108" s="14"/>
      <c r="D108" s="25"/>
      <c r="G108" s="1"/>
      <c r="L108" s="1"/>
      <c r="M108" s="1"/>
    </row>
    <row r="109" spans="1:13" s="2" customFormat="1" x14ac:dyDescent="0.2">
      <c r="A109" s="24"/>
      <c r="B109" s="1"/>
      <c r="C109" s="14"/>
      <c r="D109" s="25"/>
      <c r="G109" s="1"/>
      <c r="L109" s="1"/>
      <c r="M109" s="1"/>
    </row>
    <row r="110" spans="1:13" s="2" customFormat="1" x14ac:dyDescent="0.2">
      <c r="A110" s="24"/>
      <c r="B110" s="1"/>
      <c r="C110" s="14"/>
      <c r="D110" s="25"/>
      <c r="G110" s="1"/>
      <c r="L110" s="1"/>
      <c r="M110" s="1"/>
    </row>
    <row r="111" spans="1:13" s="2" customFormat="1" x14ac:dyDescent="0.2">
      <c r="A111" s="24"/>
      <c r="B111" s="1"/>
      <c r="C111" s="14"/>
      <c r="D111" s="25"/>
      <c r="G111" s="1"/>
      <c r="L111" s="1"/>
      <c r="M111" s="1"/>
    </row>
    <row r="112" spans="1:13" s="2" customFormat="1" x14ac:dyDescent="0.2">
      <c r="A112" s="24"/>
      <c r="B112" s="1"/>
      <c r="C112" s="14"/>
      <c r="D112" s="25"/>
      <c r="G112" s="1"/>
      <c r="L112" s="1"/>
      <c r="M112" s="1"/>
    </row>
    <row r="113" spans="1:14" s="2" customFormat="1" x14ac:dyDescent="0.2">
      <c r="A113" s="24"/>
      <c r="B113" s="1"/>
      <c r="C113" s="14"/>
      <c r="D113" s="25"/>
      <c r="G113" s="1"/>
      <c r="L113" s="1"/>
      <c r="M113" s="1"/>
    </row>
    <row r="114" spans="1:14" s="2" customFormat="1" x14ac:dyDescent="0.2">
      <c r="A114" s="24"/>
      <c r="B114" s="1"/>
      <c r="C114" s="14"/>
      <c r="D114" s="25"/>
      <c r="G114" s="1"/>
      <c r="L114" s="1"/>
      <c r="M114" s="1"/>
    </row>
    <row r="115" spans="1:14" s="2" customFormat="1" x14ac:dyDescent="0.2">
      <c r="A115" s="24"/>
      <c r="B115" s="1"/>
      <c r="C115" s="14"/>
      <c r="D115" s="25"/>
      <c r="G115" s="1"/>
      <c r="L115" s="1"/>
      <c r="M115" s="1"/>
    </row>
    <row r="116" spans="1:14" s="2" customFormat="1" x14ac:dyDescent="0.2">
      <c r="A116" s="24"/>
      <c r="B116" s="1"/>
      <c r="C116" s="14"/>
      <c r="D116" s="25"/>
      <c r="G116" s="1"/>
      <c r="L116" s="1"/>
      <c r="M116" s="1"/>
    </row>
    <row r="117" spans="1:14" s="2" customFormat="1" x14ac:dyDescent="0.2">
      <c r="A117" s="24"/>
      <c r="B117" s="1"/>
      <c r="C117" s="14"/>
      <c r="D117" s="25"/>
      <c r="G117" s="1"/>
      <c r="I117" s="1"/>
      <c r="J117" s="1"/>
      <c r="K117" s="1"/>
      <c r="L117" s="1"/>
      <c r="M117" s="1"/>
    </row>
    <row r="118" spans="1:14" s="2" customFormat="1" x14ac:dyDescent="0.2">
      <c r="A118" s="24"/>
      <c r="B118" s="1"/>
      <c r="C118" s="14"/>
      <c r="D118" s="25"/>
      <c r="G118" s="1"/>
    </row>
    <row r="119" spans="1:14" s="2" customFormat="1" x14ac:dyDescent="0.2">
      <c r="A119" s="24"/>
      <c r="B119" s="1"/>
      <c r="C119" s="14"/>
      <c r="D119" s="25"/>
      <c r="G119" s="1"/>
      <c r="I119" s="1"/>
      <c r="J119" s="1"/>
      <c r="K119" s="1"/>
      <c r="L119" s="1"/>
      <c r="M119" s="1"/>
    </row>
    <row r="120" spans="1:14" s="2" customFormat="1" x14ac:dyDescent="0.2">
      <c r="A120" s="24"/>
      <c r="B120" s="1"/>
      <c r="C120" s="14"/>
      <c r="D120" s="25"/>
      <c r="G120" s="54"/>
      <c r="I120" s="1"/>
      <c r="J120" s="1"/>
      <c r="K120" s="1"/>
      <c r="L120" s="1"/>
      <c r="M120" s="1"/>
    </row>
    <row r="121" spans="1:14" s="2" customFormat="1" x14ac:dyDescent="0.2">
      <c r="A121" s="24"/>
      <c r="B121" s="1"/>
      <c r="C121" s="14"/>
      <c r="D121" s="25"/>
      <c r="G121" s="54"/>
      <c r="I121" s="1"/>
      <c r="J121" s="1"/>
      <c r="K121" s="1"/>
      <c r="L121" s="1"/>
      <c r="M121" s="1"/>
    </row>
    <row r="122" spans="1:14" s="2" customFormat="1" x14ac:dyDescent="0.2">
      <c r="A122" s="24"/>
      <c r="B122" s="1"/>
      <c r="C122" s="14"/>
      <c r="D122" s="25"/>
      <c r="G122" s="54"/>
      <c r="I122" s="1"/>
      <c r="J122" s="1"/>
      <c r="K122" s="1"/>
      <c r="L122" s="1"/>
      <c r="M122" s="1"/>
    </row>
    <row r="123" spans="1:14" s="2" customFormat="1" x14ac:dyDescent="0.2">
      <c r="A123" s="24"/>
      <c r="B123" s="1"/>
      <c r="C123" s="14"/>
      <c r="D123" s="25"/>
      <c r="G123" s="54"/>
      <c r="H123" s="2" t="s">
        <v>396</v>
      </c>
      <c r="I123" s="1"/>
      <c r="J123" s="1"/>
      <c r="K123" s="1"/>
      <c r="L123" s="1"/>
      <c r="M123" s="1"/>
      <c r="N123" s="1"/>
    </row>
    <row r="124" spans="1:14" s="2" customFormat="1" x14ac:dyDescent="0.2">
      <c r="A124" s="24"/>
      <c r="B124" s="1"/>
      <c r="C124" s="14"/>
      <c r="D124" s="25"/>
      <c r="G124" s="54"/>
      <c r="H124" s="53"/>
    </row>
    <row r="125" spans="1:14" s="2" customFormat="1" x14ac:dyDescent="0.2">
      <c r="A125" s="24"/>
      <c r="B125" s="1"/>
      <c r="C125" s="14"/>
      <c r="D125" s="25"/>
      <c r="G125" s="54"/>
      <c r="H125" s="53" t="s">
        <v>396</v>
      </c>
      <c r="I125" s="1"/>
      <c r="J125" s="1"/>
      <c r="K125" s="1"/>
      <c r="L125" s="1"/>
      <c r="M125" s="1"/>
      <c r="N125" s="1"/>
    </row>
    <row r="126" spans="1:14" x14ac:dyDescent="0.2">
      <c r="G126" s="54"/>
      <c r="H126" s="53" t="s">
        <v>396</v>
      </c>
      <c r="J126" s="42"/>
    </row>
    <row r="127" spans="1:14" s="2" customFormat="1" x14ac:dyDescent="0.2">
      <c r="A127" s="24"/>
      <c r="B127" s="1"/>
      <c r="C127" s="14"/>
      <c r="D127" s="25"/>
      <c r="G127" s="54"/>
      <c r="H127" s="53"/>
      <c r="I127" s="101"/>
      <c r="J127" s="1"/>
      <c r="K127" s="1"/>
      <c r="L127" s="1"/>
      <c r="M127" s="1"/>
      <c r="N127" s="1"/>
    </row>
    <row r="128" spans="1:14" x14ac:dyDescent="0.2">
      <c r="G128" s="54"/>
      <c r="H128" s="53"/>
    </row>
    <row r="129" spans="7:8" x14ac:dyDescent="0.2">
      <c r="G129" s="54"/>
      <c r="H129" s="53"/>
    </row>
    <row r="130" spans="7:8" x14ac:dyDescent="0.2">
      <c r="G130" s="54"/>
      <c r="H130" s="53"/>
    </row>
  </sheetData>
  <sheetProtection insertRows="0"/>
  <mergeCells count="6">
    <mergeCell ref="C92:F92"/>
    <mergeCell ref="A1:G1"/>
    <mergeCell ref="A3:F3"/>
    <mergeCell ref="A10:F10"/>
    <mergeCell ref="A23:F23"/>
    <mergeCell ref="A86:D86"/>
  </mergeCells>
  <conditionalFormatting sqref="G83:G84">
    <cfRule type="cellIs" dxfId="189" priority="1" operator="lessThan">
      <formula>0</formula>
    </cfRule>
  </conditionalFormatting>
  <conditionalFormatting sqref="C25">
    <cfRule type="duplicateValues" dxfId="188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400-000000000000}">
  <sheetPr codeName="Sheet492">
    <pageSetUpPr fitToPage="1"/>
  </sheetPr>
  <dimension ref="A1:N144"/>
  <sheetViews>
    <sheetView topLeftCell="A18" zoomScaleNormal="100" workbookViewId="0">
      <selection activeCell="C37" sqref="C37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1" ht="20.25" customHeight="1" x14ac:dyDescent="0.4">
      <c r="A1" s="212" t="s">
        <v>1847</v>
      </c>
      <c r="B1" s="212"/>
      <c r="C1" s="212"/>
      <c r="D1" s="212"/>
      <c r="E1" s="212"/>
      <c r="F1" s="212"/>
      <c r="G1" s="212"/>
      <c r="H1" s="112"/>
      <c r="I1" s="112"/>
    </row>
    <row r="2" spans="1:11" ht="12.75" customHeight="1" x14ac:dyDescent="0.4">
      <c r="H2" s="112"/>
      <c r="I2" s="112"/>
    </row>
    <row r="3" spans="1:11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1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1" s="2" customFormat="1" ht="14.25" customHeight="1" x14ac:dyDescent="0.4">
      <c r="A5" s="89">
        <v>45267</v>
      </c>
      <c r="B5" s="9" t="s">
        <v>6</v>
      </c>
      <c r="C5" s="10" t="s">
        <v>7</v>
      </c>
      <c r="D5" s="11"/>
      <c r="E5" s="12">
        <v>3305464.34</v>
      </c>
      <c r="F5" s="12"/>
      <c r="G5" s="1"/>
      <c r="H5" s="112"/>
      <c r="I5" s="112"/>
    </row>
    <row r="6" spans="1:11" s="2" customFormat="1" ht="14.25" customHeight="1" x14ac:dyDescent="0.4">
      <c r="A6" s="89">
        <v>45267</v>
      </c>
      <c r="B6" s="9" t="s">
        <v>11</v>
      </c>
      <c r="C6" s="10" t="s">
        <v>380</v>
      </c>
      <c r="D6" s="11" t="s">
        <v>29</v>
      </c>
      <c r="E6" s="12"/>
      <c r="F6" s="12">
        <v>2776321</v>
      </c>
      <c r="G6" s="1"/>
      <c r="H6" s="112"/>
      <c r="I6" s="112"/>
    </row>
    <row r="7" spans="1:11" s="2" customFormat="1" ht="12.75" customHeight="1" x14ac:dyDescent="0.2">
      <c r="D7" s="15" t="s">
        <v>8</v>
      </c>
      <c r="E7" s="16">
        <f>SUM(E5:E6)</f>
        <v>3305464.34</v>
      </c>
      <c r="F7" s="16">
        <f>F6</f>
        <v>2776321</v>
      </c>
      <c r="G7" s="1"/>
      <c r="H7" s="13" t="s">
        <v>1582</v>
      </c>
      <c r="I7" s="13" t="s">
        <v>1583</v>
      </c>
    </row>
    <row r="8" spans="1:11" s="2" customFormat="1" ht="12.75" customHeight="1" x14ac:dyDescent="0.2">
      <c r="A8" s="17"/>
      <c r="B8" s="18"/>
      <c r="C8" s="19" t="s">
        <v>9</v>
      </c>
      <c r="D8" s="20"/>
      <c r="E8" s="21">
        <f>+E7-F7</f>
        <v>529143.33999999985</v>
      </c>
      <c r="F8" s="22"/>
      <c r="G8" s="23"/>
      <c r="H8" s="2">
        <v>968867</v>
      </c>
      <c r="I8" s="2">
        <v>0</v>
      </c>
      <c r="J8" s="176">
        <f>H8-I8</f>
        <v>968867</v>
      </c>
    </row>
    <row r="9" spans="1:11" ht="12.75" customHeight="1" x14ac:dyDescent="0.4">
      <c r="H9" s="112"/>
      <c r="I9" s="112"/>
    </row>
    <row r="10" spans="1:11" ht="18" customHeight="1" x14ac:dyDescent="0.4">
      <c r="A10" s="213" t="s">
        <v>1037</v>
      </c>
      <c r="B10" s="213"/>
      <c r="C10" s="213"/>
      <c r="D10" s="213"/>
      <c r="E10" s="213"/>
      <c r="F10" s="213"/>
      <c r="H10" s="112"/>
      <c r="I10" s="169">
        <f>90000000-60000000</f>
        <v>30000000</v>
      </c>
      <c r="J10" s="169" t="s">
        <v>1508</v>
      </c>
    </row>
    <row r="11" spans="1:11" ht="12.75" customHeight="1" x14ac:dyDescent="0.4">
      <c r="A11" s="3" t="s">
        <v>1</v>
      </c>
      <c r="B11" s="4" t="s">
        <v>2</v>
      </c>
      <c r="C11" s="5"/>
      <c r="D11" s="6" t="s">
        <v>3</v>
      </c>
      <c r="E11" s="7" t="s">
        <v>4</v>
      </c>
      <c r="F11" s="7" t="s">
        <v>5</v>
      </c>
      <c r="H11" s="112"/>
      <c r="I11" s="169">
        <v>29459747.059999999</v>
      </c>
      <c r="J11" s="169" t="s">
        <v>1509</v>
      </c>
      <c r="K11" s="124"/>
    </row>
    <row r="12" spans="1:11" s="2" customFormat="1" ht="14.25" customHeight="1" x14ac:dyDescent="0.2">
      <c r="A12" s="89">
        <v>45267</v>
      </c>
      <c r="B12" s="9" t="s">
        <v>6</v>
      </c>
      <c r="C12" s="10" t="s">
        <v>7</v>
      </c>
      <c r="D12" s="11"/>
      <c r="F12" s="12">
        <v>27354445.059999999</v>
      </c>
      <c r="G12" s="1"/>
      <c r="H12" s="130" t="s">
        <v>396</v>
      </c>
      <c r="I12" s="169">
        <f>+I10-I11</f>
        <v>540252.94000000134</v>
      </c>
      <c r="J12" s="169" t="s">
        <v>712</v>
      </c>
      <c r="K12" s="165" t="s">
        <v>1512</v>
      </c>
    </row>
    <row r="13" spans="1:11" s="2" customFormat="1" ht="14.25" customHeight="1" x14ac:dyDescent="0.2">
      <c r="A13" s="89">
        <v>45267</v>
      </c>
      <c r="B13" s="9" t="s">
        <v>6</v>
      </c>
      <c r="C13" s="76" t="s">
        <v>468</v>
      </c>
      <c r="D13" s="11" t="s">
        <v>1793</v>
      </c>
      <c r="E13" s="31">
        <v>557559</v>
      </c>
      <c r="F13" s="12"/>
      <c r="G13" s="1"/>
      <c r="H13" s="130"/>
      <c r="I13" s="169"/>
      <c r="J13" s="169"/>
      <c r="K13" s="165"/>
    </row>
    <row r="14" spans="1:11" s="2" customFormat="1" ht="14.25" customHeight="1" x14ac:dyDescent="0.2">
      <c r="A14" s="89">
        <v>45267</v>
      </c>
      <c r="B14" s="9" t="s">
        <v>6</v>
      </c>
      <c r="C14" s="76" t="s">
        <v>220</v>
      </c>
      <c r="D14" s="11" t="s">
        <v>1793</v>
      </c>
      <c r="E14" s="31">
        <v>411308</v>
      </c>
      <c r="F14" s="12"/>
      <c r="G14" s="1"/>
      <c r="H14" s="130"/>
      <c r="I14" s="169"/>
      <c r="J14" s="169"/>
      <c r="K14" s="165"/>
    </row>
    <row r="15" spans="1:11" s="2" customFormat="1" ht="14.25" customHeight="1" x14ac:dyDescent="0.2">
      <c r="A15" s="89">
        <v>45267</v>
      </c>
      <c r="B15" s="9" t="s">
        <v>11</v>
      </c>
      <c r="C15" s="76" t="s">
        <v>1111</v>
      </c>
      <c r="D15" s="11" t="s">
        <v>29</v>
      </c>
      <c r="F15" s="31">
        <v>59400</v>
      </c>
      <c r="G15" s="1"/>
      <c r="H15" s="130"/>
      <c r="I15" s="169"/>
      <c r="J15" s="169"/>
      <c r="K15" s="165"/>
    </row>
    <row r="16" spans="1:11" s="2" customFormat="1" ht="14.25" customHeight="1" x14ac:dyDescent="0.2">
      <c r="A16" s="89">
        <v>45267</v>
      </c>
      <c r="B16" s="9" t="s">
        <v>11</v>
      </c>
      <c r="C16" s="76" t="s">
        <v>930</v>
      </c>
      <c r="D16" s="11" t="s">
        <v>29</v>
      </c>
      <c r="F16" s="31">
        <v>10856</v>
      </c>
      <c r="G16" s="1"/>
      <c r="H16" s="130"/>
      <c r="I16" s="169"/>
      <c r="J16" s="169"/>
      <c r="K16" s="165"/>
    </row>
    <row r="17" spans="1:13" s="2" customFormat="1" ht="14.25" customHeight="1" x14ac:dyDescent="0.2">
      <c r="A17" s="89">
        <v>45267</v>
      </c>
      <c r="B17" s="9" t="s">
        <v>11</v>
      </c>
      <c r="C17" s="76" t="s">
        <v>591</v>
      </c>
      <c r="D17" s="11" t="s">
        <v>29</v>
      </c>
      <c r="F17" s="31">
        <v>493069</v>
      </c>
      <c r="G17" s="1"/>
      <c r="H17" s="130"/>
      <c r="I17" s="169"/>
      <c r="J17" s="169"/>
      <c r="K17" s="165"/>
    </row>
    <row r="18" spans="1:13" s="2" customFormat="1" ht="14.25" customHeight="1" x14ac:dyDescent="0.2">
      <c r="A18" s="89">
        <v>45267</v>
      </c>
      <c r="B18" s="9" t="s">
        <v>11</v>
      </c>
      <c r="C18" s="76" t="s">
        <v>1303</v>
      </c>
      <c r="D18" s="11" t="s">
        <v>29</v>
      </c>
      <c r="F18" s="31">
        <v>338169</v>
      </c>
      <c r="G18" s="1"/>
      <c r="H18" s="130"/>
      <c r="I18" s="169"/>
      <c r="J18" s="169"/>
      <c r="K18" s="165"/>
    </row>
    <row r="19" spans="1:13" s="2" customFormat="1" ht="14.25" customHeight="1" x14ac:dyDescent="0.2">
      <c r="A19" s="89">
        <v>45267</v>
      </c>
      <c r="B19" s="9" t="s">
        <v>11</v>
      </c>
      <c r="C19" s="76" t="s">
        <v>1304</v>
      </c>
      <c r="D19" s="11" t="s">
        <v>29</v>
      </c>
      <c r="F19" s="31">
        <v>603669</v>
      </c>
      <c r="G19" s="1"/>
      <c r="H19" s="130"/>
      <c r="I19" s="169"/>
      <c r="J19" s="169"/>
      <c r="K19" s="165"/>
    </row>
    <row r="20" spans="1:13" s="2" customFormat="1" ht="14.25" customHeight="1" x14ac:dyDescent="0.2">
      <c r="A20" s="89">
        <v>45267</v>
      </c>
      <c r="B20" s="9" t="s">
        <v>11</v>
      </c>
      <c r="C20" s="76" t="s">
        <v>1305</v>
      </c>
      <c r="D20" s="11" t="s">
        <v>29</v>
      </c>
      <c r="F20" s="31">
        <v>307239</v>
      </c>
      <c r="G20" s="1"/>
      <c r="H20" s="130"/>
      <c r="I20" s="169"/>
      <c r="J20" s="169"/>
      <c r="K20" s="165"/>
    </row>
    <row r="21" spans="1:13" s="2" customFormat="1" ht="14.25" customHeight="1" x14ac:dyDescent="0.2">
      <c r="A21" s="89">
        <v>45267</v>
      </c>
      <c r="B21" s="9" t="s">
        <v>11</v>
      </c>
      <c r="C21" s="76" t="s">
        <v>98</v>
      </c>
      <c r="D21" s="11" t="s">
        <v>29</v>
      </c>
      <c r="F21" s="31">
        <v>33400</v>
      </c>
      <c r="G21" s="1"/>
      <c r="H21" s="130"/>
      <c r="I21" s="169"/>
      <c r="J21" s="169"/>
      <c r="K21" s="165"/>
    </row>
    <row r="22" spans="1:13" s="2" customFormat="1" ht="14.25" customHeight="1" x14ac:dyDescent="0.2">
      <c r="A22" s="89">
        <v>45267</v>
      </c>
      <c r="B22" s="9" t="s">
        <v>11</v>
      </c>
      <c r="C22" s="76" t="s">
        <v>52</v>
      </c>
      <c r="D22" s="11" t="s">
        <v>29</v>
      </c>
      <c r="F22" s="31">
        <v>124500</v>
      </c>
      <c r="G22" s="1"/>
      <c r="H22" s="130"/>
      <c r="I22" s="169"/>
      <c r="J22" s="169"/>
      <c r="K22" s="165"/>
    </row>
    <row r="23" spans="1:13" s="2" customFormat="1" ht="14.25" customHeight="1" x14ac:dyDescent="0.2">
      <c r="A23" s="89">
        <v>45267</v>
      </c>
      <c r="B23" s="9" t="s">
        <v>11</v>
      </c>
      <c r="C23" s="76" t="s">
        <v>337</v>
      </c>
      <c r="D23" s="11" t="s">
        <v>29</v>
      </c>
      <c r="F23" s="31">
        <v>135000</v>
      </c>
      <c r="G23" s="1"/>
      <c r="H23" s="130"/>
      <c r="I23" s="169"/>
      <c r="J23" s="169"/>
      <c r="K23" s="165"/>
    </row>
    <row r="24" spans="1:13" s="2" customFormat="1" ht="14.25" customHeight="1" x14ac:dyDescent="0.2">
      <c r="D24" s="11" t="s">
        <v>8</v>
      </c>
      <c r="E24" s="16">
        <f>SUM(E13:E23)</f>
        <v>968867</v>
      </c>
      <c r="F24" s="16">
        <f>SUM(F12:F23)</f>
        <v>29459747.059999999</v>
      </c>
      <c r="G24" s="1"/>
      <c r="H24" s="143"/>
      <c r="I24" s="130"/>
      <c r="J24" s="143"/>
      <c r="K24" s="143"/>
      <c r="L24" s="143"/>
      <c r="M24" s="143"/>
    </row>
    <row r="25" spans="1:13" s="2" customFormat="1" ht="14.25" customHeight="1" x14ac:dyDescent="0.4">
      <c r="A25" s="17"/>
      <c r="B25" s="18"/>
      <c r="C25" s="96" t="s">
        <v>9</v>
      </c>
      <c r="D25" s="20"/>
      <c r="E25" s="21">
        <f>+F24-E24</f>
        <v>28490880.059999999</v>
      </c>
      <c r="G25" s="1"/>
      <c r="I25" s="112"/>
      <c r="J25" s="153" t="s">
        <v>779</v>
      </c>
    </row>
    <row r="26" spans="1:13" s="2" customFormat="1" ht="14.25" customHeight="1" x14ac:dyDescent="0.2">
      <c r="A26" s="36"/>
      <c r="B26" s="28" t="s">
        <v>66</v>
      </c>
      <c r="C26" s="43" t="s">
        <v>1458</v>
      </c>
      <c r="D26" s="43"/>
      <c r="E26" s="12">
        <f>30000000+60000000</f>
        <v>90000000</v>
      </c>
      <c r="F26" s="22"/>
      <c r="G26" s="1"/>
      <c r="I26" s="40">
        <v>28490880.059999999</v>
      </c>
      <c r="J26" s="154">
        <f>I26-E25</f>
        <v>0</v>
      </c>
    </row>
    <row r="27" spans="1:13" s="2" customFormat="1" ht="14.25" customHeight="1" x14ac:dyDescent="0.25">
      <c r="A27" s="36"/>
      <c r="B27" s="28"/>
      <c r="C27" s="44" t="s">
        <v>1541</v>
      </c>
      <c r="D27" s="43"/>
      <c r="E27" s="7">
        <f>+E25+E26</f>
        <v>118490880.06</v>
      </c>
      <c r="F27" s="22"/>
      <c r="G27" s="1"/>
      <c r="H27" s="13" t="s">
        <v>1582</v>
      </c>
      <c r="I27" s="13" t="s">
        <v>1583</v>
      </c>
    </row>
    <row r="28" spans="1:13" s="2" customFormat="1" ht="14.25" customHeight="1" x14ac:dyDescent="0.25">
      <c r="A28" s="36"/>
      <c r="B28" s="28"/>
      <c r="C28" s="44" t="s">
        <v>1511</v>
      </c>
      <c r="D28" s="43"/>
      <c r="E28" s="38">
        <f>+I12+H8-I8</f>
        <v>1509119.9400000013</v>
      </c>
      <c r="F28" s="22"/>
      <c r="G28" s="1"/>
      <c r="H28" s="2">
        <v>4998802</v>
      </c>
      <c r="I28" s="2">
        <v>9464692.7899999991</v>
      </c>
      <c r="J28" s="176">
        <f>H28-I28</f>
        <v>-4465890.7899999991</v>
      </c>
    </row>
    <row r="29" spans="1:13" s="2" customFormat="1" ht="14.25" customHeight="1" x14ac:dyDescent="0.2">
      <c r="A29" s="24"/>
      <c r="B29" s="1"/>
      <c r="C29" s="14"/>
      <c r="D29" s="25"/>
      <c r="G29" s="1"/>
      <c r="I29" s="130"/>
      <c r="J29" s="130"/>
    </row>
    <row r="30" spans="1:13" s="2" customFormat="1" x14ac:dyDescent="0.2">
      <c r="A30" s="214" t="s">
        <v>10</v>
      </c>
      <c r="B30" s="214"/>
      <c r="C30" s="214"/>
      <c r="D30" s="214"/>
      <c r="E30" s="214"/>
      <c r="F30" s="214"/>
      <c r="G30" s="1"/>
      <c r="H30" s="159"/>
      <c r="I30" s="160">
        <f>225000000-75000000-50000000</f>
        <v>100000000</v>
      </c>
      <c r="J30" s="160" t="s">
        <v>1506</v>
      </c>
      <c r="K30" s="70"/>
    </row>
    <row r="31" spans="1:13" s="2" customFormat="1" x14ac:dyDescent="0.2">
      <c r="A31" s="26" t="s">
        <v>1</v>
      </c>
      <c r="B31" s="27" t="s">
        <v>2</v>
      </c>
      <c r="C31" s="5"/>
      <c r="D31" s="6" t="s">
        <v>3</v>
      </c>
      <c r="E31" s="7" t="s">
        <v>4</v>
      </c>
      <c r="F31" s="7" t="s">
        <v>5</v>
      </c>
      <c r="G31" s="1"/>
      <c r="H31" s="159"/>
      <c r="I31" s="160">
        <v>81444016.310000002</v>
      </c>
      <c r="J31" s="160" t="s">
        <v>1507</v>
      </c>
      <c r="K31" s="70" t="s">
        <v>1512</v>
      </c>
    </row>
    <row r="32" spans="1:13" s="2" customFormat="1" x14ac:dyDescent="0.2">
      <c r="A32" s="89">
        <v>45267</v>
      </c>
      <c r="B32" s="128" t="s">
        <v>11</v>
      </c>
      <c r="C32" s="29" t="s">
        <v>7</v>
      </c>
      <c r="D32" s="25"/>
      <c r="E32" s="31"/>
      <c r="F32" s="2">
        <v>60273352.350000024</v>
      </c>
      <c r="G32" s="23"/>
      <c r="H32" s="159" t="s">
        <v>1505</v>
      </c>
      <c r="I32" s="160">
        <f>+I30-I31</f>
        <v>18555983.689999998</v>
      </c>
      <c r="J32" s="160"/>
      <c r="K32" s="70"/>
    </row>
    <row r="33" spans="1:14" s="2" customFormat="1" x14ac:dyDescent="0.2">
      <c r="A33" s="89">
        <v>45267</v>
      </c>
      <c r="B33" s="128" t="s">
        <v>6</v>
      </c>
      <c r="C33" s="29" t="s">
        <v>200</v>
      </c>
      <c r="D33" s="11" t="s">
        <v>13</v>
      </c>
      <c r="E33" s="86">
        <v>38134</v>
      </c>
      <c r="F33" s="70"/>
      <c r="G33" s="1"/>
      <c r="N33" s="1"/>
    </row>
    <row r="34" spans="1:14" s="2" customFormat="1" x14ac:dyDescent="0.2">
      <c r="A34" s="89">
        <v>45267</v>
      </c>
      <c r="B34" s="128" t="s">
        <v>6</v>
      </c>
      <c r="C34" s="29" t="s">
        <v>120</v>
      </c>
      <c r="D34" s="11" t="s">
        <v>13</v>
      </c>
      <c r="E34" s="86">
        <v>2179824</v>
      </c>
      <c r="F34" s="70"/>
      <c r="G34" s="1"/>
      <c r="N34" s="1"/>
    </row>
    <row r="35" spans="1:14" s="2" customFormat="1" x14ac:dyDescent="0.2">
      <c r="A35" s="89">
        <v>45267</v>
      </c>
      <c r="B35" s="128" t="s">
        <v>6</v>
      </c>
      <c r="C35" s="29" t="s">
        <v>966</v>
      </c>
      <c r="D35" s="11" t="s">
        <v>13</v>
      </c>
      <c r="E35" s="86">
        <v>186775</v>
      </c>
      <c r="F35" s="70"/>
      <c r="G35" s="1"/>
      <c r="N35" s="1"/>
    </row>
    <row r="36" spans="1:14" s="2" customFormat="1" x14ac:dyDescent="0.2">
      <c r="A36" s="89">
        <v>45267</v>
      </c>
      <c r="B36" s="128" t="s">
        <v>6</v>
      </c>
      <c r="C36" s="29" t="s">
        <v>1584</v>
      </c>
      <c r="D36" s="11" t="s">
        <v>13</v>
      </c>
      <c r="E36" s="86">
        <v>10868</v>
      </c>
      <c r="F36" s="70"/>
      <c r="G36" s="1"/>
      <c r="N36" s="1"/>
    </row>
    <row r="37" spans="1:14" s="2" customFormat="1" x14ac:dyDescent="0.2">
      <c r="A37" s="89">
        <v>45267</v>
      </c>
      <c r="B37" s="128" t="s">
        <v>6</v>
      </c>
      <c r="C37" s="29" t="s">
        <v>161</v>
      </c>
      <c r="D37" s="11" t="s">
        <v>13</v>
      </c>
      <c r="E37" s="86">
        <v>358525</v>
      </c>
      <c r="F37" s="70"/>
      <c r="G37" s="1"/>
      <c r="N37" s="1"/>
    </row>
    <row r="38" spans="1:14" s="2" customFormat="1" x14ac:dyDescent="0.2">
      <c r="A38" s="89">
        <v>45267</v>
      </c>
      <c r="B38" s="128" t="s">
        <v>6</v>
      </c>
      <c r="C38" s="29" t="s">
        <v>299</v>
      </c>
      <c r="D38" s="11" t="s">
        <v>13</v>
      </c>
      <c r="E38" s="86">
        <v>57794</v>
      </c>
      <c r="F38" s="70"/>
      <c r="G38" s="1"/>
      <c r="N38" s="1"/>
    </row>
    <row r="39" spans="1:14" s="2" customFormat="1" x14ac:dyDescent="0.2">
      <c r="A39" s="89">
        <v>45267</v>
      </c>
      <c r="B39" s="128" t="s">
        <v>6</v>
      </c>
      <c r="C39" s="29" t="s">
        <v>1848</v>
      </c>
      <c r="D39" s="11" t="s">
        <v>13</v>
      </c>
      <c r="E39" s="86">
        <v>58000</v>
      </c>
      <c r="F39" s="70"/>
      <c r="G39" s="1"/>
      <c r="N39" s="1"/>
    </row>
    <row r="40" spans="1:14" s="2" customFormat="1" x14ac:dyDescent="0.2">
      <c r="A40" s="89">
        <v>45267</v>
      </c>
      <c r="B40" s="128" t="s">
        <v>6</v>
      </c>
      <c r="C40" s="29" t="s">
        <v>511</v>
      </c>
      <c r="D40" s="11" t="s">
        <v>13</v>
      </c>
      <c r="E40" s="86">
        <v>2136</v>
      </c>
      <c r="F40" s="70"/>
      <c r="G40" s="1"/>
      <c r="N40" s="1"/>
    </row>
    <row r="41" spans="1:14" s="2" customFormat="1" x14ac:dyDescent="0.2">
      <c r="A41" s="89">
        <v>45267</v>
      </c>
      <c r="B41" s="128" t="s">
        <v>6</v>
      </c>
      <c r="C41" s="29" t="s">
        <v>1815</v>
      </c>
      <c r="D41" s="11" t="s">
        <v>13</v>
      </c>
      <c r="E41" s="86">
        <v>5250</v>
      </c>
      <c r="F41" s="70"/>
      <c r="G41" s="1"/>
      <c r="N41" s="1"/>
    </row>
    <row r="42" spans="1:14" s="2" customFormat="1" x14ac:dyDescent="0.2">
      <c r="A42" s="89">
        <v>45267</v>
      </c>
      <c r="B42" s="128" t="s">
        <v>6</v>
      </c>
      <c r="C42" s="29" t="s">
        <v>469</v>
      </c>
      <c r="D42" s="11" t="s">
        <v>13</v>
      </c>
      <c r="E42" s="86">
        <v>999000</v>
      </c>
      <c r="F42" s="70"/>
      <c r="G42" s="1"/>
      <c r="N42" s="1"/>
    </row>
    <row r="43" spans="1:14" s="2" customFormat="1" x14ac:dyDescent="0.2">
      <c r="A43" s="89">
        <v>45267</v>
      </c>
      <c r="B43" s="128" t="s">
        <v>6</v>
      </c>
      <c r="C43" s="29" t="s">
        <v>149</v>
      </c>
      <c r="D43" s="11" t="s">
        <v>13</v>
      </c>
      <c r="E43" s="86">
        <v>68192</v>
      </c>
      <c r="F43" s="70"/>
      <c r="G43" s="1"/>
      <c r="N43" s="1"/>
    </row>
    <row r="44" spans="1:14" s="2" customFormat="1" x14ac:dyDescent="0.2">
      <c r="A44" s="89">
        <v>45267</v>
      </c>
      <c r="B44" s="128" t="s">
        <v>6</v>
      </c>
      <c r="C44" s="29" t="s">
        <v>174</v>
      </c>
      <c r="D44" s="11" t="s">
        <v>13</v>
      </c>
      <c r="E44" s="86">
        <v>4431</v>
      </c>
      <c r="F44" s="70"/>
      <c r="G44" s="1"/>
      <c r="N44" s="1"/>
    </row>
    <row r="45" spans="1:14" s="2" customFormat="1" x14ac:dyDescent="0.2">
      <c r="A45" s="89">
        <v>45267</v>
      </c>
      <c r="B45" s="128" t="s">
        <v>6</v>
      </c>
      <c r="C45" s="29" t="s">
        <v>62</v>
      </c>
      <c r="D45" s="11" t="s">
        <v>13</v>
      </c>
      <c r="E45" s="86">
        <v>24000</v>
      </c>
      <c r="F45" s="70"/>
      <c r="G45" s="1"/>
      <c r="N45" s="1"/>
    </row>
    <row r="46" spans="1:14" s="2" customFormat="1" x14ac:dyDescent="0.2">
      <c r="A46" s="89">
        <v>45267</v>
      </c>
      <c r="B46" s="128" t="s">
        <v>6</v>
      </c>
      <c r="C46" s="29" t="s">
        <v>15</v>
      </c>
      <c r="D46" s="11" t="s">
        <v>13</v>
      </c>
      <c r="E46" s="86">
        <v>931.32</v>
      </c>
      <c r="F46" s="70"/>
      <c r="G46" s="1"/>
      <c r="N46" s="1"/>
    </row>
    <row r="47" spans="1:14" s="2" customFormat="1" x14ac:dyDescent="0.2">
      <c r="A47" s="89">
        <v>45267</v>
      </c>
      <c r="B47" s="128" t="s">
        <v>11</v>
      </c>
      <c r="C47" s="29" t="s">
        <v>62</v>
      </c>
      <c r="D47" s="11" t="s">
        <v>29</v>
      </c>
      <c r="E47" s="86"/>
      <c r="F47" s="70">
        <v>30000</v>
      </c>
      <c r="G47" s="1"/>
      <c r="N47" s="1"/>
    </row>
    <row r="48" spans="1:14" s="2" customFormat="1" x14ac:dyDescent="0.2">
      <c r="A48" s="89">
        <v>45267</v>
      </c>
      <c r="B48" s="128" t="s">
        <v>11</v>
      </c>
      <c r="C48" s="29" t="s">
        <v>1849</v>
      </c>
      <c r="D48" s="11" t="s">
        <v>29</v>
      </c>
      <c r="E48" s="86"/>
      <c r="F48" s="70">
        <v>3272925</v>
      </c>
      <c r="G48" s="1"/>
      <c r="N48" s="1"/>
    </row>
    <row r="49" spans="1:14" s="2" customFormat="1" x14ac:dyDescent="0.2">
      <c r="A49" s="89">
        <v>45267</v>
      </c>
      <c r="B49" s="128" t="s">
        <v>11</v>
      </c>
      <c r="C49" s="29" t="s">
        <v>1832</v>
      </c>
      <c r="D49" s="11" t="s">
        <v>29</v>
      </c>
      <c r="E49" s="86"/>
      <c r="F49" s="70">
        <v>2885608</v>
      </c>
      <c r="G49" s="1"/>
      <c r="N49" s="1"/>
    </row>
    <row r="50" spans="1:14" s="2" customFormat="1" x14ac:dyDescent="0.2">
      <c r="A50" s="89">
        <v>45267</v>
      </c>
      <c r="B50" s="128" t="s">
        <v>11</v>
      </c>
      <c r="C50" s="29" t="s">
        <v>110</v>
      </c>
      <c r="D50" s="11" t="s">
        <v>29</v>
      </c>
      <c r="E50" s="86"/>
      <c r="F50" s="70">
        <v>1098723.99</v>
      </c>
      <c r="G50" s="1"/>
      <c r="N50" s="1"/>
    </row>
    <row r="51" spans="1:14" s="2" customFormat="1" x14ac:dyDescent="0.2">
      <c r="A51" s="89">
        <v>45267</v>
      </c>
      <c r="B51" s="128" t="s">
        <v>11</v>
      </c>
      <c r="C51" s="29" t="s">
        <v>1798</v>
      </c>
      <c r="D51" s="11" t="s">
        <v>29</v>
      </c>
      <c r="E51" s="86"/>
      <c r="F51" s="70">
        <v>1346436</v>
      </c>
      <c r="G51" s="1"/>
      <c r="N51" s="1"/>
    </row>
    <row r="52" spans="1:14" s="2" customFormat="1" x14ac:dyDescent="0.2">
      <c r="A52" s="89">
        <v>45267</v>
      </c>
      <c r="B52" s="128" t="s">
        <v>11</v>
      </c>
      <c r="C52" s="29" t="s">
        <v>127</v>
      </c>
      <c r="D52" s="11" t="s">
        <v>29</v>
      </c>
      <c r="E52" s="86"/>
      <c r="F52" s="86">
        <v>9239293</v>
      </c>
      <c r="G52" s="1"/>
      <c r="N52" s="1"/>
    </row>
    <row r="53" spans="1:14" s="2" customFormat="1" x14ac:dyDescent="0.2">
      <c r="A53" s="89">
        <v>45267</v>
      </c>
      <c r="B53" s="128" t="s">
        <v>11</v>
      </c>
      <c r="C53" s="29" t="s">
        <v>685</v>
      </c>
      <c r="D53" s="11" t="s">
        <v>29</v>
      </c>
      <c r="E53" s="86"/>
      <c r="F53" s="86">
        <v>359894</v>
      </c>
      <c r="G53" s="1"/>
      <c r="N53" s="1"/>
    </row>
    <row r="54" spans="1:14" s="2" customFormat="1" x14ac:dyDescent="0.2">
      <c r="A54" s="89">
        <v>45267</v>
      </c>
      <c r="B54" s="128" t="s">
        <v>11</v>
      </c>
      <c r="C54" s="29" t="s">
        <v>64</v>
      </c>
      <c r="D54" s="11" t="s">
        <v>29</v>
      </c>
      <c r="E54" s="86"/>
      <c r="F54" s="86">
        <v>15885.279999999999</v>
      </c>
      <c r="G54" s="1"/>
      <c r="N54" s="1"/>
    </row>
    <row r="55" spans="1:14" s="2" customFormat="1" x14ac:dyDescent="0.2">
      <c r="A55" s="89">
        <v>45267</v>
      </c>
      <c r="B55" s="128" t="s">
        <v>11</v>
      </c>
      <c r="C55" s="29" t="s">
        <v>731</v>
      </c>
      <c r="D55" s="11" t="s">
        <v>29</v>
      </c>
      <c r="E55" s="86"/>
      <c r="F55" s="86">
        <v>172260</v>
      </c>
      <c r="G55" s="1"/>
      <c r="N55" s="1"/>
    </row>
    <row r="56" spans="1:14" s="2" customFormat="1" x14ac:dyDescent="0.2">
      <c r="A56" s="89">
        <v>45267</v>
      </c>
      <c r="B56" s="128" t="s">
        <v>11</v>
      </c>
      <c r="C56" s="29" t="s">
        <v>493</v>
      </c>
      <c r="D56" s="11" t="s">
        <v>29</v>
      </c>
      <c r="E56" s="86"/>
      <c r="F56" s="86">
        <v>12960</v>
      </c>
      <c r="G56" s="1"/>
      <c r="N56" s="1"/>
    </row>
    <row r="57" spans="1:14" s="2" customFormat="1" x14ac:dyDescent="0.2">
      <c r="A57" s="89">
        <v>45267</v>
      </c>
      <c r="B57" s="128" t="s">
        <v>11</v>
      </c>
      <c r="C57" s="29" t="s">
        <v>392</v>
      </c>
      <c r="D57" s="11" t="s">
        <v>29</v>
      </c>
      <c r="E57" s="86"/>
      <c r="F57" s="86">
        <v>55867</v>
      </c>
      <c r="G57" s="1"/>
      <c r="N57" s="1"/>
    </row>
    <row r="58" spans="1:14" s="2" customFormat="1" x14ac:dyDescent="0.2">
      <c r="A58" s="89">
        <v>45267</v>
      </c>
      <c r="B58" s="128" t="s">
        <v>11</v>
      </c>
      <c r="C58" s="29" t="s">
        <v>95</v>
      </c>
      <c r="D58" s="11" t="s">
        <v>29</v>
      </c>
      <c r="E58" s="86"/>
      <c r="F58" s="86">
        <v>49500</v>
      </c>
      <c r="G58" s="1"/>
      <c r="N58" s="1"/>
    </row>
    <row r="59" spans="1:14" s="2" customFormat="1" x14ac:dyDescent="0.2">
      <c r="A59" s="89">
        <v>45267</v>
      </c>
      <c r="B59" s="128" t="s">
        <v>11</v>
      </c>
      <c r="C59" s="29" t="s">
        <v>248</v>
      </c>
      <c r="D59" s="11" t="s">
        <v>29</v>
      </c>
      <c r="E59" s="86"/>
      <c r="F59" s="86">
        <v>89347</v>
      </c>
      <c r="G59" s="1"/>
      <c r="N59" s="1"/>
    </row>
    <row r="60" spans="1:14" s="2" customFormat="1" x14ac:dyDescent="0.2">
      <c r="A60" s="89">
        <v>45267</v>
      </c>
      <c r="B60" s="128" t="s">
        <v>11</v>
      </c>
      <c r="C60" s="29" t="s">
        <v>363</v>
      </c>
      <c r="D60" s="11" t="s">
        <v>29</v>
      </c>
      <c r="E60" s="86"/>
      <c r="F60" s="86">
        <v>48535</v>
      </c>
      <c r="G60" s="1"/>
      <c r="N60" s="1"/>
    </row>
    <row r="61" spans="1:14" s="2" customFormat="1" x14ac:dyDescent="0.2">
      <c r="A61" s="89">
        <v>45267</v>
      </c>
      <c r="B61" s="128" t="s">
        <v>11</v>
      </c>
      <c r="C61" s="29" t="s">
        <v>415</v>
      </c>
      <c r="D61" s="11" t="s">
        <v>29</v>
      </c>
      <c r="E61" s="86"/>
      <c r="F61" s="86">
        <v>8779</v>
      </c>
      <c r="G61" s="1"/>
      <c r="N61" s="1"/>
    </row>
    <row r="62" spans="1:14" s="2" customFormat="1" x14ac:dyDescent="0.2">
      <c r="A62" s="89">
        <v>45267</v>
      </c>
      <c r="B62" s="128" t="s">
        <v>11</v>
      </c>
      <c r="C62" s="29" t="s">
        <v>250</v>
      </c>
      <c r="D62" s="11" t="s">
        <v>29</v>
      </c>
      <c r="E62" s="86"/>
      <c r="F62" s="86">
        <v>5181</v>
      </c>
      <c r="G62" s="1"/>
      <c r="N62" s="1"/>
    </row>
    <row r="63" spans="1:14" s="2" customFormat="1" x14ac:dyDescent="0.2">
      <c r="A63" s="89">
        <v>45267</v>
      </c>
      <c r="B63" s="128" t="s">
        <v>11</v>
      </c>
      <c r="C63" s="29" t="s">
        <v>870</v>
      </c>
      <c r="D63" s="11" t="s">
        <v>29</v>
      </c>
      <c r="E63" s="86"/>
      <c r="F63" s="86">
        <v>2240</v>
      </c>
      <c r="G63" s="1"/>
      <c r="N63" s="1"/>
    </row>
    <row r="64" spans="1:14" s="2" customFormat="1" x14ac:dyDescent="0.2">
      <c r="A64" s="89">
        <v>45267</v>
      </c>
      <c r="B64" s="128" t="s">
        <v>11</v>
      </c>
      <c r="C64" s="29" t="s">
        <v>789</v>
      </c>
      <c r="D64" s="11" t="s">
        <v>29</v>
      </c>
      <c r="E64" s="86"/>
      <c r="F64" s="86">
        <v>629292</v>
      </c>
      <c r="G64" s="1"/>
      <c r="N64" s="1"/>
    </row>
    <row r="65" spans="1:14" s="2" customFormat="1" x14ac:dyDescent="0.2">
      <c r="A65" s="89">
        <v>45267</v>
      </c>
      <c r="B65" s="128" t="s">
        <v>11</v>
      </c>
      <c r="C65" s="29" t="s">
        <v>242</v>
      </c>
      <c r="D65" s="11" t="s">
        <v>29</v>
      </c>
      <c r="E65" s="86"/>
      <c r="F65" s="86">
        <v>108446.8</v>
      </c>
      <c r="G65" s="1"/>
      <c r="N65" s="1"/>
    </row>
    <row r="66" spans="1:14" s="2" customFormat="1" x14ac:dyDescent="0.2">
      <c r="A66" s="89">
        <v>45267</v>
      </c>
      <c r="B66" s="128" t="s">
        <v>11</v>
      </c>
      <c r="C66" s="29" t="s">
        <v>738</v>
      </c>
      <c r="D66" s="11" t="s">
        <v>29</v>
      </c>
      <c r="E66" s="86"/>
      <c r="F66" s="86">
        <v>90737</v>
      </c>
      <c r="G66" s="1"/>
      <c r="N66" s="1"/>
    </row>
    <row r="67" spans="1:14" s="2" customFormat="1" x14ac:dyDescent="0.2">
      <c r="A67" s="89">
        <v>45267</v>
      </c>
      <c r="B67" s="128" t="s">
        <v>11</v>
      </c>
      <c r="C67" s="29" t="s">
        <v>171</v>
      </c>
      <c r="D67" s="11" t="s">
        <v>29</v>
      </c>
      <c r="E67" s="86"/>
      <c r="F67" s="86">
        <v>5286</v>
      </c>
      <c r="G67" s="1"/>
      <c r="N67" s="1"/>
    </row>
    <row r="68" spans="1:14" s="2" customFormat="1" x14ac:dyDescent="0.2">
      <c r="A68" s="89">
        <v>45267</v>
      </c>
      <c r="B68" s="128" t="s">
        <v>11</v>
      </c>
      <c r="C68" s="29" t="s">
        <v>368</v>
      </c>
      <c r="D68" s="11" t="s">
        <v>29</v>
      </c>
      <c r="E68" s="86"/>
      <c r="F68" s="86">
        <v>981912</v>
      </c>
      <c r="G68" s="1"/>
      <c r="N68" s="1"/>
    </row>
    <row r="69" spans="1:14" s="2" customFormat="1" x14ac:dyDescent="0.2">
      <c r="A69" s="89">
        <v>45267</v>
      </c>
      <c r="B69" s="128" t="s">
        <v>11</v>
      </c>
      <c r="C69" s="29" t="s">
        <v>1472</v>
      </c>
      <c r="D69" s="11" t="s">
        <v>29</v>
      </c>
      <c r="E69" s="86"/>
      <c r="F69" s="86">
        <v>774188</v>
      </c>
      <c r="G69" s="1"/>
      <c r="N69" s="1"/>
    </row>
    <row r="70" spans="1:14" s="2" customFormat="1" x14ac:dyDescent="0.2">
      <c r="A70" s="89">
        <v>45267</v>
      </c>
      <c r="B70" s="128" t="s">
        <v>11</v>
      </c>
      <c r="C70" s="29" t="s">
        <v>937</v>
      </c>
      <c r="D70" s="11" t="s">
        <v>29</v>
      </c>
      <c r="E70" s="86"/>
      <c r="F70" s="86">
        <v>4368</v>
      </c>
      <c r="G70" s="1"/>
      <c r="N70" s="1"/>
    </row>
    <row r="71" spans="1:14" s="2" customFormat="1" x14ac:dyDescent="0.2">
      <c r="A71" s="89">
        <v>45267</v>
      </c>
      <c r="B71" s="128" t="s">
        <v>11</v>
      </c>
      <c r="C71" s="29" t="s">
        <v>588</v>
      </c>
      <c r="D71" s="11" t="s">
        <v>29</v>
      </c>
      <c r="E71" s="86"/>
      <c r="F71" s="86">
        <v>100000</v>
      </c>
      <c r="G71" s="1"/>
      <c r="N71" s="1"/>
    </row>
    <row r="72" spans="1:14" s="2" customFormat="1" x14ac:dyDescent="0.2">
      <c r="A72" s="89">
        <v>45267</v>
      </c>
      <c r="B72" s="128" t="s">
        <v>11</v>
      </c>
      <c r="C72" s="29" t="s">
        <v>1403</v>
      </c>
      <c r="D72" s="11" t="s">
        <v>29</v>
      </c>
      <c r="E72" s="86"/>
      <c r="F72" s="86">
        <v>7547088</v>
      </c>
      <c r="G72" s="1"/>
      <c r="N72" s="1"/>
    </row>
    <row r="73" spans="1:14" s="2" customFormat="1" x14ac:dyDescent="0.2">
      <c r="A73" s="89">
        <v>45267</v>
      </c>
      <c r="B73" s="128" t="s">
        <v>11</v>
      </c>
      <c r="C73" s="29" t="s">
        <v>750</v>
      </c>
      <c r="D73" s="11" t="s">
        <v>29</v>
      </c>
      <c r="E73" s="86"/>
      <c r="F73" s="86">
        <v>693663</v>
      </c>
      <c r="G73" s="1"/>
      <c r="N73" s="1"/>
    </row>
    <row r="74" spans="1:14" s="2" customFormat="1" x14ac:dyDescent="0.2">
      <c r="A74" s="89">
        <v>45267</v>
      </c>
      <c r="B74" s="128" t="s">
        <v>11</v>
      </c>
      <c r="C74" s="29" t="s">
        <v>1850</v>
      </c>
      <c r="D74" s="11" t="s">
        <v>29</v>
      </c>
      <c r="E74" s="86"/>
      <c r="F74" s="86">
        <v>2000</v>
      </c>
      <c r="G74" s="1"/>
      <c r="N74" s="1"/>
    </row>
    <row r="75" spans="1:14" s="2" customFormat="1" x14ac:dyDescent="0.2">
      <c r="A75" s="32"/>
      <c r="B75" s="33"/>
      <c r="C75" s="14"/>
      <c r="D75" s="34"/>
      <c r="E75" s="16">
        <f>SUM(E32:E74)</f>
        <v>3993860.32</v>
      </c>
      <c r="F75" s="16">
        <f>SUM(F32:F74)</f>
        <v>89903767.420000017</v>
      </c>
      <c r="G75" s="1"/>
      <c r="H75" s="1"/>
      <c r="I75" s="38">
        <v>85909907.099999994</v>
      </c>
      <c r="K75" s="92">
        <f>E76-I75</f>
        <v>0</v>
      </c>
      <c r="N75" s="1"/>
    </row>
    <row r="76" spans="1:14" s="2" customFormat="1" x14ac:dyDescent="0.2">
      <c r="A76" s="36"/>
      <c r="B76" s="28" t="s">
        <v>11</v>
      </c>
      <c r="C76" s="19" t="s">
        <v>65</v>
      </c>
      <c r="D76" s="37"/>
      <c r="E76" s="38">
        <f>F75-E75</f>
        <v>85909907.100000024</v>
      </c>
      <c r="F76" s="22"/>
      <c r="G76" s="1"/>
      <c r="H76" s="1"/>
      <c r="I76" s="70"/>
      <c r="J76" s="70"/>
      <c r="K76" s="70"/>
      <c r="N76" s="1"/>
    </row>
    <row r="77" spans="1:14" s="2" customFormat="1" x14ac:dyDescent="0.2">
      <c r="A77" s="36"/>
      <c r="B77" s="28" t="s">
        <v>66</v>
      </c>
      <c r="C77" s="19" t="s">
        <v>67</v>
      </c>
      <c r="D77" s="37"/>
      <c r="E77" s="38">
        <v>6500000</v>
      </c>
      <c r="F77" s="22"/>
      <c r="G77" s="1"/>
      <c r="H77" s="70"/>
      <c r="I77" s="70"/>
      <c r="J77" s="70"/>
      <c r="K77" s="70"/>
      <c r="N77" s="1"/>
    </row>
    <row r="78" spans="1:14" s="2" customFormat="1" x14ac:dyDescent="0.2">
      <c r="A78" s="36"/>
      <c r="B78" s="28" t="s">
        <v>66</v>
      </c>
      <c r="C78" s="43" t="s">
        <v>1457</v>
      </c>
      <c r="D78" s="43"/>
      <c r="E78" s="12">
        <f>275000000+75000000+50000000</f>
        <v>400000000</v>
      </c>
      <c r="F78" s="22"/>
      <c r="G78" s="1"/>
      <c r="H78" s="70"/>
      <c r="I78" s="45">
        <v>423.99</v>
      </c>
      <c r="J78" s="46"/>
      <c r="K78" s="46"/>
      <c r="N78" s="1"/>
    </row>
    <row r="79" spans="1:14" s="2" customFormat="1" ht="15" x14ac:dyDescent="0.25">
      <c r="A79" s="36"/>
      <c r="B79" s="28"/>
      <c r="C79" s="44" t="s">
        <v>1541</v>
      </c>
      <c r="D79" s="43"/>
      <c r="E79" s="7">
        <f>+E78+E76+E77</f>
        <v>492409907.10000002</v>
      </c>
      <c r="F79" s="22"/>
      <c r="G79" s="1"/>
      <c r="H79" s="103" t="s">
        <v>69</v>
      </c>
      <c r="I79" s="45">
        <v>-59.47</v>
      </c>
      <c r="J79" s="46"/>
      <c r="K79" s="46"/>
      <c r="N79" s="1"/>
    </row>
    <row r="80" spans="1:14" s="2" customFormat="1" ht="15" x14ac:dyDescent="0.25">
      <c r="A80" s="24"/>
      <c r="B80" s="1"/>
      <c r="C80" s="44" t="s">
        <v>1510</v>
      </c>
      <c r="D80" s="25"/>
      <c r="E80" s="156">
        <f>+I32-E77+H28-I28</f>
        <v>7590092.8999999985</v>
      </c>
      <c r="G80" s="1"/>
      <c r="H80" s="35" t="s">
        <v>70</v>
      </c>
      <c r="I80" s="45">
        <v>59.47</v>
      </c>
      <c r="J80" s="46">
        <f>+I81-D83</f>
        <v>0</v>
      </c>
      <c r="N80" s="1"/>
    </row>
    <row r="81" spans="1:13" s="124" customFormat="1" ht="12.75" customHeight="1" x14ac:dyDescent="0.2">
      <c r="A81" s="24"/>
      <c r="B81" s="1"/>
      <c r="C81" s="56"/>
      <c r="D81" s="56"/>
      <c r="E81" s="104"/>
      <c r="F81" s="2"/>
      <c r="G81" s="166"/>
      <c r="H81" s="70"/>
      <c r="I81" s="49">
        <f>SUM(I78:I80)</f>
        <v>423.99</v>
      </c>
      <c r="J81" s="46"/>
      <c r="K81" s="46"/>
    </row>
    <row r="82" spans="1:13" s="124" customFormat="1" ht="12.75" customHeight="1" x14ac:dyDescent="0.2">
      <c r="A82" s="24"/>
      <c r="B82" s="1"/>
      <c r="C82" s="78" t="s">
        <v>575</v>
      </c>
      <c r="D82" s="48" t="s">
        <v>576</v>
      </c>
      <c r="E82" s="104"/>
      <c r="F82" s="2"/>
      <c r="G82" s="168"/>
      <c r="H82" s="167"/>
      <c r="I82" s="167"/>
      <c r="J82" s="168"/>
    </row>
    <row r="83" spans="1:13" s="124" customFormat="1" ht="12.75" customHeight="1" x14ac:dyDescent="0.2">
      <c r="A83" s="24"/>
      <c r="B83" s="1"/>
      <c r="C83" s="47" t="s">
        <v>570</v>
      </c>
      <c r="D83" s="111">
        <v>423.99</v>
      </c>
      <c r="E83" s="104"/>
      <c r="F83" s="2"/>
      <c r="G83" s="168"/>
      <c r="H83" s="110" t="s">
        <v>581</v>
      </c>
      <c r="I83" s="167"/>
      <c r="J83" s="168"/>
    </row>
    <row r="84" spans="1:13" s="124" customFormat="1" ht="12.75" customHeight="1" x14ac:dyDescent="0.2">
      <c r="A84" s="24"/>
      <c r="B84" s="1"/>
      <c r="C84" s="47" t="s">
        <v>931</v>
      </c>
      <c r="D84" s="111">
        <v>80.44</v>
      </c>
      <c r="E84" s="104"/>
      <c r="F84" s="2"/>
      <c r="G84" s="168"/>
      <c r="H84" s="110" t="s">
        <v>580</v>
      </c>
      <c r="I84" s="167"/>
      <c r="J84" s="168"/>
    </row>
    <row r="85" spans="1:13" s="124" customFormat="1" ht="12.75" customHeight="1" x14ac:dyDescent="0.2">
      <c r="A85" s="24"/>
      <c r="B85" s="1"/>
      <c r="C85" s="47" t="s">
        <v>572</v>
      </c>
      <c r="D85" s="111">
        <f>+D104/100000</f>
        <v>163.91511599999998</v>
      </c>
      <c r="E85" s="104"/>
      <c r="F85" s="2"/>
      <c r="G85" s="166"/>
      <c r="H85" s="90" t="s">
        <v>587</v>
      </c>
      <c r="I85" s="167"/>
      <c r="J85" s="168"/>
    </row>
    <row r="86" spans="1:13" s="2" customFormat="1" x14ac:dyDescent="0.2">
      <c r="A86" s="24"/>
      <c r="B86" s="1"/>
      <c r="C86" s="108" t="s">
        <v>578</v>
      </c>
      <c r="D86" s="48">
        <f>SUM(D83:D85)</f>
        <v>668.34511599999996</v>
      </c>
      <c r="E86" s="104"/>
      <c r="G86" s="30"/>
      <c r="I86" s="13"/>
      <c r="J86" s="13"/>
    </row>
    <row r="87" spans="1:13" s="70" customFormat="1" x14ac:dyDescent="0.2">
      <c r="A87" s="24"/>
      <c r="B87" s="1"/>
      <c r="C87" s="47"/>
      <c r="D87" s="107"/>
      <c r="E87" s="104"/>
      <c r="F87" s="2"/>
      <c r="G87" s="30"/>
      <c r="H87" s="2"/>
    </row>
    <row r="88" spans="1:13" s="70" customFormat="1" x14ac:dyDescent="0.2">
      <c r="A88" s="24"/>
      <c r="B88" s="1"/>
      <c r="C88" s="47" t="s">
        <v>932</v>
      </c>
      <c r="D88" s="111">
        <v>76.58</v>
      </c>
      <c r="E88" s="104"/>
      <c r="F88" s="2"/>
      <c r="G88" s="30"/>
      <c r="H88" s="110" t="s">
        <v>581</v>
      </c>
    </row>
    <row r="89" spans="1:13" s="70" customFormat="1" x14ac:dyDescent="0.2">
      <c r="A89" s="24"/>
      <c r="B89" s="1"/>
      <c r="C89" s="136" t="s">
        <v>1142</v>
      </c>
      <c r="D89" s="111">
        <v>293.85000000000002</v>
      </c>
      <c r="E89" s="104"/>
      <c r="F89" s="2"/>
      <c r="G89" s="30"/>
      <c r="H89" s="110" t="s">
        <v>581</v>
      </c>
    </row>
    <row r="90" spans="1:13" s="70" customFormat="1" x14ac:dyDescent="0.2">
      <c r="A90" s="24"/>
      <c r="B90" s="1"/>
      <c r="C90" s="78" t="s">
        <v>579</v>
      </c>
      <c r="D90" s="109">
        <f>D88+D89</f>
        <v>370.43</v>
      </c>
      <c r="E90" s="104"/>
      <c r="F90" s="2"/>
      <c r="G90" s="30"/>
    </row>
    <row r="91" spans="1:13" s="70" customFormat="1" x14ac:dyDescent="0.2">
      <c r="A91" s="24"/>
      <c r="B91" s="1"/>
      <c r="C91" s="105"/>
      <c r="D91" s="106"/>
      <c r="E91" s="104"/>
      <c r="F91" s="2"/>
      <c r="G91" s="30"/>
      <c r="I91" s="2"/>
      <c r="J91" s="114" t="s">
        <v>713</v>
      </c>
      <c r="K91" s="2"/>
      <c r="L91" s="2"/>
      <c r="M91" s="2"/>
    </row>
    <row r="92" spans="1:13" s="70" customFormat="1" x14ac:dyDescent="0.2">
      <c r="A92" s="24"/>
      <c r="B92" s="1"/>
      <c r="C92" s="78" t="s">
        <v>577</v>
      </c>
      <c r="D92" s="109">
        <f>D83+D90</f>
        <v>794.42000000000007</v>
      </c>
      <c r="E92" s="104"/>
      <c r="F92" s="2"/>
      <c r="G92" s="30"/>
      <c r="I92" s="113"/>
      <c r="J92" s="113" t="s">
        <v>709</v>
      </c>
      <c r="K92" s="113" t="s">
        <v>710</v>
      </c>
      <c r="L92" s="113" t="s">
        <v>711</v>
      </c>
      <c r="M92" s="113" t="s">
        <v>712</v>
      </c>
    </row>
    <row r="93" spans="1:13" s="70" customFormat="1" x14ac:dyDescent="0.2">
      <c r="A93" s="24"/>
      <c r="B93" s="1"/>
      <c r="C93" s="56"/>
      <c r="D93" s="56"/>
      <c r="E93" s="104"/>
      <c r="F93" s="2"/>
      <c r="G93" s="30"/>
      <c r="I93" s="113" t="s">
        <v>706</v>
      </c>
      <c r="J93" s="115"/>
      <c r="K93" s="115">
        <v>968.99</v>
      </c>
      <c r="L93" s="115">
        <v>968.99</v>
      </c>
      <c r="M93" s="113">
        <f>+J93+L93-K93</f>
        <v>0</v>
      </c>
    </row>
    <row r="94" spans="1:13" s="70" customFormat="1" ht="38.25" x14ac:dyDescent="0.2">
      <c r="A94" s="24"/>
      <c r="B94" s="1"/>
      <c r="C94" s="79" t="str">
        <f>"Particulars ( 01-04-2021 to "&amp;TEXT(A5,"dd-mm-yyyy")&amp;" )"</f>
        <v>Particulars ( 01-04-2021 to 07-12-2023 )</v>
      </c>
      <c r="D94" s="80" t="s">
        <v>73</v>
      </c>
      <c r="E94" s="80" t="s">
        <v>74</v>
      </c>
      <c r="F94" s="81" t="s">
        <v>75</v>
      </c>
      <c r="G94" s="80" t="s">
        <v>76</v>
      </c>
      <c r="I94" s="113" t="s">
        <v>707</v>
      </c>
      <c r="J94" s="115">
        <v>183.1</v>
      </c>
      <c r="K94" s="115">
        <v>4171.6400000000003</v>
      </c>
      <c r="L94" s="115">
        <v>4345.78</v>
      </c>
      <c r="M94" s="113">
        <f>+J94+L94-K94</f>
        <v>357.23999999999978</v>
      </c>
    </row>
    <row r="95" spans="1:13" s="70" customFormat="1" x14ac:dyDescent="0.2">
      <c r="A95" s="24"/>
      <c r="B95" s="1"/>
      <c r="C95" s="50" t="s">
        <v>444</v>
      </c>
      <c r="D95" s="55">
        <f>+L93+L94+J94</f>
        <v>5497.87</v>
      </c>
      <c r="E95" s="55">
        <f>+K93+K94</f>
        <v>5140.63</v>
      </c>
      <c r="F95" s="55">
        <f>+D95-E95</f>
        <v>357.23999999999978</v>
      </c>
      <c r="G95" s="55">
        <f>1500-F95</f>
        <v>1142.7600000000002</v>
      </c>
      <c r="I95" s="113" t="s">
        <v>708</v>
      </c>
      <c r="J95" s="115">
        <v>1371.02</v>
      </c>
      <c r="K95" s="115">
        <v>15441.64</v>
      </c>
      <c r="L95" s="115">
        <v>15719.16</v>
      </c>
      <c r="M95" s="113">
        <f>+J95+L95-K95</f>
        <v>1648.5400000000009</v>
      </c>
    </row>
    <row r="96" spans="1:13" s="70" customFormat="1" ht="12.75" customHeight="1" x14ac:dyDescent="0.2">
      <c r="A96" s="24"/>
      <c r="B96" s="1"/>
      <c r="C96" s="50" t="s">
        <v>71</v>
      </c>
      <c r="D96" s="55">
        <f>+J95+L95</f>
        <v>17090.18</v>
      </c>
      <c r="E96" s="55">
        <f>+K95</f>
        <v>15441.64</v>
      </c>
      <c r="F96" s="55">
        <f>+D96-E96</f>
        <v>1648.5400000000009</v>
      </c>
      <c r="G96" s="55">
        <f>1500+700-F96</f>
        <v>551.45999999999913</v>
      </c>
      <c r="I96" s="2"/>
      <c r="J96" s="118">
        <f>SUM(J93:J95)</f>
        <v>1554.12</v>
      </c>
      <c r="K96" s="118">
        <f>SUM(K93:K95)</f>
        <v>20582.27</v>
      </c>
      <c r="L96" s="118">
        <f>SUM(L93:L95)</f>
        <v>21033.93</v>
      </c>
      <c r="M96" s="118">
        <f>SUM(M93:M95)</f>
        <v>2005.7800000000007</v>
      </c>
    </row>
    <row r="97" spans="1:14" s="70" customFormat="1" ht="12.75" customHeight="1" x14ac:dyDescent="0.2">
      <c r="A97" s="24"/>
      <c r="B97" s="1"/>
      <c r="C97" s="14"/>
      <c r="D97" s="56"/>
      <c r="E97" s="13"/>
      <c r="F97" s="2"/>
      <c r="G97" s="30"/>
    </row>
    <row r="98" spans="1:14" s="70" customFormat="1" ht="12.75" customHeight="1" x14ac:dyDescent="0.2">
      <c r="A98" s="215" t="s">
        <v>80</v>
      </c>
      <c r="B98" s="216"/>
      <c r="C98" s="216"/>
      <c r="D98" s="217"/>
      <c r="E98" s="69"/>
      <c r="G98" s="30"/>
    </row>
    <row r="99" spans="1:14" s="70" customFormat="1" ht="12.75" customHeight="1" x14ac:dyDescent="0.2">
      <c r="A99" s="71" t="s">
        <v>81</v>
      </c>
      <c r="B99" s="71"/>
      <c r="C99" s="72" t="s">
        <v>82</v>
      </c>
      <c r="D99" s="73" t="s">
        <v>83</v>
      </c>
      <c r="E99" s="69"/>
      <c r="G99" s="30"/>
    </row>
    <row r="100" spans="1:14" s="70" customFormat="1" ht="12.75" customHeight="1" x14ac:dyDescent="0.2">
      <c r="A100" s="87">
        <v>45264</v>
      </c>
      <c r="B100" s="120" t="s">
        <v>6</v>
      </c>
      <c r="C100" s="75" t="s">
        <v>909</v>
      </c>
      <c r="D100" s="88">
        <v>13756945</v>
      </c>
      <c r="E100" s="2"/>
      <c r="F100" s="2"/>
      <c r="G100" s="30"/>
      <c r="H100" s="2"/>
      <c r="I100" s="2"/>
      <c r="J100" s="2"/>
      <c r="K100" s="2"/>
      <c r="L100" s="41"/>
      <c r="M100" s="42"/>
      <c r="N100" s="2"/>
    </row>
    <row r="101" spans="1:14" s="70" customFormat="1" ht="12.75" customHeight="1" x14ac:dyDescent="0.2">
      <c r="A101" s="87">
        <v>45265</v>
      </c>
      <c r="B101" s="120" t="s">
        <v>6</v>
      </c>
      <c r="C101" s="75" t="s">
        <v>1552</v>
      </c>
      <c r="D101" s="88">
        <v>2152501.6</v>
      </c>
      <c r="E101" s="2"/>
      <c r="F101" s="2"/>
      <c r="G101" s="30"/>
      <c r="H101" s="2"/>
      <c r="I101" s="2"/>
      <c r="J101" s="2"/>
      <c r="K101" s="2"/>
      <c r="L101" s="41"/>
      <c r="M101" s="42"/>
      <c r="N101" s="2"/>
    </row>
    <row r="102" spans="1:14" s="70" customFormat="1" ht="12.75" customHeight="1" x14ac:dyDescent="0.2">
      <c r="A102" s="87">
        <v>45267</v>
      </c>
      <c r="B102" s="120" t="s">
        <v>6</v>
      </c>
      <c r="C102" s="75" t="s">
        <v>784</v>
      </c>
      <c r="D102" s="88">
        <v>179811</v>
      </c>
      <c r="E102" s="2"/>
      <c r="F102" s="2"/>
      <c r="G102" s="30"/>
      <c r="H102" s="2"/>
      <c r="I102" s="2"/>
      <c r="J102" s="2"/>
      <c r="K102" s="2"/>
      <c r="L102" s="41"/>
      <c r="M102" s="42"/>
      <c r="N102" s="2"/>
    </row>
    <row r="103" spans="1:14" s="70" customFormat="1" ht="12.75" customHeight="1" x14ac:dyDescent="0.2">
      <c r="A103" s="87">
        <v>45267</v>
      </c>
      <c r="B103" s="120" t="s">
        <v>6</v>
      </c>
      <c r="C103" s="75" t="s">
        <v>784</v>
      </c>
      <c r="D103" s="88">
        <v>302254</v>
      </c>
      <c r="E103" s="2"/>
      <c r="F103" s="2"/>
      <c r="G103" s="30"/>
      <c r="H103" s="2"/>
      <c r="I103" s="2"/>
      <c r="J103" s="2"/>
      <c r="K103" s="2"/>
      <c r="L103" s="41"/>
      <c r="M103" s="42"/>
      <c r="N103" s="2"/>
    </row>
    <row r="104" spans="1:14" s="2" customFormat="1" x14ac:dyDescent="0.2">
      <c r="A104" s="87"/>
      <c r="B104" s="74"/>
      <c r="C104" s="75"/>
      <c r="D104" s="51">
        <f>SUM(D100:D103)</f>
        <v>16391511.6</v>
      </c>
      <c r="F104" s="2" t="s">
        <v>396</v>
      </c>
      <c r="G104" s="1"/>
    </row>
    <row r="105" spans="1:14" s="2" customFormat="1" x14ac:dyDescent="0.2">
      <c r="A105" s="24"/>
      <c r="B105" s="1"/>
      <c r="C105" s="14"/>
      <c r="D105" s="56"/>
      <c r="E105" s="13"/>
      <c r="G105" s="1"/>
    </row>
    <row r="106" spans="1:14" s="2" customFormat="1" x14ac:dyDescent="0.2">
      <c r="A106" s="24"/>
      <c r="B106" s="1"/>
      <c r="C106" s="218" t="s">
        <v>77</v>
      </c>
      <c r="D106" s="219"/>
      <c r="E106" s="219"/>
      <c r="F106" s="220"/>
      <c r="H106" s="2" t="s">
        <v>396</v>
      </c>
    </row>
    <row r="107" spans="1:14" s="2" customFormat="1" x14ac:dyDescent="0.2">
      <c r="A107" s="24"/>
      <c r="B107" s="1"/>
      <c r="C107" s="50"/>
      <c r="D107" s="57" t="s">
        <v>78</v>
      </c>
      <c r="E107" s="58" t="s">
        <v>79</v>
      </c>
      <c r="F107" s="57" t="s">
        <v>72</v>
      </c>
      <c r="H107" s="2" t="s">
        <v>396</v>
      </c>
    </row>
    <row r="108" spans="1:14" s="2" customFormat="1" x14ac:dyDescent="0.2">
      <c r="A108" s="24"/>
      <c r="B108" s="1"/>
      <c r="C108" s="59" t="str">
        <f>"01-12-2023 to "&amp;TEXT(A5-2,"dd-mm-yyyy")</f>
        <v>01-12-2023 to 05-12-2023</v>
      </c>
      <c r="D108" s="60">
        <v>286.48</v>
      </c>
      <c r="E108" s="60">
        <v>109.75</v>
      </c>
      <c r="F108" s="61">
        <f>SUM(D108:E108)</f>
        <v>396.23</v>
      </c>
    </row>
    <row r="109" spans="1:14" s="2" customFormat="1" x14ac:dyDescent="0.2">
      <c r="A109" s="24"/>
      <c r="B109" s="1"/>
      <c r="C109" s="62" t="str">
        <f>TEXT(A5-1,"dd-mm-yyyy")</f>
        <v>06-12-2023</v>
      </c>
      <c r="D109" s="60">
        <v>86.81</v>
      </c>
      <c r="E109" s="60">
        <v>23.87</v>
      </c>
      <c r="F109" s="61">
        <f>SUM(D109:E109)</f>
        <v>110.68</v>
      </c>
      <c r="G109" s="1"/>
      <c r="H109" s="53"/>
    </row>
    <row r="110" spans="1:14" s="2" customFormat="1" ht="13.5" thickBot="1" x14ac:dyDescent="0.25">
      <c r="A110" s="24"/>
      <c r="B110" s="1"/>
      <c r="C110" s="63" t="str">
        <f>"01-12-2023 to "&amp;TEXT(A5-1,"dd-mm-yyyy")</f>
        <v>01-12-2023 to 06-12-2023</v>
      </c>
      <c r="D110" s="64">
        <f>SUM(D108:D109)</f>
        <v>373.29</v>
      </c>
      <c r="E110" s="64">
        <f>SUM(E108:E109)</f>
        <v>133.62</v>
      </c>
      <c r="F110" s="64">
        <f>SUM(F108:F109)</f>
        <v>506.91</v>
      </c>
      <c r="G110" s="1"/>
      <c r="H110" s="53"/>
    </row>
    <row r="111" spans="1:14" s="2" customFormat="1" ht="13.5" thickTop="1" x14ac:dyDescent="0.2">
      <c r="A111" s="24"/>
      <c r="B111" s="1"/>
      <c r="C111" s="62"/>
      <c r="D111" s="65"/>
      <c r="E111" s="66"/>
      <c r="F111" s="67"/>
      <c r="L111" s="1"/>
      <c r="M111" s="1"/>
    </row>
    <row r="112" spans="1:14" s="2" customFormat="1" x14ac:dyDescent="0.2">
      <c r="A112" s="24"/>
      <c r="B112" s="1"/>
      <c r="C112" s="62" t="str">
        <f>"01-04-2023 to " &amp;C109</f>
        <v>01-04-2023 to 06-12-2023</v>
      </c>
      <c r="D112" s="68">
        <f>+D110+32234.22</f>
        <v>32607.510000000002</v>
      </c>
      <c r="E112" s="68">
        <f>+E110+3134.59</f>
        <v>3268.21</v>
      </c>
      <c r="F112" s="68">
        <f>+F110+35368.81</f>
        <v>35875.72</v>
      </c>
      <c r="G112" s="1"/>
      <c r="L112" s="1"/>
      <c r="M112" s="1"/>
    </row>
    <row r="113" spans="1:13" s="2" customFormat="1" x14ac:dyDescent="0.2">
      <c r="A113" s="24"/>
      <c r="B113" s="1"/>
      <c r="C113" s="52"/>
      <c r="D113" s="85"/>
      <c r="E113" s="53"/>
      <c r="F113" s="53"/>
      <c r="G113" s="1"/>
      <c r="L113" s="1"/>
      <c r="M113" s="1"/>
    </row>
    <row r="114" spans="1:13" s="2" customFormat="1" x14ac:dyDescent="0.2">
      <c r="A114" s="24"/>
      <c r="B114" s="1"/>
      <c r="C114" s="52"/>
      <c r="D114" s="85"/>
      <c r="E114" s="53"/>
      <c r="F114" s="53"/>
      <c r="G114" s="1"/>
      <c r="L114" s="1"/>
      <c r="M114" s="1"/>
    </row>
    <row r="115" spans="1:13" s="2" customFormat="1" x14ac:dyDescent="0.2">
      <c r="A115" s="24"/>
      <c r="B115" s="1"/>
      <c r="C115" s="52"/>
      <c r="D115" s="85"/>
      <c r="E115" s="53"/>
      <c r="F115" s="53"/>
      <c r="G115" s="1"/>
      <c r="L115" s="1"/>
      <c r="M115" s="1"/>
    </row>
    <row r="116" spans="1:13" s="2" customFormat="1" x14ac:dyDescent="0.2">
      <c r="A116" s="24"/>
      <c r="B116" s="1"/>
      <c r="C116" s="52"/>
      <c r="D116" s="85"/>
      <c r="E116" s="53"/>
      <c r="F116" s="53"/>
      <c r="G116" s="1"/>
      <c r="L116" s="1"/>
      <c r="M116" s="1"/>
    </row>
    <row r="117" spans="1:13" s="2" customFormat="1" x14ac:dyDescent="0.2">
      <c r="A117" s="24"/>
      <c r="B117" s="1"/>
      <c r="C117" s="14"/>
      <c r="D117" s="25">
        <f>SUM(D114:D116)</f>
        <v>0</v>
      </c>
      <c r="E117" s="2">
        <f>SUM(E114:E116)</f>
        <v>0</v>
      </c>
      <c r="G117" s="1"/>
      <c r="L117" s="1"/>
      <c r="M117" s="1"/>
    </row>
    <row r="118" spans="1:13" s="2" customFormat="1" x14ac:dyDescent="0.2">
      <c r="A118" s="24"/>
      <c r="B118" s="1"/>
      <c r="C118" s="14"/>
      <c r="D118" s="25"/>
      <c r="G118" s="1"/>
      <c r="L118" s="1"/>
      <c r="M118" s="1"/>
    </row>
    <row r="119" spans="1:13" s="2" customFormat="1" x14ac:dyDescent="0.2">
      <c r="A119" s="24"/>
      <c r="B119" s="1"/>
      <c r="C119" s="14"/>
      <c r="D119" s="25"/>
      <c r="G119" s="1"/>
      <c r="L119" s="1"/>
      <c r="M119" s="1"/>
    </row>
    <row r="120" spans="1:13" s="2" customFormat="1" x14ac:dyDescent="0.2">
      <c r="A120" s="24"/>
      <c r="B120" s="1"/>
      <c r="C120" s="14"/>
      <c r="D120" s="25"/>
      <c r="G120" s="1"/>
      <c r="L120" s="1"/>
      <c r="M120" s="1"/>
    </row>
    <row r="121" spans="1:13" s="2" customFormat="1" x14ac:dyDescent="0.2">
      <c r="A121" s="24"/>
      <c r="B121" s="1"/>
      <c r="C121" s="14"/>
      <c r="D121" s="25"/>
      <c r="G121" s="1"/>
      <c r="L121" s="1"/>
      <c r="M121" s="1"/>
    </row>
    <row r="122" spans="1:13" s="2" customFormat="1" x14ac:dyDescent="0.2">
      <c r="A122" s="24"/>
      <c r="B122" s="1"/>
      <c r="C122" s="14"/>
      <c r="D122" s="25"/>
      <c r="G122" s="1"/>
      <c r="L122" s="1"/>
      <c r="M122" s="1"/>
    </row>
    <row r="123" spans="1:13" s="2" customFormat="1" x14ac:dyDescent="0.2">
      <c r="A123" s="24"/>
      <c r="B123" s="1"/>
      <c r="C123" s="14"/>
      <c r="D123" s="25"/>
      <c r="G123" s="1"/>
      <c r="L123" s="1"/>
      <c r="M123" s="1"/>
    </row>
    <row r="124" spans="1:13" s="2" customFormat="1" x14ac:dyDescent="0.2">
      <c r="A124" s="24"/>
      <c r="B124" s="1"/>
      <c r="C124" s="14"/>
      <c r="D124" s="25"/>
      <c r="G124" s="1"/>
      <c r="L124" s="1"/>
      <c r="M124" s="1"/>
    </row>
    <row r="125" spans="1:13" s="2" customFormat="1" x14ac:dyDescent="0.2">
      <c r="A125" s="24"/>
      <c r="B125" s="1"/>
      <c r="C125" s="14"/>
      <c r="D125" s="25"/>
      <c r="G125" s="1"/>
      <c r="L125" s="1"/>
      <c r="M125" s="1"/>
    </row>
    <row r="126" spans="1:13" s="2" customFormat="1" x14ac:dyDescent="0.2">
      <c r="A126" s="24"/>
      <c r="B126" s="1"/>
      <c r="C126" s="14"/>
      <c r="D126" s="25"/>
      <c r="G126" s="1"/>
      <c r="L126" s="1"/>
      <c r="M126" s="1"/>
    </row>
    <row r="127" spans="1:13" s="2" customFormat="1" x14ac:dyDescent="0.2">
      <c r="A127" s="24"/>
      <c r="B127" s="1"/>
      <c r="C127" s="14"/>
      <c r="D127" s="25"/>
      <c r="G127" s="1"/>
      <c r="L127" s="1"/>
      <c r="M127" s="1"/>
    </row>
    <row r="128" spans="1:13" s="2" customFormat="1" x14ac:dyDescent="0.2">
      <c r="A128" s="24"/>
      <c r="B128" s="1"/>
      <c r="C128" s="14"/>
      <c r="D128" s="25"/>
      <c r="G128" s="1"/>
      <c r="L128" s="1"/>
      <c r="M128" s="1"/>
    </row>
    <row r="129" spans="1:14" s="2" customFormat="1" x14ac:dyDescent="0.2">
      <c r="A129" s="24"/>
      <c r="B129" s="1"/>
      <c r="C129" s="14"/>
      <c r="D129" s="25"/>
      <c r="G129" s="1"/>
      <c r="L129" s="1"/>
      <c r="M129" s="1"/>
    </row>
    <row r="130" spans="1:14" s="2" customFormat="1" x14ac:dyDescent="0.2">
      <c r="A130" s="24"/>
      <c r="B130" s="1"/>
      <c r="C130" s="14"/>
      <c r="D130" s="25"/>
      <c r="G130" s="1"/>
      <c r="L130" s="1"/>
      <c r="M130" s="1"/>
    </row>
    <row r="131" spans="1:14" s="2" customFormat="1" x14ac:dyDescent="0.2">
      <c r="A131" s="24"/>
      <c r="B131" s="1"/>
      <c r="C131" s="14"/>
      <c r="D131" s="25"/>
      <c r="G131" s="1"/>
      <c r="I131" s="1"/>
      <c r="J131" s="1"/>
      <c r="K131" s="1"/>
      <c r="L131" s="1"/>
      <c r="M131" s="1"/>
    </row>
    <row r="132" spans="1:14" s="2" customFormat="1" x14ac:dyDescent="0.2">
      <c r="A132" s="24"/>
      <c r="B132" s="1"/>
      <c r="C132" s="14"/>
      <c r="D132" s="25"/>
      <c r="G132" s="1"/>
    </row>
    <row r="133" spans="1:14" s="2" customFormat="1" x14ac:dyDescent="0.2">
      <c r="A133" s="24"/>
      <c r="B133" s="1"/>
      <c r="C133" s="14"/>
      <c r="D133" s="25"/>
      <c r="G133" s="1"/>
      <c r="I133" s="1"/>
      <c r="J133" s="1"/>
      <c r="K133" s="1"/>
      <c r="L133" s="1"/>
      <c r="M133" s="1"/>
    </row>
    <row r="134" spans="1:14" s="2" customFormat="1" x14ac:dyDescent="0.2">
      <c r="A134" s="24"/>
      <c r="B134" s="1"/>
      <c r="C134" s="14"/>
      <c r="D134" s="25"/>
      <c r="G134" s="54"/>
      <c r="I134" s="1"/>
      <c r="J134" s="1"/>
      <c r="K134" s="1"/>
      <c r="L134" s="1"/>
      <c r="M134" s="1"/>
    </row>
    <row r="135" spans="1:14" s="2" customFormat="1" x14ac:dyDescent="0.2">
      <c r="A135" s="24"/>
      <c r="B135" s="1"/>
      <c r="C135" s="14"/>
      <c r="D135" s="25"/>
      <c r="G135" s="54"/>
      <c r="I135" s="1"/>
      <c r="J135" s="1"/>
      <c r="K135" s="1"/>
      <c r="L135" s="1"/>
      <c r="M135" s="1"/>
    </row>
    <row r="136" spans="1:14" s="2" customFormat="1" x14ac:dyDescent="0.2">
      <c r="A136" s="24"/>
      <c r="B136" s="1"/>
      <c r="C136" s="14"/>
      <c r="D136" s="25"/>
      <c r="G136" s="54"/>
      <c r="I136" s="1"/>
      <c r="J136" s="1"/>
      <c r="K136" s="1"/>
      <c r="L136" s="1"/>
      <c r="M136" s="1"/>
    </row>
    <row r="137" spans="1:14" s="2" customFormat="1" x14ac:dyDescent="0.2">
      <c r="A137" s="24"/>
      <c r="B137" s="1"/>
      <c r="C137" s="14"/>
      <c r="D137" s="25"/>
      <c r="G137" s="54"/>
      <c r="H137" s="2" t="s">
        <v>396</v>
      </c>
      <c r="I137" s="1"/>
      <c r="J137" s="1"/>
      <c r="K137" s="1"/>
      <c r="L137" s="1"/>
      <c r="M137" s="1"/>
      <c r="N137" s="1"/>
    </row>
    <row r="138" spans="1:14" s="2" customFormat="1" x14ac:dyDescent="0.2">
      <c r="A138" s="24"/>
      <c r="B138" s="1"/>
      <c r="C138" s="14"/>
      <c r="D138" s="25"/>
      <c r="G138" s="54"/>
      <c r="H138" s="53"/>
    </row>
    <row r="139" spans="1:14" s="2" customFormat="1" x14ac:dyDescent="0.2">
      <c r="A139" s="24"/>
      <c r="B139" s="1"/>
      <c r="C139" s="14"/>
      <c r="D139" s="25"/>
      <c r="G139" s="54"/>
      <c r="H139" s="53" t="s">
        <v>396</v>
      </c>
      <c r="I139" s="1"/>
      <c r="J139" s="1"/>
      <c r="K139" s="1"/>
      <c r="L139" s="1"/>
      <c r="M139" s="1"/>
      <c r="N139" s="1"/>
    </row>
    <row r="140" spans="1:14" x14ac:dyDescent="0.2">
      <c r="G140" s="54"/>
      <c r="H140" s="53" t="s">
        <v>396</v>
      </c>
      <c r="J140" s="42"/>
    </row>
    <row r="141" spans="1:14" s="2" customFormat="1" x14ac:dyDescent="0.2">
      <c r="A141" s="24"/>
      <c r="B141" s="1"/>
      <c r="C141" s="14"/>
      <c r="D141" s="25"/>
      <c r="G141" s="54"/>
      <c r="H141" s="53"/>
      <c r="I141" s="101"/>
      <c r="J141" s="1"/>
      <c r="K141" s="1"/>
      <c r="L141" s="1"/>
      <c r="M141" s="1"/>
      <c r="N141" s="1"/>
    </row>
    <row r="142" spans="1:14" x14ac:dyDescent="0.2">
      <c r="G142" s="54"/>
      <c r="H142" s="53"/>
    </row>
    <row r="143" spans="1:14" x14ac:dyDescent="0.2">
      <c r="G143" s="54"/>
      <c r="H143" s="53"/>
    </row>
    <row r="144" spans="1:14" x14ac:dyDescent="0.2">
      <c r="G144" s="54"/>
      <c r="H144" s="53"/>
    </row>
  </sheetData>
  <sheetProtection insertRows="0"/>
  <mergeCells count="6">
    <mergeCell ref="C106:F106"/>
    <mergeCell ref="A1:G1"/>
    <mergeCell ref="A3:F3"/>
    <mergeCell ref="A10:F10"/>
    <mergeCell ref="A30:F30"/>
    <mergeCell ref="A98:D98"/>
  </mergeCells>
  <conditionalFormatting sqref="G95:G96">
    <cfRule type="cellIs" dxfId="187" priority="1" operator="lessThan">
      <formula>0</formula>
    </cfRule>
  </conditionalFormatting>
  <conditionalFormatting sqref="C32">
    <cfRule type="duplicateValues" dxfId="186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500-000000000000}">
  <sheetPr codeName="Sheet493">
    <pageSetUpPr fitToPage="1"/>
  </sheetPr>
  <dimension ref="A1:N120"/>
  <sheetViews>
    <sheetView topLeftCell="A28" zoomScaleNormal="100" workbookViewId="0">
      <selection activeCell="E38" sqref="E38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3" ht="20.25" customHeight="1" x14ac:dyDescent="0.4">
      <c r="A1" s="212" t="s">
        <v>1851</v>
      </c>
      <c r="B1" s="212"/>
      <c r="C1" s="212"/>
      <c r="D1" s="212"/>
      <c r="E1" s="212"/>
      <c r="F1" s="212"/>
      <c r="G1" s="212"/>
      <c r="H1" s="112"/>
      <c r="I1" s="112"/>
    </row>
    <row r="2" spans="1:13" ht="12.75" customHeight="1" x14ac:dyDescent="0.4">
      <c r="H2" s="112"/>
      <c r="I2" s="112"/>
    </row>
    <row r="3" spans="1:13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3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3" s="2" customFormat="1" ht="14.25" customHeight="1" x14ac:dyDescent="0.4">
      <c r="A5" s="89">
        <v>45268</v>
      </c>
      <c r="B5" s="9" t="s">
        <v>6</v>
      </c>
      <c r="C5" s="10" t="s">
        <v>7</v>
      </c>
      <c r="D5" s="11"/>
      <c r="E5" s="12">
        <v>529143.33999999985</v>
      </c>
      <c r="F5" s="12"/>
      <c r="G5" s="1"/>
      <c r="H5" s="112"/>
      <c r="I5" s="112"/>
    </row>
    <row r="6" spans="1:13" s="2" customFormat="1" ht="12.75" customHeight="1" x14ac:dyDescent="0.2">
      <c r="D6" s="15" t="s">
        <v>8</v>
      </c>
      <c r="E6" s="16">
        <f>SUM(E5:E5)</f>
        <v>529143.33999999985</v>
      </c>
      <c r="F6" s="16">
        <f>F5</f>
        <v>0</v>
      </c>
      <c r="G6" s="1"/>
      <c r="H6" s="13" t="s">
        <v>1582</v>
      </c>
      <c r="I6" s="13" t="s">
        <v>1583</v>
      </c>
    </row>
    <row r="7" spans="1:13" s="2" customFormat="1" ht="12.75" customHeight="1" x14ac:dyDescent="0.2">
      <c r="A7" s="17"/>
      <c r="B7" s="18"/>
      <c r="C7" s="19" t="s">
        <v>9</v>
      </c>
      <c r="D7" s="20"/>
      <c r="E7" s="21">
        <f>+E6-F6</f>
        <v>529143.33999999985</v>
      </c>
      <c r="F7" s="22"/>
      <c r="G7" s="23"/>
      <c r="H7" s="2">
        <v>968867</v>
      </c>
      <c r="I7" s="2">
        <v>0</v>
      </c>
      <c r="J7" s="176">
        <f>H7-I7</f>
        <v>968867</v>
      </c>
    </row>
    <row r="8" spans="1:13" ht="12.75" customHeight="1" x14ac:dyDescent="0.4">
      <c r="H8" s="112"/>
      <c r="I8" s="112"/>
    </row>
    <row r="9" spans="1:13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69">
        <f>90000000-60000000</f>
        <v>30000000</v>
      </c>
      <c r="J9" s="169" t="s">
        <v>1508</v>
      </c>
    </row>
    <row r="10" spans="1:13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69">
        <v>29192084.059999999</v>
      </c>
      <c r="J10" s="169" t="s">
        <v>1509</v>
      </c>
      <c r="K10" s="124"/>
    </row>
    <row r="11" spans="1:13" s="2" customFormat="1" ht="14.25" customHeight="1" x14ac:dyDescent="0.2">
      <c r="A11" s="89">
        <v>45268</v>
      </c>
      <c r="B11" s="9" t="s">
        <v>6</v>
      </c>
      <c r="C11" s="10" t="s">
        <v>7</v>
      </c>
      <c r="D11" s="11"/>
      <c r="F11" s="12">
        <v>28490880.059999999</v>
      </c>
      <c r="G11" s="1"/>
      <c r="H11" s="130" t="s">
        <v>396</v>
      </c>
      <c r="I11" s="169">
        <f>+I9-I10</f>
        <v>807915.94000000134</v>
      </c>
      <c r="J11" s="169" t="s">
        <v>712</v>
      </c>
      <c r="K11" s="165" t="s">
        <v>1512</v>
      </c>
    </row>
    <row r="12" spans="1:13" s="2" customFormat="1" ht="14.25" customHeight="1" x14ac:dyDescent="0.2">
      <c r="A12" s="89">
        <v>45268</v>
      </c>
      <c r="B12" s="9" t="s">
        <v>6</v>
      </c>
      <c r="C12" s="76" t="s">
        <v>21</v>
      </c>
      <c r="D12" s="11" t="s">
        <v>1793</v>
      </c>
      <c r="E12" s="31">
        <v>300000</v>
      </c>
      <c r="F12" s="12"/>
      <c r="G12" s="1"/>
      <c r="H12" s="130"/>
      <c r="I12" s="169"/>
      <c r="J12" s="169"/>
      <c r="K12" s="165"/>
    </row>
    <row r="13" spans="1:13" s="2" customFormat="1" ht="14.25" customHeight="1" x14ac:dyDescent="0.2">
      <c r="A13" s="89">
        <v>45268</v>
      </c>
      <c r="B13" s="9" t="s">
        <v>11</v>
      </c>
      <c r="C13" s="76" t="s">
        <v>1068</v>
      </c>
      <c r="D13" s="11" t="s">
        <v>29</v>
      </c>
      <c r="F13" s="31">
        <v>22070</v>
      </c>
      <c r="G13" s="1"/>
      <c r="H13" s="130"/>
      <c r="I13" s="169"/>
      <c r="J13" s="169"/>
      <c r="K13" s="165"/>
    </row>
    <row r="14" spans="1:13" s="2" customFormat="1" ht="14.25" customHeight="1" x14ac:dyDescent="0.2">
      <c r="A14" s="89">
        <v>45268</v>
      </c>
      <c r="B14" s="9" t="s">
        <v>11</v>
      </c>
      <c r="C14" s="76" t="s">
        <v>223</v>
      </c>
      <c r="D14" s="11" t="s">
        <v>29</v>
      </c>
      <c r="F14" s="31">
        <v>10267</v>
      </c>
      <c r="G14" s="1"/>
      <c r="H14" s="130"/>
      <c r="I14" s="169"/>
      <c r="J14" s="169"/>
      <c r="K14" s="165"/>
    </row>
    <row r="15" spans="1:13" s="2" customFormat="1" ht="14.25" customHeight="1" x14ac:dyDescent="0.2">
      <c r="D15" s="11" t="s">
        <v>8</v>
      </c>
      <c r="E15" s="16">
        <f>SUM(E12:E14)</f>
        <v>300000</v>
      </c>
      <c r="F15" s="16">
        <f>SUM(F11:F14)</f>
        <v>28523217.059999999</v>
      </c>
      <c r="G15" s="1"/>
      <c r="H15" s="143"/>
      <c r="I15" s="130"/>
      <c r="J15" s="143"/>
      <c r="K15" s="143"/>
      <c r="L15" s="143"/>
      <c r="M15" s="143"/>
    </row>
    <row r="16" spans="1:13" s="2" customFormat="1" ht="14.25" customHeight="1" x14ac:dyDescent="0.4">
      <c r="A16" s="17"/>
      <c r="B16" s="18"/>
      <c r="C16" s="96" t="s">
        <v>9</v>
      </c>
      <c r="D16" s="20"/>
      <c r="E16" s="21">
        <f>+F15-E15</f>
        <v>28223217.059999999</v>
      </c>
      <c r="G16" s="1"/>
      <c r="I16" s="112"/>
      <c r="J16" s="153" t="s">
        <v>779</v>
      </c>
    </row>
    <row r="17" spans="1:14" s="2" customFormat="1" ht="14.25" customHeight="1" x14ac:dyDescent="0.2">
      <c r="A17" s="36"/>
      <c r="B17" s="28" t="s">
        <v>66</v>
      </c>
      <c r="C17" s="43" t="s">
        <v>1458</v>
      </c>
      <c r="D17" s="43"/>
      <c r="E17" s="12">
        <f>30000000+60000000</f>
        <v>90000000</v>
      </c>
      <c r="F17" s="22"/>
      <c r="G17" s="1"/>
      <c r="I17" s="40">
        <v>28223217.059999999</v>
      </c>
      <c r="J17" s="154">
        <f>I17-E16</f>
        <v>0</v>
      </c>
    </row>
    <row r="18" spans="1:14" s="2" customFormat="1" ht="14.25" customHeight="1" x14ac:dyDescent="0.25">
      <c r="A18" s="36"/>
      <c r="B18" s="28"/>
      <c r="C18" s="44" t="s">
        <v>1541</v>
      </c>
      <c r="D18" s="43"/>
      <c r="E18" s="7">
        <f>+E16+E17</f>
        <v>118223217.06</v>
      </c>
      <c r="F18" s="22"/>
      <c r="G18" s="1"/>
      <c r="H18" s="13" t="s">
        <v>1582</v>
      </c>
      <c r="I18" s="13" t="s">
        <v>1583</v>
      </c>
    </row>
    <row r="19" spans="1:14" s="2" customFormat="1" ht="14.25" customHeight="1" x14ac:dyDescent="0.25">
      <c r="A19" s="36"/>
      <c r="B19" s="28"/>
      <c r="C19" s="44" t="s">
        <v>1511</v>
      </c>
      <c r="D19" s="43"/>
      <c r="E19" s="38">
        <f>+I11+H7-I7</f>
        <v>1776782.9400000013</v>
      </c>
      <c r="F19" s="22"/>
      <c r="G19" s="1"/>
      <c r="H19" s="2">
        <v>1116930</v>
      </c>
      <c r="I19" s="2">
        <v>1363883</v>
      </c>
      <c r="J19" s="176">
        <f>H19-I19</f>
        <v>-246953</v>
      </c>
    </row>
    <row r="20" spans="1:14" s="2" customFormat="1" ht="14.25" customHeight="1" x14ac:dyDescent="0.2">
      <c r="A20" s="24"/>
      <c r="B20" s="1"/>
      <c r="C20" s="14"/>
      <c r="D20" s="25"/>
      <c r="G20" s="1"/>
      <c r="I20" s="130"/>
      <c r="J20" s="130"/>
    </row>
    <row r="21" spans="1:14" s="2" customFormat="1" x14ac:dyDescent="0.2">
      <c r="A21" s="214" t="s">
        <v>10</v>
      </c>
      <c r="B21" s="214"/>
      <c r="C21" s="214"/>
      <c r="D21" s="214"/>
      <c r="E21" s="214"/>
      <c r="F21" s="214"/>
      <c r="G21" s="1"/>
      <c r="H21" s="159"/>
      <c r="I21" s="160">
        <f>225000000-75000000-50000000</f>
        <v>100000000</v>
      </c>
      <c r="J21" s="160" t="s">
        <v>1506</v>
      </c>
      <c r="K21" s="70"/>
    </row>
    <row r="22" spans="1:14" s="2" customFormat="1" x14ac:dyDescent="0.2">
      <c r="A22" s="26" t="s">
        <v>1</v>
      </c>
      <c r="B22" s="27" t="s">
        <v>2</v>
      </c>
      <c r="C22" s="5"/>
      <c r="D22" s="6" t="s">
        <v>3</v>
      </c>
      <c r="E22" s="7" t="s">
        <v>4</v>
      </c>
      <c r="F22" s="7" t="s">
        <v>5</v>
      </c>
      <c r="G22" s="1"/>
      <c r="H22" s="159"/>
      <c r="I22" s="160">
        <v>58464075.509999998</v>
      </c>
      <c r="J22" s="160" t="s">
        <v>1507</v>
      </c>
      <c r="K22" s="70" t="s">
        <v>1512</v>
      </c>
    </row>
    <row r="23" spans="1:14" s="2" customFormat="1" x14ac:dyDescent="0.2">
      <c r="A23" s="89">
        <v>45268</v>
      </c>
      <c r="B23" s="128" t="s">
        <v>11</v>
      </c>
      <c r="C23" s="29" t="s">
        <v>7</v>
      </c>
      <c r="D23" s="25"/>
      <c r="E23" s="31"/>
      <c r="F23" s="2">
        <v>85909907.100000024</v>
      </c>
      <c r="G23" s="23"/>
      <c r="H23" s="159" t="s">
        <v>1505</v>
      </c>
      <c r="I23" s="160">
        <f>+I21-I22</f>
        <v>41535924.490000002</v>
      </c>
      <c r="J23" s="160"/>
      <c r="K23" s="70"/>
    </row>
    <row r="24" spans="1:14" s="2" customFormat="1" x14ac:dyDescent="0.2">
      <c r="A24" s="89">
        <v>45268</v>
      </c>
      <c r="B24" s="128" t="s">
        <v>6</v>
      </c>
      <c r="C24" s="29" t="s">
        <v>399</v>
      </c>
      <c r="D24" s="11" t="s">
        <v>13</v>
      </c>
      <c r="E24" s="86">
        <v>1838</v>
      </c>
      <c r="F24" s="70"/>
      <c r="G24" s="1"/>
      <c r="N24" s="1"/>
    </row>
    <row r="25" spans="1:14" s="2" customFormat="1" x14ac:dyDescent="0.2">
      <c r="A25" s="89">
        <v>45268</v>
      </c>
      <c r="B25" s="128" t="s">
        <v>6</v>
      </c>
      <c r="C25" s="29" t="s">
        <v>733</v>
      </c>
      <c r="D25" s="11" t="s">
        <v>13</v>
      </c>
      <c r="E25" s="86">
        <v>20000000</v>
      </c>
      <c r="F25" s="70"/>
      <c r="G25" s="1"/>
      <c r="N25" s="1"/>
    </row>
    <row r="26" spans="1:14" s="2" customFormat="1" x14ac:dyDescent="0.2">
      <c r="A26" s="89">
        <v>45268</v>
      </c>
      <c r="B26" s="128" t="s">
        <v>6</v>
      </c>
      <c r="C26" s="29" t="s">
        <v>164</v>
      </c>
      <c r="D26" s="11" t="s">
        <v>13</v>
      </c>
      <c r="E26" s="86">
        <v>1500000</v>
      </c>
      <c r="F26" s="70"/>
      <c r="G26" s="1"/>
      <c r="N26" s="1"/>
    </row>
    <row r="27" spans="1:14" s="2" customFormat="1" x14ac:dyDescent="0.2">
      <c r="A27" s="89">
        <v>45268</v>
      </c>
      <c r="B27" s="128" t="s">
        <v>6</v>
      </c>
      <c r="C27" s="29" t="s">
        <v>1838</v>
      </c>
      <c r="D27" s="11" t="s">
        <v>13</v>
      </c>
      <c r="E27" s="86">
        <v>10000000</v>
      </c>
      <c r="F27" s="70"/>
      <c r="G27" s="1"/>
      <c r="N27" s="1"/>
    </row>
    <row r="28" spans="1:14" s="2" customFormat="1" x14ac:dyDescent="0.2">
      <c r="A28" s="89">
        <v>45268</v>
      </c>
      <c r="B28" s="128" t="s">
        <v>6</v>
      </c>
      <c r="C28" s="29" t="s">
        <v>1378</v>
      </c>
      <c r="D28" s="11" t="s">
        <v>13</v>
      </c>
      <c r="E28" s="86">
        <v>9912</v>
      </c>
      <c r="F28" s="70"/>
      <c r="G28" s="1"/>
      <c r="N28" s="1"/>
    </row>
    <row r="29" spans="1:14" s="2" customFormat="1" x14ac:dyDescent="0.2">
      <c r="A29" s="89">
        <v>45268</v>
      </c>
      <c r="B29" s="128" t="s">
        <v>6</v>
      </c>
      <c r="C29" s="29" t="s">
        <v>764</v>
      </c>
      <c r="D29" s="11" t="s">
        <v>13</v>
      </c>
      <c r="E29" s="86">
        <v>1705566.85</v>
      </c>
      <c r="F29" s="70"/>
      <c r="G29" s="1"/>
      <c r="N29" s="1"/>
    </row>
    <row r="30" spans="1:14" s="2" customFormat="1" x14ac:dyDescent="0.2">
      <c r="A30" s="89">
        <v>45268</v>
      </c>
      <c r="B30" s="128" t="s">
        <v>6</v>
      </c>
      <c r="C30" s="29" t="s">
        <v>759</v>
      </c>
      <c r="D30" s="11" t="s">
        <v>13</v>
      </c>
      <c r="E30" s="86">
        <v>2615277.2999999998</v>
      </c>
      <c r="F30" s="70"/>
      <c r="G30" s="1"/>
      <c r="N30" s="1"/>
    </row>
    <row r="31" spans="1:14" s="2" customFormat="1" x14ac:dyDescent="0.2">
      <c r="A31" s="89">
        <v>45268</v>
      </c>
      <c r="B31" s="128" t="s">
        <v>6</v>
      </c>
      <c r="C31" s="29" t="s">
        <v>757</v>
      </c>
      <c r="D31" s="11" t="s">
        <v>13</v>
      </c>
      <c r="E31" s="86">
        <v>1341513.48</v>
      </c>
      <c r="F31" s="70"/>
      <c r="G31" s="1"/>
      <c r="N31" s="1"/>
    </row>
    <row r="32" spans="1:14" s="2" customFormat="1" x14ac:dyDescent="0.2">
      <c r="A32" s="89">
        <v>45268</v>
      </c>
      <c r="B32" s="128" t="s">
        <v>6</v>
      </c>
      <c r="C32" s="29" t="s">
        <v>749</v>
      </c>
      <c r="D32" s="11" t="s">
        <v>13</v>
      </c>
      <c r="E32" s="86">
        <v>626968.03</v>
      </c>
      <c r="F32" s="70"/>
      <c r="G32" s="1"/>
      <c r="N32" s="1"/>
    </row>
    <row r="33" spans="1:14" s="2" customFormat="1" x14ac:dyDescent="0.2">
      <c r="A33" s="89">
        <v>45268</v>
      </c>
      <c r="B33" s="128" t="s">
        <v>6</v>
      </c>
      <c r="C33" s="29" t="s">
        <v>785</v>
      </c>
      <c r="D33" s="11" t="s">
        <v>13</v>
      </c>
      <c r="E33" s="86">
        <v>2159621</v>
      </c>
      <c r="F33" s="70"/>
      <c r="G33" s="1"/>
      <c r="N33" s="1"/>
    </row>
    <row r="34" spans="1:14" s="2" customFormat="1" x14ac:dyDescent="0.2">
      <c r="A34" s="89">
        <v>45268</v>
      </c>
      <c r="B34" s="128" t="s">
        <v>6</v>
      </c>
      <c r="C34" s="29" t="s">
        <v>765</v>
      </c>
      <c r="D34" s="11" t="s">
        <v>13</v>
      </c>
      <c r="E34" s="86">
        <v>3553189.89</v>
      </c>
      <c r="F34" s="70"/>
      <c r="G34" s="1"/>
      <c r="N34" s="1"/>
    </row>
    <row r="35" spans="1:14" s="2" customFormat="1" x14ac:dyDescent="0.2">
      <c r="A35" s="89">
        <v>45268</v>
      </c>
      <c r="B35" s="128" t="s">
        <v>6</v>
      </c>
      <c r="C35" s="29" t="s">
        <v>121</v>
      </c>
      <c r="D35" s="11" t="s">
        <v>13</v>
      </c>
      <c r="E35" s="86">
        <v>300000</v>
      </c>
      <c r="F35" s="70"/>
      <c r="G35" s="1"/>
      <c r="N35" s="1"/>
    </row>
    <row r="36" spans="1:14" s="2" customFormat="1" x14ac:dyDescent="0.2">
      <c r="A36" s="89">
        <v>45268</v>
      </c>
      <c r="B36" s="128" t="s">
        <v>6</v>
      </c>
      <c r="C36" s="29" t="s">
        <v>430</v>
      </c>
      <c r="D36" s="11" t="s">
        <v>13</v>
      </c>
      <c r="E36" s="86">
        <v>35700</v>
      </c>
      <c r="F36" s="70"/>
      <c r="G36" s="1"/>
      <c r="N36" s="1"/>
    </row>
    <row r="37" spans="1:14" s="2" customFormat="1" x14ac:dyDescent="0.2">
      <c r="A37" s="89">
        <v>45268</v>
      </c>
      <c r="B37" s="128" t="s">
        <v>6</v>
      </c>
      <c r="C37" s="29" t="s">
        <v>62</v>
      </c>
      <c r="D37" s="11" t="s">
        <v>13</v>
      </c>
      <c r="E37" s="86">
        <v>10000</v>
      </c>
      <c r="F37" s="70"/>
      <c r="G37" s="1"/>
      <c r="N37" s="1"/>
    </row>
    <row r="38" spans="1:14" s="2" customFormat="1" x14ac:dyDescent="0.2">
      <c r="A38" s="89">
        <v>45268</v>
      </c>
      <c r="B38" s="128" t="s">
        <v>6</v>
      </c>
      <c r="C38" s="29" t="s">
        <v>819</v>
      </c>
      <c r="D38" s="11" t="s">
        <v>13</v>
      </c>
      <c r="E38" s="86">
        <v>53442</v>
      </c>
      <c r="F38" s="70"/>
      <c r="G38" s="1"/>
      <c r="N38" s="1"/>
    </row>
    <row r="39" spans="1:14" s="2" customFormat="1" x14ac:dyDescent="0.2">
      <c r="A39" s="89">
        <v>45268</v>
      </c>
      <c r="B39" s="128" t="s">
        <v>11</v>
      </c>
      <c r="C39" s="29" t="s">
        <v>15</v>
      </c>
      <c r="D39" s="11" t="s">
        <v>29</v>
      </c>
      <c r="E39" s="86"/>
      <c r="F39" s="86">
        <v>21699.75</v>
      </c>
      <c r="G39" s="1"/>
      <c r="N39" s="1"/>
    </row>
    <row r="40" spans="1:14" s="2" customFormat="1" x14ac:dyDescent="0.2">
      <c r="A40" s="89">
        <v>45268</v>
      </c>
      <c r="B40" s="128" t="s">
        <v>11</v>
      </c>
      <c r="C40" s="29" t="s">
        <v>64</v>
      </c>
      <c r="D40" s="11" t="s">
        <v>29</v>
      </c>
      <c r="E40" s="86"/>
      <c r="F40" s="70">
        <v>20234.510000000002</v>
      </c>
      <c r="G40" s="1"/>
      <c r="N40" s="1"/>
    </row>
    <row r="41" spans="1:14" s="2" customFormat="1" x14ac:dyDescent="0.2">
      <c r="A41" s="89">
        <v>45268</v>
      </c>
      <c r="B41" s="128" t="s">
        <v>11</v>
      </c>
      <c r="C41" s="29" t="s">
        <v>1734</v>
      </c>
      <c r="D41" s="11" t="s">
        <v>29</v>
      </c>
      <c r="E41" s="86"/>
      <c r="F41" s="70">
        <v>1281209</v>
      </c>
      <c r="G41" s="1"/>
      <c r="N41" s="1"/>
    </row>
    <row r="42" spans="1:14" s="2" customFormat="1" x14ac:dyDescent="0.2">
      <c r="A42" s="89">
        <v>45268</v>
      </c>
      <c r="B42" s="128" t="s">
        <v>11</v>
      </c>
      <c r="C42" s="29" t="s">
        <v>232</v>
      </c>
      <c r="D42" s="11" t="s">
        <v>29</v>
      </c>
      <c r="E42" s="86"/>
      <c r="F42" s="70">
        <v>12414</v>
      </c>
      <c r="G42" s="1"/>
      <c r="N42" s="1"/>
    </row>
    <row r="43" spans="1:14" s="2" customFormat="1" x14ac:dyDescent="0.2">
      <c r="A43" s="89">
        <v>45268</v>
      </c>
      <c r="B43" s="128" t="s">
        <v>11</v>
      </c>
      <c r="C43" s="29" t="s">
        <v>147</v>
      </c>
      <c r="D43" s="11" t="s">
        <v>29</v>
      </c>
      <c r="E43" s="86"/>
      <c r="F43" s="70">
        <v>4239296</v>
      </c>
      <c r="G43" s="1"/>
      <c r="N43" s="1"/>
    </row>
    <row r="44" spans="1:14" s="2" customFormat="1" x14ac:dyDescent="0.2">
      <c r="A44" s="89">
        <v>45268</v>
      </c>
      <c r="B44" s="128" t="s">
        <v>11</v>
      </c>
      <c r="C44" s="29" t="s">
        <v>243</v>
      </c>
      <c r="D44" s="11" t="s">
        <v>29</v>
      </c>
      <c r="E44" s="86"/>
      <c r="F44" s="86">
        <v>2413.1</v>
      </c>
      <c r="G44" s="1"/>
      <c r="N44" s="1"/>
    </row>
    <row r="45" spans="1:14" s="2" customFormat="1" x14ac:dyDescent="0.2">
      <c r="A45" s="89">
        <v>45268</v>
      </c>
      <c r="B45" s="128" t="s">
        <v>11</v>
      </c>
      <c r="C45" s="29" t="s">
        <v>649</v>
      </c>
      <c r="D45" s="11" t="s">
        <v>29</v>
      </c>
      <c r="E45" s="86"/>
      <c r="F45" s="86">
        <v>300000</v>
      </c>
      <c r="G45" s="1"/>
      <c r="N45" s="1"/>
    </row>
    <row r="46" spans="1:14" s="2" customFormat="1" x14ac:dyDescent="0.2">
      <c r="A46" s="89">
        <v>45268</v>
      </c>
      <c r="B46" s="128" t="s">
        <v>11</v>
      </c>
      <c r="C46" s="29" t="s">
        <v>242</v>
      </c>
      <c r="D46" s="11" t="s">
        <v>29</v>
      </c>
      <c r="E46" s="86"/>
      <c r="F46" s="86">
        <v>7635.6</v>
      </c>
      <c r="G46" s="1"/>
      <c r="N46" s="1"/>
    </row>
    <row r="47" spans="1:14" s="2" customFormat="1" x14ac:dyDescent="0.2">
      <c r="A47" s="89">
        <v>45268</v>
      </c>
      <c r="B47" s="128" t="s">
        <v>11</v>
      </c>
      <c r="C47" s="29" t="s">
        <v>330</v>
      </c>
      <c r="D47" s="11" t="s">
        <v>29</v>
      </c>
      <c r="E47" s="86"/>
      <c r="F47" s="86">
        <v>1000000</v>
      </c>
      <c r="G47" s="1"/>
      <c r="N47" s="1"/>
    </row>
    <row r="48" spans="1:14" s="2" customFormat="1" x14ac:dyDescent="0.2">
      <c r="A48" s="89">
        <v>45268</v>
      </c>
      <c r="B48" s="128" t="s">
        <v>11</v>
      </c>
      <c r="C48" s="29" t="s">
        <v>923</v>
      </c>
      <c r="D48" s="11" t="s">
        <v>29</v>
      </c>
      <c r="E48" s="86"/>
      <c r="F48" s="86">
        <v>300000</v>
      </c>
      <c r="G48" s="1"/>
      <c r="N48" s="1"/>
    </row>
    <row r="49" spans="1:14" s="2" customFormat="1" x14ac:dyDescent="0.2">
      <c r="A49" s="89">
        <v>45268</v>
      </c>
      <c r="B49" s="128" t="s">
        <v>11</v>
      </c>
      <c r="C49" s="29" t="s">
        <v>1025</v>
      </c>
      <c r="D49" s="11" t="s">
        <v>29</v>
      </c>
      <c r="E49" s="86"/>
      <c r="F49" s="86">
        <v>9500000</v>
      </c>
      <c r="G49" s="1"/>
      <c r="N49" s="1"/>
    </row>
    <row r="50" spans="1:14" s="2" customFormat="1" x14ac:dyDescent="0.2">
      <c r="A50" s="89">
        <v>45268</v>
      </c>
      <c r="B50" s="128" t="s">
        <v>11</v>
      </c>
      <c r="C50" s="29" t="s">
        <v>382</v>
      </c>
      <c r="D50" s="11" t="s">
        <v>29</v>
      </c>
      <c r="E50" s="86"/>
      <c r="F50" s="86">
        <v>29248</v>
      </c>
      <c r="G50" s="1"/>
      <c r="N50" s="1"/>
    </row>
    <row r="51" spans="1:14" s="2" customFormat="1" x14ac:dyDescent="0.2">
      <c r="A51" s="32"/>
      <c r="B51" s="33"/>
      <c r="C51" s="14"/>
      <c r="D51" s="34"/>
      <c r="E51" s="16">
        <f>SUM(E23:E50)</f>
        <v>43913028.549999997</v>
      </c>
      <c r="F51" s="16">
        <f>SUM(F23:F50)</f>
        <v>102624057.06000002</v>
      </c>
      <c r="G51" s="1"/>
      <c r="H51" s="1"/>
      <c r="I51" s="38">
        <v>58711028.509999998</v>
      </c>
      <c r="K51" s="92">
        <f>E52-I51</f>
        <v>0</v>
      </c>
      <c r="N51" s="1"/>
    </row>
    <row r="52" spans="1:14" s="2" customFormat="1" x14ac:dyDescent="0.2">
      <c r="A52" s="36"/>
      <c r="B52" s="28" t="s">
        <v>11</v>
      </c>
      <c r="C52" s="19" t="s">
        <v>65</v>
      </c>
      <c r="D52" s="37"/>
      <c r="E52" s="38">
        <f>F51-E51</f>
        <v>58711028.51000002</v>
      </c>
      <c r="F52" s="22"/>
      <c r="G52" s="1"/>
      <c r="H52" s="1"/>
      <c r="I52" s="70"/>
      <c r="J52" s="70"/>
      <c r="K52" s="70"/>
      <c r="N52" s="1"/>
    </row>
    <row r="53" spans="1:14" s="2" customFormat="1" x14ac:dyDescent="0.2">
      <c r="A53" s="36"/>
      <c r="B53" s="28" t="s">
        <v>66</v>
      </c>
      <c r="C53" s="19" t="s">
        <v>67</v>
      </c>
      <c r="D53" s="37"/>
      <c r="E53" s="38">
        <v>6500000</v>
      </c>
      <c r="F53" s="22"/>
      <c r="G53" s="1"/>
      <c r="H53" s="70"/>
      <c r="I53" s="70"/>
      <c r="J53" s="70"/>
      <c r="K53" s="70"/>
      <c r="N53" s="1"/>
    </row>
    <row r="54" spans="1:14" s="2" customFormat="1" x14ac:dyDescent="0.2">
      <c r="A54" s="36"/>
      <c r="B54" s="28" t="s">
        <v>66</v>
      </c>
      <c r="C54" s="43" t="s">
        <v>1457</v>
      </c>
      <c r="D54" s="43"/>
      <c r="E54" s="12">
        <f>275000000+75000000+50000000</f>
        <v>400000000</v>
      </c>
      <c r="F54" s="22"/>
      <c r="G54" s="1"/>
      <c r="H54" s="70"/>
      <c r="I54" s="45">
        <v>440.09</v>
      </c>
      <c r="J54" s="46"/>
      <c r="K54" s="46"/>
      <c r="N54" s="1"/>
    </row>
    <row r="55" spans="1:14" s="2" customFormat="1" ht="15" x14ac:dyDescent="0.25">
      <c r="A55" s="36"/>
      <c r="B55" s="28"/>
      <c r="C55" s="44" t="s">
        <v>1541</v>
      </c>
      <c r="D55" s="43"/>
      <c r="E55" s="7">
        <f>+E54+E52+E53</f>
        <v>465211028.50999999</v>
      </c>
      <c r="F55" s="22"/>
      <c r="G55" s="1"/>
      <c r="H55" s="103" t="s">
        <v>69</v>
      </c>
      <c r="I55" s="45">
        <v>-94.26</v>
      </c>
      <c r="J55" s="46"/>
      <c r="K55" s="46"/>
      <c r="N55" s="1"/>
    </row>
    <row r="56" spans="1:14" s="2" customFormat="1" ht="15" x14ac:dyDescent="0.25">
      <c r="A56" s="24"/>
      <c r="B56" s="1"/>
      <c r="C56" s="44" t="s">
        <v>1510</v>
      </c>
      <c r="D56" s="25"/>
      <c r="E56" s="156">
        <f>+I23-E53+H19-I19</f>
        <v>34788971.490000002</v>
      </c>
      <c r="G56" s="1"/>
      <c r="H56" s="35" t="s">
        <v>70</v>
      </c>
      <c r="I56" s="45">
        <v>101.86</v>
      </c>
      <c r="J56" s="46">
        <f>+I57-D59</f>
        <v>0</v>
      </c>
      <c r="N56" s="1"/>
    </row>
    <row r="57" spans="1:14" s="124" customFormat="1" ht="12.75" customHeight="1" x14ac:dyDescent="0.2">
      <c r="A57" s="24"/>
      <c r="B57" s="1"/>
      <c r="C57" s="56"/>
      <c r="D57" s="56"/>
      <c r="E57" s="104"/>
      <c r="F57" s="2"/>
      <c r="G57" s="166"/>
      <c r="H57" s="70"/>
      <c r="I57" s="49">
        <f>SUM(I54:I56)</f>
        <v>447.69</v>
      </c>
      <c r="J57" s="46"/>
      <c r="K57" s="46"/>
    </row>
    <row r="58" spans="1:14" s="124" customFormat="1" ht="12.75" customHeight="1" x14ac:dyDescent="0.2">
      <c r="A58" s="24"/>
      <c r="B58" s="1"/>
      <c r="C58" s="78" t="s">
        <v>575</v>
      </c>
      <c r="D58" s="48" t="s">
        <v>576</v>
      </c>
      <c r="E58" s="104"/>
      <c r="F58" s="2"/>
      <c r="G58" s="168"/>
      <c r="H58" s="167"/>
      <c r="I58" s="167"/>
      <c r="J58" s="168"/>
    </row>
    <row r="59" spans="1:14" s="124" customFormat="1" ht="12.75" customHeight="1" x14ac:dyDescent="0.2">
      <c r="A59" s="24"/>
      <c r="B59" s="1"/>
      <c r="C59" s="47" t="s">
        <v>570</v>
      </c>
      <c r="D59" s="111">
        <v>447.69</v>
      </c>
      <c r="E59" s="104"/>
      <c r="F59" s="2"/>
      <c r="G59" s="168"/>
      <c r="H59" s="110" t="s">
        <v>581</v>
      </c>
      <c r="I59" s="167"/>
      <c r="J59" s="168"/>
    </row>
    <row r="60" spans="1:14" s="124" customFormat="1" ht="12.75" customHeight="1" x14ac:dyDescent="0.2">
      <c r="A60" s="24"/>
      <c r="B60" s="1"/>
      <c r="C60" s="47" t="s">
        <v>931</v>
      </c>
      <c r="D60" s="111">
        <v>80.44</v>
      </c>
      <c r="E60" s="104"/>
      <c r="F60" s="2"/>
      <c r="G60" s="168"/>
      <c r="H60" s="110" t="s">
        <v>580</v>
      </c>
      <c r="I60" s="167"/>
      <c r="J60" s="168"/>
    </row>
    <row r="61" spans="1:14" s="124" customFormat="1" ht="12.75" customHeight="1" x14ac:dyDescent="0.2">
      <c r="A61" s="24"/>
      <c r="B61" s="1"/>
      <c r="C61" s="47" t="s">
        <v>572</v>
      </c>
      <c r="D61" s="111">
        <f>+D80/100000</f>
        <v>163.91511599999998</v>
      </c>
      <c r="E61" s="104"/>
      <c r="F61" s="2"/>
      <c r="G61" s="166"/>
      <c r="H61" s="90" t="s">
        <v>587</v>
      </c>
      <c r="I61" s="167"/>
      <c r="J61" s="168"/>
    </row>
    <row r="62" spans="1:14" s="2" customFormat="1" x14ac:dyDescent="0.2">
      <c r="A62" s="24"/>
      <c r="B62" s="1"/>
      <c r="C62" s="108" t="s">
        <v>578</v>
      </c>
      <c r="D62" s="48">
        <f>SUM(D59:D61)</f>
        <v>692.04511600000001</v>
      </c>
      <c r="E62" s="104"/>
      <c r="G62" s="30"/>
      <c r="I62" s="13"/>
      <c r="J62" s="13"/>
    </row>
    <row r="63" spans="1:14" s="70" customFormat="1" x14ac:dyDescent="0.2">
      <c r="A63" s="24"/>
      <c r="B63" s="1"/>
      <c r="C63" s="47"/>
      <c r="D63" s="107"/>
      <c r="E63" s="104"/>
      <c r="F63" s="2"/>
      <c r="G63" s="30"/>
      <c r="H63" s="2"/>
    </row>
    <row r="64" spans="1:14" s="70" customFormat="1" x14ac:dyDescent="0.2">
      <c r="A64" s="24"/>
      <c r="B64" s="1"/>
      <c r="C64" s="47" t="s">
        <v>932</v>
      </c>
      <c r="D64" s="111">
        <v>98.18</v>
      </c>
      <c r="E64" s="104"/>
      <c r="F64" s="2"/>
      <c r="G64" s="30"/>
      <c r="H64" s="110" t="s">
        <v>581</v>
      </c>
    </row>
    <row r="65" spans="1:14" s="70" customFormat="1" x14ac:dyDescent="0.2">
      <c r="A65" s="24"/>
      <c r="B65" s="1"/>
      <c r="C65" s="136" t="s">
        <v>1142</v>
      </c>
      <c r="D65" s="111">
        <v>394.58</v>
      </c>
      <c r="E65" s="104"/>
      <c r="F65" s="2"/>
      <c r="G65" s="30"/>
      <c r="H65" s="110" t="s">
        <v>581</v>
      </c>
    </row>
    <row r="66" spans="1:14" s="70" customFormat="1" x14ac:dyDescent="0.2">
      <c r="A66" s="24"/>
      <c r="B66" s="1"/>
      <c r="C66" s="78" t="s">
        <v>579</v>
      </c>
      <c r="D66" s="109">
        <f>D64+D65</f>
        <v>492.76</v>
      </c>
      <c r="E66" s="104"/>
      <c r="F66" s="2"/>
      <c r="G66" s="30"/>
    </row>
    <row r="67" spans="1:14" s="70" customFormat="1" x14ac:dyDescent="0.2">
      <c r="A67" s="24"/>
      <c r="B67" s="1"/>
      <c r="C67" s="105"/>
      <c r="D67" s="106"/>
      <c r="E67" s="104"/>
      <c r="F67" s="2"/>
      <c r="G67" s="30"/>
      <c r="I67" s="2"/>
      <c r="J67" s="114" t="s">
        <v>713</v>
      </c>
      <c r="K67" s="2"/>
      <c r="L67" s="2"/>
      <c r="M67" s="2"/>
    </row>
    <row r="68" spans="1:14" s="70" customFormat="1" x14ac:dyDescent="0.2">
      <c r="A68" s="24"/>
      <c r="B68" s="1"/>
      <c r="C68" s="78" t="s">
        <v>577</v>
      </c>
      <c r="D68" s="109">
        <f>D59+D66</f>
        <v>940.45</v>
      </c>
      <c r="E68" s="104"/>
      <c r="F68" s="2"/>
      <c r="G68" s="30"/>
      <c r="I68" s="113"/>
      <c r="J68" s="113" t="s">
        <v>709</v>
      </c>
      <c r="K68" s="113" t="s">
        <v>710</v>
      </c>
      <c r="L68" s="113" t="s">
        <v>711</v>
      </c>
      <c r="M68" s="113" t="s">
        <v>712</v>
      </c>
    </row>
    <row r="69" spans="1:14" s="70" customFormat="1" x14ac:dyDescent="0.2">
      <c r="A69" s="24"/>
      <c r="B69" s="1"/>
      <c r="C69" s="56"/>
      <c r="D69" s="56"/>
      <c r="E69" s="104"/>
      <c r="F69" s="2"/>
      <c r="G69" s="30"/>
      <c r="I69" s="113" t="s">
        <v>706</v>
      </c>
      <c r="J69" s="115"/>
      <c r="K69" s="115">
        <v>968.99</v>
      </c>
      <c r="L69" s="115">
        <v>968.99</v>
      </c>
      <c r="M69" s="113">
        <f>+J69+L69-K69</f>
        <v>0</v>
      </c>
    </row>
    <row r="70" spans="1:14" s="70" customFormat="1" ht="38.25" x14ac:dyDescent="0.2">
      <c r="A70" s="24"/>
      <c r="B70" s="1"/>
      <c r="C70" s="79" t="str">
        <f>"Particulars ( 01-04-2021 to "&amp;TEXT(A5,"dd-mm-yyyy")&amp;" )"</f>
        <v>Particulars ( 01-04-2021 to 08-12-2023 )</v>
      </c>
      <c r="D70" s="80" t="s">
        <v>73</v>
      </c>
      <c r="E70" s="80" t="s">
        <v>74</v>
      </c>
      <c r="F70" s="81" t="s">
        <v>75</v>
      </c>
      <c r="G70" s="80" t="s">
        <v>76</v>
      </c>
      <c r="I70" s="113" t="s">
        <v>707</v>
      </c>
      <c r="J70" s="115">
        <v>183.1</v>
      </c>
      <c r="K70" s="115">
        <v>4171.6400000000003</v>
      </c>
      <c r="L70" s="115">
        <v>4367.38</v>
      </c>
      <c r="M70" s="113">
        <f>+J70+L70-K70</f>
        <v>378.84000000000015</v>
      </c>
    </row>
    <row r="71" spans="1:14" s="70" customFormat="1" x14ac:dyDescent="0.2">
      <c r="A71" s="24"/>
      <c r="B71" s="1"/>
      <c r="C71" s="50" t="s">
        <v>444</v>
      </c>
      <c r="D71" s="55">
        <f>+L69+L70+J70</f>
        <v>5519.47</v>
      </c>
      <c r="E71" s="55">
        <f>+K69+K70</f>
        <v>5140.63</v>
      </c>
      <c r="F71" s="55">
        <f>+D71-E71</f>
        <v>378.84000000000015</v>
      </c>
      <c r="G71" s="55">
        <f>1500-F71</f>
        <v>1121.1599999999999</v>
      </c>
      <c r="I71" s="113" t="s">
        <v>708</v>
      </c>
      <c r="J71" s="115">
        <v>1371.02</v>
      </c>
      <c r="K71" s="115">
        <v>15441.64</v>
      </c>
      <c r="L71" s="115">
        <v>15819.89</v>
      </c>
      <c r="M71" s="113">
        <f>+J71+L71-K71</f>
        <v>1749.2700000000004</v>
      </c>
    </row>
    <row r="72" spans="1:14" s="70" customFormat="1" ht="12.75" customHeight="1" x14ac:dyDescent="0.2">
      <c r="A72" s="24"/>
      <c r="B72" s="1"/>
      <c r="C72" s="50" t="s">
        <v>71</v>
      </c>
      <c r="D72" s="55">
        <f>+J71+L71</f>
        <v>17190.91</v>
      </c>
      <c r="E72" s="55">
        <f>+K71</f>
        <v>15441.64</v>
      </c>
      <c r="F72" s="55">
        <f>+D72-E72</f>
        <v>1749.2700000000004</v>
      </c>
      <c r="G72" s="55">
        <f>1500+700-F72</f>
        <v>450.72999999999956</v>
      </c>
      <c r="I72" s="2"/>
      <c r="J72" s="118">
        <f>SUM(J69:J71)</f>
        <v>1554.12</v>
      </c>
      <c r="K72" s="118">
        <f>SUM(K69:K71)</f>
        <v>20582.27</v>
      </c>
      <c r="L72" s="118">
        <f>SUM(L69:L71)</f>
        <v>21156.26</v>
      </c>
      <c r="M72" s="118">
        <f>SUM(M69:M71)</f>
        <v>2128.1100000000006</v>
      </c>
    </row>
    <row r="73" spans="1:14" s="70" customFormat="1" ht="12.75" customHeight="1" x14ac:dyDescent="0.2">
      <c r="A73" s="24"/>
      <c r="B73" s="1"/>
      <c r="C73" s="14"/>
      <c r="D73" s="56"/>
      <c r="E73" s="13"/>
      <c r="F73" s="2"/>
      <c r="G73" s="30"/>
    </row>
    <row r="74" spans="1:14" s="70" customFormat="1" ht="12.75" customHeight="1" x14ac:dyDescent="0.2">
      <c r="A74" s="215" t="s">
        <v>80</v>
      </c>
      <c r="B74" s="216"/>
      <c r="C74" s="216"/>
      <c r="D74" s="217"/>
      <c r="E74" s="69"/>
      <c r="G74" s="30"/>
    </row>
    <row r="75" spans="1:14" s="70" customFormat="1" ht="12.75" customHeight="1" x14ac:dyDescent="0.2">
      <c r="A75" s="71" t="s">
        <v>81</v>
      </c>
      <c r="B75" s="71"/>
      <c r="C75" s="72" t="s">
        <v>82</v>
      </c>
      <c r="D75" s="73" t="s">
        <v>83</v>
      </c>
      <c r="E75" s="69"/>
      <c r="G75" s="30"/>
    </row>
    <row r="76" spans="1:14" s="70" customFormat="1" ht="12.75" customHeight="1" x14ac:dyDescent="0.2">
      <c r="A76" s="87">
        <v>45264</v>
      </c>
      <c r="B76" s="120" t="s">
        <v>6</v>
      </c>
      <c r="C76" s="75" t="s">
        <v>909</v>
      </c>
      <c r="D76" s="88">
        <v>13756945</v>
      </c>
      <c r="E76" s="2"/>
      <c r="F76" s="2"/>
      <c r="G76" s="30"/>
      <c r="H76" s="2"/>
      <c r="I76" s="2"/>
      <c r="J76" s="2"/>
      <c r="K76" s="2"/>
      <c r="L76" s="41"/>
      <c r="M76" s="42"/>
      <c r="N76" s="2"/>
    </row>
    <row r="77" spans="1:14" s="70" customFormat="1" ht="12.75" customHeight="1" x14ac:dyDescent="0.2">
      <c r="A77" s="87">
        <v>45265</v>
      </c>
      <c r="B77" s="120" t="s">
        <v>6</v>
      </c>
      <c r="C77" s="75" t="s">
        <v>1552</v>
      </c>
      <c r="D77" s="88">
        <v>2152501.6</v>
      </c>
      <c r="E77" s="2"/>
      <c r="F77" s="2"/>
      <c r="G77" s="30"/>
      <c r="H77" s="2"/>
      <c r="I77" s="2"/>
      <c r="J77" s="2"/>
      <c r="K77" s="2"/>
      <c r="L77" s="41"/>
      <c r="M77" s="42"/>
      <c r="N77" s="2"/>
    </row>
    <row r="78" spans="1:14" s="70" customFormat="1" ht="12.75" customHeight="1" x14ac:dyDescent="0.2">
      <c r="A78" s="87">
        <v>45267</v>
      </c>
      <c r="B78" s="120" t="s">
        <v>6</v>
      </c>
      <c r="C78" s="75" t="s">
        <v>784</v>
      </c>
      <c r="D78" s="88">
        <v>179811</v>
      </c>
      <c r="E78" s="2"/>
      <c r="F78" s="2"/>
      <c r="G78" s="30"/>
      <c r="H78" s="2"/>
      <c r="I78" s="2"/>
      <c r="J78" s="2"/>
      <c r="K78" s="2"/>
      <c r="L78" s="41"/>
      <c r="M78" s="42"/>
      <c r="N78" s="2"/>
    </row>
    <row r="79" spans="1:14" s="70" customFormat="1" ht="12.75" customHeight="1" x14ac:dyDescent="0.2">
      <c r="A79" s="87">
        <v>45267</v>
      </c>
      <c r="B79" s="120" t="s">
        <v>6</v>
      </c>
      <c r="C79" s="75" t="s">
        <v>784</v>
      </c>
      <c r="D79" s="88">
        <v>302254</v>
      </c>
      <c r="E79" s="2"/>
      <c r="F79" s="2"/>
      <c r="G79" s="30"/>
      <c r="H79" s="2"/>
      <c r="I79" s="2"/>
      <c r="J79" s="2"/>
      <c r="K79" s="2"/>
      <c r="L79" s="41"/>
      <c r="M79" s="42"/>
      <c r="N79" s="2"/>
    </row>
    <row r="80" spans="1:14" s="2" customFormat="1" x14ac:dyDescent="0.2">
      <c r="A80" s="87"/>
      <c r="B80" s="74"/>
      <c r="C80" s="75"/>
      <c r="D80" s="51">
        <f>SUM(D76:D79)</f>
        <v>16391511.6</v>
      </c>
      <c r="F80" s="2" t="s">
        <v>396</v>
      </c>
      <c r="G80" s="1"/>
    </row>
    <row r="81" spans="1:13" s="2" customFormat="1" x14ac:dyDescent="0.2">
      <c r="A81" s="24"/>
      <c r="B81" s="1"/>
      <c r="C81" s="14"/>
      <c r="D81" s="56"/>
      <c r="E81" s="13"/>
      <c r="G81" s="1"/>
    </row>
    <row r="82" spans="1:13" s="2" customFormat="1" x14ac:dyDescent="0.2">
      <c r="A82" s="24"/>
      <c r="B82" s="1"/>
      <c r="C82" s="218" t="s">
        <v>77</v>
      </c>
      <c r="D82" s="219"/>
      <c r="E82" s="219"/>
      <c r="F82" s="220"/>
      <c r="H82" s="2" t="s">
        <v>396</v>
      </c>
    </row>
    <row r="83" spans="1:13" s="2" customFormat="1" x14ac:dyDescent="0.2">
      <c r="A83" s="24"/>
      <c r="B83" s="1"/>
      <c r="C83" s="50"/>
      <c r="D83" s="57" t="s">
        <v>78</v>
      </c>
      <c r="E83" s="58" t="s">
        <v>79</v>
      </c>
      <c r="F83" s="57" t="s">
        <v>72</v>
      </c>
      <c r="H83" s="2" t="s">
        <v>396</v>
      </c>
    </row>
    <row r="84" spans="1:13" s="2" customFormat="1" x14ac:dyDescent="0.2">
      <c r="A84" s="24"/>
      <c r="B84" s="1"/>
      <c r="C84" s="59" t="str">
        <f>"01-12-2023 to "&amp;TEXT(A5-2,"dd-mm-yyyy")</f>
        <v>01-12-2023 to 06-12-2023</v>
      </c>
      <c r="D84" s="60">
        <v>373.29</v>
      </c>
      <c r="E84" s="60">
        <v>133.62</v>
      </c>
      <c r="F84" s="61">
        <f>SUM(D84:E84)</f>
        <v>506.91</v>
      </c>
    </row>
    <row r="85" spans="1:13" s="2" customFormat="1" x14ac:dyDescent="0.2">
      <c r="A85" s="24"/>
      <c r="B85" s="1"/>
      <c r="C85" s="62" t="str">
        <f>TEXT(A5-1,"dd-mm-yyyy")</f>
        <v>07-12-2023</v>
      </c>
      <c r="D85" s="60">
        <v>54.43</v>
      </c>
      <c r="E85" s="60">
        <v>16.29</v>
      </c>
      <c r="F85" s="61">
        <f>SUM(D85:E85)</f>
        <v>70.72</v>
      </c>
      <c r="G85" s="1"/>
      <c r="H85" s="53"/>
    </row>
    <row r="86" spans="1:13" s="2" customFormat="1" ht="13.5" thickBot="1" x14ac:dyDescent="0.25">
      <c r="A86" s="24"/>
      <c r="B86" s="1"/>
      <c r="C86" s="63" t="str">
        <f>"01-12-2023 to "&amp;TEXT(A5-1,"dd-mm-yyyy")</f>
        <v>01-12-2023 to 07-12-2023</v>
      </c>
      <c r="D86" s="64">
        <f>SUM(D84:D85)</f>
        <v>427.72</v>
      </c>
      <c r="E86" s="64">
        <f>SUM(E84:E85)</f>
        <v>149.91</v>
      </c>
      <c r="F86" s="64">
        <f>SUM(F84:F85)</f>
        <v>577.63</v>
      </c>
      <c r="G86" s="1"/>
      <c r="H86" s="53"/>
    </row>
    <row r="87" spans="1:13" s="2" customFormat="1" ht="13.5" thickTop="1" x14ac:dyDescent="0.2">
      <c r="A87" s="24"/>
      <c r="B87" s="1"/>
      <c r="C87" s="62"/>
      <c r="D87" s="65"/>
      <c r="E87" s="66"/>
      <c r="F87" s="67"/>
      <c r="L87" s="1"/>
      <c r="M87" s="1"/>
    </row>
    <row r="88" spans="1:13" s="2" customFormat="1" x14ac:dyDescent="0.2">
      <c r="A88" s="24"/>
      <c r="B88" s="1"/>
      <c r="C88" s="62" t="str">
        <f>"01-04-2023 to " &amp;C85</f>
        <v>01-04-2023 to 07-12-2023</v>
      </c>
      <c r="D88" s="68">
        <f>+D86+32234.22</f>
        <v>32661.940000000002</v>
      </c>
      <c r="E88" s="68">
        <f>+E86+3134.59</f>
        <v>3284.5</v>
      </c>
      <c r="F88" s="68">
        <f>+F86+35368.81</f>
        <v>35946.439999999995</v>
      </c>
      <c r="G88" s="1"/>
      <c r="L88" s="1"/>
      <c r="M88" s="1"/>
    </row>
    <row r="89" spans="1:13" s="2" customFormat="1" x14ac:dyDescent="0.2">
      <c r="A89" s="24"/>
      <c r="B89" s="1"/>
      <c r="C89" s="52"/>
      <c r="D89" s="85"/>
      <c r="E89" s="53"/>
      <c r="F89" s="53"/>
      <c r="G89" s="1"/>
      <c r="L89" s="1"/>
      <c r="M89" s="1"/>
    </row>
    <row r="90" spans="1:13" s="2" customFormat="1" x14ac:dyDescent="0.2">
      <c r="A90" s="24"/>
      <c r="B90" s="1"/>
      <c r="C90" s="52"/>
      <c r="D90" s="85"/>
      <c r="E90" s="53"/>
      <c r="F90" s="53"/>
      <c r="G90" s="1"/>
      <c r="L90" s="1"/>
      <c r="M90" s="1"/>
    </row>
    <row r="91" spans="1:13" s="2" customFormat="1" x14ac:dyDescent="0.2">
      <c r="A91" s="24"/>
      <c r="B91" s="1"/>
      <c r="C91" s="52"/>
      <c r="D91" s="85"/>
      <c r="E91" s="53"/>
      <c r="F91" s="53"/>
      <c r="G91" s="1"/>
      <c r="L91" s="1"/>
      <c r="M91" s="1"/>
    </row>
    <row r="92" spans="1:13" s="2" customFormat="1" x14ac:dyDescent="0.2">
      <c r="A92" s="24"/>
      <c r="B92" s="1"/>
      <c r="C92" s="52"/>
      <c r="D92" s="85"/>
      <c r="E92" s="53"/>
      <c r="F92" s="53"/>
      <c r="G92" s="1"/>
      <c r="L92" s="1"/>
      <c r="M92" s="1"/>
    </row>
    <row r="93" spans="1:13" s="2" customFormat="1" x14ac:dyDescent="0.2">
      <c r="A93" s="24"/>
      <c r="B93" s="1"/>
      <c r="C93" s="14"/>
      <c r="D93" s="25">
        <f>SUM(D90:D92)</f>
        <v>0</v>
      </c>
      <c r="E93" s="2">
        <f>SUM(E90:E92)</f>
        <v>0</v>
      </c>
      <c r="G93" s="1"/>
      <c r="L93" s="1"/>
      <c r="M93" s="1"/>
    </row>
    <row r="94" spans="1:13" s="2" customFormat="1" x14ac:dyDescent="0.2">
      <c r="A94" s="24"/>
      <c r="B94" s="1"/>
      <c r="C94" s="14"/>
      <c r="D94" s="25"/>
      <c r="G94" s="1"/>
      <c r="L94" s="1"/>
      <c r="M94" s="1"/>
    </row>
    <row r="95" spans="1:13" s="2" customFormat="1" x14ac:dyDescent="0.2">
      <c r="A95" s="24"/>
      <c r="B95" s="1"/>
      <c r="C95" s="14"/>
      <c r="D95" s="25"/>
      <c r="G95" s="1"/>
      <c r="L95" s="1"/>
      <c r="M95" s="1"/>
    </row>
    <row r="96" spans="1:13" s="2" customFormat="1" x14ac:dyDescent="0.2">
      <c r="A96" s="24"/>
      <c r="B96" s="1"/>
      <c r="C96" s="14"/>
      <c r="D96" s="25"/>
      <c r="G96" s="1"/>
      <c r="L96" s="1"/>
      <c r="M96" s="1"/>
    </row>
    <row r="97" spans="1:13" s="2" customFormat="1" x14ac:dyDescent="0.2">
      <c r="A97" s="24"/>
      <c r="B97" s="1"/>
      <c r="C97" s="14"/>
      <c r="D97" s="25"/>
      <c r="G97" s="1"/>
      <c r="L97" s="1"/>
      <c r="M97" s="1"/>
    </row>
    <row r="98" spans="1:13" s="2" customFormat="1" x14ac:dyDescent="0.2">
      <c r="A98" s="24"/>
      <c r="B98" s="1"/>
      <c r="C98" s="14"/>
      <c r="D98" s="25"/>
      <c r="G98" s="1"/>
      <c r="L98" s="1"/>
      <c r="M98" s="1"/>
    </row>
    <row r="99" spans="1:13" s="2" customFormat="1" x14ac:dyDescent="0.2">
      <c r="A99" s="24"/>
      <c r="B99" s="1"/>
      <c r="C99" s="14"/>
      <c r="D99" s="25"/>
      <c r="G99" s="1"/>
      <c r="L99" s="1"/>
      <c r="M99" s="1"/>
    </row>
    <row r="100" spans="1:13" s="2" customFormat="1" x14ac:dyDescent="0.2">
      <c r="A100" s="24"/>
      <c r="B100" s="1"/>
      <c r="C100" s="14"/>
      <c r="D100" s="25"/>
      <c r="G100" s="1"/>
      <c r="L100" s="1"/>
      <c r="M100" s="1"/>
    </row>
    <row r="101" spans="1:13" s="2" customFormat="1" x14ac:dyDescent="0.2">
      <c r="A101" s="24"/>
      <c r="B101" s="1"/>
      <c r="C101" s="14"/>
      <c r="D101" s="25"/>
      <c r="G101" s="1"/>
      <c r="L101" s="1"/>
      <c r="M101" s="1"/>
    </row>
    <row r="102" spans="1:13" s="2" customFormat="1" x14ac:dyDescent="0.2">
      <c r="A102" s="24"/>
      <c r="B102" s="1"/>
      <c r="C102" s="14"/>
      <c r="D102" s="25"/>
      <c r="G102" s="1"/>
      <c r="L102" s="1"/>
      <c r="M102" s="1"/>
    </row>
    <row r="103" spans="1:13" s="2" customFormat="1" x14ac:dyDescent="0.2">
      <c r="A103" s="24"/>
      <c r="B103" s="1"/>
      <c r="C103" s="14"/>
      <c r="D103" s="25"/>
      <c r="G103" s="1"/>
      <c r="L103" s="1"/>
      <c r="M103" s="1"/>
    </row>
    <row r="104" spans="1:13" s="2" customFormat="1" x14ac:dyDescent="0.2">
      <c r="A104" s="24"/>
      <c r="B104" s="1"/>
      <c r="C104" s="14"/>
      <c r="D104" s="25"/>
      <c r="G104" s="1"/>
      <c r="L104" s="1"/>
      <c r="M104" s="1"/>
    </row>
    <row r="105" spans="1:13" s="2" customFormat="1" x14ac:dyDescent="0.2">
      <c r="A105" s="24"/>
      <c r="B105" s="1"/>
      <c r="C105" s="14"/>
      <c r="D105" s="25"/>
      <c r="G105" s="1"/>
      <c r="L105" s="1"/>
      <c r="M105" s="1"/>
    </row>
    <row r="106" spans="1:13" s="2" customFormat="1" x14ac:dyDescent="0.2">
      <c r="A106" s="24"/>
      <c r="B106" s="1"/>
      <c r="C106" s="14"/>
      <c r="D106" s="25"/>
      <c r="G106" s="1"/>
      <c r="L106" s="1"/>
      <c r="M106" s="1"/>
    </row>
    <row r="107" spans="1:13" s="2" customFormat="1" x14ac:dyDescent="0.2">
      <c r="A107" s="24"/>
      <c r="B107" s="1"/>
      <c r="C107" s="14"/>
      <c r="D107" s="25"/>
      <c r="G107" s="1"/>
      <c r="I107" s="1"/>
      <c r="J107" s="1"/>
      <c r="K107" s="1"/>
      <c r="L107" s="1"/>
      <c r="M107" s="1"/>
    </row>
    <row r="108" spans="1:13" s="2" customFormat="1" x14ac:dyDescent="0.2">
      <c r="A108" s="24"/>
      <c r="B108" s="1"/>
      <c r="C108" s="14"/>
      <c r="D108" s="25"/>
      <c r="G108" s="1"/>
    </row>
    <row r="109" spans="1:13" s="2" customFormat="1" x14ac:dyDescent="0.2">
      <c r="A109" s="24"/>
      <c r="B109" s="1"/>
      <c r="C109" s="14"/>
      <c r="D109" s="25"/>
      <c r="G109" s="1"/>
      <c r="I109" s="1"/>
      <c r="J109" s="1"/>
      <c r="K109" s="1"/>
      <c r="L109" s="1"/>
      <c r="M109" s="1"/>
    </row>
    <row r="110" spans="1:13" s="2" customFormat="1" x14ac:dyDescent="0.2">
      <c r="A110" s="24"/>
      <c r="B110" s="1"/>
      <c r="C110" s="14"/>
      <c r="D110" s="25"/>
      <c r="G110" s="54"/>
      <c r="I110" s="1"/>
      <c r="J110" s="1"/>
      <c r="K110" s="1"/>
      <c r="L110" s="1"/>
      <c r="M110" s="1"/>
    </row>
    <row r="111" spans="1:13" s="2" customFormat="1" x14ac:dyDescent="0.2">
      <c r="A111" s="24"/>
      <c r="B111" s="1"/>
      <c r="C111" s="14"/>
      <c r="D111" s="25"/>
      <c r="G111" s="54"/>
      <c r="I111" s="1"/>
      <c r="J111" s="1"/>
      <c r="K111" s="1"/>
      <c r="L111" s="1"/>
      <c r="M111" s="1"/>
    </row>
    <row r="112" spans="1:13" s="2" customFormat="1" x14ac:dyDescent="0.2">
      <c r="A112" s="24"/>
      <c r="B112" s="1"/>
      <c r="C112" s="14"/>
      <c r="D112" s="25"/>
      <c r="G112" s="54"/>
      <c r="I112" s="1"/>
      <c r="J112" s="1"/>
      <c r="K112" s="1"/>
      <c r="L112" s="1"/>
      <c r="M112" s="1"/>
    </row>
    <row r="113" spans="1:14" s="2" customFormat="1" x14ac:dyDescent="0.2">
      <c r="A113" s="24"/>
      <c r="B113" s="1"/>
      <c r="C113" s="14"/>
      <c r="D113" s="25"/>
      <c r="G113" s="54"/>
      <c r="H113" s="2" t="s">
        <v>396</v>
      </c>
      <c r="I113" s="1"/>
      <c r="J113" s="1"/>
      <c r="K113" s="1"/>
      <c r="L113" s="1"/>
      <c r="M113" s="1"/>
      <c r="N113" s="1"/>
    </row>
    <row r="114" spans="1:14" s="2" customFormat="1" x14ac:dyDescent="0.2">
      <c r="A114" s="24"/>
      <c r="B114" s="1"/>
      <c r="C114" s="14"/>
      <c r="D114" s="25"/>
      <c r="G114" s="54"/>
      <c r="H114" s="53"/>
    </row>
    <row r="115" spans="1:14" s="2" customFormat="1" x14ac:dyDescent="0.2">
      <c r="A115" s="24"/>
      <c r="B115" s="1"/>
      <c r="C115" s="14"/>
      <c r="D115" s="25"/>
      <c r="G115" s="54"/>
      <c r="H115" s="53" t="s">
        <v>396</v>
      </c>
      <c r="I115" s="1"/>
      <c r="J115" s="1"/>
      <c r="K115" s="1"/>
      <c r="L115" s="1"/>
      <c r="M115" s="1"/>
      <c r="N115" s="1"/>
    </row>
    <row r="116" spans="1:14" x14ac:dyDescent="0.2">
      <c r="G116" s="54"/>
      <c r="H116" s="53" t="s">
        <v>396</v>
      </c>
      <c r="J116" s="42"/>
    </row>
    <row r="117" spans="1:14" s="2" customFormat="1" x14ac:dyDescent="0.2">
      <c r="A117" s="24"/>
      <c r="B117" s="1"/>
      <c r="C117" s="14"/>
      <c r="D117" s="25"/>
      <c r="G117" s="54"/>
      <c r="H117" s="53"/>
      <c r="I117" s="101"/>
      <c r="J117" s="1"/>
      <c r="K117" s="1"/>
      <c r="L117" s="1"/>
      <c r="M117" s="1"/>
      <c r="N117" s="1"/>
    </row>
    <row r="118" spans="1:14" x14ac:dyDescent="0.2">
      <c r="G118" s="54"/>
      <c r="H118" s="53"/>
    </row>
    <row r="119" spans="1:14" x14ac:dyDescent="0.2">
      <c r="G119" s="54"/>
      <c r="H119" s="53"/>
    </row>
    <row r="120" spans="1:14" x14ac:dyDescent="0.2">
      <c r="G120" s="54"/>
      <c r="H120" s="53"/>
    </row>
  </sheetData>
  <sheetProtection insertRows="0"/>
  <mergeCells count="6">
    <mergeCell ref="C82:F82"/>
    <mergeCell ref="A1:G1"/>
    <mergeCell ref="A3:F3"/>
    <mergeCell ref="A9:F9"/>
    <mergeCell ref="A21:F21"/>
    <mergeCell ref="A74:D74"/>
  </mergeCells>
  <conditionalFormatting sqref="G71:G72">
    <cfRule type="cellIs" dxfId="185" priority="1" operator="lessThan">
      <formula>0</formula>
    </cfRule>
  </conditionalFormatting>
  <conditionalFormatting sqref="C23">
    <cfRule type="duplicateValues" dxfId="184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600-000000000000}">
  <sheetPr codeName="Sheet494">
    <pageSetUpPr fitToPage="1"/>
  </sheetPr>
  <dimension ref="A1:N118"/>
  <sheetViews>
    <sheetView topLeftCell="A13" zoomScaleNormal="100" workbookViewId="0">
      <selection activeCell="E33" sqref="E33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24.85546875" style="2" bestFit="1" customWidth="1"/>
    <col min="9" max="9" width="16.85546875" style="1" bestFit="1" customWidth="1"/>
    <col min="10" max="10" width="21.42578125" style="1" customWidth="1"/>
    <col min="11" max="11" width="17.28515625" style="1" bestFit="1" customWidth="1"/>
    <col min="12" max="12" width="13.5703125" style="1" bestFit="1" customWidth="1"/>
    <col min="13" max="13" width="17.42578125" style="1" bestFit="1" customWidth="1"/>
    <col min="14" max="14" width="12.85546875" style="1" bestFit="1" customWidth="1"/>
    <col min="15" max="16" width="9.140625" style="1"/>
    <col min="17" max="17" width="15.5703125" style="1" bestFit="1" customWidth="1"/>
    <col min="18" max="16384" width="9.140625" style="1"/>
  </cols>
  <sheetData>
    <row r="1" spans="1:13" ht="20.25" customHeight="1" x14ac:dyDescent="0.4">
      <c r="A1" s="212" t="s">
        <v>1852</v>
      </c>
      <c r="B1" s="212"/>
      <c r="C1" s="212"/>
      <c r="D1" s="212"/>
      <c r="E1" s="212"/>
      <c r="F1" s="212"/>
      <c r="G1" s="212"/>
      <c r="H1" s="112"/>
      <c r="I1" s="112"/>
    </row>
    <row r="2" spans="1:13" ht="12.75" customHeight="1" x14ac:dyDescent="0.4">
      <c r="H2" s="112"/>
      <c r="I2" s="112"/>
    </row>
    <row r="3" spans="1:13" ht="18" customHeight="1" x14ac:dyDescent="0.4">
      <c r="A3" s="213" t="s">
        <v>0</v>
      </c>
      <c r="B3" s="213"/>
      <c r="C3" s="213"/>
      <c r="D3" s="213"/>
      <c r="E3" s="213"/>
      <c r="F3" s="213"/>
      <c r="H3" s="112"/>
      <c r="I3" s="112"/>
    </row>
    <row r="4" spans="1:13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H4" s="112"/>
      <c r="I4" s="112"/>
    </row>
    <row r="5" spans="1:13" s="2" customFormat="1" ht="14.25" customHeight="1" x14ac:dyDescent="0.4">
      <c r="A5" s="89">
        <v>45269</v>
      </c>
      <c r="B5" s="9" t="s">
        <v>6</v>
      </c>
      <c r="C5" s="10" t="s">
        <v>7</v>
      </c>
      <c r="D5" s="11"/>
      <c r="E5" s="12">
        <v>529143.33999999985</v>
      </c>
      <c r="F5" s="12"/>
      <c r="G5" s="1"/>
      <c r="H5" s="112"/>
      <c r="I5" s="112"/>
    </row>
    <row r="6" spans="1:13" s="2" customFormat="1" ht="12.75" customHeight="1" x14ac:dyDescent="0.2">
      <c r="D6" s="15" t="s">
        <v>8</v>
      </c>
      <c r="E6" s="16">
        <f>SUM(E5:E5)</f>
        <v>529143.33999999985</v>
      </c>
      <c r="F6" s="16">
        <f>F5</f>
        <v>0</v>
      </c>
      <c r="G6" s="1"/>
      <c r="H6" s="13" t="s">
        <v>1582</v>
      </c>
      <c r="I6" s="13" t="s">
        <v>1583</v>
      </c>
    </row>
    <row r="7" spans="1:13" s="2" customFormat="1" ht="12.75" customHeight="1" x14ac:dyDescent="0.2">
      <c r="A7" s="17"/>
      <c r="B7" s="18"/>
      <c r="C7" s="19" t="s">
        <v>9</v>
      </c>
      <c r="D7" s="20"/>
      <c r="E7" s="21">
        <f>+E6-F6</f>
        <v>529143.33999999985</v>
      </c>
      <c r="F7" s="22"/>
      <c r="G7" s="23"/>
      <c r="H7" s="2">
        <v>968867</v>
      </c>
      <c r="I7" s="2">
        <v>0</v>
      </c>
      <c r="J7" s="176">
        <f>H7-I7</f>
        <v>968867</v>
      </c>
    </row>
    <row r="8" spans="1:13" ht="12.75" customHeight="1" x14ac:dyDescent="0.4">
      <c r="H8" s="112"/>
      <c r="I8" s="112"/>
    </row>
    <row r="9" spans="1:13" ht="18" customHeight="1" x14ac:dyDescent="0.4">
      <c r="A9" s="213" t="s">
        <v>1037</v>
      </c>
      <c r="B9" s="213"/>
      <c r="C9" s="213"/>
      <c r="D9" s="213"/>
      <c r="E9" s="213"/>
      <c r="F9" s="213"/>
      <c r="H9" s="112"/>
      <c r="I9" s="169">
        <f>90000000-60000000</f>
        <v>30000000</v>
      </c>
      <c r="J9" s="169" t="s">
        <v>1508</v>
      </c>
    </row>
    <row r="10" spans="1:13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H10" s="112"/>
      <c r="I10" s="169">
        <v>29392084.059999999</v>
      </c>
      <c r="J10" s="169" t="s">
        <v>1509</v>
      </c>
      <c r="K10" s="124"/>
    </row>
    <row r="11" spans="1:13" s="2" customFormat="1" ht="14.25" customHeight="1" x14ac:dyDescent="0.2">
      <c r="A11" s="89">
        <v>45269</v>
      </c>
      <c r="B11" s="9" t="s">
        <v>6</v>
      </c>
      <c r="C11" s="10" t="s">
        <v>7</v>
      </c>
      <c r="D11" s="11"/>
      <c r="F11" s="12">
        <v>28223217.059999999</v>
      </c>
      <c r="G11" s="1"/>
      <c r="H11" s="130" t="s">
        <v>396</v>
      </c>
      <c r="I11" s="169">
        <f>+I9-I10</f>
        <v>607915.94000000134</v>
      </c>
      <c r="J11" s="169" t="s">
        <v>712</v>
      </c>
      <c r="K11" s="165" t="s">
        <v>1512</v>
      </c>
    </row>
    <row r="12" spans="1:13" s="2" customFormat="1" ht="14.25" customHeight="1" x14ac:dyDescent="0.2">
      <c r="A12" s="89">
        <v>45269</v>
      </c>
      <c r="B12" s="9" t="s">
        <v>11</v>
      </c>
      <c r="C12" s="76" t="s">
        <v>1101</v>
      </c>
      <c r="D12" s="11" t="s">
        <v>29</v>
      </c>
      <c r="E12" s="31"/>
      <c r="F12" s="12">
        <v>200000</v>
      </c>
      <c r="G12" s="1"/>
      <c r="H12" s="130"/>
      <c r="I12" s="169"/>
      <c r="J12" s="169"/>
      <c r="K12" s="165"/>
    </row>
    <row r="13" spans="1:13" s="2" customFormat="1" ht="14.25" customHeight="1" x14ac:dyDescent="0.2">
      <c r="D13" s="11" t="s">
        <v>8</v>
      </c>
      <c r="E13" s="16">
        <f>SUM(E12:E12)</f>
        <v>0</v>
      </c>
      <c r="F13" s="16">
        <f>SUM(F11:F12)</f>
        <v>28423217.059999999</v>
      </c>
      <c r="G13" s="1"/>
      <c r="H13" s="143"/>
      <c r="I13" s="130"/>
      <c r="J13" s="143"/>
      <c r="K13" s="143"/>
      <c r="L13" s="143"/>
      <c r="M13" s="143"/>
    </row>
    <row r="14" spans="1:13" s="2" customFormat="1" ht="14.25" customHeight="1" x14ac:dyDescent="0.4">
      <c r="A14" s="17"/>
      <c r="B14" s="18"/>
      <c r="C14" s="96" t="s">
        <v>9</v>
      </c>
      <c r="D14" s="20"/>
      <c r="E14" s="21">
        <f>+F13-E13</f>
        <v>28423217.059999999</v>
      </c>
      <c r="G14" s="1"/>
      <c r="I14" s="112"/>
      <c r="J14" s="153" t="s">
        <v>779</v>
      </c>
    </row>
    <row r="15" spans="1:13" s="2" customFormat="1" ht="14.25" customHeight="1" x14ac:dyDescent="0.2">
      <c r="A15" s="36"/>
      <c r="B15" s="28" t="s">
        <v>66</v>
      </c>
      <c r="C15" s="43" t="s">
        <v>1458</v>
      </c>
      <c r="D15" s="43"/>
      <c r="E15" s="12">
        <f>30000000+60000000</f>
        <v>90000000</v>
      </c>
      <c r="F15" s="22"/>
      <c r="G15" s="1"/>
      <c r="I15" s="40">
        <v>28223217.059999999</v>
      </c>
      <c r="J15" s="154">
        <f>I15-E14</f>
        <v>-200000</v>
      </c>
    </row>
    <row r="16" spans="1:13" s="2" customFormat="1" ht="14.25" customHeight="1" x14ac:dyDescent="0.25">
      <c r="A16" s="36"/>
      <c r="B16" s="28"/>
      <c r="C16" s="44" t="s">
        <v>1541</v>
      </c>
      <c r="D16" s="43"/>
      <c r="E16" s="7">
        <f>+E14+E15</f>
        <v>118423217.06</v>
      </c>
      <c r="F16" s="22"/>
      <c r="G16" s="1"/>
      <c r="H16" s="13" t="s">
        <v>1582</v>
      </c>
      <c r="I16" s="13" t="s">
        <v>1583</v>
      </c>
    </row>
    <row r="17" spans="1:14" s="2" customFormat="1" ht="14.25" customHeight="1" x14ac:dyDescent="0.25">
      <c r="A17" s="36"/>
      <c r="B17" s="28"/>
      <c r="C17" s="44" t="s">
        <v>1511</v>
      </c>
      <c r="D17" s="43"/>
      <c r="E17" s="38">
        <f>+I11+H7-I7</f>
        <v>1576782.9400000013</v>
      </c>
      <c r="F17" s="22"/>
      <c r="G17" s="1"/>
      <c r="H17" s="2">
        <v>1116930</v>
      </c>
      <c r="I17" s="2">
        <v>10200239.300000001</v>
      </c>
      <c r="J17" s="176">
        <f>H17-I17</f>
        <v>-9083309.3000000007</v>
      </c>
    </row>
    <row r="18" spans="1:14" s="2" customFormat="1" ht="14.25" customHeight="1" x14ac:dyDescent="0.2">
      <c r="A18" s="24"/>
      <c r="B18" s="1"/>
      <c r="C18" s="14"/>
      <c r="D18" s="25"/>
      <c r="G18" s="1"/>
      <c r="I18" s="130"/>
      <c r="J18" s="130"/>
    </row>
    <row r="19" spans="1:14" s="2" customFormat="1" x14ac:dyDescent="0.2">
      <c r="A19" s="214" t="s">
        <v>10</v>
      </c>
      <c r="B19" s="214"/>
      <c r="C19" s="214"/>
      <c r="D19" s="214"/>
      <c r="E19" s="214"/>
      <c r="F19" s="214"/>
      <c r="G19" s="1"/>
      <c r="H19" s="159"/>
      <c r="I19" s="160">
        <f>225000000-75000000-50000000</f>
        <v>100000000</v>
      </c>
      <c r="J19" s="160" t="s">
        <v>1506</v>
      </c>
      <c r="K19" s="70"/>
    </row>
    <row r="20" spans="1:14" s="2" customFormat="1" x14ac:dyDescent="0.2">
      <c r="A20" s="26" t="s">
        <v>1</v>
      </c>
      <c r="B20" s="27" t="s">
        <v>2</v>
      </c>
      <c r="C20" s="5"/>
      <c r="D20" s="6" t="s">
        <v>3</v>
      </c>
      <c r="E20" s="7" t="s">
        <v>4</v>
      </c>
      <c r="F20" s="7" t="s">
        <v>5</v>
      </c>
      <c r="G20" s="1"/>
      <c r="H20" s="159"/>
      <c r="I20" s="160">
        <v>55032757.630000003</v>
      </c>
      <c r="J20" s="160" t="s">
        <v>1507</v>
      </c>
      <c r="K20" s="70" t="s">
        <v>1512</v>
      </c>
    </row>
    <row r="21" spans="1:14" s="2" customFormat="1" x14ac:dyDescent="0.2">
      <c r="A21" s="89">
        <v>45269</v>
      </c>
      <c r="B21" s="128" t="s">
        <v>11</v>
      </c>
      <c r="C21" s="29" t="s">
        <v>7</v>
      </c>
      <c r="D21" s="25"/>
      <c r="E21" s="31"/>
      <c r="F21" s="2">
        <v>58711028.51000002</v>
      </c>
      <c r="G21" s="23"/>
      <c r="H21" s="159" t="s">
        <v>1505</v>
      </c>
      <c r="I21" s="160">
        <f>+I19-I20</f>
        <v>44967242.369999997</v>
      </c>
      <c r="J21" s="160"/>
      <c r="K21" s="70"/>
    </row>
    <row r="22" spans="1:14" s="2" customFormat="1" x14ac:dyDescent="0.2">
      <c r="A22" s="89">
        <v>45269</v>
      </c>
      <c r="B22" s="128" t="s">
        <v>6</v>
      </c>
      <c r="C22" s="29" t="s">
        <v>120</v>
      </c>
      <c r="D22" s="11" t="s">
        <v>13</v>
      </c>
      <c r="E22" s="86">
        <v>9955363</v>
      </c>
      <c r="F22" s="70"/>
      <c r="G22" s="1"/>
      <c r="N22" s="1"/>
    </row>
    <row r="23" spans="1:14" s="2" customFormat="1" x14ac:dyDescent="0.2">
      <c r="A23" s="89">
        <v>45269</v>
      </c>
      <c r="B23" s="128" t="s">
        <v>6</v>
      </c>
      <c r="C23" s="29" t="s">
        <v>1477</v>
      </c>
      <c r="D23" s="11" t="s">
        <v>13</v>
      </c>
      <c r="E23" s="86">
        <v>63504</v>
      </c>
      <c r="F23" s="70"/>
      <c r="G23" s="1"/>
      <c r="N23" s="1"/>
    </row>
    <row r="24" spans="1:14" s="2" customFormat="1" x14ac:dyDescent="0.2">
      <c r="A24" s="89">
        <v>45269</v>
      </c>
      <c r="B24" s="128" t="s">
        <v>6</v>
      </c>
      <c r="C24" s="29" t="s">
        <v>399</v>
      </c>
      <c r="D24" s="11" t="s">
        <v>13</v>
      </c>
      <c r="E24" s="86">
        <v>1838</v>
      </c>
      <c r="F24" s="70"/>
      <c r="G24" s="1"/>
      <c r="N24" s="1"/>
    </row>
    <row r="25" spans="1:14" s="2" customFormat="1" x14ac:dyDescent="0.2">
      <c r="A25" s="89">
        <v>45269</v>
      </c>
      <c r="B25" s="128" t="s">
        <v>6</v>
      </c>
      <c r="C25" s="29" t="s">
        <v>24</v>
      </c>
      <c r="D25" s="11" t="s">
        <v>13</v>
      </c>
      <c r="E25" s="86">
        <v>19537.53</v>
      </c>
      <c r="F25" s="70"/>
      <c r="G25" s="1"/>
      <c r="N25" s="1"/>
    </row>
    <row r="26" spans="1:14" s="2" customFormat="1" x14ac:dyDescent="0.2">
      <c r="A26" s="89">
        <v>45269</v>
      </c>
      <c r="B26" s="128" t="s">
        <v>6</v>
      </c>
      <c r="C26" s="29" t="s">
        <v>1831</v>
      </c>
      <c r="D26" s="11" t="s">
        <v>13</v>
      </c>
      <c r="E26" s="86">
        <v>166245</v>
      </c>
      <c r="F26" s="70"/>
      <c r="G26" s="1"/>
      <c r="N26" s="1"/>
    </row>
    <row r="27" spans="1:14" s="2" customFormat="1" x14ac:dyDescent="0.2">
      <c r="A27" s="89">
        <v>45269</v>
      </c>
      <c r="B27" s="128" t="s">
        <v>6</v>
      </c>
      <c r="C27" s="29" t="s">
        <v>17</v>
      </c>
      <c r="D27" s="11" t="s">
        <v>13</v>
      </c>
      <c r="E27" s="86">
        <v>14844</v>
      </c>
      <c r="F27" s="70"/>
      <c r="G27" s="1"/>
      <c r="N27" s="1"/>
    </row>
    <row r="28" spans="1:14" s="2" customFormat="1" x14ac:dyDescent="0.2">
      <c r="A28" s="89">
        <v>45269</v>
      </c>
      <c r="B28" s="128" t="s">
        <v>6</v>
      </c>
      <c r="C28" s="29" t="s">
        <v>763</v>
      </c>
      <c r="D28" s="11" t="s">
        <v>13</v>
      </c>
      <c r="E28" s="86">
        <v>620300</v>
      </c>
      <c r="F28" s="70"/>
      <c r="G28" s="1"/>
      <c r="N28" s="1"/>
    </row>
    <row r="29" spans="1:14" s="2" customFormat="1" x14ac:dyDescent="0.2">
      <c r="A29" s="89">
        <v>45269</v>
      </c>
      <c r="B29" s="128" t="s">
        <v>6</v>
      </c>
      <c r="C29" s="29" t="s">
        <v>264</v>
      </c>
      <c r="D29" s="11" t="s">
        <v>13</v>
      </c>
      <c r="E29" s="86">
        <v>1011539</v>
      </c>
      <c r="F29" s="70"/>
      <c r="G29" s="1"/>
      <c r="N29" s="1"/>
    </row>
    <row r="30" spans="1:14" s="2" customFormat="1" x14ac:dyDescent="0.2">
      <c r="A30" s="89">
        <v>45269</v>
      </c>
      <c r="B30" s="128" t="s">
        <v>6</v>
      </c>
      <c r="C30" s="29" t="s">
        <v>332</v>
      </c>
      <c r="D30" s="11" t="s">
        <v>13</v>
      </c>
      <c r="E30" s="86">
        <v>2675</v>
      </c>
      <c r="F30" s="70"/>
      <c r="G30" s="1"/>
      <c r="N30" s="1"/>
    </row>
    <row r="31" spans="1:14" s="2" customFormat="1" x14ac:dyDescent="0.2">
      <c r="A31" s="89">
        <v>45269</v>
      </c>
      <c r="B31" s="128" t="s">
        <v>6</v>
      </c>
      <c r="C31" s="29" t="s">
        <v>15</v>
      </c>
      <c r="D31" s="11" t="s">
        <v>13</v>
      </c>
      <c r="E31" s="86">
        <v>2520.9700000000003</v>
      </c>
      <c r="F31" s="70"/>
      <c r="G31" s="1"/>
      <c r="N31" s="1"/>
    </row>
    <row r="32" spans="1:14" s="2" customFormat="1" x14ac:dyDescent="0.2">
      <c r="A32" s="89">
        <v>45269</v>
      </c>
      <c r="B32" s="128" t="s">
        <v>6</v>
      </c>
      <c r="C32" s="29" t="s">
        <v>1590</v>
      </c>
      <c r="D32" s="11" t="s">
        <v>13</v>
      </c>
      <c r="E32" s="86">
        <v>15000</v>
      </c>
      <c r="F32" s="70"/>
      <c r="G32" s="1"/>
      <c r="N32" s="1"/>
    </row>
    <row r="33" spans="1:14" s="2" customFormat="1" x14ac:dyDescent="0.2">
      <c r="A33" s="89">
        <v>45269</v>
      </c>
      <c r="B33" s="128" t="s">
        <v>6</v>
      </c>
      <c r="C33" s="29" t="s">
        <v>213</v>
      </c>
      <c r="D33" s="11" t="s">
        <v>13</v>
      </c>
      <c r="E33" s="86">
        <v>28223</v>
      </c>
      <c r="F33" s="70"/>
      <c r="G33" s="1"/>
      <c r="N33" s="1"/>
    </row>
    <row r="34" spans="1:14" s="2" customFormat="1" x14ac:dyDescent="0.2">
      <c r="A34" s="89">
        <v>45269</v>
      </c>
      <c r="B34" s="128" t="s">
        <v>11</v>
      </c>
      <c r="C34" s="29" t="s">
        <v>64</v>
      </c>
      <c r="D34" s="11" t="s">
        <v>29</v>
      </c>
      <c r="E34" s="86"/>
      <c r="F34" s="70">
        <v>1780.6200000000001</v>
      </c>
      <c r="G34" s="1"/>
      <c r="N34" s="1"/>
    </row>
    <row r="35" spans="1:14" s="2" customFormat="1" x14ac:dyDescent="0.2">
      <c r="A35" s="89">
        <v>45269</v>
      </c>
      <c r="B35" s="128" t="s">
        <v>11</v>
      </c>
      <c r="C35" s="29" t="s">
        <v>1734</v>
      </c>
      <c r="D35" s="11" t="s">
        <v>29</v>
      </c>
      <c r="E35" s="86"/>
      <c r="F35" s="70">
        <v>472923</v>
      </c>
      <c r="G35" s="1"/>
      <c r="N35" s="1"/>
    </row>
    <row r="36" spans="1:14" s="2" customFormat="1" x14ac:dyDescent="0.2">
      <c r="A36" s="89">
        <v>45269</v>
      </c>
      <c r="B36" s="128" t="s">
        <v>11</v>
      </c>
      <c r="C36" s="29" t="s">
        <v>110</v>
      </c>
      <c r="D36" s="11" t="s">
        <v>29</v>
      </c>
      <c r="E36" s="86"/>
      <c r="F36" s="86">
        <v>1657030.3</v>
      </c>
      <c r="G36" s="1"/>
      <c r="N36" s="1"/>
    </row>
    <row r="37" spans="1:14" s="2" customFormat="1" x14ac:dyDescent="0.2">
      <c r="A37" s="89">
        <v>45269</v>
      </c>
      <c r="B37" s="128" t="s">
        <v>11</v>
      </c>
      <c r="C37" s="29" t="s">
        <v>687</v>
      </c>
      <c r="D37" s="11" t="s">
        <v>29</v>
      </c>
      <c r="E37" s="86"/>
      <c r="F37" s="70">
        <v>706403</v>
      </c>
      <c r="G37" s="1"/>
      <c r="N37" s="1"/>
    </row>
    <row r="38" spans="1:14" s="2" customFormat="1" x14ac:dyDescent="0.2">
      <c r="A38" s="89">
        <v>45269</v>
      </c>
      <c r="B38" s="128" t="s">
        <v>11</v>
      </c>
      <c r="C38" s="29" t="s">
        <v>460</v>
      </c>
      <c r="D38" s="11" t="s">
        <v>29</v>
      </c>
      <c r="E38" s="86"/>
      <c r="F38" s="70">
        <v>54203</v>
      </c>
      <c r="G38" s="1"/>
      <c r="N38" s="1"/>
    </row>
    <row r="39" spans="1:14" s="2" customFormat="1" x14ac:dyDescent="0.2">
      <c r="A39" s="89">
        <v>45269</v>
      </c>
      <c r="B39" s="128" t="s">
        <v>11</v>
      </c>
      <c r="C39" s="29" t="s">
        <v>126</v>
      </c>
      <c r="D39" s="11" t="s">
        <v>29</v>
      </c>
      <c r="E39" s="86"/>
      <c r="F39" s="70">
        <v>508454</v>
      </c>
      <c r="G39" s="1"/>
      <c r="N39" s="1"/>
    </row>
    <row r="40" spans="1:14" s="2" customFormat="1" x14ac:dyDescent="0.2">
      <c r="A40" s="89">
        <v>45269</v>
      </c>
      <c r="B40" s="128" t="s">
        <v>11</v>
      </c>
      <c r="C40" s="29" t="s">
        <v>352</v>
      </c>
      <c r="D40" s="11" t="s">
        <v>29</v>
      </c>
      <c r="E40" s="86"/>
      <c r="F40" s="70">
        <v>95109</v>
      </c>
      <c r="G40" s="1"/>
      <c r="N40" s="1"/>
    </row>
    <row r="41" spans="1:14" s="2" customFormat="1" x14ac:dyDescent="0.2">
      <c r="A41" s="89">
        <v>45269</v>
      </c>
      <c r="B41" s="128" t="s">
        <v>11</v>
      </c>
      <c r="C41" s="29" t="s">
        <v>63</v>
      </c>
      <c r="D41" s="11" t="s">
        <v>29</v>
      </c>
      <c r="E41" s="86"/>
      <c r="F41" s="86">
        <v>3000000</v>
      </c>
      <c r="G41" s="1"/>
      <c r="N41" s="1"/>
    </row>
    <row r="42" spans="1:14" s="2" customFormat="1" x14ac:dyDescent="0.2">
      <c r="A42" s="89">
        <v>45269</v>
      </c>
      <c r="B42" s="128" t="s">
        <v>11</v>
      </c>
      <c r="C42" s="29" t="s">
        <v>25</v>
      </c>
      <c r="D42" s="11" t="s">
        <v>29</v>
      </c>
      <c r="E42" s="86"/>
      <c r="F42" s="86">
        <v>1100000</v>
      </c>
      <c r="G42" s="1"/>
      <c r="N42" s="1"/>
    </row>
    <row r="43" spans="1:14" s="2" customFormat="1" x14ac:dyDescent="0.2">
      <c r="A43" s="89">
        <v>45269</v>
      </c>
      <c r="B43" s="128" t="s">
        <v>11</v>
      </c>
      <c r="C43" s="29" t="s">
        <v>134</v>
      </c>
      <c r="D43" s="11" t="s">
        <v>29</v>
      </c>
      <c r="E43" s="86"/>
      <c r="F43" s="86">
        <v>2000000</v>
      </c>
      <c r="G43" s="1"/>
      <c r="N43" s="1"/>
    </row>
    <row r="44" spans="1:14" s="2" customFormat="1" x14ac:dyDescent="0.2">
      <c r="A44" s="89">
        <v>45269</v>
      </c>
      <c r="B44" s="128" t="s">
        <v>11</v>
      </c>
      <c r="C44" s="29" t="s">
        <v>46</v>
      </c>
      <c r="D44" s="11" t="s">
        <v>29</v>
      </c>
      <c r="E44" s="86"/>
      <c r="F44" s="86">
        <v>207342</v>
      </c>
      <c r="G44" s="1"/>
      <c r="N44" s="1"/>
    </row>
    <row r="45" spans="1:14" s="2" customFormat="1" x14ac:dyDescent="0.2">
      <c r="A45" s="89">
        <v>45269</v>
      </c>
      <c r="B45" s="128" t="s">
        <v>11</v>
      </c>
      <c r="C45" s="29" t="s">
        <v>302</v>
      </c>
      <c r="D45" s="11" t="s">
        <v>29</v>
      </c>
      <c r="E45" s="86"/>
      <c r="F45" s="86">
        <v>3383</v>
      </c>
      <c r="G45" s="1"/>
      <c r="N45" s="1"/>
    </row>
    <row r="46" spans="1:14" s="2" customFormat="1" x14ac:dyDescent="0.2">
      <c r="A46" s="89">
        <v>45269</v>
      </c>
      <c r="B46" s="128" t="s">
        <v>11</v>
      </c>
      <c r="C46" s="29" t="s">
        <v>525</v>
      </c>
      <c r="D46" s="11" t="s">
        <v>29</v>
      </c>
      <c r="E46" s="86"/>
      <c r="F46" s="86">
        <v>1500000</v>
      </c>
      <c r="G46" s="1"/>
      <c r="N46" s="1"/>
    </row>
    <row r="47" spans="1:14" s="2" customFormat="1" x14ac:dyDescent="0.2">
      <c r="A47" s="89">
        <v>45269</v>
      </c>
      <c r="B47" s="128" t="s">
        <v>11</v>
      </c>
      <c r="C47" s="29" t="s">
        <v>57</v>
      </c>
      <c r="D47" s="11" t="s">
        <v>29</v>
      </c>
      <c r="E47" s="86"/>
      <c r="F47" s="86">
        <v>6000000</v>
      </c>
      <c r="G47" s="1"/>
      <c r="N47" s="1"/>
    </row>
    <row r="48" spans="1:14" s="2" customFormat="1" x14ac:dyDescent="0.2">
      <c r="A48" s="32"/>
      <c r="B48" s="33"/>
      <c r="C48" s="14"/>
      <c r="D48" s="34"/>
      <c r="E48" s="16">
        <f>SUM(E21:E47)</f>
        <v>11901589.5</v>
      </c>
      <c r="F48" s="16">
        <f>SUM(F21:F47)</f>
        <v>76017656.430000007</v>
      </c>
      <c r="G48" s="1"/>
      <c r="H48" s="1"/>
      <c r="I48" s="38">
        <v>64116066.93</v>
      </c>
      <c r="K48" s="92">
        <f>E49-I48</f>
        <v>0</v>
      </c>
      <c r="N48" s="1"/>
    </row>
    <row r="49" spans="1:14" s="2" customFormat="1" x14ac:dyDescent="0.2">
      <c r="A49" s="36"/>
      <c r="B49" s="28" t="s">
        <v>11</v>
      </c>
      <c r="C49" s="19" t="s">
        <v>65</v>
      </c>
      <c r="D49" s="37"/>
      <c r="E49" s="38">
        <f>F48-E48</f>
        <v>64116066.930000007</v>
      </c>
      <c r="F49" s="22"/>
      <c r="G49" s="1"/>
      <c r="H49" s="1"/>
      <c r="I49" s="70"/>
      <c r="J49" s="70"/>
      <c r="K49" s="70"/>
      <c r="N49" s="1"/>
    </row>
    <row r="50" spans="1:14" s="2" customFormat="1" x14ac:dyDescent="0.2">
      <c r="A50" s="36"/>
      <c r="B50" s="28" t="s">
        <v>66</v>
      </c>
      <c r="C50" s="19" t="s">
        <v>67</v>
      </c>
      <c r="D50" s="37"/>
      <c r="E50" s="38">
        <v>6500000</v>
      </c>
      <c r="F50" s="22"/>
      <c r="G50" s="1"/>
      <c r="H50" s="70"/>
      <c r="I50" s="70"/>
      <c r="J50" s="70"/>
      <c r="K50" s="70"/>
      <c r="N50" s="1"/>
    </row>
    <row r="51" spans="1:14" s="2" customFormat="1" x14ac:dyDescent="0.2">
      <c r="A51" s="36"/>
      <c r="B51" s="28" t="s">
        <v>66</v>
      </c>
      <c r="C51" s="43" t="s">
        <v>1457</v>
      </c>
      <c r="D51" s="43"/>
      <c r="E51" s="12">
        <f>275000000+75000000+50000000</f>
        <v>400000000</v>
      </c>
      <c r="F51" s="22"/>
      <c r="G51" s="1"/>
      <c r="H51" s="70"/>
      <c r="I51" s="45">
        <v>559.13</v>
      </c>
      <c r="J51" s="46"/>
      <c r="K51" s="46"/>
      <c r="N51" s="1"/>
    </row>
    <row r="52" spans="1:14" s="2" customFormat="1" ht="15" x14ac:dyDescent="0.25">
      <c r="A52" s="36"/>
      <c r="B52" s="28"/>
      <c r="C52" s="44" t="s">
        <v>1541</v>
      </c>
      <c r="D52" s="43"/>
      <c r="E52" s="7">
        <f>+E51+E49+E50</f>
        <v>470616066.93000001</v>
      </c>
      <c r="F52" s="22"/>
      <c r="G52" s="1"/>
      <c r="H52" s="103" t="s">
        <v>69</v>
      </c>
      <c r="I52" s="45">
        <v>-94.26</v>
      </c>
      <c r="J52" s="46"/>
      <c r="K52" s="46"/>
      <c r="N52" s="1"/>
    </row>
    <row r="53" spans="1:14" s="2" customFormat="1" ht="15" x14ac:dyDescent="0.25">
      <c r="A53" s="24"/>
      <c r="B53" s="1"/>
      <c r="C53" s="44" t="s">
        <v>1510</v>
      </c>
      <c r="D53" s="25"/>
      <c r="E53" s="156">
        <f>+I21-E50+H17-I17</f>
        <v>29383933.069999997</v>
      </c>
      <c r="G53" s="1"/>
      <c r="H53" s="35" t="s">
        <v>70</v>
      </c>
      <c r="I53" s="45">
        <v>101.86</v>
      </c>
      <c r="J53" s="46">
        <f>+I54-D56</f>
        <v>0</v>
      </c>
      <c r="N53" s="1"/>
    </row>
    <row r="54" spans="1:14" s="124" customFormat="1" ht="12.75" customHeight="1" x14ac:dyDescent="0.2">
      <c r="A54" s="24"/>
      <c r="B54" s="1"/>
      <c r="C54" s="56"/>
      <c r="D54" s="56"/>
      <c r="E54" s="104"/>
      <c r="F54" s="2"/>
      <c r="G54" s="166"/>
      <c r="H54" s="70"/>
      <c r="I54" s="49">
        <f>SUM(I51:I53)</f>
        <v>566.73</v>
      </c>
      <c r="J54" s="46"/>
      <c r="K54" s="46"/>
    </row>
    <row r="55" spans="1:14" s="124" customFormat="1" ht="12.75" customHeight="1" x14ac:dyDescent="0.2">
      <c r="A55" s="24"/>
      <c r="B55" s="1"/>
      <c r="C55" s="78" t="s">
        <v>575</v>
      </c>
      <c r="D55" s="48" t="s">
        <v>576</v>
      </c>
      <c r="E55" s="104"/>
      <c r="F55" s="2"/>
      <c r="G55" s="168"/>
      <c r="H55" s="167"/>
      <c r="I55" s="167"/>
      <c r="J55" s="168"/>
    </row>
    <row r="56" spans="1:14" s="124" customFormat="1" ht="12.75" customHeight="1" x14ac:dyDescent="0.2">
      <c r="A56" s="24"/>
      <c r="B56" s="1"/>
      <c r="C56" s="47" t="s">
        <v>570</v>
      </c>
      <c r="D56" s="111">
        <v>566.73</v>
      </c>
      <c r="E56" s="104"/>
      <c r="F56" s="2"/>
      <c r="G56" s="168"/>
      <c r="H56" s="110" t="s">
        <v>581</v>
      </c>
      <c r="I56" s="167"/>
      <c r="J56" s="168"/>
    </row>
    <row r="57" spans="1:14" s="124" customFormat="1" ht="12.75" customHeight="1" x14ac:dyDescent="0.2">
      <c r="A57" s="24"/>
      <c r="B57" s="1"/>
      <c r="C57" s="47" t="s">
        <v>931</v>
      </c>
      <c r="D57" s="111">
        <v>119.02</v>
      </c>
      <c r="E57" s="104"/>
      <c r="F57" s="2"/>
      <c r="G57" s="168"/>
      <c r="H57" s="110" t="s">
        <v>580</v>
      </c>
      <c r="I57" s="167"/>
      <c r="J57" s="168"/>
    </row>
    <row r="58" spans="1:14" s="124" customFormat="1" ht="12.75" customHeight="1" x14ac:dyDescent="0.2">
      <c r="A58" s="24"/>
      <c r="B58" s="1"/>
      <c r="C58" s="47" t="s">
        <v>572</v>
      </c>
      <c r="D58" s="111">
        <f>+D78/100000</f>
        <v>163.91511599999998</v>
      </c>
      <c r="E58" s="104"/>
      <c r="F58" s="2"/>
      <c r="G58" s="166"/>
      <c r="H58" s="90" t="s">
        <v>587</v>
      </c>
      <c r="I58" s="167"/>
      <c r="J58" s="168"/>
    </row>
    <row r="59" spans="1:14" s="2" customFormat="1" x14ac:dyDescent="0.2">
      <c r="A59" s="24"/>
      <c r="B59" s="1"/>
      <c r="C59" s="108" t="s">
        <v>578</v>
      </c>
      <c r="D59" s="48">
        <f>SUM(D56:D58)</f>
        <v>849.66511600000001</v>
      </c>
      <c r="E59" s="104"/>
      <c r="G59" s="30"/>
      <c r="I59" s="13"/>
      <c r="J59" s="13"/>
    </row>
    <row r="60" spans="1:14" s="70" customFormat="1" x14ac:dyDescent="0.2">
      <c r="A60" s="24"/>
      <c r="B60" s="1"/>
      <c r="C60" s="47"/>
      <c r="D60" s="107"/>
      <c r="E60" s="104"/>
      <c r="F60" s="2"/>
      <c r="G60" s="30"/>
      <c r="H60" s="2"/>
    </row>
    <row r="61" spans="1:14" s="70" customFormat="1" x14ac:dyDescent="0.2">
      <c r="A61" s="24"/>
      <c r="B61" s="1"/>
      <c r="C61" s="47" t="s">
        <v>932</v>
      </c>
      <c r="D61" s="111">
        <v>98.18</v>
      </c>
      <c r="E61" s="104"/>
      <c r="F61" s="2"/>
      <c r="G61" s="30"/>
      <c r="H61" s="110" t="s">
        <v>581</v>
      </c>
    </row>
    <row r="62" spans="1:14" s="70" customFormat="1" x14ac:dyDescent="0.2">
      <c r="A62" s="24"/>
      <c r="B62" s="1"/>
      <c r="C62" s="136" t="s">
        <v>1142</v>
      </c>
      <c r="D62" s="111">
        <v>394.58</v>
      </c>
      <c r="E62" s="104"/>
      <c r="F62" s="2"/>
      <c r="G62" s="30"/>
      <c r="H62" s="110" t="s">
        <v>581</v>
      </c>
    </row>
    <row r="63" spans="1:14" s="70" customFormat="1" x14ac:dyDescent="0.2">
      <c r="A63" s="24"/>
      <c r="B63" s="1"/>
      <c r="C63" s="78" t="s">
        <v>579</v>
      </c>
      <c r="D63" s="109">
        <f>D61+D62</f>
        <v>492.76</v>
      </c>
      <c r="E63" s="104"/>
      <c r="F63" s="2"/>
      <c r="G63" s="30"/>
    </row>
    <row r="64" spans="1:14" s="70" customFormat="1" x14ac:dyDescent="0.2">
      <c r="A64" s="24"/>
      <c r="B64" s="1"/>
      <c r="C64" s="105"/>
      <c r="D64" s="106"/>
      <c r="E64" s="104"/>
      <c r="F64" s="2"/>
      <c r="G64" s="30"/>
      <c r="I64" s="2"/>
      <c r="J64" s="114" t="s">
        <v>713</v>
      </c>
      <c r="K64" s="2"/>
      <c r="L64" s="2"/>
      <c r="M64" s="2"/>
    </row>
    <row r="65" spans="1:14" s="70" customFormat="1" x14ac:dyDescent="0.2">
      <c r="A65" s="24"/>
      <c r="B65" s="1"/>
      <c r="C65" s="78" t="s">
        <v>577</v>
      </c>
      <c r="D65" s="109">
        <f>D56+D63</f>
        <v>1059.49</v>
      </c>
      <c r="E65" s="104"/>
      <c r="F65" s="2"/>
      <c r="G65" s="30"/>
      <c r="I65" s="113"/>
      <c r="J65" s="113" t="s">
        <v>709</v>
      </c>
      <c r="K65" s="113" t="s">
        <v>710</v>
      </c>
      <c r="L65" s="113" t="s">
        <v>711</v>
      </c>
      <c r="M65" s="113" t="s">
        <v>712</v>
      </c>
    </row>
    <row r="66" spans="1:14" s="70" customFormat="1" x14ac:dyDescent="0.2">
      <c r="A66" s="24"/>
      <c r="B66" s="1"/>
      <c r="C66" s="56"/>
      <c r="D66" s="56"/>
      <c r="E66" s="104"/>
      <c r="F66" s="2"/>
      <c r="G66" s="30"/>
      <c r="I66" s="113" t="s">
        <v>706</v>
      </c>
      <c r="J66" s="115"/>
      <c r="K66" s="115">
        <v>968.99</v>
      </c>
      <c r="L66" s="115">
        <v>968.99</v>
      </c>
      <c r="M66" s="113">
        <f>+J66+L66-K66</f>
        <v>0</v>
      </c>
    </row>
    <row r="67" spans="1:14" s="70" customFormat="1" ht="38.25" x14ac:dyDescent="0.2">
      <c r="A67" s="24"/>
      <c r="B67" s="1"/>
      <c r="C67" s="79" t="str">
        <f>"Particulars ( 01-04-2021 to "&amp;TEXT(A5,"dd-mm-yyyy")&amp;" )"</f>
        <v>Particulars ( 01-04-2021 to 09-12-2023 )</v>
      </c>
      <c r="D67" s="80" t="s">
        <v>73</v>
      </c>
      <c r="E67" s="80" t="s">
        <v>74</v>
      </c>
      <c r="F67" s="81" t="s">
        <v>75</v>
      </c>
      <c r="G67" s="80" t="s">
        <v>76</v>
      </c>
      <c r="I67" s="113" t="s">
        <v>707</v>
      </c>
      <c r="J67" s="115">
        <v>183.1</v>
      </c>
      <c r="K67" s="115">
        <v>4210.22</v>
      </c>
      <c r="L67" s="115">
        <v>4367.38</v>
      </c>
      <c r="M67" s="113">
        <f>+J67+L67-K67</f>
        <v>340.26000000000022</v>
      </c>
    </row>
    <row r="68" spans="1:14" s="70" customFormat="1" x14ac:dyDescent="0.2">
      <c r="A68" s="24"/>
      <c r="B68" s="1"/>
      <c r="C68" s="50" t="s">
        <v>444</v>
      </c>
      <c r="D68" s="55">
        <f>+L66+L67+J67</f>
        <v>5519.47</v>
      </c>
      <c r="E68" s="55">
        <f>+K66+K67</f>
        <v>5179.21</v>
      </c>
      <c r="F68" s="55">
        <f>+D68-E68</f>
        <v>340.26000000000022</v>
      </c>
      <c r="G68" s="55">
        <f>1500-F68</f>
        <v>1159.7399999999998</v>
      </c>
      <c r="I68" s="113" t="s">
        <v>708</v>
      </c>
      <c r="J68" s="115">
        <v>1371.02</v>
      </c>
      <c r="K68" s="115">
        <v>15442.6</v>
      </c>
      <c r="L68" s="115">
        <v>15819.89</v>
      </c>
      <c r="M68" s="113">
        <f>+J68+L68-K68</f>
        <v>1748.3099999999995</v>
      </c>
    </row>
    <row r="69" spans="1:14" s="70" customFormat="1" ht="12.75" customHeight="1" x14ac:dyDescent="0.2">
      <c r="A69" s="24"/>
      <c r="B69" s="1"/>
      <c r="C69" s="50" t="s">
        <v>71</v>
      </c>
      <c r="D69" s="55">
        <f>+J68+L68</f>
        <v>17190.91</v>
      </c>
      <c r="E69" s="55">
        <f>+K68</f>
        <v>15442.6</v>
      </c>
      <c r="F69" s="55">
        <f>+D69-E69</f>
        <v>1748.3099999999995</v>
      </c>
      <c r="G69" s="55">
        <f>1500+700-F69</f>
        <v>451.69000000000051</v>
      </c>
      <c r="I69" s="2"/>
      <c r="J69" s="118">
        <f>SUM(J66:J68)</f>
        <v>1554.12</v>
      </c>
      <c r="K69" s="118">
        <f>SUM(K66:K68)</f>
        <v>20621.810000000001</v>
      </c>
      <c r="L69" s="118">
        <f>SUM(L66:L68)</f>
        <v>21156.26</v>
      </c>
      <c r="M69" s="118">
        <f>SUM(M66:M68)</f>
        <v>2088.5699999999997</v>
      </c>
    </row>
    <row r="70" spans="1:14" s="70" customFormat="1" ht="12.75" customHeight="1" x14ac:dyDescent="0.2">
      <c r="A70" s="24"/>
      <c r="B70" s="1"/>
      <c r="C70" s="14"/>
      <c r="D70" s="56"/>
      <c r="E70" s="13"/>
      <c r="F70" s="2"/>
      <c r="G70" s="30"/>
    </row>
    <row r="71" spans="1:14" s="70" customFormat="1" ht="12.75" customHeight="1" x14ac:dyDescent="0.2">
      <c r="A71" s="215" t="s">
        <v>80</v>
      </c>
      <c r="B71" s="216"/>
      <c r="C71" s="216"/>
      <c r="D71" s="217"/>
      <c r="E71" s="69"/>
      <c r="G71" s="30"/>
    </row>
    <row r="72" spans="1:14" s="70" customFormat="1" ht="12.75" customHeight="1" x14ac:dyDescent="0.2">
      <c r="A72" s="71" t="s">
        <v>81</v>
      </c>
      <c r="B72" s="71"/>
      <c r="C72" s="72" t="s">
        <v>82</v>
      </c>
      <c r="D72" s="73" t="s">
        <v>83</v>
      </c>
      <c r="E72" s="69"/>
      <c r="G72" s="30"/>
    </row>
    <row r="73" spans="1:14" s="70" customFormat="1" ht="12.75" customHeight="1" x14ac:dyDescent="0.2">
      <c r="A73" s="87">
        <v>45264</v>
      </c>
      <c r="B73" s="120" t="s">
        <v>6</v>
      </c>
      <c r="C73" s="75" t="s">
        <v>909</v>
      </c>
      <c r="D73" s="88">
        <v>13756945</v>
      </c>
      <c r="E73" s="2"/>
      <c r="F73" s="2"/>
      <c r="G73" s="30"/>
      <c r="H73" s="2"/>
      <c r="I73" s="2"/>
      <c r="J73" s="2"/>
      <c r="K73" s="2"/>
      <c r="L73" s="41"/>
      <c r="M73" s="42"/>
      <c r="N73" s="2"/>
    </row>
    <row r="74" spans="1:14" s="70" customFormat="1" ht="12.75" customHeight="1" x14ac:dyDescent="0.2">
      <c r="A74" s="87">
        <v>45265</v>
      </c>
      <c r="B74" s="120" t="s">
        <v>6</v>
      </c>
      <c r="C74" s="75" t="s">
        <v>1552</v>
      </c>
      <c r="D74" s="88">
        <v>2152501.6</v>
      </c>
      <c r="E74" s="2"/>
      <c r="F74" s="2"/>
      <c r="G74" s="30"/>
      <c r="H74" s="2"/>
      <c r="I74" s="2"/>
      <c r="J74" s="2"/>
      <c r="K74" s="2"/>
      <c r="L74" s="41"/>
      <c r="M74" s="42"/>
      <c r="N74" s="2"/>
    </row>
    <row r="75" spans="1:14" s="70" customFormat="1" ht="12.75" customHeight="1" x14ac:dyDescent="0.2">
      <c r="A75" s="87">
        <v>45267</v>
      </c>
      <c r="B75" s="120" t="s">
        <v>6</v>
      </c>
      <c r="C75" s="75" t="s">
        <v>784</v>
      </c>
      <c r="D75" s="88">
        <v>179811</v>
      </c>
      <c r="E75" s="2"/>
      <c r="F75" s="2"/>
      <c r="G75" s="30"/>
      <c r="H75" s="2"/>
      <c r="I75" s="2"/>
      <c r="J75" s="2"/>
      <c r="K75" s="2"/>
      <c r="L75" s="41"/>
      <c r="M75" s="42"/>
      <c r="N75" s="2"/>
    </row>
    <row r="76" spans="1:14" s="70" customFormat="1" ht="12.75" customHeight="1" x14ac:dyDescent="0.2">
      <c r="A76" s="87">
        <v>45267</v>
      </c>
      <c r="B76" s="120" t="s">
        <v>6</v>
      </c>
      <c r="C76" s="75" t="s">
        <v>784</v>
      </c>
      <c r="D76" s="88">
        <v>302254</v>
      </c>
      <c r="E76" s="2"/>
      <c r="F76" s="2"/>
      <c r="G76" s="30"/>
      <c r="H76" s="2"/>
      <c r="I76" s="2"/>
      <c r="J76" s="2"/>
      <c r="K76" s="2"/>
      <c r="L76" s="41"/>
      <c r="M76" s="42"/>
      <c r="N76" s="2"/>
    </row>
    <row r="77" spans="1:14" s="70" customFormat="1" ht="12.75" customHeight="1" x14ac:dyDescent="0.2">
      <c r="A77" s="87"/>
      <c r="B77" s="120"/>
      <c r="C77" s="75"/>
      <c r="D77" s="88"/>
      <c r="E77" s="2"/>
      <c r="F77" s="2"/>
      <c r="G77" s="30"/>
      <c r="H77" s="2"/>
      <c r="I77" s="2"/>
      <c r="J77" s="2"/>
      <c r="K77" s="2"/>
      <c r="L77" s="41"/>
      <c r="M77" s="42"/>
      <c r="N77" s="2"/>
    </row>
    <row r="78" spans="1:14" s="2" customFormat="1" x14ac:dyDescent="0.2">
      <c r="A78" s="87"/>
      <c r="B78" s="74"/>
      <c r="C78" s="75"/>
      <c r="D78" s="51">
        <f>SUM(D73:D76)</f>
        <v>16391511.6</v>
      </c>
      <c r="F78" s="2" t="s">
        <v>396</v>
      </c>
      <c r="G78" s="1"/>
    </row>
    <row r="79" spans="1:14" s="2" customFormat="1" x14ac:dyDescent="0.2">
      <c r="A79" s="24"/>
      <c r="B79" s="1"/>
      <c r="C79" s="14"/>
      <c r="D79" s="56"/>
      <c r="E79" s="13"/>
      <c r="G79" s="1"/>
    </row>
    <row r="80" spans="1:14" s="2" customFormat="1" x14ac:dyDescent="0.2">
      <c r="A80" s="24"/>
      <c r="B80" s="1"/>
      <c r="C80" s="218" t="s">
        <v>77</v>
      </c>
      <c r="D80" s="219"/>
      <c r="E80" s="219"/>
      <c r="F80" s="220"/>
      <c r="H80" s="2" t="s">
        <v>396</v>
      </c>
    </row>
    <row r="81" spans="1:13" s="2" customFormat="1" x14ac:dyDescent="0.2">
      <c r="A81" s="24"/>
      <c r="B81" s="1"/>
      <c r="C81" s="50"/>
      <c r="D81" s="57" t="s">
        <v>78</v>
      </c>
      <c r="E81" s="58" t="s">
        <v>79</v>
      </c>
      <c r="F81" s="57" t="s">
        <v>72</v>
      </c>
      <c r="H81" s="2" t="s">
        <v>396</v>
      </c>
    </row>
    <row r="82" spans="1:13" s="2" customFormat="1" x14ac:dyDescent="0.2">
      <c r="A82" s="24"/>
      <c r="B82" s="1"/>
      <c r="C82" s="59" t="str">
        <f>"01-12-2023 to "&amp;TEXT(A5-2,"dd-mm-yyyy")</f>
        <v>01-12-2023 to 07-12-2023</v>
      </c>
      <c r="D82" s="60">
        <v>427.73</v>
      </c>
      <c r="E82" s="60">
        <v>149.91</v>
      </c>
      <c r="F82" s="61">
        <f>SUM(D82:E82)</f>
        <v>577.64</v>
      </c>
    </row>
    <row r="83" spans="1:13" s="2" customFormat="1" x14ac:dyDescent="0.2">
      <c r="A83" s="24"/>
      <c r="B83" s="1"/>
      <c r="C83" s="62" t="str">
        <f>TEXT(A5-1,"dd-mm-yyyy")</f>
        <v>08-12-2023</v>
      </c>
      <c r="D83" s="60">
        <v>64.739999999999995</v>
      </c>
      <c r="E83" s="60">
        <v>33.840000000000003</v>
      </c>
      <c r="F83" s="61">
        <f>SUM(D83:E83)</f>
        <v>98.58</v>
      </c>
      <c r="G83" s="1"/>
      <c r="H83" s="53"/>
    </row>
    <row r="84" spans="1:13" s="2" customFormat="1" ht="13.5" thickBot="1" x14ac:dyDescent="0.25">
      <c r="A84" s="24"/>
      <c r="B84" s="1"/>
      <c r="C84" s="63" t="str">
        <f>"01-12-2023 to "&amp;TEXT(A5-1,"dd-mm-yyyy")</f>
        <v>01-12-2023 to 08-12-2023</v>
      </c>
      <c r="D84" s="64">
        <f>SUM(D82:D83)</f>
        <v>492.47</v>
      </c>
      <c r="E84" s="64">
        <f>SUM(E82:E83)</f>
        <v>183.75</v>
      </c>
      <c r="F84" s="64">
        <f>SUM(F82:F83)</f>
        <v>676.22</v>
      </c>
      <c r="G84" s="1"/>
      <c r="H84" s="53"/>
    </row>
    <row r="85" spans="1:13" s="2" customFormat="1" ht="13.5" thickTop="1" x14ac:dyDescent="0.2">
      <c r="A85" s="24"/>
      <c r="B85" s="1"/>
      <c r="C85" s="62"/>
      <c r="D85" s="65"/>
      <c r="E85" s="66"/>
      <c r="F85" s="67"/>
      <c r="L85" s="1"/>
      <c r="M85" s="1"/>
    </row>
    <row r="86" spans="1:13" s="2" customFormat="1" x14ac:dyDescent="0.2">
      <c r="A86" s="24"/>
      <c r="B86" s="1"/>
      <c r="C86" s="62" t="str">
        <f>"01-04-2023 to " &amp;C83</f>
        <v>01-04-2023 to 08-12-2023</v>
      </c>
      <c r="D86" s="68">
        <f>+D84+32234.22</f>
        <v>32726.690000000002</v>
      </c>
      <c r="E86" s="68">
        <f>+E84+3134.59</f>
        <v>3318.34</v>
      </c>
      <c r="F86" s="68">
        <f>+F84+35368.81</f>
        <v>36045.03</v>
      </c>
      <c r="G86" s="1"/>
      <c r="L86" s="1"/>
      <c r="M86" s="1"/>
    </row>
    <row r="87" spans="1:13" s="2" customFormat="1" x14ac:dyDescent="0.2">
      <c r="A87" s="24"/>
      <c r="B87" s="1"/>
      <c r="C87" s="52"/>
      <c r="D87" s="85"/>
      <c r="E87" s="53"/>
      <c r="F87" s="53"/>
      <c r="G87" s="1"/>
      <c r="L87" s="1"/>
      <c r="M87" s="1"/>
    </row>
    <row r="88" spans="1:13" s="2" customFormat="1" x14ac:dyDescent="0.2">
      <c r="A88" s="24"/>
      <c r="B88" s="1"/>
      <c r="C88" s="52"/>
      <c r="D88" s="85"/>
      <c r="E88" s="53"/>
      <c r="F88" s="53"/>
      <c r="G88" s="1"/>
      <c r="L88" s="1"/>
      <c r="M88" s="1"/>
    </row>
    <row r="89" spans="1:13" s="2" customFormat="1" x14ac:dyDescent="0.2">
      <c r="A89" s="24"/>
      <c r="B89" s="1"/>
      <c r="C89" s="52"/>
      <c r="D89" s="85"/>
      <c r="E89" s="53"/>
      <c r="F89" s="53"/>
      <c r="G89" s="1"/>
      <c r="L89" s="1"/>
      <c r="M89" s="1"/>
    </row>
    <row r="90" spans="1:13" s="2" customFormat="1" x14ac:dyDescent="0.2">
      <c r="A90" s="24"/>
      <c r="B90" s="1"/>
      <c r="C90" s="52"/>
      <c r="D90" s="85"/>
      <c r="E90" s="53"/>
      <c r="F90" s="53"/>
      <c r="G90" s="1"/>
      <c r="L90" s="1"/>
      <c r="M90" s="1"/>
    </row>
    <row r="91" spans="1:13" s="2" customFormat="1" x14ac:dyDescent="0.2">
      <c r="A91" s="24"/>
      <c r="B91" s="1"/>
      <c r="C91" s="14"/>
      <c r="D91" s="25">
        <f>SUM(D88:D90)</f>
        <v>0</v>
      </c>
      <c r="E91" s="2">
        <f>SUM(E88:E90)</f>
        <v>0</v>
      </c>
      <c r="G91" s="1"/>
      <c r="L91" s="1"/>
      <c r="M91" s="1"/>
    </row>
    <row r="92" spans="1:13" s="2" customFormat="1" x14ac:dyDescent="0.2">
      <c r="A92" s="24"/>
      <c r="B92" s="1"/>
      <c r="C92" s="14"/>
      <c r="D92" s="25"/>
      <c r="G92" s="1"/>
      <c r="L92" s="1"/>
      <c r="M92" s="1"/>
    </row>
    <row r="93" spans="1:13" s="2" customFormat="1" x14ac:dyDescent="0.2">
      <c r="A93" s="24"/>
      <c r="B93" s="1"/>
      <c r="C93" s="14"/>
      <c r="D93" s="25"/>
      <c r="G93" s="1"/>
      <c r="L93" s="1"/>
      <c r="M93" s="1"/>
    </row>
    <row r="94" spans="1:13" s="2" customFormat="1" x14ac:dyDescent="0.2">
      <c r="A94" s="24"/>
      <c r="B94" s="1"/>
      <c r="C94" s="14"/>
      <c r="D94" s="25"/>
      <c r="G94" s="1"/>
      <c r="L94" s="1"/>
      <c r="M94" s="1"/>
    </row>
    <row r="95" spans="1:13" s="2" customFormat="1" x14ac:dyDescent="0.2">
      <c r="A95" s="24"/>
      <c r="B95" s="1"/>
      <c r="C95" s="14"/>
      <c r="D95" s="25"/>
      <c r="G95" s="1"/>
      <c r="L95" s="1"/>
      <c r="M95" s="1"/>
    </row>
    <row r="96" spans="1:13" s="2" customFormat="1" x14ac:dyDescent="0.2">
      <c r="A96" s="24"/>
      <c r="B96" s="1"/>
      <c r="C96" s="14"/>
      <c r="D96" s="25"/>
      <c r="G96" s="1"/>
      <c r="L96" s="1"/>
      <c r="M96" s="1"/>
    </row>
    <row r="97" spans="1:14" s="2" customFormat="1" x14ac:dyDescent="0.2">
      <c r="A97" s="24"/>
      <c r="B97" s="1"/>
      <c r="C97" s="14"/>
      <c r="D97" s="25"/>
      <c r="G97" s="1"/>
      <c r="L97" s="1"/>
      <c r="M97" s="1"/>
    </row>
    <row r="98" spans="1:14" s="2" customFormat="1" x14ac:dyDescent="0.2">
      <c r="A98" s="24"/>
      <c r="B98" s="1"/>
      <c r="C98" s="14"/>
      <c r="D98" s="25"/>
      <c r="G98" s="1"/>
      <c r="L98" s="1"/>
      <c r="M98" s="1"/>
    </row>
    <row r="99" spans="1:14" s="2" customFormat="1" x14ac:dyDescent="0.2">
      <c r="A99" s="24"/>
      <c r="B99" s="1"/>
      <c r="C99" s="14"/>
      <c r="D99" s="25"/>
      <c r="G99" s="1"/>
      <c r="L99" s="1"/>
      <c r="M99" s="1"/>
    </row>
    <row r="100" spans="1:14" s="2" customFormat="1" x14ac:dyDescent="0.2">
      <c r="A100" s="24"/>
      <c r="B100" s="1"/>
      <c r="C100" s="14"/>
      <c r="D100" s="25"/>
      <c r="G100" s="1"/>
      <c r="L100" s="1"/>
      <c r="M100" s="1"/>
    </row>
    <row r="101" spans="1:14" s="2" customFormat="1" x14ac:dyDescent="0.2">
      <c r="A101" s="24"/>
      <c r="B101" s="1"/>
      <c r="C101" s="14"/>
      <c r="D101" s="25"/>
      <c r="G101" s="1"/>
      <c r="L101" s="1"/>
      <c r="M101" s="1"/>
    </row>
    <row r="102" spans="1:14" s="2" customFormat="1" x14ac:dyDescent="0.2">
      <c r="A102" s="24"/>
      <c r="B102" s="1"/>
      <c r="C102" s="14"/>
      <c r="D102" s="25"/>
      <c r="G102" s="1"/>
      <c r="L102" s="1"/>
      <c r="M102" s="1"/>
    </row>
    <row r="103" spans="1:14" s="2" customFormat="1" x14ac:dyDescent="0.2">
      <c r="A103" s="24"/>
      <c r="B103" s="1"/>
      <c r="C103" s="14"/>
      <c r="D103" s="25"/>
      <c r="G103" s="1"/>
      <c r="L103" s="1"/>
      <c r="M103" s="1"/>
    </row>
    <row r="104" spans="1:14" s="2" customFormat="1" x14ac:dyDescent="0.2">
      <c r="A104" s="24"/>
      <c r="B104" s="1"/>
      <c r="C104" s="14"/>
      <c r="D104" s="25"/>
      <c r="G104" s="1"/>
      <c r="L104" s="1"/>
      <c r="M104" s="1"/>
    </row>
    <row r="105" spans="1:14" s="2" customFormat="1" x14ac:dyDescent="0.2">
      <c r="A105" s="24"/>
      <c r="B105" s="1"/>
      <c r="C105" s="14"/>
      <c r="D105" s="25"/>
      <c r="G105" s="1"/>
      <c r="I105" s="1"/>
      <c r="J105" s="1"/>
      <c r="K105" s="1"/>
      <c r="L105" s="1"/>
      <c r="M105" s="1"/>
    </row>
    <row r="106" spans="1:14" s="2" customFormat="1" x14ac:dyDescent="0.2">
      <c r="A106" s="24"/>
      <c r="B106" s="1"/>
      <c r="C106" s="14"/>
      <c r="D106" s="25"/>
      <c r="G106" s="1"/>
    </row>
    <row r="107" spans="1:14" s="2" customFormat="1" x14ac:dyDescent="0.2">
      <c r="A107" s="24"/>
      <c r="B107" s="1"/>
      <c r="C107" s="14"/>
      <c r="D107" s="25"/>
      <c r="G107" s="1"/>
      <c r="I107" s="1"/>
      <c r="J107" s="1"/>
      <c r="K107" s="1"/>
      <c r="L107" s="1"/>
      <c r="M107" s="1"/>
    </row>
    <row r="108" spans="1:14" s="2" customFormat="1" x14ac:dyDescent="0.2">
      <c r="A108" s="24"/>
      <c r="B108" s="1"/>
      <c r="C108" s="14"/>
      <c r="D108" s="25"/>
      <c r="G108" s="54"/>
      <c r="I108" s="1"/>
      <c r="J108" s="1"/>
      <c r="K108" s="1"/>
      <c r="L108" s="1"/>
      <c r="M108" s="1"/>
    </row>
    <row r="109" spans="1:14" s="2" customFormat="1" x14ac:dyDescent="0.2">
      <c r="A109" s="24"/>
      <c r="B109" s="1"/>
      <c r="C109" s="14"/>
      <c r="D109" s="25"/>
      <c r="G109" s="54"/>
      <c r="I109" s="1"/>
      <c r="J109" s="1"/>
      <c r="K109" s="1"/>
      <c r="L109" s="1"/>
      <c r="M109" s="1"/>
    </row>
    <row r="110" spans="1:14" s="2" customFormat="1" x14ac:dyDescent="0.2">
      <c r="A110" s="24"/>
      <c r="B110" s="1"/>
      <c r="C110" s="14"/>
      <c r="D110" s="25"/>
      <c r="G110" s="54"/>
      <c r="I110" s="1"/>
      <c r="J110" s="1"/>
      <c r="K110" s="1"/>
      <c r="L110" s="1"/>
      <c r="M110" s="1"/>
    </row>
    <row r="111" spans="1:14" s="2" customFormat="1" x14ac:dyDescent="0.2">
      <c r="A111" s="24"/>
      <c r="B111" s="1"/>
      <c r="C111" s="14"/>
      <c r="D111" s="25"/>
      <c r="G111" s="54"/>
      <c r="H111" s="2" t="s">
        <v>396</v>
      </c>
      <c r="I111" s="1"/>
      <c r="J111" s="1"/>
      <c r="K111" s="1"/>
      <c r="L111" s="1"/>
      <c r="M111" s="1"/>
      <c r="N111" s="1"/>
    </row>
    <row r="112" spans="1:14" s="2" customFormat="1" x14ac:dyDescent="0.2">
      <c r="A112" s="24"/>
      <c r="B112" s="1"/>
      <c r="C112" s="14"/>
      <c r="D112" s="25"/>
      <c r="G112" s="54"/>
      <c r="H112" s="53"/>
    </row>
    <row r="113" spans="1:14" s="2" customFormat="1" x14ac:dyDescent="0.2">
      <c r="A113" s="24"/>
      <c r="B113" s="1"/>
      <c r="C113" s="14"/>
      <c r="D113" s="25"/>
      <c r="G113" s="54"/>
      <c r="H113" s="53" t="s">
        <v>396</v>
      </c>
      <c r="I113" s="1"/>
      <c r="J113" s="1"/>
      <c r="K113" s="1"/>
      <c r="L113" s="1"/>
      <c r="M113" s="1"/>
      <c r="N113" s="1"/>
    </row>
    <row r="114" spans="1:14" x14ac:dyDescent="0.2">
      <c r="G114" s="54"/>
      <c r="H114" s="53" t="s">
        <v>396</v>
      </c>
      <c r="J114" s="42"/>
    </row>
    <row r="115" spans="1:14" s="2" customFormat="1" x14ac:dyDescent="0.2">
      <c r="A115" s="24"/>
      <c r="B115" s="1"/>
      <c r="C115" s="14"/>
      <c r="D115" s="25"/>
      <c r="G115" s="54"/>
      <c r="H115" s="53"/>
      <c r="I115" s="101"/>
      <c r="J115" s="1"/>
      <c r="K115" s="1"/>
      <c r="L115" s="1"/>
      <c r="M115" s="1"/>
      <c r="N115" s="1"/>
    </row>
    <row r="116" spans="1:14" x14ac:dyDescent="0.2">
      <c r="G116" s="54"/>
      <c r="H116" s="53"/>
    </row>
    <row r="117" spans="1:14" x14ac:dyDescent="0.2">
      <c r="G117" s="54"/>
      <c r="H117" s="53"/>
    </row>
    <row r="118" spans="1:14" x14ac:dyDescent="0.2">
      <c r="G118" s="54"/>
      <c r="H118" s="53"/>
    </row>
  </sheetData>
  <sheetProtection insertRows="0"/>
  <mergeCells count="6">
    <mergeCell ref="C80:F80"/>
    <mergeCell ref="A1:G1"/>
    <mergeCell ref="A3:F3"/>
    <mergeCell ref="A9:F9"/>
    <mergeCell ref="A19:F19"/>
    <mergeCell ref="A71:D71"/>
  </mergeCells>
  <conditionalFormatting sqref="G68:G69">
    <cfRule type="cellIs" dxfId="183" priority="1" operator="lessThan">
      <formula>0</formula>
    </cfRule>
  </conditionalFormatting>
  <conditionalFormatting sqref="C21">
    <cfRule type="duplicateValues" dxfId="182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700-000000000000}">
  <sheetPr codeName="Sheet495">
    <pageSetUpPr fitToPage="1"/>
  </sheetPr>
  <dimension ref="A1:O135"/>
  <sheetViews>
    <sheetView topLeftCell="A22" zoomScaleNormal="100" workbookViewId="0">
      <selection activeCell="E36" sqref="E36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12.85546875" style="1" customWidth="1"/>
    <col min="9" max="9" width="24.85546875" style="2" bestFit="1" customWidth="1"/>
    <col min="10" max="10" width="21.5703125" style="1" bestFit="1" customWidth="1"/>
    <col min="11" max="11" width="16.85546875" style="1" bestFit="1" customWidth="1"/>
    <col min="12" max="12" width="17.28515625" style="1" bestFit="1" customWidth="1"/>
    <col min="13" max="13" width="13.5703125" style="1" bestFit="1" customWidth="1"/>
    <col min="14" max="14" width="17.42578125" style="1" bestFit="1" customWidth="1"/>
    <col min="15" max="15" width="12.85546875" style="1" bestFit="1" customWidth="1"/>
    <col min="16" max="17" width="9.140625" style="1"/>
    <col min="18" max="18" width="15.5703125" style="1" bestFit="1" customWidth="1"/>
    <col min="19" max="16384" width="9.140625" style="1"/>
  </cols>
  <sheetData>
    <row r="1" spans="1:12" ht="20.25" customHeight="1" x14ac:dyDescent="0.4">
      <c r="A1" s="212" t="s">
        <v>1853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2" ht="12.75" customHeight="1" x14ac:dyDescent="0.4">
      <c r="I2" s="112"/>
      <c r="J2" s="112"/>
    </row>
    <row r="3" spans="1:12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2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2" s="2" customFormat="1" ht="14.25" customHeight="1" x14ac:dyDescent="0.4">
      <c r="A5" s="89">
        <v>45271</v>
      </c>
      <c r="B5" s="9" t="s">
        <v>6</v>
      </c>
      <c r="C5" s="10" t="s">
        <v>7</v>
      </c>
      <c r="D5" s="11"/>
      <c r="E5" s="12">
        <v>529143.33999999985</v>
      </c>
      <c r="F5" s="12"/>
      <c r="G5" s="1"/>
      <c r="H5" s="1"/>
      <c r="I5" s="112"/>
      <c r="J5" s="112"/>
    </row>
    <row r="6" spans="1:12" s="2" customFormat="1" ht="12.75" customHeight="1" x14ac:dyDescent="0.2">
      <c r="D6" s="15" t="s">
        <v>8</v>
      </c>
      <c r="E6" s="16">
        <f>SUM(E5:E5)</f>
        <v>529143.33999999985</v>
      </c>
      <c r="F6" s="16">
        <f>F5</f>
        <v>0</v>
      </c>
      <c r="G6" s="1"/>
      <c r="H6" s="1"/>
      <c r="I6" s="13" t="s">
        <v>1582</v>
      </c>
      <c r="J6" s="13" t="s">
        <v>1583</v>
      </c>
    </row>
    <row r="7" spans="1:12" s="2" customFormat="1" ht="12.75" customHeight="1" x14ac:dyDescent="0.2">
      <c r="A7" s="17"/>
      <c r="B7" s="18"/>
      <c r="C7" s="19" t="s">
        <v>9</v>
      </c>
      <c r="D7" s="20"/>
      <c r="E7" s="21">
        <f>+E6-F6</f>
        <v>529143.33999999985</v>
      </c>
      <c r="F7" s="22"/>
      <c r="G7" s="23"/>
      <c r="H7" s="23"/>
      <c r="I7" s="2">
        <v>720701</v>
      </c>
      <c r="J7" s="2">
        <v>0</v>
      </c>
      <c r="K7" s="176">
        <f>I7-J7</f>
        <v>720701</v>
      </c>
    </row>
    <row r="8" spans="1:12" ht="12.75" customHeight="1" x14ac:dyDescent="0.4">
      <c r="I8" s="112"/>
      <c r="J8" s="112"/>
    </row>
    <row r="9" spans="1:12" ht="18" customHeight="1" x14ac:dyDescent="0.4">
      <c r="A9" s="213" t="s">
        <v>1037</v>
      </c>
      <c r="B9" s="213"/>
      <c r="C9" s="213"/>
      <c r="D9" s="213"/>
      <c r="E9" s="213"/>
      <c r="F9" s="213"/>
      <c r="I9" s="112"/>
      <c r="J9" s="169">
        <f>90000000-60000000</f>
        <v>30000000</v>
      </c>
      <c r="K9" s="169" t="s">
        <v>1508</v>
      </c>
    </row>
    <row r="10" spans="1:12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I10" s="112"/>
      <c r="J10" s="169">
        <v>28849956.059999999</v>
      </c>
      <c r="K10" s="169" t="s">
        <v>1509</v>
      </c>
      <c r="L10" s="124"/>
    </row>
    <row r="11" spans="1:12" s="2" customFormat="1" ht="14.25" customHeight="1" x14ac:dyDescent="0.2">
      <c r="A11" s="89">
        <v>45269</v>
      </c>
      <c r="B11" s="9" t="s">
        <v>6</v>
      </c>
      <c r="C11" s="10" t="s">
        <v>7</v>
      </c>
      <c r="D11" s="11"/>
      <c r="F11" s="12">
        <v>28423217.059999999</v>
      </c>
      <c r="G11" s="1"/>
      <c r="H11" s="1"/>
      <c r="I11" s="130" t="s">
        <v>396</v>
      </c>
      <c r="J11" s="169">
        <f>+J9-J10</f>
        <v>1150043.9400000013</v>
      </c>
      <c r="K11" s="169" t="s">
        <v>712</v>
      </c>
      <c r="L11" s="165" t="s">
        <v>1512</v>
      </c>
    </row>
    <row r="12" spans="1:12" s="2" customFormat="1" ht="14.25" customHeight="1" x14ac:dyDescent="0.2">
      <c r="A12" s="89">
        <v>45269</v>
      </c>
      <c r="B12" s="9" t="s">
        <v>6</v>
      </c>
      <c r="C12" s="76" t="s">
        <v>220</v>
      </c>
      <c r="D12" s="11" t="s">
        <v>13</v>
      </c>
      <c r="E12" s="31">
        <v>720701</v>
      </c>
      <c r="F12" s="12"/>
      <c r="G12" s="1"/>
      <c r="H12" s="1"/>
      <c r="I12" s="130"/>
      <c r="J12" s="169"/>
      <c r="K12" s="169"/>
      <c r="L12" s="165"/>
    </row>
    <row r="13" spans="1:12" s="2" customFormat="1" ht="14.25" customHeight="1" x14ac:dyDescent="0.2">
      <c r="A13" s="89">
        <v>45269</v>
      </c>
      <c r="B13" s="9" t="s">
        <v>6</v>
      </c>
      <c r="C13" s="76" t="s">
        <v>1854</v>
      </c>
      <c r="D13" s="11" t="s">
        <v>29</v>
      </c>
      <c r="F13" s="31">
        <v>199420</v>
      </c>
      <c r="G13" s="1"/>
      <c r="H13" s="1"/>
      <c r="I13" s="130"/>
      <c r="J13" s="169"/>
      <c r="K13" s="169"/>
      <c r="L13" s="165"/>
    </row>
    <row r="14" spans="1:12" s="2" customFormat="1" ht="14.25" customHeight="1" x14ac:dyDescent="0.2">
      <c r="A14" s="89">
        <v>45269</v>
      </c>
      <c r="B14" s="9" t="s">
        <v>6</v>
      </c>
      <c r="C14" s="76" t="s">
        <v>1642</v>
      </c>
      <c r="D14" s="11" t="s">
        <v>29</v>
      </c>
      <c r="F14" s="31">
        <v>37760</v>
      </c>
      <c r="G14" s="1"/>
      <c r="H14" s="1"/>
      <c r="I14" s="130"/>
      <c r="J14" s="169"/>
      <c r="K14" s="169"/>
      <c r="L14" s="165"/>
    </row>
    <row r="15" spans="1:12" s="2" customFormat="1" ht="14.25" customHeight="1" x14ac:dyDescent="0.2">
      <c r="A15" s="89">
        <v>45269</v>
      </c>
      <c r="B15" s="9" t="s">
        <v>6</v>
      </c>
      <c r="C15" s="76" t="s">
        <v>999</v>
      </c>
      <c r="D15" s="11" t="s">
        <v>29</v>
      </c>
      <c r="F15" s="31">
        <v>130626</v>
      </c>
      <c r="G15" s="1"/>
      <c r="H15" s="1"/>
      <c r="I15" s="130"/>
      <c r="J15" s="169"/>
      <c r="K15" s="169"/>
      <c r="L15" s="165"/>
    </row>
    <row r="16" spans="1:12" s="2" customFormat="1" ht="14.25" customHeight="1" x14ac:dyDescent="0.2">
      <c r="A16" s="89">
        <v>45269</v>
      </c>
      <c r="B16" s="9" t="s">
        <v>6</v>
      </c>
      <c r="C16" s="76" t="s">
        <v>1855</v>
      </c>
      <c r="D16" s="11" t="s">
        <v>29</v>
      </c>
      <c r="F16" s="31">
        <v>21766</v>
      </c>
      <c r="G16" s="1"/>
      <c r="H16" s="1"/>
      <c r="I16" s="130"/>
      <c r="J16" s="169"/>
      <c r="K16" s="169"/>
      <c r="L16" s="165"/>
    </row>
    <row r="17" spans="1:15" s="2" customFormat="1" ht="14.25" customHeight="1" x14ac:dyDescent="0.2">
      <c r="A17" s="89">
        <v>45269</v>
      </c>
      <c r="B17" s="9" t="s">
        <v>6</v>
      </c>
      <c r="C17" s="76" t="s">
        <v>1124</v>
      </c>
      <c r="D17" s="11" t="s">
        <v>29</v>
      </c>
      <c r="F17" s="31">
        <v>6366</v>
      </c>
      <c r="G17" s="1"/>
      <c r="H17" s="1"/>
      <c r="I17" s="130"/>
      <c r="J17" s="169"/>
      <c r="K17" s="169"/>
      <c r="L17" s="165"/>
    </row>
    <row r="18" spans="1:15" s="2" customFormat="1" ht="14.25" customHeight="1" x14ac:dyDescent="0.2">
      <c r="A18" s="89">
        <v>45269</v>
      </c>
      <c r="B18" s="9" t="s">
        <v>6</v>
      </c>
      <c r="C18" s="76" t="s">
        <v>223</v>
      </c>
      <c r="D18" s="11" t="s">
        <v>29</v>
      </c>
      <c r="F18" s="31">
        <v>30801</v>
      </c>
      <c r="G18" s="1"/>
      <c r="H18" s="1"/>
      <c r="I18" s="130"/>
      <c r="J18" s="169"/>
      <c r="K18" s="169"/>
      <c r="L18" s="165"/>
    </row>
    <row r="19" spans="1:15" s="2" customFormat="1" ht="14.25" customHeight="1" x14ac:dyDescent="0.2">
      <c r="D19" s="11" t="s">
        <v>8</v>
      </c>
      <c r="E19" s="16">
        <f>SUM(E12:E18)</f>
        <v>720701</v>
      </c>
      <c r="F19" s="16">
        <f>SUM(F11:F18)</f>
        <v>28849956.059999999</v>
      </c>
      <c r="G19" s="1"/>
      <c r="H19" s="1"/>
      <c r="I19" s="143"/>
      <c r="J19" s="130"/>
      <c r="K19" s="143"/>
      <c r="L19" s="143"/>
      <c r="M19" s="143"/>
      <c r="N19" s="143"/>
    </row>
    <row r="20" spans="1:15" s="2" customFormat="1" ht="14.25" customHeight="1" x14ac:dyDescent="0.4">
      <c r="A20" s="17"/>
      <c r="B20" s="18"/>
      <c r="C20" s="96" t="s">
        <v>9</v>
      </c>
      <c r="D20" s="20"/>
      <c r="E20" s="21">
        <f>+F19-E19</f>
        <v>28129255.059999999</v>
      </c>
      <c r="G20" s="1"/>
      <c r="H20" s="1"/>
      <c r="J20" s="112"/>
      <c r="K20" s="153" t="s">
        <v>779</v>
      </c>
    </row>
    <row r="21" spans="1:15" s="2" customFormat="1" ht="14.25" customHeight="1" x14ac:dyDescent="0.2">
      <c r="A21" s="36"/>
      <c r="B21" s="28" t="s">
        <v>66</v>
      </c>
      <c r="C21" s="43" t="s">
        <v>1458</v>
      </c>
      <c r="D21" s="43"/>
      <c r="E21" s="12">
        <f>30000000+60000000</f>
        <v>90000000</v>
      </c>
      <c r="F21" s="22"/>
      <c r="G21" s="1"/>
      <c r="H21" s="1"/>
      <c r="J21" s="40">
        <v>28129255.059999999</v>
      </c>
      <c r="K21" s="154">
        <f>J21-E20</f>
        <v>0</v>
      </c>
    </row>
    <row r="22" spans="1:15" s="2" customFormat="1" ht="14.25" customHeight="1" x14ac:dyDescent="0.25">
      <c r="A22" s="36"/>
      <c r="B22" s="28"/>
      <c r="C22" s="44" t="s">
        <v>1541</v>
      </c>
      <c r="D22" s="43"/>
      <c r="E22" s="7">
        <f>+E20+E21</f>
        <v>118129255.06</v>
      </c>
      <c r="F22" s="22"/>
      <c r="G22" s="1"/>
      <c r="H22" s="1"/>
      <c r="I22" s="13" t="s">
        <v>1582</v>
      </c>
      <c r="J22" s="13" t="s">
        <v>1583</v>
      </c>
    </row>
    <row r="23" spans="1:15" s="2" customFormat="1" ht="14.25" customHeight="1" x14ac:dyDescent="0.25">
      <c r="A23" s="36"/>
      <c r="B23" s="28"/>
      <c r="C23" s="44" t="s">
        <v>1511</v>
      </c>
      <c r="D23" s="43"/>
      <c r="E23" s="38">
        <f>+J11+I7-J7</f>
        <v>1870744.9400000013</v>
      </c>
      <c r="F23" s="22"/>
      <c r="G23" s="1"/>
      <c r="H23" s="1"/>
      <c r="I23" s="2">
        <v>203973</v>
      </c>
      <c r="J23" s="2">
        <v>7902787.2999999998</v>
      </c>
      <c r="K23" s="176">
        <f>I23-J23</f>
        <v>-7698814.2999999998</v>
      </c>
    </row>
    <row r="24" spans="1:15" s="2" customFormat="1" ht="14.25" customHeight="1" x14ac:dyDescent="0.2">
      <c r="A24" s="24"/>
      <c r="B24" s="1"/>
      <c r="C24" s="14"/>
      <c r="D24" s="25"/>
      <c r="G24" s="1"/>
      <c r="H24" s="1"/>
      <c r="J24" s="130"/>
      <c r="K24" s="130"/>
    </row>
    <row r="25" spans="1:15" s="2" customFormat="1" x14ac:dyDescent="0.2">
      <c r="A25" s="214" t="s">
        <v>10</v>
      </c>
      <c r="B25" s="214"/>
      <c r="C25" s="214"/>
      <c r="D25" s="214"/>
      <c r="E25" s="214"/>
      <c r="F25" s="214"/>
      <c r="G25" s="1"/>
      <c r="H25" s="1"/>
      <c r="I25" s="159"/>
      <c r="J25" s="160">
        <f>225000000-75000000-50000000</f>
        <v>100000000</v>
      </c>
      <c r="K25" s="160" t="s">
        <v>1506</v>
      </c>
      <c r="L25" s="70"/>
    </row>
    <row r="26" spans="1:15" s="2" customFormat="1" x14ac:dyDescent="0.2">
      <c r="A26" s="26" t="s">
        <v>1</v>
      </c>
      <c r="B26" s="27" t="s">
        <v>2</v>
      </c>
      <c r="C26" s="5"/>
      <c r="D26" s="6" t="s">
        <v>3</v>
      </c>
      <c r="E26" s="7" t="s">
        <v>4</v>
      </c>
      <c r="F26" s="7" t="s">
        <v>5</v>
      </c>
      <c r="G26" s="1"/>
      <c r="H26" s="1"/>
      <c r="I26" s="159"/>
      <c r="J26" s="160">
        <v>63410879.960000001</v>
      </c>
      <c r="K26" s="160" t="s">
        <v>1507</v>
      </c>
      <c r="L26" s="70" t="s">
        <v>1512</v>
      </c>
    </row>
    <row r="27" spans="1:15" s="2" customFormat="1" x14ac:dyDescent="0.2">
      <c r="A27" s="89">
        <v>45271</v>
      </c>
      <c r="B27" s="128" t="s">
        <v>11</v>
      </c>
      <c r="C27" s="29" t="s">
        <v>7</v>
      </c>
      <c r="D27" s="25"/>
      <c r="E27" s="31"/>
      <c r="F27" s="2">
        <v>64116066.930000007</v>
      </c>
      <c r="G27" s="23"/>
      <c r="H27" s="23"/>
      <c r="I27" s="159" t="s">
        <v>1505</v>
      </c>
      <c r="J27" s="160">
        <f>+J25-J26</f>
        <v>36589120.039999999</v>
      </c>
      <c r="K27" s="160"/>
      <c r="L27" s="70"/>
    </row>
    <row r="28" spans="1:15" s="2" customFormat="1" x14ac:dyDescent="0.2">
      <c r="A28" s="89">
        <v>45271</v>
      </c>
      <c r="B28" s="128" t="s">
        <v>6</v>
      </c>
      <c r="C28" s="29" t="s">
        <v>752</v>
      </c>
      <c r="D28" s="11" t="s">
        <v>13</v>
      </c>
      <c r="E28" s="86">
        <v>1000000</v>
      </c>
      <c r="F28" s="70"/>
      <c r="G28" s="1"/>
      <c r="H28" s="1"/>
      <c r="O28" s="1"/>
    </row>
    <row r="29" spans="1:15" s="2" customFormat="1" x14ac:dyDescent="0.2">
      <c r="A29" s="89">
        <v>45271</v>
      </c>
      <c r="B29" s="128" t="s">
        <v>6</v>
      </c>
      <c r="C29" s="29" t="s">
        <v>516</v>
      </c>
      <c r="D29" s="11" t="s">
        <v>13</v>
      </c>
      <c r="E29" s="86">
        <v>55195</v>
      </c>
      <c r="F29" s="70"/>
      <c r="G29" s="1"/>
      <c r="H29" s="1"/>
      <c r="O29" s="1"/>
    </row>
    <row r="30" spans="1:15" s="2" customFormat="1" x14ac:dyDescent="0.2">
      <c r="A30" s="89">
        <v>45271</v>
      </c>
      <c r="B30" s="128" t="s">
        <v>6</v>
      </c>
      <c r="C30" s="29" t="s">
        <v>105</v>
      </c>
      <c r="D30" s="11" t="s">
        <v>13</v>
      </c>
      <c r="E30" s="86">
        <v>141190</v>
      </c>
      <c r="F30" s="70"/>
      <c r="G30" s="1"/>
      <c r="H30" s="1"/>
      <c r="O30" s="1"/>
    </row>
    <row r="31" spans="1:15" s="2" customFormat="1" x14ac:dyDescent="0.2">
      <c r="A31" s="89">
        <v>45271</v>
      </c>
      <c r="B31" s="128" t="s">
        <v>6</v>
      </c>
      <c r="C31" s="29" t="s">
        <v>249</v>
      </c>
      <c r="D31" s="11" t="s">
        <v>13</v>
      </c>
      <c r="E31" s="86">
        <v>62783</v>
      </c>
      <c r="F31" s="70"/>
      <c r="G31" s="1"/>
      <c r="H31" s="1"/>
      <c r="O31" s="1"/>
    </row>
    <row r="32" spans="1:15" s="2" customFormat="1" x14ac:dyDescent="0.2">
      <c r="A32" s="89">
        <v>45271</v>
      </c>
      <c r="B32" s="128" t="s">
        <v>6</v>
      </c>
      <c r="C32" s="29" t="s">
        <v>547</v>
      </c>
      <c r="D32" s="11" t="s">
        <v>13</v>
      </c>
      <c r="E32" s="86">
        <v>177969</v>
      </c>
      <c r="F32" s="70"/>
      <c r="G32" s="1"/>
      <c r="H32" s="1"/>
      <c r="O32" s="1"/>
    </row>
    <row r="33" spans="1:15" s="2" customFormat="1" x14ac:dyDescent="0.2">
      <c r="A33" s="89">
        <v>45271</v>
      </c>
      <c r="B33" s="128" t="s">
        <v>6</v>
      </c>
      <c r="C33" s="29" t="s">
        <v>750</v>
      </c>
      <c r="D33" s="11" t="s">
        <v>13</v>
      </c>
      <c r="E33" s="86">
        <v>25316.3</v>
      </c>
      <c r="F33" s="70"/>
      <c r="G33" s="1"/>
      <c r="H33" s="1"/>
      <c r="O33" s="1"/>
    </row>
    <row r="34" spans="1:15" s="2" customFormat="1" x14ac:dyDescent="0.2">
      <c r="A34" s="89">
        <v>45271</v>
      </c>
      <c r="B34" s="128" t="s">
        <v>6</v>
      </c>
      <c r="C34" s="29" t="s">
        <v>667</v>
      </c>
      <c r="D34" s="11" t="s">
        <v>13</v>
      </c>
      <c r="E34" s="86">
        <v>16800</v>
      </c>
      <c r="F34" s="70"/>
      <c r="G34" s="1"/>
      <c r="H34" s="1"/>
      <c r="O34" s="1"/>
    </row>
    <row r="35" spans="1:15" s="2" customFormat="1" x14ac:dyDescent="0.2">
      <c r="A35" s="89">
        <v>45271</v>
      </c>
      <c r="B35" s="128" t="s">
        <v>6</v>
      </c>
      <c r="C35" s="29" t="s">
        <v>149</v>
      </c>
      <c r="D35" s="11" t="s">
        <v>13</v>
      </c>
      <c r="E35" s="86">
        <v>1019</v>
      </c>
      <c r="F35" s="70"/>
      <c r="G35" s="1"/>
      <c r="H35" s="1"/>
      <c r="O35" s="1"/>
    </row>
    <row r="36" spans="1:15" s="2" customFormat="1" x14ac:dyDescent="0.2">
      <c r="A36" s="89">
        <v>45271</v>
      </c>
      <c r="B36" s="128" t="s">
        <v>6</v>
      </c>
      <c r="C36" s="29" t="s">
        <v>283</v>
      </c>
      <c r="D36" s="11" t="s">
        <v>13</v>
      </c>
      <c r="E36" s="86">
        <v>7467306</v>
      </c>
      <c r="F36" s="70"/>
      <c r="G36" s="1"/>
      <c r="H36" s="1"/>
      <c r="O36" s="1"/>
    </row>
    <row r="37" spans="1:15" s="2" customFormat="1" x14ac:dyDescent="0.2">
      <c r="A37" s="89">
        <v>45271</v>
      </c>
      <c r="B37" s="128" t="s">
        <v>6</v>
      </c>
      <c r="C37" s="29" t="s">
        <v>1857</v>
      </c>
      <c r="D37" s="11" t="s">
        <v>13</v>
      </c>
      <c r="E37" s="86">
        <v>3150</v>
      </c>
      <c r="F37" s="70"/>
      <c r="G37" s="1"/>
      <c r="H37" s="1"/>
      <c r="O37" s="1"/>
    </row>
    <row r="38" spans="1:15" s="2" customFormat="1" x14ac:dyDescent="0.2">
      <c r="A38" s="89">
        <v>45271</v>
      </c>
      <c r="B38" s="128" t="s">
        <v>6</v>
      </c>
      <c r="C38" s="29" t="s">
        <v>1858</v>
      </c>
      <c r="D38" s="11" t="s">
        <v>13</v>
      </c>
      <c r="E38" s="86">
        <v>678.99</v>
      </c>
      <c r="F38" s="70"/>
      <c r="G38" s="1"/>
      <c r="H38" s="1"/>
      <c r="O38" s="1"/>
    </row>
    <row r="39" spans="1:15" s="2" customFormat="1" x14ac:dyDescent="0.2">
      <c r="A39" s="89">
        <v>45271</v>
      </c>
      <c r="B39" s="128" t="s">
        <v>11</v>
      </c>
      <c r="C39" s="29" t="s">
        <v>64</v>
      </c>
      <c r="D39" s="11" t="s">
        <v>29</v>
      </c>
      <c r="E39" s="86"/>
      <c r="F39" s="70">
        <v>12696.8</v>
      </c>
      <c r="G39" s="1"/>
      <c r="H39" s="1"/>
      <c r="O39" s="1"/>
    </row>
    <row r="40" spans="1:15" s="2" customFormat="1" x14ac:dyDescent="0.2">
      <c r="A40" s="89">
        <v>45271</v>
      </c>
      <c r="B40" s="128" t="s">
        <v>11</v>
      </c>
      <c r="C40" s="29" t="s">
        <v>216</v>
      </c>
      <c r="D40" s="11" t="s">
        <v>29</v>
      </c>
      <c r="E40" s="86"/>
      <c r="F40" s="70">
        <v>201889</v>
      </c>
      <c r="G40" s="1"/>
      <c r="H40" s="1"/>
      <c r="O40" s="1"/>
    </row>
    <row r="41" spans="1:15" s="2" customFormat="1" x14ac:dyDescent="0.2">
      <c r="A41" s="89">
        <v>45271</v>
      </c>
      <c r="B41" s="128" t="s">
        <v>11</v>
      </c>
      <c r="C41" s="29" t="s">
        <v>218</v>
      </c>
      <c r="D41" s="11" t="s">
        <v>29</v>
      </c>
      <c r="E41" s="86"/>
      <c r="F41" s="70">
        <v>53355</v>
      </c>
      <c r="G41" s="1"/>
      <c r="H41" s="1"/>
      <c r="O41" s="1"/>
    </row>
    <row r="42" spans="1:15" s="2" customFormat="1" x14ac:dyDescent="0.2">
      <c r="A42" s="89">
        <v>45271</v>
      </c>
      <c r="B42" s="128" t="s">
        <v>11</v>
      </c>
      <c r="C42" s="29" t="s">
        <v>217</v>
      </c>
      <c r="D42" s="11" t="s">
        <v>29</v>
      </c>
      <c r="E42" s="86"/>
      <c r="F42" s="70">
        <v>51995</v>
      </c>
      <c r="G42" s="1"/>
      <c r="H42" s="1"/>
      <c r="O42" s="1"/>
    </row>
    <row r="43" spans="1:15" s="2" customFormat="1" x14ac:dyDescent="0.2">
      <c r="A43" s="89">
        <v>45271</v>
      </c>
      <c r="B43" s="128" t="s">
        <v>11</v>
      </c>
      <c r="C43" s="29" t="s">
        <v>1181</v>
      </c>
      <c r="D43" s="11" t="s">
        <v>29</v>
      </c>
      <c r="E43" s="86"/>
      <c r="F43" s="70">
        <v>55480</v>
      </c>
      <c r="G43" s="1"/>
      <c r="H43" s="1"/>
      <c r="O43" s="1"/>
    </row>
    <row r="44" spans="1:15" s="2" customFormat="1" x14ac:dyDescent="0.2">
      <c r="A44" s="89">
        <v>45271</v>
      </c>
      <c r="B44" s="128" t="s">
        <v>11</v>
      </c>
      <c r="C44" s="29" t="s">
        <v>107</v>
      </c>
      <c r="D44" s="11" t="s">
        <v>29</v>
      </c>
      <c r="E44" s="86"/>
      <c r="F44" s="70">
        <v>225431.02</v>
      </c>
      <c r="G44" s="1"/>
      <c r="H44" s="1"/>
      <c r="O44" s="1"/>
    </row>
    <row r="45" spans="1:15" s="2" customFormat="1" x14ac:dyDescent="0.2">
      <c r="A45" s="89">
        <v>45271</v>
      </c>
      <c r="B45" s="128" t="s">
        <v>11</v>
      </c>
      <c r="C45" s="29" t="s">
        <v>723</v>
      </c>
      <c r="D45" s="11" t="s">
        <v>29</v>
      </c>
      <c r="E45" s="86"/>
      <c r="F45" s="70">
        <v>3053066.69</v>
      </c>
      <c r="G45" s="1"/>
      <c r="H45" s="1"/>
      <c r="O45" s="1"/>
    </row>
    <row r="46" spans="1:15" s="2" customFormat="1" x14ac:dyDescent="0.2">
      <c r="A46" s="89">
        <v>45271</v>
      </c>
      <c r="B46" s="128" t="s">
        <v>11</v>
      </c>
      <c r="C46" s="29" t="s">
        <v>616</v>
      </c>
      <c r="D46" s="11" t="s">
        <v>29</v>
      </c>
      <c r="E46" s="86"/>
      <c r="F46" s="70">
        <v>43835</v>
      </c>
      <c r="G46" s="1"/>
      <c r="H46" s="1"/>
      <c r="O46" s="1"/>
    </row>
    <row r="47" spans="1:15" s="2" customFormat="1" x14ac:dyDescent="0.2">
      <c r="A47" s="89">
        <v>45271</v>
      </c>
      <c r="B47" s="128" t="s">
        <v>11</v>
      </c>
      <c r="C47" s="29" t="s">
        <v>1832</v>
      </c>
      <c r="D47" s="11" t="s">
        <v>29</v>
      </c>
      <c r="E47" s="86"/>
      <c r="F47" s="70">
        <v>3226154</v>
      </c>
      <c r="G47" s="1"/>
      <c r="H47" s="1"/>
      <c r="O47" s="1"/>
    </row>
    <row r="48" spans="1:15" s="2" customFormat="1" x14ac:dyDescent="0.2">
      <c r="A48" s="89">
        <v>45271</v>
      </c>
      <c r="B48" s="128" t="s">
        <v>11</v>
      </c>
      <c r="C48" s="29" t="s">
        <v>284</v>
      </c>
      <c r="D48" s="11" t="s">
        <v>29</v>
      </c>
      <c r="E48" s="86"/>
      <c r="F48" s="70">
        <v>1757603</v>
      </c>
      <c r="G48" s="1"/>
      <c r="H48" s="1"/>
      <c r="O48" s="1"/>
    </row>
    <row r="49" spans="1:15" s="2" customFormat="1" x14ac:dyDescent="0.2">
      <c r="A49" s="89">
        <v>45271</v>
      </c>
      <c r="B49" s="128" t="s">
        <v>11</v>
      </c>
      <c r="C49" s="29" t="s">
        <v>109</v>
      </c>
      <c r="D49" s="11" t="s">
        <v>29</v>
      </c>
      <c r="E49" s="86"/>
      <c r="F49" s="70">
        <v>1032678</v>
      </c>
      <c r="G49" s="1"/>
      <c r="H49" s="1"/>
      <c r="O49" s="1"/>
    </row>
    <row r="50" spans="1:15" s="2" customFormat="1" x14ac:dyDescent="0.2">
      <c r="A50" s="89">
        <v>45271</v>
      </c>
      <c r="B50" s="128" t="s">
        <v>11</v>
      </c>
      <c r="C50" s="29" t="s">
        <v>1856</v>
      </c>
      <c r="D50" s="11" t="s">
        <v>29</v>
      </c>
      <c r="E50" s="86"/>
      <c r="F50" s="70">
        <v>70472</v>
      </c>
      <c r="G50" s="1"/>
      <c r="H50" s="1"/>
      <c r="O50" s="1"/>
    </row>
    <row r="51" spans="1:15" s="2" customFormat="1" x14ac:dyDescent="0.2">
      <c r="A51" s="89">
        <v>45271</v>
      </c>
      <c r="B51" s="128" t="s">
        <v>11</v>
      </c>
      <c r="C51" s="29" t="s">
        <v>729</v>
      </c>
      <c r="D51" s="11" t="s">
        <v>29</v>
      </c>
      <c r="E51" s="86"/>
      <c r="F51" s="70">
        <v>33051</v>
      </c>
      <c r="G51" s="1"/>
      <c r="H51" s="1"/>
      <c r="O51" s="1"/>
    </row>
    <row r="52" spans="1:15" s="2" customFormat="1" x14ac:dyDescent="0.2">
      <c r="A52" s="89">
        <v>45271</v>
      </c>
      <c r="B52" s="128" t="s">
        <v>11</v>
      </c>
      <c r="C52" s="29" t="s">
        <v>166</v>
      </c>
      <c r="D52" s="11" t="s">
        <v>29</v>
      </c>
      <c r="E52" s="86"/>
      <c r="F52" s="70">
        <v>11269</v>
      </c>
      <c r="G52" s="1"/>
      <c r="H52" s="1"/>
      <c r="O52" s="1"/>
    </row>
    <row r="53" spans="1:15" s="2" customFormat="1" x14ac:dyDescent="0.2">
      <c r="A53" s="89">
        <v>45271</v>
      </c>
      <c r="B53" s="128" t="s">
        <v>11</v>
      </c>
      <c r="C53" s="29" t="s">
        <v>585</v>
      </c>
      <c r="D53" s="11" t="s">
        <v>29</v>
      </c>
      <c r="E53" s="86"/>
      <c r="F53" s="70">
        <v>30601</v>
      </c>
      <c r="G53" s="1"/>
      <c r="H53" s="1"/>
      <c r="O53" s="1"/>
    </row>
    <row r="54" spans="1:15" s="2" customFormat="1" x14ac:dyDescent="0.2">
      <c r="A54" s="89">
        <v>45271</v>
      </c>
      <c r="B54" s="128" t="s">
        <v>11</v>
      </c>
      <c r="C54" s="29" t="s">
        <v>436</v>
      </c>
      <c r="D54" s="11" t="s">
        <v>29</v>
      </c>
      <c r="E54" s="86"/>
      <c r="F54" s="70">
        <v>73573</v>
      </c>
      <c r="G54" s="1"/>
      <c r="H54" s="1"/>
      <c r="O54" s="1"/>
    </row>
    <row r="55" spans="1:15" s="2" customFormat="1" x14ac:dyDescent="0.2">
      <c r="A55" s="89">
        <v>45271</v>
      </c>
      <c r="B55" s="128" t="s">
        <v>11</v>
      </c>
      <c r="C55" s="29" t="s">
        <v>210</v>
      </c>
      <c r="D55" s="11" t="s">
        <v>29</v>
      </c>
      <c r="E55" s="86"/>
      <c r="F55" s="70">
        <v>98235</v>
      </c>
      <c r="G55" s="1"/>
      <c r="H55" s="1"/>
      <c r="O55" s="1"/>
    </row>
    <row r="56" spans="1:15" s="2" customFormat="1" x14ac:dyDescent="0.2">
      <c r="A56" s="89">
        <v>45271</v>
      </c>
      <c r="B56" s="128" t="s">
        <v>11</v>
      </c>
      <c r="C56" s="29" t="s">
        <v>650</v>
      </c>
      <c r="D56" s="11" t="s">
        <v>29</v>
      </c>
      <c r="E56" s="86"/>
      <c r="F56" s="86">
        <v>826877</v>
      </c>
      <c r="G56" s="1"/>
      <c r="H56" s="1"/>
      <c r="O56" s="1"/>
    </row>
    <row r="57" spans="1:15" s="2" customFormat="1" x14ac:dyDescent="0.2">
      <c r="A57" s="89">
        <v>45271</v>
      </c>
      <c r="B57" s="128" t="s">
        <v>11</v>
      </c>
      <c r="C57" s="29" t="s">
        <v>442</v>
      </c>
      <c r="D57" s="11" t="s">
        <v>29</v>
      </c>
      <c r="E57" s="86"/>
      <c r="F57" s="70">
        <v>1842235</v>
      </c>
      <c r="G57" s="1"/>
      <c r="H57" s="1"/>
      <c r="O57" s="1"/>
    </row>
    <row r="58" spans="1:15" s="2" customFormat="1" x14ac:dyDescent="0.2">
      <c r="A58" s="89">
        <v>45271</v>
      </c>
      <c r="B58" s="128" t="s">
        <v>11</v>
      </c>
      <c r="C58" s="29" t="s">
        <v>57</v>
      </c>
      <c r="D58" s="11" t="s">
        <v>29</v>
      </c>
      <c r="E58" s="86"/>
      <c r="F58" s="70">
        <v>1500000</v>
      </c>
      <c r="G58" s="1"/>
      <c r="H58" s="1"/>
      <c r="O58" s="1"/>
    </row>
    <row r="59" spans="1:15" s="2" customFormat="1" x14ac:dyDescent="0.2">
      <c r="A59" s="89">
        <v>45271</v>
      </c>
      <c r="B59" s="128" t="s">
        <v>11</v>
      </c>
      <c r="C59" s="29" t="s">
        <v>279</v>
      </c>
      <c r="D59" s="11" t="s">
        <v>29</v>
      </c>
      <c r="E59" s="86"/>
      <c r="F59" s="70">
        <v>951655</v>
      </c>
      <c r="G59" s="1"/>
      <c r="H59" s="1"/>
      <c r="O59" s="1"/>
    </row>
    <row r="60" spans="1:15" s="2" customFormat="1" x14ac:dyDescent="0.2">
      <c r="A60" s="89">
        <v>45271</v>
      </c>
      <c r="B60" s="128" t="s">
        <v>11</v>
      </c>
      <c r="C60" s="29" t="s">
        <v>33</v>
      </c>
      <c r="D60" s="11" t="s">
        <v>29</v>
      </c>
      <c r="E60" s="86"/>
      <c r="F60" s="70">
        <v>356972</v>
      </c>
      <c r="G60" s="1"/>
      <c r="H60" s="1"/>
      <c r="O60" s="1"/>
    </row>
    <row r="61" spans="1:15" s="2" customFormat="1" x14ac:dyDescent="0.2">
      <c r="A61" s="89">
        <v>45271</v>
      </c>
      <c r="B61" s="128" t="s">
        <v>11</v>
      </c>
      <c r="C61" s="29" t="s">
        <v>1859</v>
      </c>
      <c r="D61" s="11" t="s">
        <v>29</v>
      </c>
      <c r="E61" s="86"/>
      <c r="F61" s="86">
        <v>408188.08</v>
      </c>
      <c r="G61" s="1"/>
      <c r="H61" s="1"/>
      <c r="O61" s="1"/>
    </row>
    <row r="62" spans="1:15" s="2" customFormat="1" x14ac:dyDescent="0.2">
      <c r="A62" s="89">
        <v>45271</v>
      </c>
      <c r="B62" s="128" t="s">
        <v>11</v>
      </c>
      <c r="C62" s="29" t="s">
        <v>15</v>
      </c>
      <c r="D62" s="11" t="s">
        <v>29</v>
      </c>
      <c r="E62" s="86"/>
      <c r="F62" s="86">
        <v>27723.03</v>
      </c>
      <c r="G62" s="1"/>
      <c r="H62" s="1"/>
      <c r="O62" s="1"/>
    </row>
    <row r="63" spans="1:15" s="2" customFormat="1" x14ac:dyDescent="0.2">
      <c r="A63" s="32"/>
      <c r="B63" s="33"/>
      <c r="C63" s="14"/>
      <c r="D63" s="34"/>
      <c r="E63" s="16">
        <f>SUM(E27:E62)</f>
        <v>8951407.290000001</v>
      </c>
      <c r="F63" s="16">
        <f>SUM(F27:F62)</f>
        <v>80061101.550000012</v>
      </c>
      <c r="G63" s="1"/>
      <c r="H63" s="1"/>
      <c r="I63" s="1"/>
      <c r="J63" s="38">
        <v>71109694.260000005</v>
      </c>
      <c r="L63" s="92">
        <f>E64-J63</f>
        <v>0</v>
      </c>
      <c r="O63" s="1"/>
    </row>
    <row r="64" spans="1:15" s="2" customFormat="1" x14ac:dyDescent="0.2">
      <c r="A64" s="36"/>
      <c r="B64" s="28" t="s">
        <v>11</v>
      </c>
      <c r="C64" s="19" t="s">
        <v>65</v>
      </c>
      <c r="D64" s="37"/>
      <c r="E64" s="38">
        <f>F63-E63</f>
        <v>71109694.260000005</v>
      </c>
      <c r="F64" s="22"/>
      <c r="G64" s="1"/>
      <c r="H64" s="1"/>
      <c r="I64" s="1"/>
      <c r="J64" s="70"/>
      <c r="K64" s="70"/>
      <c r="L64" s="70"/>
      <c r="O64" s="1"/>
    </row>
    <row r="65" spans="1:15" s="2" customFormat="1" x14ac:dyDescent="0.2">
      <c r="A65" s="36"/>
      <c r="B65" s="28" t="s">
        <v>66</v>
      </c>
      <c r="C65" s="19" t="s">
        <v>67</v>
      </c>
      <c r="D65" s="37"/>
      <c r="E65" s="38">
        <v>6500000</v>
      </c>
      <c r="F65" s="22"/>
      <c r="G65" s="1"/>
      <c r="H65" s="1"/>
      <c r="I65" s="70"/>
      <c r="J65" s="70"/>
      <c r="K65" s="70"/>
      <c r="L65" s="70"/>
      <c r="O65" s="1"/>
    </row>
    <row r="66" spans="1:15" s="2" customFormat="1" x14ac:dyDescent="0.2">
      <c r="A66" s="36"/>
      <c r="B66" s="28" t="s">
        <v>66</v>
      </c>
      <c r="C66" s="43" t="s">
        <v>1457</v>
      </c>
      <c r="D66" s="43"/>
      <c r="E66" s="12">
        <f>275000000+75000000+50000000</f>
        <v>400000000</v>
      </c>
      <c r="F66" s="22"/>
      <c r="G66" s="1"/>
      <c r="H66" s="1"/>
      <c r="I66" s="70"/>
      <c r="J66" s="45">
        <v>580.91</v>
      </c>
      <c r="K66" s="46"/>
      <c r="L66" s="46"/>
      <c r="O66" s="1"/>
    </row>
    <row r="67" spans="1:15" s="2" customFormat="1" ht="15" x14ac:dyDescent="0.25">
      <c r="A67" s="36"/>
      <c r="B67" s="28"/>
      <c r="C67" s="44" t="s">
        <v>1541</v>
      </c>
      <c r="D67" s="43"/>
      <c r="E67" s="7">
        <f>+E66+E64+E65</f>
        <v>477609694.25999999</v>
      </c>
      <c r="F67" s="22"/>
      <c r="G67" s="1"/>
      <c r="H67" s="1"/>
      <c r="I67" s="103" t="s">
        <v>69</v>
      </c>
      <c r="J67" s="45">
        <v>-98.34</v>
      </c>
      <c r="K67" s="46"/>
      <c r="L67" s="46"/>
      <c r="O67" s="1"/>
    </row>
    <row r="68" spans="1:15" s="2" customFormat="1" ht="15" x14ac:dyDescent="0.25">
      <c r="A68" s="24"/>
      <c r="B68" s="1"/>
      <c r="C68" s="44" t="s">
        <v>1510</v>
      </c>
      <c r="D68" s="25"/>
      <c r="E68" s="156">
        <f>+J27-E65+I23-J23</f>
        <v>22390305.739999998</v>
      </c>
      <c r="G68" s="1"/>
      <c r="H68" s="1"/>
      <c r="I68" s="35">
        <v>1</v>
      </c>
      <c r="J68" s="45">
        <v>98.34</v>
      </c>
      <c r="K68" s="46">
        <f>+J69-D71</f>
        <v>0</v>
      </c>
      <c r="O68" s="1"/>
    </row>
    <row r="69" spans="1:15" s="124" customFormat="1" ht="12.75" customHeight="1" x14ac:dyDescent="0.2">
      <c r="A69" s="24"/>
      <c r="B69" s="1"/>
      <c r="C69" s="56"/>
      <c r="D69" s="56"/>
      <c r="E69" s="104"/>
      <c r="F69" s="2"/>
      <c r="G69" s="166"/>
      <c r="H69" s="166"/>
      <c r="I69" s="70"/>
      <c r="J69" s="49">
        <f>SUM(J66:J68)</f>
        <v>580.91</v>
      </c>
      <c r="K69" s="46"/>
      <c r="L69" s="46"/>
    </row>
    <row r="70" spans="1:15" s="124" customFormat="1" ht="12.75" customHeight="1" x14ac:dyDescent="0.2">
      <c r="A70" s="24"/>
      <c r="B70" s="1"/>
      <c r="C70" s="78" t="s">
        <v>575</v>
      </c>
      <c r="D70" s="48" t="s">
        <v>576</v>
      </c>
      <c r="E70" s="104"/>
      <c r="F70" s="2"/>
      <c r="G70" s="168"/>
      <c r="H70" s="168"/>
      <c r="I70" s="167"/>
      <c r="J70" s="167"/>
      <c r="K70" s="168"/>
    </row>
    <row r="71" spans="1:15" s="124" customFormat="1" ht="12.75" customHeight="1" x14ac:dyDescent="0.2">
      <c r="A71" s="24"/>
      <c r="B71" s="1"/>
      <c r="C71" s="47" t="s">
        <v>570</v>
      </c>
      <c r="D71" s="111">
        <v>580.91</v>
      </c>
      <c r="E71" s="104"/>
      <c r="F71" s="2"/>
      <c r="G71" s="168"/>
      <c r="H71" s="168"/>
      <c r="I71" s="110" t="s">
        <v>581</v>
      </c>
      <c r="J71" s="167"/>
      <c r="K71" s="168"/>
    </row>
    <row r="72" spans="1:15" s="124" customFormat="1" ht="12.75" customHeight="1" x14ac:dyDescent="0.2">
      <c r="A72" s="24"/>
      <c r="B72" s="1"/>
      <c r="C72" s="47" t="s">
        <v>931</v>
      </c>
      <c r="D72" s="111">
        <v>119.02</v>
      </c>
      <c r="E72" s="104"/>
      <c r="F72" s="2"/>
      <c r="G72" s="168"/>
      <c r="H72" s="168"/>
      <c r="I72" s="110" t="s">
        <v>580</v>
      </c>
      <c r="J72" s="167"/>
      <c r="K72" s="168"/>
    </row>
    <row r="73" spans="1:15" s="124" customFormat="1" ht="12.75" customHeight="1" x14ac:dyDescent="0.2">
      <c r="A73" s="24"/>
      <c r="B73" s="1"/>
      <c r="C73" s="47" t="s">
        <v>572</v>
      </c>
      <c r="D73" s="111">
        <f>+D95/100000</f>
        <v>206.70718070000001</v>
      </c>
      <c r="E73" s="104"/>
      <c r="F73" s="2"/>
      <c r="G73" s="166"/>
      <c r="H73" s="166"/>
      <c r="I73" s="90" t="s">
        <v>587</v>
      </c>
      <c r="J73" s="167"/>
      <c r="K73" s="168"/>
    </row>
    <row r="74" spans="1:15" s="2" customFormat="1" x14ac:dyDescent="0.2">
      <c r="A74" s="24"/>
      <c r="B74" s="1"/>
      <c r="C74" s="108" t="s">
        <v>578</v>
      </c>
      <c r="D74" s="48">
        <f>SUM(D71:D73)</f>
        <v>906.63718069999993</v>
      </c>
      <c r="E74" s="104"/>
      <c r="G74" s="30"/>
      <c r="H74" s="30"/>
      <c r="J74" s="13"/>
      <c r="K74" s="13"/>
    </row>
    <row r="75" spans="1:15" s="70" customFormat="1" x14ac:dyDescent="0.2">
      <c r="A75" s="24"/>
      <c r="B75" s="1"/>
      <c r="C75" s="47"/>
      <c r="D75" s="107"/>
      <c r="E75" s="104"/>
      <c r="F75" s="2"/>
      <c r="G75" s="30"/>
      <c r="H75" s="30"/>
      <c r="I75" s="2"/>
    </row>
    <row r="76" spans="1:15" s="70" customFormat="1" x14ac:dyDescent="0.2">
      <c r="A76" s="24"/>
      <c r="B76" s="1"/>
      <c r="C76" s="47" t="s">
        <v>932</v>
      </c>
      <c r="D76" s="111">
        <v>172.85</v>
      </c>
      <c r="E76" s="104"/>
      <c r="F76" s="2"/>
      <c r="G76" s="30"/>
      <c r="H76" s="30"/>
      <c r="I76" s="110" t="s">
        <v>581</v>
      </c>
    </row>
    <row r="77" spans="1:15" s="70" customFormat="1" x14ac:dyDescent="0.2">
      <c r="A77" s="24"/>
      <c r="B77" s="1"/>
      <c r="C77" s="136" t="s">
        <v>1142</v>
      </c>
      <c r="D77" s="111">
        <v>301.18</v>
      </c>
      <c r="E77" s="104"/>
      <c r="F77" s="2"/>
      <c r="G77" s="30"/>
      <c r="H77" s="30"/>
      <c r="I77" s="110" t="s">
        <v>581</v>
      </c>
    </row>
    <row r="78" spans="1:15" s="70" customFormat="1" x14ac:dyDescent="0.2">
      <c r="A78" s="24"/>
      <c r="B78" s="1"/>
      <c r="C78" s="78" t="s">
        <v>579</v>
      </c>
      <c r="D78" s="109">
        <f>D76+D77</f>
        <v>474.03</v>
      </c>
      <c r="E78" s="104"/>
      <c r="F78" s="2"/>
      <c r="G78" s="30"/>
      <c r="H78" s="30"/>
    </row>
    <row r="79" spans="1:15" s="70" customFormat="1" x14ac:dyDescent="0.2">
      <c r="A79" s="24"/>
      <c r="B79" s="1"/>
      <c r="C79" s="105"/>
      <c r="D79" s="106"/>
      <c r="E79" s="104"/>
      <c r="F79" s="2"/>
      <c r="G79" s="30"/>
      <c r="H79" s="30"/>
      <c r="J79" s="2"/>
      <c r="K79" s="221" t="str">
        <f>"FROM ( 01-12-2023 to "&amp;TEXT(A5,"dd-mm-yyyy")&amp;" )"</f>
        <v>FROM ( 01-12-2023 to 11-12-2023 )</v>
      </c>
      <c r="L79" s="221"/>
      <c r="M79" s="2"/>
      <c r="N79" s="2"/>
    </row>
    <row r="80" spans="1:15" s="70" customFormat="1" x14ac:dyDescent="0.2">
      <c r="A80" s="24"/>
      <c r="B80" s="1"/>
      <c r="C80" s="78" t="s">
        <v>577</v>
      </c>
      <c r="D80" s="109">
        <f>D71+D78</f>
        <v>1054.94</v>
      </c>
      <c r="E80" s="104"/>
      <c r="F80" s="2"/>
      <c r="G80" s="30"/>
      <c r="H80" s="30"/>
      <c r="J80" s="113"/>
      <c r="K80" s="113" t="s">
        <v>709</v>
      </c>
      <c r="L80" s="113" t="s">
        <v>710</v>
      </c>
      <c r="M80" s="113" t="s">
        <v>711</v>
      </c>
      <c r="N80" s="113" t="s">
        <v>712</v>
      </c>
    </row>
    <row r="81" spans="1:15" s="70" customFormat="1" x14ac:dyDescent="0.2">
      <c r="A81" s="24"/>
      <c r="B81" s="1"/>
      <c r="C81" s="56"/>
      <c r="D81" s="56"/>
      <c r="E81" s="104"/>
      <c r="F81" s="2"/>
      <c r="G81" s="30"/>
      <c r="H81" s="30"/>
      <c r="J81" s="113" t="s">
        <v>1860</v>
      </c>
      <c r="K81" s="115">
        <v>191.86</v>
      </c>
      <c r="L81" s="115">
        <v>93.65</v>
      </c>
      <c r="M81" s="115">
        <v>0</v>
      </c>
      <c r="N81" s="113">
        <f>+K81+M81-L81</f>
        <v>98.210000000000008</v>
      </c>
    </row>
    <row r="82" spans="1:15" s="70" customFormat="1" ht="38.25" x14ac:dyDescent="0.2">
      <c r="A82" s="24"/>
      <c r="B82" s="1"/>
      <c r="C82" s="79" t="str">
        <f>"Particulars ( 01-12-2023 to "&amp;TEXT(A5,"dd-mm-yyyy")&amp;" )"</f>
        <v>Particulars ( 01-12-2023 to 11-12-2023 )</v>
      </c>
      <c r="D82" s="79" t="s">
        <v>7</v>
      </c>
      <c r="E82" s="80" t="s">
        <v>73</v>
      </c>
      <c r="F82" s="80" t="s">
        <v>74</v>
      </c>
      <c r="G82" s="81" t="s">
        <v>75</v>
      </c>
      <c r="H82" s="80" t="s">
        <v>76</v>
      </c>
      <c r="J82" s="113" t="s">
        <v>1861</v>
      </c>
      <c r="K82" s="115">
        <v>1332.26</v>
      </c>
      <c r="L82" s="115">
        <v>213.64</v>
      </c>
      <c r="M82" s="115">
        <v>401.77</v>
      </c>
      <c r="N82" s="113">
        <f>+K82+M82-L82</f>
        <v>1520.3899999999999</v>
      </c>
    </row>
    <row r="83" spans="1:15" s="70" customFormat="1" x14ac:dyDescent="0.2">
      <c r="A83" s="24"/>
      <c r="B83" s="1"/>
      <c r="C83" s="50" t="s">
        <v>444</v>
      </c>
      <c r="D83" s="55">
        <f>+K83</f>
        <v>361.11</v>
      </c>
      <c r="E83" s="55">
        <f>+M83</f>
        <v>172.85</v>
      </c>
      <c r="F83" s="55">
        <f>+L83</f>
        <v>119.02</v>
      </c>
      <c r="G83" s="55">
        <f>+D83+E83-F83</f>
        <v>414.94000000000005</v>
      </c>
      <c r="H83" s="55">
        <f>1500-G83</f>
        <v>1085.06</v>
      </c>
      <c r="J83" s="113" t="s">
        <v>707</v>
      </c>
      <c r="K83" s="115">
        <v>361.11</v>
      </c>
      <c r="L83" s="115">
        <v>119.02</v>
      </c>
      <c r="M83" s="115">
        <v>172.85</v>
      </c>
      <c r="N83" s="113">
        <f>+K83+M83-L83</f>
        <v>414.94000000000005</v>
      </c>
    </row>
    <row r="84" spans="1:15" s="70" customFormat="1" ht="12.75" customHeight="1" x14ac:dyDescent="0.2">
      <c r="A84" s="24"/>
      <c r="B84" s="1"/>
      <c r="C84" s="50" t="s">
        <v>71</v>
      </c>
      <c r="D84" s="55">
        <f>+K81+K82</f>
        <v>1524.12</v>
      </c>
      <c r="E84" s="55">
        <f>+M81+M82</f>
        <v>401.77</v>
      </c>
      <c r="F84" s="55">
        <f>+L81+L82</f>
        <v>307.28999999999996</v>
      </c>
      <c r="G84" s="55">
        <f>+D84+E84-F84</f>
        <v>1618.6</v>
      </c>
      <c r="H84" s="55">
        <f>1500+700-G84</f>
        <v>581.40000000000009</v>
      </c>
      <c r="J84" s="2"/>
      <c r="K84" s="118">
        <f>SUM(K81:K83)</f>
        <v>1885.23</v>
      </c>
      <c r="L84" s="118">
        <f>SUM(L81:L83)</f>
        <v>426.30999999999995</v>
      </c>
      <c r="M84" s="118">
        <f>SUM(M81:M83)</f>
        <v>574.62</v>
      </c>
      <c r="N84" s="118">
        <f>SUM(N81:N83)</f>
        <v>2033.54</v>
      </c>
    </row>
    <row r="85" spans="1:15" s="70" customFormat="1" ht="12.75" customHeight="1" x14ac:dyDescent="0.2">
      <c r="A85" s="24"/>
      <c r="B85" s="1"/>
      <c r="C85" s="14"/>
      <c r="D85" s="56"/>
      <c r="E85" s="13"/>
      <c r="F85" s="2"/>
      <c r="G85" s="30"/>
      <c r="H85" s="30"/>
    </row>
    <row r="86" spans="1:15" s="70" customFormat="1" ht="12.75" customHeight="1" x14ac:dyDescent="0.2">
      <c r="A86" s="215" t="s">
        <v>80</v>
      </c>
      <c r="B86" s="216"/>
      <c r="C86" s="216"/>
      <c r="D86" s="217"/>
      <c r="E86" s="69"/>
      <c r="G86" s="30"/>
      <c r="H86" s="30"/>
    </row>
    <row r="87" spans="1:15" s="70" customFormat="1" ht="12.75" customHeight="1" x14ac:dyDescent="0.2">
      <c r="A87" s="71" t="s">
        <v>81</v>
      </c>
      <c r="B87" s="71"/>
      <c r="C87" s="72" t="s">
        <v>82</v>
      </c>
      <c r="D87" s="73" t="s">
        <v>83</v>
      </c>
      <c r="E87" s="69"/>
      <c r="G87" s="30"/>
      <c r="H87" s="30"/>
    </row>
    <row r="88" spans="1:15" s="70" customFormat="1" ht="12.75" customHeight="1" x14ac:dyDescent="0.2">
      <c r="A88" s="87">
        <v>45264</v>
      </c>
      <c r="B88" s="120" t="s">
        <v>6</v>
      </c>
      <c r="C88" s="75" t="s">
        <v>909</v>
      </c>
      <c r="D88" s="88">
        <v>13756945</v>
      </c>
      <c r="E88" s="2"/>
      <c r="F88" s="2"/>
      <c r="G88" s="30"/>
      <c r="H88" s="30"/>
      <c r="I88" s="2"/>
      <c r="J88" s="2"/>
      <c r="K88" s="2"/>
      <c r="L88" s="2"/>
      <c r="M88" s="41"/>
      <c r="N88" s="42"/>
      <c r="O88" s="2"/>
    </row>
    <row r="89" spans="1:15" s="70" customFormat="1" ht="12.75" customHeight="1" x14ac:dyDescent="0.2">
      <c r="A89" s="87">
        <v>45265</v>
      </c>
      <c r="B89" s="120" t="s">
        <v>6</v>
      </c>
      <c r="C89" s="75" t="s">
        <v>1552</v>
      </c>
      <c r="D89" s="88">
        <v>2152501.6</v>
      </c>
      <c r="E89" s="2"/>
      <c r="F89" s="2"/>
      <c r="G89" s="30"/>
      <c r="H89" s="30"/>
      <c r="I89" s="2"/>
      <c r="J89" s="2"/>
      <c r="K89" s="2"/>
      <c r="L89" s="2"/>
      <c r="M89" s="41"/>
      <c r="N89" s="42"/>
      <c r="O89" s="2"/>
    </row>
    <row r="90" spans="1:15" s="70" customFormat="1" ht="12.75" customHeight="1" x14ac:dyDescent="0.2">
      <c r="A90" s="87">
        <v>45267</v>
      </c>
      <c r="B90" s="120" t="s">
        <v>6</v>
      </c>
      <c r="C90" s="75" t="s">
        <v>784</v>
      </c>
      <c r="D90" s="88">
        <v>179811</v>
      </c>
      <c r="E90" s="2"/>
      <c r="F90" s="2"/>
      <c r="G90" s="30"/>
      <c r="H90" s="30"/>
      <c r="I90" s="2"/>
      <c r="J90" s="2"/>
      <c r="K90" s="2"/>
      <c r="L90" s="2"/>
      <c r="M90" s="41"/>
      <c r="N90" s="42"/>
      <c r="O90" s="2"/>
    </row>
    <row r="91" spans="1:15" s="70" customFormat="1" ht="12.75" customHeight="1" x14ac:dyDescent="0.2">
      <c r="A91" s="87">
        <v>45267</v>
      </c>
      <c r="B91" s="120" t="s">
        <v>6</v>
      </c>
      <c r="C91" s="75" t="s">
        <v>784</v>
      </c>
      <c r="D91" s="88">
        <v>302254</v>
      </c>
      <c r="E91" s="2"/>
      <c r="F91" s="2"/>
      <c r="G91" s="30"/>
      <c r="H91" s="30"/>
      <c r="I91" s="2"/>
      <c r="J91" s="2"/>
      <c r="K91" s="2"/>
      <c r="L91" s="2"/>
      <c r="M91" s="41"/>
      <c r="N91" s="42"/>
      <c r="O91" s="2"/>
    </row>
    <row r="92" spans="1:15" s="70" customFormat="1" ht="12.75" customHeight="1" x14ac:dyDescent="0.2">
      <c r="A92" s="87">
        <v>45268</v>
      </c>
      <c r="B92" s="120" t="s">
        <v>6</v>
      </c>
      <c r="C92" s="75" t="s">
        <v>1789</v>
      </c>
      <c r="D92" s="88">
        <v>4000249.47</v>
      </c>
      <c r="E92" s="2"/>
      <c r="F92" s="2"/>
      <c r="G92" s="30"/>
      <c r="H92" s="30"/>
      <c r="I92" s="2"/>
      <c r="J92" s="2"/>
      <c r="K92" s="2"/>
      <c r="L92" s="2"/>
      <c r="M92" s="41"/>
      <c r="N92" s="42"/>
      <c r="O92" s="2"/>
    </row>
    <row r="93" spans="1:15" s="70" customFormat="1" ht="12.75" customHeight="1" x14ac:dyDescent="0.2">
      <c r="A93" s="87">
        <v>45269</v>
      </c>
      <c r="B93" s="120" t="s">
        <v>6</v>
      </c>
      <c r="C93" s="75" t="s">
        <v>270</v>
      </c>
      <c r="D93" s="88">
        <v>182684</v>
      </c>
      <c r="E93" s="2"/>
      <c r="F93" s="2"/>
      <c r="G93" s="30"/>
      <c r="H93" s="30"/>
      <c r="I93" s="2"/>
      <c r="J93" s="2"/>
      <c r="K93" s="2"/>
      <c r="L93" s="2"/>
      <c r="M93" s="41"/>
      <c r="N93" s="42"/>
      <c r="O93" s="2"/>
    </row>
    <row r="94" spans="1:15" s="70" customFormat="1" ht="12.75" customHeight="1" x14ac:dyDescent="0.2">
      <c r="A94" s="87">
        <v>45269</v>
      </c>
      <c r="B94" s="120" t="s">
        <v>6</v>
      </c>
      <c r="C94" s="75" t="s">
        <v>85</v>
      </c>
      <c r="D94" s="88">
        <v>96273</v>
      </c>
      <c r="E94" s="2"/>
      <c r="F94" s="2"/>
      <c r="G94" s="30"/>
      <c r="H94" s="30"/>
      <c r="I94" s="2"/>
      <c r="J94" s="2"/>
      <c r="K94" s="2"/>
      <c r="L94" s="2"/>
      <c r="M94" s="41"/>
      <c r="N94" s="42"/>
      <c r="O94" s="2"/>
    </row>
    <row r="95" spans="1:15" s="2" customFormat="1" x14ac:dyDescent="0.2">
      <c r="A95" s="87"/>
      <c r="B95" s="74"/>
      <c r="C95" s="75"/>
      <c r="D95" s="51">
        <f>SUM(D88:D94)</f>
        <v>20670718.07</v>
      </c>
      <c r="F95" s="2" t="s">
        <v>396</v>
      </c>
      <c r="G95" s="1"/>
      <c r="H95" s="1"/>
    </row>
    <row r="96" spans="1:15" s="2" customFormat="1" x14ac:dyDescent="0.2">
      <c r="A96" s="24"/>
      <c r="B96" s="1"/>
      <c r="C96" s="14"/>
      <c r="D96" s="56"/>
      <c r="E96" s="13"/>
      <c r="G96" s="1"/>
      <c r="H96" s="1"/>
    </row>
    <row r="97" spans="1:14" s="2" customFormat="1" x14ac:dyDescent="0.2">
      <c r="A97" s="24"/>
      <c r="B97" s="1"/>
      <c r="C97" s="218" t="s">
        <v>77</v>
      </c>
      <c r="D97" s="219"/>
      <c r="E97" s="219"/>
      <c r="F97" s="220"/>
      <c r="I97" s="2" t="s">
        <v>396</v>
      </c>
    </row>
    <row r="98" spans="1:14" s="2" customFormat="1" x14ac:dyDescent="0.2">
      <c r="A98" s="24"/>
      <c r="B98" s="1"/>
      <c r="C98" s="50"/>
      <c r="D98" s="57" t="s">
        <v>78</v>
      </c>
      <c r="E98" s="58" t="s">
        <v>79</v>
      </c>
      <c r="F98" s="57" t="s">
        <v>72</v>
      </c>
      <c r="I98" s="2" t="s">
        <v>396</v>
      </c>
    </row>
    <row r="99" spans="1:14" s="2" customFormat="1" x14ac:dyDescent="0.2">
      <c r="A99" s="24"/>
      <c r="B99" s="1"/>
      <c r="C99" s="59" t="str">
        <f>"01-12-2023 to "&amp;TEXT(A5-2,"dd-mm-yyyy")</f>
        <v>01-12-2023 to 09-12-2023</v>
      </c>
      <c r="D99" s="60">
        <v>661.53</v>
      </c>
      <c r="E99" s="60">
        <v>203.79</v>
      </c>
      <c r="F99" s="61">
        <f>SUM(D99:E99)</f>
        <v>865.31999999999994</v>
      </c>
    </row>
    <row r="100" spans="1:14" s="2" customFormat="1" x14ac:dyDescent="0.2">
      <c r="A100" s="24"/>
      <c r="B100" s="1"/>
      <c r="C100" s="62" t="str">
        <f>TEXT(A5-1,"dd-mm-yyyy")</f>
        <v>10-12-2023</v>
      </c>
      <c r="D100" s="60">
        <v>0</v>
      </c>
      <c r="E100" s="60">
        <v>11.95</v>
      </c>
      <c r="F100" s="61">
        <f>SUM(D100:E100)</f>
        <v>11.95</v>
      </c>
      <c r="G100" s="1"/>
      <c r="H100" s="1"/>
      <c r="I100" s="53"/>
    </row>
    <row r="101" spans="1:14" s="2" customFormat="1" ht="13.5" thickBot="1" x14ac:dyDescent="0.25">
      <c r="A101" s="24"/>
      <c r="B101" s="1"/>
      <c r="C101" s="63" t="str">
        <f>"01-12-2023 to "&amp;TEXT(A5-1,"dd-mm-yyyy")</f>
        <v>01-12-2023 to 10-12-2023</v>
      </c>
      <c r="D101" s="64">
        <f>SUM(D99:D100)</f>
        <v>661.53</v>
      </c>
      <c r="E101" s="64">
        <f>SUM(E99:E100)</f>
        <v>215.73999999999998</v>
      </c>
      <c r="F101" s="64">
        <f>SUM(F99:F100)</f>
        <v>877.27</v>
      </c>
      <c r="G101" s="1"/>
      <c r="H101" s="1"/>
      <c r="I101" s="53"/>
    </row>
    <row r="102" spans="1:14" s="2" customFormat="1" ht="13.5" thickTop="1" x14ac:dyDescent="0.2">
      <c r="A102" s="24"/>
      <c r="B102" s="1"/>
      <c r="C102" s="62"/>
      <c r="D102" s="65"/>
      <c r="E102" s="66"/>
      <c r="F102" s="67"/>
      <c r="M102" s="1"/>
      <c r="N102" s="1"/>
    </row>
    <row r="103" spans="1:14" s="2" customFormat="1" x14ac:dyDescent="0.2">
      <c r="A103" s="24"/>
      <c r="B103" s="1"/>
      <c r="C103" s="62" t="str">
        <f>"01-04-2023 to " &amp;C100</f>
        <v>01-04-2023 to 10-12-2023</v>
      </c>
      <c r="D103" s="68">
        <f>+D101+32234.22</f>
        <v>32895.75</v>
      </c>
      <c r="E103" s="68">
        <f>+E101+3134.59</f>
        <v>3350.33</v>
      </c>
      <c r="F103" s="68">
        <f>+F101+35368.81</f>
        <v>36246.079999999994</v>
      </c>
      <c r="G103" s="1"/>
      <c r="H103" s="1"/>
      <c r="M103" s="1"/>
      <c r="N103" s="1"/>
    </row>
    <row r="104" spans="1:14" s="2" customFormat="1" x14ac:dyDescent="0.2">
      <c r="A104" s="24"/>
      <c r="B104" s="1"/>
      <c r="C104" s="52"/>
      <c r="D104" s="85"/>
      <c r="E104" s="53"/>
      <c r="F104" s="53"/>
      <c r="G104" s="1"/>
      <c r="H104" s="1"/>
      <c r="M104" s="1"/>
      <c r="N104" s="1"/>
    </row>
    <row r="105" spans="1:14" s="2" customFormat="1" x14ac:dyDescent="0.2">
      <c r="A105" s="24"/>
      <c r="B105" s="1"/>
      <c r="C105" s="52"/>
      <c r="D105" s="85"/>
      <c r="E105" s="53"/>
      <c r="F105" s="53"/>
      <c r="G105" s="1"/>
      <c r="H105" s="1"/>
      <c r="M105" s="1"/>
      <c r="N105" s="1"/>
    </row>
    <row r="106" spans="1:14" s="2" customFormat="1" x14ac:dyDescent="0.2">
      <c r="A106" s="24"/>
      <c r="B106" s="1"/>
      <c r="C106" s="52"/>
      <c r="D106" s="85"/>
      <c r="E106" s="53"/>
      <c r="F106" s="53"/>
      <c r="G106" s="1"/>
      <c r="H106" s="1"/>
      <c r="M106" s="1"/>
      <c r="N106" s="1"/>
    </row>
    <row r="107" spans="1:14" s="2" customFormat="1" x14ac:dyDescent="0.2">
      <c r="A107" s="24"/>
      <c r="B107" s="1"/>
      <c r="C107" s="52"/>
      <c r="D107" s="85"/>
      <c r="E107" s="53"/>
      <c r="F107" s="53"/>
      <c r="G107" s="1"/>
      <c r="H107" s="1"/>
      <c r="M107" s="1"/>
      <c r="N107" s="1"/>
    </row>
    <row r="108" spans="1:14" s="2" customFormat="1" x14ac:dyDescent="0.2">
      <c r="A108" s="24"/>
      <c r="B108" s="1"/>
      <c r="C108" s="14"/>
      <c r="D108" s="25">
        <f>SUM(D105:D107)</f>
        <v>0</v>
      </c>
      <c r="E108" s="2">
        <f>SUM(E105:E107)</f>
        <v>0</v>
      </c>
      <c r="G108" s="1"/>
      <c r="H108" s="1"/>
      <c r="M108" s="1"/>
      <c r="N108" s="1"/>
    </row>
    <row r="109" spans="1:14" s="2" customFormat="1" x14ac:dyDescent="0.2">
      <c r="A109" s="24"/>
      <c r="B109" s="1"/>
      <c r="C109" s="14"/>
      <c r="D109" s="25"/>
      <c r="G109" s="1"/>
      <c r="H109" s="1"/>
      <c r="M109" s="1"/>
      <c r="N109" s="1"/>
    </row>
    <row r="110" spans="1:14" s="2" customFormat="1" x14ac:dyDescent="0.2">
      <c r="A110" s="24"/>
      <c r="B110" s="1"/>
      <c r="C110" s="14"/>
      <c r="D110" s="25"/>
      <c r="G110" s="1"/>
      <c r="H110" s="1"/>
      <c r="M110" s="1"/>
      <c r="N110" s="1"/>
    </row>
    <row r="111" spans="1:14" s="2" customFormat="1" x14ac:dyDescent="0.2">
      <c r="A111" s="24"/>
      <c r="B111" s="1"/>
      <c r="C111" s="14"/>
      <c r="D111" s="25"/>
      <c r="G111" s="1"/>
      <c r="H111" s="1"/>
      <c r="M111" s="1"/>
      <c r="N111" s="1"/>
    </row>
    <row r="112" spans="1:14" s="2" customFormat="1" x14ac:dyDescent="0.2">
      <c r="A112" s="24"/>
      <c r="B112" s="1"/>
      <c r="C112" s="14"/>
      <c r="D112" s="25"/>
      <c r="G112" s="1"/>
      <c r="H112" s="1"/>
      <c r="M112" s="1"/>
      <c r="N112" s="1"/>
    </row>
    <row r="113" spans="1:15" s="2" customFormat="1" x14ac:dyDescent="0.2">
      <c r="A113" s="24"/>
      <c r="B113" s="1"/>
      <c r="C113" s="14"/>
      <c r="D113" s="25"/>
      <c r="G113" s="1"/>
      <c r="H113" s="1"/>
      <c r="M113" s="1"/>
      <c r="N113" s="1"/>
    </row>
    <row r="114" spans="1:15" s="2" customFormat="1" x14ac:dyDescent="0.2">
      <c r="A114" s="24"/>
      <c r="B114" s="1"/>
      <c r="C114" s="14"/>
      <c r="D114" s="25"/>
      <c r="G114" s="1"/>
      <c r="H114" s="1"/>
      <c r="M114" s="1"/>
      <c r="N114" s="1"/>
    </row>
    <row r="115" spans="1:15" s="2" customFormat="1" x14ac:dyDescent="0.2">
      <c r="A115" s="24"/>
      <c r="B115" s="1"/>
      <c r="C115" s="14"/>
      <c r="D115" s="25"/>
      <c r="G115" s="1"/>
      <c r="H115" s="1"/>
      <c r="M115" s="1"/>
      <c r="N115" s="1"/>
    </row>
    <row r="116" spans="1:15" s="2" customFormat="1" x14ac:dyDescent="0.2">
      <c r="A116" s="24"/>
      <c r="B116" s="1"/>
      <c r="C116" s="14"/>
      <c r="D116" s="25"/>
      <c r="G116" s="1"/>
      <c r="H116" s="1"/>
      <c r="M116" s="1"/>
      <c r="N116" s="1"/>
    </row>
    <row r="117" spans="1:15" s="2" customFormat="1" x14ac:dyDescent="0.2">
      <c r="A117" s="24"/>
      <c r="B117" s="1"/>
      <c r="C117" s="14"/>
      <c r="D117" s="25"/>
      <c r="G117" s="1"/>
      <c r="H117" s="1"/>
      <c r="M117" s="1"/>
      <c r="N117" s="1"/>
    </row>
    <row r="118" spans="1:15" s="2" customFormat="1" x14ac:dyDescent="0.2">
      <c r="A118" s="24"/>
      <c r="B118" s="1"/>
      <c r="C118" s="14"/>
      <c r="D118" s="25"/>
      <c r="G118" s="1"/>
      <c r="H118" s="1"/>
      <c r="M118" s="1"/>
      <c r="N118" s="1"/>
    </row>
    <row r="119" spans="1:15" s="2" customFormat="1" x14ac:dyDescent="0.2">
      <c r="A119" s="24"/>
      <c r="B119" s="1"/>
      <c r="C119" s="14"/>
      <c r="D119" s="25"/>
      <c r="G119" s="1"/>
      <c r="H119" s="1"/>
      <c r="M119" s="1"/>
      <c r="N119" s="1"/>
    </row>
    <row r="120" spans="1:15" s="2" customFormat="1" x14ac:dyDescent="0.2">
      <c r="A120" s="24"/>
      <c r="B120" s="1"/>
      <c r="C120" s="14"/>
      <c r="D120" s="25"/>
      <c r="G120" s="1"/>
      <c r="H120" s="1"/>
      <c r="M120" s="1"/>
      <c r="N120" s="1"/>
    </row>
    <row r="121" spans="1:15" s="2" customFormat="1" x14ac:dyDescent="0.2">
      <c r="A121" s="24"/>
      <c r="B121" s="1"/>
      <c r="C121" s="14"/>
      <c r="D121" s="25"/>
      <c r="G121" s="1"/>
      <c r="H121" s="1"/>
      <c r="M121" s="1"/>
      <c r="N121" s="1"/>
    </row>
    <row r="122" spans="1:15" s="2" customFormat="1" x14ac:dyDescent="0.2">
      <c r="A122" s="24"/>
      <c r="B122" s="1"/>
      <c r="C122" s="14"/>
      <c r="D122" s="25"/>
      <c r="G122" s="1"/>
      <c r="H122" s="1"/>
      <c r="J122" s="1"/>
      <c r="K122" s="1"/>
      <c r="L122" s="1"/>
      <c r="M122" s="1"/>
      <c r="N122" s="1"/>
    </row>
    <row r="123" spans="1:15" s="2" customFormat="1" x14ac:dyDescent="0.2">
      <c r="A123" s="24"/>
      <c r="B123" s="1"/>
      <c r="C123" s="14"/>
      <c r="D123" s="25"/>
      <c r="G123" s="1"/>
      <c r="H123" s="1"/>
    </row>
    <row r="124" spans="1:15" s="2" customFormat="1" x14ac:dyDescent="0.2">
      <c r="A124" s="24"/>
      <c r="B124" s="1"/>
      <c r="C124" s="14"/>
      <c r="D124" s="25"/>
      <c r="G124" s="1"/>
      <c r="H124" s="1"/>
      <c r="J124" s="1"/>
      <c r="K124" s="1"/>
      <c r="L124" s="1"/>
      <c r="M124" s="1"/>
      <c r="N124" s="1"/>
    </row>
    <row r="125" spans="1:15" s="2" customFormat="1" x14ac:dyDescent="0.2">
      <c r="A125" s="24"/>
      <c r="B125" s="1"/>
      <c r="C125" s="14"/>
      <c r="D125" s="25"/>
      <c r="G125" s="54"/>
      <c r="H125" s="54"/>
      <c r="J125" s="1"/>
      <c r="K125" s="1"/>
      <c r="L125" s="1"/>
      <c r="M125" s="1"/>
      <c r="N125" s="1"/>
    </row>
    <row r="126" spans="1:15" s="2" customFormat="1" x14ac:dyDescent="0.2">
      <c r="A126" s="24"/>
      <c r="B126" s="1"/>
      <c r="C126" s="14"/>
      <c r="D126" s="25"/>
      <c r="G126" s="54"/>
      <c r="H126" s="54"/>
      <c r="J126" s="1"/>
      <c r="K126" s="1"/>
      <c r="L126" s="1"/>
      <c r="M126" s="1"/>
      <c r="N126" s="1"/>
    </row>
    <row r="127" spans="1:15" s="2" customFormat="1" x14ac:dyDescent="0.2">
      <c r="A127" s="24"/>
      <c r="B127" s="1"/>
      <c r="C127" s="14"/>
      <c r="D127" s="25"/>
      <c r="G127" s="54"/>
      <c r="H127" s="54"/>
      <c r="J127" s="1"/>
      <c r="K127" s="1"/>
      <c r="L127" s="1"/>
      <c r="M127" s="1"/>
      <c r="N127" s="1"/>
    </row>
    <row r="128" spans="1:15" s="2" customFormat="1" x14ac:dyDescent="0.2">
      <c r="A128" s="24"/>
      <c r="B128" s="1"/>
      <c r="C128" s="14"/>
      <c r="D128" s="25"/>
      <c r="G128" s="54"/>
      <c r="H128" s="54"/>
      <c r="I128" s="2" t="s">
        <v>396</v>
      </c>
      <c r="J128" s="1"/>
      <c r="K128" s="1"/>
      <c r="L128" s="1"/>
      <c r="M128" s="1"/>
      <c r="N128" s="1"/>
      <c r="O128" s="1"/>
    </row>
    <row r="129" spans="1:15" s="2" customFormat="1" x14ac:dyDescent="0.2">
      <c r="A129" s="24"/>
      <c r="B129" s="1"/>
      <c r="C129" s="14"/>
      <c r="D129" s="25"/>
      <c r="G129" s="54"/>
      <c r="H129" s="54"/>
      <c r="I129" s="53"/>
    </row>
    <row r="130" spans="1:15" s="2" customFormat="1" x14ac:dyDescent="0.2">
      <c r="A130" s="24"/>
      <c r="B130" s="1"/>
      <c r="C130" s="14"/>
      <c r="D130" s="25"/>
      <c r="G130" s="54"/>
      <c r="H130" s="54"/>
      <c r="I130" s="53" t="s">
        <v>396</v>
      </c>
      <c r="J130" s="1"/>
      <c r="K130" s="1"/>
      <c r="L130" s="1"/>
      <c r="M130" s="1"/>
      <c r="N130" s="1"/>
      <c r="O130" s="1"/>
    </row>
    <row r="131" spans="1:15" x14ac:dyDescent="0.2">
      <c r="G131" s="54"/>
      <c r="H131" s="54"/>
      <c r="I131" s="53" t="s">
        <v>396</v>
      </c>
      <c r="K131" s="42"/>
    </row>
    <row r="132" spans="1:15" s="2" customFormat="1" x14ac:dyDescent="0.2">
      <c r="A132" s="24"/>
      <c r="B132" s="1"/>
      <c r="C132" s="14"/>
      <c r="D132" s="25"/>
      <c r="G132" s="54"/>
      <c r="H132" s="54"/>
      <c r="I132" s="53"/>
      <c r="J132" s="101"/>
      <c r="K132" s="1"/>
      <c r="L132" s="1"/>
      <c r="M132" s="1"/>
      <c r="N132" s="1"/>
      <c r="O132" s="1"/>
    </row>
    <row r="133" spans="1:15" x14ac:dyDescent="0.2">
      <c r="G133" s="54"/>
      <c r="H133" s="54"/>
      <c r="I133" s="53"/>
    </row>
    <row r="134" spans="1:15" x14ac:dyDescent="0.2">
      <c r="G134" s="54"/>
      <c r="H134" s="54"/>
      <c r="I134" s="53"/>
    </row>
    <row r="135" spans="1:15" x14ac:dyDescent="0.2">
      <c r="G135" s="54"/>
      <c r="H135" s="54"/>
      <c r="I135" s="53"/>
    </row>
  </sheetData>
  <sheetProtection insertRows="0"/>
  <mergeCells count="7">
    <mergeCell ref="A1:H1"/>
    <mergeCell ref="K79:L79"/>
    <mergeCell ref="C97:F97"/>
    <mergeCell ref="A3:F3"/>
    <mergeCell ref="A9:F9"/>
    <mergeCell ref="A25:F25"/>
    <mergeCell ref="A86:D86"/>
  </mergeCells>
  <conditionalFormatting sqref="H83:H84">
    <cfRule type="cellIs" dxfId="181" priority="1" operator="lessThan">
      <formula>0</formula>
    </cfRule>
  </conditionalFormatting>
  <conditionalFormatting sqref="C27">
    <cfRule type="duplicateValues" dxfId="180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800-000000000000}">
  <sheetPr codeName="Sheet496">
    <pageSetUpPr fitToPage="1"/>
  </sheetPr>
  <dimension ref="A1:O120"/>
  <sheetViews>
    <sheetView topLeftCell="A4" zoomScaleNormal="100" workbookViewId="0">
      <selection activeCell="E36" sqref="E36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12.85546875" style="1" customWidth="1"/>
    <col min="9" max="9" width="24.85546875" style="2" bestFit="1" customWidth="1"/>
    <col min="10" max="10" width="21.5703125" style="1" bestFit="1" customWidth="1"/>
    <col min="11" max="11" width="16.85546875" style="1" bestFit="1" customWidth="1"/>
    <col min="12" max="12" width="17.28515625" style="1" bestFit="1" customWidth="1"/>
    <col min="13" max="13" width="13.5703125" style="1" bestFit="1" customWidth="1"/>
    <col min="14" max="14" width="17.42578125" style="1" bestFit="1" customWidth="1"/>
    <col min="15" max="15" width="12.85546875" style="1" bestFit="1" customWidth="1"/>
    <col min="16" max="17" width="9.140625" style="1"/>
    <col min="18" max="18" width="15.5703125" style="1" bestFit="1" customWidth="1"/>
    <col min="19" max="16384" width="9.140625" style="1"/>
  </cols>
  <sheetData>
    <row r="1" spans="1:12" ht="20.25" customHeight="1" x14ac:dyDescent="0.4">
      <c r="A1" s="212" t="s">
        <v>1862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2" ht="12.75" customHeight="1" x14ac:dyDescent="0.4">
      <c r="I2" s="112"/>
      <c r="J2" s="112"/>
    </row>
    <row r="3" spans="1:12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2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2" s="2" customFormat="1" ht="14.25" customHeight="1" x14ac:dyDescent="0.4">
      <c r="A5" s="89">
        <v>45272</v>
      </c>
      <c r="B5" s="9" t="s">
        <v>6</v>
      </c>
      <c r="C5" s="10" t="s">
        <v>7</v>
      </c>
      <c r="D5" s="11"/>
      <c r="E5" s="12">
        <v>529143.33999999985</v>
      </c>
      <c r="F5" s="12"/>
      <c r="G5" s="1"/>
      <c r="H5" s="1"/>
      <c r="I5" s="112"/>
      <c r="J5" s="112"/>
    </row>
    <row r="6" spans="1:12" s="2" customFormat="1" ht="14.25" customHeight="1" x14ac:dyDescent="0.4">
      <c r="A6" s="89">
        <v>45272</v>
      </c>
      <c r="B6" s="9" t="s">
        <v>6</v>
      </c>
      <c r="C6" s="10" t="s">
        <v>683</v>
      </c>
      <c r="D6" s="11" t="s">
        <v>13</v>
      </c>
      <c r="E6" s="12">
        <v>476908.89</v>
      </c>
      <c r="F6" s="12"/>
      <c r="G6" s="1"/>
      <c r="H6" s="1"/>
      <c r="I6" s="112"/>
      <c r="J6" s="112"/>
    </row>
    <row r="7" spans="1:12" s="2" customFormat="1" ht="14.25" customHeight="1" x14ac:dyDescent="0.4">
      <c r="A7" s="89">
        <v>45272</v>
      </c>
      <c r="B7" s="9" t="s">
        <v>6</v>
      </c>
      <c r="C7" s="10" t="s">
        <v>1101</v>
      </c>
      <c r="D7" s="11" t="s">
        <v>13</v>
      </c>
      <c r="E7" s="12">
        <v>2800000</v>
      </c>
      <c r="F7" s="12"/>
      <c r="G7" s="1"/>
      <c r="H7" s="1"/>
      <c r="I7" s="112"/>
      <c r="J7" s="112"/>
    </row>
    <row r="8" spans="1:12" s="2" customFormat="1" ht="12.75" customHeight="1" x14ac:dyDescent="0.2">
      <c r="D8" s="15" t="s">
        <v>8</v>
      </c>
      <c r="E8" s="16">
        <f>SUM(E5:E7)</f>
        <v>3806052.23</v>
      </c>
      <c r="F8" s="16">
        <f>F5</f>
        <v>0</v>
      </c>
      <c r="G8" s="1"/>
      <c r="H8" s="1"/>
      <c r="I8" s="13" t="s">
        <v>1582</v>
      </c>
      <c r="J8" s="13" t="s">
        <v>1583</v>
      </c>
    </row>
    <row r="9" spans="1:12" s="2" customFormat="1" ht="12.75" customHeight="1" x14ac:dyDescent="0.2">
      <c r="A9" s="17"/>
      <c r="B9" s="18"/>
      <c r="C9" s="19" t="s">
        <v>9</v>
      </c>
      <c r="D9" s="20"/>
      <c r="E9" s="21">
        <f>+E8-F8</f>
        <v>3806052.23</v>
      </c>
      <c r="F9" s="22"/>
      <c r="G9" s="23"/>
      <c r="H9" s="23"/>
      <c r="I9" s="2">
        <v>720701</v>
      </c>
      <c r="J9" s="2">
        <v>0</v>
      </c>
      <c r="K9" s="176">
        <f>I9-J9</f>
        <v>720701</v>
      </c>
    </row>
    <row r="10" spans="1:12" ht="12.75" customHeight="1" x14ac:dyDescent="0.4">
      <c r="I10" s="112"/>
      <c r="J10" s="112"/>
    </row>
    <row r="11" spans="1:12" ht="18" customHeight="1" x14ac:dyDescent="0.4">
      <c r="A11" s="213" t="s">
        <v>1037</v>
      </c>
      <c r="B11" s="213"/>
      <c r="C11" s="213"/>
      <c r="D11" s="213"/>
      <c r="E11" s="213"/>
      <c r="F11" s="213"/>
      <c r="I11" s="112"/>
      <c r="J11" s="169">
        <f>90000000-60000000</f>
        <v>30000000</v>
      </c>
      <c r="K11" s="169" t="s">
        <v>1508</v>
      </c>
    </row>
    <row r="12" spans="1:12" ht="12.75" customHeight="1" x14ac:dyDescent="0.4">
      <c r="A12" s="3" t="s">
        <v>1</v>
      </c>
      <c r="B12" s="4" t="s">
        <v>2</v>
      </c>
      <c r="C12" s="5"/>
      <c r="D12" s="6" t="s">
        <v>3</v>
      </c>
      <c r="E12" s="7" t="s">
        <v>4</v>
      </c>
      <c r="F12" s="7" t="s">
        <v>5</v>
      </c>
      <c r="I12" s="112"/>
      <c r="J12" s="169">
        <v>29047126.059999999</v>
      </c>
      <c r="K12" s="169" t="s">
        <v>1509</v>
      </c>
      <c r="L12" s="124"/>
    </row>
    <row r="13" spans="1:12" s="2" customFormat="1" ht="14.25" customHeight="1" x14ac:dyDescent="0.2">
      <c r="A13" s="89">
        <v>45272</v>
      </c>
      <c r="B13" s="9" t="s">
        <v>6</v>
      </c>
      <c r="C13" s="10" t="s">
        <v>7</v>
      </c>
      <c r="D13" s="11"/>
      <c r="F13" s="12">
        <v>28129255.059999999</v>
      </c>
      <c r="G13" s="1"/>
      <c r="H13" s="1"/>
      <c r="I13" s="130" t="s">
        <v>396</v>
      </c>
      <c r="J13" s="169">
        <f>+J11-J12</f>
        <v>952873.94000000134</v>
      </c>
      <c r="K13" s="169" t="s">
        <v>712</v>
      </c>
      <c r="L13" s="165" t="s">
        <v>1512</v>
      </c>
    </row>
    <row r="14" spans="1:12" s="2" customFormat="1" ht="14.25" customHeight="1" x14ac:dyDescent="0.2">
      <c r="A14" s="89">
        <v>45272</v>
      </c>
      <c r="B14" s="9" t="s">
        <v>11</v>
      </c>
      <c r="C14" s="76" t="s">
        <v>1086</v>
      </c>
      <c r="D14" s="11" t="s">
        <v>13</v>
      </c>
      <c r="E14" s="31"/>
      <c r="F14" s="31">
        <v>116000</v>
      </c>
      <c r="G14" s="1"/>
      <c r="H14" s="1"/>
      <c r="I14" s="130"/>
      <c r="J14" s="169"/>
      <c r="K14" s="169"/>
      <c r="L14" s="165"/>
    </row>
    <row r="15" spans="1:12" s="2" customFormat="1" ht="14.25" customHeight="1" x14ac:dyDescent="0.2">
      <c r="A15" s="89">
        <v>45272</v>
      </c>
      <c r="B15" s="9" t="s">
        <v>11</v>
      </c>
      <c r="C15" s="76" t="s">
        <v>1209</v>
      </c>
      <c r="D15" s="11" t="s">
        <v>29</v>
      </c>
      <c r="F15" s="2">
        <v>33431</v>
      </c>
      <c r="G15" s="1"/>
      <c r="H15" s="1"/>
      <c r="I15" s="130"/>
      <c r="J15" s="169"/>
      <c r="K15" s="169"/>
      <c r="L15" s="165"/>
    </row>
    <row r="16" spans="1:12" s="2" customFormat="1" ht="14.25" customHeight="1" x14ac:dyDescent="0.2">
      <c r="A16" s="89">
        <v>45272</v>
      </c>
      <c r="B16" s="9" t="s">
        <v>11</v>
      </c>
      <c r="C16" s="76" t="s">
        <v>482</v>
      </c>
      <c r="D16" s="11" t="s">
        <v>29</v>
      </c>
      <c r="F16" s="2">
        <v>26585</v>
      </c>
      <c r="G16" s="1"/>
      <c r="H16" s="1"/>
      <c r="I16" s="130"/>
      <c r="J16" s="169"/>
      <c r="K16" s="169"/>
      <c r="L16" s="165"/>
    </row>
    <row r="17" spans="1:15" s="2" customFormat="1" ht="14.25" customHeight="1" x14ac:dyDescent="0.2">
      <c r="A17" s="89">
        <v>45272</v>
      </c>
      <c r="B17" s="9" t="s">
        <v>11</v>
      </c>
      <c r="C17" s="76" t="s">
        <v>131</v>
      </c>
      <c r="D17" s="11" t="s">
        <v>29</v>
      </c>
      <c r="F17" s="2">
        <v>21154</v>
      </c>
      <c r="G17" s="1"/>
      <c r="H17" s="1"/>
      <c r="I17" s="130"/>
      <c r="J17" s="169"/>
      <c r="K17" s="169"/>
      <c r="L17" s="165"/>
    </row>
    <row r="18" spans="1:15" s="2" customFormat="1" ht="14.25" customHeight="1" x14ac:dyDescent="0.2">
      <c r="D18" s="11" t="s">
        <v>8</v>
      </c>
      <c r="E18" s="16">
        <f>SUM(E14:E17)</f>
        <v>0</v>
      </c>
      <c r="F18" s="16">
        <f>SUM(F13:F17)</f>
        <v>28326425.059999999</v>
      </c>
      <c r="G18" s="1"/>
      <c r="H18" s="1"/>
      <c r="I18" s="143"/>
      <c r="J18" s="130"/>
      <c r="K18" s="143"/>
      <c r="L18" s="143"/>
      <c r="M18" s="143"/>
      <c r="N18" s="143"/>
    </row>
    <row r="19" spans="1:15" s="2" customFormat="1" ht="14.25" customHeight="1" x14ac:dyDescent="0.4">
      <c r="A19" s="17"/>
      <c r="B19" s="18"/>
      <c r="C19" s="96" t="s">
        <v>9</v>
      </c>
      <c r="D19" s="20"/>
      <c r="E19" s="21">
        <f>+F18-E18</f>
        <v>28326425.059999999</v>
      </c>
      <c r="G19" s="1"/>
      <c r="H19" s="1"/>
      <c r="J19" s="112"/>
      <c r="K19" s="153" t="s">
        <v>779</v>
      </c>
    </row>
    <row r="20" spans="1:15" s="2" customFormat="1" ht="14.25" customHeight="1" x14ac:dyDescent="0.2">
      <c r="A20" s="36"/>
      <c r="B20" s="28" t="s">
        <v>66</v>
      </c>
      <c r="C20" s="43" t="s">
        <v>1458</v>
      </c>
      <c r="D20" s="43"/>
      <c r="E20" s="12">
        <f>30000000+60000000</f>
        <v>90000000</v>
      </c>
      <c r="F20" s="22"/>
      <c r="G20" s="1"/>
      <c r="H20" s="1"/>
      <c r="J20" s="40">
        <v>28326425.059999999</v>
      </c>
      <c r="K20" s="154">
        <f>J20-E19</f>
        <v>0</v>
      </c>
    </row>
    <row r="21" spans="1:15" s="2" customFormat="1" ht="14.25" customHeight="1" x14ac:dyDescent="0.25">
      <c r="A21" s="36"/>
      <c r="B21" s="28"/>
      <c r="C21" s="44" t="s">
        <v>1541</v>
      </c>
      <c r="D21" s="43"/>
      <c r="E21" s="7">
        <f>+E19+E20</f>
        <v>118326425.06</v>
      </c>
      <c r="F21" s="22"/>
      <c r="G21" s="1"/>
      <c r="H21" s="1"/>
      <c r="I21" s="13" t="s">
        <v>1582</v>
      </c>
      <c r="J21" s="13" t="s">
        <v>1583</v>
      </c>
    </row>
    <row r="22" spans="1:15" s="2" customFormat="1" ht="14.25" customHeight="1" x14ac:dyDescent="0.25">
      <c r="A22" s="36"/>
      <c r="B22" s="28"/>
      <c r="C22" s="44" t="s">
        <v>1511</v>
      </c>
      <c r="D22" s="43"/>
      <c r="E22" s="38">
        <f>+J13+I9-J9</f>
        <v>1673574.9400000013</v>
      </c>
      <c r="F22" s="22"/>
      <c r="G22" s="1"/>
      <c r="H22" s="1"/>
      <c r="I22" s="2">
        <v>0</v>
      </c>
      <c r="J22" s="2">
        <v>2691000</v>
      </c>
      <c r="K22" s="176">
        <f>I22-J22</f>
        <v>-2691000</v>
      </c>
    </row>
    <row r="23" spans="1:15" s="2" customFormat="1" ht="14.25" customHeight="1" x14ac:dyDescent="0.2">
      <c r="A23" s="24"/>
      <c r="B23" s="1"/>
      <c r="C23" s="14"/>
      <c r="D23" s="25"/>
      <c r="G23" s="1"/>
      <c r="H23" s="1"/>
      <c r="J23" s="130"/>
      <c r="K23" s="130"/>
    </row>
    <row r="24" spans="1:15" s="2" customFormat="1" x14ac:dyDescent="0.2">
      <c r="A24" s="214" t="s">
        <v>10</v>
      </c>
      <c r="B24" s="214"/>
      <c r="C24" s="214"/>
      <c r="D24" s="214"/>
      <c r="E24" s="214"/>
      <c r="F24" s="214"/>
      <c r="G24" s="1"/>
      <c r="H24" s="1"/>
      <c r="I24" s="159"/>
      <c r="J24" s="160">
        <f>225000000-75000000-50000000</f>
        <v>100000000</v>
      </c>
      <c r="K24" s="160" t="s">
        <v>1506</v>
      </c>
      <c r="L24" s="70"/>
    </row>
    <row r="25" spans="1:15" s="2" customFormat="1" x14ac:dyDescent="0.2">
      <c r="A25" s="26" t="s">
        <v>1</v>
      </c>
      <c r="B25" s="27" t="s">
        <v>2</v>
      </c>
      <c r="C25" s="5"/>
      <c r="D25" s="6" t="s">
        <v>3</v>
      </c>
      <c r="E25" s="7" t="s">
        <v>4</v>
      </c>
      <c r="F25" s="7" t="s">
        <v>5</v>
      </c>
      <c r="G25" s="1"/>
      <c r="H25" s="1"/>
      <c r="I25" s="159"/>
      <c r="J25" s="160">
        <v>77547472.280000001</v>
      </c>
      <c r="K25" s="160" t="s">
        <v>1507</v>
      </c>
      <c r="L25" s="70" t="s">
        <v>1512</v>
      </c>
    </row>
    <row r="26" spans="1:15" s="2" customFormat="1" x14ac:dyDescent="0.2">
      <c r="A26" s="89">
        <v>45272</v>
      </c>
      <c r="B26" s="128" t="s">
        <v>11</v>
      </c>
      <c r="C26" s="29" t="s">
        <v>7</v>
      </c>
      <c r="D26" s="25"/>
      <c r="E26" s="31"/>
      <c r="F26" s="2">
        <v>71109694.260000005</v>
      </c>
      <c r="G26" s="23"/>
      <c r="H26" s="23"/>
      <c r="I26" s="159" t="s">
        <v>1505</v>
      </c>
      <c r="J26" s="160">
        <f>+J24-J25</f>
        <v>22452527.719999999</v>
      </c>
      <c r="K26" s="160"/>
      <c r="L26" s="70"/>
    </row>
    <row r="27" spans="1:15" s="2" customFormat="1" x14ac:dyDescent="0.2">
      <c r="A27" s="89">
        <v>45272</v>
      </c>
      <c r="B27" s="128" t="s">
        <v>6</v>
      </c>
      <c r="C27" s="29" t="s">
        <v>1676</v>
      </c>
      <c r="D27" s="11" t="s">
        <v>13</v>
      </c>
      <c r="E27" s="86">
        <v>123.44</v>
      </c>
      <c r="F27" s="70"/>
      <c r="G27" s="1"/>
      <c r="H27" s="1"/>
      <c r="O27" s="1"/>
    </row>
    <row r="28" spans="1:15" s="2" customFormat="1" x14ac:dyDescent="0.2">
      <c r="A28" s="89">
        <v>45272</v>
      </c>
      <c r="B28" s="128" t="s">
        <v>6</v>
      </c>
      <c r="C28" s="29" t="s">
        <v>1829</v>
      </c>
      <c r="D28" s="11" t="s">
        <v>13</v>
      </c>
      <c r="E28" s="86">
        <v>4720.5</v>
      </c>
      <c r="F28" s="70"/>
      <c r="G28" s="1"/>
      <c r="H28" s="1"/>
      <c r="O28" s="1"/>
    </row>
    <row r="29" spans="1:15" s="2" customFormat="1" x14ac:dyDescent="0.2">
      <c r="A29" s="89">
        <v>45272</v>
      </c>
      <c r="B29" s="128" t="s">
        <v>6</v>
      </c>
      <c r="C29" s="29" t="s">
        <v>1592</v>
      </c>
      <c r="D29" s="11" t="s">
        <v>13</v>
      </c>
      <c r="E29" s="86">
        <v>416522</v>
      </c>
      <c r="F29" s="70"/>
      <c r="G29" s="1"/>
      <c r="H29" s="1"/>
      <c r="O29" s="1"/>
    </row>
    <row r="30" spans="1:15" s="2" customFormat="1" x14ac:dyDescent="0.2">
      <c r="A30" s="89">
        <v>45272</v>
      </c>
      <c r="B30" s="128" t="s">
        <v>6</v>
      </c>
      <c r="C30" s="29" t="s">
        <v>1378</v>
      </c>
      <c r="D30" s="11" t="s">
        <v>13</v>
      </c>
      <c r="E30" s="86">
        <v>81375</v>
      </c>
      <c r="F30" s="70"/>
      <c r="G30" s="1"/>
      <c r="H30" s="1"/>
      <c r="O30" s="1"/>
    </row>
    <row r="31" spans="1:15" s="2" customFormat="1" x14ac:dyDescent="0.2">
      <c r="A31" s="89">
        <v>45272</v>
      </c>
      <c r="B31" s="128" t="s">
        <v>6</v>
      </c>
      <c r="C31" s="29" t="s">
        <v>332</v>
      </c>
      <c r="D31" s="11" t="s">
        <v>13</v>
      </c>
      <c r="E31" s="86">
        <v>14742</v>
      </c>
      <c r="F31" s="70"/>
      <c r="G31" s="1"/>
      <c r="H31" s="1"/>
      <c r="O31" s="1"/>
    </row>
    <row r="32" spans="1:15" s="2" customFormat="1" x14ac:dyDescent="0.2">
      <c r="A32" s="89">
        <v>45272</v>
      </c>
      <c r="B32" s="128" t="s">
        <v>6</v>
      </c>
      <c r="C32" s="29" t="s">
        <v>200</v>
      </c>
      <c r="D32" s="11" t="s">
        <v>13</v>
      </c>
      <c r="E32" s="86">
        <v>5899.9699999999993</v>
      </c>
      <c r="F32" s="70"/>
      <c r="G32" s="1"/>
      <c r="H32" s="1"/>
      <c r="O32" s="1"/>
    </row>
    <row r="33" spans="1:15" s="2" customFormat="1" x14ac:dyDescent="0.2">
      <c r="A33" s="89">
        <v>45272</v>
      </c>
      <c r="B33" s="128" t="s">
        <v>6</v>
      </c>
      <c r="C33" s="29" t="s">
        <v>15</v>
      </c>
      <c r="D33" s="11" t="s">
        <v>13</v>
      </c>
      <c r="E33" s="86">
        <v>5807.22</v>
      </c>
      <c r="F33" s="70"/>
      <c r="G33" s="1"/>
      <c r="H33" s="1"/>
      <c r="O33" s="1"/>
    </row>
    <row r="34" spans="1:15" s="2" customFormat="1" x14ac:dyDescent="0.2">
      <c r="A34" s="89">
        <v>45272</v>
      </c>
      <c r="B34" s="128" t="s">
        <v>6</v>
      </c>
      <c r="C34" s="29" t="s">
        <v>366</v>
      </c>
      <c r="D34" s="11" t="s">
        <v>13</v>
      </c>
      <c r="E34" s="86">
        <v>2000000</v>
      </c>
      <c r="F34" s="70"/>
      <c r="G34" s="1"/>
      <c r="H34" s="1"/>
      <c r="O34" s="1"/>
    </row>
    <row r="35" spans="1:15" s="2" customFormat="1" x14ac:dyDescent="0.2">
      <c r="A35" s="89">
        <v>45272</v>
      </c>
      <c r="B35" s="128" t="s">
        <v>6</v>
      </c>
      <c r="C35" s="29" t="s">
        <v>318</v>
      </c>
      <c r="D35" s="11" t="s">
        <v>13</v>
      </c>
      <c r="E35" s="86">
        <v>323181</v>
      </c>
      <c r="F35" s="70"/>
      <c r="G35" s="1"/>
      <c r="H35" s="1"/>
      <c r="O35" s="1"/>
    </row>
    <row r="36" spans="1:15" s="2" customFormat="1" x14ac:dyDescent="0.2">
      <c r="A36" s="89">
        <v>45272</v>
      </c>
      <c r="B36" s="128" t="s">
        <v>6</v>
      </c>
      <c r="C36" s="29" t="s">
        <v>146</v>
      </c>
      <c r="D36" s="11" t="s">
        <v>13</v>
      </c>
      <c r="E36" s="86">
        <v>181586.87</v>
      </c>
      <c r="F36" s="70"/>
      <c r="G36" s="1"/>
      <c r="H36" s="1"/>
      <c r="O36" s="1"/>
    </row>
    <row r="37" spans="1:15" s="2" customFormat="1" x14ac:dyDescent="0.2">
      <c r="A37" s="89">
        <v>45272</v>
      </c>
      <c r="B37" s="128" t="s">
        <v>11</v>
      </c>
      <c r="C37" s="29" t="s">
        <v>443</v>
      </c>
      <c r="D37" s="11" t="s">
        <v>29</v>
      </c>
      <c r="E37" s="86"/>
      <c r="F37" s="70">
        <v>5000000</v>
      </c>
      <c r="G37" s="1"/>
      <c r="H37" s="1"/>
      <c r="O37" s="1"/>
    </row>
    <row r="38" spans="1:15" s="2" customFormat="1" x14ac:dyDescent="0.2">
      <c r="A38" s="89">
        <v>45272</v>
      </c>
      <c r="B38" s="128" t="s">
        <v>11</v>
      </c>
      <c r="C38" s="29" t="s">
        <v>1863</v>
      </c>
      <c r="D38" s="11" t="s">
        <v>29</v>
      </c>
      <c r="E38" s="86"/>
      <c r="F38" s="70">
        <v>5000000</v>
      </c>
      <c r="G38" s="1"/>
      <c r="H38" s="1"/>
      <c r="O38" s="1"/>
    </row>
    <row r="39" spans="1:15" s="2" customFormat="1" x14ac:dyDescent="0.2">
      <c r="A39" s="89">
        <v>45272</v>
      </c>
      <c r="B39" s="128" t="s">
        <v>11</v>
      </c>
      <c r="C39" s="29" t="s">
        <v>64</v>
      </c>
      <c r="D39" s="11" t="s">
        <v>29</v>
      </c>
      <c r="E39" s="86"/>
      <c r="F39" s="70">
        <v>1489.16</v>
      </c>
      <c r="G39" s="1"/>
      <c r="H39" s="1"/>
      <c r="O39" s="1"/>
    </row>
    <row r="40" spans="1:15" s="2" customFormat="1" x14ac:dyDescent="0.2">
      <c r="A40" s="89">
        <v>45272</v>
      </c>
      <c r="B40" s="128" t="s">
        <v>11</v>
      </c>
      <c r="C40" s="29" t="s">
        <v>382</v>
      </c>
      <c r="D40" s="11" t="s">
        <v>29</v>
      </c>
      <c r="E40" s="86"/>
      <c r="F40" s="70">
        <v>486000</v>
      </c>
      <c r="G40" s="1"/>
      <c r="H40" s="1"/>
      <c r="O40" s="1"/>
    </row>
    <row r="41" spans="1:15" s="2" customFormat="1" x14ac:dyDescent="0.2">
      <c r="A41" s="89">
        <v>45272</v>
      </c>
      <c r="B41" s="128" t="s">
        <v>11</v>
      </c>
      <c r="C41" s="29" t="s">
        <v>284</v>
      </c>
      <c r="D41" s="11" t="s">
        <v>29</v>
      </c>
      <c r="E41" s="86"/>
      <c r="F41" s="70">
        <v>149320</v>
      </c>
      <c r="G41" s="1"/>
      <c r="H41" s="1"/>
      <c r="O41" s="1"/>
    </row>
    <row r="42" spans="1:15" s="2" customFormat="1" x14ac:dyDescent="0.2">
      <c r="A42" s="89">
        <v>45272</v>
      </c>
      <c r="B42" s="128" t="s">
        <v>11</v>
      </c>
      <c r="C42" s="29" t="s">
        <v>1758</v>
      </c>
      <c r="D42" s="11" t="s">
        <v>29</v>
      </c>
      <c r="E42" s="86"/>
      <c r="F42" s="70">
        <v>1000000</v>
      </c>
      <c r="G42" s="1"/>
      <c r="H42" s="1"/>
      <c r="O42" s="1"/>
    </row>
    <row r="43" spans="1:15" s="2" customFormat="1" x14ac:dyDescent="0.2">
      <c r="A43" s="89">
        <v>45272</v>
      </c>
      <c r="B43" s="128" t="s">
        <v>11</v>
      </c>
      <c r="C43" s="29" t="s">
        <v>1341</v>
      </c>
      <c r="D43" s="11" t="s">
        <v>29</v>
      </c>
      <c r="E43" s="86"/>
      <c r="F43" s="70">
        <v>130224.7</v>
      </c>
      <c r="G43" s="1"/>
      <c r="H43" s="1"/>
      <c r="O43" s="1"/>
    </row>
    <row r="44" spans="1:15" s="2" customFormat="1" x14ac:dyDescent="0.2">
      <c r="A44" s="89">
        <v>45272</v>
      </c>
      <c r="B44" s="128" t="s">
        <v>11</v>
      </c>
      <c r="C44" s="29" t="s">
        <v>392</v>
      </c>
      <c r="D44" s="11" t="s">
        <v>29</v>
      </c>
      <c r="E44" s="86"/>
      <c r="F44" s="70">
        <v>7887</v>
      </c>
      <c r="G44" s="1"/>
      <c r="H44" s="1"/>
      <c r="O44" s="1"/>
    </row>
    <row r="45" spans="1:15" s="2" customFormat="1" x14ac:dyDescent="0.2">
      <c r="A45" s="89">
        <v>45272</v>
      </c>
      <c r="B45" s="128" t="s">
        <v>11</v>
      </c>
      <c r="C45" s="29" t="s">
        <v>685</v>
      </c>
      <c r="D45" s="11" t="s">
        <v>29</v>
      </c>
      <c r="E45" s="86"/>
      <c r="F45" s="70">
        <v>177767</v>
      </c>
      <c r="G45" s="1"/>
      <c r="H45" s="1"/>
      <c r="O45" s="1"/>
    </row>
    <row r="46" spans="1:15" s="2" customFormat="1" x14ac:dyDescent="0.2">
      <c r="A46" s="89">
        <v>45272</v>
      </c>
      <c r="B46" s="128" t="s">
        <v>11</v>
      </c>
      <c r="C46" s="29" t="s">
        <v>115</v>
      </c>
      <c r="D46" s="11" t="s">
        <v>29</v>
      </c>
      <c r="E46" s="86"/>
      <c r="F46" s="70">
        <v>210048.16</v>
      </c>
      <c r="G46" s="1"/>
      <c r="H46" s="1"/>
      <c r="O46" s="1"/>
    </row>
    <row r="47" spans="1:15" s="2" customFormat="1" x14ac:dyDescent="0.2">
      <c r="A47" s="32"/>
      <c r="B47" s="33"/>
      <c r="C47" s="14"/>
      <c r="D47" s="34"/>
      <c r="E47" s="16">
        <f>SUM(E26:E46)</f>
        <v>3033958</v>
      </c>
      <c r="F47" s="16">
        <f>SUM(F26:F46)</f>
        <v>83272430.280000001</v>
      </c>
      <c r="G47" s="1"/>
      <c r="H47" s="1"/>
      <c r="I47" s="1"/>
      <c r="J47" s="38">
        <v>80238472.280000001</v>
      </c>
      <c r="L47" s="92">
        <f>E48-J47</f>
        <v>0</v>
      </c>
      <c r="O47" s="1"/>
    </row>
    <row r="48" spans="1:15" s="2" customFormat="1" x14ac:dyDescent="0.2">
      <c r="A48" s="36"/>
      <c r="B48" s="28" t="s">
        <v>11</v>
      </c>
      <c r="C48" s="19" t="s">
        <v>65</v>
      </c>
      <c r="D48" s="37"/>
      <c r="E48" s="38">
        <f>F47-E47</f>
        <v>80238472.280000001</v>
      </c>
      <c r="F48" s="22"/>
      <c r="G48" s="1"/>
      <c r="H48" s="1"/>
      <c r="I48" s="1"/>
      <c r="J48" s="70"/>
      <c r="K48" s="70"/>
      <c r="L48" s="70"/>
      <c r="O48" s="1"/>
    </row>
    <row r="49" spans="1:15" s="2" customFormat="1" x14ac:dyDescent="0.2">
      <c r="A49" s="36"/>
      <c r="B49" s="28" t="s">
        <v>66</v>
      </c>
      <c r="C49" s="19" t="s">
        <v>67</v>
      </c>
      <c r="D49" s="37"/>
      <c r="E49" s="38">
        <v>6500000</v>
      </c>
      <c r="F49" s="22"/>
      <c r="G49" s="1"/>
      <c r="H49" s="1"/>
      <c r="I49" s="70"/>
      <c r="J49" s="70"/>
      <c r="K49" s="70"/>
      <c r="L49" s="70"/>
      <c r="O49" s="1"/>
    </row>
    <row r="50" spans="1:15" s="2" customFormat="1" x14ac:dyDescent="0.2">
      <c r="A50" s="36"/>
      <c r="B50" s="28" t="s">
        <v>66</v>
      </c>
      <c r="C50" s="43" t="s">
        <v>1457</v>
      </c>
      <c r="D50" s="43"/>
      <c r="E50" s="12">
        <f>275000000+75000000+50000000</f>
        <v>400000000</v>
      </c>
      <c r="F50" s="22"/>
      <c r="G50" s="1"/>
      <c r="H50" s="1"/>
      <c r="I50" s="70"/>
      <c r="J50" s="45">
        <v>615.96</v>
      </c>
      <c r="K50" s="46"/>
      <c r="L50" s="46"/>
      <c r="O50" s="1"/>
    </row>
    <row r="51" spans="1:15" s="2" customFormat="1" ht="15" x14ac:dyDescent="0.25">
      <c r="A51" s="36"/>
      <c r="B51" s="28"/>
      <c r="C51" s="44" t="s">
        <v>1541</v>
      </c>
      <c r="D51" s="43"/>
      <c r="E51" s="7">
        <f>+E50+E48+E49</f>
        <v>486738472.27999997</v>
      </c>
      <c r="F51" s="22"/>
      <c r="G51" s="1"/>
      <c r="H51" s="1"/>
      <c r="I51" s="103" t="s">
        <v>69</v>
      </c>
      <c r="J51" s="45">
        <v>-98.34</v>
      </c>
      <c r="K51" s="46"/>
      <c r="L51" s="46"/>
      <c r="O51" s="1"/>
    </row>
    <row r="52" spans="1:15" s="2" customFormat="1" ht="15" x14ac:dyDescent="0.25">
      <c r="A52" s="24"/>
      <c r="B52" s="1"/>
      <c r="C52" s="44" t="s">
        <v>1510</v>
      </c>
      <c r="D52" s="25"/>
      <c r="E52" s="156">
        <f>+J26-E49+I22-J22</f>
        <v>13261527.719999999</v>
      </c>
      <c r="G52" s="1"/>
      <c r="H52" s="1"/>
      <c r="I52" s="35">
        <v>1</v>
      </c>
      <c r="J52" s="45">
        <v>98.34</v>
      </c>
      <c r="K52" s="46">
        <f>+J53-D55</f>
        <v>0</v>
      </c>
      <c r="O52" s="1"/>
    </row>
    <row r="53" spans="1:15" s="124" customFormat="1" ht="12.75" customHeight="1" x14ac:dyDescent="0.2">
      <c r="A53" s="24"/>
      <c r="B53" s="1"/>
      <c r="C53" s="56"/>
      <c r="D53" s="56"/>
      <c r="E53" s="104"/>
      <c r="F53" s="2"/>
      <c r="G53" s="166"/>
      <c r="H53" s="166"/>
      <c r="I53" s="70"/>
      <c r="J53" s="49">
        <f>SUM(J50:J52)</f>
        <v>615.96</v>
      </c>
      <c r="K53" s="46"/>
      <c r="L53" s="46"/>
    </row>
    <row r="54" spans="1:15" s="124" customFormat="1" ht="12.75" customHeight="1" x14ac:dyDescent="0.2">
      <c r="A54" s="24"/>
      <c r="B54" s="1"/>
      <c r="C54" s="78" t="s">
        <v>575</v>
      </c>
      <c r="D54" s="48" t="s">
        <v>576</v>
      </c>
      <c r="E54" s="104"/>
      <c r="F54" s="2"/>
      <c r="G54" s="168"/>
      <c r="H54" s="168"/>
      <c r="I54" s="167"/>
      <c r="J54" s="167"/>
      <c r="K54" s="168"/>
    </row>
    <row r="55" spans="1:15" s="124" customFormat="1" ht="12.75" customHeight="1" x14ac:dyDescent="0.2">
      <c r="A55" s="24"/>
      <c r="B55" s="1"/>
      <c r="C55" s="47" t="s">
        <v>570</v>
      </c>
      <c r="D55" s="111">
        <v>615.96</v>
      </c>
      <c r="E55" s="104"/>
      <c r="F55" s="2"/>
      <c r="G55" s="168"/>
      <c r="H55" s="168"/>
      <c r="I55" s="110" t="s">
        <v>581</v>
      </c>
      <c r="J55" s="167"/>
      <c r="K55" s="168"/>
    </row>
    <row r="56" spans="1:15" s="124" customFormat="1" ht="12.75" customHeight="1" x14ac:dyDescent="0.2">
      <c r="A56" s="24"/>
      <c r="B56" s="1"/>
      <c r="C56" s="47" t="s">
        <v>931</v>
      </c>
      <c r="D56" s="111">
        <v>119.02</v>
      </c>
      <c r="E56" s="104"/>
      <c r="F56" s="2"/>
      <c r="G56" s="168"/>
      <c r="H56" s="168"/>
      <c r="I56" s="110" t="s">
        <v>580</v>
      </c>
      <c r="J56" s="167"/>
      <c r="K56" s="168"/>
    </row>
    <row r="57" spans="1:15" s="124" customFormat="1" ht="12.75" customHeight="1" x14ac:dyDescent="0.2">
      <c r="A57" s="24"/>
      <c r="B57" s="1"/>
      <c r="C57" s="47" t="s">
        <v>572</v>
      </c>
      <c r="D57" s="111">
        <f>+D80/100000</f>
        <v>231.20864069999999</v>
      </c>
      <c r="E57" s="104"/>
      <c r="F57" s="2"/>
      <c r="G57" s="166"/>
      <c r="H57" s="166"/>
      <c r="I57" s="90" t="s">
        <v>587</v>
      </c>
      <c r="J57" s="167"/>
      <c r="K57" s="168"/>
    </row>
    <row r="58" spans="1:15" s="2" customFormat="1" x14ac:dyDescent="0.2">
      <c r="A58" s="24"/>
      <c r="B58" s="1"/>
      <c r="C58" s="108" t="s">
        <v>578</v>
      </c>
      <c r="D58" s="48">
        <f>SUM(D55:D57)</f>
        <v>966.18864069999995</v>
      </c>
      <c r="E58" s="104"/>
      <c r="G58" s="30"/>
      <c r="H58" s="30"/>
      <c r="J58" s="13"/>
      <c r="K58" s="13"/>
    </row>
    <row r="59" spans="1:15" s="70" customFormat="1" x14ac:dyDescent="0.2">
      <c r="A59" s="24"/>
      <c r="B59" s="1"/>
      <c r="C59" s="47"/>
      <c r="D59" s="107"/>
      <c r="E59" s="104"/>
      <c r="F59" s="2"/>
      <c r="G59" s="30"/>
      <c r="H59" s="30"/>
      <c r="I59" s="2"/>
    </row>
    <row r="60" spans="1:15" s="70" customFormat="1" x14ac:dyDescent="0.2">
      <c r="A60" s="24"/>
      <c r="B60" s="1"/>
      <c r="C60" s="47" t="s">
        <v>932</v>
      </c>
      <c r="D60" s="111">
        <v>172.79</v>
      </c>
      <c r="E60" s="104"/>
      <c r="F60" s="2"/>
      <c r="G60" s="30"/>
      <c r="H60" s="30"/>
      <c r="I60" s="110" t="s">
        <v>581</v>
      </c>
    </row>
    <row r="61" spans="1:15" s="70" customFormat="1" x14ac:dyDescent="0.2">
      <c r="A61" s="24"/>
      <c r="B61" s="1"/>
      <c r="C61" s="136" t="s">
        <v>1142</v>
      </c>
      <c r="D61" s="111">
        <v>301.18</v>
      </c>
      <c r="E61" s="104"/>
      <c r="F61" s="2"/>
      <c r="G61" s="30"/>
      <c r="H61" s="30"/>
      <c r="I61" s="110" t="s">
        <v>581</v>
      </c>
    </row>
    <row r="62" spans="1:15" s="70" customFormat="1" x14ac:dyDescent="0.2">
      <c r="A62" s="24"/>
      <c r="B62" s="1"/>
      <c r="C62" s="78" t="s">
        <v>579</v>
      </c>
      <c r="D62" s="109">
        <f>D60+D61</f>
        <v>473.97</v>
      </c>
      <c r="E62" s="104"/>
      <c r="F62" s="2"/>
      <c r="G62" s="30"/>
      <c r="H62" s="30"/>
    </row>
    <row r="63" spans="1:15" s="70" customFormat="1" x14ac:dyDescent="0.2">
      <c r="A63" s="24"/>
      <c r="B63" s="1"/>
      <c r="C63" s="105"/>
      <c r="D63" s="106"/>
      <c r="E63" s="104"/>
      <c r="F63" s="2"/>
      <c r="G63" s="30"/>
      <c r="H63" s="30"/>
      <c r="J63" s="2"/>
      <c r="K63" s="221" t="str">
        <f>"FROM ( 01-12-2023 to "&amp;TEXT(A5,"dd-mm-yyyy")&amp;" )"</f>
        <v>FROM ( 01-12-2023 to 12-12-2023 )</v>
      </c>
      <c r="L63" s="221"/>
      <c r="M63" s="2"/>
      <c r="N63" s="2"/>
    </row>
    <row r="64" spans="1:15" s="70" customFormat="1" x14ac:dyDescent="0.2">
      <c r="A64" s="24"/>
      <c r="B64" s="1"/>
      <c r="C64" s="78" t="s">
        <v>577</v>
      </c>
      <c r="D64" s="109">
        <f>D55+D62</f>
        <v>1089.93</v>
      </c>
      <c r="E64" s="104"/>
      <c r="F64" s="2"/>
      <c r="G64" s="30"/>
      <c r="H64" s="30"/>
      <c r="J64" s="113"/>
      <c r="K64" s="113" t="s">
        <v>709</v>
      </c>
      <c r="L64" s="113" t="s">
        <v>710</v>
      </c>
      <c r="M64" s="113" t="s">
        <v>711</v>
      </c>
      <c r="N64" s="113" t="s">
        <v>712</v>
      </c>
    </row>
    <row r="65" spans="1:15" s="70" customFormat="1" x14ac:dyDescent="0.2">
      <c r="A65" s="24"/>
      <c r="B65" s="1"/>
      <c r="C65" s="56"/>
      <c r="D65" s="56"/>
      <c r="E65" s="104"/>
      <c r="F65" s="2"/>
      <c r="G65" s="30"/>
      <c r="H65" s="30"/>
      <c r="J65" s="113" t="s">
        <v>1860</v>
      </c>
      <c r="K65" s="115">
        <v>191.86</v>
      </c>
      <c r="L65" s="115">
        <v>93.65</v>
      </c>
      <c r="M65" s="115">
        <v>0</v>
      </c>
      <c r="N65" s="113">
        <f>+K65+M65-L65</f>
        <v>98.210000000000008</v>
      </c>
    </row>
    <row r="66" spans="1:15" s="70" customFormat="1" ht="38.25" x14ac:dyDescent="0.2">
      <c r="A66" s="24"/>
      <c r="B66" s="1"/>
      <c r="C66" s="79" t="str">
        <f>"Particulars ( 01-12-2023 to "&amp;TEXT(A5,"dd-mm-yyyy")&amp;" )"</f>
        <v>Particulars ( 01-12-2023 to 12-12-2023 )</v>
      </c>
      <c r="D66" s="79" t="s">
        <v>7</v>
      </c>
      <c r="E66" s="80" t="s">
        <v>73</v>
      </c>
      <c r="F66" s="80" t="s">
        <v>74</v>
      </c>
      <c r="G66" s="81" t="s">
        <v>75</v>
      </c>
      <c r="H66" s="80" t="s">
        <v>76</v>
      </c>
      <c r="J66" s="113" t="s">
        <v>1861</v>
      </c>
      <c r="K66" s="115">
        <v>1332.26</v>
      </c>
      <c r="L66" s="115">
        <v>238.15</v>
      </c>
      <c r="M66" s="115">
        <v>401.77</v>
      </c>
      <c r="N66" s="113">
        <f>+K66+M66-L66</f>
        <v>1495.8799999999999</v>
      </c>
    </row>
    <row r="67" spans="1:15" s="70" customFormat="1" x14ac:dyDescent="0.2">
      <c r="A67" s="24"/>
      <c r="B67" s="1"/>
      <c r="C67" s="50" t="s">
        <v>444</v>
      </c>
      <c r="D67" s="55">
        <f>+K67</f>
        <v>361.11</v>
      </c>
      <c r="E67" s="55">
        <f>+M67</f>
        <v>172.79</v>
      </c>
      <c r="F67" s="55">
        <f>+L67</f>
        <v>119.02</v>
      </c>
      <c r="G67" s="55">
        <f>+D67+E67-F67</f>
        <v>414.88</v>
      </c>
      <c r="H67" s="55">
        <f>1500-G67</f>
        <v>1085.1199999999999</v>
      </c>
      <c r="J67" s="113" t="s">
        <v>707</v>
      </c>
      <c r="K67" s="115">
        <v>361.11</v>
      </c>
      <c r="L67" s="115">
        <v>119.02</v>
      </c>
      <c r="M67" s="115">
        <v>172.79</v>
      </c>
      <c r="N67" s="113">
        <f>+K67+M67-L67</f>
        <v>414.88</v>
      </c>
    </row>
    <row r="68" spans="1:15" s="70" customFormat="1" ht="12.75" customHeight="1" x14ac:dyDescent="0.2">
      <c r="A68" s="24"/>
      <c r="B68" s="1"/>
      <c r="C68" s="50" t="s">
        <v>71</v>
      </c>
      <c r="D68" s="55">
        <f>+K65+K66</f>
        <v>1524.12</v>
      </c>
      <c r="E68" s="55">
        <f>+M65+M66</f>
        <v>401.77</v>
      </c>
      <c r="F68" s="55">
        <f>+L65+L66</f>
        <v>331.8</v>
      </c>
      <c r="G68" s="55">
        <f>+D68+E68-F68</f>
        <v>1594.09</v>
      </c>
      <c r="H68" s="55">
        <f>1500+700-G68</f>
        <v>605.91000000000008</v>
      </c>
      <c r="J68" s="2"/>
      <c r="K68" s="118">
        <f>SUM(K65:K67)</f>
        <v>1885.23</v>
      </c>
      <c r="L68" s="118">
        <f>SUM(L65:L67)</f>
        <v>450.82</v>
      </c>
      <c r="M68" s="118">
        <f>SUM(M65:M67)</f>
        <v>574.55999999999995</v>
      </c>
      <c r="N68" s="118">
        <f>SUM(N65:N67)</f>
        <v>2008.9699999999998</v>
      </c>
    </row>
    <row r="69" spans="1:15" s="70" customFormat="1" ht="12.75" customHeight="1" x14ac:dyDescent="0.2">
      <c r="A69" s="24"/>
      <c r="B69" s="1"/>
      <c r="C69" s="14"/>
      <c r="D69" s="56"/>
      <c r="E69" s="13"/>
      <c r="F69" s="2"/>
      <c r="G69" s="30"/>
      <c r="H69" s="30"/>
    </row>
    <row r="70" spans="1:15" s="70" customFormat="1" ht="12.75" customHeight="1" x14ac:dyDescent="0.2">
      <c r="A70" s="215" t="s">
        <v>80</v>
      </c>
      <c r="B70" s="216"/>
      <c r="C70" s="216"/>
      <c r="D70" s="217"/>
      <c r="E70" s="69"/>
      <c r="G70" s="30"/>
      <c r="H70" s="30"/>
    </row>
    <row r="71" spans="1:15" s="70" customFormat="1" ht="12.75" customHeight="1" x14ac:dyDescent="0.2">
      <c r="A71" s="71" t="s">
        <v>81</v>
      </c>
      <c r="B71" s="71"/>
      <c r="C71" s="72" t="s">
        <v>82</v>
      </c>
      <c r="D71" s="73" t="s">
        <v>83</v>
      </c>
      <c r="E71" s="69"/>
      <c r="G71" s="30"/>
      <c r="H71" s="30"/>
    </row>
    <row r="72" spans="1:15" s="70" customFormat="1" ht="12.75" customHeight="1" x14ac:dyDescent="0.2">
      <c r="A72" s="87">
        <v>45264</v>
      </c>
      <c r="B72" s="120" t="s">
        <v>6</v>
      </c>
      <c r="C72" s="75" t="s">
        <v>909</v>
      </c>
      <c r="D72" s="88">
        <v>13756945</v>
      </c>
      <c r="E72" s="2"/>
      <c r="F72" s="2"/>
      <c r="G72" s="30"/>
      <c r="H72" s="30"/>
      <c r="I72" s="2"/>
      <c r="J72" s="2"/>
      <c r="K72" s="2"/>
      <c r="L72" s="2"/>
      <c r="M72" s="41"/>
      <c r="N72" s="42"/>
      <c r="O72" s="2"/>
    </row>
    <row r="73" spans="1:15" s="70" customFormat="1" ht="12.75" customHeight="1" x14ac:dyDescent="0.2">
      <c r="A73" s="87">
        <v>45265</v>
      </c>
      <c r="B73" s="120" t="s">
        <v>6</v>
      </c>
      <c r="C73" s="75" t="s">
        <v>1552</v>
      </c>
      <c r="D73" s="88">
        <v>2152501.6</v>
      </c>
      <c r="E73" s="2"/>
      <c r="F73" s="2"/>
      <c r="G73" s="30"/>
      <c r="H73" s="30"/>
      <c r="I73" s="2"/>
      <c r="J73" s="2"/>
      <c r="K73" s="2"/>
      <c r="L73" s="2"/>
      <c r="M73" s="41"/>
      <c r="N73" s="42"/>
      <c r="O73" s="2"/>
    </row>
    <row r="74" spans="1:15" s="70" customFormat="1" ht="12.75" customHeight="1" x14ac:dyDescent="0.2">
      <c r="A74" s="87">
        <v>45267</v>
      </c>
      <c r="B74" s="120" t="s">
        <v>6</v>
      </c>
      <c r="C74" s="75" t="s">
        <v>784</v>
      </c>
      <c r="D74" s="88">
        <v>179811</v>
      </c>
      <c r="E74" s="2"/>
      <c r="F74" s="2"/>
      <c r="G74" s="30"/>
      <c r="H74" s="30"/>
      <c r="I74" s="2"/>
      <c r="J74" s="2"/>
      <c r="K74" s="2"/>
      <c r="L74" s="2"/>
      <c r="M74" s="41"/>
      <c r="N74" s="42"/>
      <c r="O74" s="2"/>
    </row>
    <row r="75" spans="1:15" s="70" customFormat="1" ht="12.75" customHeight="1" x14ac:dyDescent="0.2">
      <c r="A75" s="87">
        <v>45267</v>
      </c>
      <c r="B75" s="120" t="s">
        <v>6</v>
      </c>
      <c r="C75" s="75" t="s">
        <v>784</v>
      </c>
      <c r="D75" s="88">
        <v>302254</v>
      </c>
      <c r="E75" s="2"/>
      <c r="F75" s="2"/>
      <c r="G75" s="30"/>
      <c r="H75" s="30"/>
      <c r="I75" s="2"/>
      <c r="J75" s="2"/>
      <c r="K75" s="2"/>
      <c r="L75" s="2"/>
      <c r="M75" s="41"/>
      <c r="N75" s="42"/>
      <c r="O75" s="2"/>
    </row>
    <row r="76" spans="1:15" s="70" customFormat="1" ht="12.75" customHeight="1" x14ac:dyDescent="0.2">
      <c r="A76" s="87">
        <v>45268</v>
      </c>
      <c r="B76" s="120" t="s">
        <v>6</v>
      </c>
      <c r="C76" s="75" t="s">
        <v>1789</v>
      </c>
      <c r="D76" s="88">
        <v>4000249.47</v>
      </c>
      <c r="E76" s="2"/>
      <c r="F76" s="2"/>
      <c r="G76" s="30"/>
      <c r="H76" s="30"/>
      <c r="I76" s="2"/>
      <c r="J76" s="2"/>
      <c r="K76" s="2"/>
      <c r="L76" s="2"/>
      <c r="M76" s="41"/>
      <c r="N76" s="42"/>
      <c r="O76" s="2"/>
    </row>
    <row r="77" spans="1:15" s="70" customFormat="1" ht="12.75" customHeight="1" x14ac:dyDescent="0.2">
      <c r="A77" s="87">
        <v>45269</v>
      </c>
      <c r="B77" s="120" t="s">
        <v>6</v>
      </c>
      <c r="C77" s="75" t="s">
        <v>85</v>
      </c>
      <c r="D77" s="88">
        <v>96273</v>
      </c>
      <c r="E77" s="2"/>
      <c r="F77" s="2"/>
      <c r="G77" s="30"/>
      <c r="H77" s="30"/>
      <c r="I77" s="2"/>
      <c r="J77" s="2"/>
      <c r="K77" s="2"/>
      <c r="L77" s="2"/>
      <c r="M77" s="41"/>
      <c r="N77" s="42"/>
      <c r="O77" s="2"/>
    </row>
    <row r="78" spans="1:15" s="70" customFormat="1" ht="12.75" customHeight="1" x14ac:dyDescent="0.2">
      <c r="A78" s="87">
        <v>45272</v>
      </c>
      <c r="B78" s="120" t="s">
        <v>6</v>
      </c>
      <c r="C78" s="75" t="s">
        <v>270</v>
      </c>
      <c r="D78" s="88">
        <v>687714</v>
      </c>
      <c r="E78" s="2"/>
      <c r="F78" s="2"/>
      <c r="G78" s="30"/>
      <c r="H78" s="30"/>
      <c r="I78" s="2"/>
      <c r="J78" s="2"/>
      <c r="K78" s="2"/>
      <c r="L78" s="2"/>
      <c r="M78" s="41"/>
      <c r="N78" s="42"/>
      <c r="O78" s="2"/>
    </row>
    <row r="79" spans="1:15" s="70" customFormat="1" ht="12.75" customHeight="1" x14ac:dyDescent="0.2">
      <c r="A79" s="87">
        <v>45272</v>
      </c>
      <c r="B79" s="120" t="s">
        <v>6</v>
      </c>
      <c r="C79" s="75" t="s">
        <v>1789</v>
      </c>
      <c r="D79" s="88">
        <v>1945116</v>
      </c>
      <c r="E79" s="2"/>
      <c r="F79" s="2"/>
      <c r="G79" s="30"/>
      <c r="H79" s="30"/>
      <c r="I79" s="2"/>
      <c r="J79" s="2"/>
      <c r="K79" s="2"/>
      <c r="L79" s="2"/>
      <c r="M79" s="41"/>
      <c r="N79" s="42"/>
      <c r="O79" s="2"/>
    </row>
    <row r="80" spans="1:15" s="2" customFormat="1" x14ac:dyDescent="0.2">
      <c r="A80" s="87"/>
      <c r="B80" s="74"/>
      <c r="C80" s="75"/>
      <c r="D80" s="51">
        <f>SUM(D72:D79)</f>
        <v>23120864.07</v>
      </c>
      <c r="F80" s="2" t="s">
        <v>396</v>
      </c>
      <c r="G80" s="1"/>
      <c r="H80" s="1"/>
    </row>
    <row r="81" spans="1:14" s="2" customFormat="1" x14ac:dyDescent="0.2">
      <c r="A81" s="24"/>
      <c r="B81" s="1"/>
      <c r="C81" s="14"/>
      <c r="D81" s="56"/>
      <c r="E81" s="13"/>
      <c r="G81" s="1"/>
      <c r="H81" s="1"/>
    </row>
    <row r="82" spans="1:14" s="2" customFormat="1" x14ac:dyDescent="0.2">
      <c r="A82" s="24"/>
      <c r="B82" s="1"/>
      <c r="C82" s="218" t="s">
        <v>77</v>
      </c>
      <c r="D82" s="219"/>
      <c r="E82" s="219"/>
      <c r="F82" s="220"/>
      <c r="I82" s="2" t="s">
        <v>396</v>
      </c>
    </row>
    <row r="83" spans="1:14" s="2" customFormat="1" x14ac:dyDescent="0.2">
      <c r="A83" s="24"/>
      <c r="B83" s="1"/>
      <c r="C83" s="50"/>
      <c r="D83" s="57" t="s">
        <v>78</v>
      </c>
      <c r="E83" s="58" t="s">
        <v>79</v>
      </c>
      <c r="F83" s="57" t="s">
        <v>72</v>
      </c>
      <c r="I83" s="2" t="s">
        <v>396</v>
      </c>
    </row>
    <row r="84" spans="1:14" s="2" customFormat="1" x14ac:dyDescent="0.2">
      <c r="A84" s="24"/>
      <c r="B84" s="1"/>
      <c r="C84" s="59" t="str">
        <f>"01-12-2023 to "&amp;TEXT(A5-2,"dd-mm-yyyy")</f>
        <v>01-12-2023 to 10-12-2023</v>
      </c>
      <c r="D84" s="60">
        <v>661.53</v>
      </c>
      <c r="E84" s="60">
        <v>215.75</v>
      </c>
      <c r="F84" s="61">
        <f>SUM(D84:E84)</f>
        <v>877.28</v>
      </c>
    </row>
    <row r="85" spans="1:14" s="2" customFormat="1" x14ac:dyDescent="0.2">
      <c r="A85" s="24"/>
      <c r="B85" s="1"/>
      <c r="C85" s="62" t="str">
        <f>TEXT(A5-1,"dd-mm-yyyy")</f>
        <v>11-12-2023</v>
      </c>
      <c r="D85" s="60">
        <v>84.18</v>
      </c>
      <c r="E85" s="60">
        <v>27.42</v>
      </c>
      <c r="F85" s="61">
        <f>SUM(D85:E85)</f>
        <v>111.60000000000001</v>
      </c>
      <c r="G85" s="1"/>
      <c r="H85" s="1"/>
      <c r="I85" s="53"/>
    </row>
    <row r="86" spans="1:14" s="2" customFormat="1" ht="13.5" thickBot="1" x14ac:dyDescent="0.25">
      <c r="A86" s="24"/>
      <c r="B86" s="1"/>
      <c r="C86" s="63" t="str">
        <f>"01-12-2023 to "&amp;TEXT(A5-1,"dd-mm-yyyy")</f>
        <v>01-12-2023 to 11-12-2023</v>
      </c>
      <c r="D86" s="64">
        <f>SUM(D84:D85)</f>
        <v>745.71</v>
      </c>
      <c r="E86" s="64">
        <f>SUM(E84:E85)</f>
        <v>243.17000000000002</v>
      </c>
      <c r="F86" s="64">
        <f>SUM(F84:F85)</f>
        <v>988.88</v>
      </c>
      <c r="G86" s="1"/>
      <c r="H86" s="1"/>
      <c r="I86" s="53"/>
    </row>
    <row r="87" spans="1:14" s="2" customFormat="1" ht="13.5" thickTop="1" x14ac:dyDescent="0.2">
      <c r="A87" s="24"/>
      <c r="B87" s="1"/>
      <c r="C87" s="62"/>
      <c r="D87" s="65"/>
      <c r="E87" s="66"/>
      <c r="F87" s="67"/>
      <c r="M87" s="1"/>
      <c r="N87" s="1"/>
    </row>
    <row r="88" spans="1:14" s="2" customFormat="1" x14ac:dyDescent="0.2">
      <c r="A88" s="24"/>
      <c r="B88" s="1"/>
      <c r="C88" s="62" t="str">
        <f>"01-04-2023 to " &amp;C85</f>
        <v>01-04-2023 to 11-12-2023</v>
      </c>
      <c r="D88" s="68">
        <f>+D86+32234.22</f>
        <v>32979.93</v>
      </c>
      <c r="E88" s="68">
        <f>+E86+3134.59</f>
        <v>3377.76</v>
      </c>
      <c r="F88" s="68">
        <f>+F86+35368.81</f>
        <v>36357.689999999995</v>
      </c>
      <c r="G88" s="1"/>
      <c r="H88" s="1"/>
      <c r="M88" s="1"/>
      <c r="N88" s="1"/>
    </row>
    <row r="89" spans="1:14" s="2" customFormat="1" x14ac:dyDescent="0.2">
      <c r="A89" s="24"/>
      <c r="B89" s="1"/>
      <c r="C89" s="52"/>
      <c r="D89" s="85"/>
      <c r="E89" s="53"/>
      <c r="F89" s="53"/>
      <c r="G89" s="1"/>
      <c r="H89" s="1"/>
      <c r="M89" s="1"/>
      <c r="N89" s="1"/>
    </row>
    <row r="90" spans="1:14" s="2" customFormat="1" x14ac:dyDescent="0.2">
      <c r="A90" s="24"/>
      <c r="B90" s="1"/>
      <c r="C90" s="52"/>
      <c r="D90" s="85"/>
      <c r="E90" s="53"/>
      <c r="F90" s="53"/>
      <c r="G90" s="1"/>
      <c r="H90" s="1"/>
      <c r="M90" s="1"/>
      <c r="N90" s="1"/>
    </row>
    <row r="91" spans="1:14" s="2" customFormat="1" x14ac:dyDescent="0.2">
      <c r="A91" s="24"/>
      <c r="B91" s="1"/>
      <c r="C91" s="52"/>
      <c r="D91" s="85"/>
      <c r="E91" s="53"/>
      <c r="F91" s="53"/>
      <c r="G91" s="1"/>
      <c r="H91" s="1"/>
      <c r="M91" s="1"/>
      <c r="N91" s="1"/>
    </row>
    <row r="92" spans="1:14" s="2" customFormat="1" x14ac:dyDescent="0.2">
      <c r="A92" s="24"/>
      <c r="B92" s="1"/>
      <c r="C92" s="52"/>
      <c r="D92" s="85"/>
      <c r="E92" s="53"/>
      <c r="F92" s="53"/>
      <c r="G92" s="1"/>
      <c r="H92" s="1"/>
      <c r="M92" s="1"/>
      <c r="N92" s="1"/>
    </row>
    <row r="93" spans="1:14" s="2" customFormat="1" x14ac:dyDescent="0.2">
      <c r="A93" s="24"/>
      <c r="B93" s="1"/>
      <c r="C93" s="14"/>
      <c r="D93" s="25">
        <f>SUM(D90:D92)</f>
        <v>0</v>
      </c>
      <c r="E93" s="2">
        <f>SUM(E90:E92)</f>
        <v>0</v>
      </c>
      <c r="G93" s="1"/>
      <c r="H93" s="1"/>
      <c r="M93" s="1"/>
      <c r="N93" s="1"/>
    </row>
    <row r="94" spans="1:14" s="2" customFormat="1" x14ac:dyDescent="0.2">
      <c r="A94" s="24"/>
      <c r="B94" s="1"/>
      <c r="C94" s="14"/>
      <c r="D94" s="25"/>
      <c r="G94" s="1"/>
      <c r="H94" s="1"/>
      <c r="M94" s="1"/>
      <c r="N94" s="1"/>
    </row>
    <row r="95" spans="1:14" s="2" customFormat="1" x14ac:dyDescent="0.2">
      <c r="A95" s="24"/>
      <c r="B95" s="1"/>
      <c r="C95" s="14"/>
      <c r="D95" s="25"/>
      <c r="G95" s="1"/>
      <c r="H95" s="1"/>
      <c r="M95" s="1"/>
      <c r="N95" s="1"/>
    </row>
    <row r="96" spans="1:14" s="2" customFormat="1" x14ac:dyDescent="0.2">
      <c r="A96" s="24"/>
      <c r="B96" s="1"/>
      <c r="C96" s="14"/>
      <c r="D96" s="25"/>
      <c r="G96" s="1"/>
      <c r="H96" s="1"/>
      <c r="M96" s="1"/>
      <c r="N96" s="1"/>
    </row>
    <row r="97" spans="1:14" s="2" customFormat="1" x14ac:dyDescent="0.2">
      <c r="A97" s="24"/>
      <c r="B97" s="1"/>
      <c r="C97" s="14"/>
      <c r="D97" s="25"/>
      <c r="G97" s="1"/>
      <c r="H97" s="1"/>
      <c r="M97" s="1"/>
      <c r="N97" s="1"/>
    </row>
    <row r="98" spans="1:14" s="2" customFormat="1" x14ac:dyDescent="0.2">
      <c r="A98" s="24"/>
      <c r="B98" s="1"/>
      <c r="C98" s="14"/>
      <c r="D98" s="25"/>
      <c r="G98" s="1"/>
      <c r="H98" s="1"/>
      <c r="M98" s="1"/>
      <c r="N98" s="1"/>
    </row>
    <row r="99" spans="1:14" s="2" customFormat="1" x14ac:dyDescent="0.2">
      <c r="A99" s="24"/>
      <c r="B99" s="1"/>
      <c r="C99" s="14"/>
      <c r="D99" s="25"/>
      <c r="G99" s="1"/>
      <c r="H99" s="1"/>
      <c r="M99" s="1"/>
      <c r="N99" s="1"/>
    </row>
    <row r="100" spans="1:14" s="2" customFormat="1" x14ac:dyDescent="0.2">
      <c r="A100" s="24"/>
      <c r="B100" s="1"/>
      <c r="C100" s="14"/>
      <c r="D100" s="25"/>
      <c r="G100" s="1"/>
      <c r="H100" s="1"/>
      <c r="M100" s="1"/>
      <c r="N100" s="1"/>
    </row>
    <row r="101" spans="1:14" s="2" customFormat="1" x14ac:dyDescent="0.2">
      <c r="A101" s="24"/>
      <c r="B101" s="1"/>
      <c r="C101" s="14"/>
      <c r="D101" s="25"/>
      <c r="G101" s="1"/>
      <c r="H101" s="1"/>
      <c r="M101" s="1"/>
      <c r="N101" s="1"/>
    </row>
    <row r="102" spans="1:14" s="2" customFormat="1" x14ac:dyDescent="0.2">
      <c r="A102" s="24"/>
      <c r="B102" s="1"/>
      <c r="C102" s="14"/>
      <c r="D102" s="25"/>
      <c r="G102" s="1"/>
      <c r="H102" s="1"/>
      <c r="M102" s="1"/>
      <c r="N102" s="1"/>
    </row>
    <row r="103" spans="1:14" s="2" customFormat="1" x14ac:dyDescent="0.2">
      <c r="A103" s="24"/>
      <c r="B103" s="1"/>
      <c r="C103" s="14"/>
      <c r="D103" s="25"/>
      <c r="G103" s="1"/>
      <c r="H103" s="1"/>
      <c r="M103" s="1"/>
      <c r="N103" s="1"/>
    </row>
    <row r="104" spans="1:14" s="2" customFormat="1" x14ac:dyDescent="0.2">
      <c r="A104" s="24"/>
      <c r="B104" s="1"/>
      <c r="C104" s="14"/>
      <c r="D104" s="25"/>
      <c r="G104" s="1"/>
      <c r="H104" s="1"/>
      <c r="M104" s="1"/>
      <c r="N104" s="1"/>
    </row>
    <row r="105" spans="1:14" s="2" customFormat="1" x14ac:dyDescent="0.2">
      <c r="A105" s="24"/>
      <c r="B105" s="1"/>
      <c r="C105" s="14"/>
      <c r="D105" s="25"/>
      <c r="G105" s="1"/>
      <c r="H105" s="1"/>
      <c r="M105" s="1"/>
      <c r="N105" s="1"/>
    </row>
    <row r="106" spans="1:14" s="2" customFormat="1" x14ac:dyDescent="0.2">
      <c r="A106" s="24"/>
      <c r="B106" s="1"/>
      <c r="C106" s="14"/>
      <c r="D106" s="25"/>
      <c r="G106" s="1"/>
      <c r="H106" s="1"/>
      <c r="M106" s="1"/>
      <c r="N106" s="1"/>
    </row>
    <row r="107" spans="1:14" s="2" customFormat="1" x14ac:dyDescent="0.2">
      <c r="A107" s="24"/>
      <c r="B107" s="1"/>
      <c r="C107" s="14"/>
      <c r="D107" s="25"/>
      <c r="G107" s="1"/>
      <c r="H107" s="1"/>
      <c r="J107" s="1"/>
      <c r="K107" s="1"/>
      <c r="L107" s="1"/>
      <c r="M107" s="1"/>
      <c r="N107" s="1"/>
    </row>
    <row r="108" spans="1:14" s="2" customFormat="1" x14ac:dyDescent="0.2">
      <c r="A108" s="24"/>
      <c r="B108" s="1"/>
      <c r="C108" s="14"/>
      <c r="D108" s="25"/>
      <c r="G108" s="1"/>
      <c r="H108" s="1"/>
    </row>
    <row r="109" spans="1:14" s="2" customFormat="1" x14ac:dyDescent="0.2">
      <c r="A109" s="24"/>
      <c r="B109" s="1"/>
      <c r="C109" s="14"/>
      <c r="D109" s="25"/>
      <c r="G109" s="1"/>
      <c r="H109" s="1"/>
      <c r="J109" s="1"/>
      <c r="K109" s="1"/>
      <c r="L109" s="1"/>
      <c r="M109" s="1"/>
      <c r="N109" s="1"/>
    </row>
    <row r="110" spans="1:14" s="2" customFormat="1" x14ac:dyDescent="0.2">
      <c r="A110" s="24"/>
      <c r="B110" s="1"/>
      <c r="C110" s="14"/>
      <c r="D110" s="25"/>
      <c r="G110" s="54"/>
      <c r="H110" s="54"/>
      <c r="J110" s="1"/>
      <c r="K110" s="1"/>
      <c r="L110" s="1"/>
      <c r="M110" s="1"/>
      <c r="N110" s="1"/>
    </row>
    <row r="111" spans="1:14" s="2" customFormat="1" x14ac:dyDescent="0.2">
      <c r="A111" s="24"/>
      <c r="B111" s="1"/>
      <c r="C111" s="14"/>
      <c r="D111" s="25"/>
      <c r="G111" s="54"/>
      <c r="H111" s="54"/>
      <c r="J111" s="1"/>
      <c r="K111" s="1"/>
      <c r="L111" s="1"/>
      <c r="M111" s="1"/>
      <c r="N111" s="1"/>
    </row>
    <row r="112" spans="1:14" s="2" customFormat="1" x14ac:dyDescent="0.2">
      <c r="A112" s="24"/>
      <c r="B112" s="1"/>
      <c r="C112" s="14"/>
      <c r="D112" s="25"/>
      <c r="G112" s="54"/>
      <c r="H112" s="54"/>
      <c r="J112" s="1"/>
      <c r="K112" s="1"/>
      <c r="L112" s="1"/>
      <c r="M112" s="1"/>
      <c r="N112" s="1"/>
    </row>
    <row r="113" spans="1:15" s="2" customFormat="1" x14ac:dyDescent="0.2">
      <c r="A113" s="24"/>
      <c r="B113" s="1"/>
      <c r="C113" s="14"/>
      <c r="D113" s="25"/>
      <c r="G113" s="54"/>
      <c r="H113" s="54"/>
      <c r="I113" s="2" t="s">
        <v>396</v>
      </c>
      <c r="J113" s="1"/>
      <c r="K113" s="1"/>
      <c r="L113" s="1"/>
      <c r="M113" s="1"/>
      <c r="N113" s="1"/>
      <c r="O113" s="1"/>
    </row>
    <row r="114" spans="1:15" s="2" customFormat="1" x14ac:dyDescent="0.2">
      <c r="A114" s="24"/>
      <c r="B114" s="1"/>
      <c r="C114" s="14"/>
      <c r="D114" s="25"/>
      <c r="G114" s="54"/>
      <c r="H114" s="54"/>
      <c r="I114" s="53"/>
    </row>
    <row r="115" spans="1:15" s="2" customFormat="1" x14ac:dyDescent="0.2">
      <c r="A115" s="24"/>
      <c r="B115" s="1"/>
      <c r="C115" s="14"/>
      <c r="D115" s="25"/>
      <c r="G115" s="54"/>
      <c r="H115" s="54"/>
      <c r="I115" s="53" t="s">
        <v>396</v>
      </c>
      <c r="J115" s="1"/>
      <c r="K115" s="1"/>
      <c r="L115" s="1"/>
      <c r="M115" s="1"/>
      <c r="N115" s="1"/>
      <c r="O115" s="1"/>
    </row>
    <row r="116" spans="1:15" x14ac:dyDescent="0.2">
      <c r="G116" s="54"/>
      <c r="H116" s="54"/>
      <c r="I116" s="53" t="s">
        <v>396</v>
      </c>
      <c r="K116" s="42"/>
    </row>
    <row r="117" spans="1:15" s="2" customFormat="1" x14ac:dyDescent="0.2">
      <c r="A117" s="24"/>
      <c r="B117" s="1"/>
      <c r="C117" s="14"/>
      <c r="D117" s="25"/>
      <c r="G117" s="54"/>
      <c r="H117" s="54"/>
      <c r="I117" s="53"/>
      <c r="J117" s="101"/>
      <c r="K117" s="1"/>
      <c r="L117" s="1"/>
      <c r="M117" s="1"/>
      <c r="N117" s="1"/>
      <c r="O117" s="1"/>
    </row>
    <row r="118" spans="1:15" x14ac:dyDescent="0.2">
      <c r="G118" s="54"/>
      <c r="H118" s="54"/>
      <c r="I118" s="53"/>
    </row>
    <row r="119" spans="1:15" x14ac:dyDescent="0.2">
      <c r="G119" s="54"/>
      <c r="H119" s="54"/>
      <c r="I119" s="53"/>
    </row>
    <row r="120" spans="1:15" x14ac:dyDescent="0.2">
      <c r="G120" s="54"/>
      <c r="H120" s="54"/>
      <c r="I120" s="53"/>
    </row>
  </sheetData>
  <sheetProtection insertRows="0"/>
  <mergeCells count="7">
    <mergeCell ref="K63:L63"/>
    <mergeCell ref="A70:D70"/>
    <mergeCell ref="C82:F82"/>
    <mergeCell ref="A1:H1"/>
    <mergeCell ref="A3:F3"/>
    <mergeCell ref="A11:F11"/>
    <mergeCell ref="A24:F24"/>
  </mergeCells>
  <conditionalFormatting sqref="H67:H68">
    <cfRule type="cellIs" dxfId="179" priority="1" operator="lessThan">
      <formula>0</formula>
    </cfRule>
  </conditionalFormatting>
  <conditionalFormatting sqref="C26">
    <cfRule type="duplicateValues" dxfId="178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900-000000000000}">
  <sheetPr codeName="Sheet497">
    <pageSetUpPr fitToPage="1"/>
  </sheetPr>
  <dimension ref="A1:O124"/>
  <sheetViews>
    <sheetView topLeftCell="A16" zoomScaleNormal="100" workbookViewId="0">
      <selection activeCell="E44" sqref="E44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12.85546875" style="1" customWidth="1"/>
    <col min="9" max="9" width="24.85546875" style="2" bestFit="1" customWidth="1"/>
    <col min="10" max="10" width="21.5703125" style="1" bestFit="1" customWidth="1"/>
    <col min="11" max="11" width="16.85546875" style="1" bestFit="1" customWidth="1"/>
    <col min="12" max="12" width="17.28515625" style="1" bestFit="1" customWidth="1"/>
    <col min="13" max="13" width="13.5703125" style="1" bestFit="1" customWidth="1"/>
    <col min="14" max="14" width="17.42578125" style="1" bestFit="1" customWidth="1"/>
    <col min="15" max="15" width="12.85546875" style="1" bestFit="1" customWidth="1"/>
    <col min="16" max="17" width="9.140625" style="1"/>
    <col min="18" max="18" width="15.5703125" style="1" bestFit="1" customWidth="1"/>
    <col min="19" max="16384" width="9.140625" style="1"/>
  </cols>
  <sheetData>
    <row r="1" spans="1:12" ht="20.25" customHeight="1" x14ac:dyDescent="0.4">
      <c r="A1" s="212" t="s">
        <v>1864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2" ht="12.75" customHeight="1" x14ac:dyDescent="0.4">
      <c r="I2" s="112"/>
      <c r="J2" s="112"/>
    </row>
    <row r="3" spans="1:12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2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2" s="2" customFormat="1" ht="14.25" customHeight="1" x14ac:dyDescent="0.4">
      <c r="A5" s="89">
        <v>45273</v>
      </c>
      <c r="B5" s="9" t="s">
        <v>6</v>
      </c>
      <c r="C5" s="10" t="s">
        <v>7</v>
      </c>
      <c r="D5" s="11"/>
      <c r="E5" s="12">
        <v>3806052.23</v>
      </c>
      <c r="F5" s="12"/>
      <c r="G5" s="1"/>
      <c r="H5" s="1"/>
      <c r="I5" s="112"/>
      <c r="J5" s="112"/>
    </row>
    <row r="6" spans="1:12" s="2" customFormat="1" ht="12.75" customHeight="1" x14ac:dyDescent="0.2">
      <c r="D6" s="15" t="s">
        <v>8</v>
      </c>
      <c r="E6" s="16">
        <f>SUM(E5:E5)</f>
        <v>3806052.23</v>
      </c>
      <c r="F6" s="16">
        <f>F5</f>
        <v>0</v>
      </c>
      <c r="G6" s="1"/>
      <c r="H6" s="1"/>
      <c r="I6" s="13" t="s">
        <v>1582</v>
      </c>
      <c r="J6" s="13" t="s">
        <v>1583</v>
      </c>
    </row>
    <row r="7" spans="1:12" s="2" customFormat="1" ht="12.75" customHeight="1" x14ac:dyDescent="0.2">
      <c r="A7" s="17"/>
      <c r="B7" s="18"/>
      <c r="C7" s="19" t="s">
        <v>9</v>
      </c>
      <c r="D7" s="20"/>
      <c r="E7" s="21">
        <f>+E6-F6</f>
        <v>3806052.23</v>
      </c>
      <c r="F7" s="22"/>
      <c r="G7" s="23"/>
      <c r="H7" s="23"/>
      <c r="I7" s="2">
        <v>0</v>
      </c>
      <c r="J7" s="2">
        <v>0</v>
      </c>
      <c r="K7" s="176">
        <f>I7-J7</f>
        <v>0</v>
      </c>
    </row>
    <row r="8" spans="1:12" ht="12.75" customHeight="1" x14ac:dyDescent="0.4">
      <c r="I8" s="112"/>
      <c r="J8" s="112"/>
    </row>
    <row r="9" spans="1:12" ht="18" customHeight="1" x14ac:dyDescent="0.4">
      <c r="A9" s="213" t="s">
        <v>1037</v>
      </c>
      <c r="B9" s="213"/>
      <c r="C9" s="213"/>
      <c r="D9" s="213"/>
      <c r="E9" s="213"/>
      <c r="F9" s="213"/>
      <c r="I9" s="112"/>
      <c r="J9" s="169">
        <f>90000000-60000000</f>
        <v>30000000</v>
      </c>
      <c r="K9" s="169" t="s">
        <v>1508</v>
      </c>
    </row>
    <row r="10" spans="1:12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I10" s="112"/>
      <c r="J10" s="169">
        <v>28223696.629999999</v>
      </c>
      <c r="K10" s="169" t="s">
        <v>1509</v>
      </c>
      <c r="L10" s="124"/>
    </row>
    <row r="11" spans="1:12" s="2" customFormat="1" ht="14.25" customHeight="1" x14ac:dyDescent="0.2">
      <c r="A11" s="89">
        <v>45273</v>
      </c>
      <c r="B11" s="9" t="s">
        <v>6</v>
      </c>
      <c r="C11" s="10" t="s">
        <v>7</v>
      </c>
      <c r="D11" s="11"/>
      <c r="F11" s="12">
        <v>28326425.059999999</v>
      </c>
      <c r="G11" s="1"/>
      <c r="H11" s="1"/>
      <c r="I11" s="130" t="s">
        <v>396</v>
      </c>
      <c r="J11" s="169">
        <f>+J9-J10</f>
        <v>1776303.370000001</v>
      </c>
      <c r="K11" s="169" t="s">
        <v>712</v>
      </c>
      <c r="L11" s="165" t="s">
        <v>1512</v>
      </c>
    </row>
    <row r="12" spans="1:12" s="2" customFormat="1" ht="14.25" customHeight="1" x14ac:dyDescent="0.2">
      <c r="A12" s="89">
        <v>45273</v>
      </c>
      <c r="B12" s="9" t="s">
        <v>6</v>
      </c>
      <c r="C12" s="76" t="s">
        <v>158</v>
      </c>
      <c r="D12" s="11" t="s">
        <v>13</v>
      </c>
      <c r="E12" s="31">
        <v>360066</v>
      </c>
      <c r="F12" s="31"/>
      <c r="G12" s="1"/>
      <c r="H12" s="1"/>
      <c r="I12" s="130"/>
      <c r="J12" s="169"/>
      <c r="K12" s="169"/>
      <c r="L12" s="165"/>
    </row>
    <row r="13" spans="1:12" s="2" customFormat="1" ht="14.25" customHeight="1" x14ac:dyDescent="0.2">
      <c r="A13" s="89">
        <v>45273</v>
      </c>
      <c r="B13" s="9" t="s">
        <v>6</v>
      </c>
      <c r="C13" s="76" t="s">
        <v>1099</v>
      </c>
      <c r="D13" s="11" t="s">
        <v>13</v>
      </c>
      <c r="E13" s="2">
        <v>2735672.43</v>
      </c>
      <c r="G13" s="1"/>
      <c r="H13" s="1"/>
      <c r="I13" s="130"/>
      <c r="J13" s="169"/>
      <c r="K13" s="169"/>
      <c r="L13" s="165"/>
    </row>
    <row r="14" spans="1:12" s="2" customFormat="1" ht="14.25" customHeight="1" x14ac:dyDescent="0.2">
      <c r="A14" s="89">
        <v>45273</v>
      </c>
      <c r="B14" s="9" t="s">
        <v>6</v>
      </c>
      <c r="C14" s="76" t="s">
        <v>21</v>
      </c>
      <c r="D14" s="11" t="s">
        <v>13</v>
      </c>
      <c r="E14" s="2">
        <v>350000</v>
      </c>
      <c r="G14" s="1"/>
      <c r="H14" s="1"/>
      <c r="I14" s="130"/>
      <c r="J14" s="169"/>
      <c r="K14" s="169"/>
      <c r="L14" s="165"/>
    </row>
    <row r="15" spans="1:12" s="2" customFormat="1" ht="14.25" customHeight="1" x14ac:dyDescent="0.2">
      <c r="A15" s="89">
        <v>45273</v>
      </c>
      <c r="B15" s="9" t="s">
        <v>11</v>
      </c>
      <c r="C15" s="76" t="s">
        <v>952</v>
      </c>
      <c r="D15" s="11" t="s">
        <v>29</v>
      </c>
      <c r="F15" s="2">
        <v>4890</v>
      </c>
      <c r="G15" s="1"/>
      <c r="H15" s="1"/>
      <c r="I15" s="130"/>
      <c r="J15" s="169"/>
      <c r="K15" s="169"/>
      <c r="L15" s="165"/>
    </row>
    <row r="16" spans="1:12" s="2" customFormat="1" ht="14.25" customHeight="1" x14ac:dyDescent="0.2">
      <c r="A16" s="89">
        <v>45273</v>
      </c>
      <c r="B16" s="9" t="s">
        <v>11</v>
      </c>
      <c r="C16" s="76" t="s">
        <v>325</v>
      </c>
      <c r="D16" s="11" t="s">
        <v>29</v>
      </c>
      <c r="F16" s="2">
        <v>3307</v>
      </c>
      <c r="G16" s="1"/>
      <c r="H16" s="1"/>
      <c r="I16" s="130"/>
      <c r="J16" s="169"/>
      <c r="K16" s="169"/>
      <c r="L16" s="165"/>
    </row>
    <row r="17" spans="1:15" s="2" customFormat="1" ht="14.25" customHeight="1" x14ac:dyDescent="0.2">
      <c r="A17" s="89">
        <v>45273</v>
      </c>
      <c r="B17" s="9" t="s">
        <v>11</v>
      </c>
      <c r="C17" s="76" t="s">
        <v>1191</v>
      </c>
      <c r="D17" s="11" t="s">
        <v>29</v>
      </c>
      <c r="F17" s="2">
        <v>9145</v>
      </c>
      <c r="G17" s="1"/>
      <c r="H17" s="1"/>
      <c r="I17" s="130"/>
      <c r="J17" s="169"/>
      <c r="K17" s="169"/>
      <c r="L17" s="165"/>
    </row>
    <row r="18" spans="1:15" s="2" customFormat="1" ht="14.25" customHeight="1" x14ac:dyDescent="0.2">
      <c r="A18" s="89">
        <v>45273</v>
      </c>
      <c r="B18" s="9" t="s">
        <v>11</v>
      </c>
      <c r="C18" s="76" t="s">
        <v>96</v>
      </c>
      <c r="D18" s="11" t="s">
        <v>29</v>
      </c>
      <c r="F18" s="2">
        <v>6137</v>
      </c>
      <c r="G18" s="1"/>
      <c r="H18" s="1"/>
      <c r="I18" s="130"/>
      <c r="J18" s="169"/>
      <c r="K18" s="169"/>
      <c r="L18" s="165"/>
    </row>
    <row r="19" spans="1:15" s="2" customFormat="1" ht="14.25" customHeight="1" x14ac:dyDescent="0.2">
      <c r="A19" s="89">
        <v>45273</v>
      </c>
      <c r="B19" s="9" t="s">
        <v>11</v>
      </c>
      <c r="C19" s="76" t="s">
        <v>356</v>
      </c>
      <c r="D19" s="11" t="s">
        <v>29</v>
      </c>
      <c r="F19" s="2">
        <v>1319531</v>
      </c>
      <c r="G19" s="1"/>
      <c r="H19" s="1"/>
      <c r="I19" s="130"/>
      <c r="J19" s="169"/>
      <c r="K19" s="169"/>
      <c r="L19" s="165"/>
    </row>
    <row r="20" spans="1:15" s="2" customFormat="1" ht="14.25" customHeight="1" x14ac:dyDescent="0.2">
      <c r="A20" s="89">
        <v>45273</v>
      </c>
      <c r="B20" s="9" t="s">
        <v>11</v>
      </c>
      <c r="C20" s="76" t="s">
        <v>443</v>
      </c>
      <c r="D20" s="11" t="s">
        <v>29</v>
      </c>
      <c r="F20" s="2">
        <v>1000000</v>
      </c>
      <c r="G20" s="1"/>
      <c r="H20" s="1"/>
      <c r="I20" s="130"/>
      <c r="J20" s="169"/>
      <c r="K20" s="169"/>
      <c r="L20" s="165"/>
    </row>
    <row r="21" spans="1:15" s="2" customFormat="1" ht="14.25" customHeight="1" x14ac:dyDescent="0.2">
      <c r="A21" s="89">
        <v>45273</v>
      </c>
      <c r="B21" s="9" t="s">
        <v>11</v>
      </c>
      <c r="C21" s="76" t="s">
        <v>525</v>
      </c>
      <c r="D21" s="11" t="s">
        <v>29</v>
      </c>
      <c r="F21" s="2">
        <v>1000000</v>
      </c>
      <c r="G21" s="1"/>
      <c r="H21" s="1"/>
      <c r="I21" s="130"/>
      <c r="J21" s="169"/>
      <c r="K21" s="169"/>
      <c r="L21" s="165"/>
    </row>
    <row r="22" spans="1:15" s="2" customFormat="1" ht="14.25" customHeight="1" x14ac:dyDescent="0.2">
      <c r="D22" s="11" t="s">
        <v>8</v>
      </c>
      <c r="E22" s="16">
        <f>SUM(E12:E21)</f>
        <v>3445738.43</v>
      </c>
      <c r="F22" s="16">
        <f>SUM(F11:F21)</f>
        <v>31669435.059999999</v>
      </c>
      <c r="G22" s="1"/>
      <c r="H22" s="1"/>
      <c r="I22" s="143"/>
      <c r="J22" s="130"/>
      <c r="K22" s="143"/>
      <c r="L22" s="143"/>
      <c r="M22" s="143"/>
      <c r="N22" s="143"/>
    </row>
    <row r="23" spans="1:15" s="2" customFormat="1" ht="14.25" customHeight="1" x14ac:dyDescent="0.4">
      <c r="A23" s="17"/>
      <c r="B23" s="18"/>
      <c r="C23" s="96" t="s">
        <v>9</v>
      </c>
      <c r="D23" s="20"/>
      <c r="E23" s="21">
        <f>+F22-E22</f>
        <v>28223696.629999999</v>
      </c>
      <c r="G23" s="1"/>
      <c r="H23" s="1"/>
      <c r="J23" s="112"/>
      <c r="K23" s="153" t="s">
        <v>779</v>
      </c>
    </row>
    <row r="24" spans="1:15" s="2" customFormat="1" ht="14.25" customHeight="1" x14ac:dyDescent="0.2">
      <c r="A24" s="36"/>
      <c r="B24" s="28" t="s">
        <v>66</v>
      </c>
      <c r="C24" s="43" t="s">
        <v>1458</v>
      </c>
      <c r="D24" s="43"/>
      <c r="E24" s="12">
        <f>30000000+60000000</f>
        <v>90000000</v>
      </c>
      <c r="F24" s="22"/>
      <c r="G24" s="1"/>
      <c r="H24" s="1"/>
      <c r="J24" s="40">
        <v>28326425.059999999</v>
      </c>
      <c r="K24" s="154">
        <f>J24-E23</f>
        <v>102728.4299999997</v>
      </c>
    </row>
    <row r="25" spans="1:15" s="2" customFormat="1" ht="14.25" customHeight="1" x14ac:dyDescent="0.25">
      <c r="A25" s="36"/>
      <c r="B25" s="28"/>
      <c r="C25" s="44" t="s">
        <v>1541</v>
      </c>
      <c r="D25" s="43"/>
      <c r="E25" s="7">
        <f>+E23+E24</f>
        <v>118223696.63</v>
      </c>
      <c r="F25" s="22"/>
      <c r="G25" s="1"/>
      <c r="H25" s="1"/>
      <c r="I25" s="13" t="s">
        <v>1582</v>
      </c>
      <c r="J25" s="13" t="s">
        <v>1583</v>
      </c>
    </row>
    <row r="26" spans="1:15" s="2" customFormat="1" ht="14.25" customHeight="1" x14ac:dyDescent="0.25">
      <c r="A26" s="36"/>
      <c r="B26" s="28"/>
      <c r="C26" s="44" t="s">
        <v>1511</v>
      </c>
      <c r="D26" s="43"/>
      <c r="E26" s="38">
        <f>+J11+I7-J7</f>
        <v>1776303.370000001</v>
      </c>
      <c r="F26" s="22"/>
      <c r="G26" s="1"/>
      <c r="H26" s="1"/>
      <c r="I26" s="2">
        <v>1357419</v>
      </c>
      <c r="J26" s="2">
        <v>1133025</v>
      </c>
      <c r="K26" s="176">
        <f>I26-J26</f>
        <v>224394</v>
      </c>
    </row>
    <row r="27" spans="1:15" s="2" customFormat="1" ht="14.25" customHeight="1" x14ac:dyDescent="0.2">
      <c r="A27" s="24"/>
      <c r="B27" s="1"/>
      <c r="C27" s="14"/>
      <c r="D27" s="25"/>
      <c r="G27" s="1"/>
      <c r="H27" s="1"/>
      <c r="J27" s="130"/>
      <c r="K27" s="130"/>
    </row>
    <row r="28" spans="1:15" s="2" customFormat="1" x14ac:dyDescent="0.2">
      <c r="A28" s="214" t="s">
        <v>10</v>
      </c>
      <c r="B28" s="214"/>
      <c r="C28" s="214"/>
      <c r="D28" s="214"/>
      <c r="E28" s="214"/>
      <c r="F28" s="214"/>
      <c r="G28" s="1"/>
      <c r="H28" s="1"/>
      <c r="I28" s="159"/>
      <c r="J28" s="160">
        <f>225000000-75000000-50000000</f>
        <v>100000000</v>
      </c>
      <c r="K28" s="160" t="s">
        <v>1506</v>
      </c>
      <c r="L28" s="70"/>
    </row>
    <row r="29" spans="1:15" s="2" customFormat="1" x14ac:dyDescent="0.2">
      <c r="A29" s="26" t="s">
        <v>1</v>
      </c>
      <c r="B29" s="27" t="s">
        <v>2</v>
      </c>
      <c r="C29" s="5"/>
      <c r="D29" s="6" t="s">
        <v>3</v>
      </c>
      <c r="E29" s="7" t="s">
        <v>4</v>
      </c>
      <c r="F29" s="7" t="s">
        <v>5</v>
      </c>
      <c r="G29" s="1"/>
      <c r="H29" s="1"/>
      <c r="I29" s="159"/>
      <c r="J29" s="160">
        <v>73140915.590000004</v>
      </c>
      <c r="K29" s="160" t="s">
        <v>1507</v>
      </c>
      <c r="L29" s="70" t="s">
        <v>1512</v>
      </c>
    </row>
    <row r="30" spans="1:15" s="2" customFormat="1" x14ac:dyDescent="0.2">
      <c r="A30" s="89">
        <v>45273</v>
      </c>
      <c r="B30" s="128" t="s">
        <v>11</v>
      </c>
      <c r="C30" s="29" t="s">
        <v>7</v>
      </c>
      <c r="D30" s="25"/>
      <c r="E30" s="31"/>
      <c r="F30" s="2">
        <v>80238472.280000001</v>
      </c>
      <c r="G30" s="23"/>
      <c r="H30" s="23"/>
      <c r="I30" s="159" t="s">
        <v>1505</v>
      </c>
      <c r="J30" s="160">
        <f>+J28-J29</f>
        <v>26859084.409999996</v>
      </c>
      <c r="K30" s="160"/>
      <c r="L30" s="70"/>
    </row>
    <row r="31" spans="1:15" s="2" customFormat="1" x14ac:dyDescent="0.2">
      <c r="A31" s="89">
        <v>45273</v>
      </c>
      <c r="B31" s="128" t="s">
        <v>6</v>
      </c>
      <c r="C31" s="29" t="s">
        <v>15</v>
      </c>
      <c r="D31" s="11" t="s">
        <v>13</v>
      </c>
      <c r="E31" s="86">
        <v>63586.479999999996</v>
      </c>
      <c r="F31" s="70"/>
      <c r="G31" s="1"/>
      <c r="H31" s="1"/>
      <c r="O31" s="1"/>
    </row>
    <row r="32" spans="1:15" s="2" customFormat="1" x14ac:dyDescent="0.2">
      <c r="A32" s="89">
        <v>45273</v>
      </c>
      <c r="B32" s="128" t="s">
        <v>6</v>
      </c>
      <c r="C32" s="29" t="s">
        <v>758</v>
      </c>
      <c r="D32" s="11" t="s">
        <v>13</v>
      </c>
      <c r="E32" s="86">
        <v>65214.9</v>
      </c>
      <c r="F32" s="70"/>
      <c r="G32" s="1"/>
      <c r="H32" s="1"/>
      <c r="O32" s="1"/>
    </row>
    <row r="33" spans="1:15" s="2" customFormat="1" x14ac:dyDescent="0.2">
      <c r="A33" s="89">
        <v>45273</v>
      </c>
      <c r="B33" s="128" t="s">
        <v>6</v>
      </c>
      <c r="C33" s="29" t="s">
        <v>765</v>
      </c>
      <c r="D33" s="11" t="s">
        <v>13</v>
      </c>
      <c r="E33" s="86">
        <v>411957.2</v>
      </c>
      <c r="F33" s="70"/>
      <c r="G33" s="1"/>
      <c r="H33" s="1"/>
      <c r="O33" s="1"/>
    </row>
    <row r="34" spans="1:15" s="2" customFormat="1" x14ac:dyDescent="0.2">
      <c r="A34" s="89">
        <v>45273</v>
      </c>
      <c r="B34" s="128" t="s">
        <v>6</v>
      </c>
      <c r="C34" s="29" t="s">
        <v>358</v>
      </c>
      <c r="D34" s="11" t="s">
        <v>13</v>
      </c>
      <c r="E34" s="86">
        <v>243885</v>
      </c>
      <c r="F34" s="70"/>
      <c r="G34" s="1"/>
      <c r="H34" s="1"/>
      <c r="O34" s="1"/>
    </row>
    <row r="35" spans="1:15" s="2" customFormat="1" x14ac:dyDescent="0.2">
      <c r="A35" s="89">
        <v>45273</v>
      </c>
      <c r="B35" s="128" t="s">
        <v>6</v>
      </c>
      <c r="C35" s="29" t="s">
        <v>1708</v>
      </c>
      <c r="D35" s="11" t="s">
        <v>13</v>
      </c>
      <c r="E35" s="86">
        <v>25245</v>
      </c>
      <c r="F35" s="70"/>
      <c r="G35" s="1"/>
      <c r="H35" s="1"/>
      <c r="O35" s="1"/>
    </row>
    <row r="36" spans="1:15" s="2" customFormat="1" x14ac:dyDescent="0.2">
      <c r="A36" s="89">
        <v>45273</v>
      </c>
      <c r="B36" s="128" t="s">
        <v>6</v>
      </c>
      <c r="C36" s="29" t="s">
        <v>17</v>
      </c>
      <c r="D36" s="11" t="s">
        <v>13</v>
      </c>
      <c r="E36" s="86">
        <v>251957</v>
      </c>
      <c r="F36" s="70"/>
      <c r="G36" s="1"/>
      <c r="H36" s="1"/>
      <c r="O36" s="1"/>
    </row>
    <row r="37" spans="1:15" s="2" customFormat="1" x14ac:dyDescent="0.2">
      <c r="A37" s="89">
        <v>45273</v>
      </c>
      <c r="B37" s="128" t="s">
        <v>6</v>
      </c>
      <c r="C37" s="29" t="s">
        <v>727</v>
      </c>
      <c r="D37" s="11" t="s">
        <v>13</v>
      </c>
      <c r="E37" s="86">
        <v>131753</v>
      </c>
      <c r="F37" s="70"/>
      <c r="G37" s="1"/>
      <c r="H37" s="1"/>
      <c r="O37" s="1"/>
    </row>
    <row r="38" spans="1:15" s="2" customFormat="1" x14ac:dyDescent="0.2">
      <c r="A38" s="89">
        <v>45273</v>
      </c>
      <c r="B38" s="128" t="s">
        <v>6</v>
      </c>
      <c r="C38" s="29" t="s">
        <v>640</v>
      </c>
      <c r="D38" s="11" t="s">
        <v>13</v>
      </c>
      <c r="E38" s="86">
        <v>89852</v>
      </c>
      <c r="F38" s="70"/>
      <c r="G38" s="1"/>
      <c r="H38" s="1"/>
      <c r="O38" s="1"/>
    </row>
    <row r="39" spans="1:15" s="2" customFormat="1" x14ac:dyDescent="0.2">
      <c r="A39" s="89">
        <v>45273</v>
      </c>
      <c r="B39" s="128" t="s">
        <v>6</v>
      </c>
      <c r="C39" s="29" t="s">
        <v>694</v>
      </c>
      <c r="D39" s="11" t="s">
        <v>13</v>
      </c>
      <c r="E39" s="86">
        <v>1000000</v>
      </c>
      <c r="F39" s="70"/>
      <c r="G39" s="1"/>
      <c r="H39" s="1"/>
      <c r="O39" s="1"/>
    </row>
    <row r="40" spans="1:15" s="2" customFormat="1" x14ac:dyDescent="0.2">
      <c r="A40" s="89">
        <v>45273</v>
      </c>
      <c r="B40" s="128" t="s">
        <v>6</v>
      </c>
      <c r="C40" s="29" t="s">
        <v>1710</v>
      </c>
      <c r="D40" s="11" t="s">
        <v>13</v>
      </c>
      <c r="E40" s="86">
        <v>267567</v>
      </c>
      <c r="F40" s="70"/>
      <c r="G40" s="1"/>
      <c r="H40" s="1"/>
      <c r="O40" s="1"/>
    </row>
    <row r="41" spans="1:15" s="2" customFormat="1" x14ac:dyDescent="0.2">
      <c r="A41" s="89">
        <v>45273</v>
      </c>
      <c r="B41" s="128" t="s">
        <v>6</v>
      </c>
      <c r="C41" s="29" t="s">
        <v>177</v>
      </c>
      <c r="D41" s="11" t="s">
        <v>13</v>
      </c>
      <c r="E41" s="86">
        <v>367128</v>
      </c>
      <c r="F41" s="70"/>
      <c r="G41" s="1"/>
      <c r="H41" s="1"/>
      <c r="O41" s="1"/>
    </row>
    <row r="42" spans="1:15" s="2" customFormat="1" x14ac:dyDescent="0.2">
      <c r="A42" s="89">
        <v>45273</v>
      </c>
      <c r="B42" s="128" t="s">
        <v>6</v>
      </c>
      <c r="C42" s="29" t="s">
        <v>480</v>
      </c>
      <c r="D42" s="11" t="s">
        <v>13</v>
      </c>
      <c r="E42" s="86">
        <v>2450861.6</v>
      </c>
      <c r="F42" s="70"/>
      <c r="G42" s="1"/>
      <c r="H42" s="1"/>
      <c r="O42" s="1"/>
    </row>
    <row r="43" spans="1:15" s="2" customFormat="1" x14ac:dyDescent="0.2">
      <c r="A43" s="89">
        <v>45273</v>
      </c>
      <c r="B43" s="128" t="s">
        <v>6</v>
      </c>
      <c r="C43" s="29" t="s">
        <v>247</v>
      </c>
      <c r="D43" s="11" t="s">
        <v>13</v>
      </c>
      <c r="E43" s="86">
        <v>2450000</v>
      </c>
      <c r="F43" s="70"/>
      <c r="G43" s="1"/>
      <c r="H43" s="1"/>
      <c r="O43" s="1"/>
    </row>
    <row r="44" spans="1:15" s="2" customFormat="1" x14ac:dyDescent="0.2">
      <c r="A44" s="89">
        <v>45273</v>
      </c>
      <c r="B44" s="128" t="s">
        <v>6</v>
      </c>
      <c r="C44" s="29" t="s">
        <v>612</v>
      </c>
      <c r="D44" s="11" t="s">
        <v>13</v>
      </c>
      <c r="E44" s="86">
        <v>22512</v>
      </c>
      <c r="F44" s="70"/>
      <c r="G44" s="1"/>
      <c r="H44" s="1"/>
      <c r="O44" s="1"/>
    </row>
    <row r="45" spans="1:15" s="2" customFormat="1" x14ac:dyDescent="0.2">
      <c r="A45" s="89">
        <v>45273</v>
      </c>
      <c r="B45" s="128" t="s">
        <v>11</v>
      </c>
      <c r="C45" s="29" t="s">
        <v>156</v>
      </c>
      <c r="D45" s="11" t="s">
        <v>29</v>
      </c>
      <c r="E45" s="86"/>
      <c r="F45" s="70">
        <v>1493.8700000000001</v>
      </c>
      <c r="G45" s="1"/>
      <c r="H45" s="1"/>
      <c r="O45" s="1"/>
    </row>
    <row r="46" spans="1:15" s="2" customFormat="1" x14ac:dyDescent="0.2">
      <c r="A46" s="89">
        <v>45273</v>
      </c>
      <c r="B46" s="128" t="s">
        <v>11</v>
      </c>
      <c r="C46" s="29" t="s">
        <v>687</v>
      </c>
      <c r="D46" s="11" t="s">
        <v>29</v>
      </c>
      <c r="E46" s="86"/>
      <c r="F46" s="70">
        <v>348948</v>
      </c>
      <c r="G46" s="1"/>
      <c r="H46" s="1"/>
      <c r="O46" s="1"/>
    </row>
    <row r="47" spans="1:15" s="2" customFormat="1" x14ac:dyDescent="0.2">
      <c r="A47" s="89">
        <v>45273</v>
      </c>
      <c r="B47" s="128" t="s">
        <v>11</v>
      </c>
      <c r="C47" s="29" t="s">
        <v>64</v>
      </c>
      <c r="D47" s="11" t="s">
        <v>29</v>
      </c>
      <c r="E47" s="86"/>
      <c r="F47" s="70">
        <v>10.620000000000001</v>
      </c>
      <c r="G47" s="1"/>
      <c r="H47" s="1"/>
      <c r="O47" s="1"/>
    </row>
    <row r="48" spans="1:15" s="2" customFormat="1" x14ac:dyDescent="0.2">
      <c r="A48" s="89">
        <v>45273</v>
      </c>
      <c r="B48" s="128" t="s">
        <v>11</v>
      </c>
      <c r="C48" s="29" t="s">
        <v>1865</v>
      </c>
      <c r="D48" s="11" t="s">
        <v>29</v>
      </c>
      <c r="E48" s="86"/>
      <c r="F48" s="70">
        <v>169116</v>
      </c>
      <c r="G48" s="1"/>
      <c r="H48" s="1"/>
      <c r="O48" s="1"/>
    </row>
    <row r="49" spans="1:15" s="2" customFormat="1" x14ac:dyDescent="0.2">
      <c r="A49" s="32"/>
      <c r="B49" s="33"/>
      <c r="C49" s="14"/>
      <c r="D49" s="34"/>
      <c r="E49" s="16">
        <f>SUM(E30:E48)</f>
        <v>7841519.1799999997</v>
      </c>
      <c r="F49" s="16">
        <f>SUM(F30:F48)</f>
        <v>80758040.770000011</v>
      </c>
      <c r="G49" s="1"/>
      <c r="H49" s="1"/>
      <c r="I49" s="1"/>
      <c r="J49" s="38">
        <v>72916521.590000004</v>
      </c>
      <c r="L49" s="92">
        <f>E50-J49</f>
        <v>0</v>
      </c>
      <c r="O49" s="1"/>
    </row>
    <row r="50" spans="1:15" s="2" customFormat="1" x14ac:dyDescent="0.2">
      <c r="A50" s="36"/>
      <c r="B50" s="28" t="s">
        <v>11</v>
      </c>
      <c r="C50" s="19" t="s">
        <v>65</v>
      </c>
      <c r="D50" s="37"/>
      <c r="E50" s="38">
        <f>F49-E49</f>
        <v>72916521.590000004</v>
      </c>
      <c r="F50" s="22"/>
      <c r="G50" s="1"/>
      <c r="H50" s="1"/>
      <c r="I50" s="1"/>
      <c r="J50" s="70"/>
      <c r="K50" s="70"/>
      <c r="L50" s="70"/>
      <c r="O50" s="1"/>
    </row>
    <row r="51" spans="1:15" s="2" customFormat="1" x14ac:dyDescent="0.2">
      <c r="A51" s="36"/>
      <c r="B51" s="28" t="s">
        <v>66</v>
      </c>
      <c r="C51" s="19" t="s">
        <v>67</v>
      </c>
      <c r="D51" s="37"/>
      <c r="E51" s="38">
        <f>6500000-3070800</f>
        <v>3429200</v>
      </c>
      <c r="F51" s="22"/>
      <c r="G51" s="1"/>
      <c r="H51" s="1"/>
      <c r="I51" s="70"/>
      <c r="J51" s="70"/>
      <c r="K51" s="70"/>
      <c r="L51" s="70"/>
      <c r="O51" s="1"/>
    </row>
    <row r="52" spans="1:15" s="2" customFormat="1" x14ac:dyDescent="0.2">
      <c r="A52" s="36"/>
      <c r="B52" s="28" t="s">
        <v>66</v>
      </c>
      <c r="C52" s="43" t="s">
        <v>1457</v>
      </c>
      <c r="D52" s="43"/>
      <c r="E52" s="12">
        <f>275000000+75000000+50000000</f>
        <v>400000000</v>
      </c>
      <c r="F52" s="22"/>
      <c r="G52" s="1"/>
      <c r="H52" s="1"/>
      <c r="I52" s="70"/>
      <c r="J52" s="45">
        <v>700.09</v>
      </c>
      <c r="K52" s="46"/>
      <c r="L52" s="46"/>
      <c r="O52" s="1"/>
    </row>
    <row r="53" spans="1:15" s="2" customFormat="1" ht="15" x14ac:dyDescent="0.25">
      <c r="A53" s="36"/>
      <c r="B53" s="28"/>
      <c r="C53" s="44" t="s">
        <v>1541</v>
      </c>
      <c r="D53" s="43"/>
      <c r="E53" s="7">
        <f>+E52+E50+E51</f>
        <v>476345721.59000003</v>
      </c>
      <c r="F53" s="22"/>
      <c r="G53" s="1"/>
      <c r="H53" s="1"/>
      <c r="I53" s="103" t="s">
        <v>69</v>
      </c>
      <c r="J53" s="45">
        <v>-100.06</v>
      </c>
      <c r="K53" s="46"/>
      <c r="L53" s="46"/>
      <c r="O53" s="1"/>
    </row>
    <row r="54" spans="1:15" s="2" customFormat="1" ht="15" x14ac:dyDescent="0.25">
      <c r="A54" s="24"/>
      <c r="B54" s="1"/>
      <c r="C54" s="44" t="s">
        <v>1510</v>
      </c>
      <c r="D54" s="25"/>
      <c r="E54" s="156">
        <f>+J30-E51+I26-J26</f>
        <v>23654278.409999996</v>
      </c>
      <c r="G54" s="1"/>
      <c r="H54" s="1"/>
      <c r="I54" s="35">
        <v>1</v>
      </c>
      <c r="J54" s="45">
        <v>100.06</v>
      </c>
      <c r="K54" s="46">
        <f>+J55-D57</f>
        <v>0</v>
      </c>
      <c r="O54" s="1"/>
    </row>
    <row r="55" spans="1:15" s="124" customFormat="1" ht="12.75" customHeight="1" x14ac:dyDescent="0.2">
      <c r="A55" s="24"/>
      <c r="B55" s="1"/>
      <c r="C55" s="56"/>
      <c r="D55" s="56"/>
      <c r="E55" s="104"/>
      <c r="F55" s="2"/>
      <c r="G55" s="166"/>
      <c r="H55" s="166"/>
      <c r="I55" s="70"/>
      <c r="J55" s="49">
        <f>SUM(J52:J54)</f>
        <v>700.08999999999992</v>
      </c>
      <c r="K55" s="46"/>
      <c r="L55" s="46"/>
    </row>
    <row r="56" spans="1:15" s="124" customFormat="1" ht="12.75" customHeight="1" x14ac:dyDescent="0.2">
      <c r="A56" s="24"/>
      <c r="B56" s="1"/>
      <c r="C56" s="78" t="s">
        <v>575</v>
      </c>
      <c r="D56" s="48" t="s">
        <v>576</v>
      </c>
      <c r="E56" s="104"/>
      <c r="F56" s="2"/>
      <c r="G56" s="168"/>
      <c r="H56" s="168"/>
      <c r="I56" s="167"/>
      <c r="J56" s="167"/>
      <c r="K56" s="168"/>
    </row>
    <row r="57" spans="1:15" s="124" customFormat="1" ht="12.75" customHeight="1" x14ac:dyDescent="0.2">
      <c r="A57" s="24"/>
      <c r="B57" s="1"/>
      <c r="C57" s="47" t="s">
        <v>570</v>
      </c>
      <c r="D57" s="111">
        <v>700.09</v>
      </c>
      <c r="E57" s="104"/>
      <c r="F57" s="2"/>
      <c r="G57" s="168"/>
      <c r="H57" s="168"/>
      <c r="I57" s="110" t="s">
        <v>581</v>
      </c>
      <c r="J57" s="167"/>
      <c r="K57" s="168"/>
    </row>
    <row r="58" spans="1:15" s="124" customFormat="1" ht="12.75" customHeight="1" x14ac:dyDescent="0.2">
      <c r="A58" s="24"/>
      <c r="B58" s="1"/>
      <c r="C58" s="47" t="s">
        <v>931</v>
      </c>
      <c r="D58" s="111">
        <v>249.7</v>
      </c>
      <c r="E58" s="104"/>
      <c r="F58" s="2"/>
      <c r="G58" s="168"/>
      <c r="H58" s="168"/>
      <c r="I58" s="110" t="s">
        <v>580</v>
      </c>
      <c r="J58" s="167"/>
      <c r="K58" s="168"/>
    </row>
    <row r="59" spans="1:15" s="124" customFormat="1" ht="12.75" customHeight="1" x14ac:dyDescent="0.2">
      <c r="A59" s="24"/>
      <c r="B59" s="1"/>
      <c r="C59" s="47" t="s">
        <v>572</v>
      </c>
      <c r="D59" s="111">
        <f>+D84/100000</f>
        <v>234.71438069999999</v>
      </c>
      <c r="E59" s="104"/>
      <c r="F59" s="2"/>
      <c r="G59" s="166"/>
      <c r="H59" s="166"/>
      <c r="I59" s="90" t="s">
        <v>587</v>
      </c>
      <c r="J59" s="167"/>
      <c r="K59" s="168"/>
    </row>
    <row r="60" spans="1:15" s="2" customFormat="1" x14ac:dyDescent="0.2">
      <c r="A60" s="24"/>
      <c r="B60" s="1"/>
      <c r="C60" s="108" t="s">
        <v>578</v>
      </c>
      <c r="D60" s="48">
        <f>SUM(D57:D59)</f>
        <v>1184.5043807</v>
      </c>
      <c r="E60" s="104"/>
      <c r="G60" s="30"/>
      <c r="H60" s="30"/>
      <c r="J60" s="13"/>
      <c r="K60" s="13"/>
    </row>
    <row r="61" spans="1:15" s="70" customFormat="1" x14ac:dyDescent="0.2">
      <c r="A61" s="24"/>
      <c r="B61" s="1"/>
      <c r="C61" s="47"/>
      <c r="D61" s="107"/>
      <c r="E61" s="104"/>
      <c r="F61" s="2"/>
      <c r="G61" s="30"/>
      <c r="H61" s="30"/>
      <c r="I61" s="2"/>
    </row>
    <row r="62" spans="1:15" s="70" customFormat="1" x14ac:dyDescent="0.2">
      <c r="A62" s="24"/>
      <c r="B62" s="1"/>
      <c r="C62" s="47" t="s">
        <v>932</v>
      </c>
      <c r="D62" s="111">
        <v>172.79</v>
      </c>
      <c r="E62" s="104"/>
      <c r="F62" s="2"/>
      <c r="G62" s="30"/>
      <c r="H62" s="30"/>
      <c r="I62" s="110" t="s">
        <v>581</v>
      </c>
    </row>
    <row r="63" spans="1:15" s="70" customFormat="1" x14ac:dyDescent="0.2">
      <c r="A63" s="24"/>
      <c r="B63" s="1"/>
      <c r="C63" s="136" t="s">
        <v>1142</v>
      </c>
      <c r="D63" s="111">
        <v>333.81</v>
      </c>
      <c r="E63" s="104"/>
      <c r="F63" s="2"/>
      <c r="G63" s="30"/>
      <c r="H63" s="30"/>
      <c r="I63" s="110" t="s">
        <v>581</v>
      </c>
    </row>
    <row r="64" spans="1:15" s="70" customFormat="1" x14ac:dyDescent="0.2">
      <c r="A64" s="24"/>
      <c r="B64" s="1"/>
      <c r="C64" s="78" t="s">
        <v>579</v>
      </c>
      <c r="D64" s="109">
        <f>D62+D63</f>
        <v>506.6</v>
      </c>
      <c r="E64" s="104"/>
      <c r="F64" s="2"/>
      <c r="G64" s="30"/>
      <c r="H64" s="30"/>
    </row>
    <row r="65" spans="1:15" s="70" customFormat="1" x14ac:dyDescent="0.2">
      <c r="A65" s="24"/>
      <c r="B65" s="1"/>
      <c r="C65" s="105"/>
      <c r="D65" s="106"/>
      <c r="E65" s="104"/>
      <c r="F65" s="2"/>
      <c r="G65" s="30"/>
      <c r="H65" s="30"/>
      <c r="J65" s="2"/>
      <c r="K65" s="221" t="str">
        <f>"FROM ( 01-12-2023 to "&amp;TEXT(A5,"dd-mm-yyyy")&amp;" )"</f>
        <v>FROM ( 01-12-2023 to 13-12-2023 )</v>
      </c>
      <c r="L65" s="221"/>
      <c r="M65" s="2"/>
      <c r="N65" s="2"/>
    </row>
    <row r="66" spans="1:15" s="70" customFormat="1" x14ac:dyDescent="0.2">
      <c r="A66" s="24"/>
      <c r="B66" s="1"/>
      <c r="C66" s="78" t="s">
        <v>577</v>
      </c>
      <c r="D66" s="109">
        <f>D57+D64</f>
        <v>1206.69</v>
      </c>
      <c r="E66" s="104"/>
      <c r="F66" s="2"/>
      <c r="G66" s="30"/>
      <c r="H66" s="30"/>
      <c r="J66" s="113"/>
      <c r="K66" s="113" t="s">
        <v>709</v>
      </c>
      <c r="L66" s="113" t="s">
        <v>710</v>
      </c>
      <c r="M66" s="113" t="s">
        <v>711</v>
      </c>
      <c r="N66" s="113" t="s">
        <v>712</v>
      </c>
    </row>
    <row r="67" spans="1:15" s="70" customFormat="1" x14ac:dyDescent="0.2">
      <c r="A67" s="24"/>
      <c r="B67" s="1"/>
      <c r="C67" s="56"/>
      <c r="D67" s="56"/>
      <c r="E67" s="104"/>
      <c r="F67" s="2"/>
      <c r="G67" s="30"/>
      <c r="H67" s="30"/>
      <c r="J67" s="113" t="s">
        <v>1860</v>
      </c>
      <c r="K67" s="115">
        <v>191.86</v>
      </c>
      <c r="L67" s="115">
        <v>93.65</v>
      </c>
      <c r="M67" s="115">
        <v>27.85</v>
      </c>
      <c r="N67" s="113">
        <f>+K67+M67-L67</f>
        <v>126.06</v>
      </c>
    </row>
    <row r="68" spans="1:15" s="70" customFormat="1" ht="38.25" x14ac:dyDescent="0.2">
      <c r="A68" s="24"/>
      <c r="B68" s="1"/>
      <c r="C68" s="79" t="str">
        <f>"Particulars ( 01-12-2023 to "&amp;TEXT(A5,"dd-mm-yyyy")&amp;" )"</f>
        <v>Particulars ( 01-12-2023 to 13-12-2023 )</v>
      </c>
      <c r="D68" s="79" t="s">
        <v>7</v>
      </c>
      <c r="E68" s="80" t="s">
        <v>73</v>
      </c>
      <c r="F68" s="80" t="s">
        <v>74</v>
      </c>
      <c r="G68" s="81" t="s">
        <v>75</v>
      </c>
      <c r="H68" s="80" t="s">
        <v>76</v>
      </c>
      <c r="J68" s="113" t="s">
        <v>1861</v>
      </c>
      <c r="K68" s="115">
        <v>1332.26</v>
      </c>
      <c r="L68" s="115">
        <v>241.65</v>
      </c>
      <c r="M68" s="115">
        <v>406.55</v>
      </c>
      <c r="N68" s="113">
        <f>+K68+M68-L68</f>
        <v>1497.1599999999999</v>
      </c>
    </row>
    <row r="69" spans="1:15" s="70" customFormat="1" x14ac:dyDescent="0.2">
      <c r="A69" s="24"/>
      <c r="B69" s="1"/>
      <c r="C69" s="50" t="s">
        <v>444</v>
      </c>
      <c r="D69" s="55">
        <f>+K69</f>
        <v>361.11</v>
      </c>
      <c r="E69" s="55">
        <f>+M69</f>
        <v>172.79</v>
      </c>
      <c r="F69" s="55">
        <f>+L69</f>
        <v>249.7</v>
      </c>
      <c r="G69" s="55">
        <f>+D69+E69-F69</f>
        <v>284.2</v>
      </c>
      <c r="H69" s="55">
        <f>1500-G69</f>
        <v>1215.8</v>
      </c>
      <c r="J69" s="113" t="s">
        <v>707</v>
      </c>
      <c r="K69" s="115">
        <v>361.11</v>
      </c>
      <c r="L69" s="115">
        <v>249.7</v>
      </c>
      <c r="M69" s="115">
        <v>172.79</v>
      </c>
      <c r="N69" s="113">
        <f>+K69+M69-L69</f>
        <v>284.2</v>
      </c>
    </row>
    <row r="70" spans="1:15" s="70" customFormat="1" ht="12.75" customHeight="1" x14ac:dyDescent="0.2">
      <c r="A70" s="24"/>
      <c r="B70" s="1"/>
      <c r="C70" s="50" t="s">
        <v>71</v>
      </c>
      <c r="D70" s="55">
        <f>+K67+K68</f>
        <v>1524.12</v>
      </c>
      <c r="E70" s="55">
        <f>+M67+M68</f>
        <v>434.40000000000003</v>
      </c>
      <c r="F70" s="55">
        <f>+L67+L68</f>
        <v>335.3</v>
      </c>
      <c r="G70" s="55">
        <f>+D70+E70-F70</f>
        <v>1623.22</v>
      </c>
      <c r="H70" s="55">
        <f>1500+700-G70</f>
        <v>576.78</v>
      </c>
      <c r="J70" s="2"/>
      <c r="K70" s="118">
        <f>SUM(K67:K69)</f>
        <v>1885.23</v>
      </c>
      <c r="L70" s="118">
        <f>SUM(L67:L69)</f>
        <v>585</v>
      </c>
      <c r="M70" s="118">
        <f>SUM(M67:M69)</f>
        <v>607.19000000000005</v>
      </c>
      <c r="N70" s="118">
        <f>SUM(N67:N69)</f>
        <v>1907.4199999999998</v>
      </c>
    </row>
    <row r="71" spans="1:15" s="70" customFormat="1" ht="12.75" customHeight="1" x14ac:dyDescent="0.2">
      <c r="A71" s="24"/>
      <c r="B71" s="1"/>
      <c r="C71" s="14"/>
      <c r="D71" s="56"/>
      <c r="E71" s="13"/>
      <c r="F71" s="2"/>
      <c r="G71" s="30"/>
      <c r="H71" s="30"/>
    </row>
    <row r="72" spans="1:15" s="70" customFormat="1" ht="12.75" customHeight="1" x14ac:dyDescent="0.2">
      <c r="A72" s="215" t="s">
        <v>80</v>
      </c>
      <c r="B72" s="216"/>
      <c r="C72" s="216"/>
      <c r="D72" s="217"/>
      <c r="E72" s="69"/>
      <c r="G72" s="30"/>
      <c r="H72" s="30"/>
    </row>
    <row r="73" spans="1:15" s="70" customFormat="1" ht="12.75" customHeight="1" x14ac:dyDescent="0.2">
      <c r="A73" s="71" t="s">
        <v>81</v>
      </c>
      <c r="B73" s="71"/>
      <c r="C73" s="72" t="s">
        <v>82</v>
      </c>
      <c r="D73" s="73" t="s">
        <v>83</v>
      </c>
      <c r="E73" s="69"/>
      <c r="G73" s="30"/>
      <c r="H73" s="30"/>
    </row>
    <row r="74" spans="1:15" s="70" customFormat="1" ht="12.75" customHeight="1" x14ac:dyDescent="0.2">
      <c r="A74" s="87">
        <v>45264</v>
      </c>
      <c r="B74" s="120" t="s">
        <v>6</v>
      </c>
      <c r="C74" s="75" t="s">
        <v>909</v>
      </c>
      <c r="D74" s="88">
        <v>13756945</v>
      </c>
      <c r="E74" s="2"/>
      <c r="F74" s="2"/>
      <c r="G74" s="30"/>
      <c r="H74" s="30"/>
      <c r="I74" s="2"/>
      <c r="J74" s="2"/>
      <c r="K74" s="2"/>
      <c r="L74" s="2"/>
      <c r="M74" s="41"/>
      <c r="N74" s="42"/>
      <c r="O74" s="2"/>
    </row>
    <row r="75" spans="1:15" s="70" customFormat="1" ht="12.75" customHeight="1" x14ac:dyDescent="0.2">
      <c r="A75" s="87">
        <v>45265</v>
      </c>
      <c r="B75" s="120" t="s">
        <v>6</v>
      </c>
      <c r="C75" s="75" t="s">
        <v>1552</v>
      </c>
      <c r="D75" s="88">
        <v>2152501.6</v>
      </c>
      <c r="E75" s="2"/>
      <c r="F75" s="2"/>
      <c r="G75" s="30"/>
      <c r="H75" s="30"/>
      <c r="I75" s="2"/>
      <c r="J75" s="2"/>
      <c r="K75" s="2"/>
      <c r="L75" s="2"/>
      <c r="M75" s="41"/>
      <c r="N75" s="42"/>
      <c r="O75" s="2"/>
    </row>
    <row r="76" spans="1:15" s="70" customFormat="1" ht="12.75" customHeight="1" x14ac:dyDescent="0.2">
      <c r="A76" s="87">
        <v>45267</v>
      </c>
      <c r="B76" s="120" t="s">
        <v>6</v>
      </c>
      <c r="C76" s="75" t="s">
        <v>784</v>
      </c>
      <c r="D76" s="88">
        <v>179811</v>
      </c>
      <c r="E76" s="2"/>
      <c r="F76" s="2"/>
      <c r="G76" s="30"/>
      <c r="H76" s="30"/>
      <c r="I76" s="2"/>
      <c r="J76" s="2"/>
      <c r="K76" s="2"/>
      <c r="L76" s="2"/>
      <c r="M76" s="41"/>
      <c r="N76" s="42"/>
      <c r="O76" s="2"/>
    </row>
    <row r="77" spans="1:15" s="70" customFormat="1" ht="12.75" customHeight="1" x14ac:dyDescent="0.2">
      <c r="A77" s="87">
        <v>45267</v>
      </c>
      <c r="B77" s="120" t="s">
        <v>6</v>
      </c>
      <c r="C77" s="75" t="s">
        <v>784</v>
      </c>
      <c r="D77" s="88">
        <v>302254</v>
      </c>
      <c r="E77" s="2"/>
      <c r="F77" s="2"/>
      <c r="G77" s="30"/>
      <c r="H77" s="30"/>
      <c r="I77" s="2"/>
      <c r="J77" s="2"/>
      <c r="K77" s="2"/>
      <c r="L77" s="2"/>
      <c r="M77" s="41"/>
      <c r="N77" s="42"/>
      <c r="O77" s="2"/>
    </row>
    <row r="78" spans="1:15" s="70" customFormat="1" ht="12.75" customHeight="1" x14ac:dyDescent="0.2">
      <c r="A78" s="87">
        <v>45268</v>
      </c>
      <c r="B78" s="120" t="s">
        <v>6</v>
      </c>
      <c r="C78" s="75" t="s">
        <v>1789</v>
      </c>
      <c r="D78" s="88">
        <v>4000249.47</v>
      </c>
      <c r="E78" s="2"/>
      <c r="F78" s="2"/>
      <c r="G78" s="30"/>
      <c r="H78" s="30"/>
      <c r="I78" s="2"/>
      <c r="J78" s="2"/>
      <c r="K78" s="2"/>
      <c r="L78" s="2"/>
      <c r="M78" s="41"/>
      <c r="N78" s="42"/>
      <c r="O78" s="2"/>
    </row>
    <row r="79" spans="1:15" s="70" customFormat="1" ht="12.75" customHeight="1" x14ac:dyDescent="0.2">
      <c r="A79" s="87">
        <v>45269</v>
      </c>
      <c r="B79" s="120" t="s">
        <v>6</v>
      </c>
      <c r="C79" s="75" t="s">
        <v>85</v>
      </c>
      <c r="D79" s="88">
        <v>96273</v>
      </c>
      <c r="E79" s="2"/>
      <c r="F79" s="2"/>
      <c r="G79" s="30"/>
      <c r="H79" s="30"/>
      <c r="I79" s="2"/>
      <c r="J79" s="2"/>
      <c r="K79" s="2"/>
      <c r="L79" s="2"/>
      <c r="M79" s="41"/>
      <c r="N79" s="42"/>
      <c r="O79" s="2"/>
    </row>
    <row r="80" spans="1:15" s="70" customFormat="1" ht="12.75" customHeight="1" x14ac:dyDescent="0.2">
      <c r="A80" s="87">
        <v>45269</v>
      </c>
      <c r="B80" s="120" t="s">
        <v>6</v>
      </c>
      <c r="C80" s="75" t="s">
        <v>270</v>
      </c>
      <c r="D80" s="88">
        <v>182684</v>
      </c>
      <c r="E80" s="2"/>
      <c r="F80" s="2"/>
      <c r="G80" s="30"/>
      <c r="H80" s="30"/>
      <c r="I80" s="2"/>
      <c r="J80" s="2"/>
      <c r="K80" s="2"/>
      <c r="L80" s="2"/>
      <c r="M80" s="41"/>
      <c r="N80" s="42"/>
      <c r="O80" s="2"/>
    </row>
    <row r="81" spans="1:15" s="70" customFormat="1" ht="12.75" customHeight="1" x14ac:dyDescent="0.2">
      <c r="A81" s="87">
        <v>45272</v>
      </c>
      <c r="B81" s="120" t="s">
        <v>6</v>
      </c>
      <c r="C81" s="75" t="s">
        <v>270</v>
      </c>
      <c r="D81" s="88">
        <v>687714</v>
      </c>
      <c r="E81" s="2"/>
      <c r="F81" s="2"/>
      <c r="G81" s="30"/>
      <c r="H81" s="30"/>
      <c r="I81" s="2"/>
      <c r="J81" s="2"/>
      <c r="K81" s="2"/>
      <c r="L81" s="2"/>
      <c r="M81" s="41"/>
      <c r="N81" s="42"/>
      <c r="O81" s="2"/>
    </row>
    <row r="82" spans="1:15" s="70" customFormat="1" ht="12.75" customHeight="1" x14ac:dyDescent="0.2">
      <c r="A82" s="87">
        <v>45272</v>
      </c>
      <c r="B82" s="120" t="s">
        <v>6</v>
      </c>
      <c r="C82" s="75" t="s">
        <v>1789</v>
      </c>
      <c r="D82" s="88">
        <v>1945116</v>
      </c>
      <c r="E82" s="2"/>
      <c r="F82" s="2"/>
      <c r="G82" s="30"/>
      <c r="H82" s="30"/>
      <c r="I82" s="2"/>
      <c r="J82" s="2"/>
      <c r="K82" s="2"/>
      <c r="L82" s="2"/>
      <c r="M82" s="41"/>
      <c r="N82" s="42"/>
      <c r="O82" s="2"/>
    </row>
    <row r="83" spans="1:15" s="70" customFormat="1" ht="12.75" customHeight="1" x14ac:dyDescent="0.2">
      <c r="A83" s="87">
        <v>45273</v>
      </c>
      <c r="B83" s="120" t="s">
        <v>6</v>
      </c>
      <c r="C83" s="75" t="s">
        <v>767</v>
      </c>
      <c r="D83" s="88">
        <v>167890</v>
      </c>
      <c r="E83" s="2"/>
      <c r="F83" s="2"/>
      <c r="G83" s="30"/>
      <c r="H83" s="30"/>
      <c r="I83" s="2"/>
      <c r="J83" s="2"/>
      <c r="K83" s="2"/>
      <c r="L83" s="2"/>
      <c r="M83" s="41"/>
      <c r="N83" s="42"/>
      <c r="O83" s="2"/>
    </row>
    <row r="84" spans="1:15" s="2" customFormat="1" x14ac:dyDescent="0.2">
      <c r="A84" s="87"/>
      <c r="B84" s="74"/>
      <c r="C84" s="75"/>
      <c r="D84" s="51">
        <f>SUM(D74:D83)</f>
        <v>23471438.07</v>
      </c>
      <c r="F84" s="2" t="s">
        <v>396</v>
      </c>
      <c r="G84" s="1"/>
      <c r="H84" s="1"/>
    </row>
    <row r="85" spans="1:15" s="2" customFormat="1" x14ac:dyDescent="0.2">
      <c r="A85" s="24"/>
      <c r="B85" s="1"/>
      <c r="C85" s="14"/>
      <c r="D85" s="56"/>
      <c r="E85" s="13"/>
      <c r="G85" s="1"/>
      <c r="H85" s="1"/>
    </row>
    <row r="86" spans="1:15" s="2" customFormat="1" x14ac:dyDescent="0.2">
      <c r="A86" s="24"/>
      <c r="B86" s="1"/>
      <c r="C86" s="218" t="s">
        <v>77</v>
      </c>
      <c r="D86" s="219"/>
      <c r="E86" s="219"/>
      <c r="F86" s="220"/>
      <c r="I86" s="2" t="s">
        <v>396</v>
      </c>
    </row>
    <row r="87" spans="1:15" s="2" customFormat="1" x14ac:dyDescent="0.2">
      <c r="A87" s="24"/>
      <c r="B87" s="1"/>
      <c r="C87" s="50"/>
      <c r="D87" s="57" t="s">
        <v>78</v>
      </c>
      <c r="E87" s="58" t="s">
        <v>79</v>
      </c>
      <c r="F87" s="57" t="s">
        <v>72</v>
      </c>
      <c r="I87" s="2" t="s">
        <v>396</v>
      </c>
    </row>
    <row r="88" spans="1:15" s="2" customFormat="1" x14ac:dyDescent="0.2">
      <c r="A88" s="24"/>
      <c r="B88" s="1"/>
      <c r="C88" s="59" t="str">
        <f>"01-12-2023 to "&amp;TEXT(A5-2,"dd-mm-yyyy")</f>
        <v>01-12-2023 to 11-12-2023</v>
      </c>
      <c r="D88" s="60">
        <v>745.7</v>
      </c>
      <c r="E88" s="60">
        <v>243.17</v>
      </c>
      <c r="F88" s="61">
        <f>SUM(D88:E88)</f>
        <v>988.87</v>
      </c>
    </row>
    <row r="89" spans="1:15" s="2" customFormat="1" x14ac:dyDescent="0.2">
      <c r="A89" s="24"/>
      <c r="B89" s="1"/>
      <c r="C89" s="62" t="str">
        <f>TEXT(A5-1,"dd-mm-yyyy")</f>
        <v>12-12-2023</v>
      </c>
      <c r="D89" s="60">
        <v>69.08</v>
      </c>
      <c r="E89" s="60">
        <v>32.06</v>
      </c>
      <c r="F89" s="61">
        <f>SUM(D89:E89)</f>
        <v>101.14</v>
      </c>
      <c r="G89" s="1"/>
      <c r="H89" s="1"/>
      <c r="I89" s="53"/>
    </row>
    <row r="90" spans="1:15" s="2" customFormat="1" ht="13.5" thickBot="1" x14ac:dyDescent="0.25">
      <c r="A90" s="24"/>
      <c r="B90" s="1"/>
      <c r="C90" s="63" t="str">
        <f>"01-12-2023 to "&amp;TEXT(A5-1,"dd-mm-yyyy")</f>
        <v>01-12-2023 to 12-12-2023</v>
      </c>
      <c r="D90" s="64">
        <f>SUM(D88:D89)</f>
        <v>814.78000000000009</v>
      </c>
      <c r="E90" s="64">
        <f>SUM(E88:E89)</f>
        <v>275.23</v>
      </c>
      <c r="F90" s="64">
        <f>SUM(F88:F89)</f>
        <v>1090.01</v>
      </c>
      <c r="G90" s="1"/>
      <c r="H90" s="1"/>
      <c r="I90" s="53"/>
    </row>
    <row r="91" spans="1:15" s="2" customFormat="1" ht="13.5" thickTop="1" x14ac:dyDescent="0.2">
      <c r="A91" s="24"/>
      <c r="B91" s="1"/>
      <c r="C91" s="62"/>
      <c r="D91" s="65"/>
      <c r="E91" s="66"/>
      <c r="F91" s="67"/>
      <c r="M91" s="1"/>
      <c r="N91" s="1"/>
    </row>
    <row r="92" spans="1:15" s="2" customFormat="1" x14ac:dyDescent="0.2">
      <c r="A92" s="24"/>
      <c r="B92" s="1"/>
      <c r="C92" s="62" t="str">
        <f>"01-04-2023 to " &amp;C89</f>
        <v>01-04-2023 to 12-12-2023</v>
      </c>
      <c r="D92" s="68">
        <f>+D90+32234.22</f>
        <v>33049</v>
      </c>
      <c r="E92" s="68">
        <f>+E90+3134.59</f>
        <v>3409.82</v>
      </c>
      <c r="F92" s="68">
        <f>+F90+35368.81</f>
        <v>36458.82</v>
      </c>
      <c r="G92" s="1"/>
      <c r="H92" s="1"/>
      <c r="M92" s="1"/>
      <c r="N92" s="1"/>
    </row>
    <row r="93" spans="1:15" s="2" customFormat="1" x14ac:dyDescent="0.2">
      <c r="A93" s="24"/>
      <c r="B93" s="1"/>
      <c r="C93" s="52"/>
      <c r="D93" s="85"/>
      <c r="E93" s="53"/>
      <c r="F93" s="53"/>
      <c r="G93" s="1"/>
      <c r="H93" s="1"/>
      <c r="M93" s="1"/>
      <c r="N93" s="1"/>
    </row>
    <row r="94" spans="1:15" s="2" customFormat="1" x14ac:dyDescent="0.2">
      <c r="A94" s="24"/>
      <c r="B94" s="1"/>
      <c r="C94" s="52"/>
      <c r="D94" s="85"/>
      <c r="E94" s="53"/>
      <c r="F94" s="53"/>
      <c r="G94" s="1"/>
      <c r="H94" s="1"/>
      <c r="M94" s="1"/>
      <c r="N94" s="1"/>
    </row>
    <row r="95" spans="1:15" s="2" customFormat="1" x14ac:dyDescent="0.2">
      <c r="A95" s="24"/>
      <c r="B95" s="1"/>
      <c r="C95" s="52"/>
      <c r="D95" s="85"/>
      <c r="E95" s="53"/>
      <c r="F95" s="53"/>
      <c r="G95" s="1"/>
      <c r="H95" s="1"/>
      <c r="M95" s="1"/>
      <c r="N95" s="1"/>
    </row>
    <row r="96" spans="1:15" s="2" customFormat="1" x14ac:dyDescent="0.2">
      <c r="A96" s="24"/>
      <c r="B96" s="1"/>
      <c r="C96" s="52"/>
      <c r="D96" s="85"/>
      <c r="E96" s="53"/>
      <c r="F96" s="53"/>
      <c r="G96" s="1"/>
      <c r="H96" s="1"/>
      <c r="M96" s="1"/>
      <c r="N96" s="1"/>
    </row>
    <row r="97" spans="1:14" s="2" customFormat="1" x14ac:dyDescent="0.2">
      <c r="A97" s="24"/>
      <c r="B97" s="1"/>
      <c r="C97" s="14"/>
      <c r="D97" s="25">
        <f>SUM(D94:D96)</f>
        <v>0</v>
      </c>
      <c r="E97" s="2">
        <f>SUM(E94:E96)</f>
        <v>0</v>
      </c>
      <c r="G97" s="1"/>
      <c r="H97" s="1"/>
      <c r="M97" s="1"/>
      <c r="N97" s="1"/>
    </row>
    <row r="98" spans="1:14" s="2" customFormat="1" x14ac:dyDescent="0.2">
      <c r="A98" s="24"/>
      <c r="B98" s="1"/>
      <c r="C98" s="14"/>
      <c r="D98" s="25"/>
      <c r="G98" s="1"/>
      <c r="H98" s="1"/>
      <c r="M98" s="1"/>
      <c r="N98" s="1"/>
    </row>
    <row r="99" spans="1:14" s="2" customFormat="1" x14ac:dyDescent="0.2">
      <c r="A99" s="24"/>
      <c r="B99" s="1"/>
      <c r="C99" s="14"/>
      <c r="D99" s="25"/>
      <c r="G99" s="1"/>
      <c r="H99" s="1"/>
      <c r="M99" s="1"/>
      <c r="N99" s="1"/>
    </row>
    <row r="100" spans="1:14" s="2" customFormat="1" x14ac:dyDescent="0.2">
      <c r="A100" s="24"/>
      <c r="B100" s="1"/>
      <c r="C100" s="14"/>
      <c r="D100" s="25"/>
      <c r="G100" s="1"/>
      <c r="H100" s="1"/>
      <c r="M100" s="1"/>
      <c r="N100" s="1"/>
    </row>
    <row r="101" spans="1:14" s="2" customFormat="1" x14ac:dyDescent="0.2">
      <c r="A101" s="24"/>
      <c r="B101" s="1"/>
      <c r="C101" s="14"/>
      <c r="D101" s="25"/>
      <c r="G101" s="1"/>
      <c r="H101" s="1"/>
      <c r="M101" s="1"/>
      <c r="N101" s="1"/>
    </row>
    <row r="102" spans="1:14" s="2" customFormat="1" x14ac:dyDescent="0.2">
      <c r="A102" s="24"/>
      <c r="B102" s="1"/>
      <c r="C102" s="14"/>
      <c r="D102" s="25"/>
      <c r="G102" s="1"/>
      <c r="H102" s="1"/>
      <c r="M102" s="1"/>
      <c r="N102" s="1"/>
    </row>
    <row r="103" spans="1:14" s="2" customFormat="1" x14ac:dyDescent="0.2">
      <c r="A103" s="24"/>
      <c r="B103" s="1"/>
      <c r="C103" s="14"/>
      <c r="D103" s="25"/>
      <c r="G103" s="1"/>
      <c r="H103" s="1"/>
      <c r="M103" s="1"/>
      <c r="N103" s="1"/>
    </row>
    <row r="104" spans="1:14" s="2" customFormat="1" x14ac:dyDescent="0.2">
      <c r="A104" s="24"/>
      <c r="B104" s="1"/>
      <c r="C104" s="14"/>
      <c r="D104" s="25"/>
      <c r="G104" s="1"/>
      <c r="H104" s="1"/>
      <c r="M104" s="1"/>
      <c r="N104" s="1"/>
    </row>
    <row r="105" spans="1:14" s="2" customFormat="1" x14ac:dyDescent="0.2">
      <c r="A105" s="24"/>
      <c r="B105" s="1"/>
      <c r="C105" s="14"/>
      <c r="D105" s="25"/>
      <c r="G105" s="1"/>
      <c r="H105" s="1"/>
      <c r="M105" s="1"/>
      <c r="N105" s="1"/>
    </row>
    <row r="106" spans="1:14" s="2" customFormat="1" x14ac:dyDescent="0.2">
      <c r="A106" s="24"/>
      <c r="B106" s="1"/>
      <c r="C106" s="14"/>
      <c r="D106" s="25"/>
      <c r="G106" s="1"/>
      <c r="H106" s="1"/>
      <c r="M106" s="1"/>
      <c r="N106" s="1"/>
    </row>
    <row r="107" spans="1:14" s="2" customFormat="1" x14ac:dyDescent="0.2">
      <c r="A107" s="24"/>
      <c r="B107" s="1"/>
      <c r="C107" s="14"/>
      <c r="D107" s="25"/>
      <c r="G107" s="1"/>
      <c r="H107" s="1"/>
      <c r="M107" s="1"/>
      <c r="N107" s="1"/>
    </row>
    <row r="108" spans="1:14" s="2" customFormat="1" x14ac:dyDescent="0.2">
      <c r="A108" s="24"/>
      <c r="B108" s="1"/>
      <c r="C108" s="14"/>
      <c r="D108" s="25"/>
      <c r="G108" s="1"/>
      <c r="H108" s="1"/>
      <c r="M108" s="1"/>
      <c r="N108" s="1"/>
    </row>
    <row r="109" spans="1:14" s="2" customFormat="1" x14ac:dyDescent="0.2">
      <c r="A109" s="24"/>
      <c r="B109" s="1"/>
      <c r="C109" s="14"/>
      <c r="D109" s="25"/>
      <c r="G109" s="1"/>
      <c r="H109" s="1"/>
      <c r="M109" s="1"/>
      <c r="N109" s="1"/>
    </row>
    <row r="110" spans="1:14" s="2" customFormat="1" x14ac:dyDescent="0.2">
      <c r="A110" s="24"/>
      <c r="B110" s="1"/>
      <c r="C110" s="14"/>
      <c r="D110" s="25"/>
      <c r="G110" s="1"/>
      <c r="H110" s="1"/>
      <c r="M110" s="1"/>
      <c r="N110" s="1"/>
    </row>
    <row r="111" spans="1:14" s="2" customFormat="1" x14ac:dyDescent="0.2">
      <c r="A111" s="24"/>
      <c r="B111" s="1"/>
      <c r="C111" s="14"/>
      <c r="D111" s="25"/>
      <c r="G111" s="1"/>
      <c r="H111" s="1"/>
      <c r="J111" s="1"/>
      <c r="K111" s="1"/>
      <c r="L111" s="1"/>
      <c r="M111" s="1"/>
      <c r="N111" s="1"/>
    </row>
    <row r="112" spans="1:14" s="2" customFormat="1" x14ac:dyDescent="0.2">
      <c r="A112" s="24"/>
      <c r="B112" s="1"/>
      <c r="C112" s="14"/>
      <c r="D112" s="25"/>
      <c r="G112" s="1"/>
      <c r="H112" s="1"/>
    </row>
    <row r="113" spans="1:15" s="2" customFormat="1" x14ac:dyDescent="0.2">
      <c r="A113" s="24"/>
      <c r="B113" s="1"/>
      <c r="C113" s="14"/>
      <c r="D113" s="25"/>
      <c r="G113" s="1"/>
      <c r="H113" s="1"/>
      <c r="J113" s="1"/>
      <c r="K113" s="1"/>
      <c r="L113" s="1"/>
      <c r="M113" s="1"/>
      <c r="N113" s="1"/>
    </row>
    <row r="114" spans="1:15" s="2" customFormat="1" x14ac:dyDescent="0.2">
      <c r="A114" s="24"/>
      <c r="B114" s="1"/>
      <c r="C114" s="14"/>
      <c r="D114" s="25"/>
      <c r="G114" s="54"/>
      <c r="H114" s="54"/>
      <c r="J114" s="1"/>
      <c r="K114" s="1"/>
      <c r="L114" s="1"/>
      <c r="M114" s="1"/>
      <c r="N114" s="1"/>
    </row>
    <row r="115" spans="1:15" s="2" customFormat="1" x14ac:dyDescent="0.2">
      <c r="A115" s="24"/>
      <c r="B115" s="1"/>
      <c r="C115" s="14"/>
      <c r="D115" s="25"/>
      <c r="G115" s="54"/>
      <c r="H115" s="54"/>
      <c r="J115" s="1"/>
      <c r="K115" s="1"/>
      <c r="L115" s="1"/>
      <c r="M115" s="1"/>
      <c r="N115" s="1"/>
    </row>
    <row r="116" spans="1:15" s="2" customFormat="1" x14ac:dyDescent="0.2">
      <c r="A116" s="24"/>
      <c r="B116" s="1"/>
      <c r="C116" s="14"/>
      <c r="D116" s="25"/>
      <c r="G116" s="54"/>
      <c r="H116" s="54"/>
      <c r="J116" s="1"/>
      <c r="K116" s="1"/>
      <c r="L116" s="1"/>
      <c r="M116" s="1"/>
      <c r="N116" s="1"/>
    </row>
    <row r="117" spans="1:15" s="2" customFormat="1" x14ac:dyDescent="0.2">
      <c r="A117" s="24"/>
      <c r="B117" s="1"/>
      <c r="C117" s="14"/>
      <c r="D117" s="25"/>
      <c r="G117" s="54"/>
      <c r="H117" s="54"/>
      <c r="I117" s="2" t="s">
        <v>396</v>
      </c>
      <c r="J117" s="1"/>
      <c r="K117" s="1"/>
      <c r="L117" s="1"/>
      <c r="M117" s="1"/>
      <c r="N117" s="1"/>
      <c r="O117" s="1"/>
    </row>
    <row r="118" spans="1:15" s="2" customFormat="1" x14ac:dyDescent="0.2">
      <c r="A118" s="24"/>
      <c r="B118" s="1"/>
      <c r="C118" s="14"/>
      <c r="D118" s="25"/>
      <c r="G118" s="54"/>
      <c r="H118" s="54"/>
      <c r="I118" s="53"/>
    </row>
    <row r="119" spans="1:15" s="2" customFormat="1" x14ac:dyDescent="0.2">
      <c r="A119" s="24"/>
      <c r="B119" s="1"/>
      <c r="C119" s="14"/>
      <c r="D119" s="25"/>
      <c r="G119" s="54"/>
      <c r="H119" s="54"/>
      <c r="I119" s="53" t="s">
        <v>396</v>
      </c>
      <c r="J119" s="1"/>
      <c r="K119" s="1"/>
      <c r="L119" s="1"/>
      <c r="M119" s="1"/>
      <c r="N119" s="1"/>
      <c r="O119" s="1"/>
    </row>
    <row r="120" spans="1:15" x14ac:dyDescent="0.2">
      <c r="G120" s="54"/>
      <c r="H120" s="54"/>
      <c r="I120" s="53" t="s">
        <v>396</v>
      </c>
      <c r="K120" s="42"/>
    </row>
    <row r="121" spans="1:15" s="2" customFormat="1" x14ac:dyDescent="0.2">
      <c r="A121" s="24"/>
      <c r="B121" s="1"/>
      <c r="C121" s="14"/>
      <c r="D121" s="25"/>
      <c r="G121" s="54"/>
      <c r="H121" s="54"/>
      <c r="I121" s="53"/>
      <c r="J121" s="101"/>
      <c r="K121" s="1"/>
      <c r="L121" s="1"/>
      <c r="M121" s="1"/>
      <c r="N121" s="1"/>
      <c r="O121" s="1"/>
    </row>
    <row r="122" spans="1:15" x14ac:dyDescent="0.2">
      <c r="G122" s="54"/>
      <c r="H122" s="54"/>
      <c r="I122" s="53"/>
    </row>
    <row r="123" spans="1:15" x14ac:dyDescent="0.2">
      <c r="G123" s="54"/>
      <c r="H123" s="54"/>
      <c r="I123" s="53"/>
    </row>
    <row r="124" spans="1:15" x14ac:dyDescent="0.2">
      <c r="G124" s="54"/>
      <c r="H124" s="54"/>
      <c r="I124" s="53"/>
    </row>
  </sheetData>
  <sheetProtection insertRows="0"/>
  <mergeCells count="7">
    <mergeCell ref="K65:L65"/>
    <mergeCell ref="A72:D72"/>
    <mergeCell ref="C86:F86"/>
    <mergeCell ref="A1:H1"/>
    <mergeCell ref="A3:F3"/>
    <mergeCell ref="A9:F9"/>
    <mergeCell ref="A28:F28"/>
  </mergeCells>
  <conditionalFormatting sqref="H69:H70">
    <cfRule type="cellIs" dxfId="177" priority="1" operator="lessThan">
      <formula>0</formula>
    </cfRule>
  </conditionalFormatting>
  <conditionalFormatting sqref="C30">
    <cfRule type="duplicateValues" dxfId="176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A00-000000000000}">
  <sheetPr codeName="Sheet498">
    <pageSetUpPr fitToPage="1"/>
  </sheetPr>
  <dimension ref="A1:O159"/>
  <sheetViews>
    <sheetView topLeftCell="A40" zoomScaleNormal="100" workbookViewId="0">
      <selection activeCell="E53" sqref="E53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12.85546875" style="1" customWidth="1"/>
    <col min="9" max="9" width="24.85546875" style="2" bestFit="1" customWidth="1"/>
    <col min="10" max="10" width="21.5703125" style="1" bestFit="1" customWidth="1"/>
    <col min="11" max="11" width="16.85546875" style="1" bestFit="1" customWidth="1"/>
    <col min="12" max="12" width="17.28515625" style="1" bestFit="1" customWidth="1"/>
    <col min="13" max="13" width="13.5703125" style="1" bestFit="1" customWidth="1"/>
    <col min="14" max="14" width="17.42578125" style="1" bestFit="1" customWidth="1"/>
    <col min="15" max="15" width="12.85546875" style="1" bestFit="1" customWidth="1"/>
    <col min="16" max="17" width="9.140625" style="1"/>
    <col min="18" max="18" width="15.5703125" style="1" bestFit="1" customWidth="1"/>
    <col min="19" max="16384" width="9.140625" style="1"/>
  </cols>
  <sheetData>
    <row r="1" spans="1:12" ht="20.25" customHeight="1" x14ac:dyDescent="0.4">
      <c r="A1" s="212" t="s">
        <v>1866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2" ht="12.75" customHeight="1" x14ac:dyDescent="0.4">
      <c r="I2" s="112"/>
      <c r="J2" s="112"/>
    </row>
    <row r="3" spans="1:12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2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2" s="2" customFormat="1" ht="14.25" customHeight="1" x14ac:dyDescent="0.4">
      <c r="A5" s="89">
        <v>45274</v>
      </c>
      <c r="B5" s="9" t="s">
        <v>6</v>
      </c>
      <c r="C5" s="10" t="s">
        <v>7</v>
      </c>
      <c r="D5" s="11"/>
      <c r="E5" s="12">
        <v>3806052.23</v>
      </c>
      <c r="F5" s="12"/>
      <c r="G5" s="1"/>
      <c r="H5" s="1"/>
      <c r="I5" s="112"/>
      <c r="J5" s="112"/>
    </row>
    <row r="6" spans="1:12" s="2" customFormat="1" ht="14.25" customHeight="1" x14ac:dyDescent="0.4">
      <c r="A6" s="89">
        <v>45274</v>
      </c>
      <c r="B6" s="9" t="s">
        <v>6</v>
      </c>
      <c r="C6" s="10" t="s">
        <v>400</v>
      </c>
      <c r="D6" s="11" t="s">
        <v>13</v>
      </c>
      <c r="E6" s="12">
        <v>7000000</v>
      </c>
      <c r="F6" s="12"/>
      <c r="G6" s="1"/>
      <c r="H6" s="1"/>
      <c r="I6" s="112"/>
      <c r="J6" s="112"/>
    </row>
    <row r="7" spans="1:12" s="2" customFormat="1" ht="14.25" customHeight="1" x14ac:dyDescent="0.4">
      <c r="A7" s="89">
        <v>45274</v>
      </c>
      <c r="B7" s="9" t="s">
        <v>11</v>
      </c>
      <c r="C7" s="10" t="s">
        <v>495</v>
      </c>
      <c r="D7" s="11" t="s">
        <v>29</v>
      </c>
      <c r="E7" s="12"/>
      <c r="F7" s="12">
        <v>5000000</v>
      </c>
      <c r="G7" s="1"/>
      <c r="H7" s="1"/>
      <c r="I7" s="112"/>
      <c r="J7" s="112"/>
    </row>
    <row r="8" spans="1:12" s="2" customFormat="1" ht="12.75" customHeight="1" x14ac:dyDescent="0.2">
      <c r="D8" s="15" t="s">
        <v>8</v>
      </c>
      <c r="E8" s="16">
        <f>SUM(E5:E7)</f>
        <v>10806052.23</v>
      </c>
      <c r="F8" s="16">
        <f>SUM(F7)</f>
        <v>5000000</v>
      </c>
      <c r="G8" s="1"/>
      <c r="H8" s="1"/>
      <c r="I8" s="13" t="s">
        <v>1582</v>
      </c>
      <c r="J8" s="13" t="s">
        <v>1583</v>
      </c>
    </row>
    <row r="9" spans="1:12" s="2" customFormat="1" ht="12.75" customHeight="1" x14ac:dyDescent="0.2">
      <c r="A9" s="17"/>
      <c r="B9" s="18"/>
      <c r="C9" s="19" t="s">
        <v>9</v>
      </c>
      <c r="D9" s="20"/>
      <c r="E9" s="21">
        <f>+E8-F8</f>
        <v>5806052.2300000004</v>
      </c>
      <c r="F9" s="22"/>
      <c r="G9" s="23"/>
      <c r="H9" s="23"/>
      <c r="I9" s="2">
        <v>0</v>
      </c>
      <c r="J9" s="2">
        <v>0</v>
      </c>
      <c r="K9" s="176">
        <f>I9-J9</f>
        <v>0</v>
      </c>
    </row>
    <row r="10" spans="1:12" ht="12.75" customHeight="1" x14ac:dyDescent="0.4">
      <c r="I10" s="112"/>
      <c r="J10" s="112"/>
    </row>
    <row r="11" spans="1:12" ht="18" customHeight="1" x14ac:dyDescent="0.4">
      <c r="A11" s="213" t="s">
        <v>1037</v>
      </c>
      <c r="B11" s="213"/>
      <c r="C11" s="213"/>
      <c r="D11" s="213"/>
      <c r="E11" s="213"/>
      <c r="F11" s="213"/>
      <c r="I11" s="112"/>
      <c r="J11" s="169">
        <f>90000000-60000000</f>
        <v>30000000</v>
      </c>
      <c r="K11" s="169" t="s">
        <v>1508</v>
      </c>
    </row>
    <row r="12" spans="1:12" ht="12.75" customHeight="1" x14ac:dyDescent="0.4">
      <c r="A12" s="3" t="s">
        <v>1</v>
      </c>
      <c r="B12" s="4" t="s">
        <v>2</v>
      </c>
      <c r="C12" s="5"/>
      <c r="D12" s="6" t="s">
        <v>3</v>
      </c>
      <c r="E12" s="7" t="s">
        <v>4</v>
      </c>
      <c r="F12" s="7" t="s">
        <v>5</v>
      </c>
      <c r="I12" s="112"/>
      <c r="J12" s="169">
        <v>28605096.25</v>
      </c>
      <c r="K12" s="169" t="s">
        <v>1509</v>
      </c>
      <c r="L12" s="124"/>
    </row>
    <row r="13" spans="1:12" s="2" customFormat="1" ht="14.25" customHeight="1" x14ac:dyDescent="0.2">
      <c r="A13" s="89">
        <v>45274</v>
      </c>
      <c r="B13" s="9" t="s">
        <v>6</v>
      </c>
      <c r="C13" s="10" t="s">
        <v>7</v>
      </c>
      <c r="D13" s="11"/>
      <c r="F13" s="12">
        <v>28223696.629999999</v>
      </c>
      <c r="G13" s="1"/>
      <c r="H13" s="1"/>
      <c r="I13" s="130" t="s">
        <v>396</v>
      </c>
      <c r="J13" s="169">
        <f>+J11-J12</f>
        <v>1394903.75</v>
      </c>
      <c r="K13" s="169" t="s">
        <v>712</v>
      </c>
      <c r="L13" s="165" t="s">
        <v>1512</v>
      </c>
    </row>
    <row r="14" spans="1:12" s="2" customFormat="1" ht="14.25" customHeight="1" x14ac:dyDescent="0.2">
      <c r="A14" s="89">
        <v>45274</v>
      </c>
      <c r="B14" s="9" t="s">
        <v>11</v>
      </c>
      <c r="C14" s="76" t="s">
        <v>1227</v>
      </c>
      <c r="D14" s="11" t="s">
        <v>13</v>
      </c>
      <c r="E14" s="31"/>
      <c r="F14" s="31">
        <v>150000</v>
      </c>
      <c r="G14" s="1"/>
      <c r="H14" s="1"/>
      <c r="I14" s="130"/>
      <c r="J14" s="169"/>
      <c r="K14" s="169"/>
      <c r="L14" s="165"/>
    </row>
    <row r="15" spans="1:12" s="2" customFormat="1" ht="14.25" customHeight="1" x14ac:dyDescent="0.2">
      <c r="A15" s="89">
        <v>45274</v>
      </c>
      <c r="B15" s="9" t="s">
        <v>11</v>
      </c>
      <c r="C15" s="76" t="s">
        <v>34</v>
      </c>
      <c r="D15" s="11" t="s">
        <v>13</v>
      </c>
      <c r="F15" s="31">
        <v>42000</v>
      </c>
      <c r="G15" s="1"/>
      <c r="H15" s="1"/>
      <c r="I15" s="130"/>
      <c r="J15" s="169"/>
      <c r="K15" s="169"/>
      <c r="L15" s="165"/>
    </row>
    <row r="16" spans="1:12" s="2" customFormat="1" ht="14.25" customHeight="1" x14ac:dyDescent="0.2">
      <c r="A16" s="89">
        <v>45274</v>
      </c>
      <c r="B16" s="9" t="s">
        <v>11</v>
      </c>
      <c r="C16" s="76" t="s">
        <v>1490</v>
      </c>
      <c r="D16" s="11" t="s">
        <v>29</v>
      </c>
      <c r="F16" s="31">
        <v>1290</v>
      </c>
      <c r="G16" s="1"/>
      <c r="H16" s="1"/>
      <c r="I16" s="130"/>
      <c r="J16" s="169"/>
      <c r="K16" s="169"/>
      <c r="L16" s="165"/>
    </row>
    <row r="17" spans="1:15" s="2" customFormat="1" ht="14.25" customHeight="1" x14ac:dyDescent="0.2">
      <c r="A17" s="89">
        <v>45274</v>
      </c>
      <c r="B17" s="9" t="s">
        <v>11</v>
      </c>
      <c r="C17" s="178" t="s">
        <v>1867</v>
      </c>
      <c r="D17" s="11" t="s">
        <v>29</v>
      </c>
      <c r="F17" s="31">
        <v>20797.62</v>
      </c>
      <c r="G17" s="1"/>
      <c r="H17" s="1"/>
      <c r="I17" s="130"/>
      <c r="J17" s="169"/>
      <c r="K17" s="169"/>
      <c r="L17" s="165"/>
    </row>
    <row r="18" spans="1:15" s="2" customFormat="1" ht="14.25" customHeight="1" x14ac:dyDescent="0.2">
      <c r="A18" s="89">
        <v>45274</v>
      </c>
      <c r="B18" s="9" t="s">
        <v>11</v>
      </c>
      <c r="C18" s="76" t="s">
        <v>195</v>
      </c>
      <c r="D18" s="11" t="s">
        <v>29</v>
      </c>
      <c r="F18" s="31">
        <v>20000</v>
      </c>
      <c r="G18" s="1"/>
      <c r="H18" s="1"/>
      <c r="I18" s="130"/>
      <c r="J18" s="169"/>
      <c r="K18" s="169"/>
      <c r="L18" s="165"/>
    </row>
    <row r="19" spans="1:15" s="2" customFormat="1" ht="14.25" customHeight="1" x14ac:dyDescent="0.2">
      <c r="A19" s="89">
        <v>45274</v>
      </c>
      <c r="B19" s="9" t="s">
        <v>11</v>
      </c>
      <c r="C19" s="76" t="s">
        <v>1868</v>
      </c>
      <c r="D19" s="11" t="s">
        <v>29</v>
      </c>
      <c r="F19" s="31">
        <v>5622</v>
      </c>
      <c r="G19" s="1"/>
      <c r="H19" s="1"/>
      <c r="I19" s="130"/>
      <c r="J19" s="169"/>
      <c r="K19" s="169"/>
      <c r="L19" s="165"/>
    </row>
    <row r="20" spans="1:15" s="2" customFormat="1" ht="14.25" customHeight="1" x14ac:dyDescent="0.2">
      <c r="A20" s="89">
        <v>45274</v>
      </c>
      <c r="B20" s="9" t="s">
        <v>11</v>
      </c>
      <c r="C20" s="76" t="s">
        <v>52</v>
      </c>
      <c r="D20" s="11" t="s">
        <v>29</v>
      </c>
      <c r="F20" s="31">
        <v>50188</v>
      </c>
      <c r="G20" s="1"/>
      <c r="H20" s="1"/>
      <c r="I20" s="130"/>
      <c r="J20" s="169"/>
      <c r="K20" s="169"/>
      <c r="L20" s="165"/>
    </row>
    <row r="21" spans="1:15" s="2" customFormat="1" ht="14.25" customHeight="1" x14ac:dyDescent="0.2">
      <c r="A21" s="89">
        <v>45274</v>
      </c>
      <c r="B21" s="9" t="s">
        <v>11</v>
      </c>
      <c r="C21" s="76" t="s">
        <v>345</v>
      </c>
      <c r="D21" s="11" t="s">
        <v>29</v>
      </c>
      <c r="F21" s="31">
        <v>8706</v>
      </c>
      <c r="G21" s="1"/>
      <c r="H21" s="1"/>
      <c r="I21" s="130"/>
      <c r="J21" s="169"/>
      <c r="K21" s="169"/>
      <c r="L21" s="165"/>
    </row>
    <row r="22" spans="1:15" s="2" customFormat="1" ht="14.25" customHeight="1" x14ac:dyDescent="0.2">
      <c r="A22" s="89">
        <v>45274</v>
      </c>
      <c r="B22" s="9" t="s">
        <v>11</v>
      </c>
      <c r="C22" s="76" t="s">
        <v>1777</v>
      </c>
      <c r="D22" s="11" t="s">
        <v>29</v>
      </c>
      <c r="F22" s="31">
        <v>82796</v>
      </c>
      <c r="G22" s="1"/>
      <c r="H22" s="1"/>
      <c r="I22" s="130"/>
      <c r="J22" s="169"/>
      <c r="K22" s="169"/>
      <c r="L22" s="165"/>
    </row>
    <row r="23" spans="1:15" s="2" customFormat="1" ht="14.25" customHeight="1" x14ac:dyDescent="0.2">
      <c r="D23" s="11" t="s">
        <v>8</v>
      </c>
      <c r="E23" s="16">
        <f>SUM(E14:E22)</f>
        <v>0</v>
      </c>
      <c r="F23" s="16">
        <f>SUM(F13:F22)</f>
        <v>28605096.25</v>
      </c>
      <c r="G23" s="1"/>
      <c r="H23" s="1"/>
      <c r="I23" s="143"/>
      <c r="J23" s="130"/>
      <c r="K23" s="143"/>
      <c r="L23" s="143"/>
      <c r="M23" s="143"/>
      <c r="N23" s="143"/>
    </row>
    <row r="24" spans="1:15" s="2" customFormat="1" ht="14.25" customHeight="1" x14ac:dyDescent="0.4">
      <c r="A24" s="17"/>
      <c r="B24" s="18"/>
      <c r="C24" s="96" t="s">
        <v>9</v>
      </c>
      <c r="D24" s="20"/>
      <c r="E24" s="21">
        <f>+F23-E23</f>
        <v>28605096.25</v>
      </c>
      <c r="G24" s="1"/>
      <c r="H24" s="1"/>
      <c r="J24" s="112"/>
      <c r="K24" s="153" t="s">
        <v>779</v>
      </c>
    </row>
    <row r="25" spans="1:15" s="2" customFormat="1" ht="14.25" customHeight="1" x14ac:dyDescent="0.2">
      <c r="A25" s="36"/>
      <c r="B25" s="28" t="s">
        <v>66</v>
      </c>
      <c r="C25" s="43" t="s">
        <v>1458</v>
      </c>
      <c r="D25" s="43"/>
      <c r="E25" s="12">
        <f>30000000+60000000</f>
        <v>90000000</v>
      </c>
      <c r="F25" s="22"/>
      <c r="G25" s="1"/>
      <c r="H25" s="1"/>
      <c r="J25" s="40">
        <v>28605096.25</v>
      </c>
      <c r="K25" s="154">
        <f>J25-E24</f>
        <v>0</v>
      </c>
    </row>
    <row r="26" spans="1:15" s="2" customFormat="1" ht="14.25" customHeight="1" x14ac:dyDescent="0.25">
      <c r="A26" s="36"/>
      <c r="B26" s="28"/>
      <c r="C26" s="44" t="s">
        <v>1541</v>
      </c>
      <c r="D26" s="43"/>
      <c r="E26" s="7">
        <f>+E24+E25</f>
        <v>118605096.25</v>
      </c>
      <c r="F26" s="22"/>
      <c r="G26" s="1"/>
      <c r="H26" s="1"/>
      <c r="I26" s="13" t="s">
        <v>1582</v>
      </c>
      <c r="J26" s="13" t="s">
        <v>1583</v>
      </c>
    </row>
    <row r="27" spans="1:15" s="2" customFormat="1" ht="14.25" customHeight="1" x14ac:dyDescent="0.25">
      <c r="A27" s="36"/>
      <c r="B27" s="28"/>
      <c r="C27" s="44" t="s">
        <v>1511</v>
      </c>
      <c r="D27" s="43"/>
      <c r="E27" s="38">
        <f>+J13+I9-J9</f>
        <v>1394903.75</v>
      </c>
      <c r="F27" s="22"/>
      <c r="G27" s="1"/>
      <c r="H27" s="1"/>
      <c r="I27" s="2">
        <v>1267567</v>
      </c>
      <c r="J27" s="2">
        <v>1583500.21</v>
      </c>
      <c r="K27" s="176">
        <f>I27-J27</f>
        <v>-315933.20999999996</v>
      </c>
    </row>
    <row r="28" spans="1:15" s="2" customFormat="1" ht="14.25" customHeight="1" x14ac:dyDescent="0.2">
      <c r="A28" s="24"/>
      <c r="B28" s="1"/>
      <c r="C28" s="14"/>
      <c r="D28" s="25"/>
      <c r="G28" s="1"/>
      <c r="H28" s="1"/>
      <c r="J28" s="130"/>
      <c r="K28" s="130"/>
    </row>
    <row r="29" spans="1:15" s="2" customFormat="1" x14ac:dyDescent="0.2">
      <c r="A29" s="214" t="s">
        <v>10</v>
      </c>
      <c r="B29" s="214"/>
      <c r="C29" s="214"/>
      <c r="D29" s="214"/>
      <c r="E29" s="214"/>
      <c r="F29" s="214"/>
      <c r="G29" s="1"/>
      <c r="H29" s="1"/>
      <c r="I29" s="159"/>
      <c r="J29" s="160">
        <f>225000000-75000000-50000000</f>
        <v>100000000</v>
      </c>
      <c r="K29" s="160" t="s">
        <v>1506</v>
      </c>
      <c r="L29" s="70"/>
    </row>
    <row r="30" spans="1:15" s="2" customFormat="1" x14ac:dyDescent="0.2">
      <c r="A30" s="26" t="s">
        <v>1</v>
      </c>
      <c r="B30" s="27" t="s">
        <v>2</v>
      </c>
      <c r="C30" s="5"/>
      <c r="D30" s="6" t="s">
        <v>3</v>
      </c>
      <c r="E30" s="7" t="s">
        <v>4</v>
      </c>
      <c r="F30" s="7" t="s">
        <v>5</v>
      </c>
      <c r="G30" s="1"/>
      <c r="H30" s="1"/>
      <c r="I30" s="159"/>
      <c r="J30" s="160">
        <v>79622187.420000002</v>
      </c>
      <c r="K30" s="160" t="s">
        <v>1507</v>
      </c>
      <c r="L30" s="70" t="s">
        <v>1512</v>
      </c>
    </row>
    <row r="31" spans="1:15" s="2" customFormat="1" x14ac:dyDescent="0.2">
      <c r="A31" s="89">
        <v>45274</v>
      </c>
      <c r="B31" s="128" t="s">
        <v>11</v>
      </c>
      <c r="C31" s="29" t="s">
        <v>7</v>
      </c>
      <c r="D31" s="25"/>
      <c r="E31" s="31"/>
      <c r="F31" s="2">
        <v>72916521.590000004</v>
      </c>
      <c r="G31" s="23"/>
      <c r="H31" s="23"/>
      <c r="I31" s="159" t="s">
        <v>1505</v>
      </c>
      <c r="J31" s="160">
        <f>+J29-J30</f>
        <v>20377812.579999998</v>
      </c>
      <c r="K31" s="160"/>
      <c r="L31" s="70"/>
    </row>
    <row r="32" spans="1:15" s="2" customFormat="1" x14ac:dyDescent="0.2">
      <c r="A32" s="89">
        <v>45274</v>
      </c>
      <c r="B32" s="128" t="s">
        <v>6</v>
      </c>
      <c r="C32" s="29" t="s">
        <v>121</v>
      </c>
      <c r="D32" s="11" t="s">
        <v>13</v>
      </c>
      <c r="E32" s="86">
        <v>400000</v>
      </c>
      <c r="F32" s="70"/>
      <c r="G32" s="1"/>
      <c r="H32" s="1"/>
      <c r="O32" s="1"/>
    </row>
    <row r="33" spans="1:15" s="2" customFormat="1" x14ac:dyDescent="0.2">
      <c r="A33" s="89">
        <v>45274</v>
      </c>
      <c r="B33" s="128" t="s">
        <v>6</v>
      </c>
      <c r="C33" s="29" t="s">
        <v>1871</v>
      </c>
      <c r="D33" s="11" t="s">
        <v>13</v>
      </c>
      <c r="E33" s="86">
        <v>1463</v>
      </c>
      <c r="F33" s="70"/>
      <c r="G33" s="1"/>
      <c r="H33" s="1"/>
      <c r="O33" s="1"/>
    </row>
    <row r="34" spans="1:15" s="2" customFormat="1" x14ac:dyDescent="0.2">
      <c r="A34" s="89">
        <v>45274</v>
      </c>
      <c r="B34" s="128" t="s">
        <v>6</v>
      </c>
      <c r="C34" s="29" t="s">
        <v>824</v>
      </c>
      <c r="D34" s="11" t="s">
        <v>13</v>
      </c>
      <c r="E34" s="86">
        <v>137991</v>
      </c>
      <c r="F34" s="70"/>
      <c r="G34" s="1"/>
      <c r="H34" s="1"/>
      <c r="O34" s="1"/>
    </row>
    <row r="35" spans="1:15" s="2" customFormat="1" x14ac:dyDescent="0.2">
      <c r="A35" s="89">
        <v>45274</v>
      </c>
      <c r="B35" s="128" t="s">
        <v>6</v>
      </c>
      <c r="C35" s="29" t="s">
        <v>19</v>
      </c>
      <c r="D35" s="11" t="s">
        <v>13</v>
      </c>
      <c r="E35" s="86">
        <v>14161</v>
      </c>
      <c r="F35" s="70"/>
      <c r="G35" s="1"/>
      <c r="H35" s="1"/>
      <c r="O35" s="1"/>
    </row>
    <row r="36" spans="1:15" s="2" customFormat="1" x14ac:dyDescent="0.2">
      <c r="A36" s="89">
        <v>45274</v>
      </c>
      <c r="B36" s="128" t="s">
        <v>6</v>
      </c>
      <c r="C36" s="29" t="s">
        <v>120</v>
      </c>
      <c r="D36" s="11" t="s">
        <v>13</v>
      </c>
      <c r="E36" s="86">
        <v>2440009</v>
      </c>
      <c r="F36" s="70"/>
      <c r="G36" s="1"/>
      <c r="H36" s="1"/>
      <c r="O36" s="1"/>
    </row>
    <row r="37" spans="1:15" s="2" customFormat="1" x14ac:dyDescent="0.2">
      <c r="A37" s="89">
        <v>45274</v>
      </c>
      <c r="B37" s="128" t="s">
        <v>6</v>
      </c>
      <c r="C37" s="29" t="s">
        <v>17</v>
      </c>
      <c r="D37" s="11" t="s">
        <v>13</v>
      </c>
      <c r="E37" s="86">
        <v>6242</v>
      </c>
      <c r="F37" s="70"/>
      <c r="G37" s="1"/>
      <c r="H37" s="1"/>
      <c r="O37" s="1"/>
    </row>
    <row r="38" spans="1:15" s="2" customFormat="1" x14ac:dyDescent="0.2">
      <c r="A38" s="89">
        <v>45274</v>
      </c>
      <c r="B38" s="128" t="s">
        <v>6</v>
      </c>
      <c r="C38" s="29" t="s">
        <v>24</v>
      </c>
      <c r="D38" s="11" t="s">
        <v>13</v>
      </c>
      <c r="E38" s="86">
        <v>13952</v>
      </c>
      <c r="F38" s="70"/>
      <c r="G38" s="1"/>
      <c r="H38" s="1"/>
      <c r="O38" s="1"/>
    </row>
    <row r="39" spans="1:15" s="2" customFormat="1" x14ac:dyDescent="0.2">
      <c r="A39" s="89">
        <v>45274</v>
      </c>
      <c r="B39" s="128" t="s">
        <v>6</v>
      </c>
      <c r="C39" s="29" t="s">
        <v>947</v>
      </c>
      <c r="D39" s="11" t="s">
        <v>13</v>
      </c>
      <c r="E39" s="86">
        <v>15735</v>
      </c>
      <c r="F39" s="70"/>
      <c r="G39" s="1"/>
      <c r="H39" s="1"/>
      <c r="O39" s="1"/>
    </row>
    <row r="40" spans="1:15" s="2" customFormat="1" x14ac:dyDescent="0.2">
      <c r="A40" s="89">
        <v>45274</v>
      </c>
      <c r="B40" s="128" t="s">
        <v>6</v>
      </c>
      <c r="C40" s="29" t="s">
        <v>15</v>
      </c>
      <c r="D40" s="11" t="s">
        <v>13</v>
      </c>
      <c r="E40" s="86">
        <v>2669.88</v>
      </c>
      <c r="F40" s="70"/>
      <c r="G40" s="1"/>
      <c r="H40" s="1"/>
      <c r="O40" s="1"/>
    </row>
    <row r="41" spans="1:15" s="2" customFormat="1" x14ac:dyDescent="0.2">
      <c r="A41" s="89">
        <v>45274</v>
      </c>
      <c r="B41" s="128" t="s">
        <v>6</v>
      </c>
      <c r="C41" s="29" t="s">
        <v>161</v>
      </c>
      <c r="D41" s="11" t="s">
        <v>13</v>
      </c>
      <c r="E41" s="86">
        <v>172859</v>
      </c>
      <c r="F41" s="70"/>
      <c r="G41" s="1"/>
      <c r="H41" s="1"/>
      <c r="O41" s="1"/>
    </row>
    <row r="42" spans="1:15" s="2" customFormat="1" x14ac:dyDescent="0.2">
      <c r="A42" s="89">
        <v>45274</v>
      </c>
      <c r="B42" s="128" t="s">
        <v>6</v>
      </c>
      <c r="C42" s="29" t="s">
        <v>688</v>
      </c>
      <c r="D42" s="11" t="s">
        <v>13</v>
      </c>
      <c r="E42" s="86">
        <v>45388</v>
      </c>
      <c r="F42" s="70"/>
      <c r="G42" s="1"/>
      <c r="H42" s="1"/>
      <c r="O42" s="1"/>
    </row>
    <row r="43" spans="1:15" s="2" customFormat="1" x14ac:dyDescent="0.2">
      <c r="A43" s="89">
        <v>45274</v>
      </c>
      <c r="B43" s="128" t="s">
        <v>6</v>
      </c>
      <c r="C43" s="29" t="s">
        <v>316</v>
      </c>
      <c r="D43" s="11" t="s">
        <v>13</v>
      </c>
      <c r="E43" s="86">
        <v>37457</v>
      </c>
      <c r="F43" s="70"/>
      <c r="G43" s="1"/>
      <c r="H43" s="1"/>
      <c r="O43" s="1"/>
    </row>
    <row r="44" spans="1:15" s="2" customFormat="1" x14ac:dyDescent="0.2">
      <c r="A44" s="89">
        <v>45274</v>
      </c>
      <c r="B44" s="128" t="s">
        <v>6</v>
      </c>
      <c r="C44" s="29" t="s">
        <v>1869</v>
      </c>
      <c r="D44" s="11" t="s">
        <v>13</v>
      </c>
      <c r="E44" s="86">
        <v>2026825.33</v>
      </c>
      <c r="F44" s="70"/>
      <c r="G44" s="1"/>
      <c r="H44" s="1"/>
      <c r="O44" s="1"/>
    </row>
    <row r="45" spans="1:15" s="2" customFormat="1" x14ac:dyDescent="0.2">
      <c r="A45" s="89">
        <v>45274</v>
      </c>
      <c r="B45" s="128" t="s">
        <v>6</v>
      </c>
      <c r="C45" s="29" t="s">
        <v>149</v>
      </c>
      <c r="D45" s="11" t="s">
        <v>13</v>
      </c>
      <c r="E45" s="86">
        <v>25846</v>
      </c>
      <c r="F45" s="70"/>
      <c r="G45" s="1"/>
      <c r="H45" s="1"/>
      <c r="O45" s="1"/>
    </row>
    <row r="46" spans="1:15" s="2" customFormat="1" x14ac:dyDescent="0.2">
      <c r="A46" s="89">
        <v>45274</v>
      </c>
      <c r="B46" s="128" t="s">
        <v>6</v>
      </c>
      <c r="C46" s="29" t="s">
        <v>1501</v>
      </c>
      <c r="D46" s="11" t="s">
        <v>13</v>
      </c>
      <c r="E46" s="86">
        <v>4725</v>
      </c>
      <c r="F46" s="70"/>
      <c r="G46" s="1"/>
      <c r="H46" s="1"/>
      <c r="O46" s="1"/>
    </row>
    <row r="47" spans="1:15" s="2" customFormat="1" x14ac:dyDescent="0.2">
      <c r="A47" s="89">
        <v>45274</v>
      </c>
      <c r="B47" s="128" t="s">
        <v>6</v>
      </c>
      <c r="C47" s="29" t="s">
        <v>1274</v>
      </c>
      <c r="D47" s="11" t="s">
        <v>13</v>
      </c>
      <c r="E47" s="86">
        <v>987450</v>
      </c>
      <c r="F47" s="70"/>
      <c r="G47" s="1"/>
      <c r="H47" s="1"/>
      <c r="O47" s="1"/>
    </row>
    <row r="48" spans="1:15" s="2" customFormat="1" x14ac:dyDescent="0.2">
      <c r="A48" s="89">
        <v>45274</v>
      </c>
      <c r="B48" s="128" t="s">
        <v>6</v>
      </c>
      <c r="C48" s="29" t="s">
        <v>236</v>
      </c>
      <c r="D48" s="11" t="s">
        <v>13</v>
      </c>
      <c r="E48" s="86">
        <v>3000000</v>
      </c>
      <c r="F48" s="70"/>
      <c r="G48" s="1"/>
      <c r="H48" s="1"/>
      <c r="O48" s="1"/>
    </row>
    <row r="49" spans="1:15" s="2" customFormat="1" x14ac:dyDescent="0.2">
      <c r="A49" s="89">
        <v>45274</v>
      </c>
      <c r="B49" s="128" t="s">
        <v>6</v>
      </c>
      <c r="C49" s="29" t="s">
        <v>304</v>
      </c>
      <c r="D49" s="11" t="s">
        <v>13</v>
      </c>
      <c r="E49" s="86">
        <v>914321</v>
      </c>
      <c r="F49" s="70"/>
      <c r="G49" s="1"/>
      <c r="H49" s="1"/>
      <c r="O49" s="1"/>
    </row>
    <row r="50" spans="1:15" s="2" customFormat="1" x14ac:dyDescent="0.2">
      <c r="A50" s="89">
        <v>45274</v>
      </c>
      <c r="B50" s="128" t="s">
        <v>6</v>
      </c>
      <c r="C50" s="29" t="s">
        <v>391</v>
      </c>
      <c r="D50" s="11" t="s">
        <v>13</v>
      </c>
      <c r="E50" s="86">
        <v>2205</v>
      </c>
      <c r="F50" s="70"/>
      <c r="G50" s="1"/>
      <c r="H50" s="1"/>
      <c r="O50" s="1"/>
    </row>
    <row r="51" spans="1:15" s="2" customFormat="1" x14ac:dyDescent="0.2">
      <c r="A51" s="89">
        <v>45274</v>
      </c>
      <c r="B51" s="128" t="s">
        <v>6</v>
      </c>
      <c r="C51" s="29" t="s">
        <v>1246</v>
      </c>
      <c r="D51" s="11" t="s">
        <v>13</v>
      </c>
      <c r="E51" s="86">
        <v>100000</v>
      </c>
      <c r="F51" s="70"/>
      <c r="G51" s="1"/>
      <c r="H51" s="1"/>
      <c r="O51" s="1"/>
    </row>
    <row r="52" spans="1:15" s="2" customFormat="1" x14ac:dyDescent="0.2">
      <c r="A52" s="89">
        <v>45274</v>
      </c>
      <c r="B52" s="128" t="s">
        <v>6</v>
      </c>
      <c r="C52" s="29" t="s">
        <v>1259</v>
      </c>
      <c r="D52" s="11" t="s">
        <v>13</v>
      </c>
      <c r="E52" s="86">
        <v>9596</v>
      </c>
      <c r="F52" s="70"/>
      <c r="G52" s="1"/>
      <c r="H52" s="1"/>
      <c r="O52" s="1"/>
    </row>
    <row r="53" spans="1:15" s="2" customFormat="1" x14ac:dyDescent="0.2">
      <c r="A53" s="89">
        <v>45274</v>
      </c>
      <c r="B53" s="128" t="s">
        <v>6</v>
      </c>
      <c r="C53" s="29" t="s">
        <v>27</v>
      </c>
      <c r="D53" s="11" t="s">
        <v>13</v>
      </c>
      <c r="E53" s="86">
        <v>8970578.8100000005</v>
      </c>
      <c r="F53" s="70"/>
      <c r="G53" s="1"/>
      <c r="H53" s="1"/>
      <c r="O53" s="1"/>
    </row>
    <row r="54" spans="1:15" s="2" customFormat="1" x14ac:dyDescent="0.2">
      <c r="A54" s="89">
        <v>45274</v>
      </c>
      <c r="B54" s="128" t="s">
        <v>11</v>
      </c>
      <c r="C54" s="29" t="s">
        <v>64</v>
      </c>
      <c r="D54" s="11" t="s">
        <v>29</v>
      </c>
      <c r="E54" s="86"/>
      <c r="F54" s="70">
        <f>10986.39+8850</f>
        <v>19836.39</v>
      </c>
      <c r="G54" s="1"/>
      <c r="H54" s="1"/>
      <c r="O54" s="1"/>
    </row>
    <row r="55" spans="1:15" s="2" customFormat="1" x14ac:dyDescent="0.2">
      <c r="A55" s="89">
        <v>45274</v>
      </c>
      <c r="B55" s="128" t="s">
        <v>11</v>
      </c>
      <c r="C55" s="29" t="s">
        <v>156</v>
      </c>
      <c r="D55" s="11" t="s">
        <v>29</v>
      </c>
      <c r="E55" s="86"/>
      <c r="F55" s="70">
        <v>1358.3700000000001</v>
      </c>
      <c r="G55" s="1"/>
      <c r="H55" s="1"/>
      <c r="O55" s="1"/>
    </row>
    <row r="56" spans="1:15" s="2" customFormat="1" x14ac:dyDescent="0.2">
      <c r="A56" s="89">
        <v>45274</v>
      </c>
      <c r="B56" s="128" t="s">
        <v>11</v>
      </c>
      <c r="C56" s="29" t="s">
        <v>110</v>
      </c>
      <c r="D56" s="11" t="s">
        <v>29</v>
      </c>
      <c r="E56" s="86"/>
      <c r="F56" s="70">
        <v>1145386.21</v>
      </c>
      <c r="G56" s="1"/>
      <c r="H56" s="1"/>
      <c r="O56" s="1"/>
    </row>
    <row r="57" spans="1:15" s="2" customFormat="1" x14ac:dyDescent="0.2">
      <c r="A57" s="89">
        <v>45274</v>
      </c>
      <c r="B57" s="128" t="s">
        <v>11</v>
      </c>
      <c r="C57" s="29" t="s">
        <v>628</v>
      </c>
      <c r="D57" s="11" t="s">
        <v>29</v>
      </c>
      <c r="E57" s="86"/>
      <c r="F57" s="70">
        <v>26778</v>
      </c>
      <c r="G57" s="1"/>
      <c r="H57" s="1"/>
      <c r="O57" s="1"/>
    </row>
    <row r="58" spans="1:15" s="2" customFormat="1" x14ac:dyDescent="0.2">
      <c r="A58" s="89">
        <v>45274</v>
      </c>
      <c r="B58" s="128" t="s">
        <v>11</v>
      </c>
      <c r="C58" s="29" t="s">
        <v>528</v>
      </c>
      <c r="D58" s="11" t="s">
        <v>29</v>
      </c>
      <c r="E58" s="86"/>
      <c r="F58" s="70">
        <v>17700</v>
      </c>
      <c r="G58" s="1"/>
      <c r="H58" s="1"/>
      <c r="O58" s="1"/>
    </row>
    <row r="59" spans="1:15" s="2" customFormat="1" x14ac:dyDescent="0.2">
      <c r="A59" s="89">
        <v>45274</v>
      </c>
      <c r="B59" s="128" t="s">
        <v>11</v>
      </c>
      <c r="C59" s="29" t="s">
        <v>268</v>
      </c>
      <c r="D59" s="11" t="s">
        <v>29</v>
      </c>
      <c r="E59" s="86"/>
      <c r="F59" s="70">
        <v>75142</v>
      </c>
      <c r="G59" s="1"/>
      <c r="H59" s="1"/>
      <c r="O59" s="1"/>
    </row>
    <row r="60" spans="1:15" s="2" customFormat="1" x14ac:dyDescent="0.2">
      <c r="A60" s="89">
        <v>45274</v>
      </c>
      <c r="B60" s="128" t="s">
        <v>11</v>
      </c>
      <c r="C60" s="29" t="s">
        <v>58</v>
      </c>
      <c r="D60" s="11" t="s">
        <v>29</v>
      </c>
      <c r="E60" s="86"/>
      <c r="F60" s="70">
        <v>392125</v>
      </c>
      <c r="G60" s="1"/>
      <c r="H60" s="1"/>
      <c r="O60" s="1"/>
    </row>
    <row r="61" spans="1:15" s="2" customFormat="1" x14ac:dyDescent="0.2">
      <c r="A61" s="89">
        <v>45274</v>
      </c>
      <c r="B61" s="128" t="s">
        <v>11</v>
      </c>
      <c r="C61" s="29" t="s">
        <v>339</v>
      </c>
      <c r="D61" s="11" t="s">
        <v>29</v>
      </c>
      <c r="E61" s="86"/>
      <c r="F61" s="70">
        <v>12170.82</v>
      </c>
      <c r="G61" s="1"/>
      <c r="H61" s="1"/>
      <c r="O61" s="1"/>
    </row>
    <row r="62" spans="1:15" s="2" customFormat="1" x14ac:dyDescent="0.2">
      <c r="A62" s="89">
        <v>45274</v>
      </c>
      <c r="B62" s="128" t="s">
        <v>11</v>
      </c>
      <c r="C62" s="29" t="s">
        <v>303</v>
      </c>
      <c r="D62" s="11" t="s">
        <v>29</v>
      </c>
      <c r="E62" s="86"/>
      <c r="F62" s="70">
        <v>5062</v>
      </c>
      <c r="G62" s="1"/>
      <c r="H62" s="1"/>
      <c r="O62" s="1"/>
    </row>
    <row r="63" spans="1:15" s="2" customFormat="1" x14ac:dyDescent="0.2">
      <c r="A63" s="89">
        <v>45274</v>
      </c>
      <c r="B63" s="128" t="s">
        <v>11</v>
      </c>
      <c r="C63" s="29" t="s">
        <v>437</v>
      </c>
      <c r="D63" s="11" t="s">
        <v>29</v>
      </c>
      <c r="E63" s="86"/>
      <c r="F63" s="70">
        <v>37265</v>
      </c>
      <c r="G63" s="1"/>
      <c r="H63" s="1"/>
      <c r="O63" s="1"/>
    </row>
    <row r="64" spans="1:15" s="2" customFormat="1" x14ac:dyDescent="0.2">
      <c r="A64" s="89">
        <v>45274</v>
      </c>
      <c r="B64" s="128" t="s">
        <v>11</v>
      </c>
      <c r="C64" s="29" t="s">
        <v>626</v>
      </c>
      <c r="D64" s="11" t="s">
        <v>29</v>
      </c>
      <c r="E64" s="86"/>
      <c r="F64" s="70">
        <v>24132</v>
      </c>
      <c r="G64" s="1"/>
      <c r="H64" s="1"/>
      <c r="O64" s="1"/>
    </row>
    <row r="65" spans="1:15" s="2" customFormat="1" x14ac:dyDescent="0.2">
      <c r="A65" s="89">
        <v>45274</v>
      </c>
      <c r="B65" s="128" t="s">
        <v>11</v>
      </c>
      <c r="C65" s="29" t="s">
        <v>54</v>
      </c>
      <c r="D65" s="11" t="s">
        <v>29</v>
      </c>
      <c r="E65" s="86"/>
      <c r="F65" s="70">
        <v>3254</v>
      </c>
      <c r="G65" s="1"/>
      <c r="H65" s="1"/>
      <c r="O65" s="1"/>
    </row>
    <row r="66" spans="1:15" s="2" customFormat="1" x14ac:dyDescent="0.2">
      <c r="A66" s="89">
        <v>45274</v>
      </c>
      <c r="B66" s="128" t="s">
        <v>11</v>
      </c>
      <c r="C66" s="29" t="s">
        <v>663</v>
      </c>
      <c r="D66" s="11" t="s">
        <v>29</v>
      </c>
      <c r="E66" s="86"/>
      <c r="F66" s="70">
        <v>55440</v>
      </c>
      <c r="G66" s="1"/>
      <c r="H66" s="1"/>
      <c r="O66" s="1"/>
    </row>
    <row r="67" spans="1:15" s="2" customFormat="1" x14ac:dyDescent="0.2">
      <c r="A67" s="89">
        <v>45274</v>
      </c>
      <c r="B67" s="128" t="s">
        <v>11</v>
      </c>
      <c r="C67" s="29" t="s">
        <v>1408</v>
      </c>
      <c r="D67" s="11" t="s">
        <v>29</v>
      </c>
      <c r="E67" s="86"/>
      <c r="F67" s="70">
        <v>104264.93</v>
      </c>
      <c r="G67" s="1"/>
      <c r="H67" s="1"/>
      <c r="O67" s="1"/>
    </row>
    <row r="68" spans="1:15" s="2" customFormat="1" x14ac:dyDescent="0.2">
      <c r="A68" s="89">
        <v>45274</v>
      </c>
      <c r="B68" s="128" t="s">
        <v>11</v>
      </c>
      <c r="C68" s="29" t="s">
        <v>438</v>
      </c>
      <c r="D68" s="11" t="s">
        <v>29</v>
      </c>
      <c r="E68" s="86"/>
      <c r="F68" s="70">
        <v>16322</v>
      </c>
      <c r="G68" s="1"/>
      <c r="H68" s="1"/>
      <c r="O68" s="1"/>
    </row>
    <row r="69" spans="1:15" s="2" customFormat="1" x14ac:dyDescent="0.2">
      <c r="A69" s="89">
        <v>45274</v>
      </c>
      <c r="B69" s="128" t="s">
        <v>11</v>
      </c>
      <c r="C69" s="29" t="s">
        <v>507</v>
      </c>
      <c r="D69" s="11" t="s">
        <v>29</v>
      </c>
      <c r="E69" s="86"/>
      <c r="F69" s="70">
        <v>199656</v>
      </c>
      <c r="G69" s="1"/>
      <c r="H69" s="1"/>
      <c r="O69" s="1"/>
    </row>
    <row r="70" spans="1:15" s="2" customFormat="1" x14ac:dyDescent="0.2">
      <c r="A70" s="89">
        <v>45274</v>
      </c>
      <c r="B70" s="128" t="s">
        <v>11</v>
      </c>
      <c r="C70" s="29" t="s">
        <v>402</v>
      </c>
      <c r="D70" s="11" t="s">
        <v>29</v>
      </c>
      <c r="E70" s="86"/>
      <c r="F70" s="70">
        <v>7000000</v>
      </c>
      <c r="G70" s="1"/>
      <c r="H70" s="1"/>
      <c r="O70" s="1"/>
    </row>
    <row r="71" spans="1:15" s="2" customFormat="1" x14ac:dyDescent="0.2">
      <c r="A71" s="89">
        <v>45274</v>
      </c>
      <c r="B71" s="128" t="s">
        <v>11</v>
      </c>
      <c r="C71" s="29" t="s">
        <v>849</v>
      </c>
      <c r="D71" s="11" t="s">
        <v>29</v>
      </c>
      <c r="E71" s="86"/>
      <c r="F71" s="70">
        <v>354664</v>
      </c>
      <c r="G71" s="1"/>
      <c r="H71" s="1"/>
      <c r="O71" s="1"/>
    </row>
    <row r="72" spans="1:15" s="2" customFormat="1" x14ac:dyDescent="0.2">
      <c r="A72" s="89">
        <v>45274</v>
      </c>
      <c r="B72" s="128" t="s">
        <v>11</v>
      </c>
      <c r="C72" s="29" t="s">
        <v>194</v>
      </c>
      <c r="D72" s="11" t="s">
        <v>29</v>
      </c>
      <c r="E72" s="86"/>
      <c r="F72" s="70">
        <v>114231</v>
      </c>
      <c r="G72" s="1"/>
      <c r="H72" s="1"/>
      <c r="O72" s="1"/>
    </row>
    <row r="73" spans="1:15" s="2" customFormat="1" x14ac:dyDescent="0.2">
      <c r="A73" s="89">
        <v>45274</v>
      </c>
      <c r="B73" s="128" t="s">
        <v>11</v>
      </c>
      <c r="C73" s="29" t="s">
        <v>745</v>
      </c>
      <c r="D73" s="11" t="s">
        <v>29</v>
      </c>
      <c r="E73" s="86"/>
      <c r="F73" s="70">
        <v>425582</v>
      </c>
      <c r="G73" s="1"/>
      <c r="H73" s="1"/>
      <c r="O73" s="1"/>
    </row>
    <row r="74" spans="1:15" s="2" customFormat="1" x14ac:dyDescent="0.2">
      <c r="A74" s="89">
        <v>45274</v>
      </c>
      <c r="B74" s="128" t="s">
        <v>11</v>
      </c>
      <c r="C74" s="29" t="s">
        <v>300</v>
      </c>
      <c r="D74" s="11" t="s">
        <v>29</v>
      </c>
      <c r="E74" s="86"/>
      <c r="F74" s="70">
        <v>357865.34</v>
      </c>
      <c r="G74" s="1"/>
      <c r="H74" s="1"/>
      <c r="O74" s="1"/>
    </row>
    <row r="75" spans="1:15" s="2" customFormat="1" x14ac:dyDescent="0.2">
      <c r="A75" s="89">
        <v>45274</v>
      </c>
      <c r="B75" s="128" t="s">
        <v>11</v>
      </c>
      <c r="C75" s="29" t="s">
        <v>790</v>
      </c>
      <c r="D75" s="11" t="s">
        <v>29</v>
      </c>
      <c r="E75" s="86"/>
      <c r="F75" s="70">
        <v>1301243</v>
      </c>
      <c r="G75" s="1"/>
      <c r="H75" s="1"/>
      <c r="O75" s="1"/>
    </row>
    <row r="76" spans="1:15" s="2" customFormat="1" x14ac:dyDescent="0.2">
      <c r="A76" s="89">
        <v>45274</v>
      </c>
      <c r="B76" s="128" t="s">
        <v>11</v>
      </c>
      <c r="C76" s="29" t="s">
        <v>1688</v>
      </c>
      <c r="D76" s="11" t="s">
        <v>29</v>
      </c>
      <c r="E76" s="86"/>
      <c r="F76" s="70">
        <v>2649024</v>
      </c>
      <c r="G76" s="1"/>
      <c r="H76" s="1"/>
      <c r="O76" s="1"/>
    </row>
    <row r="77" spans="1:15" s="2" customFormat="1" x14ac:dyDescent="0.2">
      <c r="A77" s="89">
        <v>45274</v>
      </c>
      <c r="B77" s="128" t="s">
        <v>11</v>
      </c>
      <c r="C77" s="29" t="s">
        <v>57</v>
      </c>
      <c r="D77" s="11" t="s">
        <v>29</v>
      </c>
      <c r="E77" s="86"/>
      <c r="F77" s="70">
        <v>8000000</v>
      </c>
      <c r="G77" s="1"/>
      <c r="H77" s="1"/>
      <c r="O77" s="1"/>
    </row>
    <row r="78" spans="1:15" s="2" customFormat="1" x14ac:dyDescent="0.2">
      <c r="A78" s="89">
        <v>45274</v>
      </c>
      <c r="B78" s="128" t="s">
        <v>11</v>
      </c>
      <c r="C78" s="29" t="s">
        <v>486</v>
      </c>
      <c r="D78" s="11" t="s">
        <v>29</v>
      </c>
      <c r="E78" s="86"/>
      <c r="F78" s="70">
        <v>100000</v>
      </c>
      <c r="G78" s="1"/>
      <c r="H78" s="1"/>
      <c r="O78" s="1"/>
    </row>
    <row r="79" spans="1:15" s="2" customFormat="1" x14ac:dyDescent="0.2">
      <c r="A79" s="89">
        <v>45274</v>
      </c>
      <c r="B79" s="128" t="s">
        <v>11</v>
      </c>
      <c r="C79" s="29" t="s">
        <v>236</v>
      </c>
      <c r="D79" s="11" t="s">
        <v>29</v>
      </c>
      <c r="E79" s="86"/>
      <c r="F79" s="70">
        <v>600000</v>
      </c>
      <c r="G79" s="1"/>
      <c r="H79" s="1"/>
      <c r="O79" s="1"/>
    </row>
    <row r="80" spans="1:15" s="2" customFormat="1" x14ac:dyDescent="0.2">
      <c r="A80" s="89">
        <v>45274</v>
      </c>
      <c r="B80" s="128" t="s">
        <v>11</v>
      </c>
      <c r="C80" s="29" t="s">
        <v>1502</v>
      </c>
      <c r="D80" s="11" t="s">
        <v>29</v>
      </c>
      <c r="E80" s="86"/>
      <c r="F80" s="70">
        <v>1380431</v>
      </c>
      <c r="G80" s="1"/>
      <c r="H80" s="1"/>
      <c r="O80" s="1"/>
    </row>
    <row r="81" spans="1:15" s="2" customFormat="1" x14ac:dyDescent="0.2">
      <c r="A81" s="89">
        <v>45274</v>
      </c>
      <c r="B81" s="128" t="s">
        <v>11</v>
      </c>
      <c r="C81" s="29" t="s">
        <v>1403</v>
      </c>
      <c r="D81" s="11" t="s">
        <v>29</v>
      </c>
      <c r="E81" s="86"/>
      <c r="F81" s="70">
        <v>1902478</v>
      </c>
      <c r="G81" s="1"/>
      <c r="H81" s="1"/>
      <c r="O81" s="1"/>
    </row>
    <row r="82" spans="1:15" s="2" customFormat="1" x14ac:dyDescent="0.2">
      <c r="A82" s="89">
        <v>45274</v>
      </c>
      <c r="B82" s="128" t="s">
        <v>11</v>
      </c>
      <c r="C82" s="29" t="s">
        <v>1870</v>
      </c>
      <c r="D82" s="11" t="s">
        <v>29</v>
      </c>
      <c r="E82" s="86"/>
      <c r="F82" s="70">
        <v>13492</v>
      </c>
      <c r="G82" s="1"/>
      <c r="H82" s="1"/>
      <c r="O82" s="1"/>
    </row>
    <row r="83" spans="1:15" s="2" customFormat="1" x14ac:dyDescent="0.2">
      <c r="A83" s="89">
        <v>45274</v>
      </c>
      <c r="B83" s="128" t="s">
        <v>11</v>
      </c>
      <c r="C83" s="29" t="s">
        <v>91</v>
      </c>
      <c r="D83" s="11" t="s">
        <v>29</v>
      </c>
      <c r="E83" s="86"/>
      <c r="F83" s="70">
        <v>16170</v>
      </c>
      <c r="G83" s="1"/>
      <c r="H83" s="1"/>
      <c r="O83" s="1"/>
    </row>
    <row r="84" spans="1:15" s="2" customFormat="1" x14ac:dyDescent="0.2">
      <c r="A84" s="32"/>
      <c r="B84" s="33"/>
      <c r="C84" s="14"/>
      <c r="D84" s="34"/>
      <c r="E84" s="16">
        <f>SUM(E31:E83)</f>
        <v>19329474.020000003</v>
      </c>
      <c r="F84" s="16">
        <f>SUM(F31:F83)</f>
        <v>99267594.650000006</v>
      </c>
      <c r="G84" s="1"/>
      <c r="H84" s="1"/>
      <c r="I84" s="1"/>
      <c r="J84" s="38">
        <v>79938120.629999995</v>
      </c>
      <c r="L84" s="92">
        <f>E85-J84</f>
        <v>0</v>
      </c>
      <c r="O84" s="1"/>
    </row>
    <row r="85" spans="1:15" s="2" customFormat="1" x14ac:dyDescent="0.2">
      <c r="A85" s="36"/>
      <c r="B85" s="28" t="s">
        <v>11</v>
      </c>
      <c r="C85" s="19" t="s">
        <v>65</v>
      </c>
      <c r="D85" s="37"/>
      <c r="E85" s="38">
        <f>F84-E84</f>
        <v>79938120.629999995</v>
      </c>
      <c r="F85" s="22"/>
      <c r="G85" s="1"/>
      <c r="H85" s="1"/>
      <c r="I85" s="1"/>
      <c r="J85" s="70"/>
      <c r="K85" s="70"/>
      <c r="L85" s="70"/>
      <c r="O85" s="1"/>
    </row>
    <row r="86" spans="1:15" s="2" customFormat="1" x14ac:dyDescent="0.2">
      <c r="A86" s="36"/>
      <c r="B86" s="28" t="s">
        <v>66</v>
      </c>
      <c r="C86" s="19" t="s">
        <v>67</v>
      </c>
      <c r="D86" s="37"/>
      <c r="E86" s="38">
        <v>0</v>
      </c>
      <c r="F86" s="22"/>
      <c r="G86" s="1"/>
      <c r="H86" s="1"/>
      <c r="I86" s="70"/>
      <c r="J86" s="70"/>
      <c r="K86" s="70"/>
      <c r="L86" s="70"/>
      <c r="O86" s="1"/>
    </row>
    <row r="87" spans="1:15" s="2" customFormat="1" x14ac:dyDescent="0.2">
      <c r="A87" s="36"/>
      <c r="B87" s="28" t="s">
        <v>66</v>
      </c>
      <c r="C87" s="43" t="s">
        <v>1457</v>
      </c>
      <c r="D87" s="43"/>
      <c r="E87" s="12">
        <f>275000000+75000000+50000000</f>
        <v>400000000</v>
      </c>
      <c r="F87" s="22"/>
      <c r="G87" s="1"/>
      <c r="H87" s="1"/>
      <c r="I87" s="70"/>
      <c r="J87" s="45">
        <v>767.83</v>
      </c>
      <c r="K87" s="46"/>
      <c r="L87" s="46"/>
      <c r="O87" s="1"/>
    </row>
    <row r="88" spans="1:15" s="2" customFormat="1" ht="15" x14ac:dyDescent="0.25">
      <c r="A88" s="36"/>
      <c r="B88" s="28"/>
      <c r="C88" s="44" t="s">
        <v>1541</v>
      </c>
      <c r="D88" s="43"/>
      <c r="E88" s="7">
        <f>+E87+E85+E86</f>
        <v>479938120.63</v>
      </c>
      <c r="F88" s="22"/>
      <c r="G88" s="1"/>
      <c r="H88" s="1"/>
      <c r="I88" s="103" t="s">
        <v>69</v>
      </c>
      <c r="J88" s="45">
        <v>-100.06</v>
      </c>
      <c r="K88" s="46"/>
      <c r="L88" s="46"/>
      <c r="O88" s="1"/>
    </row>
    <row r="89" spans="1:15" s="2" customFormat="1" ht="15" x14ac:dyDescent="0.25">
      <c r="A89" s="24"/>
      <c r="B89" s="1"/>
      <c r="C89" s="44" t="s">
        <v>1510</v>
      </c>
      <c r="D89" s="25"/>
      <c r="E89" s="156">
        <f>+J31-E86+I27-J27</f>
        <v>20061879.369999997</v>
      </c>
      <c r="G89" s="1"/>
      <c r="H89" s="1"/>
      <c r="I89" s="35">
        <v>1</v>
      </c>
      <c r="J89" s="45">
        <v>100.06</v>
      </c>
      <c r="K89" s="46">
        <f>+J90-D92</f>
        <v>0</v>
      </c>
      <c r="O89" s="1"/>
    </row>
    <row r="90" spans="1:15" s="124" customFormat="1" ht="12.75" customHeight="1" x14ac:dyDescent="0.2">
      <c r="A90" s="24"/>
      <c r="B90" s="1"/>
      <c r="C90" s="56"/>
      <c r="D90" s="56"/>
      <c r="E90" s="104"/>
      <c r="F90" s="2"/>
      <c r="G90" s="166"/>
      <c r="H90" s="166"/>
      <c r="I90" s="70"/>
      <c r="J90" s="49">
        <f>SUM(J87:J89)</f>
        <v>767.82999999999993</v>
      </c>
      <c r="K90" s="46"/>
      <c r="L90" s="46"/>
    </row>
    <row r="91" spans="1:15" s="124" customFormat="1" ht="12.75" customHeight="1" x14ac:dyDescent="0.2">
      <c r="A91" s="24"/>
      <c r="B91" s="1"/>
      <c r="C91" s="78" t="s">
        <v>575</v>
      </c>
      <c r="D91" s="48" t="s">
        <v>576</v>
      </c>
      <c r="E91" s="104"/>
      <c r="F91" s="2"/>
      <c r="G91" s="168"/>
      <c r="H91" s="168"/>
      <c r="I91" s="167"/>
      <c r="J91" s="167"/>
      <c r="K91" s="168"/>
    </row>
    <row r="92" spans="1:15" s="124" customFormat="1" ht="12.75" customHeight="1" x14ac:dyDescent="0.2">
      <c r="A92" s="24"/>
      <c r="B92" s="1"/>
      <c r="C92" s="47" t="s">
        <v>570</v>
      </c>
      <c r="D92" s="111">
        <v>767.83</v>
      </c>
      <c r="E92" s="104"/>
      <c r="F92" s="2"/>
      <c r="G92" s="168"/>
      <c r="H92" s="168"/>
      <c r="I92" s="110" t="s">
        <v>581</v>
      </c>
      <c r="J92" s="167"/>
      <c r="K92" s="168"/>
    </row>
    <row r="93" spans="1:15" s="124" customFormat="1" ht="12.75" customHeight="1" x14ac:dyDescent="0.2">
      <c r="A93" s="24"/>
      <c r="B93" s="1"/>
      <c r="C93" s="47" t="s">
        <v>931</v>
      </c>
      <c r="D93" s="111">
        <v>249.7</v>
      </c>
      <c r="E93" s="104"/>
      <c r="F93" s="2"/>
      <c r="G93" s="168"/>
      <c r="H93" s="168"/>
      <c r="I93" s="110" t="s">
        <v>580</v>
      </c>
      <c r="J93" s="167"/>
      <c r="K93" s="168"/>
    </row>
    <row r="94" spans="1:15" s="124" customFormat="1" ht="12.75" customHeight="1" x14ac:dyDescent="0.2">
      <c r="A94" s="24"/>
      <c r="B94" s="1"/>
      <c r="C94" s="47" t="s">
        <v>572</v>
      </c>
      <c r="D94" s="111">
        <f>+D119/100000</f>
        <v>234.71438069999999</v>
      </c>
      <c r="E94" s="104"/>
      <c r="F94" s="2"/>
      <c r="G94" s="166"/>
      <c r="H94" s="166"/>
      <c r="I94" s="90" t="s">
        <v>587</v>
      </c>
      <c r="J94" s="167"/>
      <c r="K94" s="168"/>
    </row>
    <row r="95" spans="1:15" s="2" customFormat="1" x14ac:dyDescent="0.2">
      <c r="A95" s="24"/>
      <c r="B95" s="1"/>
      <c r="C95" s="108" t="s">
        <v>578</v>
      </c>
      <c r="D95" s="48">
        <f>SUM(D92:D94)</f>
        <v>1252.2443807</v>
      </c>
      <c r="E95" s="104"/>
      <c r="G95" s="30"/>
      <c r="H95" s="30"/>
      <c r="J95" s="13"/>
      <c r="K95" s="13"/>
    </row>
    <row r="96" spans="1:15" s="70" customFormat="1" x14ac:dyDescent="0.2">
      <c r="A96" s="24"/>
      <c r="B96" s="1"/>
      <c r="C96" s="47"/>
      <c r="D96" s="107"/>
      <c r="E96" s="104"/>
      <c r="F96" s="2"/>
      <c r="G96" s="30"/>
      <c r="H96" s="30"/>
      <c r="I96" s="2"/>
    </row>
    <row r="97" spans="1:15" s="70" customFormat="1" x14ac:dyDescent="0.2">
      <c r="A97" s="24"/>
      <c r="B97" s="1"/>
      <c r="C97" s="47" t="s">
        <v>932</v>
      </c>
      <c r="D97" s="111">
        <v>172.79</v>
      </c>
      <c r="E97" s="104"/>
      <c r="F97" s="2"/>
      <c r="G97" s="30"/>
      <c r="H97" s="30"/>
      <c r="I97" s="110" t="s">
        <v>581</v>
      </c>
    </row>
    <row r="98" spans="1:15" s="70" customFormat="1" x14ac:dyDescent="0.2">
      <c r="A98" s="24"/>
      <c r="B98" s="1"/>
      <c r="C98" s="136" t="s">
        <v>1142</v>
      </c>
      <c r="D98" s="111">
        <v>412.43</v>
      </c>
      <c r="E98" s="104"/>
      <c r="F98" s="2"/>
      <c r="G98" s="30"/>
      <c r="H98" s="30"/>
      <c r="I98" s="110" t="s">
        <v>581</v>
      </c>
    </row>
    <row r="99" spans="1:15" s="70" customFormat="1" x14ac:dyDescent="0.2">
      <c r="A99" s="24"/>
      <c r="B99" s="1"/>
      <c r="C99" s="78" t="s">
        <v>579</v>
      </c>
      <c r="D99" s="109">
        <f>D97+D98</f>
        <v>585.22</v>
      </c>
      <c r="E99" s="104"/>
      <c r="F99" s="2"/>
      <c r="G99" s="30"/>
      <c r="H99" s="30"/>
    </row>
    <row r="100" spans="1:15" s="70" customFormat="1" x14ac:dyDescent="0.2">
      <c r="A100" s="24"/>
      <c r="B100" s="1"/>
      <c r="C100" s="105"/>
      <c r="D100" s="106"/>
      <c r="E100" s="104"/>
      <c r="F100" s="2"/>
      <c r="G100" s="30"/>
      <c r="H100" s="30"/>
      <c r="J100" s="2"/>
      <c r="K100" s="221" t="str">
        <f>"FROM ( 01-12-2023 to "&amp;TEXT(A5,"dd-mm-yyyy")&amp;" )"</f>
        <v>FROM ( 01-12-2023 to 14-12-2023 )</v>
      </c>
      <c r="L100" s="221"/>
      <c r="M100" s="2"/>
      <c r="N100" s="2"/>
    </row>
    <row r="101" spans="1:15" s="70" customFormat="1" x14ac:dyDescent="0.2">
      <c r="A101" s="24"/>
      <c r="B101" s="1"/>
      <c r="C101" s="78" t="s">
        <v>577</v>
      </c>
      <c r="D101" s="109">
        <f>D92+D99</f>
        <v>1353.0500000000002</v>
      </c>
      <c r="E101" s="104"/>
      <c r="F101" s="2"/>
      <c r="G101" s="30"/>
      <c r="H101" s="30"/>
      <c r="J101" s="113"/>
      <c r="K101" s="113" t="s">
        <v>709</v>
      </c>
      <c r="L101" s="113" t="s">
        <v>710</v>
      </c>
      <c r="M101" s="113" t="s">
        <v>711</v>
      </c>
      <c r="N101" s="113" t="s">
        <v>712</v>
      </c>
    </row>
    <row r="102" spans="1:15" s="70" customFormat="1" x14ac:dyDescent="0.2">
      <c r="A102" s="24"/>
      <c r="B102" s="1"/>
      <c r="C102" s="56"/>
      <c r="D102" s="56"/>
      <c r="E102" s="104"/>
      <c r="F102" s="2"/>
      <c r="G102" s="30"/>
      <c r="H102" s="30"/>
      <c r="J102" s="113" t="s">
        <v>1860</v>
      </c>
      <c r="K102" s="115">
        <v>191.86</v>
      </c>
      <c r="L102" s="115">
        <v>93.65</v>
      </c>
      <c r="M102" s="115">
        <v>27.85</v>
      </c>
      <c r="N102" s="113">
        <f>+K102+M102-L102</f>
        <v>126.06</v>
      </c>
    </row>
    <row r="103" spans="1:15" s="70" customFormat="1" ht="38.25" x14ac:dyDescent="0.2">
      <c r="A103" s="24"/>
      <c r="B103" s="1"/>
      <c r="C103" s="79" t="str">
        <f>"Particulars ( 01-12-2023 to "&amp;TEXT(A5,"dd-mm-yyyy")&amp;" )"</f>
        <v>Particulars ( 01-12-2023 to 14-12-2023 )</v>
      </c>
      <c r="D103" s="79" t="s">
        <v>7</v>
      </c>
      <c r="E103" s="80" t="s">
        <v>73</v>
      </c>
      <c r="F103" s="80" t="s">
        <v>74</v>
      </c>
      <c r="G103" s="81" t="s">
        <v>75</v>
      </c>
      <c r="H103" s="80" t="s">
        <v>76</v>
      </c>
      <c r="J103" s="113" t="s">
        <v>1861</v>
      </c>
      <c r="K103" s="115">
        <v>1332.26</v>
      </c>
      <c r="L103" s="115">
        <v>241.65</v>
      </c>
      <c r="M103" s="115">
        <v>406.55</v>
      </c>
      <c r="N103" s="113">
        <f>+K103+M103-L103</f>
        <v>1497.1599999999999</v>
      </c>
    </row>
    <row r="104" spans="1:15" s="70" customFormat="1" x14ac:dyDescent="0.2">
      <c r="A104" s="24"/>
      <c r="B104" s="1"/>
      <c r="C104" s="50" t="s">
        <v>444</v>
      </c>
      <c r="D104" s="55">
        <f>+K104</f>
        <v>361.11</v>
      </c>
      <c r="E104" s="55">
        <f>+M104</f>
        <v>172.79</v>
      </c>
      <c r="F104" s="55">
        <f>+L104</f>
        <v>249.7</v>
      </c>
      <c r="G104" s="55">
        <f>+D104+E104-F104</f>
        <v>284.2</v>
      </c>
      <c r="H104" s="55">
        <f>1500-G104</f>
        <v>1215.8</v>
      </c>
      <c r="J104" s="113" t="s">
        <v>707</v>
      </c>
      <c r="K104" s="115">
        <v>361.11</v>
      </c>
      <c r="L104" s="115">
        <v>249.7</v>
      </c>
      <c r="M104" s="115">
        <v>172.79</v>
      </c>
      <c r="N104" s="113">
        <f>+K104+M104-L104</f>
        <v>284.2</v>
      </c>
    </row>
    <row r="105" spans="1:15" s="70" customFormat="1" ht="12.75" customHeight="1" x14ac:dyDescent="0.2">
      <c r="A105" s="24"/>
      <c r="B105" s="1"/>
      <c r="C105" s="50" t="s">
        <v>71</v>
      </c>
      <c r="D105" s="55">
        <f>+K102+K103</f>
        <v>1524.12</v>
      </c>
      <c r="E105" s="55">
        <f>+M102+M103</f>
        <v>434.40000000000003</v>
      </c>
      <c r="F105" s="55">
        <f>+L102+L103</f>
        <v>335.3</v>
      </c>
      <c r="G105" s="55">
        <f>+D105+E105-F105</f>
        <v>1623.22</v>
      </c>
      <c r="H105" s="55">
        <f>1500+700-G105</f>
        <v>576.78</v>
      </c>
      <c r="J105" s="2"/>
      <c r="K105" s="118">
        <f>SUM(K102:K104)</f>
        <v>1885.23</v>
      </c>
      <c r="L105" s="118">
        <f>SUM(L102:L104)</f>
        <v>585</v>
      </c>
      <c r="M105" s="118">
        <f>SUM(M102:M104)</f>
        <v>607.19000000000005</v>
      </c>
      <c r="N105" s="118">
        <f>SUM(N102:N104)</f>
        <v>1907.4199999999998</v>
      </c>
    </row>
    <row r="106" spans="1:15" s="70" customFormat="1" ht="12.75" customHeight="1" x14ac:dyDescent="0.2">
      <c r="A106" s="24"/>
      <c r="B106" s="1"/>
      <c r="C106" s="14"/>
      <c r="D106" s="56"/>
      <c r="E106" s="13"/>
      <c r="F106" s="2"/>
      <c r="G106" s="30"/>
      <c r="H106" s="30"/>
    </row>
    <row r="107" spans="1:15" s="70" customFormat="1" ht="12.75" customHeight="1" x14ac:dyDescent="0.2">
      <c r="A107" s="215" t="s">
        <v>80</v>
      </c>
      <c r="B107" s="216"/>
      <c r="C107" s="216"/>
      <c r="D107" s="217"/>
      <c r="E107" s="69"/>
      <c r="G107" s="30"/>
      <c r="H107" s="30"/>
    </row>
    <row r="108" spans="1:15" s="70" customFormat="1" ht="12.75" customHeight="1" x14ac:dyDescent="0.2">
      <c r="A108" s="71" t="s">
        <v>81</v>
      </c>
      <c r="B108" s="71"/>
      <c r="C108" s="72" t="s">
        <v>82</v>
      </c>
      <c r="D108" s="73" t="s">
        <v>83</v>
      </c>
      <c r="E108" s="69"/>
      <c r="G108" s="30"/>
      <c r="H108" s="30"/>
    </row>
    <row r="109" spans="1:15" s="70" customFormat="1" ht="12.75" customHeight="1" x14ac:dyDescent="0.2">
      <c r="A109" s="87">
        <v>45264</v>
      </c>
      <c r="B109" s="120" t="s">
        <v>6</v>
      </c>
      <c r="C109" s="75" t="s">
        <v>909</v>
      </c>
      <c r="D109" s="88">
        <v>13756945</v>
      </c>
      <c r="E109" s="2"/>
      <c r="F109" s="2"/>
      <c r="G109" s="30"/>
      <c r="H109" s="30"/>
      <c r="I109" s="2"/>
      <c r="J109" s="2"/>
      <c r="K109" s="2"/>
      <c r="L109" s="2"/>
      <c r="M109" s="41"/>
      <c r="N109" s="42"/>
      <c r="O109" s="2"/>
    </row>
    <row r="110" spans="1:15" s="70" customFormat="1" ht="12.75" customHeight="1" x14ac:dyDescent="0.2">
      <c r="A110" s="87">
        <v>45265</v>
      </c>
      <c r="B110" s="120" t="s">
        <v>6</v>
      </c>
      <c r="C110" s="75" t="s">
        <v>1552</v>
      </c>
      <c r="D110" s="88">
        <v>2152501.6</v>
      </c>
      <c r="E110" s="2"/>
      <c r="F110" s="2"/>
      <c r="G110" s="30"/>
      <c r="H110" s="30"/>
      <c r="I110" s="2"/>
      <c r="J110" s="2"/>
      <c r="K110" s="2"/>
      <c r="L110" s="2"/>
      <c r="M110" s="41"/>
      <c r="N110" s="42"/>
      <c r="O110" s="2"/>
    </row>
    <row r="111" spans="1:15" s="70" customFormat="1" ht="12.75" customHeight="1" x14ac:dyDescent="0.2">
      <c r="A111" s="87">
        <v>45267</v>
      </c>
      <c r="B111" s="120" t="s">
        <v>6</v>
      </c>
      <c r="C111" s="75" t="s">
        <v>784</v>
      </c>
      <c r="D111" s="88">
        <v>179811</v>
      </c>
      <c r="E111" s="2"/>
      <c r="F111" s="2"/>
      <c r="G111" s="30"/>
      <c r="H111" s="30"/>
      <c r="I111" s="2"/>
      <c r="J111" s="2"/>
      <c r="K111" s="2"/>
      <c r="L111" s="2"/>
      <c r="M111" s="41"/>
      <c r="N111" s="42"/>
      <c r="O111" s="2"/>
    </row>
    <row r="112" spans="1:15" s="70" customFormat="1" ht="12.75" customHeight="1" x14ac:dyDescent="0.2">
      <c r="A112" s="87">
        <v>45267</v>
      </c>
      <c r="B112" s="120" t="s">
        <v>6</v>
      </c>
      <c r="C112" s="75" t="s">
        <v>784</v>
      </c>
      <c r="D112" s="88">
        <v>302254</v>
      </c>
      <c r="E112" s="2"/>
      <c r="F112" s="2"/>
      <c r="G112" s="30"/>
      <c r="H112" s="30"/>
      <c r="I112" s="2"/>
      <c r="J112" s="2"/>
      <c r="K112" s="2"/>
      <c r="L112" s="2"/>
      <c r="M112" s="41"/>
      <c r="N112" s="42"/>
      <c r="O112" s="2"/>
    </row>
    <row r="113" spans="1:15" s="70" customFormat="1" ht="12.75" customHeight="1" x14ac:dyDescent="0.2">
      <c r="A113" s="87">
        <v>45268</v>
      </c>
      <c r="B113" s="120" t="s">
        <v>6</v>
      </c>
      <c r="C113" s="75" t="s">
        <v>1789</v>
      </c>
      <c r="D113" s="88">
        <v>4000249.47</v>
      </c>
      <c r="E113" s="2"/>
      <c r="F113" s="2"/>
      <c r="G113" s="30"/>
      <c r="H113" s="30"/>
      <c r="I113" s="2"/>
      <c r="J113" s="2"/>
      <c r="K113" s="2"/>
      <c r="L113" s="2"/>
      <c r="M113" s="41"/>
      <c r="N113" s="42"/>
      <c r="O113" s="2"/>
    </row>
    <row r="114" spans="1:15" s="70" customFormat="1" ht="12.75" customHeight="1" x14ac:dyDescent="0.2">
      <c r="A114" s="87">
        <v>45269</v>
      </c>
      <c r="B114" s="120" t="s">
        <v>6</v>
      </c>
      <c r="C114" s="75" t="s">
        <v>85</v>
      </c>
      <c r="D114" s="88">
        <v>96273</v>
      </c>
      <c r="E114" s="2"/>
      <c r="F114" s="2"/>
      <c r="G114" s="30"/>
      <c r="H114" s="30"/>
      <c r="I114" s="2"/>
      <c r="J114" s="2"/>
      <c r="K114" s="2"/>
      <c r="L114" s="2"/>
      <c r="M114" s="41"/>
      <c r="N114" s="42"/>
      <c r="O114" s="2"/>
    </row>
    <row r="115" spans="1:15" s="70" customFormat="1" ht="12.75" customHeight="1" x14ac:dyDescent="0.2">
      <c r="A115" s="87">
        <v>45269</v>
      </c>
      <c r="B115" s="120" t="s">
        <v>6</v>
      </c>
      <c r="C115" s="75" t="s">
        <v>270</v>
      </c>
      <c r="D115" s="88">
        <v>182684</v>
      </c>
      <c r="E115" s="2"/>
      <c r="F115" s="2"/>
      <c r="G115" s="30"/>
      <c r="H115" s="30"/>
      <c r="I115" s="2"/>
      <c r="J115" s="2"/>
      <c r="K115" s="2"/>
      <c r="L115" s="2"/>
      <c r="M115" s="41"/>
      <c r="N115" s="42"/>
      <c r="O115" s="2"/>
    </row>
    <row r="116" spans="1:15" s="70" customFormat="1" ht="12.75" customHeight="1" x14ac:dyDescent="0.2">
      <c r="A116" s="87">
        <v>45272</v>
      </c>
      <c r="B116" s="120" t="s">
        <v>6</v>
      </c>
      <c r="C116" s="75" t="s">
        <v>270</v>
      </c>
      <c r="D116" s="88">
        <v>687714</v>
      </c>
      <c r="E116" s="2"/>
      <c r="F116" s="2"/>
      <c r="G116" s="30"/>
      <c r="H116" s="30"/>
      <c r="I116" s="2"/>
      <c r="J116" s="2"/>
      <c r="K116" s="2"/>
      <c r="L116" s="2"/>
      <c r="M116" s="41"/>
      <c r="N116" s="42"/>
      <c r="O116" s="2"/>
    </row>
    <row r="117" spans="1:15" s="70" customFormat="1" ht="12.75" customHeight="1" x14ac:dyDescent="0.2">
      <c r="A117" s="87">
        <v>45272</v>
      </c>
      <c r="B117" s="120" t="s">
        <v>6</v>
      </c>
      <c r="C117" s="75" t="s">
        <v>1789</v>
      </c>
      <c r="D117" s="88">
        <v>1945116</v>
      </c>
      <c r="E117" s="2"/>
      <c r="F117" s="2"/>
      <c r="G117" s="30"/>
      <c r="H117" s="30"/>
      <c r="I117" s="2"/>
      <c r="J117" s="2"/>
      <c r="K117" s="2"/>
      <c r="L117" s="2"/>
      <c r="M117" s="41"/>
      <c r="N117" s="42"/>
      <c r="O117" s="2"/>
    </row>
    <row r="118" spans="1:15" s="70" customFormat="1" ht="12.75" customHeight="1" x14ac:dyDescent="0.2">
      <c r="A118" s="87">
        <v>45273</v>
      </c>
      <c r="B118" s="120" t="s">
        <v>6</v>
      </c>
      <c r="C118" s="75" t="s">
        <v>767</v>
      </c>
      <c r="D118" s="88">
        <v>167890</v>
      </c>
      <c r="E118" s="2"/>
      <c r="F118" s="2"/>
      <c r="G118" s="30"/>
      <c r="H118" s="30"/>
      <c r="I118" s="2"/>
      <c r="J118" s="2"/>
      <c r="K118" s="2"/>
      <c r="L118" s="2"/>
      <c r="M118" s="41"/>
      <c r="N118" s="42"/>
      <c r="O118" s="2"/>
    </row>
    <row r="119" spans="1:15" s="2" customFormat="1" x14ac:dyDescent="0.2">
      <c r="A119" s="87"/>
      <c r="B119" s="74"/>
      <c r="C119" s="75"/>
      <c r="D119" s="51">
        <f>SUM(D109:D118)</f>
        <v>23471438.07</v>
      </c>
      <c r="F119" s="2" t="s">
        <v>396</v>
      </c>
      <c r="G119" s="1"/>
      <c r="H119" s="1"/>
    </row>
    <row r="120" spans="1:15" s="2" customFormat="1" x14ac:dyDescent="0.2">
      <c r="A120" s="24"/>
      <c r="B120" s="1"/>
      <c r="C120" s="14"/>
      <c r="D120" s="56"/>
      <c r="E120" s="13"/>
      <c r="G120" s="1"/>
      <c r="H120" s="1"/>
    </row>
    <row r="121" spans="1:15" s="2" customFormat="1" x14ac:dyDescent="0.2">
      <c r="A121" s="24"/>
      <c r="B121" s="1"/>
      <c r="C121" s="218" t="s">
        <v>77</v>
      </c>
      <c r="D121" s="219"/>
      <c r="E121" s="219"/>
      <c r="F121" s="220"/>
      <c r="I121" s="2" t="s">
        <v>396</v>
      </c>
    </row>
    <row r="122" spans="1:15" s="2" customFormat="1" x14ac:dyDescent="0.2">
      <c r="A122" s="24"/>
      <c r="B122" s="1"/>
      <c r="C122" s="50"/>
      <c r="D122" s="57" t="s">
        <v>78</v>
      </c>
      <c r="E122" s="58" t="s">
        <v>79</v>
      </c>
      <c r="F122" s="57" t="s">
        <v>72</v>
      </c>
      <c r="I122" s="2" t="s">
        <v>396</v>
      </c>
    </row>
    <row r="123" spans="1:15" s="2" customFormat="1" x14ac:dyDescent="0.2">
      <c r="A123" s="24"/>
      <c r="B123" s="1"/>
      <c r="C123" s="59" t="str">
        <f>"01-12-2023 to "&amp;TEXT(A5-2,"dd-mm-yyyy")</f>
        <v>01-12-2023 to 12-12-2023</v>
      </c>
      <c r="D123" s="60">
        <v>814.79</v>
      </c>
      <c r="E123" s="60">
        <v>275.23</v>
      </c>
      <c r="F123" s="61">
        <f>SUM(D123:E123)</f>
        <v>1090.02</v>
      </c>
    </row>
    <row r="124" spans="1:15" s="2" customFormat="1" x14ac:dyDescent="0.2">
      <c r="A124" s="24"/>
      <c r="B124" s="1"/>
      <c r="C124" s="62" t="str">
        <f>TEXT(A5-1,"dd-mm-yyyy")</f>
        <v>13-12-2023</v>
      </c>
      <c r="D124" s="60">
        <v>79.8</v>
      </c>
      <c r="E124" s="60">
        <v>29.88</v>
      </c>
      <c r="F124" s="61">
        <f>SUM(D124:E124)</f>
        <v>109.67999999999999</v>
      </c>
      <c r="G124" s="1"/>
      <c r="H124" s="1"/>
      <c r="I124" s="53"/>
    </row>
    <row r="125" spans="1:15" s="2" customFormat="1" ht="13.5" thickBot="1" x14ac:dyDescent="0.25">
      <c r="A125" s="24"/>
      <c r="B125" s="1"/>
      <c r="C125" s="63" t="str">
        <f>"01-12-2023 to "&amp;TEXT(A5-1,"dd-mm-yyyy")</f>
        <v>01-12-2023 to 13-12-2023</v>
      </c>
      <c r="D125" s="64">
        <f>SUM(D123:D124)</f>
        <v>894.58999999999992</v>
      </c>
      <c r="E125" s="64">
        <f>SUM(E123:E124)</f>
        <v>305.11</v>
      </c>
      <c r="F125" s="64">
        <f>SUM(F123:F124)</f>
        <v>1199.7</v>
      </c>
      <c r="G125" s="1"/>
      <c r="H125" s="1"/>
      <c r="I125" s="53"/>
    </row>
    <row r="126" spans="1:15" s="2" customFormat="1" ht="13.5" thickTop="1" x14ac:dyDescent="0.2">
      <c r="A126" s="24"/>
      <c r="B126" s="1"/>
      <c r="C126" s="62"/>
      <c r="D126" s="65"/>
      <c r="E126" s="66"/>
      <c r="F126" s="67"/>
      <c r="M126" s="1"/>
      <c r="N126" s="1"/>
    </row>
    <row r="127" spans="1:15" s="2" customFormat="1" x14ac:dyDescent="0.2">
      <c r="A127" s="24"/>
      <c r="B127" s="1"/>
      <c r="C127" s="62" t="str">
        <f>"01-04-2023 to " &amp;C124</f>
        <v>01-04-2023 to 13-12-2023</v>
      </c>
      <c r="D127" s="68">
        <f>+D125+32234.22</f>
        <v>33128.81</v>
      </c>
      <c r="E127" s="68">
        <f>+E125+3134.59</f>
        <v>3439.7000000000003</v>
      </c>
      <c r="F127" s="68">
        <f>+F125+35368.81</f>
        <v>36568.509999999995</v>
      </c>
      <c r="G127" s="1"/>
      <c r="H127" s="1"/>
      <c r="M127" s="1"/>
      <c r="N127" s="1"/>
    </row>
    <row r="128" spans="1:15" s="2" customFormat="1" x14ac:dyDescent="0.2">
      <c r="A128" s="24"/>
      <c r="B128" s="1"/>
      <c r="C128" s="52"/>
      <c r="D128" s="85"/>
      <c r="E128" s="53"/>
      <c r="F128" s="53"/>
      <c r="G128" s="1"/>
      <c r="H128" s="1"/>
      <c r="M128" s="1"/>
      <c r="N128" s="1"/>
    </row>
    <row r="129" spans="1:14" s="2" customFormat="1" x14ac:dyDescent="0.2">
      <c r="A129" s="24"/>
      <c r="B129" s="1"/>
      <c r="C129" s="52"/>
      <c r="D129" s="85"/>
      <c r="E129" s="53"/>
      <c r="F129" s="53"/>
      <c r="G129" s="1"/>
      <c r="H129" s="1"/>
      <c r="M129" s="1"/>
      <c r="N129" s="1"/>
    </row>
    <row r="130" spans="1:14" s="2" customFormat="1" x14ac:dyDescent="0.2">
      <c r="A130" s="24"/>
      <c r="B130" s="1"/>
      <c r="C130" s="52"/>
      <c r="D130" s="85"/>
      <c r="E130" s="53"/>
      <c r="F130" s="53"/>
      <c r="G130" s="1"/>
      <c r="H130" s="1"/>
      <c r="M130" s="1"/>
      <c r="N130" s="1"/>
    </row>
    <row r="131" spans="1:14" s="2" customFormat="1" x14ac:dyDescent="0.2">
      <c r="A131" s="24"/>
      <c r="B131" s="1"/>
      <c r="C131" s="52"/>
      <c r="D131" s="85"/>
      <c r="E131" s="53"/>
      <c r="F131" s="53"/>
      <c r="G131" s="1"/>
      <c r="H131" s="1"/>
      <c r="M131" s="1"/>
      <c r="N131" s="1"/>
    </row>
    <row r="132" spans="1:14" s="2" customFormat="1" x14ac:dyDescent="0.2">
      <c r="A132" s="24"/>
      <c r="B132" s="1"/>
      <c r="C132" s="14"/>
      <c r="D132" s="25">
        <f>SUM(D129:D131)</f>
        <v>0</v>
      </c>
      <c r="E132" s="2">
        <f>SUM(E129:E131)</f>
        <v>0</v>
      </c>
      <c r="G132" s="1"/>
      <c r="H132" s="1"/>
      <c r="M132" s="1"/>
      <c r="N132" s="1"/>
    </row>
    <row r="133" spans="1:14" s="2" customFormat="1" x14ac:dyDescent="0.2">
      <c r="A133" s="24"/>
      <c r="B133" s="1"/>
      <c r="C133" s="14"/>
      <c r="D133" s="25"/>
      <c r="G133" s="1"/>
      <c r="H133" s="1"/>
      <c r="M133" s="1"/>
      <c r="N133" s="1"/>
    </row>
    <row r="134" spans="1:14" s="2" customFormat="1" x14ac:dyDescent="0.2">
      <c r="A134" s="24"/>
      <c r="B134" s="1"/>
      <c r="C134" s="14"/>
      <c r="D134" s="25"/>
      <c r="G134" s="1"/>
      <c r="H134" s="1"/>
      <c r="M134" s="1"/>
      <c r="N134" s="1"/>
    </row>
    <row r="135" spans="1:14" s="2" customFormat="1" x14ac:dyDescent="0.2">
      <c r="A135" s="24"/>
      <c r="B135" s="1"/>
      <c r="C135" s="14"/>
      <c r="D135" s="25"/>
      <c r="G135" s="1"/>
      <c r="H135" s="1"/>
      <c r="M135" s="1"/>
      <c r="N135" s="1"/>
    </row>
    <row r="136" spans="1:14" s="2" customFormat="1" x14ac:dyDescent="0.2">
      <c r="A136" s="24"/>
      <c r="B136" s="1"/>
      <c r="C136" s="14"/>
      <c r="D136" s="25"/>
      <c r="G136" s="1"/>
      <c r="H136" s="1"/>
      <c r="M136" s="1"/>
      <c r="N136" s="1"/>
    </row>
    <row r="137" spans="1:14" s="2" customFormat="1" x14ac:dyDescent="0.2">
      <c r="A137" s="24"/>
      <c r="B137" s="1"/>
      <c r="C137" s="14"/>
      <c r="D137" s="25"/>
      <c r="G137" s="1"/>
      <c r="H137" s="1"/>
      <c r="M137" s="1"/>
      <c r="N137" s="1"/>
    </row>
    <row r="138" spans="1:14" s="2" customFormat="1" x14ac:dyDescent="0.2">
      <c r="A138" s="24"/>
      <c r="B138" s="1"/>
      <c r="C138" s="14"/>
      <c r="D138" s="25"/>
      <c r="G138" s="1"/>
      <c r="H138" s="1"/>
      <c r="M138" s="1"/>
      <c r="N138" s="1"/>
    </row>
    <row r="139" spans="1:14" s="2" customFormat="1" x14ac:dyDescent="0.2">
      <c r="A139" s="24"/>
      <c r="B139" s="1"/>
      <c r="C139" s="14"/>
      <c r="D139" s="25"/>
      <c r="G139" s="1"/>
      <c r="H139" s="1"/>
      <c r="M139" s="1"/>
      <c r="N139" s="1"/>
    </row>
    <row r="140" spans="1:14" s="2" customFormat="1" x14ac:dyDescent="0.2">
      <c r="A140" s="24"/>
      <c r="B140" s="1"/>
      <c r="C140" s="14"/>
      <c r="D140" s="25"/>
      <c r="G140" s="1"/>
      <c r="H140" s="1"/>
      <c r="M140" s="1"/>
      <c r="N140" s="1"/>
    </row>
    <row r="141" spans="1:14" s="2" customFormat="1" x14ac:dyDescent="0.2">
      <c r="A141" s="24"/>
      <c r="B141" s="1"/>
      <c r="C141" s="14"/>
      <c r="D141" s="25"/>
      <c r="G141" s="1"/>
      <c r="H141" s="1"/>
      <c r="M141" s="1"/>
      <c r="N141" s="1"/>
    </row>
    <row r="142" spans="1:14" s="2" customFormat="1" x14ac:dyDescent="0.2">
      <c r="A142" s="24"/>
      <c r="B142" s="1"/>
      <c r="C142" s="14"/>
      <c r="D142" s="25"/>
      <c r="G142" s="1"/>
      <c r="H142" s="1"/>
      <c r="M142" s="1"/>
      <c r="N142" s="1"/>
    </row>
    <row r="143" spans="1:14" s="2" customFormat="1" x14ac:dyDescent="0.2">
      <c r="A143" s="24"/>
      <c r="B143" s="1"/>
      <c r="C143" s="14"/>
      <c r="D143" s="25"/>
      <c r="G143" s="1"/>
      <c r="H143" s="1"/>
      <c r="M143" s="1"/>
      <c r="N143" s="1"/>
    </row>
    <row r="144" spans="1:14" s="2" customFormat="1" x14ac:dyDescent="0.2">
      <c r="A144" s="24"/>
      <c r="B144" s="1"/>
      <c r="C144" s="14"/>
      <c r="D144" s="25"/>
      <c r="G144" s="1"/>
      <c r="H144" s="1"/>
      <c r="M144" s="1"/>
      <c r="N144" s="1"/>
    </row>
    <row r="145" spans="1:15" s="2" customFormat="1" x14ac:dyDescent="0.2">
      <c r="A145" s="24"/>
      <c r="B145" s="1"/>
      <c r="C145" s="14"/>
      <c r="D145" s="25"/>
      <c r="G145" s="1"/>
      <c r="H145" s="1"/>
      <c r="M145" s="1"/>
      <c r="N145" s="1"/>
    </row>
    <row r="146" spans="1:15" s="2" customFormat="1" x14ac:dyDescent="0.2">
      <c r="A146" s="24"/>
      <c r="B146" s="1"/>
      <c r="C146" s="14"/>
      <c r="D146" s="25"/>
      <c r="G146" s="1"/>
      <c r="H146" s="1"/>
      <c r="J146" s="1"/>
      <c r="K146" s="1"/>
      <c r="L146" s="1"/>
      <c r="M146" s="1"/>
      <c r="N146" s="1"/>
    </row>
    <row r="147" spans="1:15" s="2" customFormat="1" x14ac:dyDescent="0.2">
      <c r="A147" s="24"/>
      <c r="B147" s="1"/>
      <c r="C147" s="14"/>
      <c r="D147" s="25"/>
      <c r="G147" s="1"/>
      <c r="H147" s="1"/>
    </row>
    <row r="148" spans="1:15" s="2" customFormat="1" x14ac:dyDescent="0.2">
      <c r="A148" s="24"/>
      <c r="B148" s="1"/>
      <c r="C148" s="14"/>
      <c r="D148" s="25"/>
      <c r="G148" s="1"/>
      <c r="H148" s="1"/>
      <c r="J148" s="1"/>
      <c r="K148" s="1"/>
      <c r="L148" s="1"/>
      <c r="M148" s="1"/>
      <c r="N148" s="1"/>
    </row>
    <row r="149" spans="1:15" s="2" customFormat="1" x14ac:dyDescent="0.2">
      <c r="A149" s="24"/>
      <c r="B149" s="1"/>
      <c r="C149" s="14"/>
      <c r="D149" s="25"/>
      <c r="G149" s="54"/>
      <c r="H149" s="54"/>
      <c r="J149" s="1"/>
      <c r="K149" s="1"/>
      <c r="L149" s="1"/>
      <c r="M149" s="1"/>
      <c r="N149" s="1"/>
    </row>
    <row r="150" spans="1:15" s="2" customFormat="1" x14ac:dyDescent="0.2">
      <c r="A150" s="24"/>
      <c r="B150" s="1"/>
      <c r="C150" s="14"/>
      <c r="D150" s="25"/>
      <c r="G150" s="54"/>
      <c r="H150" s="54"/>
      <c r="J150" s="1"/>
      <c r="K150" s="1"/>
      <c r="L150" s="1"/>
      <c r="M150" s="1"/>
      <c r="N150" s="1"/>
    </row>
    <row r="151" spans="1:15" s="2" customFormat="1" x14ac:dyDescent="0.2">
      <c r="A151" s="24"/>
      <c r="B151" s="1"/>
      <c r="C151" s="14"/>
      <c r="D151" s="25"/>
      <c r="G151" s="54"/>
      <c r="H151" s="54"/>
      <c r="J151" s="1"/>
      <c r="K151" s="1"/>
      <c r="L151" s="1"/>
      <c r="M151" s="1"/>
      <c r="N151" s="1"/>
    </row>
    <row r="152" spans="1:15" s="2" customFormat="1" x14ac:dyDescent="0.2">
      <c r="A152" s="24"/>
      <c r="B152" s="1"/>
      <c r="C152" s="14"/>
      <c r="D152" s="25"/>
      <c r="G152" s="54"/>
      <c r="H152" s="54"/>
      <c r="I152" s="2" t="s">
        <v>396</v>
      </c>
      <c r="J152" s="1"/>
      <c r="K152" s="1"/>
      <c r="L152" s="1"/>
      <c r="M152" s="1"/>
      <c r="N152" s="1"/>
      <c r="O152" s="1"/>
    </row>
    <row r="153" spans="1:15" s="2" customFormat="1" x14ac:dyDescent="0.2">
      <c r="A153" s="24"/>
      <c r="B153" s="1"/>
      <c r="C153" s="14"/>
      <c r="D153" s="25"/>
      <c r="G153" s="54"/>
      <c r="H153" s="54"/>
      <c r="I153" s="53"/>
    </row>
    <row r="154" spans="1:15" s="2" customFormat="1" x14ac:dyDescent="0.2">
      <c r="A154" s="24"/>
      <c r="B154" s="1"/>
      <c r="C154" s="14"/>
      <c r="D154" s="25"/>
      <c r="G154" s="54"/>
      <c r="H154" s="54"/>
      <c r="I154" s="53" t="s">
        <v>396</v>
      </c>
      <c r="J154" s="1"/>
      <c r="K154" s="1"/>
      <c r="L154" s="1"/>
      <c r="M154" s="1"/>
      <c r="N154" s="1"/>
      <c r="O154" s="1"/>
    </row>
    <row r="155" spans="1:15" x14ac:dyDescent="0.2">
      <c r="G155" s="54"/>
      <c r="H155" s="54"/>
      <c r="I155" s="53" t="s">
        <v>396</v>
      </c>
      <c r="K155" s="42"/>
    </row>
    <row r="156" spans="1:15" s="2" customFormat="1" x14ac:dyDescent="0.2">
      <c r="A156" s="24"/>
      <c r="B156" s="1"/>
      <c r="C156" s="14"/>
      <c r="D156" s="25"/>
      <c r="G156" s="54"/>
      <c r="H156" s="54"/>
      <c r="I156" s="53"/>
      <c r="J156" s="101"/>
      <c r="K156" s="1"/>
      <c r="L156" s="1"/>
      <c r="M156" s="1"/>
      <c r="N156" s="1"/>
      <c r="O156" s="1"/>
    </row>
    <row r="157" spans="1:15" x14ac:dyDescent="0.2">
      <c r="G157" s="54"/>
      <c r="H157" s="54"/>
      <c r="I157" s="53"/>
    </row>
    <row r="158" spans="1:15" x14ac:dyDescent="0.2">
      <c r="G158" s="54"/>
      <c r="H158" s="54"/>
      <c r="I158" s="53"/>
    </row>
    <row r="159" spans="1:15" x14ac:dyDescent="0.2">
      <c r="G159" s="54"/>
      <c r="H159" s="54"/>
      <c r="I159" s="53"/>
    </row>
  </sheetData>
  <sheetProtection insertRows="0"/>
  <mergeCells count="7">
    <mergeCell ref="K100:L100"/>
    <mergeCell ref="A107:D107"/>
    <mergeCell ref="C121:F121"/>
    <mergeCell ref="A1:H1"/>
    <mergeCell ref="A3:F3"/>
    <mergeCell ref="A11:F11"/>
    <mergeCell ref="A29:F29"/>
  </mergeCells>
  <conditionalFormatting sqref="H104:H105">
    <cfRule type="cellIs" dxfId="175" priority="1" operator="lessThan">
      <formula>0</formula>
    </cfRule>
  </conditionalFormatting>
  <conditionalFormatting sqref="C31">
    <cfRule type="duplicateValues" dxfId="174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B00-000000000000}">
  <sheetPr codeName="Sheet499">
    <pageSetUpPr fitToPage="1"/>
  </sheetPr>
  <dimension ref="A1:O134"/>
  <sheetViews>
    <sheetView topLeftCell="B1" zoomScaleNormal="100" workbookViewId="0">
      <selection activeCell="F38" sqref="F38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12.85546875" style="1" customWidth="1"/>
    <col min="9" max="9" width="24.85546875" style="2" bestFit="1" customWidth="1"/>
    <col min="10" max="10" width="21.5703125" style="1" bestFit="1" customWidth="1"/>
    <col min="11" max="11" width="16.85546875" style="1" bestFit="1" customWidth="1"/>
    <col min="12" max="12" width="17.28515625" style="1" bestFit="1" customWidth="1"/>
    <col min="13" max="13" width="13.5703125" style="1" bestFit="1" customWidth="1"/>
    <col min="14" max="14" width="17.42578125" style="1" bestFit="1" customWidth="1"/>
    <col min="15" max="15" width="12.85546875" style="1" bestFit="1" customWidth="1"/>
    <col min="16" max="17" width="9.140625" style="1"/>
    <col min="18" max="18" width="15.5703125" style="1" bestFit="1" customWidth="1"/>
    <col min="19" max="16384" width="9.140625" style="1"/>
  </cols>
  <sheetData>
    <row r="1" spans="1:12" ht="20.25" customHeight="1" x14ac:dyDescent="0.4">
      <c r="A1" s="212" t="s">
        <v>1872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2" ht="12.75" customHeight="1" x14ac:dyDescent="0.4">
      <c r="I2" s="112"/>
      <c r="J2" s="112"/>
    </row>
    <row r="3" spans="1:12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2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2" s="2" customFormat="1" ht="14.25" customHeight="1" x14ac:dyDescent="0.4">
      <c r="A5" s="89">
        <v>45275</v>
      </c>
      <c r="B5" s="9" t="s">
        <v>6</v>
      </c>
      <c r="C5" s="10" t="s">
        <v>7</v>
      </c>
      <c r="D5" s="11"/>
      <c r="E5" s="12">
        <v>5806052.2300000004</v>
      </c>
      <c r="F5" s="12"/>
      <c r="G5" s="1"/>
      <c r="H5" s="1"/>
      <c r="I5" s="112"/>
      <c r="J5" s="112"/>
    </row>
    <row r="6" spans="1:12" s="2" customFormat="1" ht="14.25" customHeight="1" x14ac:dyDescent="0.4">
      <c r="A6" s="89">
        <v>45275</v>
      </c>
      <c r="B6" s="9" t="s">
        <v>11</v>
      </c>
      <c r="C6" s="10" t="s">
        <v>495</v>
      </c>
      <c r="D6" s="11" t="s">
        <v>29</v>
      </c>
      <c r="E6" s="12"/>
      <c r="F6" s="12">
        <v>5000000</v>
      </c>
      <c r="G6" s="1"/>
      <c r="H6" s="1"/>
      <c r="I6" s="112"/>
      <c r="J6" s="112"/>
    </row>
    <row r="7" spans="1:12" s="2" customFormat="1" ht="12.75" customHeight="1" x14ac:dyDescent="0.2">
      <c r="D7" s="15" t="s">
        <v>8</v>
      </c>
      <c r="E7" s="16">
        <f>SUM(E5:E6)</f>
        <v>5806052.2300000004</v>
      </c>
      <c r="F7" s="16">
        <f>SUM(F6)</f>
        <v>5000000</v>
      </c>
      <c r="G7" s="1"/>
      <c r="H7" s="1"/>
      <c r="I7" s="13" t="s">
        <v>1582</v>
      </c>
      <c r="J7" s="13" t="s">
        <v>1583</v>
      </c>
    </row>
    <row r="8" spans="1:12" s="2" customFormat="1" ht="12.75" customHeight="1" x14ac:dyDescent="0.2">
      <c r="A8" s="17"/>
      <c r="B8" s="18"/>
      <c r="C8" s="19" t="s">
        <v>9</v>
      </c>
      <c r="D8" s="20"/>
      <c r="E8" s="21">
        <f>+E7-F7</f>
        <v>806052.23000000045</v>
      </c>
      <c r="F8" s="22"/>
      <c r="G8" s="23"/>
      <c r="H8" s="23"/>
      <c r="I8" s="2">
        <v>0</v>
      </c>
      <c r="J8" s="2">
        <v>0</v>
      </c>
      <c r="K8" s="176">
        <f>I8-J8</f>
        <v>0</v>
      </c>
    </row>
    <row r="9" spans="1:12" ht="12.75" customHeight="1" x14ac:dyDescent="0.4">
      <c r="I9" s="112"/>
      <c r="J9" s="112"/>
    </row>
    <row r="10" spans="1:12" ht="18" customHeight="1" x14ac:dyDescent="0.4">
      <c r="A10" s="213" t="s">
        <v>1037</v>
      </c>
      <c r="B10" s="213"/>
      <c r="C10" s="213"/>
      <c r="D10" s="213"/>
      <c r="E10" s="213"/>
      <c r="F10" s="213"/>
      <c r="I10" s="112"/>
      <c r="J10" s="169">
        <f>90000000-60000000</f>
        <v>30000000</v>
      </c>
      <c r="K10" s="169" t="s">
        <v>1508</v>
      </c>
    </row>
    <row r="11" spans="1:12" ht="12.75" customHeight="1" x14ac:dyDescent="0.4">
      <c r="A11" s="3" t="s">
        <v>1</v>
      </c>
      <c r="B11" s="4" t="s">
        <v>2</v>
      </c>
      <c r="C11" s="5"/>
      <c r="D11" s="6" t="s">
        <v>3</v>
      </c>
      <c r="E11" s="7" t="s">
        <v>4</v>
      </c>
      <c r="F11" s="7" t="s">
        <v>5</v>
      </c>
      <c r="I11" s="112"/>
      <c r="J11" s="169">
        <v>28908386.649999999</v>
      </c>
      <c r="K11" s="169" t="s">
        <v>1509</v>
      </c>
      <c r="L11" s="124"/>
    </row>
    <row r="12" spans="1:12" s="2" customFormat="1" ht="14.25" customHeight="1" x14ac:dyDescent="0.2">
      <c r="A12" s="89">
        <v>45275</v>
      </c>
      <c r="B12" s="9" t="s">
        <v>6</v>
      </c>
      <c r="C12" s="10" t="s">
        <v>7</v>
      </c>
      <c r="D12" s="11"/>
      <c r="F12" s="12">
        <v>28605096.25</v>
      </c>
      <c r="G12" s="1"/>
      <c r="H12" s="1"/>
      <c r="I12" s="130" t="s">
        <v>396</v>
      </c>
      <c r="J12" s="169">
        <f>+J10-J11</f>
        <v>1091613.3500000015</v>
      </c>
      <c r="K12" s="169" t="s">
        <v>712</v>
      </c>
      <c r="L12" s="165" t="s">
        <v>1512</v>
      </c>
    </row>
    <row r="13" spans="1:12" s="2" customFormat="1" ht="14.25" customHeight="1" x14ac:dyDescent="0.2">
      <c r="A13" s="89">
        <v>45275</v>
      </c>
      <c r="B13" s="9" t="s">
        <v>11</v>
      </c>
      <c r="C13" s="76" t="s">
        <v>1490</v>
      </c>
      <c r="D13" s="11" t="s">
        <v>29</v>
      </c>
      <c r="E13" s="31"/>
      <c r="F13" s="31">
        <v>6612</v>
      </c>
      <c r="G13" s="1"/>
      <c r="H13" s="1"/>
      <c r="I13" s="130"/>
      <c r="J13" s="169"/>
      <c r="K13" s="169"/>
      <c r="L13" s="165"/>
    </row>
    <row r="14" spans="1:12" s="2" customFormat="1" ht="14.25" customHeight="1" x14ac:dyDescent="0.2">
      <c r="A14" s="89">
        <v>45275</v>
      </c>
      <c r="B14" s="9" t="s">
        <v>11</v>
      </c>
      <c r="C14" s="76" t="s">
        <v>221</v>
      </c>
      <c r="D14" s="11" t="s">
        <v>29</v>
      </c>
      <c r="F14" s="31">
        <v>1150</v>
      </c>
      <c r="G14" s="1"/>
      <c r="H14" s="1"/>
      <c r="I14" s="130"/>
      <c r="J14" s="169"/>
      <c r="K14" s="169"/>
      <c r="L14" s="165"/>
    </row>
    <row r="15" spans="1:12" s="2" customFormat="1" ht="14.25" customHeight="1" x14ac:dyDescent="0.2">
      <c r="A15" s="89">
        <v>45275</v>
      </c>
      <c r="B15" s="9" t="s">
        <v>11</v>
      </c>
      <c r="C15" s="76" t="s">
        <v>195</v>
      </c>
      <c r="D15" s="11" t="s">
        <v>29</v>
      </c>
      <c r="F15" s="31">
        <v>4671</v>
      </c>
      <c r="G15" s="1"/>
      <c r="H15" s="1"/>
      <c r="I15" s="130"/>
      <c r="J15" s="169"/>
      <c r="K15" s="169"/>
      <c r="L15" s="165"/>
    </row>
    <row r="16" spans="1:12" s="2" customFormat="1" ht="14.25" customHeight="1" x14ac:dyDescent="0.2">
      <c r="A16" s="89">
        <v>45275</v>
      </c>
      <c r="B16" s="9" t="s">
        <v>11</v>
      </c>
      <c r="C16" s="76" t="s">
        <v>345</v>
      </c>
      <c r="D16" s="11" t="s">
        <v>29</v>
      </c>
      <c r="F16" s="31">
        <v>8682</v>
      </c>
      <c r="G16" s="1"/>
      <c r="H16" s="1"/>
      <c r="I16" s="130"/>
      <c r="J16" s="169"/>
      <c r="K16" s="169"/>
      <c r="L16" s="165"/>
    </row>
    <row r="17" spans="1:15" s="2" customFormat="1" ht="14.25" customHeight="1" x14ac:dyDescent="0.2">
      <c r="A17" s="89">
        <v>45275</v>
      </c>
      <c r="B17" s="9" t="s">
        <v>11</v>
      </c>
      <c r="C17" s="76" t="s">
        <v>584</v>
      </c>
      <c r="D17" s="11" t="s">
        <v>29</v>
      </c>
      <c r="F17" s="31">
        <v>61796</v>
      </c>
      <c r="G17" s="1"/>
      <c r="H17" s="1"/>
      <c r="I17" s="130"/>
      <c r="J17" s="169"/>
      <c r="K17" s="169"/>
      <c r="L17" s="165"/>
    </row>
    <row r="18" spans="1:15" s="2" customFormat="1" ht="14.25" customHeight="1" x14ac:dyDescent="0.2">
      <c r="A18" s="89">
        <v>45275</v>
      </c>
      <c r="B18" s="9" t="s">
        <v>11</v>
      </c>
      <c r="C18" s="76" t="s">
        <v>699</v>
      </c>
      <c r="D18" s="11" t="s">
        <v>29</v>
      </c>
      <c r="F18" s="31">
        <v>10264.799999999999</v>
      </c>
      <c r="G18" s="1"/>
      <c r="H18" s="1"/>
      <c r="I18" s="130"/>
      <c r="J18" s="169"/>
      <c r="K18" s="169"/>
      <c r="L18" s="165"/>
    </row>
    <row r="19" spans="1:15" s="2" customFormat="1" ht="14.25" customHeight="1" x14ac:dyDescent="0.2">
      <c r="A19" s="89">
        <v>45275</v>
      </c>
      <c r="B19" s="9" t="s">
        <v>11</v>
      </c>
      <c r="C19" s="76" t="s">
        <v>1873</v>
      </c>
      <c r="D19" s="11" t="s">
        <v>29</v>
      </c>
      <c r="F19" s="31">
        <v>190281</v>
      </c>
      <c r="G19" s="1"/>
      <c r="H19" s="1"/>
      <c r="I19" s="130"/>
      <c r="J19" s="169"/>
      <c r="K19" s="169"/>
      <c r="L19" s="165"/>
    </row>
    <row r="20" spans="1:15" s="2" customFormat="1" ht="14.25" customHeight="1" x14ac:dyDescent="0.2">
      <c r="A20" s="89">
        <v>45275</v>
      </c>
      <c r="B20" s="9" t="s">
        <v>11</v>
      </c>
      <c r="C20" s="76" t="s">
        <v>685</v>
      </c>
      <c r="D20" s="11" t="s">
        <v>29</v>
      </c>
      <c r="F20" s="31">
        <v>8319.6</v>
      </c>
      <c r="G20" s="1"/>
      <c r="H20" s="1"/>
      <c r="I20" s="130"/>
      <c r="J20" s="169"/>
      <c r="K20" s="169"/>
      <c r="L20" s="165"/>
    </row>
    <row r="21" spans="1:15" s="2" customFormat="1" ht="14.25" customHeight="1" x14ac:dyDescent="0.2">
      <c r="A21" s="89">
        <v>45275</v>
      </c>
      <c r="B21" s="9" t="s">
        <v>11</v>
      </c>
      <c r="C21" s="76" t="s">
        <v>800</v>
      </c>
      <c r="D21" s="11" t="s">
        <v>29</v>
      </c>
      <c r="F21" s="31">
        <v>11514</v>
      </c>
      <c r="G21" s="1"/>
      <c r="H21" s="1"/>
      <c r="I21" s="130"/>
      <c r="J21" s="169"/>
      <c r="K21" s="169"/>
      <c r="L21" s="165"/>
    </row>
    <row r="22" spans="1:15" s="2" customFormat="1" ht="14.25" customHeight="1" x14ac:dyDescent="0.2">
      <c r="D22" s="11" t="s">
        <v>8</v>
      </c>
      <c r="E22" s="16">
        <f>SUM(E13:E21)</f>
        <v>0</v>
      </c>
      <c r="F22" s="16">
        <f>SUM(F12:F21)</f>
        <v>28908386.650000002</v>
      </c>
      <c r="G22" s="1"/>
      <c r="H22" s="1"/>
      <c r="I22" s="143"/>
      <c r="J22" s="130"/>
      <c r="K22" s="143"/>
      <c r="L22" s="143"/>
      <c r="M22" s="143"/>
      <c r="N22" s="143"/>
    </row>
    <row r="23" spans="1:15" s="2" customFormat="1" ht="14.25" customHeight="1" x14ac:dyDescent="0.4">
      <c r="A23" s="17"/>
      <c r="B23" s="18"/>
      <c r="C23" s="96" t="s">
        <v>9</v>
      </c>
      <c r="D23" s="20"/>
      <c r="E23" s="21">
        <f>+F22-E22</f>
        <v>28908386.650000002</v>
      </c>
      <c r="G23" s="1"/>
      <c r="H23" s="1"/>
      <c r="J23" s="112"/>
      <c r="K23" s="153" t="s">
        <v>779</v>
      </c>
    </row>
    <row r="24" spans="1:15" s="2" customFormat="1" ht="14.25" customHeight="1" x14ac:dyDescent="0.2">
      <c r="A24" s="36"/>
      <c r="B24" s="28" t="s">
        <v>66</v>
      </c>
      <c r="C24" s="43" t="s">
        <v>1458</v>
      </c>
      <c r="D24" s="43"/>
      <c r="E24" s="12">
        <f>30000000+60000000</f>
        <v>90000000</v>
      </c>
      <c r="F24" s="22"/>
      <c r="G24" s="1"/>
      <c r="H24" s="1"/>
      <c r="J24" s="40">
        <v>28605096.25</v>
      </c>
      <c r="K24" s="154">
        <f>J24-E23</f>
        <v>-303290.40000000224</v>
      </c>
    </row>
    <row r="25" spans="1:15" s="2" customFormat="1" ht="14.25" customHeight="1" x14ac:dyDescent="0.25">
      <c r="A25" s="36"/>
      <c r="B25" s="28"/>
      <c r="C25" s="44" t="s">
        <v>1541</v>
      </c>
      <c r="D25" s="43"/>
      <c r="E25" s="7">
        <f>+E23+E24</f>
        <v>118908386.65000001</v>
      </c>
      <c r="F25" s="22"/>
      <c r="G25" s="1"/>
      <c r="H25" s="1"/>
      <c r="I25" s="13" t="s">
        <v>1582</v>
      </c>
      <c r="J25" s="13" t="s">
        <v>1583</v>
      </c>
    </row>
    <row r="26" spans="1:15" s="2" customFormat="1" ht="14.25" customHeight="1" x14ac:dyDescent="0.25">
      <c r="A26" s="36"/>
      <c r="B26" s="28"/>
      <c r="C26" s="44" t="s">
        <v>1511</v>
      </c>
      <c r="D26" s="43"/>
      <c r="E26" s="38">
        <f>+J12+I8-J8</f>
        <v>1091613.3500000015</v>
      </c>
      <c r="F26" s="22"/>
      <c r="G26" s="1"/>
      <c r="H26" s="1"/>
      <c r="I26" s="2">
        <v>2606185</v>
      </c>
      <c r="J26" s="2">
        <v>1521565</v>
      </c>
      <c r="K26" s="176">
        <f>I26-J26</f>
        <v>1084620</v>
      </c>
    </row>
    <row r="27" spans="1:15" s="2" customFormat="1" ht="14.25" customHeight="1" x14ac:dyDescent="0.2">
      <c r="A27" s="24"/>
      <c r="B27" s="1"/>
      <c r="C27" s="14"/>
      <c r="D27" s="25"/>
      <c r="G27" s="1"/>
      <c r="H27" s="1"/>
      <c r="J27" s="130"/>
      <c r="K27" s="130"/>
    </row>
    <row r="28" spans="1:15" s="2" customFormat="1" x14ac:dyDescent="0.2">
      <c r="A28" s="214" t="s">
        <v>10</v>
      </c>
      <c r="B28" s="214"/>
      <c r="C28" s="214"/>
      <c r="D28" s="214"/>
      <c r="E28" s="214"/>
      <c r="F28" s="214"/>
      <c r="G28" s="1"/>
      <c r="H28" s="1"/>
      <c r="I28" s="159"/>
      <c r="J28" s="160">
        <f>225000000-75000000-50000000</f>
        <v>100000000</v>
      </c>
      <c r="K28" s="160" t="s">
        <v>1506</v>
      </c>
      <c r="L28" s="70"/>
    </row>
    <row r="29" spans="1:15" s="2" customFormat="1" x14ac:dyDescent="0.2">
      <c r="A29" s="26" t="s">
        <v>1</v>
      </c>
      <c r="B29" s="27" t="s">
        <v>2</v>
      </c>
      <c r="C29" s="5"/>
      <c r="D29" s="6" t="s">
        <v>3</v>
      </c>
      <c r="E29" s="7" t="s">
        <v>4</v>
      </c>
      <c r="F29" s="7" t="s">
        <v>5</v>
      </c>
      <c r="G29" s="1"/>
      <c r="H29" s="1"/>
      <c r="I29" s="159"/>
      <c r="J29" s="160">
        <v>92061386.280000001</v>
      </c>
      <c r="K29" s="160" t="s">
        <v>1507</v>
      </c>
      <c r="L29" s="70" t="s">
        <v>1512</v>
      </c>
    </row>
    <row r="30" spans="1:15" s="2" customFormat="1" x14ac:dyDescent="0.2">
      <c r="A30" s="89">
        <v>45275</v>
      </c>
      <c r="B30" s="128" t="s">
        <v>11</v>
      </c>
      <c r="C30" s="29" t="s">
        <v>7</v>
      </c>
      <c r="D30" s="25"/>
      <c r="E30" s="31"/>
      <c r="F30" s="2">
        <v>79938120.629999995</v>
      </c>
      <c r="G30" s="23"/>
      <c r="H30" s="23"/>
      <c r="I30" s="159" t="s">
        <v>1505</v>
      </c>
      <c r="J30" s="160">
        <f>+J28-J29</f>
        <v>7938613.7199999988</v>
      </c>
      <c r="K30" s="160"/>
      <c r="L30" s="70"/>
    </row>
    <row r="31" spans="1:15" s="2" customFormat="1" x14ac:dyDescent="0.2">
      <c r="A31" s="89">
        <v>45275</v>
      </c>
      <c r="B31" s="128" t="s">
        <v>6</v>
      </c>
      <c r="C31" s="29" t="s">
        <v>19</v>
      </c>
      <c r="D31" s="11" t="s">
        <v>13</v>
      </c>
      <c r="E31" s="86">
        <v>2360</v>
      </c>
      <c r="F31" s="70"/>
      <c r="G31" s="1"/>
      <c r="H31" s="1"/>
      <c r="O31" s="1"/>
    </row>
    <row r="32" spans="1:15" s="2" customFormat="1" x14ac:dyDescent="0.2">
      <c r="A32" s="89">
        <v>45275</v>
      </c>
      <c r="B32" s="128" t="s">
        <v>6</v>
      </c>
      <c r="C32" s="29" t="s">
        <v>283</v>
      </c>
      <c r="D32" s="11" t="s">
        <v>13</v>
      </c>
      <c r="E32" s="86">
        <v>2380399</v>
      </c>
      <c r="F32" s="70"/>
      <c r="G32" s="1"/>
      <c r="H32" s="1"/>
      <c r="O32" s="1"/>
    </row>
    <row r="33" spans="1:15" s="2" customFormat="1" x14ac:dyDescent="0.2">
      <c r="A33" s="89">
        <v>45275</v>
      </c>
      <c r="B33" s="128" t="s">
        <v>6</v>
      </c>
      <c r="C33" s="29" t="s">
        <v>903</v>
      </c>
      <c r="D33" s="11" t="s">
        <v>13</v>
      </c>
      <c r="E33" s="86">
        <v>1984754</v>
      </c>
      <c r="F33" s="70"/>
      <c r="G33" s="1"/>
      <c r="H33" s="1"/>
      <c r="O33" s="1"/>
    </row>
    <row r="34" spans="1:15" s="2" customFormat="1" x14ac:dyDescent="0.2">
      <c r="A34" s="89">
        <v>45275</v>
      </c>
      <c r="B34" s="128" t="s">
        <v>6</v>
      </c>
      <c r="C34" s="29" t="s">
        <v>385</v>
      </c>
      <c r="D34" s="11" t="s">
        <v>13</v>
      </c>
      <c r="E34" s="86">
        <v>92828</v>
      </c>
      <c r="F34" s="70"/>
      <c r="G34" s="1"/>
      <c r="H34" s="1"/>
      <c r="O34" s="1"/>
    </row>
    <row r="35" spans="1:15" s="2" customFormat="1" x14ac:dyDescent="0.2">
      <c r="A35" s="89">
        <v>45275</v>
      </c>
      <c r="B35" s="128" t="s">
        <v>6</v>
      </c>
      <c r="C35" s="29" t="s">
        <v>916</v>
      </c>
      <c r="D35" s="11" t="s">
        <v>13</v>
      </c>
      <c r="E35" s="86">
        <v>10710</v>
      </c>
      <c r="F35" s="70"/>
      <c r="G35" s="1"/>
      <c r="H35" s="1"/>
      <c r="O35" s="1"/>
    </row>
    <row r="36" spans="1:15" s="2" customFormat="1" x14ac:dyDescent="0.2">
      <c r="A36" s="89">
        <v>45275</v>
      </c>
      <c r="B36" s="128" t="s">
        <v>6</v>
      </c>
      <c r="C36" s="29" t="s">
        <v>310</v>
      </c>
      <c r="D36" s="11" t="s">
        <v>13</v>
      </c>
      <c r="E36" s="86">
        <v>4725</v>
      </c>
      <c r="F36" s="70"/>
      <c r="G36" s="1"/>
      <c r="H36" s="1"/>
      <c r="O36" s="1"/>
    </row>
    <row r="37" spans="1:15" s="2" customFormat="1" x14ac:dyDescent="0.2">
      <c r="A37" s="89">
        <v>45275</v>
      </c>
      <c r="B37" s="128" t="s">
        <v>6</v>
      </c>
      <c r="C37" s="29" t="s">
        <v>93</v>
      </c>
      <c r="D37" s="11" t="s">
        <v>13</v>
      </c>
      <c r="E37" s="86">
        <v>2497922</v>
      </c>
      <c r="F37" s="70"/>
      <c r="G37" s="1"/>
      <c r="H37" s="1"/>
      <c r="O37" s="1"/>
    </row>
    <row r="38" spans="1:15" s="2" customFormat="1" x14ac:dyDescent="0.2">
      <c r="A38" s="89">
        <v>45275</v>
      </c>
      <c r="B38" s="128" t="s">
        <v>6</v>
      </c>
      <c r="C38" s="29" t="s">
        <v>1382</v>
      </c>
      <c r="D38" s="11" t="s">
        <v>13</v>
      </c>
      <c r="E38" s="86">
        <v>31860</v>
      </c>
      <c r="F38" s="70"/>
      <c r="G38" s="1"/>
      <c r="H38" s="1"/>
      <c r="O38" s="1"/>
    </row>
    <row r="39" spans="1:15" s="2" customFormat="1" x14ac:dyDescent="0.2">
      <c r="A39" s="89">
        <v>45275</v>
      </c>
      <c r="B39" s="128" t="s">
        <v>6</v>
      </c>
      <c r="C39" s="29" t="s">
        <v>966</v>
      </c>
      <c r="D39" s="11" t="s">
        <v>13</v>
      </c>
      <c r="E39" s="86">
        <v>23078</v>
      </c>
      <c r="F39" s="70"/>
      <c r="G39" s="1"/>
      <c r="H39" s="1"/>
      <c r="O39" s="1"/>
    </row>
    <row r="40" spans="1:15" s="2" customFormat="1" x14ac:dyDescent="0.2">
      <c r="A40" s="89">
        <v>45275</v>
      </c>
      <c r="B40" s="128" t="s">
        <v>6</v>
      </c>
      <c r="C40" s="29" t="s">
        <v>1629</v>
      </c>
      <c r="D40" s="11" t="s">
        <v>13</v>
      </c>
      <c r="E40" s="86">
        <v>1050775</v>
      </c>
      <c r="F40" s="70"/>
      <c r="G40" s="1"/>
      <c r="H40" s="1"/>
      <c r="O40" s="1"/>
    </row>
    <row r="41" spans="1:15" s="2" customFormat="1" x14ac:dyDescent="0.2">
      <c r="A41" s="89">
        <v>45275</v>
      </c>
      <c r="B41" s="128" t="s">
        <v>6</v>
      </c>
      <c r="C41" s="29" t="s">
        <v>147</v>
      </c>
      <c r="D41" s="11" t="s">
        <v>13</v>
      </c>
      <c r="E41" s="86">
        <v>500000</v>
      </c>
      <c r="F41" s="70"/>
      <c r="G41" s="1"/>
      <c r="H41" s="1"/>
      <c r="O41" s="1"/>
    </row>
    <row r="42" spans="1:15" s="2" customFormat="1" x14ac:dyDescent="0.2">
      <c r="A42" s="89">
        <v>45275</v>
      </c>
      <c r="B42" s="128" t="s">
        <v>11</v>
      </c>
      <c r="C42" s="29" t="s">
        <v>15</v>
      </c>
      <c r="D42" s="11" t="s">
        <v>29</v>
      </c>
      <c r="E42" s="86"/>
      <c r="F42" s="70">
        <v>11161.79</v>
      </c>
      <c r="G42" s="1"/>
      <c r="H42" s="1"/>
      <c r="O42" s="1"/>
    </row>
    <row r="43" spans="1:15" s="2" customFormat="1" x14ac:dyDescent="0.2">
      <c r="A43" s="89">
        <v>45275</v>
      </c>
      <c r="B43" s="128" t="s">
        <v>11</v>
      </c>
      <c r="C43" s="29" t="s">
        <v>64</v>
      </c>
      <c r="D43" s="11" t="s">
        <v>29</v>
      </c>
      <c r="E43" s="86"/>
      <c r="F43" s="70">
        <v>7408.04</v>
      </c>
      <c r="G43" s="1"/>
      <c r="H43" s="1"/>
      <c r="O43" s="1"/>
    </row>
    <row r="44" spans="1:15" s="2" customFormat="1" x14ac:dyDescent="0.2">
      <c r="A44" s="89">
        <v>45275</v>
      </c>
      <c r="B44" s="128" t="s">
        <v>11</v>
      </c>
      <c r="C44" s="29" t="s">
        <v>109</v>
      </c>
      <c r="D44" s="11" t="s">
        <v>29</v>
      </c>
      <c r="E44" s="86"/>
      <c r="F44" s="70">
        <v>1432399</v>
      </c>
      <c r="G44" s="1"/>
      <c r="H44" s="1"/>
      <c r="O44" s="1"/>
    </row>
    <row r="45" spans="1:15" s="2" customFormat="1" x14ac:dyDescent="0.2">
      <c r="A45" s="89">
        <v>45275</v>
      </c>
      <c r="B45" s="128" t="s">
        <v>11</v>
      </c>
      <c r="C45" s="29" t="s">
        <v>107</v>
      </c>
      <c r="D45" s="11" t="s">
        <v>29</v>
      </c>
      <c r="E45" s="86"/>
      <c r="F45" s="70">
        <v>1070912</v>
      </c>
      <c r="G45" s="1"/>
      <c r="H45" s="1"/>
      <c r="O45" s="1"/>
    </row>
    <row r="46" spans="1:15" s="2" customFormat="1" x14ac:dyDescent="0.2">
      <c r="A46" s="89">
        <v>45275</v>
      </c>
      <c r="B46" s="128" t="s">
        <v>11</v>
      </c>
      <c r="C46" s="29" t="s">
        <v>260</v>
      </c>
      <c r="D46" s="11" t="s">
        <v>29</v>
      </c>
      <c r="E46" s="86"/>
      <c r="F46" s="70">
        <v>4306779.9400000004</v>
      </c>
      <c r="G46" s="1"/>
      <c r="H46" s="1"/>
      <c r="O46" s="1"/>
    </row>
    <row r="47" spans="1:15" s="2" customFormat="1" x14ac:dyDescent="0.2">
      <c r="A47" s="89">
        <v>45275</v>
      </c>
      <c r="B47" s="128" t="s">
        <v>11</v>
      </c>
      <c r="C47" s="29" t="s">
        <v>754</v>
      </c>
      <c r="D47" s="11" t="s">
        <v>29</v>
      </c>
      <c r="E47" s="86"/>
      <c r="F47" s="70">
        <v>1760660.38</v>
      </c>
      <c r="G47" s="1"/>
      <c r="H47" s="1"/>
      <c r="O47" s="1"/>
    </row>
    <row r="48" spans="1:15" s="2" customFormat="1" x14ac:dyDescent="0.2">
      <c r="A48" s="89">
        <v>45275</v>
      </c>
      <c r="B48" s="128" t="s">
        <v>11</v>
      </c>
      <c r="C48" s="29" t="s">
        <v>588</v>
      </c>
      <c r="D48" s="11" t="s">
        <v>29</v>
      </c>
      <c r="E48" s="86"/>
      <c r="F48" s="70">
        <v>60053</v>
      </c>
      <c r="G48" s="1"/>
      <c r="H48" s="1"/>
      <c r="O48" s="1"/>
    </row>
    <row r="49" spans="1:15" s="2" customFormat="1" x14ac:dyDescent="0.2">
      <c r="A49" s="89">
        <v>45275</v>
      </c>
      <c r="B49" s="128" t="s">
        <v>11</v>
      </c>
      <c r="C49" s="29" t="s">
        <v>476</v>
      </c>
      <c r="D49" s="11" t="s">
        <v>29</v>
      </c>
      <c r="E49" s="86"/>
      <c r="F49" s="70">
        <v>157747</v>
      </c>
      <c r="G49" s="1"/>
      <c r="H49" s="1"/>
      <c r="O49" s="1"/>
    </row>
    <row r="50" spans="1:15" s="2" customFormat="1" x14ac:dyDescent="0.2">
      <c r="A50" s="89">
        <v>45275</v>
      </c>
      <c r="B50" s="128" t="s">
        <v>11</v>
      </c>
      <c r="C50" s="29" t="s">
        <v>39</v>
      </c>
      <c r="D50" s="11" t="s">
        <v>29</v>
      </c>
      <c r="E50" s="86"/>
      <c r="F50" s="70">
        <v>70756</v>
      </c>
      <c r="G50" s="1"/>
      <c r="H50" s="1"/>
      <c r="O50" s="1"/>
    </row>
    <row r="51" spans="1:15" s="2" customFormat="1" x14ac:dyDescent="0.2">
      <c r="A51" s="89">
        <v>45275</v>
      </c>
      <c r="B51" s="128" t="s">
        <v>11</v>
      </c>
      <c r="C51" s="29" t="s">
        <v>210</v>
      </c>
      <c r="D51" s="11" t="s">
        <v>29</v>
      </c>
      <c r="E51" s="86"/>
      <c r="F51" s="70">
        <v>118284</v>
      </c>
      <c r="G51" s="1"/>
      <c r="H51" s="1"/>
      <c r="O51" s="1"/>
    </row>
    <row r="52" spans="1:15" s="2" customFormat="1" x14ac:dyDescent="0.2">
      <c r="A52" s="89">
        <v>45275</v>
      </c>
      <c r="B52" s="128" t="s">
        <v>11</v>
      </c>
      <c r="C52" s="29" t="s">
        <v>384</v>
      </c>
      <c r="D52" s="11" t="s">
        <v>29</v>
      </c>
      <c r="E52" s="86"/>
      <c r="F52" s="70">
        <v>32626</v>
      </c>
      <c r="G52" s="1"/>
      <c r="H52" s="1"/>
      <c r="O52" s="1"/>
    </row>
    <row r="53" spans="1:15" s="2" customFormat="1" x14ac:dyDescent="0.2">
      <c r="A53" s="89">
        <v>45275</v>
      </c>
      <c r="B53" s="128" t="s">
        <v>11</v>
      </c>
      <c r="C53" s="29" t="s">
        <v>1408</v>
      </c>
      <c r="D53" s="11" t="s">
        <v>29</v>
      </c>
      <c r="E53" s="86"/>
      <c r="F53" s="70">
        <v>7347</v>
      </c>
      <c r="G53" s="1"/>
      <c r="H53" s="1"/>
      <c r="O53" s="1"/>
    </row>
    <row r="54" spans="1:15" s="2" customFormat="1" x14ac:dyDescent="0.2">
      <c r="A54" s="89">
        <v>45275</v>
      </c>
      <c r="B54" s="128" t="s">
        <v>11</v>
      </c>
      <c r="C54" s="29" t="s">
        <v>242</v>
      </c>
      <c r="D54" s="11" t="s">
        <v>29</v>
      </c>
      <c r="E54" s="86"/>
      <c r="F54" s="70">
        <v>9000</v>
      </c>
      <c r="G54" s="1"/>
      <c r="H54" s="1"/>
      <c r="O54" s="1"/>
    </row>
    <row r="55" spans="1:15" s="2" customFormat="1" x14ac:dyDescent="0.2">
      <c r="A55" s="89">
        <v>45275</v>
      </c>
      <c r="B55" s="128" t="s">
        <v>11</v>
      </c>
      <c r="C55" s="29" t="s">
        <v>15</v>
      </c>
      <c r="D55" s="11" t="s">
        <v>29</v>
      </c>
      <c r="E55" s="86"/>
      <c r="F55" s="70">
        <v>106945.5</v>
      </c>
      <c r="G55" s="1"/>
      <c r="H55" s="1"/>
      <c r="O55" s="1"/>
    </row>
    <row r="56" spans="1:15" s="2" customFormat="1" x14ac:dyDescent="0.2">
      <c r="A56" s="89">
        <v>45275</v>
      </c>
      <c r="B56" s="128" t="s">
        <v>11</v>
      </c>
      <c r="C56" s="29" t="s">
        <v>147</v>
      </c>
      <c r="D56" s="11" t="s">
        <v>29</v>
      </c>
      <c r="E56" s="86"/>
      <c r="F56" s="70">
        <v>1691151</v>
      </c>
      <c r="G56" s="1"/>
      <c r="H56" s="1"/>
      <c r="O56" s="1"/>
    </row>
    <row r="57" spans="1:15" s="2" customFormat="1" x14ac:dyDescent="0.2">
      <c r="A57" s="89">
        <v>45275</v>
      </c>
      <c r="B57" s="128" t="s">
        <v>11</v>
      </c>
      <c r="C57" s="29" t="s">
        <v>500</v>
      </c>
      <c r="D57" s="11" t="s">
        <v>29</v>
      </c>
      <c r="E57" s="86"/>
      <c r="F57" s="70">
        <v>8774826</v>
      </c>
      <c r="G57" s="1"/>
      <c r="H57" s="1"/>
      <c r="O57" s="1"/>
    </row>
    <row r="58" spans="1:15" s="2" customFormat="1" x14ac:dyDescent="0.2">
      <c r="A58" s="32"/>
      <c r="B58" s="33"/>
      <c r="C58" s="14"/>
      <c r="D58" s="34"/>
      <c r="E58" s="16">
        <f>SUM(E30:E57)</f>
        <v>8579411</v>
      </c>
      <c r="F58" s="16">
        <f>SUM(F30:F57)</f>
        <v>99556177.280000001</v>
      </c>
      <c r="G58" s="1"/>
      <c r="H58" s="1"/>
      <c r="I58" s="1"/>
      <c r="J58" s="38">
        <v>90976766.280000001</v>
      </c>
      <c r="L58" s="92">
        <f>E59-J58</f>
        <v>0</v>
      </c>
      <c r="O58" s="1"/>
    </row>
    <row r="59" spans="1:15" s="2" customFormat="1" x14ac:dyDescent="0.2">
      <c r="A59" s="36"/>
      <c r="B59" s="28" t="s">
        <v>11</v>
      </c>
      <c r="C59" s="19" t="s">
        <v>65</v>
      </c>
      <c r="D59" s="37"/>
      <c r="E59" s="38">
        <f>F58-E58</f>
        <v>90976766.280000001</v>
      </c>
      <c r="F59" s="22"/>
      <c r="G59" s="1"/>
      <c r="H59" s="1"/>
      <c r="I59" s="1"/>
      <c r="J59" s="70"/>
      <c r="K59" s="70"/>
      <c r="L59" s="70"/>
      <c r="O59" s="1"/>
    </row>
    <row r="60" spans="1:15" s="2" customFormat="1" x14ac:dyDescent="0.2">
      <c r="A60" s="36"/>
      <c r="B60" s="28" t="s">
        <v>66</v>
      </c>
      <c r="C60" s="19" t="s">
        <v>67</v>
      </c>
      <c r="D60" s="37"/>
      <c r="E60" s="38">
        <v>0</v>
      </c>
      <c r="F60" s="22"/>
      <c r="G60" s="1"/>
      <c r="H60" s="1"/>
      <c r="I60" s="70"/>
      <c r="J60" s="70"/>
      <c r="K60" s="70"/>
      <c r="L60" s="70"/>
      <c r="O60" s="1"/>
    </row>
    <row r="61" spans="1:15" s="2" customFormat="1" x14ac:dyDescent="0.2">
      <c r="A61" s="36"/>
      <c r="B61" s="28" t="s">
        <v>66</v>
      </c>
      <c r="C61" s="43" t="s">
        <v>1457</v>
      </c>
      <c r="D61" s="43"/>
      <c r="E61" s="12">
        <f>275000000+75000000+50000000</f>
        <v>400000000</v>
      </c>
      <c r="F61" s="22"/>
      <c r="G61" s="1"/>
      <c r="H61" s="1"/>
      <c r="I61" s="70"/>
      <c r="J61" s="45">
        <v>830.92</v>
      </c>
      <c r="K61" s="46"/>
      <c r="L61" s="46"/>
      <c r="O61" s="1"/>
    </row>
    <row r="62" spans="1:15" s="2" customFormat="1" ht="15" x14ac:dyDescent="0.25">
      <c r="A62" s="36"/>
      <c r="B62" s="28"/>
      <c r="C62" s="44" t="s">
        <v>1541</v>
      </c>
      <c r="D62" s="43"/>
      <c r="E62" s="7">
        <f>+E61+E59+E60</f>
        <v>490976766.27999997</v>
      </c>
      <c r="F62" s="22"/>
      <c r="G62" s="1"/>
      <c r="H62" s="1"/>
      <c r="I62" s="103" t="s">
        <v>69</v>
      </c>
      <c r="J62" s="45">
        <v>-118.04</v>
      </c>
      <c r="K62" s="46"/>
      <c r="L62" s="46"/>
      <c r="O62" s="1"/>
    </row>
    <row r="63" spans="1:15" s="2" customFormat="1" ht="15" x14ac:dyDescent="0.25">
      <c r="A63" s="24"/>
      <c r="B63" s="1"/>
      <c r="C63" s="44" t="s">
        <v>1510</v>
      </c>
      <c r="D63" s="25"/>
      <c r="E63" s="156">
        <f>+J30-E60+I26-J26</f>
        <v>9023233.7199999988</v>
      </c>
      <c r="G63" s="1"/>
      <c r="H63" s="1"/>
      <c r="I63" s="35">
        <v>1</v>
      </c>
      <c r="J63" s="45">
        <v>118.04</v>
      </c>
      <c r="K63" s="46">
        <f>+J64-D66</f>
        <v>0</v>
      </c>
      <c r="O63" s="1"/>
    </row>
    <row r="64" spans="1:15" s="124" customFormat="1" ht="12.75" customHeight="1" x14ac:dyDescent="0.2">
      <c r="A64" s="24"/>
      <c r="B64" s="1"/>
      <c r="C64" s="56"/>
      <c r="D64" s="56"/>
      <c r="E64" s="104"/>
      <c r="F64" s="2"/>
      <c r="G64" s="166"/>
      <c r="H64" s="166"/>
      <c r="I64" s="70"/>
      <c r="J64" s="49">
        <f>SUM(J61:J63)</f>
        <v>830.92</v>
      </c>
      <c r="K64" s="46"/>
      <c r="L64" s="46"/>
    </row>
    <row r="65" spans="1:14" s="124" customFormat="1" ht="12.75" customHeight="1" x14ac:dyDescent="0.2">
      <c r="A65" s="24"/>
      <c r="B65" s="1"/>
      <c r="C65" s="78" t="s">
        <v>575</v>
      </c>
      <c r="D65" s="48" t="s">
        <v>576</v>
      </c>
      <c r="E65" s="104"/>
      <c r="F65" s="2"/>
      <c r="G65" s="168"/>
      <c r="H65" s="168"/>
      <c r="I65" s="167"/>
      <c r="J65" s="167"/>
      <c r="K65" s="168"/>
    </row>
    <row r="66" spans="1:14" s="124" customFormat="1" ht="12.75" customHeight="1" x14ac:dyDescent="0.2">
      <c r="A66" s="24"/>
      <c r="B66" s="1"/>
      <c r="C66" s="47" t="s">
        <v>570</v>
      </c>
      <c r="D66" s="111">
        <v>830.92</v>
      </c>
      <c r="E66" s="104"/>
      <c r="F66" s="2"/>
      <c r="G66" s="168"/>
      <c r="H66" s="168"/>
      <c r="I66" s="110" t="s">
        <v>581</v>
      </c>
      <c r="J66" s="167"/>
      <c r="K66" s="168"/>
    </row>
    <row r="67" spans="1:14" s="124" customFormat="1" ht="12.75" customHeight="1" x14ac:dyDescent="0.2">
      <c r="A67" s="24"/>
      <c r="B67" s="1"/>
      <c r="C67" s="47" t="s">
        <v>931</v>
      </c>
      <c r="D67" s="111">
        <v>249.7</v>
      </c>
      <c r="E67" s="104"/>
      <c r="F67" s="2"/>
      <c r="G67" s="168"/>
      <c r="H67" s="168"/>
      <c r="I67" s="110" t="s">
        <v>580</v>
      </c>
      <c r="J67" s="167"/>
      <c r="K67" s="168"/>
    </row>
    <row r="68" spans="1:14" s="124" customFormat="1" ht="12.75" customHeight="1" x14ac:dyDescent="0.2">
      <c r="A68" s="24"/>
      <c r="B68" s="1"/>
      <c r="C68" s="47" t="s">
        <v>572</v>
      </c>
      <c r="D68" s="111">
        <f>+D94/100000</f>
        <v>274.718232</v>
      </c>
      <c r="E68" s="104"/>
      <c r="F68" s="2"/>
      <c r="G68" s="166"/>
      <c r="H68" s="166"/>
      <c r="I68" s="90" t="s">
        <v>587</v>
      </c>
      <c r="J68" s="167"/>
      <c r="K68" s="168"/>
    </row>
    <row r="69" spans="1:14" s="2" customFormat="1" x14ac:dyDescent="0.2">
      <c r="A69" s="24"/>
      <c r="B69" s="1"/>
      <c r="C69" s="108" t="s">
        <v>578</v>
      </c>
      <c r="D69" s="48">
        <f>SUM(D66:D68)</f>
        <v>1355.3382319999998</v>
      </c>
      <c r="E69" s="104"/>
      <c r="G69" s="30"/>
      <c r="H69" s="30"/>
      <c r="J69" s="13"/>
      <c r="K69" s="13"/>
    </row>
    <row r="70" spans="1:14" s="70" customFormat="1" x14ac:dyDescent="0.2">
      <c r="A70" s="24"/>
      <c r="B70" s="1"/>
      <c r="C70" s="47"/>
      <c r="D70" s="107"/>
      <c r="E70" s="104"/>
      <c r="F70" s="2"/>
      <c r="G70" s="30"/>
      <c r="H70" s="30"/>
      <c r="I70" s="2"/>
    </row>
    <row r="71" spans="1:14" s="70" customFormat="1" x14ac:dyDescent="0.2">
      <c r="A71" s="24"/>
      <c r="B71" s="1"/>
      <c r="C71" s="47" t="s">
        <v>932</v>
      </c>
      <c r="D71" s="111">
        <v>196.59</v>
      </c>
      <c r="E71" s="104"/>
      <c r="F71" s="2"/>
      <c r="G71" s="30"/>
      <c r="H71" s="30"/>
      <c r="I71" s="110" t="s">
        <v>581</v>
      </c>
    </row>
    <row r="72" spans="1:14" s="70" customFormat="1" x14ac:dyDescent="0.2">
      <c r="A72" s="24"/>
      <c r="B72" s="1"/>
      <c r="C72" s="136" t="s">
        <v>1142</v>
      </c>
      <c r="D72" s="111">
        <v>425.55</v>
      </c>
      <c r="E72" s="104"/>
      <c r="F72" s="2"/>
      <c r="G72" s="30"/>
      <c r="H72" s="30"/>
      <c r="I72" s="110" t="s">
        <v>581</v>
      </c>
    </row>
    <row r="73" spans="1:14" s="70" customFormat="1" x14ac:dyDescent="0.2">
      <c r="A73" s="24"/>
      <c r="B73" s="1"/>
      <c r="C73" s="78" t="s">
        <v>579</v>
      </c>
      <c r="D73" s="109">
        <f>D71+D72</f>
        <v>622.14</v>
      </c>
      <c r="E73" s="104"/>
      <c r="F73" s="2"/>
      <c r="G73" s="30"/>
      <c r="H73" s="30"/>
    </row>
    <row r="74" spans="1:14" s="70" customFormat="1" x14ac:dyDescent="0.2">
      <c r="A74" s="24"/>
      <c r="B74" s="1"/>
      <c r="C74" s="105"/>
      <c r="D74" s="106"/>
      <c r="E74" s="104"/>
      <c r="F74" s="2"/>
      <c r="G74" s="30"/>
      <c r="H74" s="30"/>
      <c r="J74" s="2"/>
      <c r="K74" s="221" t="str">
        <f>"FROM ( 01-12-2023 to "&amp;TEXT(A5,"dd-mm-yyyy")&amp;" )"</f>
        <v>FROM ( 01-12-2023 to 15-12-2023 )</v>
      </c>
      <c r="L74" s="221"/>
      <c r="M74" s="2"/>
      <c r="N74" s="2"/>
    </row>
    <row r="75" spans="1:14" s="70" customFormat="1" x14ac:dyDescent="0.2">
      <c r="A75" s="24"/>
      <c r="B75" s="1"/>
      <c r="C75" s="78" t="s">
        <v>577</v>
      </c>
      <c r="D75" s="109">
        <f>D66+D73</f>
        <v>1453.06</v>
      </c>
      <c r="E75" s="104"/>
      <c r="F75" s="2"/>
      <c r="G75" s="30"/>
      <c r="H75" s="30"/>
      <c r="J75" s="113"/>
      <c r="K75" s="113" t="s">
        <v>709</v>
      </c>
      <c r="L75" s="113" t="s">
        <v>710</v>
      </c>
      <c r="M75" s="113" t="s">
        <v>711</v>
      </c>
      <c r="N75" s="113" t="s">
        <v>712</v>
      </c>
    </row>
    <row r="76" spans="1:14" s="70" customFormat="1" x14ac:dyDescent="0.2">
      <c r="A76" s="24"/>
      <c r="B76" s="1"/>
      <c r="C76" s="56"/>
      <c r="D76" s="56"/>
      <c r="E76" s="104"/>
      <c r="F76" s="2"/>
      <c r="G76" s="30"/>
      <c r="H76" s="30"/>
      <c r="J76" s="113" t="s">
        <v>1860</v>
      </c>
      <c r="K76" s="115">
        <v>191.86</v>
      </c>
      <c r="L76" s="115">
        <v>93.65</v>
      </c>
      <c r="M76" s="115">
        <v>27.85</v>
      </c>
      <c r="N76" s="113">
        <f>+K76+M76-L76</f>
        <v>126.06</v>
      </c>
    </row>
    <row r="77" spans="1:14" s="70" customFormat="1" ht="38.25" x14ac:dyDescent="0.2">
      <c r="A77" s="24"/>
      <c r="B77" s="1"/>
      <c r="C77" s="79" t="str">
        <f>"Particulars ( 01-12-2023 to "&amp;TEXT(A5,"dd-mm-yyyy")&amp;" )"</f>
        <v>Particulars ( 01-12-2023 to 15-12-2023 )</v>
      </c>
      <c r="D77" s="79" t="s">
        <v>7</v>
      </c>
      <c r="E77" s="80" t="s">
        <v>73</v>
      </c>
      <c r="F77" s="80" t="s">
        <v>74</v>
      </c>
      <c r="G77" s="81" t="s">
        <v>75</v>
      </c>
      <c r="H77" s="80" t="s">
        <v>76</v>
      </c>
      <c r="J77" s="113" t="s">
        <v>1861</v>
      </c>
      <c r="K77" s="115">
        <v>1332.26</v>
      </c>
      <c r="L77" s="115">
        <v>281.64999999999998</v>
      </c>
      <c r="M77" s="115">
        <v>498.29</v>
      </c>
      <c r="N77" s="113">
        <f>+K77+M77-L77</f>
        <v>1548.9</v>
      </c>
    </row>
    <row r="78" spans="1:14" s="70" customFormat="1" x14ac:dyDescent="0.2">
      <c r="A78" s="24"/>
      <c r="B78" s="1"/>
      <c r="C78" s="50" t="s">
        <v>444</v>
      </c>
      <c r="D78" s="55">
        <f>+K78</f>
        <v>361.11</v>
      </c>
      <c r="E78" s="55">
        <f>+M78</f>
        <v>196.59</v>
      </c>
      <c r="F78" s="55">
        <f>+L78</f>
        <v>249.7</v>
      </c>
      <c r="G78" s="55">
        <f>+D78+E78-F78</f>
        <v>308.00000000000006</v>
      </c>
      <c r="H78" s="55">
        <f>1500-G78</f>
        <v>1192</v>
      </c>
      <c r="J78" s="113" t="s">
        <v>707</v>
      </c>
      <c r="K78" s="115">
        <v>361.11</v>
      </c>
      <c r="L78" s="115">
        <v>249.7</v>
      </c>
      <c r="M78" s="115">
        <v>196.59</v>
      </c>
      <c r="N78" s="113">
        <f>+K78+M78-L78</f>
        <v>308.00000000000006</v>
      </c>
    </row>
    <row r="79" spans="1:14" s="70" customFormat="1" ht="12.75" customHeight="1" x14ac:dyDescent="0.2">
      <c r="A79" s="24"/>
      <c r="B79" s="1"/>
      <c r="C79" s="50" t="s">
        <v>71</v>
      </c>
      <c r="D79" s="55">
        <f>+K76+K77</f>
        <v>1524.12</v>
      </c>
      <c r="E79" s="55">
        <f>+M76+M77</f>
        <v>526.14</v>
      </c>
      <c r="F79" s="55">
        <f>+L76+L77</f>
        <v>375.29999999999995</v>
      </c>
      <c r="G79" s="55">
        <f>+D79+E79-F79</f>
        <v>1674.9599999999998</v>
      </c>
      <c r="H79" s="55">
        <f>1500+700-G79</f>
        <v>525.04000000000019</v>
      </c>
      <c r="J79" s="2"/>
      <c r="K79" s="118">
        <f>SUM(K76:K78)</f>
        <v>1885.23</v>
      </c>
      <c r="L79" s="118">
        <f>SUM(L76:L78)</f>
        <v>625</v>
      </c>
      <c r="M79" s="118">
        <f>SUM(M76:M78)</f>
        <v>722.73</v>
      </c>
      <c r="N79" s="118">
        <f>SUM(N76:N78)</f>
        <v>1982.96</v>
      </c>
    </row>
    <row r="80" spans="1:14" s="70" customFormat="1" ht="12.75" customHeight="1" x14ac:dyDescent="0.2">
      <c r="A80" s="24"/>
      <c r="B80" s="1"/>
      <c r="C80" s="14"/>
      <c r="D80" s="56"/>
      <c r="E80" s="13"/>
      <c r="F80" s="2"/>
      <c r="G80" s="30"/>
      <c r="H80" s="30"/>
    </row>
    <row r="81" spans="1:15" s="70" customFormat="1" ht="12.75" customHeight="1" x14ac:dyDescent="0.2">
      <c r="A81" s="215" t="s">
        <v>80</v>
      </c>
      <c r="B81" s="216"/>
      <c r="C81" s="216"/>
      <c r="D81" s="217"/>
      <c r="E81" s="69"/>
      <c r="G81" s="30"/>
      <c r="H81" s="30"/>
    </row>
    <row r="82" spans="1:15" s="70" customFormat="1" ht="12.75" customHeight="1" x14ac:dyDescent="0.2">
      <c r="A82" s="71" t="s">
        <v>81</v>
      </c>
      <c r="B82" s="71"/>
      <c r="C82" s="72" t="s">
        <v>82</v>
      </c>
      <c r="D82" s="73" t="s">
        <v>83</v>
      </c>
      <c r="E82" s="69"/>
      <c r="G82" s="30"/>
      <c r="H82" s="30"/>
    </row>
    <row r="83" spans="1:15" s="70" customFormat="1" ht="12.75" customHeight="1" x14ac:dyDescent="0.2">
      <c r="A83" s="87">
        <v>45264</v>
      </c>
      <c r="B83" s="120" t="s">
        <v>6</v>
      </c>
      <c r="C83" s="75" t="s">
        <v>909</v>
      </c>
      <c r="D83" s="88">
        <v>13756945</v>
      </c>
      <c r="E83" s="2"/>
      <c r="F83" s="2"/>
      <c r="G83" s="30"/>
      <c r="H83" s="30"/>
      <c r="I83" s="2"/>
      <c r="J83" s="2"/>
      <c r="K83" s="2"/>
      <c r="L83" s="2"/>
      <c r="M83" s="41"/>
      <c r="N83" s="42"/>
      <c r="O83" s="2"/>
    </row>
    <row r="84" spans="1:15" s="70" customFormat="1" ht="12.75" customHeight="1" x14ac:dyDescent="0.2">
      <c r="A84" s="87">
        <v>45265</v>
      </c>
      <c r="B84" s="120" t="s">
        <v>6</v>
      </c>
      <c r="C84" s="75" t="s">
        <v>1552</v>
      </c>
      <c r="D84" s="88">
        <v>2152501.6</v>
      </c>
      <c r="E84" s="2"/>
      <c r="F84" s="2"/>
      <c r="G84" s="30"/>
      <c r="H84" s="30"/>
      <c r="I84" s="2"/>
      <c r="J84" s="2"/>
      <c r="K84" s="2"/>
      <c r="L84" s="2"/>
      <c r="M84" s="41"/>
      <c r="N84" s="42"/>
      <c r="O84" s="2"/>
    </row>
    <row r="85" spans="1:15" s="70" customFormat="1" ht="12.75" customHeight="1" x14ac:dyDescent="0.2">
      <c r="A85" s="87">
        <v>45267</v>
      </c>
      <c r="B85" s="120" t="s">
        <v>6</v>
      </c>
      <c r="C85" s="75" t="s">
        <v>784</v>
      </c>
      <c r="D85" s="88">
        <v>179811</v>
      </c>
      <c r="E85" s="2"/>
      <c r="F85" s="2"/>
      <c r="G85" s="30"/>
      <c r="H85" s="30"/>
      <c r="I85" s="2"/>
      <c r="J85" s="2"/>
      <c r="K85" s="2"/>
      <c r="L85" s="2"/>
      <c r="M85" s="41"/>
      <c r="N85" s="42"/>
      <c r="O85" s="2"/>
    </row>
    <row r="86" spans="1:15" s="70" customFormat="1" ht="12.75" customHeight="1" x14ac:dyDescent="0.2">
      <c r="A86" s="87">
        <v>45267</v>
      </c>
      <c r="B86" s="120" t="s">
        <v>6</v>
      </c>
      <c r="C86" s="75" t="s">
        <v>784</v>
      </c>
      <c r="D86" s="88">
        <v>302254</v>
      </c>
      <c r="E86" s="2"/>
      <c r="F86" s="2"/>
      <c r="G86" s="30"/>
      <c r="H86" s="30"/>
      <c r="I86" s="2"/>
      <c r="J86" s="2"/>
      <c r="K86" s="2"/>
      <c r="L86" s="2"/>
      <c r="M86" s="41"/>
      <c r="N86" s="42"/>
      <c r="O86" s="2"/>
    </row>
    <row r="87" spans="1:15" s="70" customFormat="1" ht="12.75" customHeight="1" x14ac:dyDescent="0.2">
      <c r="A87" s="87">
        <v>45268</v>
      </c>
      <c r="B87" s="120" t="s">
        <v>6</v>
      </c>
      <c r="C87" s="75" t="s">
        <v>1789</v>
      </c>
      <c r="D87" s="88">
        <v>4000249.47</v>
      </c>
      <c r="E87" s="2"/>
      <c r="F87" s="2"/>
      <c r="G87" s="30"/>
      <c r="H87" s="30"/>
      <c r="I87" s="2"/>
      <c r="J87" s="2"/>
      <c r="K87" s="2"/>
      <c r="L87" s="2"/>
      <c r="M87" s="41"/>
      <c r="N87" s="42"/>
      <c r="O87" s="2"/>
    </row>
    <row r="88" spans="1:15" s="70" customFormat="1" ht="12.75" customHeight="1" x14ac:dyDescent="0.2">
      <c r="A88" s="87">
        <v>45269</v>
      </c>
      <c r="B88" s="120" t="s">
        <v>6</v>
      </c>
      <c r="C88" s="75" t="s">
        <v>85</v>
      </c>
      <c r="D88" s="88">
        <v>96273</v>
      </c>
      <c r="E88" s="2"/>
      <c r="F88" s="2"/>
      <c r="G88" s="30"/>
      <c r="H88" s="30"/>
      <c r="I88" s="2"/>
      <c r="J88" s="2"/>
      <c r="K88" s="2"/>
      <c r="L88" s="2"/>
      <c r="M88" s="41"/>
      <c r="N88" s="42"/>
      <c r="O88" s="2"/>
    </row>
    <row r="89" spans="1:15" s="70" customFormat="1" ht="12.75" customHeight="1" x14ac:dyDescent="0.2">
      <c r="A89" s="87">
        <v>45269</v>
      </c>
      <c r="B89" s="120" t="s">
        <v>6</v>
      </c>
      <c r="C89" s="75" t="s">
        <v>270</v>
      </c>
      <c r="D89" s="88">
        <v>182684</v>
      </c>
      <c r="E89" s="2"/>
      <c r="F89" s="2"/>
      <c r="G89" s="30"/>
      <c r="H89" s="30"/>
      <c r="I89" s="2"/>
      <c r="J89" s="2"/>
      <c r="K89" s="2"/>
      <c r="L89" s="2"/>
      <c r="M89" s="41"/>
      <c r="N89" s="42"/>
      <c r="O89" s="2"/>
    </row>
    <row r="90" spans="1:15" s="70" customFormat="1" ht="12.75" customHeight="1" x14ac:dyDescent="0.2">
      <c r="A90" s="87">
        <v>45272</v>
      </c>
      <c r="B90" s="120" t="s">
        <v>6</v>
      </c>
      <c r="C90" s="75" t="s">
        <v>270</v>
      </c>
      <c r="D90" s="88">
        <v>687714</v>
      </c>
      <c r="E90" s="2"/>
      <c r="F90" s="2"/>
      <c r="G90" s="30"/>
      <c r="H90" s="30"/>
      <c r="I90" s="2"/>
      <c r="J90" s="2"/>
      <c r="K90" s="2"/>
      <c r="L90" s="2"/>
      <c r="M90" s="41"/>
      <c r="N90" s="42"/>
      <c r="O90" s="2"/>
    </row>
    <row r="91" spans="1:15" s="70" customFormat="1" ht="12.75" customHeight="1" x14ac:dyDescent="0.2">
      <c r="A91" s="87">
        <v>45272</v>
      </c>
      <c r="B91" s="120" t="s">
        <v>6</v>
      </c>
      <c r="C91" s="75" t="s">
        <v>1789</v>
      </c>
      <c r="D91" s="88">
        <v>1945116</v>
      </c>
      <c r="E91" s="2"/>
      <c r="F91" s="2"/>
      <c r="G91" s="30"/>
      <c r="H91" s="30"/>
      <c r="I91" s="2"/>
      <c r="J91" s="2"/>
      <c r="K91" s="2"/>
      <c r="L91" s="2"/>
      <c r="M91" s="41"/>
      <c r="N91" s="42"/>
      <c r="O91" s="2"/>
    </row>
    <row r="92" spans="1:15" s="70" customFormat="1" ht="12.75" customHeight="1" x14ac:dyDescent="0.2">
      <c r="A92" s="87">
        <v>45273</v>
      </c>
      <c r="B92" s="120" t="s">
        <v>6</v>
      </c>
      <c r="C92" s="75" t="s">
        <v>767</v>
      </c>
      <c r="D92" s="88">
        <v>167890</v>
      </c>
      <c r="E92" s="2"/>
      <c r="F92" s="2"/>
      <c r="G92" s="30"/>
      <c r="H92" s="30"/>
      <c r="I92" s="2"/>
      <c r="J92" s="2"/>
      <c r="K92" s="2"/>
      <c r="L92" s="2"/>
      <c r="M92" s="41"/>
      <c r="N92" s="42"/>
      <c r="O92" s="2"/>
    </row>
    <row r="93" spans="1:15" s="70" customFormat="1" ht="12.75" customHeight="1" x14ac:dyDescent="0.2">
      <c r="A93" s="87">
        <v>45274</v>
      </c>
      <c r="B93" s="120" t="s">
        <v>6</v>
      </c>
      <c r="C93" s="75" t="s">
        <v>1789</v>
      </c>
      <c r="D93" s="88">
        <v>4000385.13</v>
      </c>
      <c r="E93" s="2"/>
      <c r="F93" s="2"/>
      <c r="G93" s="30"/>
      <c r="H93" s="30"/>
      <c r="I93" s="2"/>
      <c r="J93" s="2"/>
      <c r="K93" s="2"/>
      <c r="L93" s="2"/>
      <c r="M93" s="41"/>
      <c r="N93" s="42"/>
      <c r="O93" s="2"/>
    </row>
    <row r="94" spans="1:15" s="2" customFormat="1" x14ac:dyDescent="0.2">
      <c r="A94" s="87"/>
      <c r="B94" s="74"/>
      <c r="C94" s="75"/>
      <c r="D94" s="51">
        <f>SUM(D83:D93)</f>
        <v>27471823.199999999</v>
      </c>
      <c r="F94" s="2" t="s">
        <v>396</v>
      </c>
      <c r="G94" s="1"/>
      <c r="H94" s="1"/>
    </row>
    <row r="95" spans="1:15" s="2" customFormat="1" x14ac:dyDescent="0.2">
      <c r="A95" s="24"/>
      <c r="B95" s="1"/>
      <c r="C95" s="14"/>
      <c r="D95" s="56"/>
      <c r="E95" s="13"/>
      <c r="G95" s="1"/>
      <c r="H95" s="1"/>
    </row>
    <row r="96" spans="1:15" s="2" customFormat="1" x14ac:dyDescent="0.2">
      <c r="A96" s="24"/>
      <c r="B96" s="1"/>
      <c r="C96" s="218" t="s">
        <v>77</v>
      </c>
      <c r="D96" s="219"/>
      <c r="E96" s="219"/>
      <c r="F96" s="220"/>
      <c r="I96" s="2" t="s">
        <v>396</v>
      </c>
    </row>
    <row r="97" spans="1:14" s="2" customFormat="1" x14ac:dyDescent="0.2">
      <c r="A97" s="24"/>
      <c r="B97" s="1"/>
      <c r="C97" s="50"/>
      <c r="D97" s="57" t="s">
        <v>78</v>
      </c>
      <c r="E97" s="58" t="s">
        <v>79</v>
      </c>
      <c r="F97" s="57" t="s">
        <v>72</v>
      </c>
      <c r="I97" s="2" t="s">
        <v>396</v>
      </c>
    </row>
    <row r="98" spans="1:14" s="2" customFormat="1" x14ac:dyDescent="0.2">
      <c r="A98" s="24"/>
      <c r="B98" s="1"/>
      <c r="C98" s="59" t="str">
        <f>"01-12-2023 to "&amp;TEXT(A5-2,"dd-mm-yyyy")</f>
        <v>01-12-2023 to 13-12-2023</v>
      </c>
      <c r="D98" s="60">
        <v>910.52</v>
      </c>
      <c r="E98" s="60">
        <v>305.22000000000003</v>
      </c>
      <c r="F98" s="61">
        <f>SUM(D98:E98)</f>
        <v>1215.74</v>
      </c>
    </row>
    <row r="99" spans="1:14" s="2" customFormat="1" x14ac:dyDescent="0.2">
      <c r="A99" s="24"/>
      <c r="B99" s="1"/>
      <c r="C99" s="62" t="str">
        <f>TEXT(A5-1,"dd-mm-yyyy")</f>
        <v>14-12-2023</v>
      </c>
      <c r="D99" s="60">
        <v>123.44</v>
      </c>
      <c r="E99" s="60">
        <v>37.17</v>
      </c>
      <c r="F99" s="61">
        <f>SUM(D99:E99)</f>
        <v>160.61000000000001</v>
      </c>
      <c r="G99" s="1"/>
      <c r="H99" s="1"/>
      <c r="I99" s="53"/>
    </row>
    <row r="100" spans="1:14" s="2" customFormat="1" ht="13.5" thickBot="1" x14ac:dyDescent="0.25">
      <c r="A100" s="24"/>
      <c r="B100" s="1"/>
      <c r="C100" s="63" t="str">
        <f>"01-12-2023 to "&amp;TEXT(A5-1,"dd-mm-yyyy")</f>
        <v>01-12-2023 to 14-12-2023</v>
      </c>
      <c r="D100" s="64">
        <f>SUM(D98:D99)</f>
        <v>1033.96</v>
      </c>
      <c r="E100" s="64">
        <f>SUM(E98:E99)</f>
        <v>342.39000000000004</v>
      </c>
      <c r="F100" s="64">
        <f>SUM(F98:F99)</f>
        <v>1376.35</v>
      </c>
      <c r="G100" s="1"/>
      <c r="H100" s="1"/>
      <c r="I100" s="53"/>
    </row>
    <row r="101" spans="1:14" s="2" customFormat="1" ht="13.5" thickTop="1" x14ac:dyDescent="0.2">
      <c r="A101" s="24"/>
      <c r="B101" s="1"/>
      <c r="C101" s="62"/>
      <c r="D101" s="65"/>
      <c r="E101" s="66"/>
      <c r="F101" s="67"/>
      <c r="M101" s="1"/>
      <c r="N101" s="1"/>
    </row>
    <row r="102" spans="1:14" s="2" customFormat="1" x14ac:dyDescent="0.2">
      <c r="A102" s="24"/>
      <c r="B102" s="1"/>
      <c r="C102" s="62" t="str">
        <f>"01-04-2023 to " &amp;C99</f>
        <v>01-04-2023 to 14-12-2023</v>
      </c>
      <c r="D102" s="68">
        <f>+D100+32234.22</f>
        <v>33268.18</v>
      </c>
      <c r="E102" s="68">
        <f>+E100+3134.59</f>
        <v>3476.98</v>
      </c>
      <c r="F102" s="68">
        <f>+F100+35368.81</f>
        <v>36745.159999999996</v>
      </c>
      <c r="G102" s="1"/>
      <c r="H102" s="1"/>
      <c r="M102" s="1"/>
      <c r="N102" s="1"/>
    </row>
    <row r="103" spans="1:14" s="2" customFormat="1" x14ac:dyDescent="0.2">
      <c r="A103" s="24"/>
      <c r="B103" s="1"/>
      <c r="C103" s="52"/>
      <c r="D103" s="85"/>
      <c r="E103" s="53"/>
      <c r="F103" s="53"/>
      <c r="G103" s="1"/>
      <c r="H103" s="1"/>
      <c r="M103" s="1"/>
      <c r="N103" s="1"/>
    </row>
    <row r="104" spans="1:14" s="2" customFormat="1" x14ac:dyDescent="0.2">
      <c r="A104" s="24"/>
      <c r="B104" s="1"/>
      <c r="C104" s="52"/>
      <c r="D104" s="85"/>
      <c r="E104" s="53"/>
      <c r="F104" s="53"/>
      <c r="G104" s="1"/>
      <c r="H104" s="1"/>
      <c r="M104" s="1"/>
      <c r="N104" s="1"/>
    </row>
    <row r="105" spans="1:14" s="2" customFormat="1" x14ac:dyDescent="0.2">
      <c r="A105" s="24"/>
      <c r="B105" s="1"/>
      <c r="C105" s="52"/>
      <c r="D105" s="85"/>
      <c r="E105" s="53"/>
      <c r="F105" s="53"/>
      <c r="G105" s="1"/>
      <c r="H105" s="1"/>
      <c r="M105" s="1"/>
      <c r="N105" s="1"/>
    </row>
    <row r="106" spans="1:14" s="2" customFormat="1" x14ac:dyDescent="0.2">
      <c r="A106" s="24"/>
      <c r="B106" s="1"/>
      <c r="C106" s="52"/>
      <c r="D106" s="85"/>
      <c r="E106" s="53"/>
      <c r="F106" s="53"/>
      <c r="G106" s="1"/>
      <c r="H106" s="1"/>
      <c r="M106" s="1"/>
      <c r="N106" s="1"/>
    </row>
    <row r="107" spans="1:14" s="2" customFormat="1" x14ac:dyDescent="0.2">
      <c r="A107" s="24"/>
      <c r="B107" s="1"/>
      <c r="C107" s="14"/>
      <c r="D107" s="25">
        <f>SUM(D104:D106)</f>
        <v>0</v>
      </c>
      <c r="E107" s="2">
        <f>SUM(E104:E106)</f>
        <v>0</v>
      </c>
      <c r="G107" s="1"/>
      <c r="H107" s="1"/>
      <c r="M107" s="1"/>
      <c r="N107" s="1"/>
    </row>
    <row r="108" spans="1:14" s="2" customFormat="1" x14ac:dyDescent="0.2">
      <c r="A108" s="24"/>
      <c r="B108" s="1"/>
      <c r="C108" s="14"/>
      <c r="D108" s="25"/>
      <c r="G108" s="1"/>
      <c r="H108" s="1"/>
      <c r="M108" s="1"/>
      <c r="N108" s="1"/>
    </row>
    <row r="109" spans="1:14" s="2" customFormat="1" x14ac:dyDescent="0.2">
      <c r="A109" s="24"/>
      <c r="B109" s="1"/>
      <c r="C109" s="14"/>
      <c r="D109" s="25"/>
      <c r="G109" s="1"/>
      <c r="H109" s="1"/>
      <c r="M109" s="1"/>
      <c r="N109" s="1"/>
    </row>
    <row r="110" spans="1:14" s="2" customFormat="1" x14ac:dyDescent="0.2">
      <c r="A110" s="24"/>
      <c r="B110" s="1"/>
      <c r="C110" s="14"/>
      <c r="D110" s="25"/>
      <c r="G110" s="1"/>
      <c r="H110" s="1"/>
      <c r="M110" s="1"/>
      <c r="N110" s="1"/>
    </row>
    <row r="111" spans="1:14" s="2" customFormat="1" x14ac:dyDescent="0.2">
      <c r="A111" s="24"/>
      <c r="B111" s="1"/>
      <c r="C111" s="14"/>
      <c r="D111" s="25"/>
      <c r="G111" s="1"/>
      <c r="H111" s="1"/>
      <c r="M111" s="1"/>
      <c r="N111" s="1"/>
    </row>
    <row r="112" spans="1:14" s="2" customFormat="1" x14ac:dyDescent="0.2">
      <c r="A112" s="24"/>
      <c r="B112" s="1"/>
      <c r="C112" s="14"/>
      <c r="D112" s="25"/>
      <c r="G112" s="1"/>
      <c r="H112" s="1"/>
      <c r="M112" s="1"/>
      <c r="N112" s="1"/>
    </row>
    <row r="113" spans="1:15" s="2" customFormat="1" x14ac:dyDescent="0.2">
      <c r="A113" s="24"/>
      <c r="B113" s="1"/>
      <c r="C113" s="14"/>
      <c r="D113" s="25"/>
      <c r="G113" s="1"/>
      <c r="H113" s="1"/>
      <c r="M113" s="1"/>
      <c r="N113" s="1"/>
    </row>
    <row r="114" spans="1:15" s="2" customFormat="1" x14ac:dyDescent="0.2">
      <c r="A114" s="24"/>
      <c r="B114" s="1"/>
      <c r="C114" s="14"/>
      <c r="D114" s="25"/>
      <c r="G114" s="1"/>
      <c r="H114" s="1"/>
      <c r="M114" s="1"/>
      <c r="N114" s="1"/>
    </row>
    <row r="115" spans="1:15" s="2" customFormat="1" x14ac:dyDescent="0.2">
      <c r="A115" s="24"/>
      <c r="B115" s="1"/>
      <c r="C115" s="14"/>
      <c r="D115" s="25"/>
      <c r="G115" s="1"/>
      <c r="H115" s="1"/>
      <c r="M115" s="1"/>
      <c r="N115" s="1"/>
    </row>
    <row r="116" spans="1:15" s="2" customFormat="1" x14ac:dyDescent="0.2">
      <c r="A116" s="24"/>
      <c r="B116" s="1"/>
      <c r="C116" s="14"/>
      <c r="D116" s="25"/>
      <c r="G116" s="1"/>
      <c r="H116" s="1"/>
      <c r="M116" s="1"/>
      <c r="N116" s="1"/>
    </row>
    <row r="117" spans="1:15" s="2" customFormat="1" x14ac:dyDescent="0.2">
      <c r="A117" s="24"/>
      <c r="B117" s="1"/>
      <c r="C117" s="14"/>
      <c r="D117" s="25"/>
      <c r="G117" s="1"/>
      <c r="H117" s="1"/>
      <c r="M117" s="1"/>
      <c r="N117" s="1"/>
    </row>
    <row r="118" spans="1:15" s="2" customFormat="1" x14ac:dyDescent="0.2">
      <c r="A118" s="24"/>
      <c r="B118" s="1"/>
      <c r="C118" s="14"/>
      <c r="D118" s="25"/>
      <c r="G118" s="1"/>
      <c r="H118" s="1"/>
      <c r="M118" s="1"/>
      <c r="N118" s="1"/>
    </row>
    <row r="119" spans="1:15" s="2" customFormat="1" x14ac:dyDescent="0.2">
      <c r="A119" s="24"/>
      <c r="B119" s="1"/>
      <c r="C119" s="14"/>
      <c r="D119" s="25"/>
      <c r="G119" s="1"/>
      <c r="H119" s="1"/>
      <c r="M119" s="1"/>
      <c r="N119" s="1"/>
    </row>
    <row r="120" spans="1:15" s="2" customFormat="1" x14ac:dyDescent="0.2">
      <c r="A120" s="24"/>
      <c r="B120" s="1"/>
      <c r="C120" s="14"/>
      <c r="D120" s="25"/>
      <c r="G120" s="1"/>
      <c r="H120" s="1"/>
      <c r="M120" s="1"/>
      <c r="N120" s="1"/>
    </row>
    <row r="121" spans="1:15" s="2" customFormat="1" x14ac:dyDescent="0.2">
      <c r="A121" s="24"/>
      <c r="B121" s="1"/>
      <c r="C121" s="14"/>
      <c r="D121" s="25"/>
      <c r="G121" s="1"/>
      <c r="H121" s="1"/>
      <c r="J121" s="1"/>
      <c r="K121" s="1"/>
      <c r="L121" s="1"/>
      <c r="M121" s="1"/>
      <c r="N121" s="1"/>
    </row>
    <row r="122" spans="1:15" s="2" customFormat="1" x14ac:dyDescent="0.2">
      <c r="A122" s="24"/>
      <c r="B122" s="1"/>
      <c r="C122" s="14"/>
      <c r="D122" s="25"/>
      <c r="G122" s="1"/>
      <c r="H122" s="1"/>
    </row>
    <row r="123" spans="1:15" s="2" customFormat="1" x14ac:dyDescent="0.2">
      <c r="A123" s="24"/>
      <c r="B123" s="1"/>
      <c r="C123" s="14"/>
      <c r="D123" s="25"/>
      <c r="G123" s="1"/>
      <c r="H123" s="1"/>
      <c r="J123" s="1"/>
      <c r="K123" s="1"/>
      <c r="L123" s="1"/>
      <c r="M123" s="1"/>
      <c r="N123" s="1"/>
    </row>
    <row r="124" spans="1:15" s="2" customFormat="1" x14ac:dyDescent="0.2">
      <c r="A124" s="24"/>
      <c r="B124" s="1"/>
      <c r="C124" s="14"/>
      <c r="D124" s="25"/>
      <c r="G124" s="54"/>
      <c r="H124" s="54"/>
      <c r="J124" s="1"/>
      <c r="K124" s="1"/>
      <c r="L124" s="1"/>
      <c r="M124" s="1"/>
      <c r="N124" s="1"/>
    </row>
    <row r="125" spans="1:15" s="2" customFormat="1" x14ac:dyDescent="0.2">
      <c r="A125" s="24"/>
      <c r="B125" s="1"/>
      <c r="C125" s="14"/>
      <c r="D125" s="25"/>
      <c r="G125" s="54"/>
      <c r="H125" s="54"/>
      <c r="J125" s="1"/>
      <c r="K125" s="1"/>
      <c r="L125" s="1"/>
      <c r="M125" s="1"/>
      <c r="N125" s="1"/>
    </row>
    <row r="126" spans="1:15" s="2" customFormat="1" x14ac:dyDescent="0.2">
      <c r="A126" s="24"/>
      <c r="B126" s="1"/>
      <c r="C126" s="14"/>
      <c r="D126" s="25"/>
      <c r="G126" s="54"/>
      <c r="H126" s="54"/>
      <c r="J126" s="1"/>
      <c r="K126" s="1"/>
      <c r="L126" s="1"/>
      <c r="M126" s="1"/>
      <c r="N126" s="1"/>
    </row>
    <row r="127" spans="1:15" s="2" customFormat="1" x14ac:dyDescent="0.2">
      <c r="A127" s="24"/>
      <c r="B127" s="1"/>
      <c r="C127" s="14"/>
      <c r="D127" s="25"/>
      <c r="G127" s="54"/>
      <c r="H127" s="54"/>
      <c r="I127" s="2" t="s">
        <v>396</v>
      </c>
      <c r="J127" s="1"/>
      <c r="K127" s="1"/>
      <c r="L127" s="1"/>
      <c r="M127" s="1"/>
      <c r="N127" s="1"/>
      <c r="O127" s="1"/>
    </row>
    <row r="128" spans="1:15" s="2" customFormat="1" x14ac:dyDescent="0.2">
      <c r="A128" s="24"/>
      <c r="B128" s="1"/>
      <c r="C128" s="14"/>
      <c r="D128" s="25"/>
      <c r="G128" s="54"/>
      <c r="H128" s="54"/>
      <c r="I128" s="53"/>
    </row>
    <row r="129" spans="1:15" s="2" customFormat="1" x14ac:dyDescent="0.2">
      <c r="A129" s="24"/>
      <c r="B129" s="1"/>
      <c r="C129" s="14"/>
      <c r="D129" s="25"/>
      <c r="G129" s="54"/>
      <c r="H129" s="54"/>
      <c r="I129" s="53" t="s">
        <v>396</v>
      </c>
      <c r="J129" s="1"/>
      <c r="K129" s="1"/>
      <c r="L129" s="1"/>
      <c r="M129" s="1"/>
      <c r="N129" s="1"/>
      <c r="O129" s="1"/>
    </row>
    <row r="130" spans="1:15" x14ac:dyDescent="0.2">
      <c r="G130" s="54"/>
      <c r="H130" s="54"/>
      <c r="I130" s="53" t="s">
        <v>396</v>
      </c>
      <c r="K130" s="42"/>
    </row>
    <row r="131" spans="1:15" s="2" customFormat="1" x14ac:dyDescent="0.2">
      <c r="A131" s="24"/>
      <c r="B131" s="1"/>
      <c r="C131" s="14"/>
      <c r="D131" s="25"/>
      <c r="G131" s="54"/>
      <c r="H131" s="54"/>
      <c r="I131" s="53"/>
      <c r="J131" s="101"/>
      <c r="K131" s="1"/>
      <c r="L131" s="1"/>
      <c r="M131" s="1"/>
      <c r="N131" s="1"/>
      <c r="O131" s="1"/>
    </row>
    <row r="132" spans="1:15" x14ac:dyDescent="0.2">
      <c r="G132" s="54"/>
      <c r="H132" s="54"/>
      <c r="I132" s="53"/>
    </row>
    <row r="133" spans="1:15" x14ac:dyDescent="0.2">
      <c r="G133" s="54"/>
      <c r="H133" s="54"/>
      <c r="I133" s="53"/>
    </row>
    <row r="134" spans="1:15" x14ac:dyDescent="0.2">
      <c r="G134" s="54"/>
      <c r="H134" s="54"/>
      <c r="I134" s="53"/>
    </row>
  </sheetData>
  <sheetProtection insertRows="0"/>
  <mergeCells count="7">
    <mergeCell ref="K74:L74"/>
    <mergeCell ref="A81:D81"/>
    <mergeCell ref="C96:F96"/>
    <mergeCell ref="A1:H1"/>
    <mergeCell ref="A3:F3"/>
    <mergeCell ref="A10:F10"/>
    <mergeCell ref="A28:F28"/>
  </mergeCells>
  <conditionalFormatting sqref="H78:H79">
    <cfRule type="cellIs" dxfId="173" priority="1" operator="lessThan">
      <formula>0</formula>
    </cfRule>
  </conditionalFormatting>
  <conditionalFormatting sqref="C30">
    <cfRule type="duplicateValues" dxfId="172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C00-000000000000}">
  <sheetPr codeName="Sheet500">
    <pageSetUpPr fitToPage="1"/>
  </sheetPr>
  <dimension ref="A1:O121"/>
  <sheetViews>
    <sheetView topLeftCell="A12" zoomScaleNormal="100" workbookViewId="0">
      <selection activeCell="E41" sqref="E41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12.85546875" style="1" customWidth="1"/>
    <col min="9" max="9" width="24.85546875" style="2" bestFit="1" customWidth="1"/>
    <col min="10" max="10" width="21.5703125" style="1" bestFit="1" customWidth="1"/>
    <col min="11" max="11" width="16.85546875" style="1" bestFit="1" customWidth="1"/>
    <col min="12" max="12" width="17.28515625" style="1" bestFit="1" customWidth="1"/>
    <col min="13" max="13" width="13.5703125" style="1" bestFit="1" customWidth="1"/>
    <col min="14" max="14" width="17.42578125" style="1" bestFit="1" customWidth="1"/>
    <col min="15" max="15" width="12.85546875" style="1" bestFit="1" customWidth="1"/>
    <col min="16" max="17" width="9.140625" style="1"/>
    <col min="18" max="18" width="15.5703125" style="1" bestFit="1" customWidth="1"/>
    <col min="19" max="16384" width="9.140625" style="1"/>
  </cols>
  <sheetData>
    <row r="1" spans="1:12" ht="20.25" customHeight="1" x14ac:dyDescent="0.4">
      <c r="A1" s="212" t="s">
        <v>1874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2" ht="12.75" customHeight="1" x14ac:dyDescent="0.4">
      <c r="I2" s="112"/>
      <c r="J2" s="112"/>
    </row>
    <row r="3" spans="1:12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2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2" s="2" customFormat="1" ht="14.25" customHeight="1" x14ac:dyDescent="0.4">
      <c r="A5" s="89">
        <v>45276</v>
      </c>
      <c r="B5" s="9" t="s">
        <v>6</v>
      </c>
      <c r="C5" s="10" t="s">
        <v>7</v>
      </c>
      <c r="D5" s="11"/>
      <c r="E5" s="12">
        <v>806052.23000000045</v>
      </c>
      <c r="F5" s="12"/>
      <c r="G5" s="1"/>
      <c r="H5" s="1"/>
      <c r="I5" s="112"/>
      <c r="J5" s="112"/>
    </row>
    <row r="6" spans="1:12" s="2" customFormat="1" ht="12.75" customHeight="1" x14ac:dyDescent="0.2">
      <c r="D6" s="15" t="s">
        <v>8</v>
      </c>
      <c r="E6" s="16">
        <f>SUM(E5:E5)</f>
        <v>806052.23000000045</v>
      </c>
      <c r="F6" s="16">
        <f>F5</f>
        <v>0</v>
      </c>
      <c r="G6" s="1"/>
      <c r="H6" s="1"/>
      <c r="I6" s="13" t="s">
        <v>1582</v>
      </c>
      <c r="J6" s="13" t="s">
        <v>1583</v>
      </c>
    </row>
    <row r="7" spans="1:12" s="2" customFormat="1" ht="12.75" customHeight="1" x14ac:dyDescent="0.2">
      <c r="A7" s="17"/>
      <c r="B7" s="18"/>
      <c r="C7" s="19" t="s">
        <v>9</v>
      </c>
      <c r="D7" s="20"/>
      <c r="E7" s="21">
        <f>+E6-F6</f>
        <v>806052.23000000045</v>
      </c>
      <c r="F7" s="22"/>
      <c r="G7" s="23"/>
      <c r="H7" s="23"/>
      <c r="I7" s="2">
        <v>0</v>
      </c>
      <c r="J7" s="2">
        <v>0</v>
      </c>
      <c r="K7" s="176">
        <f>I7-J7</f>
        <v>0</v>
      </c>
    </row>
    <row r="8" spans="1:12" ht="12.75" customHeight="1" x14ac:dyDescent="0.4">
      <c r="I8" s="112"/>
      <c r="J8" s="112"/>
    </row>
    <row r="9" spans="1:12" ht="18" customHeight="1" x14ac:dyDescent="0.4">
      <c r="A9" s="213" t="s">
        <v>1037</v>
      </c>
      <c r="B9" s="213"/>
      <c r="C9" s="213"/>
      <c r="D9" s="213"/>
      <c r="E9" s="213"/>
      <c r="F9" s="213"/>
      <c r="I9" s="112"/>
      <c r="J9" s="169">
        <f>90000000-60000000</f>
        <v>30000000</v>
      </c>
      <c r="K9" s="169" t="s">
        <v>1508</v>
      </c>
    </row>
    <row r="10" spans="1:12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I10" s="112"/>
      <c r="J10" s="169">
        <v>29013100.649999999</v>
      </c>
      <c r="K10" s="169" t="s">
        <v>1509</v>
      </c>
      <c r="L10" s="124"/>
    </row>
    <row r="11" spans="1:12" s="2" customFormat="1" ht="14.25" customHeight="1" x14ac:dyDescent="0.2">
      <c r="A11" s="89">
        <v>45276</v>
      </c>
      <c r="B11" s="9" t="s">
        <v>6</v>
      </c>
      <c r="C11" s="10" t="s">
        <v>7</v>
      </c>
      <c r="D11" s="11"/>
      <c r="F11" s="12">
        <v>28908386.650000002</v>
      </c>
      <c r="G11" s="1"/>
      <c r="H11" s="1"/>
      <c r="I11" s="130" t="s">
        <v>396</v>
      </c>
      <c r="J11" s="169">
        <f>+J9-J10</f>
        <v>986899.35000000149</v>
      </c>
      <c r="K11" s="169" t="s">
        <v>712</v>
      </c>
      <c r="L11" s="165" t="s">
        <v>1512</v>
      </c>
    </row>
    <row r="12" spans="1:12" s="2" customFormat="1" ht="14.25" customHeight="1" x14ac:dyDescent="0.2">
      <c r="A12" s="89">
        <v>45276</v>
      </c>
      <c r="B12" s="9" t="s">
        <v>11</v>
      </c>
      <c r="C12" s="76" t="s">
        <v>62</v>
      </c>
      <c r="D12" s="11" t="s">
        <v>29</v>
      </c>
      <c r="E12" s="31"/>
      <c r="F12" s="31">
        <v>15000</v>
      </c>
      <c r="G12" s="1"/>
      <c r="H12" s="1"/>
      <c r="I12" s="130"/>
      <c r="J12" s="169"/>
      <c r="K12" s="169"/>
      <c r="L12" s="165"/>
    </row>
    <row r="13" spans="1:12" s="2" customFormat="1" ht="14.25" customHeight="1" x14ac:dyDescent="0.2">
      <c r="A13" s="89">
        <v>45276</v>
      </c>
      <c r="B13" s="9" t="s">
        <v>11</v>
      </c>
      <c r="C13" s="76" t="s">
        <v>1790</v>
      </c>
      <c r="D13" s="11" t="s">
        <v>29</v>
      </c>
      <c r="F13" s="31">
        <v>10000</v>
      </c>
      <c r="G13" s="1"/>
      <c r="H13" s="1"/>
      <c r="I13" s="130"/>
      <c r="J13" s="169"/>
      <c r="K13" s="169"/>
      <c r="L13" s="165"/>
    </row>
    <row r="14" spans="1:12" s="2" customFormat="1" ht="14.25" customHeight="1" x14ac:dyDescent="0.2">
      <c r="A14" s="89">
        <v>45276</v>
      </c>
      <c r="B14" s="9" t="s">
        <v>11</v>
      </c>
      <c r="C14" s="76" t="s">
        <v>937</v>
      </c>
      <c r="D14" s="11" t="s">
        <v>29</v>
      </c>
      <c r="F14" s="31">
        <v>4649</v>
      </c>
      <c r="G14" s="1"/>
      <c r="H14" s="1"/>
      <c r="I14" s="130"/>
      <c r="J14" s="169"/>
      <c r="K14" s="169"/>
      <c r="L14" s="165"/>
    </row>
    <row r="15" spans="1:12" s="2" customFormat="1" ht="14.25" customHeight="1" x14ac:dyDescent="0.2">
      <c r="A15" s="89">
        <v>45276</v>
      </c>
      <c r="B15" s="9" t="s">
        <v>11</v>
      </c>
      <c r="C15" s="76" t="s">
        <v>1875</v>
      </c>
      <c r="D15" s="11" t="s">
        <v>29</v>
      </c>
      <c r="F15" s="31">
        <v>13800</v>
      </c>
      <c r="G15" s="1"/>
      <c r="H15" s="1"/>
      <c r="I15" s="130"/>
      <c r="J15" s="169"/>
      <c r="K15" s="169"/>
      <c r="L15" s="165"/>
    </row>
    <row r="16" spans="1:12" s="2" customFormat="1" ht="14.25" customHeight="1" x14ac:dyDescent="0.2">
      <c r="A16" s="89">
        <v>45276</v>
      </c>
      <c r="B16" s="9" t="s">
        <v>11</v>
      </c>
      <c r="C16" s="76" t="s">
        <v>171</v>
      </c>
      <c r="D16" s="11" t="s">
        <v>29</v>
      </c>
      <c r="F16" s="31">
        <v>5583</v>
      </c>
      <c r="G16" s="1"/>
      <c r="H16" s="1"/>
      <c r="I16" s="130"/>
      <c r="J16" s="169"/>
      <c r="K16" s="169"/>
      <c r="L16" s="165"/>
    </row>
    <row r="17" spans="1:15" s="2" customFormat="1" ht="14.25" customHeight="1" x14ac:dyDescent="0.2">
      <c r="A17" s="89">
        <v>45276</v>
      </c>
      <c r="B17" s="9" t="s">
        <v>11</v>
      </c>
      <c r="C17" s="76" t="s">
        <v>1069</v>
      </c>
      <c r="D17" s="11" t="s">
        <v>29</v>
      </c>
      <c r="F17" s="31">
        <v>1929</v>
      </c>
      <c r="G17" s="1"/>
      <c r="H17" s="1"/>
      <c r="I17" s="130"/>
      <c r="J17" s="169"/>
      <c r="K17" s="169"/>
      <c r="L17" s="165"/>
    </row>
    <row r="18" spans="1:15" s="2" customFormat="1" ht="14.25" customHeight="1" x14ac:dyDescent="0.2">
      <c r="A18" s="89">
        <v>45276</v>
      </c>
      <c r="B18" s="9" t="s">
        <v>11</v>
      </c>
      <c r="C18" s="76" t="s">
        <v>1313</v>
      </c>
      <c r="D18" s="11" t="s">
        <v>29</v>
      </c>
      <c r="F18" s="31">
        <v>33700</v>
      </c>
      <c r="G18" s="1"/>
      <c r="H18" s="1"/>
      <c r="I18" s="130"/>
      <c r="J18" s="169"/>
      <c r="K18" s="169"/>
      <c r="L18" s="165"/>
    </row>
    <row r="19" spans="1:15" s="2" customFormat="1" ht="14.25" customHeight="1" x14ac:dyDescent="0.2">
      <c r="A19" s="89">
        <v>45276</v>
      </c>
      <c r="B19" s="9" t="s">
        <v>11</v>
      </c>
      <c r="C19" s="76" t="s">
        <v>1876</v>
      </c>
      <c r="D19" s="11" t="s">
        <v>29</v>
      </c>
      <c r="F19" s="31">
        <v>20053</v>
      </c>
      <c r="G19" s="1"/>
      <c r="H19" s="1"/>
      <c r="I19" s="130"/>
      <c r="J19" s="169"/>
      <c r="K19" s="169"/>
      <c r="L19" s="165"/>
    </row>
    <row r="20" spans="1:15" s="2" customFormat="1" ht="14.25" customHeight="1" x14ac:dyDescent="0.2">
      <c r="D20" s="11" t="s">
        <v>8</v>
      </c>
      <c r="E20" s="16">
        <f>SUM(E12:E19)</f>
        <v>0</v>
      </c>
      <c r="F20" s="16">
        <f>SUM(F11:F19)</f>
        <v>29013100.650000002</v>
      </c>
      <c r="G20" s="1"/>
      <c r="H20" s="1"/>
      <c r="I20" s="143"/>
      <c r="J20" s="130"/>
      <c r="K20" s="143"/>
      <c r="L20" s="143"/>
      <c r="M20" s="143"/>
      <c r="N20" s="143"/>
    </row>
    <row r="21" spans="1:15" s="2" customFormat="1" ht="14.25" customHeight="1" x14ac:dyDescent="0.4">
      <c r="A21" s="17"/>
      <c r="B21" s="18"/>
      <c r="C21" s="96" t="s">
        <v>9</v>
      </c>
      <c r="D21" s="20"/>
      <c r="E21" s="21">
        <f>+F20-E20</f>
        <v>29013100.650000002</v>
      </c>
      <c r="G21" s="1"/>
      <c r="H21" s="1"/>
      <c r="J21" s="112"/>
      <c r="K21" s="153" t="s">
        <v>779</v>
      </c>
    </row>
    <row r="22" spans="1:15" s="2" customFormat="1" ht="14.25" customHeight="1" x14ac:dyDescent="0.2">
      <c r="A22" s="36"/>
      <c r="B22" s="28" t="s">
        <v>66</v>
      </c>
      <c r="C22" s="43" t="s">
        <v>1458</v>
      </c>
      <c r="D22" s="43"/>
      <c r="E22" s="12">
        <f>30000000+60000000</f>
        <v>90000000</v>
      </c>
      <c r="F22" s="22"/>
      <c r="G22" s="1"/>
      <c r="H22" s="1"/>
      <c r="J22" s="40">
        <v>28605096.25</v>
      </c>
      <c r="K22" s="154">
        <f>J22-E21</f>
        <v>-408004.40000000224</v>
      </c>
    </row>
    <row r="23" spans="1:15" s="2" customFormat="1" ht="14.25" customHeight="1" x14ac:dyDescent="0.25">
      <c r="A23" s="36"/>
      <c r="B23" s="28"/>
      <c r="C23" s="44" t="s">
        <v>1541</v>
      </c>
      <c r="D23" s="43"/>
      <c r="E23" s="7">
        <f>+E21+E22</f>
        <v>119013100.65000001</v>
      </c>
      <c r="F23" s="22"/>
      <c r="G23" s="1"/>
      <c r="H23" s="1"/>
      <c r="I23" s="13" t="s">
        <v>1582</v>
      </c>
      <c r="J23" s="13" t="s">
        <v>1583</v>
      </c>
    </row>
    <row r="24" spans="1:15" s="2" customFormat="1" ht="14.25" customHeight="1" x14ac:dyDescent="0.25">
      <c r="A24" s="36"/>
      <c r="B24" s="28"/>
      <c r="C24" s="44" t="s">
        <v>1511</v>
      </c>
      <c r="D24" s="43"/>
      <c r="E24" s="38">
        <f>+J11+I7-J7</f>
        <v>986899.35000000149</v>
      </c>
      <c r="F24" s="22"/>
      <c r="G24" s="1"/>
      <c r="H24" s="1"/>
      <c r="I24" s="2">
        <v>3109603</v>
      </c>
      <c r="J24" s="2">
        <v>2352563</v>
      </c>
      <c r="K24" s="176">
        <f>I24-J24</f>
        <v>757040</v>
      </c>
    </row>
    <row r="25" spans="1:15" s="2" customFormat="1" ht="14.25" customHeight="1" x14ac:dyDescent="0.2">
      <c r="A25" s="24"/>
      <c r="B25" s="1"/>
      <c r="C25" s="14"/>
      <c r="D25" s="25"/>
      <c r="G25" s="1"/>
      <c r="H25" s="1"/>
      <c r="J25" s="130"/>
      <c r="K25" s="130"/>
    </row>
    <row r="26" spans="1:15" s="2" customFormat="1" x14ac:dyDescent="0.2">
      <c r="A26" s="214" t="s">
        <v>10</v>
      </c>
      <c r="B26" s="214"/>
      <c r="C26" s="214"/>
      <c r="D26" s="214"/>
      <c r="E26" s="214"/>
      <c r="F26" s="214"/>
      <c r="G26" s="1"/>
      <c r="H26" s="1"/>
      <c r="I26" s="159"/>
      <c r="J26" s="160">
        <f>225000000-75000000-50000000</f>
        <v>100000000</v>
      </c>
      <c r="K26" s="160" t="s">
        <v>1506</v>
      </c>
      <c r="L26" s="70"/>
    </row>
    <row r="27" spans="1:15" s="2" customFormat="1" x14ac:dyDescent="0.2">
      <c r="A27" s="26" t="s">
        <v>1</v>
      </c>
      <c r="B27" s="27" t="s">
        <v>2</v>
      </c>
      <c r="C27" s="5"/>
      <c r="D27" s="6" t="s">
        <v>3</v>
      </c>
      <c r="E27" s="7" t="s">
        <v>4</v>
      </c>
      <c r="F27" s="7" t="s">
        <v>5</v>
      </c>
      <c r="G27" s="1"/>
      <c r="H27" s="1"/>
      <c r="I27" s="159"/>
      <c r="J27" s="160">
        <v>79507800.150000006</v>
      </c>
      <c r="K27" s="160" t="s">
        <v>1507</v>
      </c>
      <c r="L27" s="70" t="s">
        <v>1512</v>
      </c>
    </row>
    <row r="28" spans="1:15" s="2" customFormat="1" x14ac:dyDescent="0.2">
      <c r="A28" s="89">
        <v>45276</v>
      </c>
      <c r="B28" s="128" t="s">
        <v>11</v>
      </c>
      <c r="C28" s="29" t="s">
        <v>7</v>
      </c>
      <c r="D28" s="25"/>
      <c r="E28" s="31"/>
      <c r="F28" s="2">
        <v>90976766.280000001</v>
      </c>
      <c r="G28" s="23"/>
      <c r="H28" s="23"/>
      <c r="I28" s="159" t="s">
        <v>1505</v>
      </c>
      <c r="J28" s="160">
        <f>+J26-J27</f>
        <v>20492199.849999994</v>
      </c>
      <c r="K28" s="160"/>
      <c r="L28" s="70"/>
    </row>
    <row r="29" spans="1:15" s="2" customFormat="1" x14ac:dyDescent="0.2">
      <c r="A29" s="89">
        <v>45276</v>
      </c>
      <c r="B29" s="128" t="s">
        <v>6</v>
      </c>
      <c r="C29" s="29" t="s">
        <v>765</v>
      </c>
      <c r="D29" s="11" t="s">
        <v>13</v>
      </c>
      <c r="E29" s="86">
        <v>3114797.31</v>
      </c>
      <c r="F29" s="70"/>
      <c r="G29" s="1"/>
      <c r="H29" s="1"/>
      <c r="O29" s="1"/>
    </row>
    <row r="30" spans="1:15" s="2" customFormat="1" x14ac:dyDescent="0.2">
      <c r="A30" s="89">
        <v>45276</v>
      </c>
      <c r="B30" s="128" t="s">
        <v>6</v>
      </c>
      <c r="C30" s="29" t="s">
        <v>764</v>
      </c>
      <c r="D30" s="11" t="s">
        <v>13</v>
      </c>
      <c r="E30" s="86">
        <v>1692897.56</v>
      </c>
      <c r="F30" s="70"/>
      <c r="G30" s="1"/>
      <c r="H30" s="1"/>
      <c r="O30" s="1"/>
    </row>
    <row r="31" spans="1:15" s="2" customFormat="1" x14ac:dyDescent="0.2">
      <c r="A31" s="89">
        <v>45276</v>
      </c>
      <c r="B31" s="128" t="s">
        <v>6</v>
      </c>
      <c r="C31" s="29" t="s">
        <v>773</v>
      </c>
      <c r="D31" s="11" t="s">
        <v>13</v>
      </c>
      <c r="E31" s="86">
        <v>2492866.5299999998</v>
      </c>
      <c r="F31" s="70"/>
      <c r="G31" s="1"/>
      <c r="H31" s="1"/>
      <c r="O31" s="1"/>
    </row>
    <row r="32" spans="1:15" s="2" customFormat="1" x14ac:dyDescent="0.2">
      <c r="A32" s="89">
        <v>45276</v>
      </c>
      <c r="B32" s="128" t="s">
        <v>6</v>
      </c>
      <c r="C32" s="29" t="s">
        <v>758</v>
      </c>
      <c r="D32" s="11" t="s">
        <v>13</v>
      </c>
      <c r="E32" s="86">
        <v>664752.11</v>
      </c>
      <c r="F32" s="70"/>
      <c r="G32" s="1"/>
      <c r="H32" s="1"/>
      <c r="O32" s="1"/>
    </row>
    <row r="33" spans="1:15" s="2" customFormat="1" x14ac:dyDescent="0.2">
      <c r="A33" s="89">
        <v>45276</v>
      </c>
      <c r="B33" s="128" t="s">
        <v>6</v>
      </c>
      <c r="C33" s="29" t="s">
        <v>351</v>
      </c>
      <c r="D33" s="11" t="s">
        <v>13</v>
      </c>
      <c r="E33" s="86">
        <v>154762</v>
      </c>
      <c r="F33" s="70"/>
      <c r="G33" s="1"/>
      <c r="H33" s="1"/>
      <c r="O33" s="1"/>
    </row>
    <row r="34" spans="1:15" s="2" customFormat="1" x14ac:dyDescent="0.2">
      <c r="A34" s="89">
        <v>45276</v>
      </c>
      <c r="B34" s="128" t="s">
        <v>6</v>
      </c>
      <c r="C34" s="29" t="s">
        <v>1808</v>
      </c>
      <c r="D34" s="11" t="s">
        <v>13</v>
      </c>
      <c r="E34" s="86">
        <v>3530711</v>
      </c>
      <c r="F34" s="70"/>
      <c r="G34" s="1"/>
      <c r="H34" s="1"/>
      <c r="O34" s="1"/>
    </row>
    <row r="35" spans="1:15" s="2" customFormat="1" x14ac:dyDescent="0.2">
      <c r="A35" s="89">
        <v>45276</v>
      </c>
      <c r="B35" s="128" t="s">
        <v>6</v>
      </c>
      <c r="C35" s="29" t="s">
        <v>244</v>
      </c>
      <c r="D35" s="11" t="s">
        <v>13</v>
      </c>
      <c r="E35" s="86">
        <v>301972</v>
      </c>
      <c r="F35" s="70"/>
      <c r="G35" s="1"/>
      <c r="H35" s="1"/>
      <c r="O35" s="1"/>
    </row>
    <row r="36" spans="1:15" s="2" customFormat="1" x14ac:dyDescent="0.2">
      <c r="A36" s="89">
        <v>45276</v>
      </c>
      <c r="B36" s="128" t="s">
        <v>6</v>
      </c>
      <c r="C36" s="29" t="s">
        <v>425</v>
      </c>
      <c r="D36" s="11" t="s">
        <v>13</v>
      </c>
      <c r="E36" s="86">
        <v>19530</v>
      </c>
      <c r="F36" s="70"/>
      <c r="G36" s="1"/>
      <c r="H36" s="1"/>
      <c r="O36" s="1"/>
    </row>
    <row r="37" spans="1:15" s="2" customFormat="1" x14ac:dyDescent="0.2">
      <c r="A37" s="89">
        <v>45276</v>
      </c>
      <c r="B37" s="128" t="s">
        <v>6</v>
      </c>
      <c r="C37" s="29" t="s">
        <v>598</v>
      </c>
      <c r="D37" s="11" t="s">
        <v>13</v>
      </c>
      <c r="E37" s="86">
        <v>181916</v>
      </c>
      <c r="F37" s="70"/>
      <c r="G37" s="1"/>
      <c r="H37" s="1"/>
      <c r="O37" s="1"/>
    </row>
    <row r="38" spans="1:15" s="2" customFormat="1" x14ac:dyDescent="0.2">
      <c r="A38" s="89">
        <v>45276</v>
      </c>
      <c r="B38" s="128" t="s">
        <v>6</v>
      </c>
      <c r="C38" s="29" t="s">
        <v>317</v>
      </c>
      <c r="D38" s="11" t="s">
        <v>13</v>
      </c>
      <c r="E38" s="86">
        <v>97459</v>
      </c>
      <c r="F38" s="70"/>
      <c r="G38" s="1"/>
      <c r="H38" s="1"/>
      <c r="O38" s="1"/>
    </row>
    <row r="39" spans="1:15" s="2" customFormat="1" x14ac:dyDescent="0.2">
      <c r="A39" s="89">
        <v>45276</v>
      </c>
      <c r="B39" s="128" t="s">
        <v>6</v>
      </c>
      <c r="C39" s="29" t="s">
        <v>332</v>
      </c>
      <c r="D39" s="11" t="s">
        <v>13</v>
      </c>
      <c r="E39" s="86">
        <v>732822</v>
      </c>
      <c r="F39" s="70"/>
      <c r="G39" s="1"/>
      <c r="H39" s="1"/>
      <c r="O39" s="1"/>
    </row>
    <row r="40" spans="1:15" s="2" customFormat="1" x14ac:dyDescent="0.2">
      <c r="A40" s="89">
        <v>45276</v>
      </c>
      <c r="B40" s="128" t="s">
        <v>6</v>
      </c>
      <c r="C40" s="29" t="s">
        <v>27</v>
      </c>
      <c r="D40" s="11" t="s">
        <v>13</v>
      </c>
      <c r="E40" s="86">
        <v>92777</v>
      </c>
      <c r="F40" s="70"/>
      <c r="G40" s="1"/>
      <c r="H40" s="1"/>
      <c r="O40" s="1"/>
    </row>
    <row r="41" spans="1:15" s="2" customFormat="1" x14ac:dyDescent="0.2">
      <c r="A41" s="89">
        <v>45276</v>
      </c>
      <c r="B41" s="128" t="s">
        <v>6</v>
      </c>
      <c r="C41" s="29" t="s">
        <v>15</v>
      </c>
      <c r="D41" s="11" t="s">
        <v>13</v>
      </c>
      <c r="E41" s="86">
        <v>7973.8</v>
      </c>
      <c r="F41" s="70"/>
      <c r="G41" s="1"/>
      <c r="H41" s="1"/>
      <c r="O41" s="1"/>
    </row>
    <row r="42" spans="1:15" s="2" customFormat="1" x14ac:dyDescent="0.2">
      <c r="A42" s="89">
        <v>45276</v>
      </c>
      <c r="B42" s="128" t="s">
        <v>11</v>
      </c>
      <c r="C42" s="29" t="s">
        <v>64</v>
      </c>
      <c r="D42" s="11" t="s">
        <v>29</v>
      </c>
      <c r="E42" s="86"/>
      <c r="F42" s="70">
        <f>10335.62-1475</f>
        <v>8860.6200000000008</v>
      </c>
      <c r="G42" s="1"/>
      <c r="H42" s="1"/>
      <c r="O42" s="1"/>
    </row>
    <row r="43" spans="1:15" s="2" customFormat="1" x14ac:dyDescent="0.2">
      <c r="A43" s="89">
        <v>45276</v>
      </c>
      <c r="B43" s="128" t="s">
        <v>11</v>
      </c>
      <c r="C43" s="29" t="s">
        <v>15</v>
      </c>
      <c r="D43" s="11" t="s">
        <v>29</v>
      </c>
      <c r="E43" s="86"/>
      <c r="F43" s="70">
        <v>14190.56</v>
      </c>
      <c r="G43" s="1"/>
      <c r="H43" s="1"/>
      <c r="O43" s="1"/>
    </row>
    <row r="44" spans="1:15" s="2" customFormat="1" x14ac:dyDescent="0.2">
      <c r="A44" s="89">
        <v>45276</v>
      </c>
      <c r="B44" s="128" t="s">
        <v>11</v>
      </c>
      <c r="C44" s="29" t="s">
        <v>109</v>
      </c>
      <c r="D44" s="11" t="s">
        <v>29</v>
      </c>
      <c r="E44" s="86"/>
      <c r="F44" s="70">
        <v>836179</v>
      </c>
      <c r="G44" s="1"/>
      <c r="H44" s="1"/>
      <c r="O44" s="1"/>
    </row>
    <row r="45" spans="1:15" s="2" customFormat="1" x14ac:dyDescent="0.2">
      <c r="A45" s="32"/>
      <c r="B45" s="33"/>
      <c r="C45" s="14"/>
      <c r="D45" s="34"/>
      <c r="E45" s="16">
        <f>SUM(E28:E44)</f>
        <v>13085236.310000002</v>
      </c>
      <c r="F45" s="16">
        <f>SUM(F28:F44)</f>
        <v>91835996.460000008</v>
      </c>
      <c r="G45" s="1"/>
      <c r="H45" s="1"/>
      <c r="I45" s="1"/>
      <c r="J45" s="38">
        <v>78750760.150000006</v>
      </c>
      <c r="L45" s="92">
        <f>E46-J45</f>
        <v>0</v>
      </c>
      <c r="O45" s="1"/>
    </row>
    <row r="46" spans="1:15" s="2" customFormat="1" x14ac:dyDescent="0.2">
      <c r="A46" s="36"/>
      <c r="B46" s="28" t="s">
        <v>11</v>
      </c>
      <c r="C46" s="19" t="s">
        <v>65</v>
      </c>
      <c r="D46" s="37"/>
      <c r="E46" s="38">
        <f>F45-E45</f>
        <v>78750760.150000006</v>
      </c>
      <c r="F46" s="22"/>
      <c r="G46" s="1"/>
      <c r="H46" s="1"/>
      <c r="I46" s="1"/>
      <c r="J46" s="70"/>
      <c r="K46" s="70"/>
      <c r="L46" s="70"/>
      <c r="O46" s="1"/>
    </row>
    <row r="47" spans="1:15" s="2" customFormat="1" x14ac:dyDescent="0.2">
      <c r="A47" s="36"/>
      <c r="B47" s="28" t="s">
        <v>66</v>
      </c>
      <c r="C47" s="19" t="s">
        <v>67</v>
      </c>
      <c r="D47" s="37"/>
      <c r="E47" s="38">
        <v>0</v>
      </c>
      <c r="F47" s="22"/>
      <c r="G47" s="1"/>
      <c r="H47" s="1"/>
      <c r="I47" s="70"/>
      <c r="J47" s="70"/>
      <c r="K47" s="70"/>
      <c r="L47" s="70"/>
      <c r="O47" s="1"/>
    </row>
    <row r="48" spans="1:15" s="2" customFormat="1" x14ac:dyDescent="0.2">
      <c r="A48" s="36"/>
      <c r="B48" s="28" t="s">
        <v>66</v>
      </c>
      <c r="C48" s="43" t="s">
        <v>1457</v>
      </c>
      <c r="D48" s="43"/>
      <c r="E48" s="12">
        <f>275000000+75000000+50000000</f>
        <v>400000000</v>
      </c>
      <c r="F48" s="22"/>
      <c r="G48" s="1"/>
      <c r="H48" s="1"/>
      <c r="I48" s="70"/>
      <c r="J48" s="45">
        <v>848.81</v>
      </c>
      <c r="K48" s="46"/>
      <c r="L48" s="46"/>
      <c r="O48" s="1"/>
    </row>
    <row r="49" spans="1:15" s="2" customFormat="1" ht="15" x14ac:dyDescent="0.25">
      <c r="A49" s="36"/>
      <c r="B49" s="28"/>
      <c r="C49" s="44" t="s">
        <v>1541</v>
      </c>
      <c r="D49" s="43"/>
      <c r="E49" s="7">
        <f>+E48+E46+E47</f>
        <v>478750760.14999998</v>
      </c>
      <c r="F49" s="22"/>
      <c r="G49" s="1"/>
      <c r="H49" s="1"/>
      <c r="I49" s="103" t="s">
        <v>69</v>
      </c>
      <c r="J49" s="45">
        <v>-118.04</v>
      </c>
      <c r="K49" s="46"/>
      <c r="L49" s="46"/>
      <c r="O49" s="1"/>
    </row>
    <row r="50" spans="1:15" s="2" customFormat="1" ht="15" x14ac:dyDescent="0.25">
      <c r="A50" s="24"/>
      <c r="B50" s="1"/>
      <c r="C50" s="44" t="s">
        <v>1510</v>
      </c>
      <c r="D50" s="25"/>
      <c r="E50" s="156">
        <f>+J28-E47+I24-J24</f>
        <v>21249239.849999994</v>
      </c>
      <c r="G50" s="1"/>
      <c r="H50" s="1"/>
      <c r="I50" s="35">
        <v>1</v>
      </c>
      <c r="J50" s="45">
        <v>118.04</v>
      </c>
      <c r="K50" s="46">
        <f>+J51-D53</f>
        <v>0</v>
      </c>
      <c r="O50" s="1"/>
    </row>
    <row r="51" spans="1:15" s="124" customFormat="1" ht="12.75" customHeight="1" x14ac:dyDescent="0.2">
      <c r="A51" s="24"/>
      <c r="B51" s="1"/>
      <c r="C51" s="56"/>
      <c r="D51" s="56"/>
      <c r="E51" s="104"/>
      <c r="F51" s="2"/>
      <c r="G51" s="166"/>
      <c r="H51" s="166"/>
      <c r="I51" s="70"/>
      <c r="J51" s="49">
        <f>SUM(J48:J50)</f>
        <v>848.81</v>
      </c>
      <c r="K51" s="46"/>
      <c r="L51" s="46"/>
    </row>
    <row r="52" spans="1:15" s="124" customFormat="1" ht="12.75" customHeight="1" x14ac:dyDescent="0.2">
      <c r="A52" s="24"/>
      <c r="B52" s="1"/>
      <c r="C52" s="78" t="s">
        <v>575</v>
      </c>
      <c r="D52" s="48" t="s">
        <v>576</v>
      </c>
      <c r="E52" s="104"/>
      <c r="F52" s="2"/>
      <c r="G52" s="168"/>
      <c r="H52" s="168"/>
      <c r="I52" s="167"/>
      <c r="J52" s="167"/>
      <c r="K52" s="168"/>
    </row>
    <row r="53" spans="1:15" s="124" customFormat="1" ht="12.75" customHeight="1" x14ac:dyDescent="0.2">
      <c r="A53" s="24"/>
      <c r="B53" s="1"/>
      <c r="C53" s="47" t="s">
        <v>570</v>
      </c>
      <c r="D53" s="111">
        <v>848.81</v>
      </c>
      <c r="E53" s="104"/>
      <c r="F53" s="2"/>
      <c r="G53" s="168"/>
      <c r="H53" s="168"/>
      <c r="I53" s="110" t="s">
        <v>581</v>
      </c>
      <c r="J53" s="167"/>
      <c r="K53" s="168"/>
    </row>
    <row r="54" spans="1:15" s="124" customFormat="1" ht="12.75" customHeight="1" x14ac:dyDescent="0.2">
      <c r="A54" s="24"/>
      <c r="B54" s="1"/>
      <c r="C54" s="47" t="s">
        <v>931</v>
      </c>
      <c r="D54" s="111">
        <v>249.7</v>
      </c>
      <c r="E54" s="104"/>
      <c r="F54" s="2"/>
      <c r="G54" s="168"/>
      <c r="H54" s="168"/>
      <c r="I54" s="110" t="s">
        <v>580</v>
      </c>
      <c r="J54" s="167"/>
      <c r="K54" s="168"/>
    </row>
    <row r="55" spans="1:15" s="124" customFormat="1" ht="12.75" customHeight="1" x14ac:dyDescent="0.2">
      <c r="A55" s="24"/>
      <c r="B55" s="1"/>
      <c r="C55" s="47" t="s">
        <v>572</v>
      </c>
      <c r="D55" s="111">
        <f>+D81/100000</f>
        <v>274.718232</v>
      </c>
      <c r="E55" s="104"/>
      <c r="F55" s="2"/>
      <c r="G55" s="166"/>
      <c r="H55" s="166"/>
      <c r="I55" s="90" t="s">
        <v>587</v>
      </c>
      <c r="J55" s="167"/>
      <c r="K55" s="168"/>
    </row>
    <row r="56" spans="1:15" s="2" customFormat="1" x14ac:dyDescent="0.2">
      <c r="A56" s="24"/>
      <c r="B56" s="1"/>
      <c r="C56" s="108" t="s">
        <v>578</v>
      </c>
      <c r="D56" s="48">
        <f>SUM(D53:D55)</f>
        <v>1373.2282319999999</v>
      </c>
      <c r="E56" s="104"/>
      <c r="G56" s="30"/>
      <c r="H56" s="30"/>
      <c r="J56" s="13"/>
      <c r="K56" s="13"/>
    </row>
    <row r="57" spans="1:15" s="70" customFormat="1" x14ac:dyDescent="0.2">
      <c r="A57" s="24"/>
      <c r="B57" s="1"/>
      <c r="C57" s="47"/>
      <c r="D57" s="107"/>
      <c r="E57" s="104"/>
      <c r="F57" s="2"/>
      <c r="G57" s="30"/>
      <c r="H57" s="30"/>
      <c r="I57" s="2"/>
    </row>
    <row r="58" spans="1:15" s="70" customFormat="1" x14ac:dyDescent="0.2">
      <c r="A58" s="24"/>
      <c r="B58" s="1"/>
      <c r="C58" s="47" t="s">
        <v>932</v>
      </c>
      <c r="D58" s="111">
        <v>231.9</v>
      </c>
      <c r="E58" s="104"/>
      <c r="F58" s="2"/>
      <c r="G58" s="30"/>
      <c r="H58" s="30"/>
      <c r="I58" s="110" t="s">
        <v>581</v>
      </c>
    </row>
    <row r="59" spans="1:15" s="70" customFormat="1" x14ac:dyDescent="0.2">
      <c r="A59" s="24"/>
      <c r="B59" s="1"/>
      <c r="C59" s="136" t="s">
        <v>1142</v>
      </c>
      <c r="D59" s="111">
        <v>507.96</v>
      </c>
      <c r="E59" s="104"/>
      <c r="F59" s="2"/>
      <c r="G59" s="30"/>
      <c r="H59" s="30"/>
      <c r="I59" s="110" t="s">
        <v>581</v>
      </c>
    </row>
    <row r="60" spans="1:15" s="70" customFormat="1" x14ac:dyDescent="0.2">
      <c r="A60" s="24"/>
      <c r="B60" s="1"/>
      <c r="C60" s="78" t="s">
        <v>579</v>
      </c>
      <c r="D60" s="109">
        <f>D58+D59</f>
        <v>739.86</v>
      </c>
      <c r="E60" s="104"/>
      <c r="F60" s="2"/>
      <c r="G60" s="30"/>
      <c r="H60" s="30"/>
    </row>
    <row r="61" spans="1:15" s="70" customFormat="1" x14ac:dyDescent="0.2">
      <c r="A61" s="24"/>
      <c r="B61" s="1"/>
      <c r="C61" s="105"/>
      <c r="D61" s="106"/>
      <c r="E61" s="104"/>
      <c r="F61" s="2"/>
      <c r="G61" s="30"/>
      <c r="H61" s="30"/>
      <c r="J61" s="2"/>
      <c r="K61" s="221" t="str">
        <f>"FROM ( 01-12-2023 to "&amp;TEXT(A5,"dd-mm-yyyy")&amp;" )"</f>
        <v>FROM ( 01-12-2023 to 16-12-2023 )</v>
      </c>
      <c r="L61" s="221"/>
      <c r="M61" s="2"/>
      <c r="N61" s="2"/>
    </row>
    <row r="62" spans="1:15" s="70" customFormat="1" x14ac:dyDescent="0.2">
      <c r="A62" s="24"/>
      <c r="B62" s="1"/>
      <c r="C62" s="78" t="s">
        <v>577</v>
      </c>
      <c r="D62" s="109">
        <f>D53+D60</f>
        <v>1588.67</v>
      </c>
      <c r="E62" s="104"/>
      <c r="F62" s="2"/>
      <c r="G62" s="30"/>
      <c r="H62" s="30"/>
      <c r="J62" s="113"/>
      <c r="K62" s="113" t="s">
        <v>709</v>
      </c>
      <c r="L62" s="113" t="s">
        <v>710</v>
      </c>
      <c r="M62" s="113" t="s">
        <v>711</v>
      </c>
      <c r="N62" s="113" t="s">
        <v>712</v>
      </c>
    </row>
    <row r="63" spans="1:15" s="70" customFormat="1" x14ac:dyDescent="0.2">
      <c r="A63" s="24"/>
      <c r="B63" s="1"/>
      <c r="C63" s="56"/>
      <c r="D63" s="56"/>
      <c r="E63" s="104"/>
      <c r="F63" s="2"/>
      <c r="G63" s="30"/>
      <c r="H63" s="30"/>
      <c r="J63" s="113" t="s">
        <v>1860</v>
      </c>
      <c r="K63" s="115">
        <v>191.86</v>
      </c>
      <c r="L63" s="115">
        <v>93.65</v>
      </c>
      <c r="M63" s="115">
        <v>27.85</v>
      </c>
      <c r="N63" s="113">
        <f>+K63+M63-L63</f>
        <v>126.06</v>
      </c>
    </row>
    <row r="64" spans="1:15" s="70" customFormat="1" ht="38.25" x14ac:dyDescent="0.2">
      <c r="A64" s="24"/>
      <c r="B64" s="1"/>
      <c r="C64" s="79" t="str">
        <f>"Particulars ( 01-12-2023 to "&amp;TEXT(A5,"dd-mm-yyyy")&amp;" )"</f>
        <v>Particulars ( 01-12-2023 to 16-12-2023 )</v>
      </c>
      <c r="D64" s="79" t="s">
        <v>7</v>
      </c>
      <c r="E64" s="80" t="s">
        <v>73</v>
      </c>
      <c r="F64" s="80" t="s">
        <v>74</v>
      </c>
      <c r="G64" s="81" t="s">
        <v>75</v>
      </c>
      <c r="H64" s="80" t="s">
        <v>76</v>
      </c>
      <c r="J64" s="113" t="s">
        <v>1861</v>
      </c>
      <c r="K64" s="115">
        <v>1332.26</v>
      </c>
      <c r="L64" s="115">
        <v>282.07</v>
      </c>
      <c r="M64" s="115">
        <v>580.73</v>
      </c>
      <c r="N64" s="113">
        <f>+K64+M64-L64</f>
        <v>1630.92</v>
      </c>
    </row>
    <row r="65" spans="1:15" s="70" customFormat="1" x14ac:dyDescent="0.2">
      <c r="A65" s="24"/>
      <c r="B65" s="1"/>
      <c r="C65" s="50" t="s">
        <v>444</v>
      </c>
      <c r="D65" s="55">
        <f>+K65</f>
        <v>361.11</v>
      </c>
      <c r="E65" s="55">
        <f>+M65</f>
        <v>231.9</v>
      </c>
      <c r="F65" s="55">
        <f>+L65</f>
        <v>249.7</v>
      </c>
      <c r="G65" s="55">
        <f>+D65+E65-F65</f>
        <v>343.31</v>
      </c>
      <c r="H65" s="55">
        <f>1500-G65</f>
        <v>1156.69</v>
      </c>
      <c r="J65" s="113" t="s">
        <v>707</v>
      </c>
      <c r="K65" s="115">
        <v>361.11</v>
      </c>
      <c r="L65" s="115">
        <v>249.7</v>
      </c>
      <c r="M65" s="115">
        <v>231.9</v>
      </c>
      <c r="N65" s="113">
        <f>+K65+M65-L65</f>
        <v>343.31</v>
      </c>
    </row>
    <row r="66" spans="1:15" s="70" customFormat="1" ht="12.75" customHeight="1" x14ac:dyDescent="0.2">
      <c r="A66" s="24"/>
      <c r="B66" s="1"/>
      <c r="C66" s="50" t="s">
        <v>71</v>
      </c>
      <c r="D66" s="55">
        <f>+K63+K64</f>
        <v>1524.12</v>
      </c>
      <c r="E66" s="55">
        <f>+M63+M64</f>
        <v>608.58000000000004</v>
      </c>
      <c r="F66" s="55">
        <f>+L63+L64</f>
        <v>375.72</v>
      </c>
      <c r="G66" s="55">
        <f>+D66+E66-F66</f>
        <v>1756.9799999999998</v>
      </c>
      <c r="H66" s="55">
        <f>1500+700-G66</f>
        <v>443.02000000000021</v>
      </c>
      <c r="J66" s="2"/>
      <c r="K66" s="118">
        <f>SUM(K63:K65)</f>
        <v>1885.23</v>
      </c>
      <c r="L66" s="118">
        <f>SUM(L63:L65)</f>
        <v>625.42000000000007</v>
      </c>
      <c r="M66" s="118">
        <f>SUM(M63:M65)</f>
        <v>840.48</v>
      </c>
      <c r="N66" s="118">
        <f>SUM(N63:N65)</f>
        <v>2100.29</v>
      </c>
    </row>
    <row r="67" spans="1:15" s="70" customFormat="1" ht="12.75" customHeight="1" x14ac:dyDescent="0.2">
      <c r="A67" s="24"/>
      <c r="B67" s="1"/>
      <c r="C67" s="14"/>
      <c r="D67" s="56"/>
      <c r="E67" s="13"/>
      <c r="F67" s="2"/>
      <c r="G67" s="30"/>
      <c r="H67" s="30"/>
    </row>
    <row r="68" spans="1:15" s="70" customFormat="1" ht="12.75" customHeight="1" x14ac:dyDescent="0.2">
      <c r="A68" s="215" t="s">
        <v>80</v>
      </c>
      <c r="B68" s="216"/>
      <c r="C68" s="216"/>
      <c r="D68" s="217"/>
      <c r="E68" s="69"/>
      <c r="G68" s="30"/>
      <c r="H68" s="30"/>
    </row>
    <row r="69" spans="1:15" s="70" customFormat="1" ht="12.75" customHeight="1" x14ac:dyDescent="0.2">
      <c r="A69" s="71" t="s">
        <v>81</v>
      </c>
      <c r="B69" s="71"/>
      <c r="C69" s="72" t="s">
        <v>82</v>
      </c>
      <c r="D69" s="73" t="s">
        <v>83</v>
      </c>
      <c r="E69" s="69"/>
      <c r="G69" s="30"/>
      <c r="H69" s="30"/>
    </row>
    <row r="70" spans="1:15" s="70" customFormat="1" ht="12.75" customHeight="1" x14ac:dyDescent="0.2">
      <c r="A70" s="87">
        <v>45264</v>
      </c>
      <c r="B70" s="120" t="s">
        <v>6</v>
      </c>
      <c r="C70" s="75" t="s">
        <v>909</v>
      </c>
      <c r="D70" s="88">
        <v>13756945</v>
      </c>
      <c r="E70" s="2"/>
      <c r="F70" s="2"/>
      <c r="G70" s="30"/>
      <c r="H70" s="30"/>
      <c r="I70" s="2"/>
      <c r="J70" s="2"/>
      <c r="K70" s="2"/>
      <c r="L70" s="2"/>
      <c r="M70" s="41"/>
      <c r="N70" s="42"/>
      <c r="O70" s="2"/>
    </row>
    <row r="71" spans="1:15" s="70" customFormat="1" ht="12.75" customHeight="1" x14ac:dyDescent="0.2">
      <c r="A71" s="87">
        <v>45265</v>
      </c>
      <c r="B71" s="120" t="s">
        <v>6</v>
      </c>
      <c r="C71" s="75" t="s">
        <v>1552</v>
      </c>
      <c r="D71" s="88">
        <v>2152501.6</v>
      </c>
      <c r="E71" s="2"/>
      <c r="F71" s="2"/>
      <c r="G71" s="30"/>
      <c r="H71" s="30"/>
      <c r="I71" s="2"/>
      <c r="J71" s="2"/>
      <c r="K71" s="2"/>
      <c r="L71" s="2"/>
      <c r="M71" s="41"/>
      <c r="N71" s="42"/>
      <c r="O71" s="2"/>
    </row>
    <row r="72" spans="1:15" s="70" customFormat="1" ht="12.75" customHeight="1" x14ac:dyDescent="0.2">
      <c r="A72" s="87">
        <v>45267</v>
      </c>
      <c r="B72" s="120" t="s">
        <v>6</v>
      </c>
      <c r="C72" s="75" t="s">
        <v>784</v>
      </c>
      <c r="D72" s="88">
        <v>179811</v>
      </c>
      <c r="E72" s="2"/>
      <c r="F72" s="2"/>
      <c r="G72" s="30"/>
      <c r="H72" s="30"/>
      <c r="I72" s="2"/>
      <c r="J72" s="2"/>
      <c r="K72" s="2"/>
      <c r="L72" s="2"/>
      <c r="M72" s="41"/>
      <c r="N72" s="42"/>
      <c r="O72" s="2"/>
    </row>
    <row r="73" spans="1:15" s="70" customFormat="1" ht="12.75" customHeight="1" x14ac:dyDescent="0.2">
      <c r="A73" s="87">
        <v>45267</v>
      </c>
      <c r="B73" s="120" t="s">
        <v>6</v>
      </c>
      <c r="C73" s="75" t="s">
        <v>784</v>
      </c>
      <c r="D73" s="88">
        <v>302254</v>
      </c>
      <c r="E73" s="2"/>
      <c r="F73" s="2"/>
      <c r="G73" s="30"/>
      <c r="H73" s="30"/>
      <c r="I73" s="2"/>
      <c r="J73" s="2"/>
      <c r="K73" s="2"/>
      <c r="L73" s="2"/>
      <c r="M73" s="41"/>
      <c r="N73" s="42"/>
      <c r="O73" s="2"/>
    </row>
    <row r="74" spans="1:15" s="70" customFormat="1" ht="12.75" customHeight="1" x14ac:dyDescent="0.2">
      <c r="A74" s="87">
        <v>45268</v>
      </c>
      <c r="B74" s="120" t="s">
        <v>6</v>
      </c>
      <c r="C74" s="75" t="s">
        <v>1789</v>
      </c>
      <c r="D74" s="88">
        <v>4000249.47</v>
      </c>
      <c r="E74" s="2"/>
      <c r="F74" s="2"/>
      <c r="G74" s="30"/>
      <c r="H74" s="30"/>
      <c r="I74" s="2"/>
      <c r="J74" s="2"/>
      <c r="K74" s="2"/>
      <c r="L74" s="2"/>
      <c r="M74" s="41"/>
      <c r="N74" s="42"/>
      <c r="O74" s="2"/>
    </row>
    <row r="75" spans="1:15" s="70" customFormat="1" ht="12.75" customHeight="1" x14ac:dyDescent="0.2">
      <c r="A75" s="87">
        <v>45269</v>
      </c>
      <c r="B75" s="120" t="s">
        <v>6</v>
      </c>
      <c r="C75" s="75" t="s">
        <v>85</v>
      </c>
      <c r="D75" s="88">
        <v>96273</v>
      </c>
      <c r="E75" s="2"/>
      <c r="F75" s="2"/>
      <c r="G75" s="30"/>
      <c r="H75" s="30"/>
      <c r="I75" s="2"/>
      <c r="J75" s="2"/>
      <c r="K75" s="2"/>
      <c r="L75" s="2"/>
      <c r="M75" s="41"/>
      <c r="N75" s="42"/>
      <c r="O75" s="2"/>
    </row>
    <row r="76" spans="1:15" s="70" customFormat="1" ht="12.75" customHeight="1" x14ac:dyDescent="0.2">
      <c r="A76" s="87">
        <v>45269</v>
      </c>
      <c r="B76" s="120" t="s">
        <v>6</v>
      </c>
      <c r="C76" s="75" t="s">
        <v>270</v>
      </c>
      <c r="D76" s="88">
        <v>182684</v>
      </c>
      <c r="E76" s="2"/>
      <c r="F76" s="2"/>
      <c r="G76" s="30"/>
      <c r="H76" s="30"/>
      <c r="I76" s="2"/>
      <c r="J76" s="2"/>
      <c r="K76" s="2"/>
      <c r="L76" s="2"/>
      <c r="M76" s="41"/>
      <c r="N76" s="42"/>
      <c r="O76" s="2"/>
    </row>
    <row r="77" spans="1:15" s="70" customFormat="1" ht="12.75" customHeight="1" x14ac:dyDescent="0.2">
      <c r="A77" s="87">
        <v>45272</v>
      </c>
      <c r="B77" s="120" t="s">
        <v>6</v>
      </c>
      <c r="C77" s="75" t="s">
        <v>270</v>
      </c>
      <c r="D77" s="88">
        <v>687714</v>
      </c>
      <c r="E77" s="2"/>
      <c r="F77" s="2"/>
      <c r="G77" s="30"/>
      <c r="H77" s="30"/>
      <c r="I77" s="2"/>
      <c r="J77" s="2"/>
      <c r="K77" s="2"/>
      <c r="L77" s="2"/>
      <c r="M77" s="41"/>
      <c r="N77" s="42"/>
      <c r="O77" s="2"/>
    </row>
    <row r="78" spans="1:15" s="70" customFormat="1" ht="12.75" customHeight="1" x14ac:dyDescent="0.2">
      <c r="A78" s="87">
        <v>45272</v>
      </c>
      <c r="B78" s="120" t="s">
        <v>6</v>
      </c>
      <c r="C78" s="75" t="s">
        <v>1789</v>
      </c>
      <c r="D78" s="88">
        <v>1945116</v>
      </c>
      <c r="E78" s="2"/>
      <c r="F78" s="2"/>
      <c r="G78" s="30"/>
      <c r="H78" s="30"/>
      <c r="I78" s="2"/>
      <c r="J78" s="2"/>
      <c r="K78" s="2"/>
      <c r="L78" s="2"/>
      <c r="M78" s="41"/>
      <c r="N78" s="42"/>
      <c r="O78" s="2"/>
    </row>
    <row r="79" spans="1:15" s="70" customFormat="1" ht="12.75" customHeight="1" x14ac:dyDescent="0.2">
      <c r="A79" s="87">
        <v>45273</v>
      </c>
      <c r="B79" s="120" t="s">
        <v>6</v>
      </c>
      <c r="C79" s="75" t="s">
        <v>767</v>
      </c>
      <c r="D79" s="88">
        <v>167890</v>
      </c>
      <c r="E79" s="2"/>
      <c r="F79" s="2"/>
      <c r="G79" s="30"/>
      <c r="H79" s="30"/>
      <c r="I79" s="2"/>
      <c r="J79" s="2"/>
      <c r="K79" s="2"/>
      <c r="L79" s="2"/>
      <c r="M79" s="41"/>
      <c r="N79" s="42"/>
      <c r="O79" s="2"/>
    </row>
    <row r="80" spans="1:15" s="70" customFormat="1" ht="12.75" customHeight="1" x14ac:dyDescent="0.2">
      <c r="A80" s="87">
        <v>45274</v>
      </c>
      <c r="B80" s="120" t="s">
        <v>6</v>
      </c>
      <c r="C80" s="75" t="s">
        <v>1789</v>
      </c>
      <c r="D80" s="88">
        <v>4000385.13</v>
      </c>
      <c r="E80" s="2"/>
      <c r="F80" s="2"/>
      <c r="G80" s="30"/>
      <c r="H80" s="30"/>
      <c r="I80" s="2"/>
      <c r="J80" s="2"/>
      <c r="K80" s="2"/>
      <c r="L80" s="2"/>
      <c r="M80" s="41"/>
      <c r="N80" s="42"/>
      <c r="O80" s="2"/>
    </row>
    <row r="81" spans="1:14" s="2" customFormat="1" x14ac:dyDescent="0.2">
      <c r="A81" s="87"/>
      <c r="B81" s="74"/>
      <c r="C81" s="75"/>
      <c r="D81" s="51">
        <f>SUM(D70:D80)</f>
        <v>27471823.199999999</v>
      </c>
      <c r="F81" s="2" t="s">
        <v>396</v>
      </c>
      <c r="G81" s="1"/>
      <c r="H81" s="1"/>
    </row>
    <row r="82" spans="1:14" s="2" customFormat="1" x14ac:dyDescent="0.2">
      <c r="A82" s="24"/>
      <c r="B82" s="1"/>
      <c r="C82" s="14"/>
      <c r="D82" s="56"/>
      <c r="E82" s="13"/>
      <c r="G82" s="1"/>
      <c r="H82" s="1"/>
    </row>
    <row r="83" spans="1:14" s="2" customFormat="1" x14ac:dyDescent="0.2">
      <c r="A83" s="24"/>
      <c r="B83" s="1"/>
      <c r="C83" s="218" t="s">
        <v>77</v>
      </c>
      <c r="D83" s="219"/>
      <c r="E83" s="219"/>
      <c r="F83" s="220"/>
      <c r="I83" s="2" t="s">
        <v>396</v>
      </c>
    </row>
    <row r="84" spans="1:14" s="2" customFormat="1" x14ac:dyDescent="0.2">
      <c r="A84" s="24"/>
      <c r="B84" s="1"/>
      <c r="C84" s="50"/>
      <c r="D84" s="57" t="s">
        <v>78</v>
      </c>
      <c r="E84" s="58" t="s">
        <v>79</v>
      </c>
      <c r="F84" s="57" t="s">
        <v>72</v>
      </c>
      <c r="I84" s="2" t="s">
        <v>396</v>
      </c>
    </row>
    <row r="85" spans="1:14" s="2" customFormat="1" x14ac:dyDescent="0.2">
      <c r="A85" s="24"/>
      <c r="B85" s="1"/>
      <c r="C85" s="59" t="str">
        <f>"01-12-2023 to "&amp;TEXT(A5-2,"dd-mm-yyyy")</f>
        <v>01-12-2023 to 14-12-2023</v>
      </c>
      <c r="D85" s="60">
        <v>1033.96</v>
      </c>
      <c r="E85" s="60">
        <v>342.39</v>
      </c>
      <c r="F85" s="61">
        <f>SUM(D85:E85)</f>
        <v>1376.35</v>
      </c>
    </row>
    <row r="86" spans="1:14" s="2" customFormat="1" x14ac:dyDescent="0.2">
      <c r="A86" s="24"/>
      <c r="B86" s="1"/>
      <c r="C86" s="62" t="str">
        <f>TEXT(A5-1,"dd-mm-yyyy")</f>
        <v>15-12-2023</v>
      </c>
      <c r="D86" s="60">
        <v>20.309999999999999</v>
      </c>
      <c r="E86" s="60">
        <v>6.34</v>
      </c>
      <c r="F86" s="61">
        <f>SUM(D86:E86)</f>
        <v>26.65</v>
      </c>
      <c r="G86" s="1"/>
      <c r="H86" s="1"/>
      <c r="I86" s="53"/>
    </row>
    <row r="87" spans="1:14" s="2" customFormat="1" ht="13.5" thickBot="1" x14ac:dyDescent="0.25">
      <c r="A87" s="24"/>
      <c r="B87" s="1"/>
      <c r="C87" s="63" t="str">
        <f>"01-12-2023 to "&amp;TEXT(A5-1,"dd-mm-yyyy")</f>
        <v>01-12-2023 to 15-12-2023</v>
      </c>
      <c r="D87" s="64">
        <f>SUM(D85:D86)</f>
        <v>1054.27</v>
      </c>
      <c r="E87" s="64">
        <f>SUM(E85:E86)</f>
        <v>348.72999999999996</v>
      </c>
      <c r="F87" s="64">
        <f>SUM(F85:F86)</f>
        <v>1403</v>
      </c>
      <c r="G87" s="1"/>
      <c r="H87" s="1"/>
      <c r="I87" s="53"/>
    </row>
    <row r="88" spans="1:14" s="2" customFormat="1" ht="13.5" thickTop="1" x14ac:dyDescent="0.2">
      <c r="A88" s="24"/>
      <c r="B88" s="1"/>
      <c r="C88" s="62"/>
      <c r="D88" s="65"/>
      <c r="E88" s="66"/>
      <c r="F88" s="67"/>
      <c r="M88" s="1"/>
      <c r="N88" s="1"/>
    </row>
    <row r="89" spans="1:14" s="2" customFormat="1" x14ac:dyDescent="0.2">
      <c r="A89" s="24"/>
      <c r="B89" s="1"/>
      <c r="C89" s="62" t="str">
        <f>"01-04-2023 to " &amp;C86</f>
        <v>01-04-2023 to 15-12-2023</v>
      </c>
      <c r="D89" s="68">
        <f>+D87+32234.22</f>
        <v>33288.49</v>
      </c>
      <c r="E89" s="68">
        <f>+E87+3134.59</f>
        <v>3483.32</v>
      </c>
      <c r="F89" s="68">
        <f>+F87+35368.81</f>
        <v>36771.81</v>
      </c>
      <c r="G89" s="1"/>
      <c r="H89" s="1"/>
      <c r="M89" s="1"/>
      <c r="N89" s="1"/>
    </row>
    <row r="90" spans="1:14" s="2" customFormat="1" x14ac:dyDescent="0.2">
      <c r="A90" s="24"/>
      <c r="B90" s="1"/>
      <c r="C90" s="52"/>
      <c r="D90" s="85"/>
      <c r="E90" s="53"/>
      <c r="F90" s="53"/>
      <c r="G90" s="1"/>
      <c r="H90" s="1"/>
      <c r="M90" s="1"/>
      <c r="N90" s="1"/>
    </row>
    <row r="91" spans="1:14" s="2" customFormat="1" x14ac:dyDescent="0.2">
      <c r="A91" s="24"/>
      <c r="B91" s="1"/>
      <c r="C91" s="52"/>
      <c r="D91" s="85"/>
      <c r="E91" s="53"/>
      <c r="F91" s="53"/>
      <c r="G91" s="1"/>
      <c r="H91" s="1"/>
      <c r="M91" s="1"/>
      <c r="N91" s="1"/>
    </row>
    <row r="92" spans="1:14" s="2" customFormat="1" x14ac:dyDescent="0.2">
      <c r="A92" s="24"/>
      <c r="B92" s="1"/>
      <c r="C92" s="52"/>
      <c r="D92" s="85"/>
      <c r="E92" s="53"/>
      <c r="F92" s="53"/>
      <c r="G92" s="1"/>
      <c r="H92" s="1"/>
      <c r="M92" s="1"/>
      <c r="N92" s="1"/>
    </row>
    <row r="93" spans="1:14" s="2" customFormat="1" x14ac:dyDescent="0.2">
      <c r="A93" s="24"/>
      <c r="B93" s="1"/>
      <c r="C93" s="52"/>
      <c r="D93" s="85"/>
      <c r="E93" s="53"/>
      <c r="F93" s="53"/>
      <c r="G93" s="1"/>
      <c r="H93" s="1"/>
      <c r="M93" s="1"/>
      <c r="N93" s="1"/>
    </row>
    <row r="94" spans="1:14" s="2" customFormat="1" x14ac:dyDescent="0.2">
      <c r="A94" s="24"/>
      <c r="B94" s="1"/>
      <c r="C94" s="14"/>
      <c r="D94" s="25">
        <f>SUM(D91:D93)</f>
        <v>0</v>
      </c>
      <c r="E94" s="2">
        <f>SUM(E91:E93)</f>
        <v>0</v>
      </c>
      <c r="G94" s="1"/>
      <c r="H94" s="1"/>
      <c r="M94" s="1"/>
      <c r="N94" s="1"/>
    </row>
    <row r="95" spans="1:14" s="2" customFormat="1" x14ac:dyDescent="0.2">
      <c r="A95" s="24"/>
      <c r="B95" s="1"/>
      <c r="C95" s="14"/>
      <c r="D95" s="25"/>
      <c r="G95" s="1"/>
      <c r="H95" s="1"/>
      <c r="M95" s="1"/>
      <c r="N95" s="1"/>
    </row>
    <row r="96" spans="1:14" s="2" customFormat="1" x14ac:dyDescent="0.2">
      <c r="A96" s="24"/>
      <c r="B96" s="1"/>
      <c r="C96" s="14"/>
      <c r="D96" s="25"/>
      <c r="G96" s="1"/>
      <c r="H96" s="1"/>
      <c r="M96" s="1"/>
      <c r="N96" s="1"/>
    </row>
    <row r="97" spans="1:14" s="2" customFormat="1" x14ac:dyDescent="0.2">
      <c r="A97" s="24"/>
      <c r="B97" s="1"/>
      <c r="C97" s="14"/>
      <c r="D97" s="25"/>
      <c r="G97" s="1"/>
      <c r="H97" s="1"/>
      <c r="M97" s="1"/>
      <c r="N97" s="1"/>
    </row>
    <row r="98" spans="1:14" s="2" customFormat="1" x14ac:dyDescent="0.2">
      <c r="A98" s="24"/>
      <c r="B98" s="1"/>
      <c r="C98" s="14"/>
      <c r="D98" s="25"/>
      <c r="G98" s="1"/>
      <c r="H98" s="1"/>
      <c r="M98" s="1"/>
      <c r="N98" s="1"/>
    </row>
    <row r="99" spans="1:14" s="2" customFormat="1" x14ac:dyDescent="0.2">
      <c r="A99" s="24"/>
      <c r="B99" s="1"/>
      <c r="C99" s="14"/>
      <c r="D99" s="25"/>
      <c r="G99" s="1"/>
      <c r="H99" s="1"/>
      <c r="M99" s="1"/>
      <c r="N99" s="1"/>
    </row>
    <row r="100" spans="1:14" s="2" customFormat="1" x14ac:dyDescent="0.2">
      <c r="A100" s="24"/>
      <c r="B100" s="1"/>
      <c r="C100" s="14"/>
      <c r="D100" s="25"/>
      <c r="G100" s="1"/>
      <c r="H100" s="1"/>
      <c r="M100" s="1"/>
      <c r="N100" s="1"/>
    </row>
    <row r="101" spans="1:14" s="2" customFormat="1" x14ac:dyDescent="0.2">
      <c r="A101" s="24"/>
      <c r="B101" s="1"/>
      <c r="C101" s="14"/>
      <c r="D101" s="25"/>
      <c r="G101" s="1"/>
      <c r="H101" s="1"/>
      <c r="M101" s="1"/>
      <c r="N101" s="1"/>
    </row>
    <row r="102" spans="1:14" s="2" customFormat="1" x14ac:dyDescent="0.2">
      <c r="A102" s="24"/>
      <c r="B102" s="1"/>
      <c r="C102" s="14"/>
      <c r="D102" s="25"/>
      <c r="G102" s="1"/>
      <c r="H102" s="1"/>
      <c r="M102" s="1"/>
      <c r="N102" s="1"/>
    </row>
    <row r="103" spans="1:14" s="2" customFormat="1" x14ac:dyDescent="0.2">
      <c r="A103" s="24"/>
      <c r="B103" s="1"/>
      <c r="C103" s="14"/>
      <c r="D103" s="25"/>
      <c r="G103" s="1"/>
      <c r="H103" s="1"/>
      <c r="M103" s="1"/>
      <c r="N103" s="1"/>
    </row>
    <row r="104" spans="1:14" s="2" customFormat="1" x14ac:dyDescent="0.2">
      <c r="A104" s="24"/>
      <c r="B104" s="1"/>
      <c r="C104" s="14"/>
      <c r="D104" s="25"/>
      <c r="G104" s="1"/>
      <c r="H104" s="1"/>
      <c r="M104" s="1"/>
      <c r="N104" s="1"/>
    </row>
    <row r="105" spans="1:14" s="2" customFormat="1" x14ac:dyDescent="0.2">
      <c r="A105" s="24"/>
      <c r="B105" s="1"/>
      <c r="C105" s="14"/>
      <c r="D105" s="25"/>
      <c r="G105" s="1"/>
      <c r="H105" s="1"/>
      <c r="M105" s="1"/>
      <c r="N105" s="1"/>
    </row>
    <row r="106" spans="1:14" s="2" customFormat="1" x14ac:dyDescent="0.2">
      <c r="A106" s="24"/>
      <c r="B106" s="1"/>
      <c r="C106" s="14"/>
      <c r="D106" s="25"/>
      <c r="G106" s="1"/>
      <c r="H106" s="1"/>
      <c r="M106" s="1"/>
      <c r="N106" s="1"/>
    </row>
    <row r="107" spans="1:14" s="2" customFormat="1" x14ac:dyDescent="0.2">
      <c r="A107" s="24"/>
      <c r="B107" s="1"/>
      <c r="C107" s="14"/>
      <c r="D107" s="25"/>
      <c r="G107" s="1"/>
      <c r="H107" s="1"/>
      <c r="M107" s="1"/>
      <c r="N107" s="1"/>
    </row>
    <row r="108" spans="1:14" s="2" customFormat="1" x14ac:dyDescent="0.2">
      <c r="A108" s="24"/>
      <c r="B108" s="1"/>
      <c r="C108" s="14"/>
      <c r="D108" s="25"/>
      <c r="G108" s="1"/>
      <c r="H108" s="1"/>
      <c r="J108" s="1"/>
      <c r="K108" s="1"/>
      <c r="L108" s="1"/>
      <c r="M108" s="1"/>
      <c r="N108" s="1"/>
    </row>
    <row r="109" spans="1:14" s="2" customFormat="1" x14ac:dyDescent="0.2">
      <c r="A109" s="24"/>
      <c r="B109" s="1"/>
      <c r="C109" s="14"/>
      <c r="D109" s="25"/>
      <c r="G109" s="1"/>
      <c r="H109" s="1"/>
    </row>
    <row r="110" spans="1:14" s="2" customFormat="1" x14ac:dyDescent="0.2">
      <c r="A110" s="24"/>
      <c r="B110" s="1"/>
      <c r="C110" s="14"/>
      <c r="D110" s="25"/>
      <c r="G110" s="1"/>
      <c r="H110" s="1"/>
      <c r="J110" s="1"/>
      <c r="K110" s="1"/>
      <c r="L110" s="1"/>
      <c r="M110" s="1"/>
      <c r="N110" s="1"/>
    </row>
    <row r="111" spans="1:14" s="2" customFormat="1" x14ac:dyDescent="0.2">
      <c r="A111" s="24"/>
      <c r="B111" s="1"/>
      <c r="C111" s="14"/>
      <c r="D111" s="25"/>
      <c r="G111" s="54"/>
      <c r="H111" s="54"/>
      <c r="J111" s="1"/>
      <c r="K111" s="1"/>
      <c r="L111" s="1"/>
      <c r="M111" s="1"/>
      <c r="N111" s="1"/>
    </row>
    <row r="112" spans="1:14" s="2" customFormat="1" x14ac:dyDescent="0.2">
      <c r="A112" s="24"/>
      <c r="B112" s="1"/>
      <c r="C112" s="14"/>
      <c r="D112" s="25"/>
      <c r="G112" s="54"/>
      <c r="H112" s="54"/>
      <c r="J112" s="1"/>
      <c r="K112" s="1"/>
      <c r="L112" s="1"/>
      <c r="M112" s="1"/>
      <c r="N112" s="1"/>
    </row>
    <row r="113" spans="1:15" s="2" customFormat="1" x14ac:dyDescent="0.2">
      <c r="A113" s="24"/>
      <c r="B113" s="1"/>
      <c r="C113" s="14"/>
      <c r="D113" s="25"/>
      <c r="G113" s="54"/>
      <c r="H113" s="54"/>
      <c r="J113" s="1"/>
      <c r="K113" s="1"/>
      <c r="L113" s="1"/>
      <c r="M113" s="1"/>
      <c r="N113" s="1"/>
    </row>
    <row r="114" spans="1:15" s="2" customFormat="1" x14ac:dyDescent="0.2">
      <c r="A114" s="24"/>
      <c r="B114" s="1"/>
      <c r="C114" s="14"/>
      <c r="D114" s="25"/>
      <c r="G114" s="54"/>
      <c r="H114" s="54"/>
      <c r="I114" s="2" t="s">
        <v>396</v>
      </c>
      <c r="J114" s="1"/>
      <c r="K114" s="1"/>
      <c r="L114" s="1"/>
      <c r="M114" s="1"/>
      <c r="N114" s="1"/>
      <c r="O114" s="1"/>
    </row>
    <row r="115" spans="1:15" s="2" customFormat="1" x14ac:dyDescent="0.2">
      <c r="A115" s="24"/>
      <c r="B115" s="1"/>
      <c r="C115" s="14"/>
      <c r="D115" s="25"/>
      <c r="G115" s="54"/>
      <c r="H115" s="54"/>
      <c r="I115" s="53"/>
    </row>
    <row r="116" spans="1:15" s="2" customFormat="1" x14ac:dyDescent="0.2">
      <c r="A116" s="24"/>
      <c r="B116" s="1"/>
      <c r="C116" s="14"/>
      <c r="D116" s="25"/>
      <c r="G116" s="54"/>
      <c r="H116" s="54"/>
      <c r="I116" s="53" t="s">
        <v>396</v>
      </c>
      <c r="J116" s="1"/>
      <c r="K116" s="1"/>
      <c r="L116" s="1"/>
      <c r="M116" s="1"/>
      <c r="N116" s="1"/>
      <c r="O116" s="1"/>
    </row>
    <row r="117" spans="1:15" x14ac:dyDescent="0.2">
      <c r="G117" s="54"/>
      <c r="H117" s="54"/>
      <c r="I117" s="53" t="s">
        <v>396</v>
      </c>
      <c r="K117" s="42"/>
    </row>
    <row r="118" spans="1:15" s="2" customFormat="1" x14ac:dyDescent="0.2">
      <c r="A118" s="24"/>
      <c r="B118" s="1"/>
      <c r="C118" s="14"/>
      <c r="D118" s="25"/>
      <c r="G118" s="54"/>
      <c r="H118" s="54"/>
      <c r="I118" s="53"/>
      <c r="J118" s="101"/>
      <c r="K118" s="1"/>
      <c r="L118" s="1"/>
      <c r="M118" s="1"/>
      <c r="N118" s="1"/>
      <c r="O118" s="1"/>
    </row>
    <row r="119" spans="1:15" x14ac:dyDescent="0.2">
      <c r="G119" s="54"/>
      <c r="H119" s="54"/>
      <c r="I119" s="53"/>
    </row>
    <row r="120" spans="1:15" x14ac:dyDescent="0.2">
      <c r="G120" s="54"/>
      <c r="H120" s="54"/>
      <c r="I120" s="53"/>
    </row>
    <row r="121" spans="1:15" x14ac:dyDescent="0.2">
      <c r="G121" s="54"/>
      <c r="H121" s="54"/>
      <c r="I121" s="53"/>
    </row>
  </sheetData>
  <sheetProtection insertRows="0"/>
  <mergeCells count="7">
    <mergeCell ref="K61:L61"/>
    <mergeCell ref="A68:D68"/>
    <mergeCell ref="C83:F83"/>
    <mergeCell ref="A1:H1"/>
    <mergeCell ref="A3:F3"/>
    <mergeCell ref="A9:F9"/>
    <mergeCell ref="A26:F26"/>
  </mergeCells>
  <conditionalFormatting sqref="H65:H66">
    <cfRule type="cellIs" dxfId="171" priority="1" operator="lessThan">
      <formula>0</formula>
    </cfRule>
  </conditionalFormatting>
  <conditionalFormatting sqref="C28">
    <cfRule type="duplicateValues" dxfId="170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D00-000000000000}">
  <sheetPr codeName="Sheet501">
    <pageSetUpPr fitToPage="1"/>
  </sheetPr>
  <dimension ref="A1:O145"/>
  <sheetViews>
    <sheetView zoomScaleNormal="100" workbookViewId="0">
      <selection activeCell="H13" sqref="H13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12.85546875" style="1" customWidth="1"/>
    <col min="9" max="9" width="24.85546875" style="2" bestFit="1" customWidth="1"/>
    <col min="10" max="10" width="21.5703125" style="1" bestFit="1" customWidth="1"/>
    <col min="11" max="11" width="16.85546875" style="1" bestFit="1" customWidth="1"/>
    <col min="12" max="12" width="17.28515625" style="1" bestFit="1" customWidth="1"/>
    <col min="13" max="13" width="13.5703125" style="1" bestFit="1" customWidth="1"/>
    <col min="14" max="14" width="17.42578125" style="1" bestFit="1" customWidth="1"/>
    <col min="15" max="15" width="12.85546875" style="1" bestFit="1" customWidth="1"/>
    <col min="16" max="17" width="9.140625" style="1"/>
    <col min="18" max="18" width="15.5703125" style="1" bestFit="1" customWidth="1"/>
    <col min="19" max="16384" width="9.140625" style="1"/>
  </cols>
  <sheetData>
    <row r="1" spans="1:12" ht="20.25" customHeight="1" x14ac:dyDescent="0.4">
      <c r="A1" s="212" t="s">
        <v>1877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2" ht="12.75" customHeight="1" x14ac:dyDescent="0.4">
      <c r="I2" s="112"/>
      <c r="J2" s="112"/>
    </row>
    <row r="3" spans="1:12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2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2" s="2" customFormat="1" ht="14.25" customHeight="1" x14ac:dyDescent="0.4">
      <c r="A5" s="89">
        <v>45279</v>
      </c>
      <c r="B5" s="9" t="s">
        <v>6</v>
      </c>
      <c r="C5" s="10" t="s">
        <v>7</v>
      </c>
      <c r="D5" s="11"/>
      <c r="E5" s="12">
        <v>806052.23000000045</v>
      </c>
      <c r="F5" s="12"/>
      <c r="G5" s="1"/>
      <c r="H5" s="1"/>
      <c r="I5" s="112"/>
      <c r="J5" s="112"/>
    </row>
    <row r="6" spans="1:12" s="2" customFormat="1" ht="12.75" customHeight="1" x14ac:dyDescent="0.2">
      <c r="D6" s="15" t="s">
        <v>8</v>
      </c>
      <c r="E6" s="16">
        <f>SUM(E5:E5)</f>
        <v>806052.23000000045</v>
      </c>
      <c r="F6" s="16">
        <f>F5</f>
        <v>0</v>
      </c>
      <c r="G6" s="1"/>
      <c r="H6" s="1"/>
      <c r="I6" s="13" t="s">
        <v>1582</v>
      </c>
      <c r="J6" s="13" t="s">
        <v>1583</v>
      </c>
    </row>
    <row r="7" spans="1:12" s="2" customFormat="1" ht="12.75" customHeight="1" x14ac:dyDescent="0.2">
      <c r="A7" s="17"/>
      <c r="B7" s="18"/>
      <c r="C7" s="19" t="s">
        <v>9</v>
      </c>
      <c r="D7" s="20"/>
      <c r="E7" s="21">
        <f>+E6-F6</f>
        <v>806052.23000000045</v>
      </c>
      <c r="F7" s="22"/>
      <c r="G7" s="23"/>
      <c r="H7" s="23"/>
      <c r="I7" s="2">
        <v>0</v>
      </c>
      <c r="J7" s="2">
        <v>0</v>
      </c>
      <c r="K7" s="176">
        <f>I7-J7</f>
        <v>0</v>
      </c>
    </row>
    <row r="8" spans="1:12" ht="12.75" customHeight="1" x14ac:dyDescent="0.4">
      <c r="I8" s="112"/>
      <c r="J8" s="112"/>
    </row>
    <row r="9" spans="1:12" ht="18" customHeight="1" x14ac:dyDescent="0.4">
      <c r="A9" s="213" t="s">
        <v>1037</v>
      </c>
      <c r="B9" s="213"/>
      <c r="C9" s="213"/>
      <c r="D9" s="213"/>
      <c r="E9" s="213"/>
      <c r="F9" s="213"/>
      <c r="I9" s="112"/>
      <c r="J9" s="169">
        <f>90000000-60000000</f>
        <v>30000000</v>
      </c>
      <c r="K9" s="169" t="s">
        <v>1508</v>
      </c>
    </row>
    <row r="10" spans="1:12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I10" s="112"/>
      <c r="J10" s="169">
        <v>29717720.670000002</v>
      </c>
      <c r="K10" s="169" t="s">
        <v>1509</v>
      </c>
      <c r="L10" s="124"/>
    </row>
    <row r="11" spans="1:12" s="2" customFormat="1" ht="14.25" customHeight="1" x14ac:dyDescent="0.2">
      <c r="A11" s="89">
        <v>45279</v>
      </c>
      <c r="B11" s="9" t="s">
        <v>6</v>
      </c>
      <c r="C11" s="10" t="s">
        <v>7</v>
      </c>
      <c r="D11" s="11"/>
      <c r="F11" s="12">
        <v>28011196.650000002</v>
      </c>
      <c r="G11" s="1"/>
      <c r="H11" s="1"/>
      <c r="I11" s="130" t="s">
        <v>396</v>
      </c>
      <c r="J11" s="169">
        <f>+J9-J10</f>
        <v>282279.32999999821</v>
      </c>
      <c r="K11" s="169" t="s">
        <v>712</v>
      </c>
      <c r="L11" s="165" t="s">
        <v>1512</v>
      </c>
    </row>
    <row r="12" spans="1:12" s="2" customFormat="1" ht="14.25" customHeight="1" x14ac:dyDescent="0.2">
      <c r="A12" s="89">
        <v>45279</v>
      </c>
      <c r="B12" s="9" t="s">
        <v>6</v>
      </c>
      <c r="C12" s="76" t="s">
        <v>1137</v>
      </c>
      <c r="D12" s="11" t="s">
        <v>13</v>
      </c>
      <c r="E12" s="31">
        <v>24578.25</v>
      </c>
      <c r="F12" s="31"/>
      <c r="G12" s="1"/>
      <c r="H12" s="1"/>
      <c r="I12" s="130"/>
      <c r="J12" s="169"/>
      <c r="K12" s="169"/>
      <c r="L12" s="165"/>
    </row>
    <row r="13" spans="1:12" s="2" customFormat="1" ht="14.25" customHeight="1" x14ac:dyDescent="0.2">
      <c r="A13" s="89">
        <v>45279</v>
      </c>
      <c r="B13" s="9" t="s">
        <v>11</v>
      </c>
      <c r="C13" s="76" t="s">
        <v>98</v>
      </c>
      <c r="D13" s="11" t="s">
        <v>29</v>
      </c>
      <c r="E13" s="31"/>
      <c r="F13" s="31">
        <v>8740</v>
      </c>
      <c r="G13" s="1"/>
      <c r="H13" s="1"/>
      <c r="I13" s="130"/>
      <c r="J13" s="169"/>
      <c r="K13" s="169"/>
      <c r="L13" s="165"/>
    </row>
    <row r="14" spans="1:12" s="2" customFormat="1" ht="14.25" customHeight="1" x14ac:dyDescent="0.2">
      <c r="A14" s="89">
        <v>45279</v>
      </c>
      <c r="B14" s="9" t="s">
        <v>11</v>
      </c>
      <c r="C14" s="76" t="s">
        <v>1878</v>
      </c>
      <c r="D14" s="11" t="s">
        <v>29</v>
      </c>
      <c r="E14" s="31"/>
      <c r="F14" s="31">
        <v>424800</v>
      </c>
      <c r="G14" s="1"/>
      <c r="H14" s="1"/>
      <c r="I14" s="130"/>
      <c r="J14" s="169"/>
      <c r="K14" s="169"/>
      <c r="L14" s="165"/>
    </row>
    <row r="15" spans="1:12" s="2" customFormat="1" ht="14.25" customHeight="1" x14ac:dyDescent="0.2">
      <c r="A15" s="89">
        <v>45279</v>
      </c>
      <c r="B15" s="9" t="s">
        <v>11</v>
      </c>
      <c r="C15" s="76" t="s">
        <v>1672</v>
      </c>
      <c r="D15" s="11" t="s">
        <v>29</v>
      </c>
      <c r="E15" s="31"/>
      <c r="F15" s="31">
        <v>13274</v>
      </c>
      <c r="G15" s="1"/>
      <c r="H15" s="1"/>
      <c r="I15" s="130"/>
      <c r="J15" s="169"/>
      <c r="K15" s="169"/>
      <c r="L15" s="165"/>
    </row>
    <row r="16" spans="1:12" s="2" customFormat="1" ht="14.25" customHeight="1" x14ac:dyDescent="0.2">
      <c r="A16" s="89">
        <v>45279</v>
      </c>
      <c r="B16" s="9" t="s">
        <v>11</v>
      </c>
      <c r="C16" s="76" t="s">
        <v>1035</v>
      </c>
      <c r="D16" s="11" t="s">
        <v>29</v>
      </c>
      <c r="E16" s="31"/>
      <c r="F16" s="31">
        <v>54280</v>
      </c>
      <c r="G16" s="1"/>
      <c r="H16" s="1"/>
      <c r="I16" s="130"/>
      <c r="J16" s="169"/>
      <c r="K16" s="169"/>
      <c r="L16" s="165"/>
    </row>
    <row r="17" spans="1:14" s="2" customFormat="1" ht="14.25" customHeight="1" x14ac:dyDescent="0.2">
      <c r="A17" s="89">
        <v>45279</v>
      </c>
      <c r="B17" s="9" t="s">
        <v>11</v>
      </c>
      <c r="C17" s="76" t="s">
        <v>1879</v>
      </c>
      <c r="D17" s="11" t="s">
        <v>29</v>
      </c>
      <c r="E17" s="31"/>
      <c r="F17" s="31">
        <v>4838.3999999999996</v>
      </c>
      <c r="G17" s="1"/>
      <c r="H17" s="1"/>
      <c r="I17" s="130"/>
      <c r="J17" s="169"/>
      <c r="K17" s="169"/>
      <c r="L17" s="165"/>
    </row>
    <row r="18" spans="1:14" s="2" customFormat="1" ht="14.25" customHeight="1" x14ac:dyDescent="0.2">
      <c r="A18" s="89">
        <v>45279</v>
      </c>
      <c r="B18" s="9" t="s">
        <v>11</v>
      </c>
      <c r="C18" s="76" t="s">
        <v>1299</v>
      </c>
      <c r="D18" s="11" t="s">
        <v>29</v>
      </c>
      <c r="E18" s="31"/>
      <c r="F18" s="31">
        <v>291466</v>
      </c>
      <c r="G18" s="1"/>
      <c r="H18" s="1"/>
      <c r="I18" s="130"/>
      <c r="J18" s="169"/>
      <c r="K18" s="169"/>
      <c r="L18" s="165"/>
    </row>
    <row r="19" spans="1:14" s="2" customFormat="1" ht="14.25" customHeight="1" x14ac:dyDescent="0.2">
      <c r="A19" s="89">
        <v>45279</v>
      </c>
      <c r="B19" s="9" t="s">
        <v>11</v>
      </c>
      <c r="C19" s="76" t="s">
        <v>1880</v>
      </c>
      <c r="D19" s="11" t="s">
        <v>29</v>
      </c>
      <c r="E19" s="31"/>
      <c r="F19" s="31">
        <v>14160</v>
      </c>
      <c r="G19" s="1"/>
      <c r="H19" s="1"/>
      <c r="I19" s="130"/>
      <c r="J19" s="169"/>
      <c r="K19" s="169"/>
      <c r="L19" s="165"/>
    </row>
    <row r="20" spans="1:14" s="2" customFormat="1" ht="14.25" customHeight="1" x14ac:dyDescent="0.2">
      <c r="A20" s="89">
        <v>45279</v>
      </c>
      <c r="B20" s="9" t="s">
        <v>11</v>
      </c>
      <c r="C20" s="76" t="s">
        <v>1881</v>
      </c>
      <c r="D20" s="11" t="s">
        <v>29</v>
      </c>
      <c r="E20" s="31"/>
      <c r="F20" s="31">
        <v>116640</v>
      </c>
      <c r="G20" s="1"/>
      <c r="H20" s="1"/>
      <c r="I20" s="130"/>
      <c r="J20" s="169"/>
      <c r="K20" s="169"/>
      <c r="L20" s="165"/>
    </row>
    <row r="21" spans="1:14" s="2" customFormat="1" ht="14.25" customHeight="1" x14ac:dyDescent="0.2">
      <c r="A21" s="89">
        <v>45279</v>
      </c>
      <c r="B21" s="9" t="s">
        <v>11</v>
      </c>
      <c r="C21" s="76" t="s">
        <v>1882</v>
      </c>
      <c r="D21" s="11" t="s">
        <v>29</v>
      </c>
      <c r="E21" s="31"/>
      <c r="F21" s="31">
        <v>2100</v>
      </c>
      <c r="G21" s="1"/>
      <c r="H21" s="1"/>
      <c r="I21" s="130"/>
      <c r="J21" s="169"/>
      <c r="K21" s="169"/>
      <c r="L21" s="165"/>
    </row>
    <row r="22" spans="1:14" s="2" customFormat="1" ht="14.25" customHeight="1" x14ac:dyDescent="0.2">
      <c r="A22" s="89">
        <v>45279</v>
      </c>
      <c r="B22" s="9" t="s">
        <v>11</v>
      </c>
      <c r="C22" s="76" t="s">
        <v>649</v>
      </c>
      <c r="D22" s="11" t="s">
        <v>29</v>
      </c>
      <c r="E22" s="31"/>
      <c r="F22" s="31">
        <v>400000</v>
      </c>
      <c r="G22" s="1"/>
      <c r="H22" s="1"/>
      <c r="I22" s="130"/>
      <c r="J22" s="169"/>
      <c r="K22" s="169"/>
      <c r="L22" s="165"/>
    </row>
    <row r="23" spans="1:14" s="2" customFormat="1" ht="14.25" customHeight="1" x14ac:dyDescent="0.2">
      <c r="A23" s="89">
        <v>45279</v>
      </c>
      <c r="B23" s="9" t="s">
        <v>11</v>
      </c>
      <c r="C23" s="76" t="s">
        <v>823</v>
      </c>
      <c r="D23" s="11" t="s">
        <v>29</v>
      </c>
      <c r="E23" s="31"/>
      <c r="F23" s="31">
        <v>17159</v>
      </c>
      <c r="G23" s="1"/>
      <c r="H23" s="1"/>
      <c r="I23" s="130"/>
      <c r="J23" s="169"/>
      <c r="K23" s="169"/>
      <c r="L23" s="165"/>
    </row>
    <row r="24" spans="1:14" s="2" customFormat="1" ht="14.25" customHeight="1" x14ac:dyDescent="0.2">
      <c r="A24" s="89">
        <v>45279</v>
      </c>
      <c r="B24" s="9" t="s">
        <v>11</v>
      </c>
      <c r="C24" s="76" t="s">
        <v>242</v>
      </c>
      <c r="D24" s="11" t="s">
        <v>29</v>
      </c>
      <c r="E24" s="31"/>
      <c r="F24" s="31">
        <v>45066.55</v>
      </c>
      <c r="G24" s="1"/>
      <c r="H24" s="1"/>
      <c r="I24" s="130"/>
      <c r="J24" s="169"/>
      <c r="K24" s="169"/>
      <c r="L24" s="165"/>
    </row>
    <row r="25" spans="1:14" s="2" customFormat="1" ht="14.25" customHeight="1" x14ac:dyDescent="0.2">
      <c r="A25" s="89">
        <v>45279</v>
      </c>
      <c r="B25" s="9" t="s">
        <v>11</v>
      </c>
      <c r="C25" s="76" t="s">
        <v>738</v>
      </c>
      <c r="D25" s="11" t="s">
        <v>29</v>
      </c>
      <c r="E25" s="31"/>
      <c r="F25" s="31">
        <v>51063</v>
      </c>
      <c r="G25" s="1"/>
      <c r="H25" s="1"/>
      <c r="I25" s="130"/>
      <c r="J25" s="169"/>
      <c r="K25" s="169"/>
      <c r="L25" s="165"/>
    </row>
    <row r="26" spans="1:14" s="2" customFormat="1" ht="14.25" customHeight="1" x14ac:dyDescent="0.2">
      <c r="A26" s="89">
        <v>45279</v>
      </c>
      <c r="B26" s="9" t="s">
        <v>11</v>
      </c>
      <c r="C26" s="76" t="s">
        <v>685</v>
      </c>
      <c r="D26" s="11" t="s">
        <v>29</v>
      </c>
      <c r="E26" s="31"/>
      <c r="F26" s="31">
        <v>132868</v>
      </c>
      <c r="G26" s="1"/>
      <c r="H26" s="1"/>
      <c r="I26" s="130"/>
      <c r="J26" s="169"/>
      <c r="K26" s="169"/>
      <c r="L26" s="165"/>
    </row>
    <row r="27" spans="1:14" s="2" customFormat="1" ht="14.25" customHeight="1" x14ac:dyDescent="0.2">
      <c r="A27" s="89">
        <v>45279</v>
      </c>
      <c r="B27" s="9" t="s">
        <v>11</v>
      </c>
      <c r="C27" s="76" t="s">
        <v>339</v>
      </c>
      <c r="D27" s="11" t="s">
        <v>29</v>
      </c>
      <c r="E27" s="31"/>
      <c r="F27" s="31">
        <v>75717.320000000007</v>
      </c>
      <c r="G27" s="1"/>
      <c r="H27" s="1"/>
      <c r="I27" s="130"/>
      <c r="J27" s="169"/>
      <c r="K27" s="169"/>
      <c r="L27" s="165"/>
    </row>
    <row r="28" spans="1:14" s="2" customFormat="1" ht="14.25" customHeight="1" x14ac:dyDescent="0.2">
      <c r="A28" s="89">
        <v>45279</v>
      </c>
      <c r="B28" s="9" t="s">
        <v>11</v>
      </c>
      <c r="C28" s="76" t="s">
        <v>95</v>
      </c>
      <c r="D28" s="11" t="s">
        <v>29</v>
      </c>
      <c r="E28" s="31"/>
      <c r="F28" s="31">
        <v>11880</v>
      </c>
      <c r="G28" s="1"/>
      <c r="H28" s="1"/>
      <c r="I28" s="130"/>
      <c r="J28" s="169"/>
      <c r="K28" s="169"/>
      <c r="L28" s="165"/>
    </row>
    <row r="29" spans="1:14" s="2" customFormat="1" ht="14.25" customHeight="1" x14ac:dyDescent="0.2">
      <c r="A29" s="89">
        <v>45279</v>
      </c>
      <c r="B29" s="9" t="s">
        <v>11</v>
      </c>
      <c r="C29" s="76" t="s">
        <v>1639</v>
      </c>
      <c r="D29" s="11" t="s">
        <v>29</v>
      </c>
      <c r="E29" s="31"/>
      <c r="F29" s="31">
        <v>67050</v>
      </c>
      <c r="G29" s="1"/>
      <c r="H29" s="1"/>
      <c r="I29" s="130"/>
      <c r="J29" s="169"/>
      <c r="K29" s="169"/>
      <c r="L29" s="165"/>
    </row>
    <row r="30" spans="1:14" s="2" customFormat="1" ht="14.25" customHeight="1" x14ac:dyDescent="0.2">
      <c r="D30" s="11" t="s">
        <v>8</v>
      </c>
      <c r="E30" s="16">
        <f>SUM(E12:E29)</f>
        <v>24578.25</v>
      </c>
      <c r="F30" s="16">
        <f>SUM(F11:F29)</f>
        <v>29742298.920000002</v>
      </c>
      <c r="G30" s="1"/>
      <c r="H30" s="1"/>
      <c r="I30" s="143"/>
      <c r="J30" s="130"/>
      <c r="K30" s="143"/>
      <c r="L30" s="143"/>
      <c r="M30" s="143"/>
      <c r="N30" s="143"/>
    </row>
    <row r="31" spans="1:14" s="2" customFormat="1" ht="14.25" customHeight="1" x14ac:dyDescent="0.4">
      <c r="A31" s="17"/>
      <c r="B31" s="18"/>
      <c r="C31" s="96" t="s">
        <v>9</v>
      </c>
      <c r="D31" s="20"/>
      <c r="E31" s="21">
        <f>+F30-E30</f>
        <v>29717720.670000002</v>
      </c>
      <c r="G31" s="1"/>
      <c r="H31" s="1"/>
      <c r="J31" s="112"/>
      <c r="K31" s="153" t="s">
        <v>779</v>
      </c>
    </row>
    <row r="32" spans="1:14" s="2" customFormat="1" ht="14.25" customHeight="1" x14ac:dyDescent="0.2">
      <c r="A32" s="36"/>
      <c r="B32" s="28" t="s">
        <v>66</v>
      </c>
      <c r="C32" s="43" t="s">
        <v>1458</v>
      </c>
      <c r="D32" s="43"/>
      <c r="E32" s="12">
        <f>30000000+60000000</f>
        <v>90000000</v>
      </c>
      <c r="F32" s="22"/>
      <c r="G32" s="1"/>
      <c r="H32" s="1"/>
      <c r="J32" s="40">
        <v>28011196.649999999</v>
      </c>
      <c r="K32" s="154">
        <f>J32-E31</f>
        <v>-1706524.0200000033</v>
      </c>
    </row>
    <row r="33" spans="1:15" s="2" customFormat="1" ht="14.25" customHeight="1" x14ac:dyDescent="0.25">
      <c r="A33" s="36"/>
      <c r="B33" s="28"/>
      <c r="C33" s="44" t="s">
        <v>1541</v>
      </c>
      <c r="D33" s="43"/>
      <c r="E33" s="7">
        <f>+E31+E32</f>
        <v>119717720.67</v>
      </c>
      <c r="F33" s="22"/>
      <c r="G33" s="1"/>
      <c r="H33" s="1"/>
      <c r="I33" s="13" t="s">
        <v>1582</v>
      </c>
      <c r="J33" s="13" t="s">
        <v>1583</v>
      </c>
    </row>
    <row r="34" spans="1:15" s="2" customFormat="1" ht="14.25" customHeight="1" x14ac:dyDescent="0.25">
      <c r="A34" s="36"/>
      <c r="B34" s="28"/>
      <c r="C34" s="44" t="s">
        <v>1511</v>
      </c>
      <c r="D34" s="43"/>
      <c r="E34" s="38">
        <f>+J11+I7-J7</f>
        <v>282279.32999999821</v>
      </c>
      <c r="F34" s="22"/>
      <c r="G34" s="1"/>
      <c r="H34" s="1"/>
      <c r="I34" s="2">
        <v>7063358</v>
      </c>
      <c r="J34" s="2">
        <v>17107884</v>
      </c>
      <c r="K34" s="176">
        <f>I34-J34</f>
        <v>-10044526</v>
      </c>
    </row>
    <row r="35" spans="1:15" s="2" customFormat="1" ht="14.25" customHeight="1" x14ac:dyDescent="0.2">
      <c r="A35" s="24"/>
      <c r="B35" s="1"/>
      <c r="C35" s="14"/>
      <c r="D35" s="25"/>
      <c r="G35" s="1"/>
      <c r="H35" s="1"/>
      <c r="J35" s="130"/>
      <c r="K35" s="130"/>
    </row>
    <row r="36" spans="1:15" s="2" customFormat="1" x14ac:dyDescent="0.2">
      <c r="A36" s="214" t="s">
        <v>10</v>
      </c>
      <c r="B36" s="214"/>
      <c r="C36" s="214"/>
      <c r="D36" s="214"/>
      <c r="E36" s="214"/>
      <c r="F36" s="214"/>
      <c r="G36" s="1"/>
      <c r="H36" s="1"/>
      <c r="I36" s="159"/>
      <c r="J36" s="160">
        <f>225000000-75000000-50000000</f>
        <v>100000000</v>
      </c>
      <c r="K36" s="160" t="s">
        <v>1506</v>
      </c>
      <c r="L36" s="70"/>
    </row>
    <row r="37" spans="1:15" s="2" customFormat="1" x14ac:dyDescent="0.2">
      <c r="A37" s="26" t="s">
        <v>1</v>
      </c>
      <c r="B37" s="27" t="s">
        <v>2</v>
      </c>
      <c r="C37" s="5"/>
      <c r="D37" s="6" t="s">
        <v>3</v>
      </c>
      <c r="E37" s="7" t="s">
        <v>4</v>
      </c>
      <c r="F37" s="7" t="s">
        <v>5</v>
      </c>
      <c r="G37" s="1"/>
      <c r="H37" s="1"/>
      <c r="I37" s="159"/>
      <c r="J37" s="160">
        <v>77193187.769999996</v>
      </c>
      <c r="K37" s="160" t="s">
        <v>1507</v>
      </c>
      <c r="L37" s="70" t="s">
        <v>1512</v>
      </c>
    </row>
    <row r="38" spans="1:15" s="2" customFormat="1" x14ac:dyDescent="0.2">
      <c r="A38" s="89">
        <v>45279</v>
      </c>
      <c r="B38" s="128" t="s">
        <v>11</v>
      </c>
      <c r="C38" s="29" t="s">
        <v>7</v>
      </c>
      <c r="D38" s="25"/>
      <c r="E38" s="31"/>
      <c r="F38" s="2">
        <v>77842759.289999992</v>
      </c>
      <c r="G38" s="23"/>
      <c r="H38" s="23"/>
      <c r="I38" s="159" t="s">
        <v>1505</v>
      </c>
      <c r="J38" s="160">
        <f>+J36-J37</f>
        <v>22806812.230000004</v>
      </c>
      <c r="K38" s="160"/>
      <c r="L38" s="70"/>
    </row>
    <row r="39" spans="1:15" s="2" customFormat="1" x14ac:dyDescent="0.2">
      <c r="A39" s="89">
        <v>45279</v>
      </c>
      <c r="B39" s="128" t="s">
        <v>6</v>
      </c>
      <c r="C39" s="29" t="s">
        <v>120</v>
      </c>
      <c r="D39" s="11" t="s">
        <v>13</v>
      </c>
      <c r="E39" s="86">
        <v>5254042.76</v>
      </c>
      <c r="F39" s="70"/>
      <c r="G39" s="1"/>
      <c r="H39" s="1"/>
      <c r="O39" s="1"/>
    </row>
    <row r="40" spans="1:15" s="2" customFormat="1" x14ac:dyDescent="0.2">
      <c r="A40" s="89">
        <v>45279</v>
      </c>
      <c r="B40" s="128" t="s">
        <v>6</v>
      </c>
      <c r="C40" s="29" t="s">
        <v>19</v>
      </c>
      <c r="D40" s="11" t="s">
        <v>13</v>
      </c>
      <c r="E40" s="86">
        <v>2360</v>
      </c>
      <c r="F40" s="70"/>
      <c r="G40" s="1"/>
      <c r="H40" s="1"/>
      <c r="O40" s="1"/>
    </row>
    <row r="41" spans="1:15" s="2" customFormat="1" x14ac:dyDescent="0.2">
      <c r="A41" s="89">
        <v>45279</v>
      </c>
      <c r="B41" s="128" t="s">
        <v>6</v>
      </c>
      <c r="C41" s="29" t="s">
        <v>24</v>
      </c>
      <c r="D41" s="11" t="s">
        <v>13</v>
      </c>
      <c r="E41" s="86">
        <v>354055</v>
      </c>
      <c r="F41" s="70"/>
      <c r="G41" s="1"/>
      <c r="H41" s="1"/>
      <c r="O41" s="1"/>
    </row>
    <row r="42" spans="1:15" s="2" customFormat="1" x14ac:dyDescent="0.2">
      <c r="A42" s="89">
        <v>45279</v>
      </c>
      <c r="B42" s="128" t="s">
        <v>6</v>
      </c>
      <c r="C42" s="29" t="s">
        <v>469</v>
      </c>
      <c r="D42" s="11" t="s">
        <v>13</v>
      </c>
      <c r="E42" s="86">
        <v>1000000</v>
      </c>
      <c r="F42" s="70"/>
      <c r="G42" s="1"/>
      <c r="H42" s="1"/>
      <c r="O42" s="1"/>
    </row>
    <row r="43" spans="1:15" s="2" customFormat="1" x14ac:dyDescent="0.2">
      <c r="A43" s="89">
        <v>45279</v>
      </c>
      <c r="B43" s="128" t="s">
        <v>6</v>
      </c>
      <c r="C43" s="29" t="s">
        <v>326</v>
      </c>
      <c r="D43" s="11" t="s">
        <v>13</v>
      </c>
      <c r="E43" s="86">
        <v>422864</v>
      </c>
      <c r="F43" s="70"/>
      <c r="G43" s="1"/>
      <c r="H43" s="1"/>
      <c r="O43" s="1"/>
    </row>
    <row r="44" spans="1:15" s="2" customFormat="1" x14ac:dyDescent="0.2">
      <c r="A44" s="89">
        <v>45279</v>
      </c>
      <c r="B44" s="128" t="s">
        <v>6</v>
      </c>
      <c r="C44" s="29" t="s">
        <v>1365</v>
      </c>
      <c r="D44" s="11" t="s">
        <v>13</v>
      </c>
      <c r="E44" s="86">
        <v>1000000</v>
      </c>
      <c r="F44" s="70"/>
      <c r="G44" s="1"/>
      <c r="H44" s="1"/>
      <c r="O44" s="1"/>
    </row>
    <row r="45" spans="1:15" s="2" customFormat="1" x14ac:dyDescent="0.2">
      <c r="A45" s="89">
        <v>45279</v>
      </c>
      <c r="B45" s="128" t="s">
        <v>6</v>
      </c>
      <c r="C45" s="29" t="s">
        <v>122</v>
      </c>
      <c r="D45" s="11" t="s">
        <v>13</v>
      </c>
      <c r="E45" s="86">
        <v>333920</v>
      </c>
      <c r="F45" s="70"/>
      <c r="G45" s="1"/>
      <c r="H45" s="1"/>
      <c r="O45" s="1"/>
    </row>
    <row r="46" spans="1:15" s="2" customFormat="1" x14ac:dyDescent="0.2">
      <c r="A46" s="89">
        <v>45279</v>
      </c>
      <c r="B46" s="128" t="s">
        <v>6</v>
      </c>
      <c r="C46" s="29" t="s">
        <v>705</v>
      </c>
      <c r="D46" s="11" t="s">
        <v>13</v>
      </c>
      <c r="E46" s="86">
        <v>35000</v>
      </c>
      <c r="F46" s="70"/>
      <c r="G46" s="1"/>
      <c r="H46" s="1"/>
      <c r="O46" s="1"/>
    </row>
    <row r="47" spans="1:15" s="2" customFormat="1" x14ac:dyDescent="0.2">
      <c r="A47" s="89">
        <v>45279</v>
      </c>
      <c r="B47" s="128" t="s">
        <v>6</v>
      </c>
      <c r="C47" s="29" t="s">
        <v>177</v>
      </c>
      <c r="D47" s="11" t="s">
        <v>13</v>
      </c>
      <c r="E47" s="86">
        <v>449249</v>
      </c>
      <c r="F47" s="70"/>
      <c r="G47" s="1"/>
      <c r="H47" s="1"/>
      <c r="O47" s="1"/>
    </row>
    <row r="48" spans="1:15" s="2" customFormat="1" x14ac:dyDescent="0.2">
      <c r="A48" s="89">
        <v>45279</v>
      </c>
      <c r="B48" s="128" t="s">
        <v>6</v>
      </c>
      <c r="C48" s="29" t="s">
        <v>1883</v>
      </c>
      <c r="D48" s="11" t="s">
        <v>13</v>
      </c>
      <c r="E48" s="86">
        <v>110870</v>
      </c>
      <c r="F48" s="70"/>
      <c r="G48" s="1"/>
      <c r="H48" s="1"/>
      <c r="O48" s="1"/>
    </row>
    <row r="49" spans="1:15" s="2" customFormat="1" x14ac:dyDescent="0.2">
      <c r="A49" s="89">
        <v>45279</v>
      </c>
      <c r="B49" s="128" t="s">
        <v>6</v>
      </c>
      <c r="C49" s="29" t="s">
        <v>788</v>
      </c>
      <c r="D49" s="11" t="s">
        <v>13</v>
      </c>
      <c r="E49" s="86">
        <v>413262</v>
      </c>
      <c r="F49" s="70"/>
      <c r="G49" s="1"/>
      <c r="H49" s="1"/>
      <c r="O49" s="1"/>
    </row>
    <row r="50" spans="1:15" s="2" customFormat="1" x14ac:dyDescent="0.2">
      <c r="A50" s="89">
        <v>45279</v>
      </c>
      <c r="B50" s="128" t="s">
        <v>6</v>
      </c>
      <c r="C50" s="29" t="s">
        <v>1240</v>
      </c>
      <c r="D50" s="11" t="s">
        <v>13</v>
      </c>
      <c r="E50" s="86">
        <v>40215</v>
      </c>
      <c r="F50" s="70"/>
      <c r="G50" s="1"/>
      <c r="H50" s="1"/>
      <c r="O50" s="1"/>
    </row>
    <row r="51" spans="1:15" s="2" customFormat="1" x14ac:dyDescent="0.2">
      <c r="A51" s="89">
        <v>45279</v>
      </c>
      <c r="B51" s="128" t="s">
        <v>6</v>
      </c>
      <c r="C51" s="29" t="s">
        <v>1885</v>
      </c>
      <c r="D51" s="11" t="s">
        <v>13</v>
      </c>
      <c r="E51" s="86">
        <v>50000</v>
      </c>
      <c r="F51" s="70"/>
      <c r="G51" s="1"/>
      <c r="H51" s="1"/>
      <c r="O51" s="1"/>
    </row>
    <row r="52" spans="1:15" s="2" customFormat="1" x14ac:dyDescent="0.2">
      <c r="A52" s="89">
        <v>45279</v>
      </c>
      <c r="B52" s="128" t="s">
        <v>11</v>
      </c>
      <c r="C52" s="29" t="s">
        <v>1884</v>
      </c>
      <c r="D52" s="11" t="s">
        <v>29</v>
      </c>
      <c r="E52" s="86"/>
      <c r="F52" s="70">
        <v>8013707</v>
      </c>
      <c r="G52" s="1"/>
      <c r="H52" s="1"/>
      <c r="O52" s="1"/>
    </row>
    <row r="53" spans="1:15" s="2" customFormat="1" x14ac:dyDescent="0.2">
      <c r="A53" s="89">
        <v>45279</v>
      </c>
      <c r="B53" s="128" t="s">
        <v>11</v>
      </c>
      <c r="C53" s="29" t="s">
        <v>1816</v>
      </c>
      <c r="D53" s="11" t="s">
        <v>29</v>
      </c>
      <c r="E53" s="86"/>
      <c r="F53" s="70">
        <v>6262689</v>
      </c>
      <c r="G53" s="1"/>
      <c r="H53" s="1"/>
      <c r="O53" s="1"/>
    </row>
    <row r="54" spans="1:15" s="2" customFormat="1" x14ac:dyDescent="0.2">
      <c r="A54" s="89">
        <v>45279</v>
      </c>
      <c r="B54" s="128" t="s">
        <v>11</v>
      </c>
      <c r="C54" s="29" t="s">
        <v>284</v>
      </c>
      <c r="D54" s="11" t="s">
        <v>29</v>
      </c>
      <c r="E54" s="86"/>
      <c r="F54" s="70">
        <v>478925</v>
      </c>
      <c r="G54" s="1"/>
      <c r="H54" s="1"/>
      <c r="O54" s="1"/>
    </row>
    <row r="55" spans="1:15" s="2" customFormat="1" x14ac:dyDescent="0.2">
      <c r="A55" s="89">
        <v>45279</v>
      </c>
      <c r="B55" s="128" t="s">
        <v>11</v>
      </c>
      <c r="C55" s="29" t="s">
        <v>64</v>
      </c>
      <c r="D55" s="11" t="s">
        <v>29</v>
      </c>
      <c r="E55" s="86"/>
      <c r="F55" s="70">
        <v>11.8</v>
      </c>
      <c r="G55" s="1"/>
      <c r="H55" s="1"/>
      <c r="O55" s="1"/>
    </row>
    <row r="56" spans="1:15" s="2" customFormat="1" x14ac:dyDescent="0.2">
      <c r="A56" s="89">
        <v>45279</v>
      </c>
      <c r="B56" s="128" t="s">
        <v>11</v>
      </c>
      <c r="C56" s="29" t="s">
        <v>1886</v>
      </c>
      <c r="D56" s="11" t="s">
        <v>29</v>
      </c>
      <c r="E56" s="86"/>
      <c r="F56" s="70">
        <v>105459.44</v>
      </c>
      <c r="G56" s="1"/>
      <c r="H56" s="1"/>
      <c r="O56" s="1"/>
    </row>
    <row r="57" spans="1:15" s="2" customFormat="1" x14ac:dyDescent="0.2">
      <c r="A57" s="89">
        <v>45279</v>
      </c>
      <c r="B57" s="128" t="s">
        <v>11</v>
      </c>
      <c r="C57" s="29" t="s">
        <v>57</v>
      </c>
      <c r="D57" s="11" t="s">
        <v>29</v>
      </c>
      <c r="E57" s="86"/>
      <c r="F57" s="70">
        <v>4000000</v>
      </c>
      <c r="G57" s="1"/>
      <c r="H57" s="1"/>
      <c r="O57" s="1"/>
    </row>
    <row r="58" spans="1:15" s="2" customFormat="1" x14ac:dyDescent="0.2">
      <c r="A58" s="32"/>
      <c r="B58" s="33"/>
      <c r="C58" s="14"/>
      <c r="D58" s="34"/>
      <c r="E58" s="16">
        <f>SUM(E38:E57)</f>
        <v>9465837.7599999998</v>
      </c>
      <c r="F58" s="16">
        <f>SUM(F38:F57)</f>
        <v>96703551.529999986</v>
      </c>
      <c r="G58" s="1"/>
      <c r="H58" s="1"/>
      <c r="I58" s="1"/>
      <c r="J58" s="38">
        <v>87237713.769999996</v>
      </c>
      <c r="L58" s="92">
        <f>E59-J58</f>
        <v>0</v>
      </c>
      <c r="O58" s="1"/>
    </row>
    <row r="59" spans="1:15" s="2" customFormat="1" x14ac:dyDescent="0.2">
      <c r="A59" s="36"/>
      <c r="B59" s="28" t="s">
        <v>11</v>
      </c>
      <c r="C59" s="19" t="s">
        <v>65</v>
      </c>
      <c r="D59" s="37"/>
      <c r="E59" s="38">
        <f>F58-E58</f>
        <v>87237713.769999981</v>
      </c>
      <c r="F59" s="22"/>
      <c r="G59" s="1"/>
      <c r="H59" s="1"/>
      <c r="I59" s="1"/>
      <c r="J59" s="70"/>
      <c r="K59" s="70"/>
      <c r="L59" s="70"/>
      <c r="O59" s="1"/>
    </row>
    <row r="60" spans="1:15" s="2" customFormat="1" x14ac:dyDescent="0.2">
      <c r="A60" s="36"/>
      <c r="B60" s="28" t="s">
        <v>66</v>
      </c>
      <c r="C60" s="19" t="s">
        <v>67</v>
      </c>
      <c r="D60" s="37"/>
      <c r="E60" s="38">
        <v>0</v>
      </c>
      <c r="F60" s="22"/>
      <c r="G60" s="1"/>
      <c r="H60" s="1"/>
      <c r="I60" s="70"/>
      <c r="J60" s="70"/>
      <c r="K60" s="70"/>
      <c r="L60" s="70"/>
      <c r="O60" s="1"/>
    </row>
    <row r="61" spans="1:15" s="2" customFormat="1" x14ac:dyDescent="0.2">
      <c r="A61" s="36"/>
      <c r="B61" s="28" t="s">
        <v>66</v>
      </c>
      <c r="C61" s="43" t="s">
        <v>1457</v>
      </c>
      <c r="D61" s="43"/>
      <c r="E61" s="12">
        <f>275000000+75000000+50000000</f>
        <v>400000000</v>
      </c>
      <c r="F61" s="22"/>
      <c r="G61" s="1"/>
      <c r="H61" s="1"/>
      <c r="I61" s="70"/>
      <c r="J61" s="45">
        <v>1043.95</v>
      </c>
      <c r="K61" s="46"/>
      <c r="L61" s="46"/>
      <c r="O61" s="1"/>
    </row>
    <row r="62" spans="1:15" s="2" customFormat="1" ht="15" x14ac:dyDescent="0.25">
      <c r="A62" s="36"/>
      <c r="B62" s="28"/>
      <c r="C62" s="44" t="s">
        <v>1541</v>
      </c>
      <c r="D62" s="43"/>
      <c r="E62" s="7">
        <f>+E61+E59+E60</f>
        <v>487237713.76999998</v>
      </c>
      <c r="F62" s="22"/>
      <c r="G62" s="1"/>
      <c r="H62" s="1"/>
      <c r="I62" s="103" t="s">
        <v>69</v>
      </c>
      <c r="J62" s="45">
        <v>-244.15</v>
      </c>
      <c r="K62" s="46"/>
      <c r="L62" s="46"/>
      <c r="O62" s="1"/>
    </row>
    <row r="63" spans="1:15" s="2" customFormat="1" ht="15" x14ac:dyDescent="0.25">
      <c r="A63" s="24"/>
      <c r="B63" s="1"/>
      <c r="C63" s="44" t="s">
        <v>1510</v>
      </c>
      <c r="D63" s="25"/>
      <c r="E63" s="156">
        <f>+J38-E60+I34-J34</f>
        <v>12762286.230000004</v>
      </c>
      <c r="G63" s="1"/>
      <c r="H63" s="1"/>
      <c r="I63" s="35">
        <v>1</v>
      </c>
      <c r="J63" s="45">
        <v>244.15</v>
      </c>
      <c r="K63" s="46">
        <f>+J64-D66</f>
        <v>0</v>
      </c>
      <c r="O63" s="1"/>
    </row>
    <row r="64" spans="1:15" s="124" customFormat="1" ht="12.75" customHeight="1" x14ac:dyDescent="0.2">
      <c r="A64" s="24"/>
      <c r="B64" s="1"/>
      <c r="C64" s="56"/>
      <c r="D64" s="56"/>
      <c r="E64" s="104"/>
      <c r="F64" s="2"/>
      <c r="G64" s="166"/>
      <c r="H64" s="166"/>
      <c r="I64" s="70"/>
      <c r="J64" s="49">
        <f>SUM(J61:J63)</f>
        <v>1043.95</v>
      </c>
      <c r="K64" s="46"/>
      <c r="L64" s="46"/>
    </row>
    <row r="65" spans="1:14" s="124" customFormat="1" ht="12.75" customHeight="1" x14ac:dyDescent="0.2">
      <c r="A65" s="24"/>
      <c r="B65" s="1"/>
      <c r="C65" s="78" t="s">
        <v>575</v>
      </c>
      <c r="D65" s="48" t="s">
        <v>576</v>
      </c>
      <c r="E65" s="104"/>
      <c r="F65" s="2"/>
      <c r="G65" s="168"/>
      <c r="H65" s="168"/>
      <c r="I65" s="167"/>
      <c r="J65" s="167"/>
      <c r="K65" s="168"/>
    </row>
    <row r="66" spans="1:14" s="124" customFormat="1" ht="12.75" customHeight="1" x14ac:dyDescent="0.2">
      <c r="A66" s="24"/>
      <c r="B66" s="1"/>
      <c r="C66" s="47" t="s">
        <v>570</v>
      </c>
      <c r="D66" s="111">
        <v>1043.95</v>
      </c>
      <c r="E66" s="104"/>
      <c r="F66" s="2"/>
      <c r="G66" s="168"/>
      <c r="H66" s="168"/>
      <c r="I66" s="110" t="s">
        <v>581</v>
      </c>
      <c r="J66" s="167"/>
      <c r="K66" s="168"/>
    </row>
    <row r="67" spans="1:14" s="124" customFormat="1" ht="12.75" customHeight="1" x14ac:dyDescent="0.2">
      <c r="A67" s="24"/>
      <c r="B67" s="1"/>
      <c r="C67" s="47" t="s">
        <v>931</v>
      </c>
      <c r="D67" s="111">
        <v>249.7</v>
      </c>
      <c r="E67" s="104"/>
      <c r="F67" s="2"/>
      <c r="G67" s="168"/>
      <c r="H67" s="168"/>
      <c r="I67" s="110" t="s">
        <v>580</v>
      </c>
      <c r="J67" s="167"/>
      <c r="K67" s="168"/>
    </row>
    <row r="68" spans="1:14" s="124" customFormat="1" ht="12.75" customHeight="1" x14ac:dyDescent="0.2">
      <c r="A68" s="24"/>
      <c r="B68" s="1"/>
      <c r="C68" s="47" t="s">
        <v>572</v>
      </c>
      <c r="D68" s="111">
        <f>+D105/100000</f>
        <v>331.01363500000002</v>
      </c>
      <c r="E68" s="104"/>
      <c r="F68" s="2"/>
      <c r="G68" s="166"/>
      <c r="H68" s="166"/>
      <c r="I68" s="90" t="s">
        <v>587</v>
      </c>
      <c r="J68" s="167"/>
      <c r="K68" s="168"/>
    </row>
    <row r="69" spans="1:14" s="2" customFormat="1" x14ac:dyDescent="0.2">
      <c r="A69" s="24"/>
      <c r="B69" s="1"/>
      <c r="C69" s="108" t="s">
        <v>578</v>
      </c>
      <c r="D69" s="48">
        <f>SUM(D66:D68)</f>
        <v>1624.6636350000001</v>
      </c>
      <c r="E69" s="104"/>
      <c r="G69" s="30"/>
      <c r="H69" s="30"/>
      <c r="J69" s="13"/>
      <c r="K69" s="13"/>
    </row>
    <row r="70" spans="1:14" s="70" customFormat="1" x14ac:dyDescent="0.2">
      <c r="A70" s="24"/>
      <c r="B70" s="1"/>
      <c r="C70" s="47"/>
      <c r="D70" s="107"/>
      <c r="E70" s="104"/>
      <c r="F70" s="2"/>
      <c r="G70" s="30"/>
      <c r="H70" s="30"/>
      <c r="I70" s="2"/>
    </row>
    <row r="71" spans="1:14" s="70" customFormat="1" x14ac:dyDescent="0.2">
      <c r="A71" s="24"/>
      <c r="B71" s="1"/>
      <c r="C71" s="47" t="s">
        <v>932</v>
      </c>
      <c r="D71" s="111">
        <v>305.57</v>
      </c>
      <c r="E71" s="104"/>
      <c r="F71" s="2"/>
      <c r="G71" s="30"/>
      <c r="H71" s="30"/>
      <c r="I71" s="110" t="s">
        <v>581</v>
      </c>
    </row>
    <row r="72" spans="1:14" s="70" customFormat="1" x14ac:dyDescent="0.2">
      <c r="A72" s="24"/>
      <c r="B72" s="1"/>
      <c r="C72" s="136" t="s">
        <v>1142</v>
      </c>
      <c r="D72" s="111">
        <v>603.70000000000005</v>
      </c>
      <c r="E72" s="104"/>
      <c r="F72" s="2"/>
      <c r="G72" s="30"/>
      <c r="H72" s="30"/>
      <c r="I72" s="110" t="s">
        <v>581</v>
      </c>
    </row>
    <row r="73" spans="1:14" s="70" customFormat="1" x14ac:dyDescent="0.2">
      <c r="A73" s="24"/>
      <c r="B73" s="1"/>
      <c r="C73" s="78" t="s">
        <v>579</v>
      </c>
      <c r="D73" s="109">
        <f>D71+D72</f>
        <v>909.27</v>
      </c>
      <c r="E73" s="104"/>
      <c r="F73" s="2"/>
      <c r="G73" s="30"/>
      <c r="H73" s="30"/>
    </row>
    <row r="74" spans="1:14" s="70" customFormat="1" x14ac:dyDescent="0.2">
      <c r="A74" s="24"/>
      <c r="B74" s="1"/>
      <c r="C74" s="105"/>
      <c r="D74" s="106"/>
      <c r="E74" s="104"/>
      <c r="F74" s="2"/>
      <c r="G74" s="30"/>
      <c r="H74" s="30"/>
      <c r="J74" s="2"/>
      <c r="K74" s="221" t="str">
        <f>"FROM ( 01-12-2023 to "&amp;TEXT(A5,"dd-mm-yyyy")&amp;" )"</f>
        <v>FROM ( 01-12-2023 to 19-12-2023 )</v>
      </c>
      <c r="L74" s="221"/>
      <c r="M74" s="2"/>
      <c r="N74" s="2"/>
    </row>
    <row r="75" spans="1:14" s="70" customFormat="1" x14ac:dyDescent="0.2">
      <c r="A75" s="24"/>
      <c r="B75" s="1"/>
      <c r="C75" s="78" t="s">
        <v>577</v>
      </c>
      <c r="D75" s="109">
        <f>D66+D73</f>
        <v>1953.22</v>
      </c>
      <c r="E75" s="104"/>
      <c r="F75" s="2"/>
      <c r="G75" s="30"/>
      <c r="H75" s="30"/>
      <c r="J75" s="113"/>
      <c r="K75" s="113" t="s">
        <v>709</v>
      </c>
      <c r="L75" s="113" t="s">
        <v>710</v>
      </c>
      <c r="M75" s="113" t="s">
        <v>711</v>
      </c>
      <c r="N75" s="113" t="s">
        <v>712</v>
      </c>
    </row>
    <row r="76" spans="1:14" s="70" customFormat="1" x14ac:dyDescent="0.2">
      <c r="A76" s="24"/>
      <c r="B76" s="1"/>
      <c r="C76" s="56"/>
      <c r="D76" s="56"/>
      <c r="E76" s="104"/>
      <c r="F76" s="2"/>
      <c r="G76" s="30"/>
      <c r="H76" s="30"/>
      <c r="J76" s="113" t="s">
        <v>1860</v>
      </c>
      <c r="K76" s="115">
        <v>191.86</v>
      </c>
      <c r="L76" s="115">
        <v>93.65</v>
      </c>
      <c r="M76" s="115">
        <v>27.85</v>
      </c>
      <c r="N76" s="113">
        <f>+K76+M76-L76</f>
        <v>126.06</v>
      </c>
    </row>
    <row r="77" spans="1:14" s="70" customFormat="1" ht="38.25" x14ac:dyDescent="0.2">
      <c r="A77" s="24"/>
      <c r="B77" s="1"/>
      <c r="C77" s="79" t="str">
        <f>"Particulars ( 01-12-2023 to "&amp;TEXT(A5,"dd-mm-yyyy")&amp;" )"</f>
        <v>Particulars ( 01-12-2023 to 19-12-2023 )</v>
      </c>
      <c r="D77" s="79" t="s">
        <v>7</v>
      </c>
      <c r="E77" s="80" t="s">
        <v>73</v>
      </c>
      <c r="F77" s="80" t="s">
        <v>74</v>
      </c>
      <c r="G77" s="81" t="s">
        <v>75</v>
      </c>
      <c r="H77" s="80" t="s">
        <v>76</v>
      </c>
      <c r="J77" s="113" t="s">
        <v>1861</v>
      </c>
      <c r="K77" s="115">
        <v>1332.26</v>
      </c>
      <c r="L77" s="115">
        <v>337.95</v>
      </c>
      <c r="M77" s="115">
        <v>676.44</v>
      </c>
      <c r="N77" s="113">
        <f>+K77+M77-L77</f>
        <v>1670.75</v>
      </c>
    </row>
    <row r="78" spans="1:14" s="70" customFormat="1" x14ac:dyDescent="0.2">
      <c r="A78" s="24"/>
      <c r="B78" s="1"/>
      <c r="C78" s="50" t="s">
        <v>444</v>
      </c>
      <c r="D78" s="55">
        <f>+K78</f>
        <v>361.11</v>
      </c>
      <c r="E78" s="55">
        <f>+M78</f>
        <v>305.57</v>
      </c>
      <c r="F78" s="55">
        <f>+L78</f>
        <v>249.7</v>
      </c>
      <c r="G78" s="55">
        <f>+D78+E78-F78</f>
        <v>416.98000000000008</v>
      </c>
      <c r="H78" s="55">
        <f>1500-G78</f>
        <v>1083.02</v>
      </c>
      <c r="J78" s="113" t="s">
        <v>707</v>
      </c>
      <c r="K78" s="115">
        <v>361.11</v>
      </c>
      <c r="L78" s="115">
        <v>249.7</v>
      </c>
      <c r="M78" s="115">
        <v>305.57</v>
      </c>
      <c r="N78" s="113">
        <f>+K78+M78-L78</f>
        <v>416.98000000000008</v>
      </c>
    </row>
    <row r="79" spans="1:14" s="70" customFormat="1" ht="12.75" customHeight="1" x14ac:dyDescent="0.2">
      <c r="A79" s="24"/>
      <c r="B79" s="1"/>
      <c r="C79" s="50" t="s">
        <v>71</v>
      </c>
      <c r="D79" s="55">
        <f>+K76+K77</f>
        <v>1524.12</v>
      </c>
      <c r="E79" s="55">
        <f>+M76+M77</f>
        <v>704.29000000000008</v>
      </c>
      <c r="F79" s="55">
        <f>+L76+L77</f>
        <v>431.6</v>
      </c>
      <c r="G79" s="55">
        <f>+D79+E79-F79</f>
        <v>1796.81</v>
      </c>
      <c r="H79" s="55">
        <f>1500+700-G79</f>
        <v>403.19000000000005</v>
      </c>
      <c r="J79" s="2"/>
      <c r="K79" s="118">
        <f>SUM(K76:K78)</f>
        <v>1885.23</v>
      </c>
      <c r="L79" s="118">
        <f>SUM(L76:L78)</f>
        <v>681.3</v>
      </c>
      <c r="M79" s="118">
        <f>SUM(M76:M78)</f>
        <v>1009.8600000000001</v>
      </c>
      <c r="N79" s="118">
        <f>SUM(N76:N78)</f>
        <v>2213.79</v>
      </c>
    </row>
    <row r="80" spans="1:14" s="70" customFormat="1" ht="12.75" customHeight="1" x14ac:dyDescent="0.2">
      <c r="A80" s="24"/>
      <c r="B80" s="1"/>
      <c r="C80" s="14"/>
      <c r="D80" s="56"/>
      <c r="E80" s="13"/>
      <c r="F80" s="2"/>
      <c r="G80" s="30"/>
      <c r="H80" s="30"/>
    </row>
    <row r="81" spans="1:15" s="70" customFormat="1" ht="12.75" customHeight="1" x14ac:dyDescent="0.2">
      <c r="A81" s="215" t="s">
        <v>80</v>
      </c>
      <c r="B81" s="216"/>
      <c r="C81" s="216"/>
      <c r="D81" s="217"/>
      <c r="E81" s="69"/>
      <c r="G81" s="30"/>
      <c r="H81" s="30"/>
    </row>
    <row r="82" spans="1:15" s="70" customFormat="1" ht="12.75" customHeight="1" x14ac:dyDescent="0.2">
      <c r="A82" s="71" t="s">
        <v>81</v>
      </c>
      <c r="B82" s="71"/>
      <c r="C82" s="72" t="s">
        <v>82</v>
      </c>
      <c r="D82" s="73" t="s">
        <v>83</v>
      </c>
      <c r="E82" s="69"/>
      <c r="G82" s="30"/>
      <c r="H82" s="30"/>
    </row>
    <row r="83" spans="1:15" s="70" customFormat="1" ht="12.75" customHeight="1" x14ac:dyDescent="0.2">
      <c r="A83" s="87">
        <v>45264</v>
      </c>
      <c r="B83" s="120" t="s">
        <v>6</v>
      </c>
      <c r="C83" s="75" t="s">
        <v>86</v>
      </c>
      <c r="D83" s="88">
        <v>11017609</v>
      </c>
      <c r="E83" s="2"/>
      <c r="F83" s="2"/>
      <c r="G83" s="30"/>
      <c r="H83" s="30"/>
      <c r="I83" s="2"/>
      <c r="J83" s="2"/>
      <c r="K83" s="2"/>
      <c r="L83" s="2"/>
      <c r="M83" s="41"/>
      <c r="N83" s="42"/>
      <c r="O83" s="2"/>
    </row>
    <row r="84" spans="1:15" s="70" customFormat="1" ht="12.75" customHeight="1" x14ac:dyDescent="0.2">
      <c r="A84" s="87">
        <v>45264</v>
      </c>
      <c r="B84" s="120" t="s">
        <v>6</v>
      </c>
      <c r="C84" s="75" t="s">
        <v>86</v>
      </c>
      <c r="D84" s="88">
        <v>2663814</v>
      </c>
      <c r="E84" s="2"/>
      <c r="F84" s="2"/>
      <c r="G84" s="30"/>
      <c r="H84" s="30"/>
      <c r="I84" s="2"/>
      <c r="J84" s="2"/>
      <c r="K84" s="2"/>
      <c r="L84" s="2"/>
      <c r="M84" s="41"/>
      <c r="N84" s="42"/>
      <c r="O84" s="2"/>
    </row>
    <row r="85" spans="1:15" s="70" customFormat="1" ht="12.75" customHeight="1" x14ac:dyDescent="0.2">
      <c r="A85" s="87">
        <v>45264</v>
      </c>
      <c r="B85" s="120" t="s">
        <v>6</v>
      </c>
      <c r="C85" s="75" t="s">
        <v>86</v>
      </c>
      <c r="D85" s="88">
        <v>75522</v>
      </c>
      <c r="E85" s="2"/>
      <c r="F85" s="2"/>
      <c r="G85" s="30"/>
      <c r="H85" s="30"/>
      <c r="I85" s="2"/>
      <c r="J85" s="2"/>
      <c r="K85" s="2"/>
      <c r="L85" s="2"/>
      <c r="M85" s="41"/>
      <c r="N85" s="42"/>
      <c r="O85" s="2"/>
    </row>
    <row r="86" spans="1:15" s="70" customFormat="1" ht="12.75" customHeight="1" x14ac:dyDescent="0.2">
      <c r="A86" s="87">
        <v>45265</v>
      </c>
      <c r="B86" s="120" t="s">
        <v>6</v>
      </c>
      <c r="C86" s="75" t="s">
        <v>88</v>
      </c>
      <c r="D86" s="88">
        <v>2152501.6</v>
      </c>
      <c r="E86" s="2"/>
      <c r="F86" s="2"/>
      <c r="G86" s="30"/>
      <c r="H86" s="30"/>
      <c r="I86" s="2"/>
      <c r="J86" s="2"/>
      <c r="K86" s="2"/>
      <c r="L86" s="2"/>
      <c r="M86" s="41"/>
      <c r="N86" s="42"/>
      <c r="O86" s="2"/>
    </row>
    <row r="87" spans="1:15" s="70" customFormat="1" ht="12.75" customHeight="1" x14ac:dyDescent="0.2">
      <c r="A87" s="87">
        <v>45266</v>
      </c>
      <c r="B87" s="120" t="s">
        <v>6</v>
      </c>
      <c r="C87" s="75" t="s">
        <v>271</v>
      </c>
      <c r="D87" s="88">
        <v>9828</v>
      </c>
      <c r="E87" s="2"/>
      <c r="F87" s="2"/>
      <c r="G87" s="30"/>
      <c r="H87" s="30"/>
      <c r="I87" s="2"/>
      <c r="J87" s="2"/>
      <c r="K87" s="2"/>
      <c r="L87" s="2"/>
      <c r="M87" s="41"/>
      <c r="N87" s="42"/>
      <c r="O87" s="2"/>
    </row>
    <row r="88" spans="1:15" s="70" customFormat="1" ht="12.75" customHeight="1" x14ac:dyDescent="0.2">
      <c r="A88" s="87">
        <v>45267</v>
      </c>
      <c r="B88" s="120" t="s">
        <v>6</v>
      </c>
      <c r="C88" s="75" t="s">
        <v>85</v>
      </c>
      <c r="D88" s="88">
        <v>179811</v>
      </c>
      <c r="E88" s="2"/>
      <c r="F88" s="2"/>
      <c r="G88" s="30"/>
      <c r="H88" s="30"/>
      <c r="I88" s="2"/>
      <c r="J88" s="2"/>
      <c r="K88" s="2"/>
      <c r="L88" s="2"/>
      <c r="M88" s="41"/>
      <c r="N88" s="42"/>
      <c r="O88" s="2"/>
    </row>
    <row r="89" spans="1:15" s="70" customFormat="1" ht="12.75" customHeight="1" x14ac:dyDescent="0.2">
      <c r="A89" s="87">
        <v>45267</v>
      </c>
      <c r="B89" s="120" t="s">
        <v>6</v>
      </c>
      <c r="C89" s="75" t="s">
        <v>85</v>
      </c>
      <c r="D89" s="88">
        <v>302254</v>
      </c>
      <c r="E89" s="2"/>
      <c r="F89" s="2"/>
      <c r="G89" s="30"/>
      <c r="H89" s="30"/>
      <c r="I89" s="2"/>
      <c r="J89" s="2"/>
      <c r="K89" s="2"/>
      <c r="L89" s="2"/>
      <c r="M89" s="41"/>
      <c r="N89" s="42"/>
      <c r="O89" s="2"/>
    </row>
    <row r="90" spans="1:15" s="70" customFormat="1" ht="12.75" customHeight="1" x14ac:dyDescent="0.2">
      <c r="A90" s="87">
        <v>45268</v>
      </c>
      <c r="B90" s="120" t="s">
        <v>6</v>
      </c>
      <c r="C90" s="75" t="s">
        <v>201</v>
      </c>
      <c r="D90" s="88">
        <v>4000249.47</v>
      </c>
      <c r="E90" s="2"/>
      <c r="F90" s="2"/>
      <c r="G90" s="30"/>
      <c r="H90" s="30"/>
      <c r="I90" s="2"/>
      <c r="J90" s="2"/>
      <c r="K90" s="2"/>
      <c r="L90" s="2"/>
      <c r="M90" s="41"/>
      <c r="N90" s="42"/>
      <c r="O90" s="2"/>
    </row>
    <row r="91" spans="1:15" s="70" customFormat="1" ht="12.75" customHeight="1" x14ac:dyDescent="0.2">
      <c r="A91" s="87">
        <v>45269</v>
      </c>
      <c r="B91" s="120" t="s">
        <v>6</v>
      </c>
      <c r="C91" s="75" t="s">
        <v>85</v>
      </c>
      <c r="D91" s="88">
        <v>96273</v>
      </c>
      <c r="E91" s="2"/>
      <c r="F91" s="2"/>
      <c r="G91" s="30"/>
      <c r="H91" s="30"/>
      <c r="I91" s="2"/>
      <c r="J91" s="2"/>
      <c r="K91" s="2"/>
      <c r="L91" s="2"/>
      <c r="M91" s="41"/>
      <c r="N91" s="42"/>
      <c r="O91" s="2"/>
    </row>
    <row r="92" spans="1:15" s="70" customFormat="1" ht="12.75" customHeight="1" x14ac:dyDescent="0.2">
      <c r="A92" s="87">
        <v>45269</v>
      </c>
      <c r="B92" s="120" t="s">
        <v>6</v>
      </c>
      <c r="C92" s="75" t="s">
        <v>270</v>
      </c>
      <c r="D92" s="88">
        <v>182684</v>
      </c>
      <c r="E92" s="2"/>
      <c r="F92" s="2"/>
      <c r="G92" s="30"/>
      <c r="H92" s="30"/>
      <c r="I92" s="2"/>
      <c r="J92" s="2"/>
      <c r="K92" s="2"/>
      <c r="L92" s="2"/>
      <c r="M92" s="41"/>
      <c r="N92" s="42"/>
      <c r="O92" s="2"/>
    </row>
    <row r="93" spans="1:15" s="70" customFormat="1" ht="12.75" customHeight="1" x14ac:dyDescent="0.2">
      <c r="A93" s="87">
        <v>45269</v>
      </c>
      <c r="B93" s="120" t="s">
        <v>6</v>
      </c>
      <c r="C93" s="75" t="s">
        <v>271</v>
      </c>
      <c r="D93" s="88">
        <v>15488.3</v>
      </c>
      <c r="E93" s="2"/>
      <c r="F93" s="2"/>
      <c r="G93" s="30"/>
      <c r="H93" s="30"/>
      <c r="I93" s="2"/>
      <c r="J93" s="2"/>
      <c r="K93" s="2"/>
      <c r="L93" s="2"/>
      <c r="M93" s="41"/>
      <c r="N93" s="42"/>
      <c r="O93" s="2"/>
    </row>
    <row r="94" spans="1:15" s="70" customFormat="1" ht="12.75" customHeight="1" x14ac:dyDescent="0.2">
      <c r="A94" s="87">
        <v>45272</v>
      </c>
      <c r="B94" s="120" t="s">
        <v>6</v>
      </c>
      <c r="C94" s="75" t="s">
        <v>270</v>
      </c>
      <c r="D94" s="88">
        <v>687714</v>
      </c>
      <c r="E94" s="2"/>
      <c r="F94" s="2"/>
      <c r="G94" s="30"/>
      <c r="H94" s="30"/>
      <c r="I94" s="2"/>
      <c r="J94" s="2"/>
      <c r="K94" s="2"/>
      <c r="L94" s="2"/>
      <c r="M94" s="41"/>
      <c r="N94" s="42"/>
      <c r="O94" s="2"/>
    </row>
    <row r="95" spans="1:15" s="70" customFormat="1" ht="12.75" customHeight="1" x14ac:dyDescent="0.2">
      <c r="A95" s="87">
        <v>45272</v>
      </c>
      <c r="B95" s="120" t="s">
        <v>6</v>
      </c>
      <c r="C95" s="75" t="s">
        <v>1789</v>
      </c>
      <c r="D95" s="88">
        <v>1945116</v>
      </c>
      <c r="E95" s="2"/>
      <c r="F95" s="2"/>
      <c r="G95" s="30"/>
      <c r="H95" s="30"/>
      <c r="I95" s="2"/>
      <c r="J95" s="2"/>
      <c r="K95" s="2"/>
      <c r="L95" s="2"/>
      <c r="M95" s="41"/>
      <c r="N95" s="42"/>
      <c r="O95" s="2"/>
    </row>
    <row r="96" spans="1:15" s="70" customFormat="1" ht="12.75" customHeight="1" x14ac:dyDescent="0.2">
      <c r="A96" s="87">
        <v>45273</v>
      </c>
      <c r="B96" s="120" t="s">
        <v>6</v>
      </c>
      <c r="C96" s="75" t="s">
        <v>18</v>
      </c>
      <c r="D96" s="88">
        <v>167890</v>
      </c>
      <c r="E96" s="2"/>
      <c r="F96" s="2"/>
      <c r="G96" s="30"/>
      <c r="H96" s="30"/>
      <c r="I96" s="2"/>
      <c r="J96" s="2"/>
      <c r="K96" s="2"/>
      <c r="L96" s="2"/>
      <c r="M96" s="41"/>
      <c r="N96" s="42"/>
      <c r="O96" s="2"/>
    </row>
    <row r="97" spans="1:15" s="70" customFormat="1" ht="12.75" customHeight="1" x14ac:dyDescent="0.2">
      <c r="A97" s="87">
        <v>45274</v>
      </c>
      <c r="B97" s="120" t="s">
        <v>6</v>
      </c>
      <c r="C97" s="75" t="s">
        <v>201</v>
      </c>
      <c r="D97" s="88">
        <v>4000385.13</v>
      </c>
      <c r="E97" s="2"/>
      <c r="F97" s="2"/>
      <c r="G97" s="30"/>
      <c r="H97" s="30"/>
      <c r="I97" s="2"/>
      <c r="J97" s="2"/>
      <c r="K97" s="2"/>
      <c r="L97" s="2"/>
      <c r="M97" s="41"/>
      <c r="N97" s="42"/>
      <c r="O97" s="2"/>
    </row>
    <row r="98" spans="1:15" s="70" customFormat="1" ht="12.75" customHeight="1" x14ac:dyDescent="0.2">
      <c r="A98" s="87">
        <v>45274</v>
      </c>
      <c r="B98" s="120" t="s">
        <v>6</v>
      </c>
      <c r="C98" s="75" t="s">
        <v>594</v>
      </c>
      <c r="D98" s="88">
        <v>15735</v>
      </c>
      <c r="E98" s="2"/>
      <c r="F98" s="2"/>
      <c r="G98" s="30"/>
      <c r="H98" s="30"/>
      <c r="I98" s="2"/>
      <c r="J98" s="2"/>
      <c r="K98" s="2"/>
      <c r="L98" s="2"/>
      <c r="M98" s="41"/>
      <c r="N98" s="42"/>
      <c r="O98" s="2"/>
    </row>
    <row r="99" spans="1:15" s="70" customFormat="1" ht="12.75" customHeight="1" x14ac:dyDescent="0.2">
      <c r="A99" s="87">
        <v>45275</v>
      </c>
      <c r="B99" s="120" t="s">
        <v>6</v>
      </c>
      <c r="C99" s="75" t="s">
        <v>594</v>
      </c>
      <c r="D99" s="88">
        <v>4456919</v>
      </c>
      <c r="E99" s="2"/>
      <c r="F99" s="2"/>
      <c r="G99" s="30"/>
      <c r="H99" s="30"/>
      <c r="I99" s="2"/>
      <c r="J99" s="2"/>
      <c r="K99" s="2"/>
      <c r="L99" s="2"/>
      <c r="M99" s="41"/>
      <c r="N99" s="42"/>
      <c r="O99" s="2"/>
    </row>
    <row r="100" spans="1:15" s="70" customFormat="1" ht="12.75" customHeight="1" x14ac:dyDescent="0.2">
      <c r="A100" s="87">
        <v>45275</v>
      </c>
      <c r="B100" s="120" t="s">
        <v>6</v>
      </c>
      <c r="C100" s="75" t="s">
        <v>270</v>
      </c>
      <c r="D100" s="88">
        <v>18357</v>
      </c>
      <c r="E100" s="2"/>
      <c r="F100" s="2"/>
      <c r="G100" s="30"/>
      <c r="H100" s="30"/>
      <c r="I100" s="2"/>
      <c r="J100" s="2"/>
      <c r="K100" s="2"/>
      <c r="L100" s="2"/>
      <c r="M100" s="41"/>
      <c r="N100" s="42"/>
      <c r="O100" s="2"/>
    </row>
    <row r="101" spans="1:15" s="70" customFormat="1" ht="12.75" customHeight="1" x14ac:dyDescent="0.2">
      <c r="A101" s="87">
        <v>45276</v>
      </c>
      <c r="B101" s="120" t="s">
        <v>6</v>
      </c>
      <c r="C101" s="75" t="s">
        <v>85</v>
      </c>
      <c r="D101" s="88">
        <v>197939</v>
      </c>
      <c r="E101" s="2"/>
      <c r="F101" s="2"/>
      <c r="G101" s="30"/>
      <c r="H101" s="30"/>
      <c r="I101" s="2"/>
      <c r="J101" s="2"/>
      <c r="K101" s="2"/>
      <c r="L101" s="2"/>
      <c r="M101" s="41"/>
      <c r="N101" s="42"/>
      <c r="O101" s="2"/>
    </row>
    <row r="102" spans="1:15" s="70" customFormat="1" ht="12.75" customHeight="1" x14ac:dyDescent="0.2">
      <c r="A102" s="87">
        <v>45276</v>
      </c>
      <c r="B102" s="120" t="s">
        <v>6</v>
      </c>
      <c r="C102" s="75" t="s">
        <v>85</v>
      </c>
      <c r="D102" s="88">
        <v>103476</v>
      </c>
      <c r="E102" s="2"/>
      <c r="F102" s="2"/>
      <c r="G102" s="30"/>
      <c r="H102" s="30"/>
      <c r="I102" s="2"/>
      <c r="J102" s="2"/>
      <c r="K102" s="2"/>
      <c r="L102" s="2"/>
      <c r="M102" s="41"/>
      <c r="N102" s="42"/>
      <c r="O102" s="2"/>
    </row>
    <row r="103" spans="1:15" s="70" customFormat="1" ht="12.75" customHeight="1" x14ac:dyDescent="0.2">
      <c r="A103" s="87">
        <v>45278</v>
      </c>
      <c r="B103" s="120" t="s">
        <v>6</v>
      </c>
      <c r="C103" s="75" t="s">
        <v>270</v>
      </c>
      <c r="D103" s="88">
        <v>384076</v>
      </c>
      <c r="E103" s="2"/>
      <c r="F103" s="2"/>
      <c r="G103" s="30"/>
      <c r="H103" s="30"/>
      <c r="I103" s="2"/>
      <c r="J103" s="2"/>
      <c r="K103" s="2"/>
      <c r="L103" s="2"/>
      <c r="M103" s="41"/>
      <c r="N103" s="42"/>
      <c r="O103" s="2"/>
    </row>
    <row r="104" spans="1:15" s="70" customFormat="1" ht="12.75" customHeight="1" x14ac:dyDescent="0.2">
      <c r="A104" s="87">
        <v>45278</v>
      </c>
      <c r="B104" s="120" t="s">
        <v>6</v>
      </c>
      <c r="C104" s="75" t="s">
        <v>85</v>
      </c>
      <c r="D104" s="88">
        <v>427722</v>
      </c>
      <c r="E104" s="2"/>
      <c r="F104" s="2"/>
      <c r="G104" s="30"/>
      <c r="H104" s="30"/>
      <c r="I104" s="2"/>
      <c r="J104" s="2"/>
      <c r="K104" s="2"/>
      <c r="L104" s="2"/>
      <c r="M104" s="41"/>
      <c r="N104" s="42"/>
      <c r="O104" s="2"/>
    </row>
    <row r="105" spans="1:15" s="2" customFormat="1" x14ac:dyDescent="0.2">
      <c r="A105" s="87"/>
      <c r="B105" s="74"/>
      <c r="C105" s="75"/>
      <c r="D105" s="51">
        <f>SUM(D83:D104)</f>
        <v>33101363.5</v>
      </c>
      <c r="F105" s="2" t="s">
        <v>396</v>
      </c>
      <c r="G105" s="1"/>
      <c r="H105" s="1"/>
    </row>
    <row r="106" spans="1:15" s="2" customFormat="1" x14ac:dyDescent="0.2">
      <c r="A106" s="24"/>
      <c r="B106" s="1"/>
      <c r="C106" s="14"/>
      <c r="D106" s="56"/>
      <c r="E106" s="13"/>
      <c r="G106" s="1"/>
      <c r="H106" s="1"/>
    </row>
    <row r="107" spans="1:15" s="2" customFormat="1" x14ac:dyDescent="0.2">
      <c r="A107" s="24"/>
      <c r="B107" s="1"/>
      <c r="C107" s="218" t="s">
        <v>77</v>
      </c>
      <c r="D107" s="219"/>
      <c r="E107" s="219"/>
      <c r="F107" s="220"/>
      <c r="I107" s="2" t="s">
        <v>396</v>
      </c>
    </row>
    <row r="108" spans="1:15" s="2" customFormat="1" x14ac:dyDescent="0.2">
      <c r="A108" s="24"/>
      <c r="B108" s="1"/>
      <c r="C108" s="50"/>
      <c r="D108" s="57" t="s">
        <v>78</v>
      </c>
      <c r="E108" s="58" t="s">
        <v>79</v>
      </c>
      <c r="F108" s="57" t="s">
        <v>72</v>
      </c>
      <c r="I108" s="2" t="s">
        <v>396</v>
      </c>
    </row>
    <row r="109" spans="1:15" s="2" customFormat="1" x14ac:dyDescent="0.2">
      <c r="A109" s="24"/>
      <c r="B109" s="1"/>
      <c r="C109" s="59" t="str">
        <f>"01-12-2023 to "&amp;TEXT(A5-2,"dd-mm-yyyy")</f>
        <v>01-12-2023 to 17-12-2023</v>
      </c>
      <c r="D109" s="60">
        <v>1222</v>
      </c>
      <c r="E109" s="60">
        <v>388.74</v>
      </c>
      <c r="F109" s="61">
        <f>SUM(D109:E109)</f>
        <v>1610.74</v>
      </c>
    </row>
    <row r="110" spans="1:15" s="2" customFormat="1" x14ac:dyDescent="0.2">
      <c r="A110" s="24"/>
      <c r="B110" s="1"/>
      <c r="C110" s="62" t="str">
        <f>TEXT(A5-1,"dd-mm-yyyy")</f>
        <v>18-12-2023</v>
      </c>
      <c r="D110" s="60">
        <v>107.02</v>
      </c>
      <c r="E110" s="60">
        <v>21.12</v>
      </c>
      <c r="F110" s="61">
        <f>SUM(D110:E110)</f>
        <v>128.13999999999999</v>
      </c>
      <c r="G110" s="1"/>
      <c r="H110" s="1"/>
      <c r="I110" s="53"/>
    </row>
    <row r="111" spans="1:15" s="2" customFormat="1" ht="13.5" thickBot="1" x14ac:dyDescent="0.25">
      <c r="A111" s="24"/>
      <c r="B111" s="1"/>
      <c r="C111" s="63" t="str">
        <f>"01-12-2023 to "&amp;TEXT(A5-1,"dd-mm-yyyy")</f>
        <v>01-12-2023 to 18-12-2023</v>
      </c>
      <c r="D111" s="64">
        <f>SUM(D109:D110)</f>
        <v>1329.02</v>
      </c>
      <c r="E111" s="64">
        <f>SUM(E109:E110)</f>
        <v>409.86</v>
      </c>
      <c r="F111" s="64">
        <f>SUM(F109:F110)</f>
        <v>1738.88</v>
      </c>
      <c r="G111" s="1"/>
      <c r="H111" s="1"/>
      <c r="I111" s="53"/>
    </row>
    <row r="112" spans="1:15" s="2" customFormat="1" ht="13.5" thickTop="1" x14ac:dyDescent="0.2">
      <c r="A112" s="24"/>
      <c r="B112" s="1"/>
      <c r="C112" s="62"/>
      <c r="D112" s="65"/>
      <c r="E112" s="66"/>
      <c r="F112" s="67"/>
      <c r="M112" s="1"/>
      <c r="N112" s="1"/>
    </row>
    <row r="113" spans="1:14" s="2" customFormat="1" x14ac:dyDescent="0.2">
      <c r="A113" s="24"/>
      <c r="B113" s="1"/>
      <c r="C113" s="62" t="str">
        <f>"01-04-2023 to " &amp;C110</f>
        <v>01-04-2023 to 18-12-2023</v>
      </c>
      <c r="D113" s="68">
        <f>+D111+32234.22</f>
        <v>33563.24</v>
      </c>
      <c r="E113" s="68">
        <f>+E111+3134.59</f>
        <v>3544.4500000000003</v>
      </c>
      <c r="F113" s="68">
        <f>+F111+35368.81</f>
        <v>37107.689999999995</v>
      </c>
      <c r="G113" s="1"/>
      <c r="H113" s="1"/>
      <c r="M113" s="1"/>
      <c r="N113" s="1"/>
    </row>
    <row r="114" spans="1:14" s="2" customFormat="1" x14ac:dyDescent="0.2">
      <c r="A114" s="24"/>
      <c r="B114" s="1"/>
      <c r="C114" s="52"/>
      <c r="D114" s="85"/>
      <c r="E114" s="53"/>
      <c r="F114" s="53"/>
      <c r="G114" s="1"/>
      <c r="H114" s="1"/>
      <c r="M114" s="1"/>
      <c r="N114" s="1"/>
    </row>
    <row r="115" spans="1:14" s="2" customFormat="1" x14ac:dyDescent="0.2">
      <c r="A115" s="24"/>
      <c r="B115" s="1"/>
      <c r="C115" s="52"/>
      <c r="D115" s="85"/>
      <c r="E115" s="53"/>
      <c r="F115" s="53"/>
      <c r="G115" s="1"/>
      <c r="H115" s="1"/>
      <c r="M115" s="1"/>
      <c r="N115" s="1"/>
    </row>
    <row r="116" spans="1:14" s="2" customFormat="1" x14ac:dyDescent="0.2">
      <c r="A116" s="24"/>
      <c r="B116" s="1"/>
      <c r="C116" s="52"/>
      <c r="D116" s="85"/>
      <c r="E116" s="53"/>
      <c r="F116" s="53"/>
      <c r="G116" s="1"/>
      <c r="H116" s="1"/>
      <c r="M116" s="1"/>
      <c r="N116" s="1"/>
    </row>
    <row r="117" spans="1:14" s="2" customFormat="1" x14ac:dyDescent="0.2">
      <c r="A117" s="24"/>
      <c r="B117" s="1"/>
      <c r="C117" s="52"/>
      <c r="D117" s="85"/>
      <c r="E117" s="53"/>
      <c r="F117" s="53"/>
      <c r="G117" s="1"/>
      <c r="H117" s="1"/>
      <c r="M117" s="1"/>
      <c r="N117" s="1"/>
    </row>
    <row r="118" spans="1:14" s="2" customFormat="1" x14ac:dyDescent="0.2">
      <c r="A118" s="24"/>
      <c r="B118" s="1"/>
      <c r="C118" s="14"/>
      <c r="D118" s="25">
        <f>SUM(D115:D117)</f>
        <v>0</v>
      </c>
      <c r="E118" s="2">
        <f>SUM(E115:E117)</f>
        <v>0</v>
      </c>
      <c r="G118" s="1"/>
      <c r="H118" s="1"/>
      <c r="M118" s="1"/>
      <c r="N118" s="1"/>
    </row>
    <row r="119" spans="1:14" s="2" customFormat="1" x14ac:dyDescent="0.2">
      <c r="A119" s="24"/>
      <c r="B119" s="1"/>
      <c r="C119" s="14"/>
      <c r="D119" s="25"/>
      <c r="G119" s="1"/>
      <c r="H119" s="1"/>
      <c r="M119" s="1"/>
      <c r="N119" s="1"/>
    </row>
    <row r="120" spans="1:14" s="2" customFormat="1" x14ac:dyDescent="0.2">
      <c r="A120" s="24"/>
      <c r="B120" s="1"/>
      <c r="C120" s="14"/>
      <c r="D120" s="25"/>
      <c r="G120" s="1"/>
      <c r="H120" s="1"/>
      <c r="M120" s="1"/>
      <c r="N120" s="1"/>
    </row>
    <row r="121" spans="1:14" s="2" customFormat="1" x14ac:dyDescent="0.2">
      <c r="A121" s="24"/>
      <c r="B121" s="1"/>
      <c r="C121" s="14"/>
      <c r="D121" s="25"/>
      <c r="G121" s="1"/>
      <c r="H121" s="1"/>
      <c r="M121" s="1"/>
      <c r="N121" s="1"/>
    </row>
    <row r="122" spans="1:14" s="2" customFormat="1" x14ac:dyDescent="0.2">
      <c r="A122" s="24"/>
      <c r="B122" s="1"/>
      <c r="C122" s="14"/>
      <c r="D122" s="25"/>
      <c r="G122" s="1"/>
      <c r="H122" s="1"/>
      <c r="M122" s="1"/>
      <c r="N122" s="1"/>
    </row>
    <row r="123" spans="1:14" s="2" customFormat="1" x14ac:dyDescent="0.2">
      <c r="A123" s="24"/>
      <c r="B123" s="1"/>
      <c r="C123" s="14"/>
      <c r="D123" s="25"/>
      <c r="G123" s="1"/>
      <c r="H123" s="1"/>
      <c r="M123" s="1"/>
      <c r="N123" s="1"/>
    </row>
    <row r="124" spans="1:14" s="2" customFormat="1" x14ac:dyDescent="0.2">
      <c r="A124" s="24"/>
      <c r="B124" s="1"/>
      <c r="C124" s="14"/>
      <c r="D124" s="25"/>
      <c r="G124" s="1"/>
      <c r="H124" s="1"/>
      <c r="M124" s="1"/>
      <c r="N124" s="1"/>
    </row>
    <row r="125" spans="1:14" s="2" customFormat="1" x14ac:dyDescent="0.2">
      <c r="A125" s="24"/>
      <c r="B125" s="1"/>
      <c r="C125" s="14"/>
      <c r="D125" s="25"/>
      <c r="G125" s="1"/>
      <c r="H125" s="1"/>
      <c r="M125" s="1"/>
      <c r="N125" s="1"/>
    </row>
    <row r="126" spans="1:14" s="2" customFormat="1" x14ac:dyDescent="0.2">
      <c r="A126" s="24"/>
      <c r="B126" s="1"/>
      <c r="C126" s="14"/>
      <c r="D126" s="25"/>
      <c r="G126" s="1"/>
      <c r="H126" s="1"/>
      <c r="M126" s="1"/>
      <c r="N126" s="1"/>
    </row>
    <row r="127" spans="1:14" s="2" customFormat="1" x14ac:dyDescent="0.2">
      <c r="A127" s="24"/>
      <c r="B127" s="1"/>
      <c r="C127" s="14"/>
      <c r="D127" s="25"/>
      <c r="G127" s="1"/>
      <c r="H127" s="1"/>
      <c r="M127" s="1"/>
      <c r="N127" s="1"/>
    </row>
    <row r="128" spans="1:14" s="2" customFormat="1" x14ac:dyDescent="0.2">
      <c r="A128" s="24"/>
      <c r="B128" s="1"/>
      <c r="C128" s="14"/>
      <c r="D128" s="25"/>
      <c r="G128" s="1"/>
      <c r="H128" s="1"/>
      <c r="M128" s="1"/>
      <c r="N128" s="1"/>
    </row>
    <row r="129" spans="1:15" s="2" customFormat="1" x14ac:dyDescent="0.2">
      <c r="A129" s="24"/>
      <c r="B129" s="1"/>
      <c r="C129" s="14"/>
      <c r="D129" s="25"/>
      <c r="G129" s="1"/>
      <c r="H129" s="1"/>
      <c r="M129" s="1"/>
      <c r="N129" s="1"/>
    </row>
    <row r="130" spans="1:15" s="2" customFormat="1" x14ac:dyDescent="0.2">
      <c r="A130" s="24"/>
      <c r="B130" s="1"/>
      <c r="C130" s="14"/>
      <c r="D130" s="25"/>
      <c r="G130" s="1"/>
      <c r="H130" s="1"/>
      <c r="M130" s="1"/>
      <c r="N130" s="1"/>
    </row>
    <row r="131" spans="1:15" s="2" customFormat="1" x14ac:dyDescent="0.2">
      <c r="A131" s="24"/>
      <c r="B131" s="1"/>
      <c r="C131" s="14"/>
      <c r="D131" s="25"/>
      <c r="G131" s="1"/>
      <c r="H131" s="1"/>
      <c r="M131" s="1"/>
      <c r="N131" s="1"/>
    </row>
    <row r="132" spans="1:15" s="2" customFormat="1" x14ac:dyDescent="0.2">
      <c r="A132" s="24"/>
      <c r="B132" s="1"/>
      <c r="C132" s="14"/>
      <c r="D132" s="25"/>
      <c r="G132" s="1"/>
      <c r="H132" s="1"/>
      <c r="J132" s="1"/>
      <c r="K132" s="1"/>
      <c r="L132" s="1"/>
      <c r="M132" s="1"/>
      <c r="N132" s="1"/>
    </row>
    <row r="133" spans="1:15" s="2" customFormat="1" x14ac:dyDescent="0.2">
      <c r="A133" s="24"/>
      <c r="B133" s="1"/>
      <c r="C133" s="14"/>
      <c r="D133" s="25"/>
      <c r="G133" s="1"/>
      <c r="H133" s="1"/>
    </row>
    <row r="134" spans="1:15" s="2" customFormat="1" x14ac:dyDescent="0.2">
      <c r="A134" s="24"/>
      <c r="B134" s="1"/>
      <c r="C134" s="14"/>
      <c r="D134" s="25"/>
      <c r="G134" s="1"/>
      <c r="H134" s="1"/>
      <c r="J134" s="1"/>
      <c r="K134" s="1"/>
      <c r="L134" s="1"/>
      <c r="M134" s="1"/>
      <c r="N134" s="1"/>
    </row>
    <row r="135" spans="1:15" s="2" customFormat="1" x14ac:dyDescent="0.2">
      <c r="A135" s="24"/>
      <c r="B135" s="1"/>
      <c r="C135" s="14"/>
      <c r="D135" s="25"/>
      <c r="G135" s="54"/>
      <c r="H135" s="54"/>
      <c r="J135" s="1"/>
      <c r="K135" s="1"/>
      <c r="L135" s="1"/>
      <c r="M135" s="1"/>
      <c r="N135" s="1"/>
    </row>
    <row r="136" spans="1:15" s="2" customFormat="1" x14ac:dyDescent="0.2">
      <c r="A136" s="24"/>
      <c r="B136" s="1"/>
      <c r="C136" s="14"/>
      <c r="D136" s="25"/>
      <c r="G136" s="54"/>
      <c r="H136" s="54"/>
      <c r="J136" s="1"/>
      <c r="K136" s="1"/>
      <c r="L136" s="1"/>
      <c r="M136" s="1"/>
      <c r="N136" s="1"/>
    </row>
    <row r="137" spans="1:15" s="2" customFormat="1" x14ac:dyDescent="0.2">
      <c r="A137" s="24"/>
      <c r="B137" s="1"/>
      <c r="C137" s="14"/>
      <c r="D137" s="25"/>
      <c r="G137" s="54"/>
      <c r="H137" s="54"/>
      <c r="J137" s="1"/>
      <c r="K137" s="1"/>
      <c r="L137" s="1"/>
      <c r="M137" s="1"/>
      <c r="N137" s="1"/>
    </row>
    <row r="138" spans="1:15" s="2" customFormat="1" x14ac:dyDescent="0.2">
      <c r="A138" s="24"/>
      <c r="B138" s="1"/>
      <c r="C138" s="14"/>
      <c r="D138" s="25"/>
      <c r="G138" s="54"/>
      <c r="H138" s="54"/>
      <c r="I138" s="2" t="s">
        <v>396</v>
      </c>
      <c r="J138" s="1"/>
      <c r="K138" s="1"/>
      <c r="L138" s="1"/>
      <c r="M138" s="1"/>
      <c r="N138" s="1"/>
      <c r="O138" s="1"/>
    </row>
    <row r="139" spans="1:15" s="2" customFormat="1" x14ac:dyDescent="0.2">
      <c r="A139" s="24"/>
      <c r="B139" s="1"/>
      <c r="C139" s="14"/>
      <c r="D139" s="25"/>
      <c r="G139" s="54"/>
      <c r="H139" s="54"/>
      <c r="I139" s="53"/>
    </row>
    <row r="140" spans="1:15" s="2" customFormat="1" x14ac:dyDescent="0.2">
      <c r="A140" s="24"/>
      <c r="B140" s="1"/>
      <c r="C140" s="14"/>
      <c r="D140" s="25"/>
      <c r="G140" s="54"/>
      <c r="H140" s="54"/>
      <c r="I140" s="53" t="s">
        <v>396</v>
      </c>
      <c r="J140" s="1"/>
      <c r="K140" s="1"/>
      <c r="L140" s="1"/>
      <c r="M140" s="1"/>
      <c r="N140" s="1"/>
      <c r="O140" s="1"/>
    </row>
    <row r="141" spans="1:15" x14ac:dyDescent="0.2">
      <c r="G141" s="54"/>
      <c r="H141" s="54"/>
      <c r="I141" s="53" t="s">
        <v>396</v>
      </c>
      <c r="K141" s="42"/>
    </row>
    <row r="142" spans="1:15" s="2" customFormat="1" x14ac:dyDescent="0.2">
      <c r="A142" s="24"/>
      <c r="B142" s="1"/>
      <c r="C142" s="14"/>
      <c r="D142" s="25"/>
      <c r="G142" s="54"/>
      <c r="H142" s="54"/>
      <c r="I142" s="53"/>
      <c r="J142" s="101"/>
      <c r="K142" s="1"/>
      <c r="L142" s="1"/>
      <c r="M142" s="1"/>
      <c r="N142" s="1"/>
      <c r="O142" s="1"/>
    </row>
    <row r="143" spans="1:15" x14ac:dyDescent="0.2">
      <c r="G143" s="54"/>
      <c r="H143" s="54"/>
      <c r="I143" s="53"/>
    </row>
    <row r="144" spans="1:15" x14ac:dyDescent="0.2">
      <c r="G144" s="54"/>
      <c r="H144" s="54"/>
      <c r="I144" s="53"/>
    </row>
    <row r="145" spans="7:9" x14ac:dyDescent="0.2">
      <c r="G145" s="54"/>
      <c r="H145" s="54"/>
      <c r="I145" s="53"/>
    </row>
  </sheetData>
  <sheetProtection insertRows="0"/>
  <mergeCells count="7">
    <mergeCell ref="K74:L74"/>
    <mergeCell ref="A81:D81"/>
    <mergeCell ref="C107:F107"/>
    <mergeCell ref="A1:H1"/>
    <mergeCell ref="A3:F3"/>
    <mergeCell ref="A9:F9"/>
    <mergeCell ref="A36:F36"/>
  </mergeCells>
  <conditionalFormatting sqref="H78:H79">
    <cfRule type="cellIs" dxfId="169" priority="1" operator="lessThan">
      <formula>0</formula>
    </cfRule>
  </conditionalFormatting>
  <conditionalFormatting sqref="C38">
    <cfRule type="duplicateValues" dxfId="168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E00-000000000000}">
  <sheetPr codeName="Sheet502">
    <pageSetUpPr fitToPage="1"/>
  </sheetPr>
  <dimension ref="A1:O132"/>
  <sheetViews>
    <sheetView topLeftCell="A19" zoomScaleNormal="100" workbookViewId="0">
      <selection activeCell="H31" sqref="H31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12.85546875" style="1" customWidth="1"/>
    <col min="9" max="9" width="24.85546875" style="2" bestFit="1" customWidth="1"/>
    <col min="10" max="10" width="21.5703125" style="1" bestFit="1" customWidth="1"/>
    <col min="11" max="11" width="16.85546875" style="1" bestFit="1" customWidth="1"/>
    <col min="12" max="12" width="17.28515625" style="1" bestFit="1" customWidth="1"/>
    <col min="13" max="13" width="13.5703125" style="1" bestFit="1" customWidth="1"/>
    <col min="14" max="14" width="17.42578125" style="1" bestFit="1" customWidth="1"/>
    <col min="15" max="15" width="12.85546875" style="1" bestFit="1" customWidth="1"/>
    <col min="16" max="17" width="9.140625" style="1"/>
    <col min="18" max="18" width="15.5703125" style="1" bestFit="1" customWidth="1"/>
    <col min="19" max="16384" width="9.140625" style="1"/>
  </cols>
  <sheetData>
    <row r="1" spans="1:14" ht="20.25" customHeight="1" x14ac:dyDescent="0.4">
      <c r="A1" s="212" t="s">
        <v>1887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4" ht="12.75" customHeight="1" x14ac:dyDescent="0.4">
      <c r="I2" s="112"/>
      <c r="J2" s="112"/>
    </row>
    <row r="3" spans="1:14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4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4" s="2" customFormat="1" ht="14.25" customHeight="1" x14ac:dyDescent="0.4">
      <c r="A5" s="89">
        <v>45280</v>
      </c>
      <c r="B5" s="9" t="s">
        <v>6</v>
      </c>
      <c r="C5" s="10" t="s">
        <v>7</v>
      </c>
      <c r="D5" s="11"/>
      <c r="E5" s="12">
        <v>806052.23000000045</v>
      </c>
      <c r="F5" s="12"/>
      <c r="G5" s="1"/>
      <c r="H5" s="1"/>
      <c r="I5" s="112"/>
      <c r="J5" s="112"/>
    </row>
    <row r="6" spans="1:14" s="2" customFormat="1" ht="12.75" customHeight="1" x14ac:dyDescent="0.2">
      <c r="D6" s="15" t="s">
        <v>8</v>
      </c>
      <c r="E6" s="16">
        <f>SUM(E5:E5)</f>
        <v>806052.23000000045</v>
      </c>
      <c r="F6" s="16">
        <f>F5</f>
        <v>0</v>
      </c>
      <c r="G6" s="1"/>
      <c r="H6" s="1"/>
      <c r="I6" s="13" t="s">
        <v>1582</v>
      </c>
      <c r="J6" s="13" t="s">
        <v>1583</v>
      </c>
    </row>
    <row r="7" spans="1:14" s="2" customFormat="1" ht="12.75" customHeight="1" x14ac:dyDescent="0.2">
      <c r="A7" s="17"/>
      <c r="B7" s="18"/>
      <c r="C7" s="19" t="s">
        <v>9</v>
      </c>
      <c r="D7" s="20"/>
      <c r="E7" s="21">
        <f>+E6-F6</f>
        <v>806052.23000000045</v>
      </c>
      <c r="F7" s="22"/>
      <c r="G7" s="23"/>
      <c r="H7" s="23"/>
      <c r="I7" s="2">
        <v>278780</v>
      </c>
      <c r="J7" s="2">
        <v>0</v>
      </c>
      <c r="K7" s="176">
        <f>I7-J7</f>
        <v>278780</v>
      </c>
    </row>
    <row r="8" spans="1:14" ht="12.75" customHeight="1" x14ac:dyDescent="0.4">
      <c r="I8" s="112"/>
      <c r="J8" s="112"/>
    </row>
    <row r="9" spans="1:14" ht="18" customHeight="1" x14ac:dyDescent="0.4">
      <c r="A9" s="213" t="s">
        <v>1037</v>
      </c>
      <c r="B9" s="213"/>
      <c r="C9" s="213"/>
      <c r="D9" s="213"/>
      <c r="E9" s="213"/>
      <c r="F9" s="213"/>
      <c r="I9" s="112"/>
      <c r="J9" s="169">
        <f>90000000-60000000</f>
        <v>30000000</v>
      </c>
      <c r="K9" s="169" t="s">
        <v>1508</v>
      </c>
    </row>
    <row r="10" spans="1:14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I10" s="112"/>
      <c r="J10" s="169">
        <v>28120622.670000002</v>
      </c>
      <c r="K10" s="169" t="s">
        <v>1509</v>
      </c>
      <c r="L10" s="124"/>
    </row>
    <row r="11" spans="1:14" s="2" customFormat="1" ht="14.25" customHeight="1" x14ac:dyDescent="0.2">
      <c r="A11" s="89">
        <v>45280</v>
      </c>
      <c r="B11" s="9" t="s">
        <v>6</v>
      </c>
      <c r="C11" s="10" t="s">
        <v>7</v>
      </c>
      <c r="D11" s="11"/>
      <c r="F11" s="12">
        <v>29717720.670000002</v>
      </c>
      <c r="G11" s="1"/>
      <c r="H11" s="1"/>
      <c r="I11" s="130" t="s">
        <v>396</v>
      </c>
      <c r="J11" s="169">
        <f>+J9-J10</f>
        <v>1879377.3299999982</v>
      </c>
      <c r="K11" s="169" t="s">
        <v>712</v>
      </c>
      <c r="L11" s="165" t="s">
        <v>1512</v>
      </c>
    </row>
    <row r="12" spans="1:14" s="2" customFormat="1" ht="14.25" customHeight="1" x14ac:dyDescent="0.2">
      <c r="A12" s="89">
        <v>45280</v>
      </c>
      <c r="B12" s="9" t="s">
        <v>6</v>
      </c>
      <c r="C12" s="76" t="s">
        <v>763</v>
      </c>
      <c r="D12" s="11" t="s">
        <v>13</v>
      </c>
      <c r="E12" s="31">
        <f>235257+564475</f>
        <v>799732</v>
      </c>
      <c r="F12" s="31"/>
      <c r="G12" s="1"/>
      <c r="H12" s="1"/>
      <c r="I12" s="130"/>
      <c r="J12" s="169"/>
      <c r="K12" s="169"/>
      <c r="L12" s="165"/>
    </row>
    <row r="13" spans="1:14" s="2" customFormat="1" ht="14.25" customHeight="1" x14ac:dyDescent="0.2">
      <c r="A13" s="89">
        <v>45280</v>
      </c>
      <c r="B13" s="9" t="s">
        <v>6</v>
      </c>
      <c r="C13" s="76" t="s">
        <v>1431</v>
      </c>
      <c r="D13" s="11" t="s">
        <v>29</v>
      </c>
      <c r="E13" s="31">
        <v>1032623</v>
      </c>
      <c r="F13" s="31"/>
      <c r="G13" s="1"/>
      <c r="H13" s="1"/>
      <c r="I13" s="130"/>
      <c r="J13" s="169"/>
      <c r="K13" s="169"/>
      <c r="L13" s="165"/>
    </row>
    <row r="14" spans="1:14" s="2" customFormat="1" ht="14.25" customHeight="1" x14ac:dyDescent="0.2">
      <c r="A14" s="89">
        <v>45280</v>
      </c>
      <c r="B14" s="9" t="s">
        <v>6</v>
      </c>
      <c r="C14" s="76" t="s">
        <v>310</v>
      </c>
      <c r="D14" s="11" t="s">
        <v>29</v>
      </c>
      <c r="E14" s="31">
        <v>43523</v>
      </c>
      <c r="F14" s="31"/>
      <c r="G14" s="1"/>
      <c r="H14" s="1"/>
      <c r="I14" s="130"/>
      <c r="J14" s="169"/>
      <c r="K14" s="169"/>
      <c r="L14" s="165"/>
    </row>
    <row r="15" spans="1:14" s="2" customFormat="1" ht="14.25" customHeight="1" x14ac:dyDescent="0.2">
      <c r="D15" s="11" t="s">
        <v>8</v>
      </c>
      <c r="E15" s="16">
        <f>SUM(E12:E14)</f>
        <v>1875878</v>
      </c>
      <c r="F15" s="16">
        <f>SUM(F11:F14)</f>
        <v>29717720.670000002</v>
      </c>
      <c r="G15" s="1"/>
      <c r="H15" s="1"/>
      <c r="I15" s="143"/>
      <c r="J15" s="130"/>
      <c r="K15" s="143"/>
      <c r="L15" s="143"/>
      <c r="M15" s="143"/>
      <c r="N15" s="143"/>
    </row>
    <row r="16" spans="1:14" s="2" customFormat="1" ht="14.25" customHeight="1" x14ac:dyDescent="0.4">
      <c r="A16" s="17"/>
      <c r="B16" s="18"/>
      <c r="C16" s="96" t="s">
        <v>9</v>
      </c>
      <c r="D16" s="20"/>
      <c r="E16" s="21">
        <f>+F15-E15</f>
        <v>27841842.670000002</v>
      </c>
      <c r="G16" s="1"/>
      <c r="H16" s="1"/>
      <c r="J16" s="112"/>
      <c r="K16" s="153" t="s">
        <v>779</v>
      </c>
    </row>
    <row r="17" spans="1:15" s="2" customFormat="1" ht="14.25" customHeight="1" x14ac:dyDescent="0.2">
      <c r="A17" s="36"/>
      <c r="B17" s="28" t="s">
        <v>66</v>
      </c>
      <c r="C17" s="43" t="s">
        <v>1458</v>
      </c>
      <c r="D17" s="43"/>
      <c r="E17" s="12">
        <f>30000000+60000000</f>
        <v>90000000</v>
      </c>
      <c r="F17" s="22"/>
      <c r="G17" s="1"/>
      <c r="H17" s="1"/>
      <c r="J17" s="40">
        <v>27841842.670000002</v>
      </c>
      <c r="K17" s="154">
        <f>J17-E16</f>
        <v>0</v>
      </c>
    </row>
    <row r="18" spans="1:15" s="2" customFormat="1" ht="14.25" customHeight="1" x14ac:dyDescent="0.25">
      <c r="A18" s="36"/>
      <c r="B18" s="28"/>
      <c r="C18" s="44" t="s">
        <v>1541</v>
      </c>
      <c r="D18" s="43"/>
      <c r="E18" s="7">
        <f>+E16+E17</f>
        <v>117841842.67</v>
      </c>
      <c r="F18" s="22"/>
      <c r="G18" s="1"/>
      <c r="H18" s="1"/>
      <c r="I18" s="13" t="s">
        <v>1582</v>
      </c>
      <c r="J18" s="13" t="s">
        <v>1583</v>
      </c>
    </row>
    <row r="19" spans="1:15" s="2" customFormat="1" ht="14.25" customHeight="1" x14ac:dyDescent="0.25">
      <c r="A19" s="36"/>
      <c r="B19" s="28"/>
      <c r="C19" s="44" t="s">
        <v>1511</v>
      </c>
      <c r="D19" s="43"/>
      <c r="E19" s="38">
        <f>+J11+I7-J7</f>
        <v>2158157.3299999982</v>
      </c>
      <c r="F19" s="22"/>
      <c r="G19" s="1"/>
      <c r="H19" s="1"/>
      <c r="I19" s="2">
        <v>1956374</v>
      </c>
      <c r="J19" s="2">
        <v>4279651</v>
      </c>
      <c r="K19" s="176">
        <f>I19-J19</f>
        <v>-2323277</v>
      </c>
    </row>
    <row r="20" spans="1:15" s="2" customFormat="1" ht="14.25" customHeight="1" x14ac:dyDescent="0.2">
      <c r="A20" s="24"/>
      <c r="B20" s="1"/>
      <c r="C20" s="14"/>
      <c r="D20" s="25"/>
      <c r="G20" s="1"/>
      <c r="H20" s="1"/>
      <c r="J20" s="130"/>
      <c r="K20" s="130"/>
    </row>
    <row r="21" spans="1:15" s="2" customFormat="1" x14ac:dyDescent="0.2">
      <c r="A21" s="214" t="s">
        <v>10</v>
      </c>
      <c r="B21" s="214"/>
      <c r="C21" s="214"/>
      <c r="D21" s="214"/>
      <c r="E21" s="214"/>
      <c r="F21" s="214"/>
      <c r="G21" s="1"/>
      <c r="H21" s="1"/>
      <c r="I21" s="159"/>
      <c r="J21" s="160">
        <f>225000000-75000000-50000000</f>
        <v>100000000</v>
      </c>
      <c r="K21" s="160" t="s">
        <v>1506</v>
      </c>
      <c r="L21" s="70"/>
    </row>
    <row r="22" spans="1:15" s="2" customFormat="1" x14ac:dyDescent="0.2">
      <c r="A22" s="26" t="s">
        <v>1</v>
      </c>
      <c r="B22" s="27" t="s">
        <v>2</v>
      </c>
      <c r="C22" s="5"/>
      <c r="D22" s="6" t="s">
        <v>3</v>
      </c>
      <c r="E22" s="7" t="s">
        <v>4</v>
      </c>
      <c r="F22" s="7" t="s">
        <v>5</v>
      </c>
      <c r="G22" s="1"/>
      <c r="H22" s="1"/>
      <c r="I22" s="159"/>
      <c r="J22" s="160">
        <v>78960522.099999994</v>
      </c>
      <c r="K22" s="160" t="s">
        <v>1507</v>
      </c>
      <c r="L22" s="70" t="s">
        <v>1512</v>
      </c>
    </row>
    <row r="23" spans="1:15" s="2" customFormat="1" x14ac:dyDescent="0.2">
      <c r="A23" s="89">
        <v>45280</v>
      </c>
      <c r="B23" s="128" t="s">
        <v>11</v>
      </c>
      <c r="C23" s="29" t="s">
        <v>7</v>
      </c>
      <c r="D23" s="25"/>
      <c r="E23" s="31"/>
      <c r="F23" s="2">
        <v>87237713.769999981</v>
      </c>
      <c r="G23" s="23"/>
      <c r="H23" s="23"/>
      <c r="I23" s="159" t="s">
        <v>1505</v>
      </c>
      <c r="J23" s="160">
        <f>+J21-J22</f>
        <v>21039477.900000006</v>
      </c>
      <c r="K23" s="160"/>
      <c r="L23" s="70"/>
    </row>
    <row r="24" spans="1:15" s="2" customFormat="1" x14ac:dyDescent="0.2">
      <c r="A24" s="89">
        <v>45280</v>
      </c>
      <c r="B24" s="128" t="s">
        <v>6</v>
      </c>
      <c r="C24" s="29" t="s">
        <v>1555</v>
      </c>
      <c r="D24" s="11" t="s">
        <v>13</v>
      </c>
      <c r="E24" s="86">
        <v>15453</v>
      </c>
      <c r="F24" s="70"/>
      <c r="G24" s="1"/>
      <c r="H24" s="1"/>
      <c r="O24" s="1"/>
    </row>
    <row r="25" spans="1:15" s="2" customFormat="1" x14ac:dyDescent="0.2">
      <c r="A25" s="89">
        <v>45280</v>
      </c>
      <c r="B25" s="128" t="s">
        <v>6</v>
      </c>
      <c r="C25" s="29" t="s">
        <v>459</v>
      </c>
      <c r="D25" s="11" t="s">
        <v>13</v>
      </c>
      <c r="E25" s="86">
        <v>18035</v>
      </c>
      <c r="F25" s="70"/>
      <c r="G25" s="1"/>
      <c r="H25" s="1"/>
      <c r="O25" s="1"/>
    </row>
    <row r="26" spans="1:15" s="2" customFormat="1" x14ac:dyDescent="0.2">
      <c r="A26" s="89">
        <v>45280</v>
      </c>
      <c r="B26" s="128" t="s">
        <v>6</v>
      </c>
      <c r="C26" s="29" t="s">
        <v>14</v>
      </c>
      <c r="D26" s="11" t="s">
        <v>13</v>
      </c>
      <c r="E26" s="86">
        <v>2703915</v>
      </c>
      <c r="F26" s="70"/>
      <c r="G26" s="1"/>
      <c r="H26" s="1"/>
      <c r="O26" s="1"/>
    </row>
    <row r="27" spans="1:15" s="2" customFormat="1" x14ac:dyDescent="0.2">
      <c r="A27" s="89">
        <v>45280</v>
      </c>
      <c r="B27" s="128" t="s">
        <v>6</v>
      </c>
      <c r="C27" s="29" t="s">
        <v>120</v>
      </c>
      <c r="D27" s="11" t="s">
        <v>13</v>
      </c>
      <c r="E27" s="86">
        <v>1953093</v>
      </c>
      <c r="F27" s="70"/>
      <c r="G27" s="1"/>
      <c r="H27" s="1"/>
      <c r="O27" s="1"/>
    </row>
    <row r="28" spans="1:15" s="2" customFormat="1" x14ac:dyDescent="0.2">
      <c r="A28" s="89">
        <v>45280</v>
      </c>
      <c r="B28" s="128" t="s">
        <v>6</v>
      </c>
      <c r="C28" s="29" t="s">
        <v>24</v>
      </c>
      <c r="D28" s="11" t="s">
        <v>13</v>
      </c>
      <c r="E28" s="86">
        <v>201122</v>
      </c>
      <c r="F28" s="70"/>
      <c r="G28" s="1"/>
      <c r="H28" s="1"/>
      <c r="O28" s="1"/>
    </row>
    <row r="29" spans="1:15" s="2" customFormat="1" x14ac:dyDescent="0.2">
      <c r="A29" s="89">
        <v>45280</v>
      </c>
      <c r="B29" s="128" t="s">
        <v>6</v>
      </c>
      <c r="C29" s="29" t="s">
        <v>15</v>
      </c>
      <c r="D29" s="11" t="s">
        <v>13</v>
      </c>
      <c r="E29" s="86">
        <v>2245.94</v>
      </c>
      <c r="F29" s="70"/>
      <c r="G29" s="1"/>
      <c r="H29" s="1"/>
      <c r="O29" s="1"/>
    </row>
    <row r="30" spans="1:15" s="2" customFormat="1" x14ac:dyDescent="0.2">
      <c r="A30" s="89">
        <v>45280</v>
      </c>
      <c r="B30" s="128" t="s">
        <v>6</v>
      </c>
      <c r="C30" s="29" t="s">
        <v>15</v>
      </c>
      <c r="D30" s="11" t="s">
        <v>13</v>
      </c>
      <c r="E30" s="86">
        <v>145000</v>
      </c>
      <c r="F30" s="70"/>
      <c r="G30" s="1"/>
      <c r="H30" s="1"/>
      <c r="O30" s="1"/>
    </row>
    <row r="31" spans="1:15" s="2" customFormat="1" x14ac:dyDescent="0.2">
      <c r="A31" s="89">
        <v>45280</v>
      </c>
      <c r="B31" s="128" t="s">
        <v>6</v>
      </c>
      <c r="C31" s="29" t="s">
        <v>276</v>
      </c>
      <c r="D31" s="11" t="s">
        <v>13</v>
      </c>
      <c r="E31" s="86">
        <v>33510</v>
      </c>
      <c r="F31" s="70"/>
      <c r="G31" s="1"/>
      <c r="H31" s="1"/>
      <c r="O31" s="1"/>
    </row>
    <row r="32" spans="1:15" s="2" customFormat="1" x14ac:dyDescent="0.2">
      <c r="A32" s="89">
        <v>45280</v>
      </c>
      <c r="B32" s="128" t="s">
        <v>6</v>
      </c>
      <c r="C32" s="29" t="s">
        <v>332</v>
      </c>
      <c r="D32" s="11" t="s">
        <v>13</v>
      </c>
      <c r="E32" s="86">
        <v>4669</v>
      </c>
      <c r="F32" s="70"/>
      <c r="G32" s="1"/>
      <c r="H32" s="1"/>
      <c r="O32" s="1"/>
    </row>
    <row r="33" spans="1:15" s="2" customFormat="1" x14ac:dyDescent="0.2">
      <c r="A33" s="89">
        <v>45280</v>
      </c>
      <c r="B33" s="128" t="s">
        <v>6</v>
      </c>
      <c r="C33" s="29" t="s">
        <v>266</v>
      </c>
      <c r="D33" s="11" t="s">
        <v>13</v>
      </c>
      <c r="E33" s="86">
        <v>400000</v>
      </c>
      <c r="F33" s="70"/>
      <c r="G33" s="1"/>
      <c r="H33" s="1"/>
      <c r="O33" s="1"/>
    </row>
    <row r="34" spans="1:15" s="2" customFormat="1" x14ac:dyDescent="0.2">
      <c r="A34" s="89">
        <v>45280</v>
      </c>
      <c r="B34" s="128" t="s">
        <v>6</v>
      </c>
      <c r="C34" s="29" t="s">
        <v>146</v>
      </c>
      <c r="D34" s="11" t="s">
        <v>13</v>
      </c>
      <c r="E34" s="86">
        <v>3125522</v>
      </c>
      <c r="F34" s="70"/>
      <c r="G34" s="1"/>
      <c r="H34" s="1"/>
      <c r="O34" s="1"/>
    </row>
    <row r="35" spans="1:15" s="2" customFormat="1" x14ac:dyDescent="0.2">
      <c r="A35" s="89">
        <v>45280</v>
      </c>
      <c r="B35" s="128" t="s">
        <v>11</v>
      </c>
      <c r="C35" s="29" t="s">
        <v>64</v>
      </c>
      <c r="D35" s="11" t="s">
        <v>29</v>
      </c>
      <c r="E35" s="86"/>
      <c r="F35" s="70">
        <v>5544.82</v>
      </c>
      <c r="G35" s="1"/>
      <c r="H35" s="1"/>
      <c r="O35" s="1"/>
    </row>
    <row r="36" spans="1:15" s="2" customFormat="1" x14ac:dyDescent="0.2">
      <c r="A36" s="89">
        <v>45280</v>
      </c>
      <c r="B36" s="128" t="s">
        <v>11</v>
      </c>
      <c r="C36" s="29" t="s">
        <v>564</v>
      </c>
      <c r="D36" s="11" t="s">
        <v>29</v>
      </c>
      <c r="E36" s="86"/>
      <c r="F36" s="70">
        <v>209674.55</v>
      </c>
      <c r="G36" s="1"/>
      <c r="H36" s="1"/>
      <c r="O36" s="1"/>
    </row>
    <row r="37" spans="1:15" s="2" customFormat="1" x14ac:dyDescent="0.2">
      <c r="A37" s="89">
        <v>45280</v>
      </c>
      <c r="B37" s="128" t="s">
        <v>11</v>
      </c>
      <c r="C37" s="29" t="s">
        <v>156</v>
      </c>
      <c r="D37" s="11" t="s">
        <v>29</v>
      </c>
      <c r="E37" s="86"/>
      <c r="F37" s="70">
        <v>278.70999999999998</v>
      </c>
      <c r="G37" s="1"/>
      <c r="H37" s="1"/>
      <c r="O37" s="1"/>
    </row>
    <row r="38" spans="1:15" s="2" customFormat="1" x14ac:dyDescent="0.2">
      <c r="A38" s="89">
        <v>45280</v>
      </c>
      <c r="B38" s="128" t="s">
        <v>11</v>
      </c>
      <c r="C38" s="29" t="s">
        <v>687</v>
      </c>
      <c r="D38" s="11" t="s">
        <v>29</v>
      </c>
      <c r="E38" s="86"/>
      <c r="F38" s="70">
        <v>915153</v>
      </c>
      <c r="G38" s="1"/>
      <c r="H38" s="1"/>
      <c r="O38" s="1"/>
    </row>
    <row r="39" spans="1:15" s="2" customFormat="1" x14ac:dyDescent="0.2">
      <c r="A39" s="89">
        <v>45280</v>
      </c>
      <c r="B39" s="128" t="s">
        <v>11</v>
      </c>
      <c r="C39" s="29" t="s">
        <v>109</v>
      </c>
      <c r="D39" s="11" t="s">
        <v>29</v>
      </c>
      <c r="E39" s="86"/>
      <c r="F39" s="70">
        <v>533010</v>
      </c>
      <c r="G39" s="1"/>
      <c r="H39" s="1"/>
      <c r="O39" s="1"/>
    </row>
    <row r="40" spans="1:15" s="2" customFormat="1" x14ac:dyDescent="0.2">
      <c r="A40" s="89">
        <v>45280</v>
      </c>
      <c r="B40" s="128" t="s">
        <v>11</v>
      </c>
      <c r="C40" s="29" t="s">
        <v>107</v>
      </c>
      <c r="D40" s="11" t="s">
        <v>29</v>
      </c>
      <c r="E40" s="86"/>
      <c r="F40" s="70">
        <v>230442.09</v>
      </c>
      <c r="G40" s="1"/>
      <c r="H40" s="1"/>
      <c r="O40" s="1"/>
    </row>
    <row r="41" spans="1:15" s="2" customFormat="1" x14ac:dyDescent="0.2">
      <c r="A41" s="89">
        <v>45280</v>
      </c>
      <c r="B41" s="128" t="s">
        <v>11</v>
      </c>
      <c r="C41" s="29" t="s">
        <v>498</v>
      </c>
      <c r="D41" s="11" t="s">
        <v>29</v>
      </c>
      <c r="E41" s="86"/>
      <c r="F41" s="70">
        <v>321430.78000000003</v>
      </c>
      <c r="G41" s="1"/>
      <c r="H41" s="1"/>
      <c r="O41" s="1"/>
    </row>
    <row r="42" spans="1:15" s="2" customFormat="1" x14ac:dyDescent="0.2">
      <c r="A42" s="89">
        <v>45280</v>
      </c>
      <c r="B42" s="128" t="s">
        <v>11</v>
      </c>
      <c r="C42" s="29" t="s">
        <v>285</v>
      </c>
      <c r="D42" s="11" t="s">
        <v>29</v>
      </c>
      <c r="E42" s="86"/>
      <c r="F42" s="70">
        <v>433116.32</v>
      </c>
      <c r="G42" s="1"/>
      <c r="H42" s="1"/>
      <c r="O42" s="1"/>
    </row>
    <row r="43" spans="1:15" s="2" customFormat="1" x14ac:dyDescent="0.2">
      <c r="A43" s="32"/>
      <c r="B43" s="33"/>
      <c r="C43" s="14"/>
      <c r="D43" s="34"/>
      <c r="E43" s="16">
        <f>SUM(E23:E42)</f>
        <v>8602564.9400000013</v>
      </c>
      <c r="F43" s="16">
        <f>SUM(F23:F42)</f>
        <v>89886364.039999962</v>
      </c>
      <c r="G43" s="1"/>
      <c r="H43" s="1"/>
      <c r="I43" s="1"/>
      <c r="J43" s="38">
        <v>81283799.099999994</v>
      </c>
      <c r="L43" s="92">
        <f>E44-J43</f>
        <v>0</v>
      </c>
      <c r="O43" s="1"/>
    </row>
    <row r="44" spans="1:15" s="2" customFormat="1" x14ac:dyDescent="0.2">
      <c r="A44" s="36"/>
      <c r="B44" s="28" t="s">
        <v>11</v>
      </c>
      <c r="C44" s="19" t="s">
        <v>65</v>
      </c>
      <c r="D44" s="37"/>
      <c r="E44" s="38">
        <f>F43-E43</f>
        <v>81283799.099999964</v>
      </c>
      <c r="F44" s="22"/>
      <c r="G44" s="1"/>
      <c r="H44" s="1"/>
      <c r="I44" s="1"/>
      <c r="J44" s="70"/>
      <c r="K44" s="70"/>
      <c r="L44" s="70"/>
      <c r="O44" s="1"/>
    </row>
    <row r="45" spans="1:15" s="2" customFormat="1" x14ac:dyDescent="0.2">
      <c r="A45" s="36"/>
      <c r="B45" s="28" t="s">
        <v>66</v>
      </c>
      <c r="C45" s="19" t="s">
        <v>67</v>
      </c>
      <c r="D45" s="37"/>
      <c r="E45" s="38">
        <v>0</v>
      </c>
      <c r="F45" s="22"/>
      <c r="G45" s="1"/>
      <c r="H45" s="1"/>
      <c r="I45" s="70"/>
      <c r="J45" s="70"/>
      <c r="K45" s="70"/>
      <c r="L45" s="70"/>
      <c r="O45" s="1"/>
    </row>
    <row r="46" spans="1:15" s="2" customFormat="1" x14ac:dyDescent="0.2">
      <c r="A46" s="36"/>
      <c r="B46" s="28" t="s">
        <v>66</v>
      </c>
      <c r="C46" s="43" t="s">
        <v>1457</v>
      </c>
      <c r="D46" s="43"/>
      <c r="E46" s="12">
        <f>275000000+75000000+50000000</f>
        <v>400000000</v>
      </c>
      <c r="F46" s="22"/>
      <c r="G46" s="1"/>
      <c r="H46" s="1"/>
      <c r="I46" s="70"/>
      <c r="J46" s="45">
        <v>1150.57</v>
      </c>
      <c r="K46" s="46"/>
      <c r="L46" s="46"/>
      <c r="O46" s="1"/>
    </row>
    <row r="47" spans="1:15" s="2" customFormat="1" ht="15" x14ac:dyDescent="0.25">
      <c r="A47" s="36"/>
      <c r="B47" s="28"/>
      <c r="C47" s="44" t="s">
        <v>1541</v>
      </c>
      <c r="D47" s="43"/>
      <c r="E47" s="7">
        <f>+E46+E44+E45</f>
        <v>481283799.09999996</v>
      </c>
      <c r="F47" s="22"/>
      <c r="G47" s="1"/>
      <c r="H47" s="1"/>
      <c r="I47" s="103" t="s">
        <v>69</v>
      </c>
      <c r="J47" s="45">
        <v>-160.94</v>
      </c>
      <c r="K47" s="46"/>
      <c r="L47" s="46"/>
      <c r="O47" s="1"/>
    </row>
    <row r="48" spans="1:15" s="2" customFormat="1" ht="15" x14ac:dyDescent="0.25">
      <c r="A48" s="24"/>
      <c r="B48" s="1"/>
      <c r="C48" s="44" t="s">
        <v>1510</v>
      </c>
      <c r="D48" s="25"/>
      <c r="E48" s="156">
        <f>+J23-E45+I19-J19</f>
        <v>18716200.900000006</v>
      </c>
      <c r="G48" s="1"/>
      <c r="H48" s="1"/>
      <c r="I48" s="35">
        <v>1</v>
      </c>
      <c r="J48" s="45">
        <v>114.87</v>
      </c>
      <c r="K48" s="46">
        <f>+J49-D51</f>
        <v>0</v>
      </c>
      <c r="O48" s="1"/>
    </row>
    <row r="49" spans="1:14" s="124" customFormat="1" ht="12.75" customHeight="1" x14ac:dyDescent="0.2">
      <c r="A49" s="24"/>
      <c r="B49" s="1"/>
      <c r="C49" s="56"/>
      <c r="D49" s="56"/>
      <c r="E49" s="104"/>
      <c r="F49" s="2"/>
      <c r="G49" s="166"/>
      <c r="H49" s="166"/>
      <c r="I49" s="70"/>
      <c r="J49" s="49">
        <f>SUM(J46:J48)</f>
        <v>1104.5</v>
      </c>
      <c r="K49" s="46"/>
      <c r="L49" s="46"/>
    </row>
    <row r="50" spans="1:14" s="124" customFormat="1" ht="12.75" customHeight="1" x14ac:dyDescent="0.2">
      <c r="A50" s="24"/>
      <c r="B50" s="1"/>
      <c r="C50" s="78" t="s">
        <v>575</v>
      </c>
      <c r="D50" s="48" t="s">
        <v>576</v>
      </c>
      <c r="E50" s="104"/>
      <c r="F50" s="2"/>
      <c r="G50" s="168"/>
      <c r="H50" s="168"/>
      <c r="I50" s="167"/>
      <c r="J50" s="167"/>
      <c r="K50" s="168"/>
    </row>
    <row r="51" spans="1:14" s="124" customFormat="1" ht="12.75" customHeight="1" x14ac:dyDescent="0.2">
      <c r="A51" s="24"/>
      <c r="B51" s="1"/>
      <c r="C51" s="47" t="s">
        <v>570</v>
      </c>
      <c r="D51" s="111">
        <v>1104.5</v>
      </c>
      <c r="E51" s="104"/>
      <c r="F51" s="2"/>
      <c r="G51" s="168"/>
      <c r="H51" s="168"/>
      <c r="I51" s="110" t="s">
        <v>581</v>
      </c>
      <c r="J51" s="167"/>
      <c r="K51" s="168"/>
    </row>
    <row r="52" spans="1:14" s="124" customFormat="1" ht="12.75" customHeight="1" x14ac:dyDescent="0.2">
      <c r="A52" s="24"/>
      <c r="B52" s="1"/>
      <c r="C52" s="47" t="s">
        <v>931</v>
      </c>
      <c r="D52" s="111">
        <v>283.86</v>
      </c>
      <c r="E52" s="104"/>
      <c r="F52" s="2"/>
      <c r="G52" s="168"/>
      <c r="H52" s="168"/>
      <c r="I52" s="110" t="s">
        <v>580</v>
      </c>
      <c r="J52" s="167"/>
      <c r="K52" s="168"/>
    </row>
    <row r="53" spans="1:14" s="124" customFormat="1" ht="12.75" customHeight="1" x14ac:dyDescent="0.2">
      <c r="A53" s="24"/>
      <c r="B53" s="1"/>
      <c r="C53" s="47" t="s">
        <v>572</v>
      </c>
      <c r="D53" s="111">
        <f>+D92/100000</f>
        <v>389.59086500000001</v>
      </c>
      <c r="E53" s="104"/>
      <c r="F53" s="2"/>
      <c r="G53" s="166"/>
      <c r="H53" s="166"/>
      <c r="I53" s="90" t="s">
        <v>587</v>
      </c>
      <c r="J53" s="167"/>
      <c r="K53" s="168"/>
    </row>
    <row r="54" spans="1:14" s="2" customFormat="1" x14ac:dyDescent="0.2">
      <c r="A54" s="24"/>
      <c r="B54" s="1"/>
      <c r="C54" s="108" t="s">
        <v>578</v>
      </c>
      <c r="D54" s="48">
        <f>SUM(D51:D53)</f>
        <v>1777.9508650000002</v>
      </c>
      <c r="E54" s="104"/>
      <c r="G54" s="30"/>
      <c r="H54" s="30"/>
      <c r="J54" s="13"/>
      <c r="K54" s="13"/>
    </row>
    <row r="55" spans="1:14" s="70" customFormat="1" x14ac:dyDescent="0.2">
      <c r="A55" s="24"/>
      <c r="B55" s="1"/>
      <c r="C55" s="47"/>
      <c r="D55" s="107"/>
      <c r="E55" s="104"/>
      <c r="F55" s="2"/>
      <c r="G55" s="30"/>
      <c r="H55" s="30"/>
      <c r="I55" s="2"/>
    </row>
    <row r="56" spans="1:14" s="70" customFormat="1" x14ac:dyDescent="0.2">
      <c r="A56" s="24"/>
      <c r="B56" s="1"/>
      <c r="C56" s="47" t="s">
        <v>932</v>
      </c>
      <c r="D56" s="111">
        <v>305.57</v>
      </c>
      <c r="E56" s="104"/>
      <c r="F56" s="2"/>
      <c r="G56" s="30"/>
      <c r="H56" s="30"/>
      <c r="I56" s="110" t="s">
        <v>581</v>
      </c>
    </row>
    <row r="57" spans="1:14" s="70" customFormat="1" x14ac:dyDescent="0.2">
      <c r="A57" s="24"/>
      <c r="B57" s="1"/>
      <c r="C57" s="136" t="s">
        <v>1142</v>
      </c>
      <c r="D57" s="111">
        <v>603.70000000000005</v>
      </c>
      <c r="E57" s="104"/>
      <c r="F57" s="2"/>
      <c r="G57" s="30"/>
      <c r="H57" s="30"/>
      <c r="I57" s="110" t="s">
        <v>581</v>
      </c>
    </row>
    <row r="58" spans="1:14" s="70" customFormat="1" x14ac:dyDescent="0.2">
      <c r="A58" s="24"/>
      <c r="B58" s="1"/>
      <c r="C58" s="78" t="s">
        <v>579</v>
      </c>
      <c r="D58" s="109">
        <f>D56+D57</f>
        <v>909.27</v>
      </c>
      <c r="E58" s="104"/>
      <c r="F58" s="2"/>
      <c r="G58" s="30"/>
      <c r="H58" s="30"/>
    </row>
    <row r="59" spans="1:14" s="70" customFormat="1" x14ac:dyDescent="0.2">
      <c r="A59" s="24"/>
      <c r="B59" s="1"/>
      <c r="C59" s="105"/>
      <c r="D59" s="106"/>
      <c r="E59" s="104"/>
      <c r="F59" s="2"/>
      <c r="G59" s="30"/>
      <c r="H59" s="30"/>
      <c r="J59" s="2"/>
      <c r="K59" s="221" t="str">
        <f>"FROM ( 01-12-2023 to "&amp;TEXT(A5,"dd-mm-yyyy")&amp;" )"</f>
        <v>FROM ( 01-12-2023 to 20-12-2023 )</v>
      </c>
      <c r="L59" s="221"/>
      <c r="M59" s="2"/>
      <c r="N59" s="2"/>
    </row>
    <row r="60" spans="1:14" s="70" customFormat="1" x14ac:dyDescent="0.2">
      <c r="A60" s="24"/>
      <c r="B60" s="1"/>
      <c r="C60" s="78" t="s">
        <v>577</v>
      </c>
      <c r="D60" s="109">
        <f>D51+D58</f>
        <v>2013.77</v>
      </c>
      <c r="E60" s="104"/>
      <c r="F60" s="2"/>
      <c r="G60" s="30"/>
      <c r="H60" s="30"/>
      <c r="J60" s="113"/>
      <c r="K60" s="113" t="s">
        <v>709</v>
      </c>
      <c r="L60" s="113" t="s">
        <v>710</v>
      </c>
      <c r="M60" s="113" t="s">
        <v>711</v>
      </c>
      <c r="N60" s="113" t="s">
        <v>712</v>
      </c>
    </row>
    <row r="61" spans="1:14" s="70" customFormat="1" x14ac:dyDescent="0.2">
      <c r="A61" s="24"/>
      <c r="B61" s="1"/>
      <c r="C61" s="56"/>
      <c r="D61" s="56"/>
      <c r="E61" s="104"/>
      <c r="F61" s="2"/>
      <c r="G61" s="30"/>
      <c r="H61" s="30"/>
      <c r="J61" s="113" t="s">
        <v>1860</v>
      </c>
      <c r="K61" s="115">
        <v>191.86</v>
      </c>
      <c r="L61" s="115">
        <v>93.65</v>
      </c>
      <c r="M61" s="115">
        <v>27.85</v>
      </c>
      <c r="N61" s="113">
        <f>+K61+M61-L61</f>
        <v>126.06</v>
      </c>
    </row>
    <row r="62" spans="1:14" s="70" customFormat="1" ht="38.25" x14ac:dyDescent="0.2">
      <c r="A62" s="24"/>
      <c r="B62" s="1"/>
      <c r="C62" s="79" t="str">
        <f>"Particulars ( 01-12-2023 to "&amp;TEXT(A5,"dd-mm-yyyy")&amp;" )"</f>
        <v>Particulars ( 01-12-2023 to 20-12-2023 )</v>
      </c>
      <c r="D62" s="79" t="s">
        <v>7</v>
      </c>
      <c r="E62" s="80" t="s">
        <v>73</v>
      </c>
      <c r="F62" s="80" t="s">
        <v>74</v>
      </c>
      <c r="G62" s="81" t="s">
        <v>75</v>
      </c>
      <c r="H62" s="80" t="s">
        <v>76</v>
      </c>
      <c r="J62" s="113" t="s">
        <v>1861</v>
      </c>
      <c r="K62" s="115">
        <v>1332.26</v>
      </c>
      <c r="L62" s="115">
        <v>396.53</v>
      </c>
      <c r="M62" s="115">
        <v>676.44</v>
      </c>
      <c r="N62" s="113">
        <f>+K62+M62-L62</f>
        <v>1612.17</v>
      </c>
    </row>
    <row r="63" spans="1:14" s="70" customFormat="1" x14ac:dyDescent="0.2">
      <c r="A63" s="24"/>
      <c r="B63" s="1"/>
      <c r="C63" s="50" t="s">
        <v>444</v>
      </c>
      <c r="D63" s="55">
        <f>+K63</f>
        <v>361.11</v>
      </c>
      <c r="E63" s="55">
        <f>+M63</f>
        <v>305.57</v>
      </c>
      <c r="F63" s="55">
        <f>+L63</f>
        <v>283.86</v>
      </c>
      <c r="G63" s="55">
        <f>+D63+E63-F63</f>
        <v>382.82000000000005</v>
      </c>
      <c r="H63" s="55">
        <f>1500-G63</f>
        <v>1117.1799999999998</v>
      </c>
      <c r="J63" s="113" t="s">
        <v>707</v>
      </c>
      <c r="K63" s="115">
        <v>361.11</v>
      </c>
      <c r="L63" s="115">
        <v>283.86</v>
      </c>
      <c r="M63" s="115">
        <v>305.57</v>
      </c>
      <c r="N63" s="113">
        <f>+K63+M63-L63</f>
        <v>382.82000000000005</v>
      </c>
    </row>
    <row r="64" spans="1:14" s="70" customFormat="1" ht="12.75" customHeight="1" x14ac:dyDescent="0.2">
      <c r="A64" s="24"/>
      <c r="B64" s="1"/>
      <c r="C64" s="50" t="s">
        <v>71</v>
      </c>
      <c r="D64" s="55">
        <f>+K61+K62</f>
        <v>1524.12</v>
      </c>
      <c r="E64" s="55">
        <f>+M61+M62</f>
        <v>704.29000000000008</v>
      </c>
      <c r="F64" s="55">
        <f>+L61+L62</f>
        <v>490.17999999999995</v>
      </c>
      <c r="G64" s="55">
        <f>+D64+E64-F64</f>
        <v>1738.23</v>
      </c>
      <c r="H64" s="55">
        <f>1500+700-G64</f>
        <v>461.77</v>
      </c>
      <c r="J64" s="2"/>
      <c r="K64" s="118">
        <f>SUM(K61:K63)</f>
        <v>1885.23</v>
      </c>
      <c r="L64" s="118">
        <f>SUM(L61:L63)</f>
        <v>774.04</v>
      </c>
      <c r="M64" s="118">
        <f>SUM(M61:M63)</f>
        <v>1009.8600000000001</v>
      </c>
      <c r="N64" s="118">
        <f>SUM(N61:N63)</f>
        <v>2121.0500000000002</v>
      </c>
    </row>
    <row r="65" spans="1:15" s="70" customFormat="1" ht="12.75" customHeight="1" x14ac:dyDescent="0.2">
      <c r="A65" s="24"/>
      <c r="B65" s="1"/>
      <c r="C65" s="14"/>
      <c r="D65" s="56"/>
      <c r="E65" s="13"/>
      <c r="F65" s="2"/>
      <c r="G65" s="30"/>
      <c r="H65" s="30"/>
    </row>
    <row r="66" spans="1:15" s="70" customFormat="1" ht="12.75" customHeight="1" x14ac:dyDescent="0.2">
      <c r="A66" s="215" t="s">
        <v>80</v>
      </c>
      <c r="B66" s="216"/>
      <c r="C66" s="216"/>
      <c r="D66" s="217"/>
      <c r="E66" s="69"/>
      <c r="G66" s="30"/>
      <c r="H66" s="30"/>
    </row>
    <row r="67" spans="1:15" s="70" customFormat="1" ht="12.75" customHeight="1" x14ac:dyDescent="0.2">
      <c r="A67" s="71" t="s">
        <v>81</v>
      </c>
      <c r="B67" s="71"/>
      <c r="C67" s="72" t="s">
        <v>82</v>
      </c>
      <c r="D67" s="73" t="s">
        <v>83</v>
      </c>
      <c r="E67" s="69"/>
      <c r="G67" s="30"/>
      <c r="H67" s="30"/>
    </row>
    <row r="68" spans="1:15" s="70" customFormat="1" ht="12.75" customHeight="1" x14ac:dyDescent="0.2">
      <c r="A68" s="87">
        <v>45264</v>
      </c>
      <c r="B68" s="120" t="s">
        <v>6</v>
      </c>
      <c r="C68" s="75" t="s">
        <v>86</v>
      </c>
      <c r="D68" s="88">
        <v>11017609</v>
      </c>
      <c r="E68" s="2"/>
      <c r="F68" s="2"/>
      <c r="G68" s="30"/>
      <c r="H68" s="30"/>
      <c r="I68" s="2"/>
      <c r="J68" s="2"/>
      <c r="K68" s="2"/>
      <c r="L68" s="2"/>
      <c r="M68" s="41"/>
      <c r="N68" s="42"/>
      <c r="O68" s="2"/>
    </row>
    <row r="69" spans="1:15" s="70" customFormat="1" ht="12.75" customHeight="1" x14ac:dyDescent="0.2">
      <c r="A69" s="87">
        <v>45264</v>
      </c>
      <c r="B69" s="120" t="s">
        <v>6</v>
      </c>
      <c r="C69" s="75" t="s">
        <v>86</v>
      </c>
      <c r="D69" s="88">
        <v>2663814</v>
      </c>
      <c r="E69" s="2"/>
      <c r="F69" s="2"/>
      <c r="G69" s="30"/>
      <c r="H69" s="30"/>
      <c r="I69" s="2"/>
      <c r="J69" s="2"/>
      <c r="K69" s="2"/>
      <c r="L69" s="2"/>
      <c r="M69" s="41"/>
      <c r="N69" s="42"/>
      <c r="O69" s="2"/>
    </row>
    <row r="70" spans="1:15" s="70" customFormat="1" ht="12.75" customHeight="1" x14ac:dyDescent="0.2">
      <c r="A70" s="87">
        <v>45264</v>
      </c>
      <c r="B70" s="120" t="s">
        <v>6</v>
      </c>
      <c r="C70" s="75" t="s">
        <v>86</v>
      </c>
      <c r="D70" s="88">
        <v>75522</v>
      </c>
      <c r="E70" s="2"/>
      <c r="F70" s="2"/>
      <c r="G70" s="30"/>
      <c r="H70" s="30"/>
      <c r="I70" s="2"/>
      <c r="J70" s="2"/>
      <c r="K70" s="2"/>
      <c r="L70" s="2"/>
      <c r="M70" s="41"/>
      <c r="N70" s="42"/>
      <c r="O70" s="2"/>
    </row>
    <row r="71" spans="1:15" s="70" customFormat="1" ht="12.75" customHeight="1" x14ac:dyDescent="0.2">
      <c r="A71" s="87">
        <v>45265</v>
      </c>
      <c r="B71" s="120" t="s">
        <v>6</v>
      </c>
      <c r="C71" s="75" t="s">
        <v>88</v>
      </c>
      <c r="D71" s="88">
        <v>2152501.6</v>
      </c>
      <c r="E71" s="2"/>
      <c r="F71" s="2"/>
      <c r="G71" s="30"/>
      <c r="H71" s="30"/>
      <c r="I71" s="2"/>
      <c r="J71" s="2"/>
      <c r="K71" s="2"/>
      <c r="L71" s="2"/>
      <c r="M71" s="41"/>
      <c r="N71" s="42"/>
      <c r="O71" s="2"/>
    </row>
    <row r="72" spans="1:15" s="70" customFormat="1" ht="12.75" customHeight="1" x14ac:dyDescent="0.2">
      <c r="A72" s="87">
        <v>45266</v>
      </c>
      <c r="B72" s="120" t="s">
        <v>6</v>
      </c>
      <c r="C72" s="75" t="s">
        <v>271</v>
      </c>
      <c r="D72" s="88">
        <v>9828</v>
      </c>
      <c r="E72" s="2"/>
      <c r="F72" s="2"/>
      <c r="G72" s="30"/>
      <c r="H72" s="30"/>
      <c r="I72" s="2"/>
      <c r="J72" s="2"/>
      <c r="K72" s="2"/>
      <c r="L72" s="2"/>
      <c r="M72" s="41"/>
      <c r="N72" s="42"/>
      <c r="O72" s="2"/>
    </row>
    <row r="73" spans="1:15" s="70" customFormat="1" ht="12.75" customHeight="1" x14ac:dyDescent="0.2">
      <c r="A73" s="87">
        <v>45267</v>
      </c>
      <c r="B73" s="120" t="s">
        <v>6</v>
      </c>
      <c r="C73" s="75" t="s">
        <v>85</v>
      </c>
      <c r="D73" s="88">
        <v>179811</v>
      </c>
      <c r="E73" s="2"/>
      <c r="F73" s="2"/>
      <c r="G73" s="30"/>
      <c r="H73" s="30"/>
      <c r="I73" s="2"/>
      <c r="J73" s="2"/>
      <c r="K73" s="2"/>
      <c r="L73" s="2"/>
      <c r="M73" s="41"/>
      <c r="N73" s="42"/>
      <c r="O73" s="2"/>
    </row>
    <row r="74" spans="1:15" s="70" customFormat="1" ht="12.75" customHeight="1" x14ac:dyDescent="0.2">
      <c r="A74" s="87">
        <v>45267</v>
      </c>
      <c r="B74" s="120" t="s">
        <v>6</v>
      </c>
      <c r="C74" s="75" t="s">
        <v>85</v>
      </c>
      <c r="D74" s="88">
        <v>302254</v>
      </c>
      <c r="E74" s="2"/>
      <c r="F74" s="2"/>
      <c r="G74" s="30"/>
      <c r="H74" s="30"/>
      <c r="I74" s="2"/>
      <c r="J74" s="2"/>
      <c r="K74" s="2"/>
      <c r="L74" s="2"/>
      <c r="M74" s="41"/>
      <c r="N74" s="42"/>
      <c r="O74" s="2"/>
    </row>
    <row r="75" spans="1:15" s="70" customFormat="1" ht="12.75" customHeight="1" x14ac:dyDescent="0.2">
      <c r="A75" s="87">
        <v>45268</v>
      </c>
      <c r="B75" s="120" t="s">
        <v>6</v>
      </c>
      <c r="C75" s="75" t="s">
        <v>201</v>
      </c>
      <c r="D75" s="88">
        <v>4000249.47</v>
      </c>
      <c r="E75" s="2"/>
      <c r="F75" s="2"/>
      <c r="G75" s="30"/>
      <c r="H75" s="30"/>
      <c r="I75" s="2"/>
      <c r="J75" s="2"/>
      <c r="K75" s="2"/>
      <c r="L75" s="2"/>
      <c r="M75" s="41"/>
      <c r="N75" s="42"/>
      <c r="O75" s="2"/>
    </row>
    <row r="76" spans="1:15" s="70" customFormat="1" ht="12.75" customHeight="1" x14ac:dyDescent="0.2">
      <c r="A76" s="87">
        <v>45269</v>
      </c>
      <c r="B76" s="120" t="s">
        <v>6</v>
      </c>
      <c r="C76" s="75" t="s">
        <v>85</v>
      </c>
      <c r="D76" s="88">
        <v>96273</v>
      </c>
      <c r="E76" s="2"/>
      <c r="F76" s="2"/>
      <c r="G76" s="30"/>
      <c r="H76" s="30"/>
      <c r="I76" s="2"/>
      <c r="J76" s="2"/>
      <c r="K76" s="2"/>
      <c r="L76" s="2"/>
      <c r="M76" s="41"/>
      <c r="N76" s="42"/>
      <c r="O76" s="2"/>
    </row>
    <row r="77" spans="1:15" s="70" customFormat="1" ht="12.75" customHeight="1" x14ac:dyDescent="0.2">
      <c r="A77" s="87">
        <v>45269</v>
      </c>
      <c r="B77" s="120" t="s">
        <v>6</v>
      </c>
      <c r="C77" s="75" t="s">
        <v>270</v>
      </c>
      <c r="D77" s="88">
        <v>182684</v>
      </c>
      <c r="E77" s="2"/>
      <c r="F77" s="2"/>
      <c r="G77" s="30"/>
      <c r="H77" s="30"/>
      <c r="I77" s="2"/>
      <c r="J77" s="2"/>
      <c r="K77" s="2"/>
      <c r="L77" s="2"/>
      <c r="M77" s="41"/>
      <c r="N77" s="42"/>
      <c r="O77" s="2"/>
    </row>
    <row r="78" spans="1:15" s="70" customFormat="1" ht="12.75" customHeight="1" x14ac:dyDescent="0.2">
      <c r="A78" s="87">
        <v>45269</v>
      </c>
      <c r="B78" s="120" t="s">
        <v>6</v>
      </c>
      <c r="C78" s="75" t="s">
        <v>271</v>
      </c>
      <c r="D78" s="88">
        <v>15488.3</v>
      </c>
      <c r="E78" s="2"/>
      <c r="F78" s="2"/>
      <c r="G78" s="30"/>
      <c r="H78" s="30"/>
      <c r="I78" s="2"/>
      <c r="J78" s="2"/>
      <c r="K78" s="2"/>
      <c r="L78" s="2"/>
      <c r="M78" s="41"/>
      <c r="N78" s="42"/>
      <c r="O78" s="2"/>
    </row>
    <row r="79" spans="1:15" s="70" customFormat="1" ht="12.75" customHeight="1" x14ac:dyDescent="0.2">
      <c r="A79" s="87">
        <v>45272</v>
      </c>
      <c r="B79" s="120" t="s">
        <v>6</v>
      </c>
      <c r="C79" s="75" t="s">
        <v>270</v>
      </c>
      <c r="D79" s="88">
        <v>687714</v>
      </c>
      <c r="E79" s="2"/>
      <c r="F79" s="2"/>
      <c r="G79" s="30"/>
      <c r="H79" s="30"/>
      <c r="I79" s="2"/>
      <c r="J79" s="2"/>
      <c r="K79" s="2"/>
      <c r="L79" s="2"/>
      <c r="M79" s="41"/>
      <c r="N79" s="42"/>
      <c r="O79" s="2"/>
    </row>
    <row r="80" spans="1:15" s="70" customFormat="1" ht="12.75" customHeight="1" x14ac:dyDescent="0.2">
      <c r="A80" s="87">
        <v>45272</v>
      </c>
      <c r="B80" s="120" t="s">
        <v>6</v>
      </c>
      <c r="C80" s="75" t="s">
        <v>1789</v>
      </c>
      <c r="D80" s="88">
        <v>1945116</v>
      </c>
      <c r="E80" s="2"/>
      <c r="F80" s="2"/>
      <c r="G80" s="30"/>
      <c r="H80" s="30"/>
      <c r="I80" s="2"/>
      <c r="J80" s="2"/>
      <c r="K80" s="2"/>
      <c r="L80" s="2"/>
      <c r="M80" s="41"/>
      <c r="N80" s="42"/>
      <c r="O80" s="2"/>
    </row>
    <row r="81" spans="1:15" s="70" customFormat="1" ht="12.75" customHeight="1" x14ac:dyDescent="0.2">
      <c r="A81" s="87">
        <v>45273</v>
      </c>
      <c r="B81" s="120" t="s">
        <v>6</v>
      </c>
      <c r="C81" s="75" t="s">
        <v>18</v>
      </c>
      <c r="D81" s="88">
        <v>167890</v>
      </c>
      <c r="E81" s="2"/>
      <c r="F81" s="2"/>
      <c r="G81" s="30"/>
      <c r="H81" s="30"/>
      <c r="I81" s="2"/>
      <c r="J81" s="2"/>
      <c r="K81" s="2"/>
      <c r="L81" s="2"/>
      <c r="M81" s="41"/>
      <c r="N81" s="42"/>
      <c r="O81" s="2"/>
    </row>
    <row r="82" spans="1:15" s="70" customFormat="1" ht="12.75" customHeight="1" x14ac:dyDescent="0.2">
      <c r="A82" s="87">
        <v>45274</v>
      </c>
      <c r="B82" s="120" t="s">
        <v>6</v>
      </c>
      <c r="C82" s="75" t="s">
        <v>201</v>
      </c>
      <c r="D82" s="88">
        <v>4000385.13</v>
      </c>
      <c r="E82" s="2"/>
      <c r="F82" s="2"/>
      <c r="G82" s="30"/>
      <c r="H82" s="30"/>
      <c r="I82" s="2"/>
      <c r="J82" s="2"/>
      <c r="K82" s="2"/>
      <c r="L82" s="2"/>
      <c r="M82" s="41"/>
      <c r="N82" s="42"/>
      <c r="O82" s="2"/>
    </row>
    <row r="83" spans="1:15" s="70" customFormat="1" ht="12.75" customHeight="1" x14ac:dyDescent="0.2">
      <c r="A83" s="87">
        <v>45274</v>
      </c>
      <c r="B83" s="120" t="s">
        <v>6</v>
      </c>
      <c r="C83" s="75" t="s">
        <v>594</v>
      </c>
      <c r="D83" s="88">
        <v>15735</v>
      </c>
      <c r="E83" s="2"/>
      <c r="F83" s="2"/>
      <c r="G83" s="30"/>
      <c r="H83" s="30"/>
      <c r="I83" s="2"/>
      <c r="J83" s="2"/>
      <c r="K83" s="2"/>
      <c r="L83" s="2"/>
      <c r="M83" s="41"/>
      <c r="N83" s="42"/>
      <c r="O83" s="2"/>
    </row>
    <row r="84" spans="1:15" s="70" customFormat="1" ht="12.75" customHeight="1" x14ac:dyDescent="0.2">
      <c r="A84" s="87">
        <v>45275</v>
      </c>
      <c r="B84" s="120" t="s">
        <v>6</v>
      </c>
      <c r="C84" s="75" t="s">
        <v>594</v>
      </c>
      <c r="D84" s="88">
        <v>4456919</v>
      </c>
      <c r="E84" s="2"/>
      <c r="F84" s="2"/>
      <c r="G84" s="30"/>
      <c r="H84" s="30"/>
      <c r="I84" s="2"/>
      <c r="J84" s="2"/>
      <c r="K84" s="2"/>
      <c r="L84" s="2"/>
      <c r="M84" s="41"/>
      <c r="N84" s="42"/>
      <c r="O84" s="2"/>
    </row>
    <row r="85" spans="1:15" s="70" customFormat="1" ht="12.75" customHeight="1" x14ac:dyDescent="0.2">
      <c r="A85" s="87">
        <v>45275</v>
      </c>
      <c r="B85" s="120" t="s">
        <v>6</v>
      </c>
      <c r="C85" s="75" t="s">
        <v>270</v>
      </c>
      <c r="D85" s="88">
        <v>18357</v>
      </c>
      <c r="E85" s="2"/>
      <c r="F85" s="2"/>
      <c r="G85" s="30"/>
      <c r="H85" s="30"/>
      <c r="I85" s="2"/>
      <c r="J85" s="2"/>
      <c r="K85" s="2"/>
      <c r="L85" s="2"/>
      <c r="M85" s="41"/>
      <c r="N85" s="42"/>
      <c r="O85" s="2"/>
    </row>
    <row r="86" spans="1:15" s="70" customFormat="1" ht="12.75" customHeight="1" x14ac:dyDescent="0.2">
      <c r="A86" s="87">
        <v>45276</v>
      </c>
      <c r="B86" s="120" t="s">
        <v>6</v>
      </c>
      <c r="C86" s="75" t="s">
        <v>85</v>
      </c>
      <c r="D86" s="88">
        <v>197939</v>
      </c>
      <c r="E86" s="2"/>
      <c r="F86" s="2"/>
      <c r="G86" s="30"/>
      <c r="H86" s="30"/>
      <c r="I86" s="2"/>
      <c r="J86" s="2"/>
      <c r="K86" s="2"/>
      <c r="L86" s="2"/>
      <c r="M86" s="41"/>
      <c r="N86" s="42"/>
      <c r="O86" s="2"/>
    </row>
    <row r="87" spans="1:15" s="70" customFormat="1" ht="12.75" customHeight="1" x14ac:dyDescent="0.2">
      <c r="A87" s="87">
        <v>45276</v>
      </c>
      <c r="B87" s="120" t="s">
        <v>6</v>
      </c>
      <c r="C87" s="75" t="s">
        <v>85</v>
      </c>
      <c r="D87" s="88">
        <v>103476</v>
      </c>
      <c r="E87" s="2"/>
      <c r="F87" s="2"/>
      <c r="G87" s="30"/>
      <c r="H87" s="30"/>
      <c r="I87" s="2"/>
      <c r="J87" s="2"/>
      <c r="K87" s="2"/>
      <c r="L87" s="2"/>
      <c r="M87" s="41"/>
      <c r="N87" s="42"/>
      <c r="O87" s="2"/>
    </row>
    <row r="88" spans="1:15" s="70" customFormat="1" ht="12.75" customHeight="1" x14ac:dyDescent="0.2">
      <c r="A88" s="87">
        <v>45278</v>
      </c>
      <c r="B88" s="120" t="s">
        <v>6</v>
      </c>
      <c r="C88" s="75" t="s">
        <v>270</v>
      </c>
      <c r="D88" s="88">
        <v>384076</v>
      </c>
      <c r="E88" s="2"/>
      <c r="F88" s="2"/>
      <c r="G88" s="30"/>
      <c r="H88" s="30"/>
      <c r="I88" s="2"/>
      <c r="J88" s="2"/>
      <c r="K88" s="2"/>
      <c r="L88" s="2"/>
      <c r="M88" s="41"/>
      <c r="N88" s="42"/>
      <c r="O88" s="2"/>
    </row>
    <row r="89" spans="1:15" s="70" customFormat="1" ht="12.75" customHeight="1" x14ac:dyDescent="0.2">
      <c r="A89" s="87">
        <v>45278</v>
      </c>
      <c r="B89" s="120" t="s">
        <v>6</v>
      </c>
      <c r="C89" s="75" t="s">
        <v>85</v>
      </c>
      <c r="D89" s="88">
        <v>427722</v>
      </c>
      <c r="E89" s="2"/>
      <c r="F89" s="2"/>
      <c r="G89" s="30"/>
      <c r="H89" s="30"/>
      <c r="I89" s="2"/>
      <c r="J89" s="2"/>
      <c r="K89" s="2"/>
      <c r="L89" s="2"/>
      <c r="M89" s="41"/>
      <c r="N89" s="42"/>
      <c r="O89" s="2"/>
    </row>
    <row r="90" spans="1:15" s="70" customFormat="1" ht="12.75" customHeight="1" x14ac:dyDescent="0.2">
      <c r="A90" s="87">
        <v>45280</v>
      </c>
      <c r="B90" s="120" t="s">
        <v>6</v>
      </c>
      <c r="C90" s="75" t="s">
        <v>201</v>
      </c>
      <c r="D90" s="88">
        <v>5253480</v>
      </c>
      <c r="E90" s="2"/>
      <c r="F90" s="2"/>
      <c r="G90" s="30"/>
      <c r="H90" s="30"/>
      <c r="I90" s="2"/>
      <c r="J90" s="2"/>
      <c r="K90" s="2"/>
      <c r="L90" s="2"/>
      <c r="M90" s="41"/>
      <c r="N90" s="42"/>
      <c r="O90" s="2"/>
    </row>
    <row r="91" spans="1:15" s="70" customFormat="1" ht="12.75" customHeight="1" x14ac:dyDescent="0.2">
      <c r="A91" s="87">
        <v>45280</v>
      </c>
      <c r="B91" s="120" t="s">
        <v>6</v>
      </c>
      <c r="C91" s="75" t="s">
        <v>18</v>
      </c>
      <c r="D91" s="88">
        <v>604243</v>
      </c>
      <c r="E91" s="2"/>
      <c r="F91" s="2"/>
      <c r="G91" s="30"/>
      <c r="H91" s="30"/>
      <c r="I91" s="2"/>
      <c r="J91" s="2"/>
      <c r="K91" s="2"/>
      <c r="L91" s="2"/>
      <c r="M91" s="41"/>
      <c r="N91" s="42"/>
      <c r="O91" s="2"/>
    </row>
    <row r="92" spans="1:15" s="2" customFormat="1" x14ac:dyDescent="0.2">
      <c r="A92" s="87"/>
      <c r="B92" s="74"/>
      <c r="C92" s="75"/>
      <c r="D92" s="51">
        <f>SUM(D68:D91)</f>
        <v>38959086.5</v>
      </c>
      <c r="F92" s="2" t="s">
        <v>396</v>
      </c>
      <c r="G92" s="1"/>
      <c r="H92" s="1"/>
    </row>
    <row r="93" spans="1:15" s="2" customFormat="1" x14ac:dyDescent="0.2">
      <c r="A93" s="24"/>
      <c r="B93" s="1"/>
      <c r="C93" s="14"/>
      <c r="D93" s="56"/>
      <c r="E93" s="13"/>
      <c r="G93" s="1"/>
      <c r="H93" s="1"/>
    </row>
    <row r="94" spans="1:15" s="2" customFormat="1" x14ac:dyDescent="0.2">
      <c r="A94" s="24"/>
      <c r="B94" s="1"/>
      <c r="C94" s="218" t="s">
        <v>77</v>
      </c>
      <c r="D94" s="219"/>
      <c r="E94" s="219"/>
      <c r="F94" s="220"/>
      <c r="I94" s="2" t="s">
        <v>396</v>
      </c>
    </row>
    <row r="95" spans="1:15" s="2" customFormat="1" x14ac:dyDescent="0.2">
      <c r="A95" s="24"/>
      <c r="B95" s="1"/>
      <c r="C95" s="50"/>
      <c r="D95" s="57" t="s">
        <v>78</v>
      </c>
      <c r="E95" s="58" t="s">
        <v>79</v>
      </c>
      <c r="F95" s="57" t="s">
        <v>72</v>
      </c>
      <c r="I95" s="2" t="s">
        <v>396</v>
      </c>
    </row>
    <row r="96" spans="1:15" s="2" customFormat="1" x14ac:dyDescent="0.2">
      <c r="A96" s="24"/>
      <c r="B96" s="1"/>
      <c r="C96" s="59" t="str">
        <f>"01-12-2023 to "&amp;TEXT(A5-2,"dd-mm-yyyy")</f>
        <v>01-12-2023 to 18-12-2023</v>
      </c>
      <c r="D96" s="60">
        <v>1328.98</v>
      </c>
      <c r="E96" s="60">
        <v>411.36</v>
      </c>
      <c r="F96" s="61">
        <f>SUM(D96:E96)</f>
        <v>1740.3400000000001</v>
      </c>
    </row>
    <row r="97" spans="1:14" s="2" customFormat="1" x14ac:dyDescent="0.2">
      <c r="A97" s="24"/>
      <c r="B97" s="1"/>
      <c r="C97" s="62" t="str">
        <f>TEXT(A5-1,"dd-mm-yyyy")</f>
        <v>19-12-2023</v>
      </c>
      <c r="D97" s="60">
        <v>71.099999999999994</v>
      </c>
      <c r="E97" s="60">
        <v>12.13</v>
      </c>
      <c r="F97" s="61">
        <f>SUM(D97:E97)</f>
        <v>83.22999999999999</v>
      </c>
      <c r="G97" s="1"/>
      <c r="H97" s="1"/>
      <c r="I97" s="53"/>
    </row>
    <row r="98" spans="1:14" s="2" customFormat="1" ht="13.5" thickBot="1" x14ac:dyDescent="0.25">
      <c r="A98" s="24"/>
      <c r="B98" s="1"/>
      <c r="C98" s="63" t="str">
        <f>"01-12-2023 to "&amp;TEXT(A5-1,"dd-mm-yyyy")</f>
        <v>01-12-2023 to 19-12-2023</v>
      </c>
      <c r="D98" s="64">
        <f>SUM(D96:D97)</f>
        <v>1400.08</v>
      </c>
      <c r="E98" s="64">
        <f>SUM(E96:E97)</f>
        <v>423.49</v>
      </c>
      <c r="F98" s="64">
        <f>SUM(F96:F97)</f>
        <v>1823.5700000000002</v>
      </c>
      <c r="G98" s="1"/>
      <c r="H98" s="1"/>
      <c r="I98" s="53"/>
    </row>
    <row r="99" spans="1:14" s="2" customFormat="1" ht="13.5" thickTop="1" x14ac:dyDescent="0.2">
      <c r="A99" s="24"/>
      <c r="B99" s="1"/>
      <c r="C99" s="62"/>
      <c r="D99" s="65"/>
      <c r="E99" s="66"/>
      <c r="F99" s="67"/>
      <c r="M99" s="1"/>
      <c r="N99" s="1"/>
    </row>
    <row r="100" spans="1:14" s="2" customFormat="1" x14ac:dyDescent="0.2">
      <c r="A100" s="24"/>
      <c r="B100" s="1"/>
      <c r="C100" s="62" t="str">
        <f>"01-04-2023 to " &amp;C97</f>
        <v>01-04-2023 to 19-12-2023</v>
      </c>
      <c r="D100" s="68">
        <f>+D98+32234.22</f>
        <v>33634.300000000003</v>
      </c>
      <c r="E100" s="68">
        <f>+E98+3134.59</f>
        <v>3558.08</v>
      </c>
      <c r="F100" s="68">
        <f>+F98+35368.81</f>
        <v>37192.379999999997</v>
      </c>
      <c r="G100" s="1"/>
      <c r="H100" s="1"/>
      <c r="M100" s="1"/>
      <c r="N100" s="1"/>
    </row>
    <row r="101" spans="1:14" s="2" customFormat="1" x14ac:dyDescent="0.2">
      <c r="A101" s="24"/>
      <c r="B101" s="1"/>
      <c r="C101" s="52"/>
      <c r="D101" s="85"/>
      <c r="E101" s="53"/>
      <c r="F101" s="53"/>
      <c r="G101" s="1"/>
      <c r="H101" s="1"/>
      <c r="M101" s="1"/>
      <c r="N101" s="1"/>
    </row>
    <row r="102" spans="1:14" s="2" customFormat="1" x14ac:dyDescent="0.2">
      <c r="A102" s="24"/>
      <c r="B102" s="1"/>
      <c r="C102" s="52"/>
      <c r="D102" s="85"/>
      <c r="E102" s="53"/>
      <c r="F102" s="53"/>
      <c r="G102" s="1"/>
      <c r="H102" s="1"/>
      <c r="M102" s="1"/>
      <c r="N102" s="1"/>
    </row>
    <row r="103" spans="1:14" s="2" customFormat="1" x14ac:dyDescent="0.2">
      <c r="A103" s="24"/>
      <c r="B103" s="1"/>
      <c r="C103" s="52"/>
      <c r="D103" s="85"/>
      <c r="E103" s="53"/>
      <c r="F103" s="53"/>
      <c r="G103" s="1"/>
      <c r="H103" s="1"/>
      <c r="M103" s="1"/>
      <c r="N103" s="1"/>
    </row>
    <row r="104" spans="1:14" s="2" customFormat="1" x14ac:dyDescent="0.2">
      <c r="A104" s="24"/>
      <c r="B104" s="1"/>
      <c r="C104" s="52"/>
      <c r="D104" s="85"/>
      <c r="E104" s="53"/>
      <c r="F104" s="53"/>
      <c r="G104" s="1"/>
      <c r="H104" s="1"/>
      <c r="M104" s="1"/>
      <c r="N104" s="1"/>
    </row>
    <row r="105" spans="1:14" s="2" customFormat="1" x14ac:dyDescent="0.2">
      <c r="A105" s="24"/>
      <c r="B105" s="1"/>
      <c r="C105" s="14"/>
      <c r="D105" s="25">
        <f>SUM(D102:D104)</f>
        <v>0</v>
      </c>
      <c r="E105" s="2">
        <f>SUM(E102:E104)</f>
        <v>0</v>
      </c>
      <c r="G105" s="1"/>
      <c r="H105" s="1"/>
      <c r="M105" s="1"/>
      <c r="N105" s="1"/>
    </row>
    <row r="106" spans="1:14" s="2" customFormat="1" x14ac:dyDescent="0.2">
      <c r="A106" s="24"/>
      <c r="B106" s="1"/>
      <c r="C106" s="14"/>
      <c r="D106" s="25"/>
      <c r="G106" s="1"/>
      <c r="H106" s="1"/>
      <c r="M106" s="1"/>
      <c r="N106" s="1"/>
    </row>
    <row r="107" spans="1:14" s="2" customFormat="1" x14ac:dyDescent="0.2">
      <c r="A107" s="24"/>
      <c r="B107" s="1"/>
      <c r="C107" s="14"/>
      <c r="D107" s="25"/>
      <c r="G107" s="1"/>
      <c r="H107" s="1"/>
      <c r="M107" s="1"/>
      <c r="N107" s="1"/>
    </row>
    <row r="108" spans="1:14" s="2" customFormat="1" x14ac:dyDescent="0.2">
      <c r="A108" s="24"/>
      <c r="B108" s="1"/>
      <c r="C108" s="14"/>
      <c r="D108" s="25"/>
      <c r="G108" s="1"/>
      <c r="H108" s="1"/>
      <c r="M108" s="1"/>
      <c r="N108" s="1"/>
    </row>
    <row r="109" spans="1:14" s="2" customFormat="1" x14ac:dyDescent="0.2">
      <c r="A109" s="24"/>
      <c r="B109" s="1"/>
      <c r="C109" s="14"/>
      <c r="D109" s="25"/>
      <c r="G109" s="1"/>
      <c r="H109" s="1"/>
      <c r="M109" s="1"/>
      <c r="N109" s="1"/>
    </row>
    <row r="110" spans="1:14" s="2" customFormat="1" x14ac:dyDescent="0.2">
      <c r="A110" s="24"/>
      <c r="B110" s="1"/>
      <c r="C110" s="14"/>
      <c r="D110" s="25"/>
      <c r="G110" s="1"/>
      <c r="H110" s="1"/>
      <c r="M110" s="1"/>
      <c r="N110" s="1"/>
    </row>
    <row r="111" spans="1:14" s="2" customFormat="1" x14ac:dyDescent="0.2">
      <c r="A111" s="24"/>
      <c r="B111" s="1"/>
      <c r="C111" s="14"/>
      <c r="D111" s="25"/>
      <c r="G111" s="1"/>
      <c r="H111" s="1"/>
      <c r="M111" s="1"/>
      <c r="N111" s="1"/>
    </row>
    <row r="112" spans="1:14" s="2" customFormat="1" x14ac:dyDescent="0.2">
      <c r="A112" s="24"/>
      <c r="B112" s="1"/>
      <c r="C112" s="14"/>
      <c r="D112" s="25"/>
      <c r="G112" s="1"/>
      <c r="H112" s="1"/>
      <c r="M112" s="1"/>
      <c r="N112" s="1"/>
    </row>
    <row r="113" spans="1:15" s="2" customFormat="1" x14ac:dyDescent="0.2">
      <c r="A113" s="24"/>
      <c r="B113" s="1"/>
      <c r="C113" s="14"/>
      <c r="D113" s="25"/>
      <c r="G113" s="1"/>
      <c r="H113" s="1"/>
      <c r="M113" s="1"/>
      <c r="N113" s="1"/>
    </row>
    <row r="114" spans="1:15" s="2" customFormat="1" x14ac:dyDescent="0.2">
      <c r="A114" s="24"/>
      <c r="B114" s="1"/>
      <c r="C114" s="14"/>
      <c r="D114" s="25"/>
      <c r="G114" s="1"/>
      <c r="H114" s="1"/>
      <c r="M114" s="1"/>
      <c r="N114" s="1"/>
    </row>
    <row r="115" spans="1:15" s="2" customFormat="1" x14ac:dyDescent="0.2">
      <c r="A115" s="24"/>
      <c r="B115" s="1"/>
      <c r="C115" s="14"/>
      <c r="D115" s="25"/>
      <c r="G115" s="1"/>
      <c r="H115" s="1"/>
      <c r="M115" s="1"/>
      <c r="N115" s="1"/>
    </row>
    <row r="116" spans="1:15" s="2" customFormat="1" x14ac:dyDescent="0.2">
      <c r="A116" s="24"/>
      <c r="B116" s="1"/>
      <c r="C116" s="14"/>
      <c r="D116" s="25"/>
      <c r="G116" s="1"/>
      <c r="H116" s="1"/>
      <c r="M116" s="1"/>
      <c r="N116" s="1"/>
    </row>
    <row r="117" spans="1:15" s="2" customFormat="1" x14ac:dyDescent="0.2">
      <c r="A117" s="24"/>
      <c r="B117" s="1"/>
      <c r="C117" s="14"/>
      <c r="D117" s="25"/>
      <c r="G117" s="1"/>
      <c r="H117" s="1"/>
      <c r="M117" s="1"/>
      <c r="N117" s="1"/>
    </row>
    <row r="118" spans="1:15" s="2" customFormat="1" x14ac:dyDescent="0.2">
      <c r="A118" s="24"/>
      <c r="B118" s="1"/>
      <c r="C118" s="14"/>
      <c r="D118" s="25"/>
      <c r="G118" s="1"/>
      <c r="H118" s="1"/>
      <c r="M118" s="1"/>
      <c r="N118" s="1"/>
    </row>
    <row r="119" spans="1:15" s="2" customFormat="1" x14ac:dyDescent="0.2">
      <c r="A119" s="24"/>
      <c r="B119" s="1"/>
      <c r="C119" s="14"/>
      <c r="D119" s="25"/>
      <c r="G119" s="1"/>
      <c r="H119" s="1"/>
      <c r="J119" s="1"/>
      <c r="K119" s="1"/>
      <c r="L119" s="1"/>
      <c r="M119" s="1"/>
      <c r="N119" s="1"/>
    </row>
    <row r="120" spans="1:15" s="2" customFormat="1" x14ac:dyDescent="0.2">
      <c r="A120" s="24"/>
      <c r="B120" s="1"/>
      <c r="C120" s="14"/>
      <c r="D120" s="25"/>
      <c r="G120" s="1"/>
      <c r="H120" s="1"/>
    </row>
    <row r="121" spans="1:15" s="2" customFormat="1" x14ac:dyDescent="0.2">
      <c r="A121" s="24"/>
      <c r="B121" s="1"/>
      <c r="C121" s="14"/>
      <c r="D121" s="25"/>
      <c r="G121" s="1"/>
      <c r="H121" s="1"/>
      <c r="J121" s="1"/>
      <c r="K121" s="1"/>
      <c r="L121" s="1"/>
      <c r="M121" s="1"/>
      <c r="N121" s="1"/>
    </row>
    <row r="122" spans="1:15" s="2" customFormat="1" x14ac:dyDescent="0.2">
      <c r="A122" s="24"/>
      <c r="B122" s="1"/>
      <c r="C122" s="14"/>
      <c r="D122" s="25"/>
      <c r="G122" s="54"/>
      <c r="H122" s="54"/>
      <c r="J122" s="1"/>
      <c r="K122" s="1"/>
      <c r="L122" s="1"/>
      <c r="M122" s="1"/>
      <c r="N122" s="1"/>
    </row>
    <row r="123" spans="1:15" s="2" customFormat="1" x14ac:dyDescent="0.2">
      <c r="A123" s="24"/>
      <c r="B123" s="1"/>
      <c r="C123" s="14"/>
      <c r="D123" s="25"/>
      <c r="G123" s="54"/>
      <c r="H123" s="54"/>
      <c r="J123" s="1"/>
      <c r="K123" s="1"/>
      <c r="L123" s="1"/>
      <c r="M123" s="1"/>
      <c r="N123" s="1"/>
    </row>
    <row r="124" spans="1:15" s="2" customFormat="1" x14ac:dyDescent="0.2">
      <c r="A124" s="24"/>
      <c r="B124" s="1"/>
      <c r="C124" s="14"/>
      <c r="D124" s="25"/>
      <c r="G124" s="54"/>
      <c r="H124" s="54"/>
      <c r="J124" s="1"/>
      <c r="K124" s="1"/>
      <c r="L124" s="1"/>
      <c r="M124" s="1"/>
      <c r="N124" s="1"/>
    </row>
    <row r="125" spans="1:15" s="2" customFormat="1" x14ac:dyDescent="0.2">
      <c r="A125" s="24"/>
      <c r="B125" s="1"/>
      <c r="C125" s="14"/>
      <c r="D125" s="25"/>
      <c r="G125" s="54"/>
      <c r="H125" s="54"/>
      <c r="I125" s="2" t="s">
        <v>396</v>
      </c>
      <c r="J125" s="1"/>
      <c r="K125" s="1"/>
      <c r="L125" s="1"/>
      <c r="M125" s="1"/>
      <c r="N125" s="1"/>
      <c r="O125" s="1"/>
    </row>
    <row r="126" spans="1:15" s="2" customFormat="1" x14ac:dyDescent="0.2">
      <c r="A126" s="24"/>
      <c r="B126" s="1"/>
      <c r="C126" s="14"/>
      <c r="D126" s="25"/>
      <c r="G126" s="54"/>
      <c r="H126" s="54"/>
      <c r="I126" s="53"/>
    </row>
    <row r="127" spans="1:15" s="2" customFormat="1" x14ac:dyDescent="0.2">
      <c r="A127" s="24"/>
      <c r="B127" s="1"/>
      <c r="C127" s="14"/>
      <c r="D127" s="25"/>
      <c r="G127" s="54"/>
      <c r="H127" s="54"/>
      <c r="I127" s="53" t="s">
        <v>396</v>
      </c>
      <c r="J127" s="1"/>
      <c r="K127" s="1"/>
      <c r="L127" s="1"/>
      <c r="M127" s="1"/>
      <c r="N127" s="1"/>
      <c r="O127" s="1"/>
    </row>
    <row r="128" spans="1:15" x14ac:dyDescent="0.2">
      <c r="G128" s="54"/>
      <c r="H128" s="54"/>
      <c r="I128" s="53" t="s">
        <v>396</v>
      </c>
      <c r="K128" s="42"/>
    </row>
    <row r="129" spans="1:15" s="2" customFormat="1" x14ac:dyDescent="0.2">
      <c r="A129" s="24"/>
      <c r="B129" s="1"/>
      <c r="C129" s="14"/>
      <c r="D129" s="25"/>
      <c r="G129" s="54"/>
      <c r="H129" s="54"/>
      <c r="I129" s="53"/>
      <c r="J129" s="101"/>
      <c r="K129" s="1"/>
      <c r="L129" s="1"/>
      <c r="M129" s="1"/>
      <c r="N129" s="1"/>
      <c r="O129" s="1"/>
    </row>
    <row r="130" spans="1:15" x14ac:dyDescent="0.2">
      <c r="G130" s="54"/>
      <c r="H130" s="54"/>
      <c r="I130" s="53"/>
    </row>
    <row r="131" spans="1:15" x14ac:dyDescent="0.2">
      <c r="G131" s="54"/>
      <c r="H131" s="54"/>
      <c r="I131" s="53"/>
    </row>
    <row r="132" spans="1:15" x14ac:dyDescent="0.2">
      <c r="G132" s="54"/>
      <c r="H132" s="54"/>
      <c r="I132" s="53"/>
    </row>
  </sheetData>
  <sheetProtection insertRows="0"/>
  <mergeCells count="7">
    <mergeCell ref="K59:L59"/>
    <mergeCell ref="A66:D66"/>
    <mergeCell ref="C94:F94"/>
    <mergeCell ref="A1:H1"/>
    <mergeCell ref="A3:F3"/>
    <mergeCell ref="A9:F9"/>
    <mergeCell ref="A21:F21"/>
  </mergeCells>
  <conditionalFormatting sqref="H63:H64">
    <cfRule type="cellIs" dxfId="167" priority="1" operator="lessThan">
      <formula>0</formula>
    </cfRule>
  </conditionalFormatting>
  <conditionalFormatting sqref="C23">
    <cfRule type="duplicateValues" dxfId="166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F00-000000000000}">
  <sheetPr codeName="Sheet503">
    <pageSetUpPr fitToPage="1"/>
  </sheetPr>
  <dimension ref="A1:O147"/>
  <sheetViews>
    <sheetView topLeftCell="A4" zoomScaleNormal="100" workbookViewId="0">
      <selection activeCell="E50" sqref="E50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12.85546875" style="1" customWidth="1"/>
    <col min="9" max="9" width="24.85546875" style="2" bestFit="1" customWidth="1"/>
    <col min="10" max="10" width="21.5703125" style="1" bestFit="1" customWidth="1"/>
    <col min="11" max="11" width="16.85546875" style="1" bestFit="1" customWidth="1"/>
    <col min="12" max="12" width="17.28515625" style="1" bestFit="1" customWidth="1"/>
    <col min="13" max="13" width="13.5703125" style="1" bestFit="1" customWidth="1"/>
    <col min="14" max="14" width="17.42578125" style="1" bestFit="1" customWidth="1"/>
    <col min="15" max="15" width="12.85546875" style="1" bestFit="1" customWidth="1"/>
    <col min="16" max="17" width="9.140625" style="1"/>
    <col min="18" max="18" width="15.5703125" style="1" bestFit="1" customWidth="1"/>
    <col min="19" max="16384" width="9.140625" style="1"/>
  </cols>
  <sheetData>
    <row r="1" spans="1:12" ht="20.25" customHeight="1" x14ac:dyDescent="0.4">
      <c r="A1" s="212" t="s">
        <v>1888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2" ht="12.75" customHeight="1" x14ac:dyDescent="0.4">
      <c r="I2" s="112"/>
      <c r="J2" s="112"/>
    </row>
    <row r="3" spans="1:12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2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2" s="2" customFormat="1" ht="14.25" customHeight="1" x14ac:dyDescent="0.4">
      <c r="A5" s="89">
        <v>45281</v>
      </c>
      <c r="B5" s="9" t="s">
        <v>6</v>
      </c>
      <c r="C5" s="10" t="s">
        <v>7</v>
      </c>
      <c r="D5" s="11"/>
      <c r="E5" s="12">
        <v>806052.23000000045</v>
      </c>
      <c r="F5" s="12"/>
      <c r="G5" s="1"/>
      <c r="H5" s="1"/>
      <c r="I5" s="112"/>
      <c r="J5" s="112"/>
    </row>
    <row r="6" spans="1:12" s="2" customFormat="1" ht="14.25" customHeight="1" x14ac:dyDescent="0.4">
      <c r="A6" s="89">
        <v>45281</v>
      </c>
      <c r="B6" s="9" t="s">
        <v>11</v>
      </c>
      <c r="C6" s="10" t="s">
        <v>1889</v>
      </c>
      <c r="D6" s="11" t="s">
        <v>29</v>
      </c>
      <c r="E6" s="12"/>
      <c r="F6" s="12">
        <v>136005</v>
      </c>
      <c r="G6" s="1"/>
      <c r="H6" s="1"/>
      <c r="I6" s="112"/>
      <c r="J6" s="112"/>
    </row>
    <row r="7" spans="1:12" s="2" customFormat="1" ht="12.75" customHeight="1" x14ac:dyDescent="0.2">
      <c r="D7" s="15" t="s">
        <v>8</v>
      </c>
      <c r="E7" s="16">
        <f>SUM(E5:E5)</f>
        <v>806052.23000000045</v>
      </c>
      <c r="F7" s="16">
        <f>F6</f>
        <v>136005</v>
      </c>
      <c r="G7" s="1"/>
      <c r="H7" s="1"/>
      <c r="I7" s="13" t="s">
        <v>1582</v>
      </c>
      <c r="J7" s="13" t="s">
        <v>1583</v>
      </c>
    </row>
    <row r="8" spans="1:12" s="2" customFormat="1" ht="12.75" customHeight="1" x14ac:dyDescent="0.2">
      <c r="A8" s="17"/>
      <c r="B8" s="18"/>
      <c r="C8" s="19" t="s">
        <v>9</v>
      </c>
      <c r="D8" s="20"/>
      <c r="E8" s="21">
        <f>+E7-F7</f>
        <v>670047.23000000045</v>
      </c>
      <c r="F8" s="22"/>
      <c r="G8" s="23"/>
      <c r="H8" s="23"/>
      <c r="I8" s="2">
        <v>43523</v>
      </c>
      <c r="J8" s="2">
        <v>0</v>
      </c>
      <c r="K8" s="176">
        <f>I8-J8</f>
        <v>43523</v>
      </c>
    </row>
    <row r="9" spans="1:12" ht="12.75" customHeight="1" x14ac:dyDescent="0.4">
      <c r="I9" s="112"/>
      <c r="J9" s="112"/>
    </row>
    <row r="10" spans="1:12" ht="18" customHeight="1" x14ac:dyDescent="0.4">
      <c r="A10" s="213" t="s">
        <v>1037</v>
      </c>
      <c r="B10" s="213"/>
      <c r="C10" s="213"/>
      <c r="D10" s="213"/>
      <c r="E10" s="213"/>
      <c r="F10" s="213"/>
      <c r="I10" s="112"/>
      <c r="J10" s="169">
        <f>90000000-60000000</f>
        <v>30000000</v>
      </c>
      <c r="K10" s="169" t="s">
        <v>1508</v>
      </c>
    </row>
    <row r="11" spans="1:12" ht="12.75" customHeight="1" x14ac:dyDescent="0.4">
      <c r="A11" s="3" t="s">
        <v>1</v>
      </c>
      <c r="B11" s="4" t="s">
        <v>2</v>
      </c>
      <c r="C11" s="5"/>
      <c r="D11" s="6" t="s">
        <v>3</v>
      </c>
      <c r="E11" s="7" t="s">
        <v>4</v>
      </c>
      <c r="F11" s="7" t="s">
        <v>5</v>
      </c>
      <c r="I11" s="112"/>
      <c r="J11" s="169">
        <v>27761787.390000001</v>
      </c>
      <c r="K11" s="169" t="s">
        <v>1509</v>
      </c>
      <c r="L11" s="124"/>
    </row>
    <row r="12" spans="1:12" s="2" customFormat="1" ht="14.25" customHeight="1" x14ac:dyDescent="0.2">
      <c r="A12" s="89">
        <v>45281</v>
      </c>
      <c r="B12" s="9" t="s">
        <v>6</v>
      </c>
      <c r="C12" s="10" t="s">
        <v>7</v>
      </c>
      <c r="D12" s="11"/>
      <c r="F12" s="12">
        <v>27841842.670000002</v>
      </c>
      <c r="G12" s="1"/>
      <c r="H12" s="1"/>
      <c r="I12" s="130" t="s">
        <v>396</v>
      </c>
      <c r="J12" s="169">
        <f>+J10-J11</f>
        <v>2238212.6099999994</v>
      </c>
      <c r="K12" s="169" t="s">
        <v>712</v>
      </c>
      <c r="L12" s="165" t="s">
        <v>1512</v>
      </c>
    </row>
    <row r="13" spans="1:12" s="2" customFormat="1" ht="14.25" customHeight="1" x14ac:dyDescent="0.2">
      <c r="A13" s="89">
        <v>45281</v>
      </c>
      <c r="B13" s="9" t="s">
        <v>6</v>
      </c>
      <c r="C13" s="76" t="s">
        <v>1255</v>
      </c>
      <c r="D13" s="11" t="s">
        <v>13</v>
      </c>
      <c r="E13" s="31">
        <v>2000000</v>
      </c>
      <c r="F13" s="31"/>
      <c r="G13" s="1"/>
      <c r="H13" s="1"/>
      <c r="I13" s="130"/>
      <c r="J13" s="169"/>
      <c r="K13" s="169"/>
      <c r="L13" s="165"/>
    </row>
    <row r="14" spans="1:12" s="2" customFormat="1" ht="14.25" customHeight="1" x14ac:dyDescent="0.2">
      <c r="A14" s="89">
        <v>45281</v>
      </c>
      <c r="B14" s="9" t="s">
        <v>11</v>
      </c>
      <c r="C14" s="76" t="s">
        <v>1890</v>
      </c>
      <c r="D14" s="11" t="s">
        <v>29</v>
      </c>
      <c r="E14" s="31"/>
      <c r="F14" s="31">
        <v>17593</v>
      </c>
      <c r="G14" s="1"/>
      <c r="H14" s="1"/>
      <c r="I14" s="130"/>
      <c r="J14" s="169"/>
      <c r="K14" s="169"/>
      <c r="L14" s="165"/>
    </row>
    <row r="15" spans="1:12" s="2" customFormat="1" ht="14.25" customHeight="1" x14ac:dyDescent="0.2">
      <c r="A15" s="89">
        <v>45281</v>
      </c>
      <c r="B15" s="9" t="s">
        <v>11</v>
      </c>
      <c r="C15" s="76" t="s">
        <v>1399</v>
      </c>
      <c r="D15" s="11" t="s">
        <v>29</v>
      </c>
      <c r="E15" s="31"/>
      <c r="F15" s="31">
        <v>47202</v>
      </c>
      <c r="G15" s="1"/>
      <c r="H15" s="1"/>
      <c r="I15" s="130"/>
      <c r="J15" s="169"/>
      <c r="K15" s="169"/>
      <c r="L15" s="165"/>
    </row>
    <row r="16" spans="1:12" s="2" customFormat="1" ht="14.25" customHeight="1" x14ac:dyDescent="0.2">
      <c r="A16" s="89">
        <v>45281</v>
      </c>
      <c r="B16" s="9" t="s">
        <v>11</v>
      </c>
      <c r="C16" s="76" t="s">
        <v>1144</v>
      </c>
      <c r="D16" s="11" t="s">
        <v>29</v>
      </c>
      <c r="E16" s="31"/>
      <c r="F16" s="31">
        <v>109730</v>
      </c>
      <c r="G16" s="1"/>
      <c r="H16" s="1"/>
      <c r="I16" s="130"/>
      <c r="J16" s="169"/>
      <c r="K16" s="169"/>
      <c r="L16" s="165"/>
    </row>
    <row r="17" spans="1:14" s="2" customFormat="1" ht="14.25" customHeight="1" x14ac:dyDescent="0.2">
      <c r="A17" s="89">
        <v>45281</v>
      </c>
      <c r="B17" s="9" t="s">
        <v>11</v>
      </c>
      <c r="C17" s="76" t="s">
        <v>718</v>
      </c>
      <c r="D17" s="11" t="s">
        <v>29</v>
      </c>
      <c r="E17" s="31"/>
      <c r="F17" s="31">
        <v>4901.72</v>
      </c>
      <c r="G17" s="1"/>
      <c r="H17" s="1"/>
      <c r="I17" s="130"/>
      <c r="J17" s="169"/>
      <c r="K17" s="169"/>
      <c r="L17" s="165"/>
    </row>
    <row r="18" spans="1:14" s="2" customFormat="1" ht="14.25" customHeight="1" x14ac:dyDescent="0.2">
      <c r="A18" s="89">
        <v>45281</v>
      </c>
      <c r="B18" s="9" t="s">
        <v>11</v>
      </c>
      <c r="C18" s="76" t="s">
        <v>1313</v>
      </c>
      <c r="D18" s="11" t="s">
        <v>29</v>
      </c>
      <c r="E18" s="31"/>
      <c r="F18" s="31">
        <v>22846</v>
      </c>
      <c r="G18" s="1"/>
      <c r="H18" s="1"/>
      <c r="I18" s="130"/>
      <c r="J18" s="169"/>
      <c r="K18" s="169"/>
      <c r="L18" s="165"/>
    </row>
    <row r="19" spans="1:14" s="2" customFormat="1" ht="14.25" customHeight="1" x14ac:dyDescent="0.2">
      <c r="A19" s="89">
        <v>45281</v>
      </c>
      <c r="B19" s="9" t="s">
        <v>11</v>
      </c>
      <c r="C19" s="76" t="s">
        <v>1891</v>
      </c>
      <c r="D19" s="11" t="s">
        <v>29</v>
      </c>
      <c r="E19" s="31"/>
      <c r="F19" s="31">
        <v>10030</v>
      </c>
      <c r="G19" s="1"/>
      <c r="H19" s="1"/>
      <c r="I19" s="130"/>
      <c r="J19" s="169"/>
      <c r="K19" s="169"/>
      <c r="L19" s="165"/>
    </row>
    <row r="20" spans="1:14" s="2" customFormat="1" ht="14.25" customHeight="1" x14ac:dyDescent="0.2">
      <c r="A20" s="89">
        <v>45281</v>
      </c>
      <c r="B20" s="9" t="s">
        <v>11</v>
      </c>
      <c r="C20" s="76" t="s">
        <v>34</v>
      </c>
      <c r="D20" s="11" t="s">
        <v>29</v>
      </c>
      <c r="E20" s="31"/>
      <c r="F20" s="31">
        <v>90000</v>
      </c>
      <c r="G20" s="1"/>
      <c r="H20" s="1"/>
      <c r="I20" s="130"/>
      <c r="J20" s="169"/>
      <c r="K20" s="169"/>
      <c r="L20" s="165"/>
    </row>
    <row r="21" spans="1:14" s="2" customFormat="1" ht="14.25" customHeight="1" x14ac:dyDescent="0.2">
      <c r="A21" s="89">
        <v>45281</v>
      </c>
      <c r="B21" s="9" t="s">
        <v>11</v>
      </c>
      <c r="C21" s="76" t="s">
        <v>291</v>
      </c>
      <c r="D21" s="11" t="s">
        <v>29</v>
      </c>
      <c r="E21" s="31"/>
      <c r="F21" s="31">
        <v>7800</v>
      </c>
      <c r="G21" s="1"/>
      <c r="H21" s="1"/>
      <c r="I21" s="130"/>
      <c r="J21" s="169"/>
      <c r="K21" s="169"/>
      <c r="L21" s="165"/>
    </row>
    <row r="22" spans="1:14" s="2" customFormat="1" ht="14.25" customHeight="1" x14ac:dyDescent="0.2">
      <c r="A22" s="89">
        <v>45281</v>
      </c>
      <c r="B22" s="9" t="s">
        <v>11</v>
      </c>
      <c r="C22" s="76" t="s">
        <v>118</v>
      </c>
      <c r="D22" s="11" t="s">
        <v>29</v>
      </c>
      <c r="E22" s="31"/>
      <c r="F22" s="31">
        <v>300000</v>
      </c>
      <c r="G22" s="1"/>
      <c r="H22" s="1"/>
      <c r="I22" s="130"/>
      <c r="J22" s="169"/>
      <c r="K22" s="169"/>
      <c r="L22" s="165"/>
    </row>
    <row r="23" spans="1:14" s="2" customFormat="1" ht="14.25" customHeight="1" x14ac:dyDescent="0.2">
      <c r="A23" s="89">
        <v>45281</v>
      </c>
      <c r="B23" s="9" t="s">
        <v>11</v>
      </c>
      <c r="C23" s="76" t="s">
        <v>1892</v>
      </c>
      <c r="D23" s="11" t="s">
        <v>29</v>
      </c>
      <c r="E23" s="31"/>
      <c r="F23" s="31">
        <v>48600</v>
      </c>
      <c r="G23" s="1"/>
      <c r="H23" s="1"/>
      <c r="I23" s="130"/>
      <c r="J23" s="169"/>
      <c r="K23" s="169"/>
      <c r="L23" s="165"/>
    </row>
    <row r="24" spans="1:14" s="2" customFormat="1" ht="14.25" customHeight="1" x14ac:dyDescent="0.2">
      <c r="A24" s="89">
        <v>45281</v>
      </c>
      <c r="B24" s="9" t="s">
        <v>11</v>
      </c>
      <c r="C24" s="76" t="s">
        <v>262</v>
      </c>
      <c r="D24" s="11" t="s">
        <v>29</v>
      </c>
      <c r="E24" s="31"/>
      <c r="F24" s="31">
        <v>25572</v>
      </c>
      <c r="G24" s="1"/>
      <c r="H24" s="1"/>
      <c r="I24" s="130"/>
      <c r="J24" s="169"/>
      <c r="K24" s="169"/>
      <c r="L24" s="165"/>
    </row>
    <row r="25" spans="1:14" s="2" customFormat="1" ht="14.25" customHeight="1" x14ac:dyDescent="0.2">
      <c r="A25" s="89">
        <v>45281</v>
      </c>
      <c r="B25" s="9" t="s">
        <v>11</v>
      </c>
      <c r="C25" s="76" t="s">
        <v>532</v>
      </c>
      <c r="D25" s="11" t="s">
        <v>29</v>
      </c>
      <c r="E25" s="31"/>
      <c r="F25" s="31">
        <v>40887</v>
      </c>
      <c r="G25" s="1"/>
      <c r="H25" s="1"/>
      <c r="I25" s="130"/>
      <c r="J25" s="169"/>
      <c r="K25" s="169"/>
      <c r="L25" s="165"/>
    </row>
    <row r="26" spans="1:14" s="2" customFormat="1" ht="14.25" customHeight="1" x14ac:dyDescent="0.2">
      <c r="A26" s="89">
        <v>45281</v>
      </c>
      <c r="B26" s="9" t="s">
        <v>11</v>
      </c>
      <c r="C26" s="76" t="s">
        <v>1615</v>
      </c>
      <c r="D26" s="11" t="s">
        <v>29</v>
      </c>
      <c r="E26" s="31"/>
      <c r="F26" s="31">
        <v>535487</v>
      </c>
      <c r="G26" s="1"/>
      <c r="H26" s="1"/>
      <c r="I26" s="130"/>
      <c r="J26" s="169"/>
      <c r="K26" s="169"/>
      <c r="L26" s="165"/>
    </row>
    <row r="27" spans="1:14" s="2" customFormat="1" ht="14.25" customHeight="1" x14ac:dyDescent="0.2">
      <c r="A27" s="89">
        <v>45281</v>
      </c>
      <c r="B27" s="9" t="s">
        <v>11</v>
      </c>
      <c r="C27" s="76" t="s">
        <v>1533</v>
      </c>
      <c r="D27" s="11" t="s">
        <v>29</v>
      </c>
      <c r="E27" s="31"/>
      <c r="F27" s="31">
        <v>615773</v>
      </c>
      <c r="G27" s="1"/>
      <c r="H27" s="1"/>
      <c r="I27" s="130"/>
      <c r="J27" s="169"/>
      <c r="K27" s="169"/>
      <c r="L27" s="165"/>
    </row>
    <row r="28" spans="1:14" s="2" customFormat="1" ht="14.25" customHeight="1" x14ac:dyDescent="0.2">
      <c r="D28" s="11" t="s">
        <v>8</v>
      </c>
      <c r="E28" s="16">
        <f>SUM(E13:E27)</f>
        <v>2000000</v>
      </c>
      <c r="F28" s="16">
        <f>SUM(F12:F27)</f>
        <v>29718264.390000001</v>
      </c>
      <c r="G28" s="1"/>
      <c r="H28" s="1"/>
      <c r="I28" s="143"/>
      <c r="J28" s="130"/>
      <c r="K28" s="143"/>
      <c r="L28" s="143"/>
      <c r="M28" s="143"/>
      <c r="N28" s="143"/>
    </row>
    <row r="29" spans="1:14" s="2" customFormat="1" ht="14.25" customHeight="1" x14ac:dyDescent="0.4">
      <c r="A29" s="17"/>
      <c r="B29" s="18"/>
      <c r="C29" s="96" t="s">
        <v>9</v>
      </c>
      <c r="D29" s="20"/>
      <c r="E29" s="21">
        <f>+F28-E28</f>
        <v>27718264.390000001</v>
      </c>
      <c r="G29" s="1"/>
      <c r="H29" s="1"/>
      <c r="J29" s="112"/>
      <c r="K29" s="153" t="s">
        <v>779</v>
      </c>
    </row>
    <row r="30" spans="1:14" s="2" customFormat="1" ht="14.25" customHeight="1" x14ac:dyDescent="0.2">
      <c r="A30" s="36"/>
      <c r="B30" s="28" t="s">
        <v>66</v>
      </c>
      <c r="C30" s="43" t="s">
        <v>1458</v>
      </c>
      <c r="D30" s="43"/>
      <c r="E30" s="12">
        <f>30000000+60000000</f>
        <v>90000000</v>
      </c>
      <c r="F30" s="22"/>
      <c r="G30" s="1"/>
      <c r="H30" s="1"/>
      <c r="J30" s="40">
        <v>27718264.390000001</v>
      </c>
      <c r="K30" s="154">
        <f>J30-E29</f>
        <v>0</v>
      </c>
    </row>
    <row r="31" spans="1:14" s="2" customFormat="1" ht="14.25" customHeight="1" x14ac:dyDescent="0.25">
      <c r="A31" s="36"/>
      <c r="B31" s="28"/>
      <c r="C31" s="44" t="s">
        <v>1541</v>
      </c>
      <c r="D31" s="43"/>
      <c r="E31" s="7">
        <f>+E29+E30</f>
        <v>117718264.39</v>
      </c>
      <c r="F31" s="22"/>
      <c r="G31" s="1"/>
      <c r="H31" s="1"/>
      <c r="I31" s="13" t="s">
        <v>1582</v>
      </c>
      <c r="J31" s="13" t="s">
        <v>1583</v>
      </c>
    </row>
    <row r="32" spans="1:14" s="2" customFormat="1" ht="14.25" customHeight="1" x14ac:dyDescent="0.25">
      <c r="A32" s="36"/>
      <c r="B32" s="28"/>
      <c r="C32" s="44" t="s">
        <v>1511</v>
      </c>
      <c r="D32" s="43"/>
      <c r="E32" s="38">
        <f>+J12+I8-J8</f>
        <v>2281735.6099999994</v>
      </c>
      <c r="F32" s="22"/>
      <c r="G32" s="1"/>
      <c r="H32" s="1"/>
      <c r="I32" s="2">
        <v>1311525</v>
      </c>
      <c r="J32" s="2">
        <v>27505027</v>
      </c>
      <c r="K32" s="176">
        <f>I32-J32</f>
        <v>-26193502</v>
      </c>
    </row>
    <row r="33" spans="1:15" s="2" customFormat="1" ht="14.25" customHeight="1" x14ac:dyDescent="0.2">
      <c r="A33" s="24"/>
      <c r="B33" s="1"/>
      <c r="C33" s="14"/>
      <c r="D33" s="25"/>
      <c r="G33" s="1"/>
      <c r="H33" s="1"/>
      <c r="J33" s="130"/>
      <c r="K33" s="130"/>
    </row>
    <row r="34" spans="1:15" s="2" customFormat="1" x14ac:dyDescent="0.2">
      <c r="A34" s="214" t="s">
        <v>10</v>
      </c>
      <c r="B34" s="214"/>
      <c r="C34" s="214"/>
      <c r="D34" s="214"/>
      <c r="E34" s="214"/>
      <c r="F34" s="214"/>
      <c r="G34" s="1"/>
      <c r="H34" s="1"/>
      <c r="I34" s="159"/>
      <c r="J34" s="160">
        <f>225000000-75000000-50000000</f>
        <v>100000000</v>
      </c>
      <c r="K34" s="160" t="s">
        <v>1506</v>
      </c>
      <c r="L34" s="70"/>
    </row>
    <row r="35" spans="1:15" s="2" customFormat="1" x14ac:dyDescent="0.2">
      <c r="A35" s="26" t="s">
        <v>1</v>
      </c>
      <c r="B35" s="27" t="s">
        <v>2</v>
      </c>
      <c r="C35" s="5"/>
      <c r="D35" s="6" t="s">
        <v>3</v>
      </c>
      <c r="E35" s="7" t="s">
        <v>4</v>
      </c>
      <c r="F35" s="7" t="s">
        <v>5</v>
      </c>
      <c r="G35" s="1"/>
      <c r="H35" s="1"/>
      <c r="I35" s="159"/>
      <c r="J35" s="160">
        <v>68370254.510000005</v>
      </c>
      <c r="K35" s="160" t="s">
        <v>1507</v>
      </c>
      <c r="L35" s="70" t="s">
        <v>1512</v>
      </c>
    </row>
    <row r="36" spans="1:15" s="2" customFormat="1" x14ac:dyDescent="0.2">
      <c r="A36" s="89">
        <v>45281</v>
      </c>
      <c r="B36" s="128" t="s">
        <v>11</v>
      </c>
      <c r="C36" s="29" t="s">
        <v>7</v>
      </c>
      <c r="D36" s="25"/>
      <c r="E36" s="31"/>
      <c r="F36" s="2">
        <v>81283799.099999964</v>
      </c>
      <c r="G36" s="23"/>
      <c r="H36" s="23"/>
      <c r="I36" s="159" t="s">
        <v>1505</v>
      </c>
      <c r="J36" s="160">
        <f>+J34-J35</f>
        <v>31629745.489999995</v>
      </c>
      <c r="K36" s="160"/>
      <c r="L36" s="70"/>
    </row>
    <row r="37" spans="1:15" s="2" customFormat="1" x14ac:dyDescent="0.2">
      <c r="A37" s="89">
        <v>45281</v>
      </c>
      <c r="B37" s="128" t="s">
        <v>6</v>
      </c>
      <c r="C37" s="29" t="s">
        <v>1240</v>
      </c>
      <c r="D37" s="11" t="s">
        <v>13</v>
      </c>
      <c r="E37" s="86">
        <v>58639</v>
      </c>
      <c r="F37" s="70"/>
      <c r="G37" s="1"/>
      <c r="H37" s="1"/>
      <c r="O37" s="1"/>
    </row>
    <row r="38" spans="1:15" s="2" customFormat="1" x14ac:dyDescent="0.2">
      <c r="A38" s="89">
        <v>45281</v>
      </c>
      <c r="B38" s="128" t="s">
        <v>6</v>
      </c>
      <c r="C38" s="29" t="s">
        <v>27</v>
      </c>
      <c r="D38" s="11" t="s">
        <v>13</v>
      </c>
      <c r="E38" s="86">
        <v>9473744.8300000001</v>
      </c>
      <c r="F38" s="70"/>
      <c r="G38" s="1"/>
      <c r="H38" s="1"/>
      <c r="O38" s="1"/>
    </row>
    <row r="39" spans="1:15" s="2" customFormat="1" x14ac:dyDescent="0.2">
      <c r="A39" s="89">
        <v>45281</v>
      </c>
      <c r="B39" s="128" t="s">
        <v>6</v>
      </c>
      <c r="C39" s="29" t="s">
        <v>381</v>
      </c>
      <c r="D39" s="11" t="s">
        <v>13</v>
      </c>
      <c r="E39" s="86">
        <v>75264</v>
      </c>
      <c r="F39" s="70"/>
      <c r="G39" s="1"/>
      <c r="H39" s="1"/>
      <c r="O39" s="1"/>
    </row>
    <row r="40" spans="1:15" s="2" customFormat="1" x14ac:dyDescent="0.2">
      <c r="A40" s="89">
        <v>45281</v>
      </c>
      <c r="B40" s="128" t="s">
        <v>6</v>
      </c>
      <c r="C40" s="29" t="s">
        <v>141</v>
      </c>
      <c r="D40" s="11" t="s">
        <v>13</v>
      </c>
      <c r="E40" s="86">
        <v>63000</v>
      </c>
      <c r="F40" s="70"/>
      <c r="G40" s="1"/>
      <c r="H40" s="1"/>
      <c r="O40" s="1"/>
    </row>
    <row r="41" spans="1:15" s="2" customFormat="1" x14ac:dyDescent="0.2">
      <c r="A41" s="89">
        <v>45281</v>
      </c>
      <c r="B41" s="128" t="s">
        <v>6</v>
      </c>
      <c r="C41" s="29" t="s">
        <v>1271</v>
      </c>
      <c r="D41" s="11" t="s">
        <v>13</v>
      </c>
      <c r="E41" s="86">
        <v>104114</v>
      </c>
      <c r="F41" s="70"/>
      <c r="G41" s="1"/>
      <c r="H41" s="1"/>
      <c r="O41" s="1"/>
    </row>
    <row r="42" spans="1:15" s="2" customFormat="1" x14ac:dyDescent="0.2">
      <c r="A42" s="89">
        <v>45281</v>
      </c>
      <c r="B42" s="128" t="s">
        <v>6</v>
      </c>
      <c r="C42" s="29" t="s">
        <v>1402</v>
      </c>
      <c r="D42" s="11" t="s">
        <v>13</v>
      </c>
      <c r="E42" s="86">
        <v>778015</v>
      </c>
      <c r="F42" s="70"/>
      <c r="G42" s="1"/>
      <c r="H42" s="1"/>
      <c r="O42" s="1"/>
    </row>
    <row r="43" spans="1:15" s="2" customFormat="1" x14ac:dyDescent="0.2">
      <c r="A43" s="89">
        <v>45281</v>
      </c>
      <c r="B43" s="128" t="s">
        <v>6</v>
      </c>
      <c r="C43" s="29" t="s">
        <v>219</v>
      </c>
      <c r="D43" s="11" t="s">
        <v>13</v>
      </c>
      <c r="E43" s="86">
        <v>1500000</v>
      </c>
      <c r="F43" s="70"/>
      <c r="G43" s="1"/>
      <c r="H43" s="1"/>
      <c r="O43" s="1"/>
    </row>
    <row r="44" spans="1:15" s="2" customFormat="1" x14ac:dyDescent="0.2">
      <c r="A44" s="89">
        <v>45281</v>
      </c>
      <c r="B44" s="128" t="s">
        <v>6</v>
      </c>
      <c r="C44" s="29" t="s">
        <v>264</v>
      </c>
      <c r="D44" s="11" t="s">
        <v>13</v>
      </c>
      <c r="E44" s="86">
        <v>450000</v>
      </c>
      <c r="F44" s="70"/>
      <c r="G44" s="1"/>
      <c r="H44" s="1"/>
      <c r="O44" s="1"/>
    </row>
    <row r="45" spans="1:15" s="2" customFormat="1" x14ac:dyDescent="0.2">
      <c r="A45" s="89">
        <v>45281</v>
      </c>
      <c r="B45" s="128" t="s">
        <v>6</v>
      </c>
      <c r="C45" s="29" t="s">
        <v>788</v>
      </c>
      <c r="D45" s="11" t="s">
        <v>13</v>
      </c>
      <c r="E45" s="86">
        <v>118755</v>
      </c>
      <c r="F45" s="70"/>
      <c r="G45" s="1"/>
      <c r="H45" s="1"/>
      <c r="O45" s="1"/>
    </row>
    <row r="46" spans="1:15" s="2" customFormat="1" x14ac:dyDescent="0.2">
      <c r="A46" s="89">
        <v>45281</v>
      </c>
      <c r="B46" s="128" t="s">
        <v>6</v>
      </c>
      <c r="C46" s="29" t="s">
        <v>200</v>
      </c>
      <c r="D46" s="11" t="s">
        <v>13</v>
      </c>
      <c r="E46" s="86">
        <v>201454</v>
      </c>
      <c r="F46" s="70"/>
      <c r="G46" s="1"/>
      <c r="H46" s="1"/>
      <c r="O46" s="1"/>
    </row>
    <row r="47" spans="1:15" s="2" customFormat="1" x14ac:dyDescent="0.2">
      <c r="A47" s="89">
        <v>45281</v>
      </c>
      <c r="B47" s="128" t="s">
        <v>6</v>
      </c>
      <c r="C47" s="29" t="s">
        <v>1895</v>
      </c>
      <c r="D47" s="11" t="s">
        <v>13</v>
      </c>
      <c r="E47" s="86">
        <v>1680</v>
      </c>
      <c r="F47" s="70"/>
      <c r="G47" s="1"/>
      <c r="H47" s="1"/>
      <c r="O47" s="1"/>
    </row>
    <row r="48" spans="1:15" s="2" customFormat="1" x14ac:dyDescent="0.2">
      <c r="A48" s="89">
        <v>45281</v>
      </c>
      <c r="B48" s="128" t="s">
        <v>6</v>
      </c>
      <c r="C48" s="29" t="s">
        <v>957</v>
      </c>
      <c r="D48" s="11" t="s">
        <v>13</v>
      </c>
      <c r="E48" s="86">
        <v>885</v>
      </c>
      <c r="F48" s="70"/>
      <c r="G48" s="1"/>
      <c r="H48" s="1"/>
      <c r="O48" s="1"/>
    </row>
    <row r="49" spans="1:15" s="2" customFormat="1" x14ac:dyDescent="0.2">
      <c r="A49" s="89">
        <v>45281</v>
      </c>
      <c r="B49" s="128" t="s">
        <v>6</v>
      </c>
      <c r="C49" s="29" t="s">
        <v>15</v>
      </c>
      <c r="D49" s="11" t="s">
        <v>13</v>
      </c>
      <c r="E49" s="86">
        <v>720.16</v>
      </c>
      <c r="F49" s="70"/>
      <c r="G49" s="1"/>
      <c r="H49" s="1"/>
      <c r="O49" s="1"/>
    </row>
    <row r="50" spans="1:15" s="2" customFormat="1" x14ac:dyDescent="0.2">
      <c r="A50" s="89">
        <v>45281</v>
      </c>
      <c r="B50" s="128" t="s">
        <v>6</v>
      </c>
      <c r="C50" s="29" t="s">
        <v>1625</v>
      </c>
      <c r="D50" s="11" t="s">
        <v>13</v>
      </c>
      <c r="E50" s="86">
        <v>7350</v>
      </c>
      <c r="F50" s="70"/>
      <c r="G50" s="1"/>
      <c r="H50" s="1"/>
      <c r="O50" s="1"/>
    </row>
    <row r="51" spans="1:15" s="2" customFormat="1" x14ac:dyDescent="0.2">
      <c r="A51" s="89">
        <v>45281</v>
      </c>
      <c r="B51" s="128" t="s">
        <v>11</v>
      </c>
      <c r="C51" s="29" t="s">
        <v>64</v>
      </c>
      <c r="D51" s="11" t="s">
        <v>29</v>
      </c>
      <c r="E51" s="86"/>
      <c r="F51" s="70">
        <v>5900</v>
      </c>
      <c r="G51" s="1"/>
      <c r="H51" s="1"/>
      <c r="O51" s="1"/>
    </row>
    <row r="52" spans="1:15" s="2" customFormat="1" x14ac:dyDescent="0.2">
      <c r="A52" s="89">
        <v>45281</v>
      </c>
      <c r="B52" s="128" t="s">
        <v>11</v>
      </c>
      <c r="C52" s="29" t="s">
        <v>1884</v>
      </c>
      <c r="D52" s="11" t="s">
        <v>29</v>
      </c>
      <c r="E52" s="86"/>
      <c r="F52" s="70">
        <v>16916170</v>
      </c>
      <c r="G52" s="1"/>
      <c r="H52" s="1"/>
      <c r="O52" s="1"/>
    </row>
    <row r="53" spans="1:15" s="2" customFormat="1" x14ac:dyDescent="0.2">
      <c r="A53" s="89">
        <v>45281</v>
      </c>
      <c r="B53" s="128" t="s">
        <v>11</v>
      </c>
      <c r="C53" s="29" t="s">
        <v>1893</v>
      </c>
      <c r="D53" s="11" t="s">
        <v>29</v>
      </c>
      <c r="E53" s="86"/>
      <c r="F53" s="70">
        <v>441064</v>
      </c>
      <c r="G53" s="1"/>
      <c r="H53" s="1"/>
      <c r="O53" s="1"/>
    </row>
    <row r="54" spans="1:15" s="2" customFormat="1" x14ac:dyDescent="0.2">
      <c r="A54" s="89">
        <v>45281</v>
      </c>
      <c r="B54" s="128" t="s">
        <v>11</v>
      </c>
      <c r="C54" s="29" t="s">
        <v>1894</v>
      </c>
      <c r="D54" s="11" t="s">
        <v>29</v>
      </c>
      <c r="E54" s="86"/>
      <c r="F54" s="70">
        <v>2594994</v>
      </c>
      <c r="G54" s="1"/>
      <c r="H54" s="1"/>
      <c r="O54" s="1"/>
    </row>
    <row r="55" spans="1:15" s="2" customFormat="1" x14ac:dyDescent="0.2">
      <c r="A55" s="89">
        <v>45281</v>
      </c>
      <c r="B55" s="128" t="s">
        <v>11</v>
      </c>
      <c r="C55" s="29" t="s">
        <v>1816</v>
      </c>
      <c r="D55" s="11" t="s">
        <v>29</v>
      </c>
      <c r="E55" s="86"/>
      <c r="F55" s="70">
        <v>6020651</v>
      </c>
      <c r="G55" s="1"/>
      <c r="H55" s="1"/>
      <c r="O55" s="1"/>
    </row>
    <row r="56" spans="1:15" s="2" customFormat="1" x14ac:dyDescent="0.2">
      <c r="A56" s="89">
        <v>45281</v>
      </c>
      <c r="B56" s="128" t="s">
        <v>11</v>
      </c>
      <c r="C56" s="29" t="s">
        <v>1886</v>
      </c>
      <c r="D56" s="11" t="s">
        <v>29</v>
      </c>
      <c r="E56" s="86"/>
      <c r="F56" s="70">
        <v>134799.4</v>
      </c>
      <c r="G56" s="1"/>
      <c r="H56" s="1"/>
      <c r="O56" s="1"/>
    </row>
    <row r="57" spans="1:15" s="2" customFormat="1" x14ac:dyDescent="0.2">
      <c r="A57" s="32"/>
      <c r="B57" s="33"/>
      <c r="C57" s="14"/>
      <c r="D57" s="34"/>
      <c r="E57" s="16">
        <f>SUM(E36:E56)</f>
        <v>12833620.99</v>
      </c>
      <c r="F57" s="16">
        <f>SUM(F36:F56)</f>
        <v>107397377.49999997</v>
      </c>
      <c r="G57" s="1"/>
      <c r="H57" s="1"/>
      <c r="I57" s="1"/>
      <c r="J57" s="38">
        <v>94563756.510000005</v>
      </c>
      <c r="L57" s="92">
        <f>E58-J57</f>
        <v>0</v>
      </c>
      <c r="O57" s="1"/>
    </row>
    <row r="58" spans="1:15" s="2" customFormat="1" x14ac:dyDescent="0.2">
      <c r="A58" s="36"/>
      <c r="B58" s="28" t="s">
        <v>11</v>
      </c>
      <c r="C58" s="19" t="s">
        <v>65</v>
      </c>
      <c r="D58" s="37"/>
      <c r="E58" s="38">
        <f>F57-E57</f>
        <v>94563756.509999976</v>
      </c>
      <c r="F58" s="22"/>
      <c r="G58" s="1"/>
      <c r="H58" s="1"/>
      <c r="I58" s="1"/>
      <c r="J58" s="70"/>
      <c r="K58" s="70"/>
      <c r="L58" s="70"/>
      <c r="O58" s="1"/>
    </row>
    <row r="59" spans="1:15" s="2" customFormat="1" x14ac:dyDescent="0.2">
      <c r="A59" s="36"/>
      <c r="B59" s="28" t="s">
        <v>66</v>
      </c>
      <c r="C59" s="19" t="s">
        <v>67</v>
      </c>
      <c r="D59" s="37"/>
      <c r="E59" s="38">
        <v>0</v>
      </c>
      <c r="F59" s="22"/>
      <c r="G59" s="1"/>
      <c r="H59" s="1"/>
      <c r="I59" s="70"/>
      <c r="J59" s="70"/>
      <c r="K59" s="70"/>
      <c r="L59" s="70"/>
      <c r="O59" s="1"/>
    </row>
    <row r="60" spans="1:15" s="2" customFormat="1" x14ac:dyDescent="0.2">
      <c r="A60" s="36"/>
      <c r="B60" s="28" t="s">
        <v>66</v>
      </c>
      <c r="C60" s="43" t="s">
        <v>1457</v>
      </c>
      <c r="D60" s="43"/>
      <c r="E60" s="12">
        <f>275000000+75000000+50000000</f>
        <v>400000000</v>
      </c>
      <c r="F60" s="22"/>
      <c r="G60" s="1"/>
      <c r="H60" s="1"/>
      <c r="I60" s="70"/>
      <c r="J60" s="45">
        <v>1246.06</v>
      </c>
      <c r="K60" s="46"/>
      <c r="L60" s="46"/>
      <c r="O60" s="1"/>
    </row>
    <row r="61" spans="1:15" s="2" customFormat="1" ht="15" x14ac:dyDescent="0.25">
      <c r="A61" s="36"/>
      <c r="B61" s="28"/>
      <c r="C61" s="44" t="s">
        <v>1541</v>
      </c>
      <c r="D61" s="43"/>
      <c r="E61" s="7">
        <f>+E60+E58+E59</f>
        <v>494563756.50999999</v>
      </c>
      <c r="F61" s="22"/>
      <c r="G61" s="1"/>
      <c r="H61" s="1"/>
      <c r="I61" s="103" t="s">
        <v>69</v>
      </c>
      <c r="J61" s="45">
        <v>-223.52</v>
      </c>
      <c r="K61" s="46"/>
      <c r="L61" s="46"/>
      <c r="O61" s="1"/>
    </row>
    <row r="62" spans="1:15" s="2" customFormat="1" ht="15" x14ac:dyDescent="0.25">
      <c r="A62" s="24"/>
      <c r="B62" s="1"/>
      <c r="C62" s="44" t="s">
        <v>1510</v>
      </c>
      <c r="D62" s="25"/>
      <c r="E62" s="156">
        <f>+J36-E59+I32-J32</f>
        <v>5436243.4899999946</v>
      </c>
      <c r="G62" s="1"/>
      <c r="H62" s="1"/>
      <c r="I62" s="35">
        <v>1</v>
      </c>
      <c r="J62" s="45">
        <v>171.3</v>
      </c>
      <c r="K62" s="46">
        <f>+J63-D65</f>
        <v>0</v>
      </c>
      <c r="O62" s="1"/>
    </row>
    <row r="63" spans="1:15" s="124" customFormat="1" ht="12.75" customHeight="1" x14ac:dyDescent="0.2">
      <c r="A63" s="24"/>
      <c r="B63" s="1"/>
      <c r="C63" s="56"/>
      <c r="D63" s="56"/>
      <c r="E63" s="104"/>
      <c r="F63" s="2"/>
      <c r="G63" s="166"/>
      <c r="H63" s="166"/>
      <c r="I63" s="70"/>
      <c r="J63" s="49">
        <f>SUM(J60:J62)</f>
        <v>1193.8399999999999</v>
      </c>
      <c r="K63" s="46"/>
      <c r="L63" s="46"/>
    </row>
    <row r="64" spans="1:15" s="124" customFormat="1" ht="12.75" customHeight="1" x14ac:dyDescent="0.2">
      <c r="A64" s="24"/>
      <c r="B64" s="1"/>
      <c r="C64" s="78" t="s">
        <v>575</v>
      </c>
      <c r="D64" s="48" t="s">
        <v>576</v>
      </c>
      <c r="E64" s="104"/>
      <c r="F64" s="2"/>
      <c r="G64" s="168"/>
      <c r="H64" s="168"/>
      <c r="I64" s="167"/>
      <c r="J64" s="167"/>
      <c r="K64" s="168"/>
    </row>
    <row r="65" spans="1:14" s="124" customFormat="1" ht="12.75" customHeight="1" x14ac:dyDescent="0.2">
      <c r="A65" s="24"/>
      <c r="B65" s="1"/>
      <c r="C65" s="47" t="s">
        <v>570</v>
      </c>
      <c r="D65" s="111">
        <v>1193.8399999999999</v>
      </c>
      <c r="E65" s="104"/>
      <c r="F65" s="2"/>
      <c r="G65" s="168"/>
      <c r="H65" s="168"/>
      <c r="I65" s="110" t="s">
        <v>581</v>
      </c>
      <c r="J65" s="167"/>
      <c r="K65" s="168"/>
    </row>
    <row r="66" spans="1:14" s="124" customFormat="1" ht="12.75" customHeight="1" x14ac:dyDescent="0.2">
      <c r="A66" s="24"/>
      <c r="B66" s="1"/>
      <c r="C66" s="47" t="s">
        <v>931</v>
      </c>
      <c r="D66" s="111">
        <v>283.86</v>
      </c>
      <c r="E66" s="104"/>
      <c r="F66" s="2"/>
      <c r="G66" s="168"/>
      <c r="H66" s="168"/>
      <c r="I66" s="110" t="s">
        <v>580</v>
      </c>
      <c r="J66" s="167"/>
      <c r="K66" s="168"/>
    </row>
    <row r="67" spans="1:14" s="124" customFormat="1" ht="12.75" customHeight="1" x14ac:dyDescent="0.2">
      <c r="A67" s="24"/>
      <c r="B67" s="1"/>
      <c r="C67" s="47" t="s">
        <v>572</v>
      </c>
      <c r="D67" s="111">
        <f>+D107/100000</f>
        <v>463.54370799999998</v>
      </c>
      <c r="E67" s="104"/>
      <c r="F67" s="2"/>
      <c r="G67" s="166"/>
      <c r="H67" s="166"/>
      <c r="I67" s="90" t="s">
        <v>587</v>
      </c>
      <c r="J67" s="167"/>
      <c r="K67" s="168"/>
    </row>
    <row r="68" spans="1:14" s="2" customFormat="1" x14ac:dyDescent="0.2">
      <c r="A68" s="24"/>
      <c r="B68" s="1"/>
      <c r="C68" s="108" t="s">
        <v>578</v>
      </c>
      <c r="D68" s="48">
        <f>SUM(D65:D67)</f>
        <v>1941.2437079999997</v>
      </c>
      <c r="E68" s="104"/>
      <c r="G68" s="30"/>
      <c r="H68" s="30"/>
      <c r="J68" s="13"/>
      <c r="K68" s="13"/>
    </row>
    <row r="69" spans="1:14" s="70" customFormat="1" x14ac:dyDescent="0.2">
      <c r="A69" s="24"/>
      <c r="B69" s="1"/>
      <c r="C69" s="47"/>
      <c r="D69" s="107"/>
      <c r="E69" s="104"/>
      <c r="F69" s="2"/>
      <c r="G69" s="30"/>
      <c r="H69" s="30"/>
      <c r="I69" s="2"/>
    </row>
    <row r="70" spans="1:14" s="70" customFormat="1" x14ac:dyDescent="0.2">
      <c r="A70" s="24"/>
      <c r="B70" s="1"/>
      <c r="C70" s="47" t="s">
        <v>932</v>
      </c>
      <c r="D70" s="111">
        <v>305.57</v>
      </c>
      <c r="E70" s="104"/>
      <c r="F70" s="2"/>
      <c r="G70" s="30"/>
      <c r="H70" s="30"/>
      <c r="I70" s="110" t="s">
        <v>581</v>
      </c>
    </row>
    <row r="71" spans="1:14" s="70" customFormat="1" x14ac:dyDescent="0.2">
      <c r="A71" s="24"/>
      <c r="B71" s="1"/>
      <c r="C71" s="136" t="s">
        <v>1142</v>
      </c>
      <c r="D71" s="111">
        <v>761.17</v>
      </c>
      <c r="E71" s="104"/>
      <c r="F71" s="2"/>
      <c r="G71" s="30"/>
      <c r="H71" s="30"/>
      <c r="I71" s="110" t="s">
        <v>581</v>
      </c>
    </row>
    <row r="72" spans="1:14" s="70" customFormat="1" x14ac:dyDescent="0.2">
      <c r="A72" s="24"/>
      <c r="B72" s="1"/>
      <c r="C72" s="78" t="s">
        <v>579</v>
      </c>
      <c r="D72" s="109">
        <f>D70+D71</f>
        <v>1066.74</v>
      </c>
      <c r="E72" s="104"/>
      <c r="F72" s="2"/>
      <c r="G72" s="30"/>
      <c r="H72" s="30"/>
    </row>
    <row r="73" spans="1:14" s="70" customFormat="1" x14ac:dyDescent="0.2">
      <c r="A73" s="24"/>
      <c r="B73" s="1"/>
      <c r="C73" s="105"/>
      <c r="D73" s="106"/>
      <c r="E73" s="104"/>
      <c r="F73" s="2"/>
      <c r="G73" s="30"/>
      <c r="H73" s="30"/>
      <c r="J73" s="2"/>
      <c r="K73" s="221" t="str">
        <f>"FROM ( 01-12-2023 to "&amp;TEXT(A5,"dd-mm-yyyy")&amp;" )"</f>
        <v>FROM ( 01-12-2023 to 21-12-2023 )</v>
      </c>
      <c r="L73" s="221"/>
      <c r="M73" s="2"/>
      <c r="N73" s="2"/>
    </row>
    <row r="74" spans="1:14" s="70" customFormat="1" x14ac:dyDescent="0.2">
      <c r="A74" s="24"/>
      <c r="B74" s="1"/>
      <c r="C74" s="78" t="s">
        <v>577</v>
      </c>
      <c r="D74" s="109">
        <f>D65+D72</f>
        <v>2260.58</v>
      </c>
      <c r="E74" s="104"/>
      <c r="F74" s="2"/>
      <c r="G74" s="30"/>
      <c r="H74" s="30"/>
      <c r="J74" s="113"/>
      <c r="K74" s="113" t="s">
        <v>709</v>
      </c>
      <c r="L74" s="113" t="s">
        <v>710</v>
      </c>
      <c r="M74" s="113" t="s">
        <v>711</v>
      </c>
      <c r="N74" s="113" t="s">
        <v>712</v>
      </c>
    </row>
    <row r="75" spans="1:14" s="70" customFormat="1" x14ac:dyDescent="0.2">
      <c r="A75" s="24"/>
      <c r="B75" s="1"/>
      <c r="C75" s="56"/>
      <c r="D75" s="56"/>
      <c r="E75" s="104"/>
      <c r="F75" s="2"/>
      <c r="G75" s="30"/>
      <c r="H75" s="30"/>
      <c r="J75" s="113" t="s">
        <v>1860</v>
      </c>
      <c r="K75" s="115">
        <v>191.86</v>
      </c>
      <c r="L75" s="115">
        <v>93.65</v>
      </c>
      <c r="M75" s="115">
        <v>90.58</v>
      </c>
      <c r="N75" s="113">
        <f>+K75+M75-L75</f>
        <v>188.79</v>
      </c>
    </row>
    <row r="76" spans="1:14" s="70" customFormat="1" ht="38.25" x14ac:dyDescent="0.2">
      <c r="A76" s="24"/>
      <c r="B76" s="1"/>
      <c r="C76" s="79" t="str">
        <f>"Particulars ( 01-12-2023 to "&amp;TEXT(A5,"dd-mm-yyyy")&amp;" )"</f>
        <v>Particulars ( 01-12-2023 to 21-12-2023 )</v>
      </c>
      <c r="D76" s="79" t="s">
        <v>7</v>
      </c>
      <c r="E76" s="80" t="s">
        <v>73</v>
      </c>
      <c r="F76" s="80" t="s">
        <v>74</v>
      </c>
      <c r="G76" s="81" t="s">
        <v>75</v>
      </c>
      <c r="H76" s="80" t="s">
        <v>76</v>
      </c>
      <c r="J76" s="113" t="s">
        <v>1861</v>
      </c>
      <c r="K76" s="115">
        <v>1332.26</v>
      </c>
      <c r="L76" s="115">
        <v>470.48</v>
      </c>
      <c r="M76" s="115">
        <v>771.18</v>
      </c>
      <c r="N76" s="113">
        <f>+K76+M76-L76</f>
        <v>1632.96</v>
      </c>
    </row>
    <row r="77" spans="1:14" s="70" customFormat="1" x14ac:dyDescent="0.2">
      <c r="A77" s="24"/>
      <c r="B77" s="1"/>
      <c r="C77" s="50" t="s">
        <v>444</v>
      </c>
      <c r="D77" s="55">
        <f>+K77</f>
        <v>361.11</v>
      </c>
      <c r="E77" s="55">
        <f>+M77</f>
        <v>305.57</v>
      </c>
      <c r="F77" s="55">
        <f>+L77</f>
        <v>283.86</v>
      </c>
      <c r="G77" s="55">
        <f>+D77+E77-F77</f>
        <v>382.82000000000005</v>
      </c>
      <c r="H77" s="55">
        <f>1500-G77</f>
        <v>1117.1799999999998</v>
      </c>
      <c r="J77" s="113" t="s">
        <v>707</v>
      </c>
      <c r="K77" s="115">
        <v>361.11</v>
      </c>
      <c r="L77" s="115">
        <v>283.86</v>
      </c>
      <c r="M77" s="115">
        <v>305.57</v>
      </c>
      <c r="N77" s="113">
        <f>+K77+M77-L77</f>
        <v>382.82000000000005</v>
      </c>
    </row>
    <row r="78" spans="1:14" s="70" customFormat="1" ht="12.75" customHeight="1" x14ac:dyDescent="0.2">
      <c r="A78" s="24"/>
      <c r="B78" s="1"/>
      <c r="C78" s="50" t="s">
        <v>71</v>
      </c>
      <c r="D78" s="55">
        <f>+K75+K76</f>
        <v>1524.12</v>
      </c>
      <c r="E78" s="55">
        <f>+M75+M76</f>
        <v>861.76</v>
      </c>
      <c r="F78" s="55">
        <f>+L75+L76</f>
        <v>564.13</v>
      </c>
      <c r="G78" s="55">
        <f>+D78+E78-F78</f>
        <v>1821.75</v>
      </c>
      <c r="H78" s="55">
        <f>1500+700-G78</f>
        <v>378.25</v>
      </c>
      <c r="J78" s="2"/>
      <c r="K78" s="118">
        <f>SUM(K75:K77)</f>
        <v>1885.23</v>
      </c>
      <c r="L78" s="118">
        <f>SUM(L75:L77)</f>
        <v>847.99</v>
      </c>
      <c r="M78" s="118">
        <f>SUM(M75:M77)</f>
        <v>1167.33</v>
      </c>
      <c r="N78" s="118">
        <f>SUM(N75:N77)</f>
        <v>2204.5700000000002</v>
      </c>
    </row>
    <row r="79" spans="1:14" s="70" customFormat="1" ht="12.75" customHeight="1" x14ac:dyDescent="0.2">
      <c r="A79" s="24"/>
      <c r="B79" s="1"/>
      <c r="C79" s="14"/>
      <c r="D79" s="56"/>
      <c r="E79" s="13"/>
      <c r="F79" s="2"/>
      <c r="G79" s="30"/>
      <c r="H79" s="30"/>
    </row>
    <row r="80" spans="1:14" s="70" customFormat="1" ht="12.75" customHeight="1" x14ac:dyDescent="0.2">
      <c r="A80" s="215" t="s">
        <v>80</v>
      </c>
      <c r="B80" s="216"/>
      <c r="C80" s="216"/>
      <c r="D80" s="217"/>
      <c r="E80" s="69"/>
      <c r="G80" s="30"/>
      <c r="H80" s="30"/>
    </row>
    <row r="81" spans="1:15" s="70" customFormat="1" ht="12.75" customHeight="1" x14ac:dyDescent="0.2">
      <c r="A81" s="71" t="s">
        <v>81</v>
      </c>
      <c r="B81" s="71"/>
      <c r="C81" s="72" t="s">
        <v>82</v>
      </c>
      <c r="D81" s="73" t="s">
        <v>83</v>
      </c>
      <c r="E81" s="69"/>
      <c r="G81" s="30"/>
      <c r="H81" s="30"/>
    </row>
    <row r="82" spans="1:15" s="70" customFormat="1" ht="12.75" customHeight="1" x14ac:dyDescent="0.2">
      <c r="A82" s="87">
        <v>45264</v>
      </c>
      <c r="B82" s="120" t="s">
        <v>6</v>
      </c>
      <c r="C82" s="75" t="s">
        <v>86</v>
      </c>
      <c r="D82" s="88">
        <v>11017609</v>
      </c>
      <c r="E82" s="2"/>
      <c r="F82" s="2"/>
      <c r="G82" s="30"/>
      <c r="H82" s="30"/>
      <c r="I82" s="2"/>
      <c r="J82" s="2"/>
      <c r="K82" s="2"/>
      <c r="L82" s="2"/>
      <c r="M82" s="41"/>
      <c r="N82" s="42"/>
      <c r="O82" s="2"/>
    </row>
    <row r="83" spans="1:15" s="70" customFormat="1" ht="12.75" customHeight="1" x14ac:dyDescent="0.2">
      <c r="A83" s="87">
        <v>45264</v>
      </c>
      <c r="B83" s="120" t="s">
        <v>6</v>
      </c>
      <c r="C83" s="75" t="s">
        <v>86</v>
      </c>
      <c r="D83" s="88">
        <v>2663814</v>
      </c>
      <c r="E83" s="2"/>
      <c r="F83" s="2"/>
      <c r="G83" s="30"/>
      <c r="H83" s="30"/>
      <c r="I83" s="2"/>
      <c r="J83" s="2"/>
      <c r="K83" s="2"/>
      <c r="L83" s="2"/>
      <c r="M83" s="41"/>
      <c r="N83" s="42"/>
      <c r="O83" s="2"/>
    </row>
    <row r="84" spans="1:15" s="70" customFormat="1" ht="12.75" customHeight="1" x14ac:dyDescent="0.2">
      <c r="A84" s="87">
        <v>45264</v>
      </c>
      <c r="B84" s="120" t="s">
        <v>6</v>
      </c>
      <c r="C84" s="75" t="s">
        <v>86</v>
      </c>
      <c r="D84" s="88">
        <v>75522</v>
      </c>
      <c r="E84" s="2"/>
      <c r="F84" s="2"/>
      <c r="G84" s="30"/>
      <c r="H84" s="30"/>
      <c r="I84" s="2"/>
      <c r="J84" s="2"/>
      <c r="K84" s="2"/>
      <c r="L84" s="2"/>
      <c r="M84" s="41"/>
      <c r="N84" s="42"/>
      <c r="O84" s="2"/>
    </row>
    <row r="85" spans="1:15" s="70" customFormat="1" ht="12.75" customHeight="1" x14ac:dyDescent="0.2">
      <c r="A85" s="87">
        <v>45265</v>
      </c>
      <c r="B85" s="120" t="s">
        <v>6</v>
      </c>
      <c r="C85" s="75" t="s">
        <v>88</v>
      </c>
      <c r="D85" s="88">
        <v>2152501.6</v>
      </c>
      <c r="E85" s="2"/>
      <c r="F85" s="2"/>
      <c r="G85" s="30"/>
      <c r="H85" s="30"/>
      <c r="I85" s="2"/>
      <c r="J85" s="2"/>
      <c r="K85" s="2"/>
      <c r="L85" s="2"/>
      <c r="M85" s="41"/>
      <c r="N85" s="42"/>
      <c r="O85" s="2"/>
    </row>
    <row r="86" spans="1:15" s="70" customFormat="1" ht="12.75" customHeight="1" x14ac:dyDescent="0.2">
      <c r="A86" s="87">
        <v>45266</v>
      </c>
      <c r="B86" s="120" t="s">
        <v>6</v>
      </c>
      <c r="C86" s="75" t="s">
        <v>271</v>
      </c>
      <c r="D86" s="88">
        <v>9828</v>
      </c>
      <c r="E86" s="2"/>
      <c r="F86" s="2"/>
      <c r="G86" s="30"/>
      <c r="H86" s="30"/>
      <c r="I86" s="2"/>
      <c r="J86" s="2"/>
      <c r="K86" s="2"/>
      <c r="L86" s="2"/>
      <c r="M86" s="41"/>
      <c r="N86" s="42"/>
      <c r="O86" s="2"/>
    </row>
    <row r="87" spans="1:15" s="70" customFormat="1" ht="12.75" customHeight="1" x14ac:dyDescent="0.2">
      <c r="A87" s="87">
        <v>45267</v>
      </c>
      <c r="B87" s="120" t="s">
        <v>6</v>
      </c>
      <c r="C87" s="75" t="s">
        <v>85</v>
      </c>
      <c r="D87" s="88">
        <v>179811</v>
      </c>
      <c r="E87" s="2"/>
      <c r="F87" s="2"/>
      <c r="G87" s="30"/>
      <c r="H87" s="30"/>
      <c r="I87" s="2"/>
      <c r="J87" s="2"/>
      <c r="K87" s="2"/>
      <c r="L87" s="2"/>
      <c r="M87" s="41"/>
      <c r="N87" s="42"/>
      <c r="O87" s="2"/>
    </row>
    <row r="88" spans="1:15" s="70" customFormat="1" ht="12.75" customHeight="1" x14ac:dyDescent="0.2">
      <c r="A88" s="87">
        <v>45267</v>
      </c>
      <c r="B88" s="120" t="s">
        <v>6</v>
      </c>
      <c r="C88" s="75" t="s">
        <v>85</v>
      </c>
      <c r="D88" s="88">
        <v>302254</v>
      </c>
      <c r="E88" s="2"/>
      <c r="F88" s="2"/>
      <c r="G88" s="30"/>
      <c r="H88" s="30"/>
      <c r="I88" s="2"/>
      <c r="J88" s="2"/>
      <c r="K88" s="2"/>
      <c r="L88" s="2"/>
      <c r="M88" s="41"/>
      <c r="N88" s="42"/>
      <c r="O88" s="2"/>
    </row>
    <row r="89" spans="1:15" s="70" customFormat="1" ht="12.75" customHeight="1" x14ac:dyDescent="0.2">
      <c r="A89" s="87">
        <v>45268</v>
      </c>
      <c r="B89" s="120" t="s">
        <v>6</v>
      </c>
      <c r="C89" s="75" t="s">
        <v>201</v>
      </c>
      <c r="D89" s="88">
        <v>4000249.47</v>
      </c>
      <c r="E89" s="2"/>
      <c r="F89" s="2"/>
      <c r="G89" s="30"/>
      <c r="H89" s="30"/>
      <c r="I89" s="2"/>
      <c r="J89" s="2"/>
      <c r="K89" s="2"/>
      <c r="L89" s="2"/>
      <c r="M89" s="41"/>
      <c r="N89" s="42"/>
      <c r="O89" s="2"/>
    </row>
    <row r="90" spans="1:15" s="70" customFormat="1" ht="12.75" customHeight="1" x14ac:dyDescent="0.2">
      <c r="A90" s="87">
        <v>45269</v>
      </c>
      <c r="B90" s="120" t="s">
        <v>6</v>
      </c>
      <c r="C90" s="75" t="s">
        <v>85</v>
      </c>
      <c r="D90" s="88">
        <v>96273</v>
      </c>
      <c r="E90" s="2"/>
      <c r="F90" s="2"/>
      <c r="G90" s="30"/>
      <c r="H90" s="30"/>
      <c r="I90" s="2"/>
      <c r="J90" s="2"/>
      <c r="K90" s="2"/>
      <c r="L90" s="2"/>
      <c r="M90" s="41"/>
      <c r="N90" s="42"/>
      <c r="O90" s="2"/>
    </row>
    <row r="91" spans="1:15" s="70" customFormat="1" ht="12.75" customHeight="1" x14ac:dyDescent="0.2">
      <c r="A91" s="87">
        <v>45269</v>
      </c>
      <c r="B91" s="120" t="s">
        <v>6</v>
      </c>
      <c r="C91" s="75" t="s">
        <v>270</v>
      </c>
      <c r="D91" s="88">
        <v>182684</v>
      </c>
      <c r="E91" s="2"/>
      <c r="F91" s="2"/>
      <c r="G91" s="30"/>
      <c r="H91" s="30"/>
      <c r="I91" s="2"/>
      <c r="J91" s="2"/>
      <c r="K91" s="2"/>
      <c r="L91" s="2"/>
      <c r="M91" s="41"/>
      <c r="N91" s="42"/>
      <c r="O91" s="2"/>
    </row>
    <row r="92" spans="1:15" s="70" customFormat="1" ht="12.75" customHeight="1" x14ac:dyDescent="0.2">
      <c r="A92" s="87">
        <v>45269</v>
      </c>
      <c r="B92" s="120" t="s">
        <v>6</v>
      </c>
      <c r="C92" s="75" t="s">
        <v>271</v>
      </c>
      <c r="D92" s="88">
        <v>15488.3</v>
      </c>
      <c r="E92" s="2"/>
      <c r="F92" s="2"/>
      <c r="G92" s="30"/>
      <c r="H92" s="30"/>
      <c r="I92" s="2"/>
      <c r="J92" s="2"/>
      <c r="K92" s="2"/>
      <c r="L92" s="2"/>
      <c r="M92" s="41"/>
      <c r="N92" s="42"/>
      <c r="O92" s="2"/>
    </row>
    <row r="93" spans="1:15" s="70" customFormat="1" ht="12.75" customHeight="1" x14ac:dyDescent="0.2">
      <c r="A93" s="87">
        <v>45272</v>
      </c>
      <c r="B93" s="120" t="s">
        <v>6</v>
      </c>
      <c r="C93" s="75" t="s">
        <v>270</v>
      </c>
      <c r="D93" s="88">
        <v>687714</v>
      </c>
      <c r="E93" s="2"/>
      <c r="F93" s="2"/>
      <c r="G93" s="30"/>
      <c r="H93" s="30"/>
      <c r="I93" s="2"/>
      <c r="J93" s="2"/>
      <c r="K93" s="2"/>
      <c r="L93" s="2"/>
      <c r="M93" s="41"/>
      <c r="N93" s="42"/>
      <c r="O93" s="2"/>
    </row>
    <row r="94" spans="1:15" s="70" customFormat="1" ht="12.75" customHeight="1" x14ac:dyDescent="0.2">
      <c r="A94" s="87">
        <v>45272</v>
      </c>
      <c r="B94" s="120" t="s">
        <v>6</v>
      </c>
      <c r="C94" s="75" t="s">
        <v>1789</v>
      </c>
      <c r="D94" s="88">
        <v>1945116</v>
      </c>
      <c r="E94" s="2"/>
      <c r="F94" s="2"/>
      <c r="G94" s="30"/>
      <c r="H94" s="30"/>
      <c r="I94" s="2"/>
      <c r="J94" s="2"/>
      <c r="K94" s="2"/>
      <c r="L94" s="2"/>
      <c r="M94" s="41"/>
      <c r="N94" s="42"/>
      <c r="O94" s="2"/>
    </row>
    <row r="95" spans="1:15" s="70" customFormat="1" ht="12.75" customHeight="1" x14ac:dyDescent="0.2">
      <c r="A95" s="87">
        <v>45273</v>
      </c>
      <c r="B95" s="120" t="s">
        <v>6</v>
      </c>
      <c r="C95" s="75" t="s">
        <v>18</v>
      </c>
      <c r="D95" s="88">
        <v>167890</v>
      </c>
      <c r="E95" s="2"/>
      <c r="F95" s="2"/>
      <c r="G95" s="30"/>
      <c r="H95" s="30"/>
      <c r="I95" s="2"/>
      <c r="J95" s="2"/>
      <c r="K95" s="2"/>
      <c r="L95" s="2"/>
      <c r="M95" s="41"/>
      <c r="N95" s="42"/>
      <c r="O95" s="2"/>
    </row>
    <row r="96" spans="1:15" s="70" customFormat="1" ht="12.75" customHeight="1" x14ac:dyDescent="0.2">
      <c r="A96" s="87">
        <v>45274</v>
      </c>
      <c r="B96" s="120" t="s">
        <v>6</v>
      </c>
      <c r="C96" s="75" t="s">
        <v>201</v>
      </c>
      <c r="D96" s="88">
        <v>4000385.13</v>
      </c>
      <c r="E96" s="2"/>
      <c r="F96" s="2"/>
      <c r="G96" s="30"/>
      <c r="H96" s="30"/>
      <c r="I96" s="2"/>
      <c r="J96" s="2"/>
      <c r="K96" s="2"/>
      <c r="L96" s="2"/>
      <c r="M96" s="41"/>
      <c r="N96" s="42"/>
      <c r="O96" s="2"/>
    </row>
    <row r="97" spans="1:15" s="70" customFormat="1" ht="12.75" customHeight="1" x14ac:dyDescent="0.2">
      <c r="A97" s="87">
        <v>45274</v>
      </c>
      <c r="B97" s="120" t="s">
        <v>6</v>
      </c>
      <c r="C97" s="75" t="s">
        <v>594</v>
      </c>
      <c r="D97" s="88">
        <v>15735</v>
      </c>
      <c r="E97" s="2"/>
      <c r="F97" s="2"/>
      <c r="G97" s="30"/>
      <c r="H97" s="30"/>
      <c r="I97" s="2"/>
      <c r="J97" s="2"/>
      <c r="K97" s="2"/>
      <c r="L97" s="2"/>
      <c r="M97" s="41"/>
      <c r="N97" s="42"/>
      <c r="O97" s="2"/>
    </row>
    <row r="98" spans="1:15" s="70" customFormat="1" ht="12.75" customHeight="1" x14ac:dyDescent="0.2">
      <c r="A98" s="87">
        <v>45275</v>
      </c>
      <c r="B98" s="120" t="s">
        <v>6</v>
      </c>
      <c r="C98" s="75" t="s">
        <v>594</v>
      </c>
      <c r="D98" s="88">
        <v>4456919</v>
      </c>
      <c r="E98" s="2"/>
      <c r="F98" s="2"/>
      <c r="G98" s="30"/>
      <c r="H98" s="30"/>
      <c r="I98" s="2"/>
      <c r="J98" s="2"/>
      <c r="K98" s="2"/>
      <c r="L98" s="2"/>
      <c r="M98" s="41"/>
      <c r="N98" s="42"/>
      <c r="O98" s="2"/>
    </row>
    <row r="99" spans="1:15" s="70" customFormat="1" ht="12.75" customHeight="1" x14ac:dyDescent="0.2">
      <c r="A99" s="87">
        <v>45275</v>
      </c>
      <c r="B99" s="120" t="s">
        <v>6</v>
      </c>
      <c r="C99" s="75" t="s">
        <v>270</v>
      </c>
      <c r="D99" s="88">
        <v>18357</v>
      </c>
      <c r="E99" s="2"/>
      <c r="F99" s="2"/>
      <c r="G99" s="30"/>
      <c r="H99" s="30"/>
      <c r="I99" s="2"/>
      <c r="J99" s="2"/>
      <c r="K99" s="2"/>
      <c r="L99" s="2"/>
      <c r="M99" s="41"/>
      <c r="N99" s="42"/>
      <c r="O99" s="2"/>
    </row>
    <row r="100" spans="1:15" s="70" customFormat="1" ht="12.75" customHeight="1" x14ac:dyDescent="0.2">
      <c r="A100" s="87">
        <v>45276</v>
      </c>
      <c r="B100" s="120" t="s">
        <v>6</v>
      </c>
      <c r="C100" s="75" t="s">
        <v>85</v>
      </c>
      <c r="D100" s="88">
        <v>197939</v>
      </c>
      <c r="E100" s="2"/>
      <c r="F100" s="2"/>
      <c r="G100" s="30"/>
      <c r="H100" s="30"/>
      <c r="I100" s="2"/>
      <c r="J100" s="2"/>
      <c r="K100" s="2"/>
      <c r="L100" s="2"/>
      <c r="M100" s="41"/>
      <c r="N100" s="42"/>
      <c r="O100" s="2"/>
    </row>
    <row r="101" spans="1:15" s="70" customFormat="1" ht="12.75" customHeight="1" x14ac:dyDescent="0.2">
      <c r="A101" s="87">
        <v>45276</v>
      </c>
      <c r="B101" s="120" t="s">
        <v>6</v>
      </c>
      <c r="C101" s="75" t="s">
        <v>85</v>
      </c>
      <c r="D101" s="88">
        <v>103476</v>
      </c>
      <c r="E101" s="2"/>
      <c r="F101" s="2"/>
      <c r="G101" s="30"/>
      <c r="H101" s="30"/>
      <c r="I101" s="2"/>
      <c r="J101" s="2"/>
      <c r="K101" s="2"/>
      <c r="L101" s="2"/>
      <c r="M101" s="41"/>
      <c r="N101" s="42"/>
      <c r="O101" s="2"/>
    </row>
    <row r="102" spans="1:15" s="70" customFormat="1" ht="12.75" customHeight="1" x14ac:dyDescent="0.2">
      <c r="A102" s="87">
        <v>45278</v>
      </c>
      <c r="B102" s="120" t="s">
        <v>6</v>
      </c>
      <c r="C102" s="75" t="s">
        <v>270</v>
      </c>
      <c r="D102" s="88">
        <v>384076</v>
      </c>
      <c r="E102" s="2"/>
      <c r="F102" s="2"/>
      <c r="G102" s="30"/>
      <c r="H102" s="30"/>
      <c r="I102" s="2"/>
      <c r="J102" s="2"/>
      <c r="K102" s="2"/>
      <c r="L102" s="2"/>
      <c r="M102" s="41"/>
      <c r="N102" s="42"/>
      <c r="O102" s="2"/>
    </row>
    <row r="103" spans="1:15" s="70" customFormat="1" ht="12.75" customHeight="1" x14ac:dyDescent="0.2">
      <c r="A103" s="87">
        <v>45278</v>
      </c>
      <c r="B103" s="120" t="s">
        <v>6</v>
      </c>
      <c r="C103" s="75" t="s">
        <v>85</v>
      </c>
      <c r="D103" s="88">
        <v>427722</v>
      </c>
      <c r="E103" s="2"/>
      <c r="F103" s="2"/>
      <c r="G103" s="30"/>
      <c r="H103" s="30"/>
      <c r="I103" s="2"/>
      <c r="J103" s="2"/>
      <c r="K103" s="2"/>
      <c r="L103" s="2"/>
      <c r="M103" s="41"/>
      <c r="N103" s="42"/>
      <c r="O103" s="2"/>
    </row>
    <row r="104" spans="1:15" s="70" customFormat="1" ht="12.75" customHeight="1" x14ac:dyDescent="0.2">
      <c r="A104" s="87">
        <v>45280</v>
      </c>
      <c r="B104" s="120" t="s">
        <v>6</v>
      </c>
      <c r="C104" s="75" t="s">
        <v>201</v>
      </c>
      <c r="D104" s="88">
        <v>5253480</v>
      </c>
      <c r="E104" s="2"/>
      <c r="F104" s="2"/>
      <c r="G104" s="30"/>
      <c r="H104" s="30"/>
      <c r="I104" s="2"/>
      <c r="J104" s="2"/>
      <c r="K104" s="2"/>
      <c r="L104" s="2"/>
      <c r="M104" s="41"/>
      <c r="N104" s="42"/>
      <c r="O104" s="2"/>
    </row>
    <row r="105" spans="1:15" s="70" customFormat="1" ht="12.75" customHeight="1" x14ac:dyDescent="0.2">
      <c r="A105" s="87">
        <v>45280</v>
      </c>
      <c r="B105" s="120" t="s">
        <v>6</v>
      </c>
      <c r="C105" s="75" t="s">
        <v>18</v>
      </c>
      <c r="D105" s="88">
        <v>604243</v>
      </c>
      <c r="E105" s="2"/>
      <c r="F105" s="2"/>
      <c r="G105" s="30"/>
      <c r="H105" s="30"/>
      <c r="I105" s="2"/>
      <c r="J105" s="2"/>
      <c r="K105" s="2"/>
      <c r="L105" s="2"/>
      <c r="M105" s="41"/>
      <c r="N105" s="42"/>
      <c r="O105" s="2"/>
    </row>
    <row r="106" spans="1:15" s="70" customFormat="1" ht="12.75" customHeight="1" x14ac:dyDescent="0.2">
      <c r="A106" s="87">
        <v>45280</v>
      </c>
      <c r="B106" s="120" t="s">
        <v>6</v>
      </c>
      <c r="C106" s="75" t="s">
        <v>88</v>
      </c>
      <c r="D106" s="88">
        <v>7395284.2999999998</v>
      </c>
      <c r="E106" s="2"/>
      <c r="F106" s="2"/>
      <c r="G106" s="30"/>
      <c r="H106" s="30"/>
      <c r="I106" s="2"/>
      <c r="J106" s="2"/>
      <c r="K106" s="2"/>
      <c r="L106" s="2"/>
      <c r="M106" s="41"/>
      <c r="N106" s="42"/>
      <c r="O106" s="2"/>
    </row>
    <row r="107" spans="1:15" s="2" customFormat="1" x14ac:dyDescent="0.2">
      <c r="A107" s="87"/>
      <c r="B107" s="74"/>
      <c r="C107" s="75"/>
      <c r="D107" s="51">
        <f>SUM(D82:D106)</f>
        <v>46354370.799999997</v>
      </c>
      <c r="F107" s="2" t="s">
        <v>396</v>
      </c>
      <c r="G107" s="1"/>
      <c r="H107" s="1"/>
    </row>
    <row r="108" spans="1:15" s="2" customFormat="1" x14ac:dyDescent="0.2">
      <c r="A108" s="24"/>
      <c r="B108" s="1"/>
      <c r="C108" s="14"/>
      <c r="D108" s="56"/>
      <c r="E108" s="13"/>
      <c r="G108" s="1"/>
      <c r="H108" s="1"/>
    </row>
    <row r="109" spans="1:15" s="2" customFormat="1" x14ac:dyDescent="0.2">
      <c r="A109" s="24"/>
      <c r="B109" s="1"/>
      <c r="C109" s="218" t="s">
        <v>77</v>
      </c>
      <c r="D109" s="219"/>
      <c r="E109" s="219"/>
      <c r="F109" s="220"/>
      <c r="I109" s="2" t="s">
        <v>396</v>
      </c>
    </row>
    <row r="110" spans="1:15" s="2" customFormat="1" x14ac:dyDescent="0.2">
      <c r="A110" s="24"/>
      <c r="B110" s="1"/>
      <c r="C110" s="50"/>
      <c r="D110" s="57" t="s">
        <v>78</v>
      </c>
      <c r="E110" s="58" t="s">
        <v>79</v>
      </c>
      <c r="F110" s="57" t="s">
        <v>72</v>
      </c>
      <c r="I110" s="2" t="s">
        <v>396</v>
      </c>
    </row>
    <row r="111" spans="1:15" s="2" customFormat="1" x14ac:dyDescent="0.2">
      <c r="A111" s="24"/>
      <c r="B111" s="1"/>
      <c r="C111" s="59" t="str">
        <f>"01-12-2023 to "&amp;TEXT(A5-2,"dd-mm-yyyy")</f>
        <v>01-12-2023 to 19-12-2023</v>
      </c>
      <c r="D111" s="60">
        <v>1400.07</v>
      </c>
      <c r="E111" s="60">
        <v>423.49</v>
      </c>
      <c r="F111" s="61">
        <f>SUM(D111:E111)</f>
        <v>1823.56</v>
      </c>
    </row>
    <row r="112" spans="1:15" s="2" customFormat="1" x14ac:dyDescent="0.2">
      <c r="A112" s="24"/>
      <c r="B112" s="1"/>
      <c r="C112" s="62" t="str">
        <f>TEXT(A5-1,"dd-mm-yyyy")</f>
        <v>20-12-2023</v>
      </c>
      <c r="D112" s="60">
        <v>146.09</v>
      </c>
      <c r="E112" s="60">
        <v>22.39</v>
      </c>
      <c r="F112" s="61">
        <f>SUM(D112:E112)</f>
        <v>168.48000000000002</v>
      </c>
      <c r="G112" s="1"/>
      <c r="H112" s="1"/>
      <c r="I112" s="53"/>
    </row>
    <row r="113" spans="1:14" s="2" customFormat="1" ht="13.5" thickBot="1" x14ac:dyDescent="0.25">
      <c r="A113" s="24"/>
      <c r="B113" s="1"/>
      <c r="C113" s="63" t="str">
        <f>"01-12-2023 to "&amp;TEXT(A5-1,"dd-mm-yyyy")</f>
        <v>01-12-2023 to 20-12-2023</v>
      </c>
      <c r="D113" s="64">
        <f>SUM(D111:D112)</f>
        <v>1546.1599999999999</v>
      </c>
      <c r="E113" s="64">
        <f>SUM(E111:E112)</f>
        <v>445.88</v>
      </c>
      <c r="F113" s="64">
        <f>SUM(F111:F112)</f>
        <v>1992.04</v>
      </c>
      <c r="G113" s="1"/>
      <c r="H113" s="1"/>
      <c r="I113" s="53"/>
    </row>
    <row r="114" spans="1:14" s="2" customFormat="1" ht="13.5" thickTop="1" x14ac:dyDescent="0.2">
      <c r="A114" s="24"/>
      <c r="B114" s="1"/>
      <c r="C114" s="62"/>
      <c r="D114" s="65"/>
      <c r="E114" s="66"/>
      <c r="F114" s="67"/>
      <c r="M114" s="1"/>
      <c r="N114" s="1"/>
    </row>
    <row r="115" spans="1:14" s="2" customFormat="1" x14ac:dyDescent="0.2">
      <c r="A115" s="24"/>
      <c r="B115" s="1"/>
      <c r="C115" s="62" t="str">
        <f>"01-04-2023 to " &amp;C112</f>
        <v>01-04-2023 to 20-12-2023</v>
      </c>
      <c r="D115" s="68">
        <f>+D113+32234.22</f>
        <v>33780.380000000005</v>
      </c>
      <c r="E115" s="68">
        <f>+E113+3134.59</f>
        <v>3580.4700000000003</v>
      </c>
      <c r="F115" s="68">
        <f>+F113+35368.81</f>
        <v>37360.85</v>
      </c>
      <c r="G115" s="1"/>
      <c r="H115" s="1"/>
      <c r="M115" s="1"/>
      <c r="N115" s="1"/>
    </row>
    <row r="116" spans="1:14" s="2" customFormat="1" x14ac:dyDescent="0.2">
      <c r="A116" s="24"/>
      <c r="B116" s="1"/>
      <c r="C116" s="52"/>
      <c r="D116" s="85"/>
      <c r="E116" s="53"/>
      <c r="F116" s="53"/>
      <c r="G116" s="1"/>
      <c r="H116" s="1"/>
      <c r="M116" s="1"/>
      <c r="N116" s="1"/>
    </row>
    <row r="117" spans="1:14" s="2" customFormat="1" x14ac:dyDescent="0.2">
      <c r="A117" s="24"/>
      <c r="B117" s="1"/>
      <c r="C117" s="52"/>
      <c r="D117" s="85"/>
      <c r="E117" s="53"/>
      <c r="F117" s="53"/>
      <c r="G117" s="1"/>
      <c r="H117" s="1"/>
      <c r="M117" s="1"/>
      <c r="N117" s="1"/>
    </row>
    <row r="118" spans="1:14" s="2" customFormat="1" x14ac:dyDescent="0.2">
      <c r="A118" s="24"/>
      <c r="B118" s="1"/>
      <c r="C118" s="52"/>
      <c r="D118" s="85"/>
      <c r="E118" s="53"/>
      <c r="F118" s="53"/>
      <c r="G118" s="1"/>
      <c r="H118" s="1"/>
      <c r="M118" s="1"/>
      <c r="N118" s="1"/>
    </row>
    <row r="119" spans="1:14" s="2" customFormat="1" x14ac:dyDescent="0.2">
      <c r="A119" s="24"/>
      <c r="B119" s="1"/>
      <c r="C119" s="52"/>
      <c r="D119" s="85"/>
      <c r="E119" s="53"/>
      <c r="F119" s="53"/>
      <c r="G119" s="1"/>
      <c r="H119" s="1"/>
      <c r="M119" s="1"/>
      <c r="N119" s="1"/>
    </row>
    <row r="120" spans="1:14" s="2" customFormat="1" x14ac:dyDescent="0.2">
      <c r="A120" s="24"/>
      <c r="B120" s="1"/>
      <c r="C120" s="14"/>
      <c r="D120" s="25">
        <f>SUM(D117:D119)</f>
        <v>0</v>
      </c>
      <c r="E120" s="2">
        <f>SUM(E117:E119)</f>
        <v>0</v>
      </c>
      <c r="G120" s="1"/>
      <c r="H120" s="1"/>
      <c r="M120" s="1"/>
      <c r="N120" s="1"/>
    </row>
    <row r="121" spans="1:14" s="2" customFormat="1" x14ac:dyDescent="0.2">
      <c r="A121" s="24"/>
      <c r="B121" s="1"/>
      <c r="C121" s="14"/>
      <c r="D121" s="25"/>
      <c r="G121" s="1"/>
      <c r="H121" s="1"/>
      <c r="M121" s="1"/>
      <c r="N121" s="1"/>
    </row>
    <row r="122" spans="1:14" s="2" customFormat="1" x14ac:dyDescent="0.2">
      <c r="A122" s="24"/>
      <c r="B122" s="1"/>
      <c r="C122" s="14"/>
      <c r="D122" s="25"/>
      <c r="G122" s="1"/>
      <c r="H122" s="1"/>
      <c r="M122" s="1"/>
      <c r="N122" s="1"/>
    </row>
    <row r="123" spans="1:14" s="2" customFormat="1" x14ac:dyDescent="0.2">
      <c r="A123" s="24"/>
      <c r="B123" s="1"/>
      <c r="C123" s="14"/>
      <c r="D123" s="25"/>
      <c r="G123" s="1"/>
      <c r="H123" s="1"/>
      <c r="M123" s="1"/>
      <c r="N123" s="1"/>
    </row>
    <row r="124" spans="1:14" s="2" customFormat="1" x14ac:dyDescent="0.2">
      <c r="A124" s="24"/>
      <c r="B124" s="1"/>
      <c r="C124" s="14"/>
      <c r="D124" s="25"/>
      <c r="G124" s="1"/>
      <c r="H124" s="1"/>
      <c r="M124" s="1"/>
      <c r="N124" s="1"/>
    </row>
    <row r="125" spans="1:14" s="2" customFormat="1" x14ac:dyDescent="0.2">
      <c r="A125" s="24"/>
      <c r="B125" s="1"/>
      <c r="C125" s="14"/>
      <c r="D125" s="25"/>
      <c r="G125" s="1"/>
      <c r="H125" s="1"/>
      <c r="M125" s="1"/>
      <c r="N125" s="1"/>
    </row>
    <row r="126" spans="1:14" s="2" customFormat="1" x14ac:dyDescent="0.2">
      <c r="A126" s="24"/>
      <c r="B126" s="1"/>
      <c r="C126" s="14"/>
      <c r="D126" s="25"/>
      <c r="G126" s="1"/>
      <c r="H126" s="1"/>
      <c r="M126" s="1"/>
      <c r="N126" s="1"/>
    </row>
    <row r="127" spans="1:14" s="2" customFormat="1" x14ac:dyDescent="0.2">
      <c r="A127" s="24"/>
      <c r="B127" s="1"/>
      <c r="C127" s="14"/>
      <c r="D127" s="25"/>
      <c r="G127" s="1"/>
      <c r="H127" s="1"/>
      <c r="M127" s="1"/>
      <c r="N127" s="1"/>
    </row>
    <row r="128" spans="1:14" s="2" customFormat="1" x14ac:dyDescent="0.2">
      <c r="A128" s="24"/>
      <c r="B128" s="1"/>
      <c r="C128" s="14"/>
      <c r="D128" s="25"/>
      <c r="G128" s="1"/>
      <c r="H128" s="1"/>
      <c r="M128" s="1"/>
      <c r="N128" s="1"/>
    </row>
    <row r="129" spans="1:15" s="2" customFormat="1" x14ac:dyDescent="0.2">
      <c r="A129" s="24"/>
      <c r="B129" s="1"/>
      <c r="C129" s="14"/>
      <c r="D129" s="25"/>
      <c r="G129" s="1"/>
      <c r="H129" s="1"/>
      <c r="M129" s="1"/>
      <c r="N129" s="1"/>
    </row>
    <row r="130" spans="1:15" s="2" customFormat="1" x14ac:dyDescent="0.2">
      <c r="A130" s="24"/>
      <c r="B130" s="1"/>
      <c r="C130" s="14"/>
      <c r="D130" s="25"/>
      <c r="G130" s="1"/>
      <c r="H130" s="1"/>
      <c r="M130" s="1"/>
      <c r="N130" s="1"/>
    </row>
    <row r="131" spans="1:15" s="2" customFormat="1" x14ac:dyDescent="0.2">
      <c r="A131" s="24"/>
      <c r="B131" s="1"/>
      <c r="C131" s="14"/>
      <c r="D131" s="25"/>
      <c r="G131" s="1"/>
      <c r="H131" s="1"/>
      <c r="M131" s="1"/>
      <c r="N131" s="1"/>
    </row>
    <row r="132" spans="1:15" s="2" customFormat="1" x14ac:dyDescent="0.2">
      <c r="A132" s="24"/>
      <c r="B132" s="1"/>
      <c r="C132" s="14"/>
      <c r="D132" s="25"/>
      <c r="G132" s="1"/>
      <c r="H132" s="1"/>
      <c r="M132" s="1"/>
      <c r="N132" s="1"/>
    </row>
    <row r="133" spans="1:15" s="2" customFormat="1" x14ac:dyDescent="0.2">
      <c r="A133" s="24"/>
      <c r="B133" s="1"/>
      <c r="C133" s="14"/>
      <c r="D133" s="25"/>
      <c r="G133" s="1"/>
      <c r="H133" s="1"/>
      <c r="M133" s="1"/>
      <c r="N133" s="1"/>
    </row>
    <row r="134" spans="1:15" s="2" customFormat="1" x14ac:dyDescent="0.2">
      <c r="A134" s="24"/>
      <c r="B134" s="1"/>
      <c r="C134" s="14"/>
      <c r="D134" s="25"/>
      <c r="G134" s="1"/>
      <c r="H134" s="1"/>
      <c r="J134" s="1"/>
      <c r="K134" s="1"/>
      <c r="L134" s="1"/>
      <c r="M134" s="1"/>
      <c r="N134" s="1"/>
    </row>
    <row r="135" spans="1:15" s="2" customFormat="1" x14ac:dyDescent="0.2">
      <c r="A135" s="24"/>
      <c r="B135" s="1"/>
      <c r="C135" s="14"/>
      <c r="D135" s="25"/>
      <c r="G135" s="1"/>
      <c r="H135" s="1"/>
    </row>
    <row r="136" spans="1:15" s="2" customFormat="1" x14ac:dyDescent="0.2">
      <c r="A136" s="24"/>
      <c r="B136" s="1"/>
      <c r="C136" s="14"/>
      <c r="D136" s="25"/>
      <c r="G136" s="1"/>
      <c r="H136" s="1"/>
      <c r="J136" s="1"/>
      <c r="K136" s="1"/>
      <c r="L136" s="1"/>
      <c r="M136" s="1"/>
      <c r="N136" s="1"/>
    </row>
    <row r="137" spans="1:15" s="2" customFormat="1" x14ac:dyDescent="0.2">
      <c r="A137" s="24"/>
      <c r="B137" s="1"/>
      <c r="C137" s="14"/>
      <c r="D137" s="25"/>
      <c r="G137" s="54"/>
      <c r="H137" s="54"/>
      <c r="J137" s="1"/>
      <c r="K137" s="1"/>
      <c r="L137" s="1"/>
      <c r="M137" s="1"/>
      <c r="N137" s="1"/>
    </row>
    <row r="138" spans="1:15" s="2" customFormat="1" x14ac:dyDescent="0.2">
      <c r="A138" s="24"/>
      <c r="B138" s="1"/>
      <c r="C138" s="14"/>
      <c r="D138" s="25"/>
      <c r="G138" s="54"/>
      <c r="H138" s="54"/>
      <c r="J138" s="1"/>
      <c r="K138" s="1"/>
      <c r="L138" s="1"/>
      <c r="M138" s="1"/>
      <c r="N138" s="1"/>
    </row>
    <row r="139" spans="1:15" s="2" customFormat="1" x14ac:dyDescent="0.2">
      <c r="A139" s="24"/>
      <c r="B139" s="1"/>
      <c r="C139" s="14"/>
      <c r="D139" s="25"/>
      <c r="G139" s="54"/>
      <c r="H139" s="54"/>
      <c r="J139" s="1"/>
      <c r="K139" s="1"/>
      <c r="L139" s="1"/>
      <c r="M139" s="1"/>
      <c r="N139" s="1"/>
    </row>
    <row r="140" spans="1:15" s="2" customFormat="1" x14ac:dyDescent="0.2">
      <c r="A140" s="24"/>
      <c r="B140" s="1"/>
      <c r="C140" s="14"/>
      <c r="D140" s="25"/>
      <c r="G140" s="54"/>
      <c r="H140" s="54"/>
      <c r="I140" s="2" t="s">
        <v>396</v>
      </c>
      <c r="J140" s="1"/>
      <c r="K140" s="1"/>
      <c r="L140" s="1"/>
      <c r="M140" s="1"/>
      <c r="N140" s="1"/>
      <c r="O140" s="1"/>
    </row>
    <row r="141" spans="1:15" s="2" customFormat="1" x14ac:dyDescent="0.2">
      <c r="A141" s="24"/>
      <c r="B141" s="1"/>
      <c r="C141" s="14"/>
      <c r="D141" s="25"/>
      <c r="G141" s="54"/>
      <c r="H141" s="54"/>
      <c r="I141" s="53"/>
    </row>
    <row r="142" spans="1:15" s="2" customFormat="1" x14ac:dyDescent="0.2">
      <c r="A142" s="24"/>
      <c r="B142" s="1"/>
      <c r="C142" s="14"/>
      <c r="D142" s="25"/>
      <c r="G142" s="54"/>
      <c r="H142" s="54"/>
      <c r="I142" s="53" t="s">
        <v>396</v>
      </c>
      <c r="J142" s="1"/>
      <c r="K142" s="1"/>
      <c r="L142" s="1"/>
      <c r="M142" s="1"/>
      <c r="N142" s="1"/>
      <c r="O142" s="1"/>
    </row>
    <row r="143" spans="1:15" x14ac:dyDescent="0.2">
      <c r="G143" s="54"/>
      <c r="H143" s="54"/>
      <c r="I143" s="53" t="s">
        <v>396</v>
      </c>
      <c r="K143" s="42"/>
    </row>
    <row r="144" spans="1:15" s="2" customFormat="1" x14ac:dyDescent="0.2">
      <c r="A144" s="24"/>
      <c r="B144" s="1"/>
      <c r="C144" s="14"/>
      <c r="D144" s="25"/>
      <c r="G144" s="54"/>
      <c r="H144" s="54"/>
      <c r="I144" s="53"/>
      <c r="J144" s="101"/>
      <c r="K144" s="1"/>
      <c r="L144" s="1"/>
      <c r="M144" s="1"/>
      <c r="N144" s="1"/>
      <c r="O144" s="1"/>
    </row>
    <row r="145" spans="7:9" x14ac:dyDescent="0.2">
      <c r="G145" s="54"/>
      <c r="H145" s="54"/>
      <c r="I145" s="53"/>
    </row>
    <row r="146" spans="7:9" x14ac:dyDescent="0.2">
      <c r="G146" s="54"/>
      <c r="H146" s="54"/>
      <c r="I146" s="53"/>
    </row>
    <row r="147" spans="7:9" x14ac:dyDescent="0.2">
      <c r="G147" s="54"/>
      <c r="H147" s="54"/>
      <c r="I147" s="53"/>
    </row>
  </sheetData>
  <sheetProtection insertRows="0"/>
  <mergeCells count="7">
    <mergeCell ref="K73:L73"/>
    <mergeCell ref="A80:D80"/>
    <mergeCell ref="C109:F109"/>
    <mergeCell ref="A1:H1"/>
    <mergeCell ref="A3:F3"/>
    <mergeCell ref="A10:F10"/>
    <mergeCell ref="A34:F34"/>
  </mergeCells>
  <conditionalFormatting sqref="H77:H78">
    <cfRule type="cellIs" dxfId="165" priority="1" operator="lessThan">
      <formula>0</formula>
    </cfRule>
  </conditionalFormatting>
  <conditionalFormatting sqref="C36">
    <cfRule type="duplicateValues" dxfId="164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000-000000000000}">
  <sheetPr codeName="Sheet504">
    <pageSetUpPr fitToPage="1"/>
  </sheetPr>
  <dimension ref="A1:O135"/>
  <sheetViews>
    <sheetView zoomScaleNormal="100" workbookViewId="0">
      <selection activeCell="F23" sqref="F23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12.85546875" style="1" customWidth="1"/>
    <col min="9" max="9" width="24.85546875" style="2" bestFit="1" customWidth="1"/>
    <col min="10" max="10" width="21.5703125" style="1" bestFit="1" customWidth="1"/>
    <col min="11" max="11" width="16.85546875" style="1" bestFit="1" customWidth="1"/>
    <col min="12" max="12" width="17.28515625" style="1" bestFit="1" customWidth="1"/>
    <col min="13" max="13" width="13.5703125" style="1" bestFit="1" customWidth="1"/>
    <col min="14" max="14" width="17.42578125" style="1" bestFit="1" customWidth="1"/>
    <col min="15" max="15" width="12.85546875" style="1" bestFit="1" customWidth="1"/>
    <col min="16" max="17" width="9.140625" style="1"/>
    <col min="18" max="18" width="15.5703125" style="1" bestFit="1" customWidth="1"/>
    <col min="19" max="16384" width="9.140625" style="1"/>
  </cols>
  <sheetData>
    <row r="1" spans="1:14" ht="20.25" customHeight="1" x14ac:dyDescent="0.4">
      <c r="A1" s="212" t="s">
        <v>1896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4" ht="12.75" customHeight="1" x14ac:dyDescent="0.4">
      <c r="I2" s="112"/>
      <c r="J2" s="112"/>
    </row>
    <row r="3" spans="1:14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4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4" s="2" customFormat="1" ht="14.25" customHeight="1" x14ac:dyDescent="0.4">
      <c r="A5" s="89">
        <v>45282</v>
      </c>
      <c r="B5" s="9" t="s">
        <v>6</v>
      </c>
      <c r="C5" s="10" t="s">
        <v>7</v>
      </c>
      <c r="D5" s="11"/>
      <c r="E5" s="12">
        <v>670047.23000000045</v>
      </c>
      <c r="F5" s="12"/>
      <c r="G5" s="1"/>
      <c r="H5" s="1"/>
      <c r="I5" s="112"/>
      <c r="J5" s="112"/>
    </row>
    <row r="6" spans="1:14" s="2" customFormat="1" ht="12.75" customHeight="1" x14ac:dyDescent="0.2">
      <c r="D6" s="15" t="s">
        <v>8</v>
      </c>
      <c r="E6" s="16">
        <f>SUM(E5:E5)</f>
        <v>670047.23000000045</v>
      </c>
      <c r="F6" s="16">
        <f>F5</f>
        <v>0</v>
      </c>
      <c r="G6" s="1"/>
      <c r="H6" s="1"/>
      <c r="I6" s="13" t="s">
        <v>1582</v>
      </c>
      <c r="J6" s="13" t="s">
        <v>1583</v>
      </c>
    </row>
    <row r="7" spans="1:14" s="2" customFormat="1" ht="12.75" customHeight="1" x14ac:dyDescent="0.2">
      <c r="A7" s="17"/>
      <c r="B7" s="18"/>
      <c r="C7" s="19" t="s">
        <v>9</v>
      </c>
      <c r="D7" s="20"/>
      <c r="E7" s="21">
        <f>+E6-F6</f>
        <v>670047.23000000045</v>
      </c>
      <c r="F7" s="22"/>
      <c r="G7" s="23"/>
      <c r="H7" s="23"/>
      <c r="I7" s="2">
        <v>0</v>
      </c>
      <c r="J7" s="2">
        <v>0</v>
      </c>
      <c r="K7" s="176">
        <f>I7-J7</f>
        <v>0</v>
      </c>
    </row>
    <row r="8" spans="1:14" ht="12.75" customHeight="1" x14ac:dyDescent="0.4">
      <c r="I8" s="112"/>
      <c r="J8" s="112"/>
    </row>
    <row r="9" spans="1:14" ht="18" customHeight="1" x14ac:dyDescent="0.4">
      <c r="A9" s="213" t="s">
        <v>1037</v>
      </c>
      <c r="B9" s="213"/>
      <c r="C9" s="213"/>
      <c r="D9" s="213"/>
      <c r="E9" s="213"/>
      <c r="F9" s="213"/>
      <c r="I9" s="112"/>
      <c r="J9" s="169">
        <f>90000000-60000000</f>
        <v>30000000</v>
      </c>
      <c r="K9" s="169" t="s">
        <v>1508</v>
      </c>
    </row>
    <row r="10" spans="1:14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I10" s="112"/>
      <c r="J10" s="169">
        <v>29938923.390000001</v>
      </c>
      <c r="K10" s="169" t="s">
        <v>1509</v>
      </c>
      <c r="L10" s="124"/>
    </row>
    <row r="11" spans="1:14" s="2" customFormat="1" ht="14.25" customHeight="1" x14ac:dyDescent="0.2">
      <c r="A11" s="89">
        <v>45282</v>
      </c>
      <c r="B11" s="9" t="s">
        <v>6</v>
      </c>
      <c r="C11" s="10" t="s">
        <v>7</v>
      </c>
      <c r="D11" s="11"/>
      <c r="F11" s="12">
        <v>27718264.390000001</v>
      </c>
      <c r="G11" s="1"/>
      <c r="H11" s="1"/>
      <c r="I11" s="130" t="s">
        <v>396</v>
      </c>
      <c r="J11" s="169">
        <f>+J9-J10</f>
        <v>61076.609999999404</v>
      </c>
      <c r="K11" s="169" t="s">
        <v>712</v>
      </c>
      <c r="L11" s="165" t="s">
        <v>1512</v>
      </c>
    </row>
    <row r="12" spans="1:14" s="2" customFormat="1" ht="14.25" customHeight="1" x14ac:dyDescent="0.2">
      <c r="A12" s="89">
        <v>45282</v>
      </c>
      <c r="B12" s="9" t="s">
        <v>11</v>
      </c>
      <c r="C12" s="76" t="s">
        <v>1091</v>
      </c>
      <c r="D12" s="11" t="s">
        <v>29</v>
      </c>
      <c r="E12" s="31"/>
      <c r="F12" s="31">
        <v>29500</v>
      </c>
      <c r="G12" s="1"/>
      <c r="H12" s="1"/>
      <c r="I12" s="130"/>
      <c r="J12" s="169"/>
      <c r="K12" s="169"/>
      <c r="L12" s="165"/>
    </row>
    <row r="13" spans="1:14" s="2" customFormat="1" ht="14.25" customHeight="1" x14ac:dyDescent="0.2">
      <c r="A13" s="89">
        <v>45282</v>
      </c>
      <c r="B13" s="9" t="s">
        <v>11</v>
      </c>
      <c r="C13" s="76" t="s">
        <v>1228</v>
      </c>
      <c r="D13" s="11" t="s">
        <v>29</v>
      </c>
      <c r="E13" s="31"/>
      <c r="F13" s="31">
        <v>191159</v>
      </c>
      <c r="G13" s="1"/>
      <c r="H13" s="1"/>
      <c r="I13" s="130"/>
      <c r="J13" s="169"/>
      <c r="K13" s="169"/>
      <c r="L13" s="165"/>
    </row>
    <row r="14" spans="1:14" s="2" customFormat="1" ht="14.25" customHeight="1" x14ac:dyDescent="0.2">
      <c r="A14" s="89">
        <v>45282</v>
      </c>
      <c r="B14" s="9" t="s">
        <v>11</v>
      </c>
      <c r="C14" s="76" t="s">
        <v>57</v>
      </c>
      <c r="D14" s="11" t="s">
        <v>29</v>
      </c>
      <c r="E14" s="31"/>
      <c r="F14" s="31">
        <v>2000000</v>
      </c>
      <c r="G14" s="1"/>
      <c r="H14" s="1"/>
      <c r="I14" s="130"/>
      <c r="J14" s="169"/>
      <c r="K14" s="169"/>
      <c r="L14" s="165"/>
    </row>
    <row r="15" spans="1:14" s="2" customFormat="1" ht="14.25" customHeight="1" x14ac:dyDescent="0.2">
      <c r="D15" s="11" t="s">
        <v>8</v>
      </c>
      <c r="E15" s="16">
        <f>SUM(E12:E14)</f>
        <v>0</v>
      </c>
      <c r="F15" s="16">
        <f>SUM(F11:F14)</f>
        <v>29938923.390000001</v>
      </c>
      <c r="G15" s="1"/>
      <c r="H15" s="1"/>
      <c r="I15" s="143"/>
      <c r="J15" s="130"/>
      <c r="K15" s="143"/>
      <c r="L15" s="143"/>
      <c r="M15" s="143"/>
      <c r="N15" s="143"/>
    </row>
    <row r="16" spans="1:14" s="2" customFormat="1" ht="14.25" customHeight="1" x14ac:dyDescent="0.4">
      <c r="A16" s="17"/>
      <c r="B16" s="18"/>
      <c r="C16" s="96" t="s">
        <v>9</v>
      </c>
      <c r="D16" s="20"/>
      <c r="E16" s="21">
        <f>+F15-E15</f>
        <v>29938923.390000001</v>
      </c>
      <c r="G16" s="1"/>
      <c r="H16" s="1"/>
      <c r="J16" s="112"/>
      <c r="K16" s="153" t="s">
        <v>779</v>
      </c>
    </row>
    <row r="17" spans="1:15" s="2" customFormat="1" ht="14.25" customHeight="1" x14ac:dyDescent="0.2">
      <c r="A17" s="36"/>
      <c r="B17" s="28" t="s">
        <v>66</v>
      </c>
      <c r="C17" s="43" t="s">
        <v>1458</v>
      </c>
      <c r="D17" s="43"/>
      <c r="E17" s="12">
        <f>30000000+60000000</f>
        <v>90000000</v>
      </c>
      <c r="F17" s="22"/>
      <c r="G17" s="1"/>
      <c r="H17" s="1"/>
      <c r="J17" s="40">
        <v>29938923.390000001</v>
      </c>
      <c r="K17" s="154">
        <f>J17-E16</f>
        <v>0</v>
      </c>
    </row>
    <row r="18" spans="1:15" s="2" customFormat="1" ht="14.25" customHeight="1" x14ac:dyDescent="0.25">
      <c r="A18" s="36"/>
      <c r="B18" s="28"/>
      <c r="C18" s="44" t="s">
        <v>1541</v>
      </c>
      <c r="D18" s="43"/>
      <c r="E18" s="7">
        <f>+E16+E17</f>
        <v>119938923.39</v>
      </c>
      <c r="F18" s="22"/>
      <c r="G18" s="1"/>
      <c r="H18" s="1"/>
      <c r="I18" s="13" t="s">
        <v>1582</v>
      </c>
      <c r="J18" s="13" t="s">
        <v>1583</v>
      </c>
    </row>
    <row r="19" spans="1:15" s="2" customFormat="1" ht="14.25" customHeight="1" x14ac:dyDescent="0.25">
      <c r="A19" s="36"/>
      <c r="B19" s="28"/>
      <c r="C19" s="44" t="s">
        <v>1511</v>
      </c>
      <c r="D19" s="43"/>
      <c r="E19" s="38">
        <f>+J11+I7-J7</f>
        <v>61076.609999999404</v>
      </c>
      <c r="F19" s="22"/>
      <c r="G19" s="1"/>
      <c r="H19" s="1"/>
      <c r="I19" s="2">
        <v>1623542</v>
      </c>
      <c r="J19" s="2">
        <v>2611150</v>
      </c>
      <c r="K19" s="176">
        <f>I19-J19</f>
        <v>-987608</v>
      </c>
    </row>
    <row r="20" spans="1:15" s="2" customFormat="1" ht="14.25" customHeight="1" x14ac:dyDescent="0.2">
      <c r="A20" s="24"/>
      <c r="B20" s="1"/>
      <c r="C20" s="14"/>
      <c r="D20" s="25"/>
      <c r="G20" s="1"/>
      <c r="H20" s="1"/>
      <c r="J20" s="130"/>
      <c r="K20" s="130"/>
    </row>
    <row r="21" spans="1:15" s="2" customFormat="1" x14ac:dyDescent="0.2">
      <c r="A21" s="214" t="s">
        <v>10</v>
      </c>
      <c r="B21" s="214"/>
      <c r="C21" s="214"/>
      <c r="D21" s="214"/>
      <c r="E21" s="214"/>
      <c r="F21" s="214"/>
      <c r="G21" s="1"/>
      <c r="H21" s="1"/>
      <c r="I21" s="159"/>
      <c r="J21" s="160">
        <f>225000000-75000000-50000000</f>
        <v>100000000</v>
      </c>
      <c r="K21" s="160" t="s">
        <v>1506</v>
      </c>
      <c r="L21" s="70"/>
    </row>
    <row r="22" spans="1:15" s="2" customFormat="1" x14ac:dyDescent="0.2">
      <c r="A22" s="26" t="s">
        <v>1</v>
      </c>
      <c r="B22" s="27" t="s">
        <v>2</v>
      </c>
      <c r="C22" s="5"/>
      <c r="D22" s="6" t="s">
        <v>3</v>
      </c>
      <c r="E22" s="7" t="s">
        <v>4</v>
      </c>
      <c r="F22" s="7" t="s">
        <v>5</v>
      </c>
      <c r="G22" s="1"/>
      <c r="H22" s="1"/>
      <c r="I22" s="159"/>
      <c r="J22" s="160">
        <v>97549177.049999997</v>
      </c>
      <c r="K22" s="160" t="s">
        <v>1507</v>
      </c>
      <c r="L22" s="70" t="s">
        <v>1512</v>
      </c>
    </row>
    <row r="23" spans="1:15" s="2" customFormat="1" x14ac:dyDescent="0.2">
      <c r="A23" s="89">
        <v>45282</v>
      </c>
      <c r="B23" s="128" t="s">
        <v>11</v>
      </c>
      <c r="C23" s="29" t="s">
        <v>7</v>
      </c>
      <c r="D23" s="25"/>
      <c r="E23" s="31"/>
      <c r="F23" s="2">
        <v>94563756.509999976</v>
      </c>
      <c r="G23" s="23"/>
      <c r="H23" s="23"/>
      <c r="I23" s="159" t="s">
        <v>1505</v>
      </c>
      <c r="J23" s="160">
        <f>+J21-J22</f>
        <v>2450822.950000003</v>
      </c>
      <c r="K23" s="160"/>
      <c r="L23" s="70"/>
    </row>
    <row r="24" spans="1:15" s="2" customFormat="1" x14ac:dyDescent="0.2">
      <c r="A24" s="89">
        <v>45282</v>
      </c>
      <c r="B24" s="128" t="s">
        <v>6</v>
      </c>
      <c r="C24" s="29" t="s">
        <v>688</v>
      </c>
      <c r="D24" s="11" t="s">
        <v>13</v>
      </c>
      <c r="E24" s="86">
        <v>814888</v>
      </c>
      <c r="F24" s="70"/>
      <c r="G24" s="1"/>
      <c r="H24" s="1"/>
      <c r="O24" s="1"/>
    </row>
    <row r="25" spans="1:15" s="2" customFormat="1" x14ac:dyDescent="0.2">
      <c r="A25" s="89">
        <v>45282</v>
      </c>
      <c r="B25" s="128" t="s">
        <v>6</v>
      </c>
      <c r="C25" s="29" t="s">
        <v>164</v>
      </c>
      <c r="D25" s="11" t="s">
        <v>13</v>
      </c>
      <c r="E25" s="86">
        <v>1500000</v>
      </c>
      <c r="F25" s="70"/>
      <c r="G25" s="1"/>
      <c r="H25" s="1"/>
      <c r="O25" s="1"/>
    </row>
    <row r="26" spans="1:15" s="2" customFormat="1" x14ac:dyDescent="0.2">
      <c r="A26" s="89">
        <v>45282</v>
      </c>
      <c r="B26" s="128" t="s">
        <v>6</v>
      </c>
      <c r="C26" s="29" t="s">
        <v>966</v>
      </c>
      <c r="D26" s="11" t="s">
        <v>13</v>
      </c>
      <c r="E26" s="86">
        <v>118852</v>
      </c>
      <c r="F26" s="70"/>
      <c r="G26" s="1"/>
      <c r="H26" s="1"/>
      <c r="O26" s="1"/>
    </row>
    <row r="27" spans="1:15" s="2" customFormat="1" x14ac:dyDescent="0.2">
      <c r="A27" s="89">
        <v>45282</v>
      </c>
      <c r="B27" s="128" t="s">
        <v>6</v>
      </c>
      <c r="C27" s="29" t="s">
        <v>27</v>
      </c>
      <c r="D27" s="11" t="s">
        <v>13</v>
      </c>
      <c r="E27" s="86">
        <v>909559.1</v>
      </c>
      <c r="F27" s="70"/>
      <c r="G27" s="1"/>
      <c r="H27" s="1"/>
      <c r="O27" s="1"/>
    </row>
    <row r="28" spans="1:15" s="2" customFormat="1" x14ac:dyDescent="0.2">
      <c r="A28" s="89">
        <v>45282</v>
      </c>
      <c r="B28" s="128" t="s">
        <v>6</v>
      </c>
      <c r="C28" s="29" t="s">
        <v>15</v>
      </c>
      <c r="D28" s="11" t="s">
        <v>13</v>
      </c>
      <c r="E28" s="86">
        <v>111371.36000000002</v>
      </c>
      <c r="F28" s="70"/>
      <c r="G28" s="1"/>
      <c r="H28" s="1"/>
      <c r="O28" s="1"/>
    </row>
    <row r="29" spans="1:15" s="2" customFormat="1" x14ac:dyDescent="0.2">
      <c r="A29" s="89">
        <v>45282</v>
      </c>
      <c r="B29" s="128" t="s">
        <v>6</v>
      </c>
      <c r="C29" s="29" t="s">
        <v>105</v>
      </c>
      <c r="D29" s="11" t="s">
        <v>13</v>
      </c>
      <c r="E29" s="86">
        <v>59267</v>
      </c>
      <c r="F29" s="70"/>
      <c r="G29" s="1"/>
      <c r="H29" s="1"/>
      <c r="O29" s="1"/>
    </row>
    <row r="30" spans="1:15" s="2" customFormat="1" x14ac:dyDescent="0.2">
      <c r="A30" s="89">
        <v>45282</v>
      </c>
      <c r="B30" s="128" t="s">
        <v>6</v>
      </c>
      <c r="C30" s="29" t="s">
        <v>1549</v>
      </c>
      <c r="D30" s="11" t="s">
        <v>13</v>
      </c>
      <c r="E30" s="86">
        <v>208192</v>
      </c>
      <c r="F30" s="70"/>
      <c r="G30" s="1"/>
      <c r="H30" s="1"/>
      <c r="O30" s="1"/>
    </row>
    <row r="31" spans="1:15" s="2" customFormat="1" x14ac:dyDescent="0.2">
      <c r="A31" s="89">
        <v>45282</v>
      </c>
      <c r="B31" s="128" t="s">
        <v>6</v>
      </c>
      <c r="C31" s="29" t="s">
        <v>249</v>
      </c>
      <c r="D31" s="11" t="s">
        <v>13</v>
      </c>
      <c r="E31" s="86">
        <v>35648</v>
      </c>
      <c r="F31" s="70"/>
      <c r="G31" s="1"/>
      <c r="H31" s="1"/>
      <c r="O31" s="1"/>
    </row>
    <row r="32" spans="1:15" s="2" customFormat="1" x14ac:dyDescent="0.2">
      <c r="A32" s="89">
        <v>45282</v>
      </c>
      <c r="B32" s="128" t="s">
        <v>6</v>
      </c>
      <c r="C32" s="29" t="s">
        <v>843</v>
      </c>
      <c r="D32" s="11" t="s">
        <v>13</v>
      </c>
      <c r="E32" s="86">
        <v>42420</v>
      </c>
      <c r="F32" s="70"/>
      <c r="G32" s="1"/>
      <c r="H32" s="1"/>
      <c r="O32" s="1"/>
    </row>
    <row r="33" spans="1:15" s="2" customFormat="1" x14ac:dyDescent="0.2">
      <c r="A33" s="89">
        <v>45282</v>
      </c>
      <c r="B33" s="128" t="s">
        <v>6</v>
      </c>
      <c r="C33" s="29" t="s">
        <v>589</v>
      </c>
      <c r="D33" s="11" t="s">
        <v>13</v>
      </c>
      <c r="E33" s="86">
        <v>150000</v>
      </c>
      <c r="F33" s="70"/>
      <c r="G33" s="1"/>
      <c r="H33" s="1"/>
      <c r="O33" s="1"/>
    </row>
    <row r="34" spans="1:15" s="2" customFormat="1" x14ac:dyDescent="0.2">
      <c r="A34" s="89">
        <v>45282</v>
      </c>
      <c r="B34" s="128" t="s">
        <v>6</v>
      </c>
      <c r="C34" s="29" t="s">
        <v>213</v>
      </c>
      <c r="D34" s="11" t="s">
        <v>13</v>
      </c>
      <c r="E34" s="86">
        <v>16044</v>
      </c>
      <c r="F34" s="70"/>
      <c r="G34" s="1"/>
      <c r="H34" s="1"/>
      <c r="O34" s="1"/>
    </row>
    <row r="35" spans="1:15" s="2" customFormat="1" x14ac:dyDescent="0.2">
      <c r="A35" s="89">
        <v>45282</v>
      </c>
      <c r="B35" s="128" t="s">
        <v>6</v>
      </c>
      <c r="C35" s="29" t="s">
        <v>583</v>
      </c>
      <c r="D35" s="11" t="s">
        <v>13</v>
      </c>
      <c r="E35" s="86">
        <v>1000000</v>
      </c>
      <c r="F35" s="70"/>
      <c r="G35" s="1"/>
      <c r="H35" s="1"/>
      <c r="O35" s="1"/>
    </row>
    <row r="36" spans="1:15" s="2" customFormat="1" x14ac:dyDescent="0.2">
      <c r="A36" s="89">
        <v>45282</v>
      </c>
      <c r="B36" s="128" t="s">
        <v>6</v>
      </c>
      <c r="C36" s="29" t="s">
        <v>24</v>
      </c>
      <c r="D36" s="11" t="s">
        <v>13</v>
      </c>
      <c r="E36" s="86">
        <v>1156469</v>
      </c>
      <c r="F36" s="70"/>
      <c r="G36" s="1"/>
      <c r="H36" s="1"/>
      <c r="O36" s="1"/>
    </row>
    <row r="37" spans="1:15" s="2" customFormat="1" x14ac:dyDescent="0.2">
      <c r="A37" s="89">
        <v>45282</v>
      </c>
      <c r="B37" s="128" t="s">
        <v>11</v>
      </c>
      <c r="C37" s="29" t="s">
        <v>64</v>
      </c>
      <c r="D37" s="11" t="s">
        <v>29</v>
      </c>
      <c r="E37" s="86"/>
      <c r="F37" s="70">
        <v>3245</v>
      </c>
      <c r="G37" s="1"/>
      <c r="H37" s="1"/>
      <c r="O37" s="1"/>
    </row>
    <row r="38" spans="1:15" s="2" customFormat="1" x14ac:dyDescent="0.2">
      <c r="A38" s="89">
        <v>45282</v>
      </c>
      <c r="B38" s="128" t="s">
        <v>11</v>
      </c>
      <c r="C38" s="29" t="s">
        <v>109</v>
      </c>
      <c r="D38" s="11" t="s">
        <v>29</v>
      </c>
      <c r="E38" s="86"/>
      <c r="F38" s="70">
        <v>593322</v>
      </c>
      <c r="G38" s="1"/>
      <c r="H38" s="1"/>
      <c r="O38" s="1"/>
    </row>
    <row r="39" spans="1:15" s="2" customFormat="1" x14ac:dyDescent="0.2">
      <c r="A39" s="89">
        <v>45282</v>
      </c>
      <c r="B39" s="128" t="s">
        <v>11</v>
      </c>
      <c r="C39" s="29" t="s">
        <v>203</v>
      </c>
      <c r="D39" s="11" t="s">
        <v>29</v>
      </c>
      <c r="E39" s="86"/>
      <c r="F39" s="70">
        <v>499172</v>
      </c>
      <c r="G39" s="1"/>
      <c r="H39" s="1"/>
      <c r="O39" s="1"/>
    </row>
    <row r="40" spans="1:15" s="2" customFormat="1" x14ac:dyDescent="0.2">
      <c r="A40" s="89">
        <v>45282</v>
      </c>
      <c r="B40" s="128" t="s">
        <v>11</v>
      </c>
      <c r="C40" s="29" t="s">
        <v>57</v>
      </c>
      <c r="D40" s="11" t="s">
        <v>29</v>
      </c>
      <c r="E40" s="86"/>
      <c r="F40" s="70">
        <v>9000000</v>
      </c>
      <c r="G40" s="1"/>
      <c r="H40" s="1"/>
      <c r="O40" s="1"/>
    </row>
    <row r="41" spans="1:15" s="2" customFormat="1" x14ac:dyDescent="0.2">
      <c r="A41" s="32"/>
      <c r="B41" s="33"/>
      <c r="C41" s="14"/>
      <c r="D41" s="34"/>
      <c r="E41" s="16">
        <f>SUM(E23:E40)</f>
        <v>6122710.46</v>
      </c>
      <c r="F41" s="16">
        <f>SUM(F23:F40)</f>
        <v>104659495.50999998</v>
      </c>
      <c r="G41" s="1"/>
      <c r="H41" s="1"/>
      <c r="I41" s="1"/>
      <c r="J41" s="38">
        <v>98536785.049999997</v>
      </c>
      <c r="L41" s="92">
        <f>E42-J41</f>
        <v>0</v>
      </c>
      <c r="O41" s="1"/>
    </row>
    <row r="42" spans="1:15" s="2" customFormat="1" x14ac:dyDescent="0.2">
      <c r="A42" s="36"/>
      <c r="B42" s="28" t="s">
        <v>11</v>
      </c>
      <c r="C42" s="19" t="s">
        <v>65</v>
      </c>
      <c r="D42" s="37"/>
      <c r="E42" s="38">
        <f>F41-E41</f>
        <v>98536785.049999982</v>
      </c>
      <c r="F42" s="22"/>
      <c r="G42" s="1"/>
      <c r="H42" s="1"/>
      <c r="I42" s="1"/>
      <c r="J42" s="70"/>
      <c r="K42" s="70"/>
      <c r="L42" s="70"/>
      <c r="O42" s="1"/>
    </row>
    <row r="43" spans="1:15" s="2" customFormat="1" x14ac:dyDescent="0.2">
      <c r="A43" s="36"/>
      <c r="B43" s="28" t="s">
        <v>66</v>
      </c>
      <c r="C43" s="19" t="s">
        <v>67</v>
      </c>
      <c r="D43" s="37"/>
      <c r="E43" s="38">
        <v>0</v>
      </c>
      <c r="F43" s="22"/>
      <c r="G43" s="1"/>
      <c r="H43" s="1"/>
      <c r="I43" s="70"/>
      <c r="J43" s="70"/>
      <c r="K43" s="70"/>
      <c r="L43" s="70"/>
      <c r="O43" s="1"/>
    </row>
    <row r="44" spans="1:15" s="2" customFormat="1" x14ac:dyDescent="0.2">
      <c r="A44" s="36"/>
      <c r="B44" s="28" t="s">
        <v>66</v>
      </c>
      <c r="C44" s="43" t="s">
        <v>1457</v>
      </c>
      <c r="D44" s="43"/>
      <c r="E44" s="12">
        <f>275000000+75000000+50000000</f>
        <v>400000000</v>
      </c>
      <c r="F44" s="22"/>
      <c r="G44" s="1"/>
      <c r="H44" s="1"/>
      <c r="I44" s="70"/>
      <c r="J44" s="45">
        <v>1329.23</v>
      </c>
      <c r="K44" s="46"/>
      <c r="L44" s="46"/>
      <c r="O44" s="1"/>
    </row>
    <row r="45" spans="1:15" s="2" customFormat="1" ht="15" x14ac:dyDescent="0.25">
      <c r="A45" s="36"/>
      <c r="B45" s="28"/>
      <c r="C45" s="44" t="s">
        <v>1541</v>
      </c>
      <c r="D45" s="43"/>
      <c r="E45" s="7">
        <f>+E44+E42+E43</f>
        <v>498536785.04999995</v>
      </c>
      <c r="F45" s="22"/>
      <c r="G45" s="1"/>
      <c r="H45" s="1"/>
      <c r="I45" s="103" t="s">
        <v>69</v>
      </c>
      <c r="J45" s="45">
        <v>-223.52</v>
      </c>
      <c r="K45" s="46"/>
      <c r="L45" s="46"/>
      <c r="O45" s="1"/>
    </row>
    <row r="46" spans="1:15" s="2" customFormat="1" ht="15" x14ac:dyDescent="0.25">
      <c r="A46" s="24"/>
      <c r="B46" s="1"/>
      <c r="C46" s="44" t="s">
        <v>1510</v>
      </c>
      <c r="D46" s="25"/>
      <c r="E46" s="156">
        <f>+J23-E43+I19-J19</f>
        <v>1463214.950000003</v>
      </c>
      <c r="G46" s="1"/>
      <c r="H46" s="1"/>
      <c r="I46" s="35">
        <v>1</v>
      </c>
      <c r="J46" s="45">
        <v>171.3</v>
      </c>
      <c r="K46" s="46">
        <f>+J47-D49</f>
        <v>0</v>
      </c>
      <c r="O46" s="1"/>
    </row>
    <row r="47" spans="1:15" s="124" customFormat="1" ht="12.75" customHeight="1" x14ac:dyDescent="0.2">
      <c r="A47" s="24"/>
      <c r="B47" s="1"/>
      <c r="C47" s="56"/>
      <c r="D47" s="56"/>
      <c r="E47" s="104"/>
      <c r="F47" s="2"/>
      <c r="G47" s="166"/>
      <c r="H47" s="166"/>
      <c r="I47" s="70"/>
      <c r="J47" s="49">
        <f>SUM(J44:J46)</f>
        <v>1277.01</v>
      </c>
      <c r="K47" s="46"/>
      <c r="L47" s="46"/>
    </row>
    <row r="48" spans="1:15" s="124" customFormat="1" ht="12.75" customHeight="1" x14ac:dyDescent="0.2">
      <c r="A48" s="24"/>
      <c r="B48" s="1"/>
      <c r="C48" s="78" t="s">
        <v>575</v>
      </c>
      <c r="D48" s="48" t="s">
        <v>576</v>
      </c>
      <c r="E48" s="104"/>
      <c r="F48" s="2"/>
      <c r="G48" s="168"/>
      <c r="H48" s="168"/>
      <c r="I48" s="167"/>
      <c r="J48" s="167"/>
      <c r="K48" s="168"/>
    </row>
    <row r="49" spans="1:14" s="124" customFormat="1" ht="12.75" customHeight="1" x14ac:dyDescent="0.2">
      <c r="A49" s="24"/>
      <c r="B49" s="1"/>
      <c r="C49" s="47" t="s">
        <v>570</v>
      </c>
      <c r="D49" s="111">
        <v>1277.01</v>
      </c>
      <c r="E49" s="104"/>
      <c r="F49" s="2"/>
      <c r="G49" s="168"/>
      <c r="H49" s="168"/>
      <c r="I49" s="110" t="s">
        <v>581</v>
      </c>
      <c r="J49" s="167"/>
      <c r="K49" s="168"/>
    </row>
    <row r="50" spans="1:14" s="124" customFormat="1" ht="12.75" customHeight="1" x14ac:dyDescent="0.2">
      <c r="A50" s="24"/>
      <c r="B50" s="1"/>
      <c r="C50" s="47" t="s">
        <v>931</v>
      </c>
      <c r="D50" s="111">
        <v>298.76</v>
      </c>
      <c r="E50" s="104"/>
      <c r="F50" s="2"/>
      <c r="G50" s="168"/>
      <c r="H50" s="168"/>
      <c r="I50" s="110" t="s">
        <v>580</v>
      </c>
      <c r="J50" s="167"/>
      <c r="K50" s="168"/>
    </row>
    <row r="51" spans="1:14" s="124" customFormat="1" ht="12.75" customHeight="1" x14ac:dyDescent="0.2">
      <c r="A51" s="24"/>
      <c r="B51" s="1"/>
      <c r="C51" s="47" t="s">
        <v>572</v>
      </c>
      <c r="D51" s="111">
        <f>+D95/100000</f>
        <v>530.13121849999993</v>
      </c>
      <c r="E51" s="104"/>
      <c r="F51" s="2"/>
      <c r="G51" s="166"/>
      <c r="H51" s="166"/>
      <c r="I51" s="90" t="s">
        <v>587</v>
      </c>
      <c r="J51" s="167"/>
      <c r="K51" s="168"/>
    </row>
    <row r="52" spans="1:14" s="2" customFormat="1" x14ac:dyDescent="0.2">
      <c r="A52" s="24"/>
      <c r="B52" s="1"/>
      <c r="C52" s="108" t="s">
        <v>578</v>
      </c>
      <c r="D52" s="48">
        <f>SUM(D49:D51)</f>
        <v>2105.9012185000001</v>
      </c>
      <c r="E52" s="104"/>
      <c r="G52" s="30"/>
      <c r="H52" s="30"/>
      <c r="J52" s="13"/>
      <c r="K52" s="13"/>
    </row>
    <row r="53" spans="1:14" s="70" customFormat="1" x14ac:dyDescent="0.2">
      <c r="A53" s="24"/>
      <c r="B53" s="1"/>
      <c r="C53" s="47"/>
      <c r="D53" s="107"/>
      <c r="E53" s="104"/>
      <c r="F53" s="2"/>
      <c r="G53" s="30"/>
      <c r="H53" s="30"/>
      <c r="I53" s="2"/>
    </row>
    <row r="54" spans="1:14" s="70" customFormat="1" x14ac:dyDescent="0.2">
      <c r="A54" s="24"/>
      <c r="B54" s="1"/>
      <c r="C54" s="47" t="s">
        <v>932</v>
      </c>
      <c r="D54" s="111">
        <v>305.57</v>
      </c>
      <c r="E54" s="104"/>
      <c r="F54" s="2"/>
      <c r="G54" s="30"/>
      <c r="H54" s="30"/>
      <c r="I54" s="110" t="s">
        <v>581</v>
      </c>
    </row>
    <row r="55" spans="1:14" s="70" customFormat="1" x14ac:dyDescent="0.2">
      <c r="A55" s="24"/>
      <c r="B55" s="1"/>
      <c r="C55" s="136" t="s">
        <v>1142</v>
      </c>
      <c r="D55" s="111">
        <v>772.47</v>
      </c>
      <c r="E55" s="104"/>
      <c r="F55" s="2"/>
      <c r="G55" s="30"/>
      <c r="H55" s="30"/>
      <c r="I55" s="110" t="s">
        <v>581</v>
      </c>
    </row>
    <row r="56" spans="1:14" s="70" customFormat="1" x14ac:dyDescent="0.2">
      <c r="A56" s="24"/>
      <c r="B56" s="1"/>
      <c r="C56" s="78" t="s">
        <v>579</v>
      </c>
      <c r="D56" s="109">
        <f>D54+D55</f>
        <v>1078.04</v>
      </c>
      <c r="E56" s="104"/>
      <c r="F56" s="2"/>
      <c r="G56" s="30"/>
      <c r="H56" s="30"/>
    </row>
    <row r="57" spans="1:14" s="70" customFormat="1" x14ac:dyDescent="0.2">
      <c r="A57" s="24"/>
      <c r="B57" s="1"/>
      <c r="C57" s="105"/>
      <c r="D57" s="106"/>
      <c r="E57" s="104"/>
      <c r="F57" s="2"/>
      <c r="G57" s="30"/>
      <c r="H57" s="30"/>
      <c r="J57" s="2"/>
      <c r="K57" s="221" t="str">
        <f>"FROM ( 01-12-2023 to "&amp;TEXT(A5,"dd-mm-yyyy")&amp;" )"</f>
        <v>FROM ( 01-12-2023 to 22-12-2023 )</v>
      </c>
      <c r="L57" s="221"/>
      <c r="M57" s="2"/>
      <c r="N57" s="2"/>
    </row>
    <row r="58" spans="1:14" s="70" customFormat="1" x14ac:dyDescent="0.2">
      <c r="A58" s="24"/>
      <c r="B58" s="1"/>
      <c r="C58" s="78" t="s">
        <v>577</v>
      </c>
      <c r="D58" s="109">
        <f>D49+D56</f>
        <v>2355.0500000000002</v>
      </c>
      <c r="E58" s="104"/>
      <c r="F58" s="2"/>
      <c r="G58" s="30"/>
      <c r="H58" s="30"/>
      <c r="J58" s="113"/>
      <c r="K58" s="113" t="s">
        <v>709</v>
      </c>
      <c r="L58" s="113" t="s">
        <v>710</v>
      </c>
      <c r="M58" s="113" t="s">
        <v>711</v>
      </c>
      <c r="N58" s="113" t="s">
        <v>712</v>
      </c>
    </row>
    <row r="59" spans="1:14" s="70" customFormat="1" x14ac:dyDescent="0.2">
      <c r="A59" s="24"/>
      <c r="B59" s="1"/>
      <c r="C59" s="56"/>
      <c r="D59" s="56"/>
      <c r="E59" s="104"/>
      <c r="F59" s="2"/>
      <c r="G59" s="30"/>
      <c r="H59" s="30"/>
      <c r="J59" s="113" t="s">
        <v>1860</v>
      </c>
      <c r="K59" s="115">
        <v>191.86</v>
      </c>
      <c r="L59" s="115">
        <v>93.65</v>
      </c>
      <c r="M59" s="115">
        <v>90.58</v>
      </c>
      <c r="N59" s="113">
        <f>+K59+M59-L59</f>
        <v>188.79</v>
      </c>
    </row>
    <row r="60" spans="1:14" s="70" customFormat="1" ht="38.25" x14ac:dyDescent="0.2">
      <c r="A60" s="24"/>
      <c r="B60" s="1"/>
      <c r="C60" s="79" t="str">
        <f>"Particulars ( 01-12-2023 to "&amp;TEXT(A5,"dd-mm-yyyy")&amp;" )"</f>
        <v>Particulars ( 01-12-2023 to 22-12-2023 )</v>
      </c>
      <c r="D60" s="79" t="s">
        <v>7</v>
      </c>
      <c r="E60" s="80" t="s">
        <v>73</v>
      </c>
      <c r="F60" s="80" t="s">
        <v>74</v>
      </c>
      <c r="G60" s="81" t="s">
        <v>75</v>
      </c>
      <c r="H60" s="80" t="s">
        <v>76</v>
      </c>
      <c r="J60" s="113" t="s">
        <v>1861</v>
      </c>
      <c r="K60" s="115">
        <v>1332.26</v>
      </c>
      <c r="L60" s="115">
        <v>537.07000000000005</v>
      </c>
      <c r="M60" s="115">
        <v>782.48</v>
      </c>
      <c r="N60" s="113">
        <f>+K60+M60-L60</f>
        <v>1577.6699999999996</v>
      </c>
    </row>
    <row r="61" spans="1:14" s="70" customFormat="1" x14ac:dyDescent="0.2">
      <c r="A61" s="24"/>
      <c r="B61" s="1"/>
      <c r="C61" s="50" t="s">
        <v>444</v>
      </c>
      <c r="D61" s="55">
        <f>+K61</f>
        <v>361.11</v>
      </c>
      <c r="E61" s="55">
        <f>+M61</f>
        <v>305.57</v>
      </c>
      <c r="F61" s="55">
        <f>+L61</f>
        <v>298.76</v>
      </c>
      <c r="G61" s="55">
        <f>+D61+E61-F61</f>
        <v>367.92000000000007</v>
      </c>
      <c r="H61" s="55">
        <f>1500-G61</f>
        <v>1132.08</v>
      </c>
      <c r="J61" s="113" t="s">
        <v>707</v>
      </c>
      <c r="K61" s="115">
        <v>361.11</v>
      </c>
      <c r="L61" s="115">
        <v>298.76</v>
      </c>
      <c r="M61" s="115">
        <v>305.57</v>
      </c>
      <c r="N61" s="113">
        <f>+K61+M61-L61</f>
        <v>367.92000000000007</v>
      </c>
    </row>
    <row r="62" spans="1:14" s="70" customFormat="1" ht="12.75" customHeight="1" x14ac:dyDescent="0.2">
      <c r="A62" s="24"/>
      <c r="B62" s="1"/>
      <c r="C62" s="50" t="s">
        <v>71</v>
      </c>
      <c r="D62" s="55">
        <f>+K59+K60</f>
        <v>1524.12</v>
      </c>
      <c r="E62" s="55">
        <f>+M59+M60</f>
        <v>873.06000000000006</v>
      </c>
      <c r="F62" s="55">
        <f>+L59+L60</f>
        <v>630.72</v>
      </c>
      <c r="G62" s="55">
        <f>+D62+E62-F62</f>
        <v>1766.4599999999998</v>
      </c>
      <c r="H62" s="55">
        <f>1500+700-G62</f>
        <v>433.54000000000019</v>
      </c>
      <c r="J62" s="2"/>
      <c r="K62" s="118">
        <f>SUM(K59:K61)</f>
        <v>1885.23</v>
      </c>
      <c r="L62" s="118">
        <f>SUM(L59:L61)</f>
        <v>929.48</v>
      </c>
      <c r="M62" s="118">
        <f>SUM(M59:M61)</f>
        <v>1178.6300000000001</v>
      </c>
      <c r="N62" s="118">
        <f>SUM(N59:N61)</f>
        <v>2134.3799999999997</v>
      </c>
    </row>
    <row r="63" spans="1:14" s="70" customFormat="1" ht="12.75" customHeight="1" x14ac:dyDescent="0.2">
      <c r="A63" s="24"/>
      <c r="B63" s="1"/>
      <c r="C63" s="14"/>
      <c r="D63" s="56"/>
      <c r="E63" s="13"/>
      <c r="F63" s="2"/>
      <c r="G63" s="30"/>
      <c r="H63" s="30"/>
    </row>
    <row r="64" spans="1:14" s="70" customFormat="1" ht="12.75" customHeight="1" x14ac:dyDescent="0.2">
      <c r="A64" s="215" t="s">
        <v>80</v>
      </c>
      <c r="B64" s="216"/>
      <c r="C64" s="216"/>
      <c r="D64" s="217"/>
      <c r="E64" s="69"/>
      <c r="G64" s="30"/>
      <c r="H64" s="30"/>
    </row>
    <row r="65" spans="1:15" s="70" customFormat="1" ht="12.75" customHeight="1" x14ac:dyDescent="0.2">
      <c r="A65" s="71" t="s">
        <v>81</v>
      </c>
      <c r="B65" s="71"/>
      <c r="C65" s="72" t="s">
        <v>82</v>
      </c>
      <c r="D65" s="73" t="s">
        <v>83</v>
      </c>
      <c r="E65" s="69"/>
      <c r="G65" s="30"/>
      <c r="H65" s="30"/>
    </row>
    <row r="66" spans="1:15" s="70" customFormat="1" ht="12.75" customHeight="1" x14ac:dyDescent="0.2">
      <c r="A66" s="87">
        <v>45264</v>
      </c>
      <c r="B66" s="120" t="s">
        <v>6</v>
      </c>
      <c r="C66" s="75" t="s">
        <v>86</v>
      </c>
      <c r="D66" s="88">
        <v>11017609</v>
      </c>
      <c r="E66" s="2"/>
      <c r="F66" s="2"/>
      <c r="G66" s="30"/>
      <c r="H66" s="30"/>
      <c r="I66" s="2"/>
      <c r="J66" s="2"/>
      <c r="K66" s="2"/>
      <c r="L66" s="2"/>
      <c r="M66" s="41"/>
      <c r="N66" s="42"/>
      <c r="O66" s="2"/>
    </row>
    <row r="67" spans="1:15" s="70" customFormat="1" ht="12.75" customHeight="1" x14ac:dyDescent="0.2">
      <c r="A67" s="87">
        <v>45264</v>
      </c>
      <c r="B67" s="120" t="s">
        <v>6</v>
      </c>
      <c r="C67" s="75" t="s">
        <v>86</v>
      </c>
      <c r="D67" s="88">
        <v>2663814</v>
      </c>
      <c r="E67" s="2"/>
      <c r="F67" s="2"/>
      <c r="G67" s="30"/>
      <c r="H67" s="30"/>
      <c r="I67" s="2"/>
      <c r="J67" s="2"/>
      <c r="K67" s="2"/>
      <c r="L67" s="2"/>
      <c r="M67" s="41"/>
      <c r="N67" s="42"/>
      <c r="O67" s="2"/>
    </row>
    <row r="68" spans="1:15" s="70" customFormat="1" ht="12.75" customHeight="1" x14ac:dyDescent="0.2">
      <c r="A68" s="87">
        <v>45264</v>
      </c>
      <c r="B68" s="120" t="s">
        <v>6</v>
      </c>
      <c r="C68" s="75" t="s">
        <v>86</v>
      </c>
      <c r="D68" s="88">
        <v>75522</v>
      </c>
      <c r="E68" s="2"/>
      <c r="F68" s="2"/>
      <c r="G68" s="30"/>
      <c r="H68" s="30"/>
      <c r="I68" s="2"/>
      <c r="J68" s="2"/>
      <c r="K68" s="2"/>
      <c r="L68" s="2"/>
      <c r="M68" s="41"/>
      <c r="N68" s="42"/>
      <c r="O68" s="2"/>
    </row>
    <row r="69" spans="1:15" s="70" customFormat="1" ht="12.75" customHeight="1" x14ac:dyDescent="0.2">
      <c r="A69" s="87">
        <v>45265</v>
      </c>
      <c r="B69" s="120" t="s">
        <v>6</v>
      </c>
      <c r="C69" s="75" t="s">
        <v>88</v>
      </c>
      <c r="D69" s="88">
        <v>2152501.6</v>
      </c>
      <c r="E69" s="2"/>
      <c r="F69" s="2"/>
      <c r="G69" s="30"/>
      <c r="H69" s="30"/>
      <c r="I69" s="2"/>
      <c r="J69" s="2"/>
      <c r="K69" s="2"/>
      <c r="L69" s="2"/>
      <c r="M69" s="41"/>
      <c r="N69" s="42"/>
      <c r="O69" s="2"/>
    </row>
    <row r="70" spans="1:15" s="70" customFormat="1" ht="12.75" customHeight="1" x14ac:dyDescent="0.2">
      <c r="A70" s="87">
        <v>45266</v>
      </c>
      <c r="B70" s="120" t="s">
        <v>6</v>
      </c>
      <c r="C70" s="75" t="s">
        <v>271</v>
      </c>
      <c r="D70" s="88">
        <v>9828</v>
      </c>
      <c r="E70" s="2"/>
      <c r="F70" s="2"/>
      <c r="G70" s="30"/>
      <c r="H70" s="30"/>
      <c r="I70" s="2"/>
      <c r="J70" s="2"/>
      <c r="K70" s="2"/>
      <c r="L70" s="2"/>
      <c r="M70" s="41"/>
      <c r="N70" s="42"/>
      <c r="O70" s="2"/>
    </row>
    <row r="71" spans="1:15" s="70" customFormat="1" ht="12.75" customHeight="1" x14ac:dyDescent="0.2">
      <c r="A71" s="87">
        <v>45267</v>
      </c>
      <c r="B71" s="120" t="s">
        <v>6</v>
      </c>
      <c r="C71" s="75" t="s">
        <v>85</v>
      </c>
      <c r="D71" s="88">
        <v>179811</v>
      </c>
      <c r="E71" s="2"/>
      <c r="F71" s="2"/>
      <c r="G71" s="30"/>
      <c r="H71" s="30"/>
      <c r="I71" s="2"/>
      <c r="J71" s="2"/>
      <c r="K71" s="2"/>
      <c r="L71" s="2"/>
      <c r="M71" s="41"/>
      <c r="N71" s="42"/>
      <c r="O71" s="2"/>
    </row>
    <row r="72" spans="1:15" s="70" customFormat="1" ht="12.75" customHeight="1" x14ac:dyDescent="0.2">
      <c r="A72" s="87">
        <v>45267</v>
      </c>
      <c r="B72" s="120" t="s">
        <v>6</v>
      </c>
      <c r="C72" s="75" t="s">
        <v>85</v>
      </c>
      <c r="D72" s="88">
        <v>302254</v>
      </c>
      <c r="E72" s="2"/>
      <c r="F72" s="2"/>
      <c r="G72" s="30"/>
      <c r="H72" s="30"/>
      <c r="I72" s="2"/>
      <c r="J72" s="2"/>
      <c r="K72" s="2"/>
      <c r="L72" s="2"/>
      <c r="M72" s="41"/>
      <c r="N72" s="42"/>
      <c r="O72" s="2"/>
    </row>
    <row r="73" spans="1:15" s="70" customFormat="1" ht="12.75" customHeight="1" x14ac:dyDescent="0.2">
      <c r="A73" s="87">
        <v>45268</v>
      </c>
      <c r="B73" s="120" t="s">
        <v>6</v>
      </c>
      <c r="C73" s="75" t="s">
        <v>201</v>
      </c>
      <c r="D73" s="88">
        <v>4000249.47</v>
      </c>
      <c r="E73" s="2"/>
      <c r="F73" s="2"/>
      <c r="G73" s="30"/>
      <c r="H73" s="30"/>
      <c r="I73" s="2"/>
      <c r="J73" s="2"/>
      <c r="K73" s="2"/>
      <c r="L73" s="2"/>
      <c r="M73" s="41"/>
      <c r="N73" s="42"/>
      <c r="O73" s="2"/>
    </row>
    <row r="74" spans="1:15" s="70" customFormat="1" ht="12.75" customHeight="1" x14ac:dyDescent="0.2">
      <c r="A74" s="87">
        <v>45269</v>
      </c>
      <c r="B74" s="120" t="s">
        <v>6</v>
      </c>
      <c r="C74" s="75" t="s">
        <v>85</v>
      </c>
      <c r="D74" s="88">
        <v>96273</v>
      </c>
      <c r="E74" s="2"/>
      <c r="F74" s="2"/>
      <c r="G74" s="30"/>
      <c r="H74" s="30"/>
      <c r="I74" s="2"/>
      <c r="J74" s="2"/>
      <c r="K74" s="2"/>
      <c r="L74" s="2"/>
      <c r="M74" s="41"/>
      <c r="N74" s="42"/>
      <c r="O74" s="2"/>
    </row>
    <row r="75" spans="1:15" s="70" customFormat="1" ht="12.75" customHeight="1" x14ac:dyDescent="0.2">
      <c r="A75" s="87">
        <v>45269</v>
      </c>
      <c r="B75" s="120" t="s">
        <v>6</v>
      </c>
      <c r="C75" s="75" t="s">
        <v>270</v>
      </c>
      <c r="D75" s="88">
        <v>182684</v>
      </c>
      <c r="E75" s="2"/>
      <c r="F75" s="2"/>
      <c r="G75" s="30"/>
      <c r="H75" s="30"/>
      <c r="I75" s="2"/>
      <c r="J75" s="2"/>
      <c r="K75" s="2"/>
      <c r="L75" s="2"/>
      <c r="M75" s="41"/>
      <c r="N75" s="42"/>
      <c r="O75" s="2"/>
    </row>
    <row r="76" spans="1:15" s="70" customFormat="1" ht="12.75" customHeight="1" x14ac:dyDescent="0.2">
      <c r="A76" s="87">
        <v>45269</v>
      </c>
      <c r="B76" s="120" t="s">
        <v>6</v>
      </c>
      <c r="C76" s="75" t="s">
        <v>271</v>
      </c>
      <c r="D76" s="88">
        <v>15488.3</v>
      </c>
      <c r="E76" s="2"/>
      <c r="F76" s="2"/>
      <c r="G76" s="30"/>
      <c r="H76" s="30"/>
      <c r="I76" s="2"/>
      <c r="J76" s="2"/>
      <c r="K76" s="2"/>
      <c r="L76" s="2"/>
      <c r="M76" s="41"/>
      <c r="N76" s="42"/>
      <c r="O76" s="2"/>
    </row>
    <row r="77" spans="1:15" s="70" customFormat="1" ht="12.75" customHeight="1" x14ac:dyDescent="0.2">
      <c r="A77" s="87">
        <v>45272</v>
      </c>
      <c r="B77" s="120" t="s">
        <v>6</v>
      </c>
      <c r="C77" s="75" t="s">
        <v>270</v>
      </c>
      <c r="D77" s="88">
        <v>687714</v>
      </c>
      <c r="E77" s="2"/>
      <c r="F77" s="2"/>
      <c r="G77" s="30"/>
      <c r="H77" s="30"/>
      <c r="I77" s="2"/>
      <c r="J77" s="2"/>
      <c r="K77" s="2"/>
      <c r="L77" s="2"/>
      <c r="M77" s="41"/>
      <c r="N77" s="42"/>
      <c r="O77" s="2"/>
    </row>
    <row r="78" spans="1:15" s="70" customFormat="1" ht="12.75" customHeight="1" x14ac:dyDescent="0.2">
      <c r="A78" s="87">
        <v>45272</v>
      </c>
      <c r="B78" s="120" t="s">
        <v>6</v>
      </c>
      <c r="C78" s="75" t="s">
        <v>1789</v>
      </c>
      <c r="D78" s="88">
        <v>1945116</v>
      </c>
      <c r="E78" s="2"/>
      <c r="F78" s="2"/>
      <c r="G78" s="30"/>
      <c r="H78" s="30"/>
      <c r="I78" s="2"/>
      <c r="J78" s="2"/>
      <c r="K78" s="2"/>
      <c r="L78" s="2"/>
      <c r="M78" s="41"/>
      <c r="N78" s="42"/>
      <c r="O78" s="2"/>
    </row>
    <row r="79" spans="1:15" s="70" customFormat="1" ht="12.75" customHeight="1" x14ac:dyDescent="0.2">
      <c r="A79" s="87">
        <v>45273</v>
      </c>
      <c r="B79" s="120" t="s">
        <v>6</v>
      </c>
      <c r="C79" s="75" t="s">
        <v>18</v>
      </c>
      <c r="D79" s="88">
        <v>167890</v>
      </c>
      <c r="E79" s="2"/>
      <c r="F79" s="2"/>
      <c r="G79" s="30"/>
      <c r="H79" s="30"/>
      <c r="I79" s="2"/>
      <c r="J79" s="2"/>
      <c r="K79" s="2"/>
      <c r="L79" s="2"/>
      <c r="M79" s="41"/>
      <c r="N79" s="42"/>
      <c r="O79" s="2"/>
    </row>
    <row r="80" spans="1:15" s="70" customFormat="1" ht="12.75" customHeight="1" x14ac:dyDescent="0.2">
      <c r="A80" s="87">
        <v>45274</v>
      </c>
      <c r="B80" s="120" t="s">
        <v>6</v>
      </c>
      <c r="C80" s="75" t="s">
        <v>201</v>
      </c>
      <c r="D80" s="88">
        <v>4000385.13</v>
      </c>
      <c r="E80" s="2"/>
      <c r="F80" s="2"/>
      <c r="G80" s="30"/>
      <c r="H80" s="30"/>
      <c r="I80" s="2"/>
      <c r="J80" s="2"/>
      <c r="K80" s="2"/>
      <c r="L80" s="2"/>
      <c r="M80" s="41"/>
      <c r="N80" s="42"/>
      <c r="O80" s="2"/>
    </row>
    <row r="81" spans="1:15" s="70" customFormat="1" ht="12.75" customHeight="1" x14ac:dyDescent="0.2">
      <c r="A81" s="87">
        <v>45274</v>
      </c>
      <c r="B81" s="120" t="s">
        <v>6</v>
      </c>
      <c r="C81" s="75" t="s">
        <v>594</v>
      </c>
      <c r="D81" s="88">
        <v>15735</v>
      </c>
      <c r="E81" s="2"/>
      <c r="F81" s="2"/>
      <c r="G81" s="30"/>
      <c r="H81" s="30"/>
      <c r="I81" s="2"/>
      <c r="J81" s="2"/>
      <c r="K81" s="2"/>
      <c r="L81" s="2"/>
      <c r="M81" s="41"/>
      <c r="N81" s="42"/>
      <c r="O81" s="2"/>
    </row>
    <row r="82" spans="1:15" s="70" customFormat="1" ht="12.75" customHeight="1" x14ac:dyDescent="0.2">
      <c r="A82" s="87">
        <v>45275</v>
      </c>
      <c r="B82" s="120" t="s">
        <v>6</v>
      </c>
      <c r="C82" s="75" t="s">
        <v>594</v>
      </c>
      <c r="D82" s="88">
        <v>4456919</v>
      </c>
      <c r="E82" s="2"/>
      <c r="F82" s="2"/>
      <c r="G82" s="30"/>
      <c r="H82" s="30"/>
      <c r="I82" s="2"/>
      <c r="J82" s="2"/>
      <c r="K82" s="2"/>
      <c r="L82" s="2"/>
      <c r="M82" s="41"/>
      <c r="N82" s="42"/>
      <c r="O82" s="2"/>
    </row>
    <row r="83" spans="1:15" s="70" customFormat="1" ht="12.75" customHeight="1" x14ac:dyDescent="0.2">
      <c r="A83" s="87">
        <v>45275</v>
      </c>
      <c r="B83" s="120" t="s">
        <v>6</v>
      </c>
      <c r="C83" s="75" t="s">
        <v>270</v>
      </c>
      <c r="D83" s="88">
        <v>18357</v>
      </c>
      <c r="E83" s="2"/>
      <c r="F83" s="2"/>
      <c r="G83" s="30"/>
      <c r="H83" s="30"/>
      <c r="I83" s="2"/>
      <c r="J83" s="2"/>
      <c r="K83" s="2"/>
      <c r="L83" s="2"/>
      <c r="M83" s="41"/>
      <c r="N83" s="42"/>
      <c r="O83" s="2"/>
    </row>
    <row r="84" spans="1:15" s="70" customFormat="1" ht="12.75" customHeight="1" x14ac:dyDescent="0.2">
      <c r="A84" s="87">
        <v>45276</v>
      </c>
      <c r="B84" s="120" t="s">
        <v>6</v>
      </c>
      <c r="C84" s="75" t="s">
        <v>85</v>
      </c>
      <c r="D84" s="88">
        <v>197939</v>
      </c>
      <c r="E84" s="2"/>
      <c r="F84" s="2"/>
      <c r="G84" s="30"/>
      <c r="H84" s="30"/>
      <c r="I84" s="2"/>
      <c r="J84" s="2"/>
      <c r="K84" s="2"/>
      <c r="L84" s="2"/>
      <c r="M84" s="41"/>
      <c r="N84" s="42"/>
      <c r="O84" s="2"/>
    </row>
    <row r="85" spans="1:15" s="70" customFormat="1" ht="12.75" customHeight="1" x14ac:dyDescent="0.2">
      <c r="A85" s="87">
        <v>45276</v>
      </c>
      <c r="B85" s="120" t="s">
        <v>6</v>
      </c>
      <c r="C85" s="75" t="s">
        <v>85</v>
      </c>
      <c r="D85" s="88">
        <v>103476</v>
      </c>
      <c r="E85" s="2"/>
      <c r="F85" s="2"/>
      <c r="G85" s="30"/>
      <c r="H85" s="30"/>
      <c r="I85" s="2"/>
      <c r="J85" s="2"/>
      <c r="K85" s="2"/>
      <c r="L85" s="2"/>
      <c r="M85" s="41"/>
      <c r="N85" s="42"/>
      <c r="O85" s="2"/>
    </row>
    <row r="86" spans="1:15" s="70" customFormat="1" ht="12.75" customHeight="1" x14ac:dyDescent="0.2">
      <c r="A86" s="87">
        <v>45278</v>
      </c>
      <c r="B86" s="120" t="s">
        <v>6</v>
      </c>
      <c r="C86" s="75" t="s">
        <v>270</v>
      </c>
      <c r="D86" s="88">
        <v>384076</v>
      </c>
      <c r="E86" s="2"/>
      <c r="F86" s="2"/>
      <c r="G86" s="30"/>
      <c r="H86" s="30"/>
      <c r="I86" s="2"/>
      <c r="J86" s="2"/>
      <c r="K86" s="2"/>
      <c r="L86" s="2"/>
      <c r="M86" s="41"/>
      <c r="N86" s="42"/>
      <c r="O86" s="2"/>
    </row>
    <row r="87" spans="1:15" s="70" customFormat="1" ht="12.75" customHeight="1" x14ac:dyDescent="0.2">
      <c r="A87" s="87">
        <v>45278</v>
      </c>
      <c r="B87" s="120" t="s">
        <v>6</v>
      </c>
      <c r="C87" s="75" t="s">
        <v>85</v>
      </c>
      <c r="D87" s="88">
        <v>427722</v>
      </c>
      <c r="E87" s="2"/>
      <c r="F87" s="2"/>
      <c r="G87" s="30"/>
      <c r="H87" s="30"/>
      <c r="I87" s="2"/>
      <c r="J87" s="2"/>
      <c r="K87" s="2"/>
      <c r="L87" s="2"/>
      <c r="M87" s="41"/>
      <c r="N87" s="42"/>
      <c r="O87" s="2"/>
    </row>
    <row r="88" spans="1:15" s="70" customFormat="1" ht="12.75" customHeight="1" x14ac:dyDescent="0.2">
      <c r="A88" s="87">
        <v>45280</v>
      </c>
      <c r="B88" s="120" t="s">
        <v>6</v>
      </c>
      <c r="C88" s="75" t="s">
        <v>201</v>
      </c>
      <c r="D88" s="88">
        <v>5253480</v>
      </c>
      <c r="E88" s="2"/>
      <c r="F88" s="2"/>
      <c r="G88" s="30"/>
      <c r="H88" s="30"/>
      <c r="I88" s="2"/>
      <c r="J88" s="2"/>
      <c r="K88" s="2"/>
      <c r="L88" s="2"/>
      <c r="M88" s="41"/>
      <c r="N88" s="42"/>
      <c r="O88" s="2"/>
    </row>
    <row r="89" spans="1:15" s="70" customFormat="1" ht="12.75" customHeight="1" x14ac:dyDescent="0.2">
      <c r="A89" s="87">
        <v>45280</v>
      </c>
      <c r="B89" s="120" t="s">
        <v>6</v>
      </c>
      <c r="C89" s="75" t="s">
        <v>18</v>
      </c>
      <c r="D89" s="88">
        <v>604243</v>
      </c>
      <c r="E89" s="2"/>
      <c r="F89" s="2"/>
      <c r="G89" s="30"/>
      <c r="H89" s="30"/>
      <c r="I89" s="2"/>
      <c r="J89" s="2"/>
      <c r="K89" s="2"/>
      <c r="L89" s="2"/>
      <c r="M89" s="41"/>
      <c r="N89" s="42"/>
      <c r="O89" s="2"/>
    </row>
    <row r="90" spans="1:15" s="70" customFormat="1" ht="12.75" customHeight="1" x14ac:dyDescent="0.2">
      <c r="A90" s="87">
        <v>45280</v>
      </c>
      <c r="B90" s="120" t="s">
        <v>6</v>
      </c>
      <c r="C90" s="75" t="s">
        <v>88</v>
      </c>
      <c r="D90" s="88">
        <v>7395284.2999999998</v>
      </c>
      <c r="E90" s="2"/>
      <c r="F90" s="2"/>
      <c r="G90" s="30"/>
      <c r="H90" s="30"/>
      <c r="I90" s="2"/>
      <c r="J90" s="2"/>
      <c r="K90" s="2"/>
      <c r="L90" s="2"/>
      <c r="M90" s="41"/>
      <c r="N90" s="42"/>
      <c r="O90" s="2"/>
    </row>
    <row r="91" spans="1:15" s="70" customFormat="1" ht="12.75" customHeight="1" x14ac:dyDescent="0.2">
      <c r="A91" s="87">
        <v>45281</v>
      </c>
      <c r="B91" s="120" t="s">
        <v>6</v>
      </c>
      <c r="C91" s="75" t="s">
        <v>1897</v>
      </c>
      <c r="D91" s="88">
        <v>710500.05</v>
      </c>
      <c r="E91" s="2"/>
      <c r="F91" s="2"/>
      <c r="G91" s="30"/>
      <c r="H91" s="30"/>
      <c r="I91" s="2"/>
      <c r="J91" s="2"/>
      <c r="K91" s="2"/>
      <c r="L91" s="2"/>
      <c r="M91" s="41"/>
      <c r="N91" s="42"/>
      <c r="O91" s="2"/>
    </row>
    <row r="92" spans="1:15" s="70" customFormat="1" ht="12.75" customHeight="1" x14ac:dyDescent="0.2">
      <c r="A92" s="87">
        <v>45281</v>
      </c>
      <c r="B92" s="120" t="s">
        <v>6</v>
      </c>
      <c r="C92" s="75" t="s">
        <v>271</v>
      </c>
      <c r="D92" s="88">
        <v>32519</v>
      </c>
      <c r="E92" s="2"/>
      <c r="F92" s="2"/>
      <c r="G92" s="30"/>
      <c r="H92" s="30"/>
      <c r="I92" s="2"/>
      <c r="J92" s="2"/>
      <c r="K92" s="2"/>
      <c r="L92" s="2"/>
      <c r="M92" s="41"/>
      <c r="N92" s="42"/>
      <c r="O92" s="2"/>
    </row>
    <row r="93" spans="1:15" s="70" customFormat="1" ht="12.75" customHeight="1" x14ac:dyDescent="0.2">
      <c r="A93" s="87">
        <v>45282</v>
      </c>
      <c r="B93" s="120" t="s">
        <v>6</v>
      </c>
      <c r="C93" s="75" t="s">
        <v>85</v>
      </c>
      <c r="D93" s="88">
        <v>459852</v>
      </c>
      <c r="E93" s="2"/>
      <c r="F93" s="2"/>
      <c r="G93" s="30"/>
      <c r="H93" s="30"/>
      <c r="I93" s="2"/>
      <c r="J93" s="2"/>
      <c r="K93" s="2"/>
      <c r="L93" s="2"/>
      <c r="M93" s="41"/>
      <c r="N93" s="42"/>
      <c r="O93" s="2"/>
    </row>
    <row r="94" spans="1:15" s="70" customFormat="1" ht="12.75" customHeight="1" x14ac:dyDescent="0.2">
      <c r="A94" s="87">
        <v>45282</v>
      </c>
      <c r="B94" s="120" t="s">
        <v>6</v>
      </c>
      <c r="C94" s="75" t="s">
        <v>467</v>
      </c>
      <c r="D94" s="88">
        <v>5455880</v>
      </c>
      <c r="E94" s="2"/>
      <c r="F94" s="2"/>
      <c r="G94" s="30"/>
      <c r="H94" s="30"/>
      <c r="I94" s="2"/>
      <c r="J94" s="2"/>
      <c r="K94" s="2"/>
      <c r="L94" s="2"/>
      <c r="M94" s="41"/>
      <c r="N94" s="42"/>
      <c r="O94" s="2"/>
    </row>
    <row r="95" spans="1:15" s="2" customFormat="1" x14ac:dyDescent="0.2">
      <c r="A95" s="87"/>
      <c r="B95" s="74"/>
      <c r="C95" s="75"/>
      <c r="D95" s="51">
        <f>SUM(D66:D94)</f>
        <v>53013121.849999994</v>
      </c>
      <c r="F95" s="2" t="s">
        <v>396</v>
      </c>
      <c r="G95" s="1"/>
      <c r="H95" s="1"/>
    </row>
    <row r="96" spans="1:15" s="2" customFormat="1" x14ac:dyDescent="0.2">
      <c r="A96" s="24"/>
      <c r="B96" s="1"/>
      <c r="C96" s="14"/>
      <c r="D96" s="56"/>
      <c r="E96" s="13"/>
      <c r="G96" s="1"/>
      <c r="H96" s="1"/>
    </row>
    <row r="97" spans="1:14" s="2" customFormat="1" x14ac:dyDescent="0.2">
      <c r="A97" s="24"/>
      <c r="B97" s="1"/>
      <c r="C97" s="218" t="s">
        <v>77</v>
      </c>
      <c r="D97" s="219"/>
      <c r="E97" s="219"/>
      <c r="F97" s="220"/>
      <c r="I97" s="2" t="s">
        <v>396</v>
      </c>
    </row>
    <row r="98" spans="1:14" s="2" customFormat="1" x14ac:dyDescent="0.2">
      <c r="A98" s="24"/>
      <c r="B98" s="1"/>
      <c r="C98" s="50"/>
      <c r="D98" s="57" t="s">
        <v>78</v>
      </c>
      <c r="E98" s="58" t="s">
        <v>79</v>
      </c>
      <c r="F98" s="57" t="s">
        <v>72</v>
      </c>
      <c r="I98" s="2" t="s">
        <v>396</v>
      </c>
    </row>
    <row r="99" spans="1:14" s="2" customFormat="1" x14ac:dyDescent="0.2">
      <c r="A99" s="24"/>
      <c r="B99" s="1"/>
      <c r="C99" s="59" t="str">
        <f>"01-12-2023 to "&amp;TEXT(A5-2,"dd-mm-yyyy")</f>
        <v>01-12-2023 to 20-12-2023</v>
      </c>
      <c r="D99" s="60">
        <v>1550.24</v>
      </c>
      <c r="E99" s="60">
        <v>445.88</v>
      </c>
      <c r="F99" s="61">
        <f>SUM(D99:E99)</f>
        <v>1996.12</v>
      </c>
    </row>
    <row r="100" spans="1:14" s="2" customFormat="1" x14ac:dyDescent="0.2">
      <c r="A100" s="24"/>
      <c r="B100" s="1"/>
      <c r="C100" s="62" t="str">
        <f>TEXT(A5-1,"dd-mm-yyyy")</f>
        <v>21-12-2023</v>
      </c>
      <c r="D100" s="60">
        <v>69.260000000000005</v>
      </c>
      <c r="E100" s="60">
        <v>39.4</v>
      </c>
      <c r="F100" s="61">
        <f>SUM(D100:E100)</f>
        <v>108.66</v>
      </c>
      <c r="G100" s="1"/>
      <c r="H100" s="1"/>
      <c r="I100" s="53"/>
    </row>
    <row r="101" spans="1:14" s="2" customFormat="1" ht="13.5" thickBot="1" x14ac:dyDescent="0.25">
      <c r="A101" s="24"/>
      <c r="B101" s="1"/>
      <c r="C101" s="63" t="str">
        <f>"01-12-2023 to "&amp;TEXT(A5-1,"dd-mm-yyyy")</f>
        <v>01-12-2023 to 21-12-2023</v>
      </c>
      <c r="D101" s="64">
        <f>SUM(D99:D100)</f>
        <v>1619.5</v>
      </c>
      <c r="E101" s="64">
        <f>SUM(E99:E100)</f>
        <v>485.28</v>
      </c>
      <c r="F101" s="64">
        <f>SUM(F99:F100)</f>
        <v>2104.7799999999997</v>
      </c>
      <c r="G101" s="1"/>
      <c r="H101" s="1"/>
      <c r="I101" s="53"/>
    </row>
    <row r="102" spans="1:14" s="2" customFormat="1" ht="13.5" thickTop="1" x14ac:dyDescent="0.2">
      <c r="A102" s="24"/>
      <c r="B102" s="1"/>
      <c r="C102" s="62"/>
      <c r="D102" s="65"/>
      <c r="E102" s="66"/>
      <c r="F102" s="67"/>
      <c r="M102" s="1"/>
      <c r="N102" s="1"/>
    </row>
    <row r="103" spans="1:14" s="2" customFormat="1" x14ac:dyDescent="0.2">
      <c r="A103" s="24"/>
      <c r="B103" s="1"/>
      <c r="C103" s="62" t="str">
        <f>"01-04-2023 to " &amp;C100</f>
        <v>01-04-2023 to 21-12-2023</v>
      </c>
      <c r="D103" s="68">
        <f>+D101+32234.22</f>
        <v>33853.72</v>
      </c>
      <c r="E103" s="68">
        <f>+E101+3134.59</f>
        <v>3619.87</v>
      </c>
      <c r="F103" s="68">
        <f>+F101+35368.81</f>
        <v>37473.589999999997</v>
      </c>
      <c r="G103" s="1"/>
      <c r="H103" s="1"/>
      <c r="M103" s="1"/>
      <c r="N103" s="1"/>
    </row>
    <row r="104" spans="1:14" s="2" customFormat="1" x14ac:dyDescent="0.2">
      <c r="A104" s="24"/>
      <c r="B104" s="1"/>
      <c r="C104" s="52"/>
      <c r="D104" s="85"/>
      <c r="E104" s="53"/>
      <c r="F104" s="53"/>
      <c r="G104" s="1"/>
      <c r="H104" s="1"/>
      <c r="M104" s="1"/>
      <c r="N104" s="1"/>
    </row>
    <row r="105" spans="1:14" s="2" customFormat="1" x14ac:dyDescent="0.2">
      <c r="A105" s="24"/>
      <c r="B105" s="1"/>
      <c r="C105" s="52"/>
      <c r="D105" s="85"/>
      <c r="E105" s="53"/>
      <c r="F105" s="53"/>
      <c r="G105" s="1"/>
      <c r="H105" s="1"/>
      <c r="M105" s="1"/>
      <c r="N105" s="1"/>
    </row>
    <row r="106" spans="1:14" s="2" customFormat="1" x14ac:dyDescent="0.2">
      <c r="A106" s="24"/>
      <c r="B106" s="1"/>
      <c r="C106" s="52"/>
      <c r="D106" s="85"/>
      <c r="E106" s="53"/>
      <c r="F106" s="53"/>
      <c r="G106" s="1"/>
      <c r="H106" s="1"/>
      <c r="M106" s="1"/>
      <c r="N106" s="1"/>
    </row>
    <row r="107" spans="1:14" s="2" customFormat="1" x14ac:dyDescent="0.2">
      <c r="A107" s="24"/>
      <c r="B107" s="1"/>
      <c r="C107" s="52"/>
      <c r="D107" s="85"/>
      <c r="E107" s="53"/>
      <c r="F107" s="53"/>
      <c r="G107" s="1"/>
      <c r="H107" s="1"/>
      <c r="M107" s="1"/>
      <c r="N107" s="1"/>
    </row>
    <row r="108" spans="1:14" s="2" customFormat="1" x14ac:dyDescent="0.2">
      <c r="A108" s="24"/>
      <c r="B108" s="1"/>
      <c r="C108" s="14"/>
      <c r="D108" s="25">
        <f>SUM(D105:D107)</f>
        <v>0</v>
      </c>
      <c r="E108" s="2">
        <f>SUM(E105:E107)</f>
        <v>0</v>
      </c>
      <c r="G108" s="1"/>
      <c r="H108" s="1"/>
      <c r="M108" s="1"/>
      <c r="N108" s="1"/>
    </row>
    <row r="109" spans="1:14" s="2" customFormat="1" x14ac:dyDescent="0.2">
      <c r="A109" s="24"/>
      <c r="B109" s="1"/>
      <c r="C109" s="14"/>
      <c r="D109" s="25"/>
      <c r="G109" s="1"/>
      <c r="H109" s="1"/>
      <c r="M109" s="1"/>
      <c r="N109" s="1"/>
    </row>
    <row r="110" spans="1:14" s="2" customFormat="1" x14ac:dyDescent="0.2">
      <c r="A110" s="24"/>
      <c r="B110" s="1"/>
      <c r="C110" s="14"/>
      <c r="D110" s="25"/>
      <c r="G110" s="1"/>
      <c r="H110" s="1"/>
      <c r="M110" s="1"/>
      <c r="N110" s="1"/>
    </row>
    <row r="111" spans="1:14" s="2" customFormat="1" x14ac:dyDescent="0.2">
      <c r="A111" s="24"/>
      <c r="B111" s="1"/>
      <c r="C111" s="14"/>
      <c r="D111" s="25"/>
      <c r="G111" s="1"/>
      <c r="H111" s="1"/>
      <c r="M111" s="1"/>
      <c r="N111" s="1"/>
    </row>
    <row r="112" spans="1:14" s="2" customFormat="1" x14ac:dyDescent="0.2">
      <c r="A112" s="24"/>
      <c r="B112" s="1"/>
      <c r="C112" s="14"/>
      <c r="D112" s="25"/>
      <c r="G112" s="1"/>
      <c r="H112" s="1"/>
      <c r="M112" s="1"/>
      <c r="N112" s="1"/>
    </row>
    <row r="113" spans="1:15" s="2" customFormat="1" x14ac:dyDescent="0.2">
      <c r="A113" s="24"/>
      <c r="B113" s="1"/>
      <c r="C113" s="14"/>
      <c r="D113" s="25"/>
      <c r="G113" s="1"/>
      <c r="H113" s="1"/>
      <c r="M113" s="1"/>
      <c r="N113" s="1"/>
    </row>
    <row r="114" spans="1:15" s="2" customFormat="1" x14ac:dyDescent="0.2">
      <c r="A114" s="24"/>
      <c r="B114" s="1"/>
      <c r="C114" s="14"/>
      <c r="D114" s="25"/>
      <c r="G114" s="1"/>
      <c r="H114" s="1"/>
      <c r="M114" s="1"/>
      <c r="N114" s="1"/>
    </row>
    <row r="115" spans="1:15" s="2" customFormat="1" x14ac:dyDescent="0.2">
      <c r="A115" s="24"/>
      <c r="B115" s="1"/>
      <c r="C115" s="14"/>
      <c r="D115" s="25"/>
      <c r="G115" s="1"/>
      <c r="H115" s="1"/>
      <c r="M115" s="1"/>
      <c r="N115" s="1"/>
    </row>
    <row r="116" spans="1:15" s="2" customFormat="1" x14ac:dyDescent="0.2">
      <c r="A116" s="24"/>
      <c r="B116" s="1"/>
      <c r="C116" s="14"/>
      <c r="D116" s="25"/>
      <c r="G116" s="1"/>
      <c r="H116" s="1"/>
      <c r="M116" s="1"/>
      <c r="N116" s="1"/>
    </row>
    <row r="117" spans="1:15" s="2" customFormat="1" x14ac:dyDescent="0.2">
      <c r="A117" s="24"/>
      <c r="B117" s="1"/>
      <c r="C117" s="14"/>
      <c r="D117" s="25"/>
      <c r="G117" s="1"/>
      <c r="H117" s="1"/>
      <c r="M117" s="1"/>
      <c r="N117" s="1"/>
    </row>
    <row r="118" spans="1:15" s="2" customFormat="1" x14ac:dyDescent="0.2">
      <c r="A118" s="24"/>
      <c r="B118" s="1"/>
      <c r="C118" s="14"/>
      <c r="D118" s="25"/>
      <c r="G118" s="1"/>
      <c r="H118" s="1"/>
      <c r="M118" s="1"/>
      <c r="N118" s="1"/>
    </row>
    <row r="119" spans="1:15" s="2" customFormat="1" x14ac:dyDescent="0.2">
      <c r="A119" s="24"/>
      <c r="B119" s="1"/>
      <c r="C119" s="14"/>
      <c r="D119" s="25"/>
      <c r="G119" s="1"/>
      <c r="H119" s="1"/>
      <c r="M119" s="1"/>
      <c r="N119" s="1"/>
    </row>
    <row r="120" spans="1:15" s="2" customFormat="1" x14ac:dyDescent="0.2">
      <c r="A120" s="24"/>
      <c r="B120" s="1"/>
      <c r="C120" s="14"/>
      <c r="D120" s="25"/>
      <c r="G120" s="1"/>
      <c r="H120" s="1"/>
      <c r="M120" s="1"/>
      <c r="N120" s="1"/>
    </row>
    <row r="121" spans="1:15" s="2" customFormat="1" x14ac:dyDescent="0.2">
      <c r="A121" s="24"/>
      <c r="B121" s="1"/>
      <c r="C121" s="14"/>
      <c r="D121" s="25"/>
      <c r="G121" s="1"/>
      <c r="H121" s="1"/>
      <c r="M121" s="1"/>
      <c r="N121" s="1"/>
    </row>
    <row r="122" spans="1:15" s="2" customFormat="1" x14ac:dyDescent="0.2">
      <c r="A122" s="24"/>
      <c r="B122" s="1"/>
      <c r="C122" s="14"/>
      <c r="D122" s="25"/>
      <c r="G122" s="1"/>
      <c r="H122" s="1"/>
      <c r="J122" s="1"/>
      <c r="K122" s="1"/>
      <c r="L122" s="1"/>
      <c r="M122" s="1"/>
      <c r="N122" s="1"/>
    </row>
    <row r="123" spans="1:15" s="2" customFormat="1" x14ac:dyDescent="0.2">
      <c r="A123" s="24"/>
      <c r="B123" s="1"/>
      <c r="C123" s="14"/>
      <c r="D123" s="25"/>
      <c r="G123" s="1"/>
      <c r="H123" s="1"/>
    </row>
    <row r="124" spans="1:15" s="2" customFormat="1" x14ac:dyDescent="0.2">
      <c r="A124" s="24"/>
      <c r="B124" s="1"/>
      <c r="C124" s="14"/>
      <c r="D124" s="25"/>
      <c r="G124" s="1"/>
      <c r="H124" s="1"/>
      <c r="J124" s="1"/>
      <c r="K124" s="1"/>
      <c r="L124" s="1"/>
      <c r="M124" s="1"/>
      <c r="N124" s="1"/>
    </row>
    <row r="125" spans="1:15" s="2" customFormat="1" x14ac:dyDescent="0.2">
      <c r="A125" s="24"/>
      <c r="B125" s="1"/>
      <c r="C125" s="14"/>
      <c r="D125" s="25"/>
      <c r="G125" s="54"/>
      <c r="H125" s="54"/>
      <c r="J125" s="1"/>
      <c r="K125" s="1"/>
      <c r="L125" s="1"/>
      <c r="M125" s="1"/>
      <c r="N125" s="1"/>
    </row>
    <row r="126" spans="1:15" s="2" customFormat="1" x14ac:dyDescent="0.2">
      <c r="A126" s="24"/>
      <c r="B126" s="1"/>
      <c r="C126" s="14"/>
      <c r="D126" s="25"/>
      <c r="G126" s="54"/>
      <c r="H126" s="54"/>
      <c r="J126" s="1"/>
      <c r="K126" s="1"/>
      <c r="L126" s="1"/>
      <c r="M126" s="1"/>
      <c r="N126" s="1"/>
    </row>
    <row r="127" spans="1:15" s="2" customFormat="1" x14ac:dyDescent="0.2">
      <c r="A127" s="24"/>
      <c r="B127" s="1"/>
      <c r="C127" s="14"/>
      <c r="D127" s="25"/>
      <c r="G127" s="54"/>
      <c r="H127" s="54"/>
      <c r="J127" s="1"/>
      <c r="K127" s="1"/>
      <c r="L127" s="1"/>
      <c r="M127" s="1"/>
      <c r="N127" s="1"/>
    </row>
    <row r="128" spans="1:15" s="2" customFormat="1" x14ac:dyDescent="0.2">
      <c r="A128" s="24"/>
      <c r="B128" s="1"/>
      <c r="C128" s="14"/>
      <c r="D128" s="25"/>
      <c r="G128" s="54"/>
      <c r="H128" s="54"/>
      <c r="I128" s="2" t="s">
        <v>396</v>
      </c>
      <c r="J128" s="1"/>
      <c r="K128" s="1"/>
      <c r="L128" s="1"/>
      <c r="M128" s="1"/>
      <c r="N128" s="1"/>
      <c r="O128" s="1"/>
    </row>
    <row r="129" spans="1:15" s="2" customFormat="1" x14ac:dyDescent="0.2">
      <c r="A129" s="24"/>
      <c r="B129" s="1"/>
      <c r="C129" s="14"/>
      <c r="D129" s="25"/>
      <c r="G129" s="54"/>
      <c r="H129" s="54"/>
      <c r="I129" s="53"/>
    </row>
    <row r="130" spans="1:15" s="2" customFormat="1" x14ac:dyDescent="0.2">
      <c r="A130" s="24"/>
      <c r="B130" s="1"/>
      <c r="C130" s="14"/>
      <c r="D130" s="25"/>
      <c r="G130" s="54"/>
      <c r="H130" s="54"/>
      <c r="I130" s="53" t="s">
        <v>396</v>
      </c>
      <c r="J130" s="1"/>
      <c r="K130" s="1"/>
      <c r="L130" s="1"/>
      <c r="M130" s="1"/>
      <c r="N130" s="1"/>
      <c r="O130" s="1"/>
    </row>
    <row r="131" spans="1:15" x14ac:dyDescent="0.2">
      <c r="G131" s="54"/>
      <c r="H131" s="54"/>
      <c r="I131" s="53" t="s">
        <v>396</v>
      </c>
      <c r="K131" s="42"/>
    </row>
    <row r="132" spans="1:15" s="2" customFormat="1" x14ac:dyDescent="0.2">
      <c r="A132" s="24"/>
      <c r="B132" s="1"/>
      <c r="C132" s="14"/>
      <c r="D132" s="25"/>
      <c r="G132" s="54"/>
      <c r="H132" s="54"/>
      <c r="I132" s="53"/>
      <c r="J132" s="101"/>
      <c r="K132" s="1"/>
      <c r="L132" s="1"/>
      <c r="M132" s="1"/>
      <c r="N132" s="1"/>
      <c r="O132" s="1"/>
    </row>
    <row r="133" spans="1:15" x14ac:dyDescent="0.2">
      <c r="G133" s="54"/>
      <c r="H133" s="54"/>
      <c r="I133" s="53"/>
    </row>
    <row r="134" spans="1:15" x14ac:dyDescent="0.2">
      <c r="G134" s="54"/>
      <c r="H134" s="54"/>
      <c r="I134" s="53"/>
    </row>
    <row r="135" spans="1:15" x14ac:dyDescent="0.2">
      <c r="G135" s="54"/>
      <c r="H135" s="54"/>
      <c r="I135" s="53"/>
    </row>
  </sheetData>
  <sheetProtection insertRows="0"/>
  <mergeCells count="7">
    <mergeCell ref="K57:L57"/>
    <mergeCell ref="A64:D64"/>
    <mergeCell ref="C97:F97"/>
    <mergeCell ref="A1:H1"/>
    <mergeCell ref="A3:F3"/>
    <mergeCell ref="A9:F9"/>
    <mergeCell ref="A21:F21"/>
  </mergeCells>
  <conditionalFormatting sqref="H61:H62">
    <cfRule type="cellIs" dxfId="163" priority="1" operator="lessThan">
      <formula>0</formula>
    </cfRule>
  </conditionalFormatting>
  <conditionalFormatting sqref="C23">
    <cfRule type="duplicateValues" dxfId="162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100-000000000000}">
  <sheetPr codeName="Sheet505">
    <pageSetUpPr fitToPage="1"/>
  </sheetPr>
  <dimension ref="A1:O127"/>
  <sheetViews>
    <sheetView zoomScaleNormal="100" workbookViewId="0">
      <selection activeCell="E30" sqref="E30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12.85546875" style="1" customWidth="1"/>
    <col min="9" max="9" width="24.85546875" style="2" bestFit="1" customWidth="1"/>
    <col min="10" max="10" width="21.5703125" style="1" bestFit="1" customWidth="1"/>
    <col min="11" max="11" width="16.85546875" style="1" bestFit="1" customWidth="1"/>
    <col min="12" max="12" width="17.28515625" style="1" bestFit="1" customWidth="1"/>
    <col min="13" max="13" width="13.5703125" style="1" bestFit="1" customWidth="1"/>
    <col min="14" max="14" width="17.42578125" style="1" bestFit="1" customWidth="1"/>
    <col min="15" max="15" width="12.85546875" style="1" bestFit="1" customWidth="1"/>
    <col min="16" max="17" width="9.140625" style="1"/>
    <col min="18" max="18" width="15.5703125" style="1" bestFit="1" customWidth="1"/>
    <col min="19" max="16384" width="9.140625" style="1"/>
  </cols>
  <sheetData>
    <row r="1" spans="1:14" ht="20.25" customHeight="1" x14ac:dyDescent="0.4">
      <c r="A1" s="212" t="s">
        <v>1901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4" ht="12.75" customHeight="1" x14ac:dyDescent="0.4">
      <c r="I2" s="112"/>
      <c r="J2" s="112"/>
    </row>
    <row r="3" spans="1:14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4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4" s="2" customFormat="1" ht="14.25" customHeight="1" x14ac:dyDescent="0.4">
      <c r="A5" s="89">
        <v>45283</v>
      </c>
      <c r="B5" s="9" t="s">
        <v>6</v>
      </c>
      <c r="C5" s="10" t="s">
        <v>7</v>
      </c>
      <c r="D5" s="11"/>
      <c r="E5" s="12">
        <v>670047.23000000045</v>
      </c>
      <c r="F5" s="12"/>
      <c r="G5" s="1"/>
      <c r="H5" s="1"/>
      <c r="I5" s="112"/>
      <c r="J5" s="112"/>
    </row>
    <row r="6" spans="1:14" s="2" customFormat="1" ht="12.75" customHeight="1" x14ac:dyDescent="0.2">
      <c r="D6" s="15" t="s">
        <v>8</v>
      </c>
      <c r="E6" s="16">
        <f>SUM(E5:E5)</f>
        <v>670047.23000000045</v>
      </c>
      <c r="F6" s="16">
        <f>F5</f>
        <v>0</v>
      </c>
      <c r="G6" s="1"/>
      <c r="H6" s="1"/>
      <c r="I6" s="13" t="s">
        <v>1582</v>
      </c>
      <c r="J6" s="13" t="s">
        <v>1583</v>
      </c>
    </row>
    <row r="7" spans="1:14" s="2" customFormat="1" ht="12.75" customHeight="1" x14ac:dyDescent="0.2">
      <c r="A7" s="17"/>
      <c r="B7" s="18"/>
      <c r="C7" s="19" t="s">
        <v>9</v>
      </c>
      <c r="D7" s="20"/>
      <c r="E7" s="21">
        <f>+E6-F6</f>
        <v>670047.23000000045</v>
      </c>
      <c r="F7" s="22"/>
      <c r="G7" s="23"/>
      <c r="H7" s="23"/>
      <c r="I7" s="2">
        <v>0</v>
      </c>
      <c r="J7" s="2">
        <v>0</v>
      </c>
      <c r="K7" s="176">
        <f>I7-J7</f>
        <v>0</v>
      </c>
    </row>
    <row r="8" spans="1:14" ht="12.75" customHeight="1" x14ac:dyDescent="0.4">
      <c r="I8" s="112"/>
      <c r="J8" s="112"/>
    </row>
    <row r="9" spans="1:14" ht="18" customHeight="1" x14ac:dyDescent="0.4">
      <c r="A9" s="213" t="s">
        <v>1037</v>
      </c>
      <c r="B9" s="213"/>
      <c r="C9" s="213"/>
      <c r="D9" s="213"/>
      <c r="E9" s="213"/>
      <c r="F9" s="213"/>
      <c r="I9" s="112"/>
      <c r="J9" s="169">
        <f>90000000-60000000</f>
        <v>30000000</v>
      </c>
      <c r="K9" s="169" t="s">
        <v>1508</v>
      </c>
    </row>
    <row r="10" spans="1:14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I10" s="112"/>
      <c r="J10" s="169">
        <v>29938923.390000001</v>
      </c>
      <c r="K10" s="169" t="s">
        <v>1509</v>
      </c>
      <c r="L10" s="124"/>
    </row>
    <row r="11" spans="1:14" s="2" customFormat="1" ht="14.25" customHeight="1" x14ac:dyDescent="0.2">
      <c r="A11" s="89">
        <v>45283</v>
      </c>
      <c r="B11" s="9" t="s">
        <v>6</v>
      </c>
      <c r="C11" s="10" t="s">
        <v>7</v>
      </c>
      <c r="D11" s="11"/>
      <c r="F11" s="12">
        <v>29938923.390000001</v>
      </c>
      <c r="G11" s="1"/>
      <c r="H11" s="1"/>
      <c r="I11" s="130" t="s">
        <v>396</v>
      </c>
      <c r="J11" s="169">
        <f>+J9-J10</f>
        <v>61076.609999999404</v>
      </c>
      <c r="K11" s="169" t="s">
        <v>712</v>
      </c>
      <c r="L11" s="165" t="s">
        <v>1512</v>
      </c>
    </row>
    <row r="12" spans="1:14" s="2" customFormat="1" ht="14.25" customHeight="1" x14ac:dyDescent="0.2">
      <c r="A12" s="89">
        <v>45283</v>
      </c>
      <c r="B12" s="128" t="s">
        <v>6</v>
      </c>
      <c r="C12" s="76" t="s">
        <v>1900</v>
      </c>
      <c r="D12" s="11" t="s">
        <v>13</v>
      </c>
      <c r="E12" s="31">
        <v>245611</v>
      </c>
      <c r="F12" s="31">
        <v>0</v>
      </c>
      <c r="G12" s="1"/>
      <c r="H12" s="1"/>
      <c r="I12" s="130"/>
      <c r="J12" s="169"/>
      <c r="K12" s="169"/>
      <c r="L12" s="165"/>
    </row>
    <row r="13" spans="1:14" s="2" customFormat="1" ht="14.25" customHeight="1" x14ac:dyDescent="0.2">
      <c r="D13" s="11" t="s">
        <v>8</v>
      </c>
      <c r="E13" s="16">
        <f>SUM(E12:E12)</f>
        <v>245611</v>
      </c>
      <c r="F13" s="16">
        <f>SUM(F11:F12)</f>
        <v>29938923.390000001</v>
      </c>
      <c r="G13" s="1"/>
      <c r="H13" s="1"/>
      <c r="I13" s="143"/>
      <c r="J13" s="130"/>
      <c r="K13" s="143"/>
      <c r="L13" s="143"/>
      <c r="M13" s="143"/>
      <c r="N13" s="143"/>
    </row>
    <row r="14" spans="1:14" s="2" customFormat="1" ht="14.25" customHeight="1" x14ac:dyDescent="0.4">
      <c r="A14" s="17"/>
      <c r="B14" s="18"/>
      <c r="C14" s="96" t="s">
        <v>9</v>
      </c>
      <c r="D14" s="20"/>
      <c r="E14" s="21">
        <f>+F13-E13</f>
        <v>29693312.390000001</v>
      </c>
      <c r="G14" s="1"/>
      <c r="H14" s="1"/>
      <c r="J14" s="112"/>
      <c r="K14" s="153" t="s">
        <v>779</v>
      </c>
    </row>
    <row r="15" spans="1:14" s="2" customFormat="1" ht="14.25" customHeight="1" x14ac:dyDescent="0.2">
      <c r="A15" s="36"/>
      <c r="B15" s="28" t="s">
        <v>66</v>
      </c>
      <c r="C15" s="43" t="s">
        <v>1458</v>
      </c>
      <c r="D15" s="43"/>
      <c r="E15" s="12">
        <f>30000000+60000000</f>
        <v>90000000</v>
      </c>
      <c r="F15" s="22"/>
      <c r="G15" s="1"/>
      <c r="H15" s="1"/>
      <c r="J15" s="40">
        <v>29938923.390000001</v>
      </c>
      <c r="K15" s="154">
        <f>J15-E14</f>
        <v>245611</v>
      </c>
    </row>
    <row r="16" spans="1:14" s="2" customFormat="1" ht="14.25" customHeight="1" x14ac:dyDescent="0.25">
      <c r="A16" s="36"/>
      <c r="B16" s="28"/>
      <c r="C16" s="44" t="s">
        <v>1541</v>
      </c>
      <c r="D16" s="43"/>
      <c r="E16" s="7">
        <f>+E14+E15</f>
        <v>119693312.39</v>
      </c>
      <c r="F16" s="22"/>
      <c r="G16" s="1"/>
      <c r="H16" s="1"/>
      <c r="I16" s="13" t="s">
        <v>1582</v>
      </c>
      <c r="J16" s="13" t="s">
        <v>1583</v>
      </c>
    </row>
    <row r="17" spans="1:15" s="2" customFormat="1" ht="14.25" customHeight="1" x14ac:dyDescent="0.25">
      <c r="A17" s="36"/>
      <c r="B17" s="28"/>
      <c r="C17" s="44" t="s">
        <v>1511</v>
      </c>
      <c r="D17" s="43"/>
      <c r="E17" s="38">
        <f>+J11+I7-J7</f>
        <v>61076.609999999404</v>
      </c>
      <c r="F17" s="22"/>
      <c r="G17" s="1"/>
      <c r="H17" s="1"/>
      <c r="I17" s="2">
        <v>1623542</v>
      </c>
      <c r="J17" s="2">
        <v>2611150</v>
      </c>
      <c r="K17" s="176">
        <f>I17-J17</f>
        <v>-987608</v>
      </c>
    </row>
    <row r="18" spans="1:15" s="2" customFormat="1" ht="14.25" customHeight="1" x14ac:dyDescent="0.2">
      <c r="A18" s="24"/>
      <c r="B18" s="1"/>
      <c r="C18" s="14"/>
      <c r="D18" s="25"/>
      <c r="G18" s="1"/>
      <c r="H18" s="1"/>
      <c r="J18" s="130"/>
      <c r="K18" s="130"/>
    </row>
    <row r="19" spans="1:15" s="2" customFormat="1" x14ac:dyDescent="0.2">
      <c r="A19" s="214" t="s">
        <v>10</v>
      </c>
      <c r="B19" s="214"/>
      <c r="C19" s="214"/>
      <c r="D19" s="214"/>
      <c r="E19" s="214"/>
      <c r="F19" s="214"/>
      <c r="G19" s="1"/>
      <c r="H19" s="1"/>
      <c r="I19" s="159"/>
      <c r="J19" s="160">
        <f>225000000-75000000-50000000</f>
        <v>100000000</v>
      </c>
      <c r="K19" s="160" t="s">
        <v>1506</v>
      </c>
      <c r="L19" s="70"/>
    </row>
    <row r="20" spans="1:15" s="2" customFormat="1" x14ac:dyDescent="0.2">
      <c r="A20" s="26" t="s">
        <v>1</v>
      </c>
      <c r="B20" s="27" t="s">
        <v>2</v>
      </c>
      <c r="C20" s="5"/>
      <c r="D20" s="6" t="s">
        <v>3</v>
      </c>
      <c r="E20" s="7" t="s">
        <v>4</v>
      </c>
      <c r="F20" s="7" t="s">
        <v>5</v>
      </c>
      <c r="G20" s="1"/>
      <c r="H20" s="1"/>
      <c r="I20" s="159"/>
      <c r="J20" s="160">
        <v>97549177.049999997</v>
      </c>
      <c r="K20" s="160" t="s">
        <v>1507</v>
      </c>
      <c r="L20" s="70" t="s">
        <v>1512</v>
      </c>
    </row>
    <row r="21" spans="1:15" s="2" customFormat="1" x14ac:dyDescent="0.2">
      <c r="A21" s="89">
        <v>45283</v>
      </c>
      <c r="B21" s="128" t="s">
        <v>11</v>
      </c>
      <c r="C21" s="29" t="s">
        <v>7</v>
      </c>
      <c r="D21" s="25"/>
      <c r="E21" s="31"/>
      <c r="F21" s="2">
        <v>98536785.049999982</v>
      </c>
      <c r="G21" s="23"/>
      <c r="H21" s="23"/>
      <c r="I21" s="159" t="s">
        <v>1505</v>
      </c>
      <c r="J21" s="160">
        <f>+J19-J20</f>
        <v>2450822.950000003</v>
      </c>
      <c r="K21" s="160"/>
      <c r="L21" s="70"/>
    </row>
    <row r="22" spans="1:15" s="2" customFormat="1" x14ac:dyDescent="0.2">
      <c r="A22" s="89">
        <v>45283</v>
      </c>
      <c r="B22" s="128" t="s">
        <v>6</v>
      </c>
      <c r="C22" s="29" t="s">
        <v>1898</v>
      </c>
      <c r="D22" s="11" t="s">
        <v>13</v>
      </c>
      <c r="E22" s="86">
        <v>2049130.06</v>
      </c>
      <c r="F22" s="70"/>
      <c r="G22" s="1"/>
      <c r="H22" s="1"/>
      <c r="O22" s="1"/>
    </row>
    <row r="23" spans="1:15" s="2" customFormat="1" x14ac:dyDescent="0.2">
      <c r="A23" s="89">
        <v>45283</v>
      </c>
      <c r="B23" s="128" t="s">
        <v>6</v>
      </c>
      <c r="C23" s="29" t="s">
        <v>15</v>
      </c>
      <c r="D23" s="11" t="s">
        <v>13</v>
      </c>
      <c r="E23" s="86">
        <v>1302.76</v>
      </c>
      <c r="F23" s="70"/>
      <c r="G23" s="1"/>
      <c r="H23" s="1"/>
      <c r="O23" s="1"/>
    </row>
    <row r="24" spans="1:15" s="2" customFormat="1" x14ac:dyDescent="0.2">
      <c r="A24" s="89">
        <v>45283</v>
      </c>
      <c r="B24" s="128" t="s">
        <v>6</v>
      </c>
      <c r="C24" s="29" t="s">
        <v>122</v>
      </c>
      <c r="D24" s="11" t="s">
        <v>13</v>
      </c>
      <c r="E24" s="86">
        <v>762</v>
      </c>
      <c r="F24" s="70"/>
      <c r="G24" s="1"/>
      <c r="H24" s="1"/>
      <c r="O24" s="1"/>
    </row>
    <row r="25" spans="1:15" s="2" customFormat="1" x14ac:dyDescent="0.2">
      <c r="A25" s="89">
        <v>45283</v>
      </c>
      <c r="B25" s="128" t="s">
        <v>6</v>
      </c>
      <c r="C25" s="29" t="s">
        <v>927</v>
      </c>
      <c r="D25" s="11" t="s">
        <v>13</v>
      </c>
      <c r="E25" s="86">
        <v>100000</v>
      </c>
      <c r="F25" s="70"/>
      <c r="G25" s="1"/>
      <c r="H25" s="1"/>
      <c r="O25" s="1"/>
    </row>
    <row r="26" spans="1:15" s="2" customFormat="1" x14ac:dyDescent="0.2">
      <c r="A26" s="89">
        <v>45283</v>
      </c>
      <c r="B26" s="128" t="s">
        <v>6</v>
      </c>
      <c r="C26" s="29" t="s">
        <v>1301</v>
      </c>
      <c r="D26" s="11" t="s">
        <v>13</v>
      </c>
      <c r="E26" s="86">
        <v>148310.06</v>
      </c>
      <c r="F26" s="70"/>
      <c r="G26" s="1"/>
      <c r="H26" s="1"/>
      <c r="O26" s="1"/>
    </row>
    <row r="27" spans="1:15" s="2" customFormat="1" x14ac:dyDescent="0.2">
      <c r="A27" s="89">
        <v>45283</v>
      </c>
      <c r="B27" s="128" t="s">
        <v>6</v>
      </c>
      <c r="C27" s="29" t="s">
        <v>1694</v>
      </c>
      <c r="D27" s="11" t="s">
        <v>13</v>
      </c>
      <c r="E27" s="86">
        <v>49735.31</v>
      </c>
      <c r="F27" s="70"/>
      <c r="G27" s="1"/>
      <c r="H27" s="1"/>
      <c r="O27" s="1"/>
    </row>
    <row r="28" spans="1:15" s="2" customFormat="1" x14ac:dyDescent="0.2">
      <c r="A28" s="89">
        <v>45283</v>
      </c>
      <c r="B28" s="128" t="s">
        <v>6</v>
      </c>
      <c r="C28" s="29" t="s">
        <v>830</v>
      </c>
      <c r="D28" s="11" t="s">
        <v>13</v>
      </c>
      <c r="E28" s="86">
        <v>459210.47</v>
      </c>
      <c r="F28" s="70"/>
      <c r="G28" s="1"/>
      <c r="H28" s="1"/>
      <c r="O28" s="1"/>
    </row>
    <row r="29" spans="1:15" s="2" customFormat="1" x14ac:dyDescent="0.2">
      <c r="A29" s="89">
        <v>45283</v>
      </c>
      <c r="B29" s="128" t="s">
        <v>6</v>
      </c>
      <c r="C29" s="29" t="s">
        <v>1351</v>
      </c>
      <c r="D29" s="11" t="s">
        <v>13</v>
      </c>
      <c r="E29" s="86">
        <v>79827.429999999993</v>
      </c>
      <c r="F29" s="70"/>
      <c r="G29" s="1"/>
      <c r="H29" s="1"/>
      <c r="O29" s="1"/>
    </row>
    <row r="30" spans="1:15" s="2" customFormat="1" x14ac:dyDescent="0.2">
      <c r="A30" s="89">
        <v>45283</v>
      </c>
      <c r="B30" s="128" t="s">
        <v>6</v>
      </c>
      <c r="C30" s="29" t="s">
        <v>1899</v>
      </c>
      <c r="D30" s="11" t="s">
        <v>13</v>
      </c>
      <c r="E30" s="86">
        <v>34990.410000000003</v>
      </c>
      <c r="F30" s="70"/>
      <c r="G30" s="1"/>
      <c r="H30" s="1"/>
      <c r="O30" s="1"/>
    </row>
    <row r="31" spans="1:15" s="2" customFormat="1" x14ac:dyDescent="0.2">
      <c r="A31" s="89">
        <v>45283</v>
      </c>
      <c r="B31" s="128" t="s">
        <v>11</v>
      </c>
      <c r="C31" s="29" t="s">
        <v>64</v>
      </c>
      <c r="D31" s="11" t="s">
        <v>29</v>
      </c>
      <c r="E31" s="86"/>
      <c r="F31" s="70">
        <v>14383.54</v>
      </c>
      <c r="G31" s="1"/>
      <c r="H31" s="1"/>
      <c r="O31" s="1"/>
    </row>
    <row r="32" spans="1:15" s="2" customFormat="1" x14ac:dyDescent="0.2">
      <c r="A32" s="89">
        <v>45283</v>
      </c>
      <c r="B32" s="128" t="s">
        <v>11</v>
      </c>
      <c r="C32" s="29" t="s">
        <v>109</v>
      </c>
      <c r="D32" s="11" t="s">
        <v>29</v>
      </c>
      <c r="E32" s="86"/>
      <c r="F32" s="70">
        <v>1041794</v>
      </c>
      <c r="G32" s="1"/>
      <c r="H32" s="1"/>
      <c r="O32" s="1"/>
    </row>
    <row r="33" spans="1:15" s="2" customFormat="1" x14ac:dyDescent="0.2">
      <c r="A33" s="32"/>
      <c r="B33" s="33"/>
      <c r="C33" s="14"/>
      <c r="D33" s="34"/>
      <c r="E33" s="16">
        <f>SUM(E21:E32)</f>
        <v>2923268.5000000005</v>
      </c>
      <c r="F33" s="16">
        <f>SUM(F21:F32)</f>
        <v>99592962.589999989</v>
      </c>
      <c r="G33" s="1"/>
      <c r="H33" s="1"/>
      <c r="I33" s="1"/>
      <c r="J33" s="38">
        <v>98536785.049999997</v>
      </c>
      <c r="L33" s="92">
        <f>E34-J33</f>
        <v>-1867090.9600000083</v>
      </c>
      <c r="O33" s="1"/>
    </row>
    <row r="34" spans="1:15" s="2" customFormat="1" x14ac:dyDescent="0.2">
      <c r="A34" s="36"/>
      <c r="B34" s="28" t="s">
        <v>11</v>
      </c>
      <c r="C34" s="19" t="s">
        <v>65</v>
      </c>
      <c r="D34" s="37"/>
      <c r="E34" s="38">
        <f>F33-E33</f>
        <v>96669694.089999989</v>
      </c>
      <c r="F34" s="22"/>
      <c r="G34" s="1"/>
      <c r="H34" s="1"/>
      <c r="I34" s="1"/>
      <c r="J34" s="70"/>
      <c r="K34" s="70"/>
      <c r="L34" s="70"/>
      <c r="O34" s="1"/>
    </row>
    <row r="35" spans="1:15" s="2" customFormat="1" x14ac:dyDescent="0.2">
      <c r="A35" s="36"/>
      <c r="B35" s="28" t="s">
        <v>66</v>
      </c>
      <c r="C35" s="19" t="s">
        <v>67</v>
      </c>
      <c r="D35" s="37"/>
      <c r="E35" s="38">
        <v>0</v>
      </c>
      <c r="F35" s="22"/>
      <c r="G35" s="1"/>
      <c r="H35" s="1"/>
      <c r="I35" s="70"/>
      <c r="J35" s="70"/>
      <c r="K35" s="70"/>
      <c r="L35" s="70"/>
      <c r="O35" s="1"/>
    </row>
    <row r="36" spans="1:15" s="2" customFormat="1" x14ac:dyDescent="0.2">
      <c r="A36" s="36"/>
      <c r="B36" s="28" t="s">
        <v>66</v>
      </c>
      <c r="C36" s="43" t="s">
        <v>1457</v>
      </c>
      <c r="D36" s="43"/>
      <c r="E36" s="12">
        <f>275000000+75000000+50000000</f>
        <v>400000000</v>
      </c>
      <c r="F36" s="22"/>
      <c r="G36" s="1"/>
      <c r="H36" s="1"/>
      <c r="I36" s="70"/>
      <c r="J36" s="45">
        <v>1329.23</v>
      </c>
      <c r="K36" s="46"/>
      <c r="L36" s="46"/>
      <c r="O36" s="1"/>
    </row>
    <row r="37" spans="1:15" s="2" customFormat="1" ht="15" x14ac:dyDescent="0.25">
      <c r="A37" s="36"/>
      <c r="B37" s="28"/>
      <c r="C37" s="44" t="s">
        <v>1541</v>
      </c>
      <c r="D37" s="43"/>
      <c r="E37" s="7">
        <f>+E36+E34+E35</f>
        <v>496669694.08999997</v>
      </c>
      <c r="F37" s="22"/>
      <c r="G37" s="1"/>
      <c r="H37" s="1"/>
      <c r="I37" s="103" t="s">
        <v>69</v>
      </c>
      <c r="J37" s="45">
        <v>-223.52</v>
      </c>
      <c r="K37" s="46"/>
      <c r="L37" s="46"/>
      <c r="O37" s="1"/>
    </row>
    <row r="38" spans="1:15" s="2" customFormat="1" ht="15" x14ac:dyDescent="0.25">
      <c r="A38" s="24"/>
      <c r="B38" s="1"/>
      <c r="C38" s="44" t="s">
        <v>1510</v>
      </c>
      <c r="D38" s="25"/>
      <c r="E38" s="156">
        <f>+J21-E35+I17-J17</f>
        <v>1463214.950000003</v>
      </c>
      <c r="G38" s="1"/>
      <c r="H38" s="1"/>
      <c r="I38" s="35">
        <v>1</v>
      </c>
      <c r="J38" s="45">
        <v>171.3</v>
      </c>
      <c r="K38" s="46">
        <f>+J39-D41</f>
        <v>0</v>
      </c>
      <c r="O38" s="1"/>
    </row>
    <row r="39" spans="1:15" s="124" customFormat="1" ht="12.75" customHeight="1" x14ac:dyDescent="0.2">
      <c r="A39" s="24"/>
      <c r="B39" s="1"/>
      <c r="C39" s="56"/>
      <c r="D39" s="56"/>
      <c r="E39" s="104"/>
      <c r="F39" s="2"/>
      <c r="G39" s="166"/>
      <c r="H39" s="166"/>
      <c r="I39" s="70"/>
      <c r="J39" s="49">
        <f>SUM(J36:J38)</f>
        <v>1277.01</v>
      </c>
      <c r="K39" s="46"/>
      <c r="L39" s="46"/>
    </row>
    <row r="40" spans="1:15" s="124" customFormat="1" ht="12.75" customHeight="1" x14ac:dyDescent="0.2">
      <c r="A40" s="24"/>
      <c r="B40" s="1"/>
      <c r="C40" s="78" t="s">
        <v>575</v>
      </c>
      <c r="D40" s="48" t="s">
        <v>576</v>
      </c>
      <c r="E40" s="104"/>
      <c r="F40" s="2"/>
      <c r="G40" s="168"/>
      <c r="H40" s="168"/>
      <c r="I40" s="167"/>
      <c r="J40" s="167"/>
      <c r="K40" s="168"/>
    </row>
    <row r="41" spans="1:15" s="124" customFormat="1" ht="12.75" customHeight="1" x14ac:dyDescent="0.2">
      <c r="A41" s="24"/>
      <c r="B41" s="1"/>
      <c r="C41" s="47" t="s">
        <v>570</v>
      </c>
      <c r="D41" s="111">
        <v>1277.01</v>
      </c>
      <c r="E41" s="104"/>
      <c r="F41" s="2"/>
      <c r="G41" s="168"/>
      <c r="H41" s="168"/>
      <c r="I41" s="110" t="s">
        <v>581</v>
      </c>
      <c r="J41" s="167"/>
      <c r="K41" s="168"/>
    </row>
    <row r="42" spans="1:15" s="124" customFormat="1" ht="12.75" customHeight="1" x14ac:dyDescent="0.2">
      <c r="A42" s="24"/>
      <c r="B42" s="1"/>
      <c r="C42" s="47" t="s">
        <v>931</v>
      </c>
      <c r="D42" s="111">
        <v>298.76</v>
      </c>
      <c r="E42" s="104"/>
      <c r="F42" s="2"/>
      <c r="G42" s="168"/>
      <c r="H42" s="168"/>
      <c r="I42" s="110" t="s">
        <v>580</v>
      </c>
      <c r="J42" s="167"/>
      <c r="K42" s="168"/>
    </row>
    <row r="43" spans="1:15" s="124" customFormat="1" ht="12.75" customHeight="1" x14ac:dyDescent="0.2">
      <c r="A43" s="24"/>
      <c r="B43" s="1"/>
      <c r="C43" s="47" t="s">
        <v>572</v>
      </c>
      <c r="D43" s="111">
        <f>+D87/100000</f>
        <v>530.13121849999993</v>
      </c>
      <c r="E43" s="104"/>
      <c r="F43" s="2"/>
      <c r="G43" s="166"/>
      <c r="H43" s="166"/>
      <c r="I43" s="90" t="s">
        <v>587</v>
      </c>
      <c r="J43" s="167"/>
      <c r="K43" s="168"/>
    </row>
    <row r="44" spans="1:15" s="2" customFormat="1" x14ac:dyDescent="0.2">
      <c r="A44" s="24"/>
      <c r="B44" s="1"/>
      <c r="C44" s="108" t="s">
        <v>578</v>
      </c>
      <c r="D44" s="48">
        <f>SUM(D41:D43)</f>
        <v>2105.9012185000001</v>
      </c>
      <c r="E44" s="104"/>
      <c r="G44" s="30"/>
      <c r="H44" s="30"/>
      <c r="J44" s="13"/>
      <c r="K44" s="13"/>
    </row>
    <row r="45" spans="1:15" s="70" customFormat="1" x14ac:dyDescent="0.2">
      <c r="A45" s="24"/>
      <c r="B45" s="1"/>
      <c r="C45" s="47"/>
      <c r="D45" s="107"/>
      <c r="E45" s="104"/>
      <c r="F45" s="2"/>
      <c r="G45" s="30"/>
      <c r="H45" s="30"/>
      <c r="I45" s="2"/>
    </row>
    <row r="46" spans="1:15" s="70" customFormat="1" x14ac:dyDescent="0.2">
      <c r="A46" s="24"/>
      <c r="B46" s="1"/>
      <c r="C46" s="47" t="s">
        <v>932</v>
      </c>
      <c r="D46" s="111">
        <v>305.57</v>
      </c>
      <c r="E46" s="104"/>
      <c r="F46" s="2"/>
      <c r="G46" s="30"/>
      <c r="H46" s="30"/>
      <c r="I46" s="110" t="s">
        <v>581</v>
      </c>
    </row>
    <row r="47" spans="1:15" s="70" customFormat="1" x14ac:dyDescent="0.2">
      <c r="A47" s="24"/>
      <c r="B47" s="1"/>
      <c r="C47" s="136" t="s">
        <v>1142</v>
      </c>
      <c r="D47" s="111">
        <v>772.47</v>
      </c>
      <c r="E47" s="104"/>
      <c r="F47" s="2"/>
      <c r="G47" s="30"/>
      <c r="H47" s="30"/>
      <c r="I47" s="110" t="s">
        <v>581</v>
      </c>
    </row>
    <row r="48" spans="1:15" s="70" customFormat="1" x14ac:dyDescent="0.2">
      <c r="A48" s="24"/>
      <c r="B48" s="1"/>
      <c r="C48" s="78" t="s">
        <v>579</v>
      </c>
      <c r="D48" s="109">
        <f>D46+D47</f>
        <v>1078.04</v>
      </c>
      <c r="E48" s="104"/>
      <c r="F48" s="2"/>
      <c r="G48" s="30"/>
      <c r="H48" s="30"/>
    </row>
    <row r="49" spans="1:15" s="70" customFormat="1" x14ac:dyDescent="0.2">
      <c r="A49" s="24"/>
      <c r="B49" s="1"/>
      <c r="C49" s="105"/>
      <c r="D49" s="106"/>
      <c r="E49" s="104"/>
      <c r="F49" s="2"/>
      <c r="G49" s="30"/>
      <c r="H49" s="30"/>
      <c r="J49" s="2"/>
      <c r="K49" s="221" t="str">
        <f>"FROM ( 01-12-2023 to "&amp;TEXT(A5,"dd-mm-yyyy")&amp;" )"</f>
        <v>FROM ( 01-12-2023 to 23-12-2023 )</v>
      </c>
      <c r="L49" s="221"/>
      <c r="M49" s="2"/>
      <c r="N49" s="2"/>
    </row>
    <row r="50" spans="1:15" s="70" customFormat="1" x14ac:dyDescent="0.2">
      <c r="A50" s="24"/>
      <c r="B50" s="1"/>
      <c r="C50" s="78" t="s">
        <v>577</v>
      </c>
      <c r="D50" s="109">
        <f>D41+D48</f>
        <v>2355.0500000000002</v>
      </c>
      <c r="E50" s="104"/>
      <c r="F50" s="2"/>
      <c r="G50" s="30"/>
      <c r="H50" s="30"/>
      <c r="J50" s="113"/>
      <c r="K50" s="113" t="s">
        <v>709</v>
      </c>
      <c r="L50" s="113" t="s">
        <v>710</v>
      </c>
      <c r="M50" s="113" t="s">
        <v>711</v>
      </c>
      <c r="N50" s="113" t="s">
        <v>712</v>
      </c>
    </row>
    <row r="51" spans="1:15" s="70" customFormat="1" x14ac:dyDescent="0.2">
      <c r="A51" s="24"/>
      <c r="B51" s="1"/>
      <c r="C51" s="56"/>
      <c r="D51" s="56"/>
      <c r="E51" s="104"/>
      <c r="F51" s="2"/>
      <c r="G51" s="30"/>
      <c r="H51" s="30"/>
      <c r="J51" s="113" t="s">
        <v>1860</v>
      </c>
      <c r="K51" s="115">
        <v>191.86</v>
      </c>
      <c r="L51" s="115">
        <v>93.65</v>
      </c>
      <c r="M51" s="115">
        <v>90.58</v>
      </c>
      <c r="N51" s="113">
        <f>+K51+M51-L51</f>
        <v>188.79</v>
      </c>
    </row>
    <row r="52" spans="1:15" s="70" customFormat="1" ht="38.25" x14ac:dyDescent="0.2">
      <c r="A52" s="24"/>
      <c r="B52" s="1"/>
      <c r="C52" s="79" t="str">
        <f>"Particulars ( 01-12-2023 to "&amp;TEXT(A5,"dd-mm-yyyy")&amp;" )"</f>
        <v>Particulars ( 01-12-2023 to 23-12-2023 )</v>
      </c>
      <c r="D52" s="79" t="s">
        <v>7</v>
      </c>
      <c r="E52" s="80" t="s">
        <v>73</v>
      </c>
      <c r="F52" s="80" t="s">
        <v>74</v>
      </c>
      <c r="G52" s="81" t="s">
        <v>75</v>
      </c>
      <c r="H52" s="80" t="s">
        <v>76</v>
      </c>
      <c r="J52" s="113" t="s">
        <v>1861</v>
      </c>
      <c r="K52" s="115">
        <v>1332.26</v>
      </c>
      <c r="L52" s="115">
        <v>537.07000000000005</v>
      </c>
      <c r="M52" s="115">
        <v>782.48</v>
      </c>
      <c r="N52" s="113">
        <f>+K52+M52-L52</f>
        <v>1577.6699999999996</v>
      </c>
    </row>
    <row r="53" spans="1:15" s="70" customFormat="1" x14ac:dyDescent="0.2">
      <c r="A53" s="24"/>
      <c r="B53" s="1"/>
      <c r="C53" s="50" t="s">
        <v>444</v>
      </c>
      <c r="D53" s="55">
        <f>+K53</f>
        <v>361.11</v>
      </c>
      <c r="E53" s="55">
        <f>+M53</f>
        <v>305.57</v>
      </c>
      <c r="F53" s="55">
        <f>+L53</f>
        <v>298.76</v>
      </c>
      <c r="G53" s="55">
        <f>+D53+E53-F53</f>
        <v>367.92000000000007</v>
      </c>
      <c r="H53" s="55">
        <f>1500-G53</f>
        <v>1132.08</v>
      </c>
      <c r="J53" s="113" t="s">
        <v>707</v>
      </c>
      <c r="K53" s="115">
        <v>361.11</v>
      </c>
      <c r="L53" s="115">
        <v>298.76</v>
      </c>
      <c r="M53" s="115">
        <v>305.57</v>
      </c>
      <c r="N53" s="113">
        <f>+K53+M53-L53</f>
        <v>367.92000000000007</v>
      </c>
    </row>
    <row r="54" spans="1:15" s="70" customFormat="1" ht="12.75" customHeight="1" x14ac:dyDescent="0.2">
      <c r="A54" s="24"/>
      <c r="B54" s="1"/>
      <c r="C54" s="50" t="s">
        <v>71</v>
      </c>
      <c r="D54" s="55">
        <f>+K51+K52</f>
        <v>1524.12</v>
      </c>
      <c r="E54" s="55">
        <f>+M51+M52</f>
        <v>873.06000000000006</v>
      </c>
      <c r="F54" s="55">
        <f>+L51+L52</f>
        <v>630.72</v>
      </c>
      <c r="G54" s="55">
        <f>+D54+E54-F54</f>
        <v>1766.4599999999998</v>
      </c>
      <c r="H54" s="55">
        <f>1500+700-G54</f>
        <v>433.54000000000019</v>
      </c>
      <c r="J54" s="2"/>
      <c r="K54" s="118">
        <f>SUM(K51:K53)</f>
        <v>1885.23</v>
      </c>
      <c r="L54" s="118">
        <f>SUM(L51:L53)</f>
        <v>929.48</v>
      </c>
      <c r="M54" s="118">
        <f>SUM(M51:M53)</f>
        <v>1178.6300000000001</v>
      </c>
      <c r="N54" s="118">
        <f>SUM(N51:N53)</f>
        <v>2134.3799999999997</v>
      </c>
    </row>
    <row r="55" spans="1:15" s="70" customFormat="1" ht="12.75" customHeight="1" x14ac:dyDescent="0.2">
      <c r="A55" s="24"/>
      <c r="B55" s="1"/>
      <c r="C55" s="14"/>
      <c r="D55" s="56"/>
      <c r="E55" s="13"/>
      <c r="F55" s="2"/>
      <c r="G55" s="30"/>
      <c r="H55" s="30"/>
    </row>
    <row r="56" spans="1:15" s="70" customFormat="1" ht="12.75" customHeight="1" x14ac:dyDescent="0.2">
      <c r="A56" s="215" t="s">
        <v>80</v>
      </c>
      <c r="B56" s="216"/>
      <c r="C56" s="216"/>
      <c r="D56" s="217"/>
      <c r="E56" s="69"/>
      <c r="G56" s="30"/>
      <c r="H56" s="30"/>
    </row>
    <row r="57" spans="1:15" s="70" customFormat="1" ht="12.75" customHeight="1" x14ac:dyDescent="0.2">
      <c r="A57" s="71" t="s">
        <v>81</v>
      </c>
      <c r="B57" s="71"/>
      <c r="C57" s="72" t="s">
        <v>82</v>
      </c>
      <c r="D57" s="73" t="s">
        <v>83</v>
      </c>
      <c r="E57" s="69"/>
      <c r="G57" s="30"/>
      <c r="H57" s="30"/>
    </row>
    <row r="58" spans="1:15" s="70" customFormat="1" ht="12.75" customHeight="1" x14ac:dyDescent="0.2">
      <c r="A58" s="87">
        <v>45264</v>
      </c>
      <c r="B58" s="120" t="s">
        <v>6</v>
      </c>
      <c r="C58" s="75" t="s">
        <v>86</v>
      </c>
      <c r="D58" s="88">
        <v>11017609</v>
      </c>
      <c r="E58" s="2"/>
      <c r="F58" s="2"/>
      <c r="G58" s="30"/>
      <c r="H58" s="30"/>
      <c r="I58" s="2"/>
      <c r="J58" s="2"/>
      <c r="K58" s="2"/>
      <c r="L58" s="2"/>
      <c r="M58" s="41"/>
      <c r="N58" s="42"/>
      <c r="O58" s="2"/>
    </row>
    <row r="59" spans="1:15" s="70" customFormat="1" ht="12.75" customHeight="1" x14ac:dyDescent="0.2">
      <c r="A59" s="87">
        <v>45264</v>
      </c>
      <c r="B59" s="120" t="s">
        <v>6</v>
      </c>
      <c r="C59" s="75" t="s">
        <v>86</v>
      </c>
      <c r="D59" s="88">
        <v>2663814</v>
      </c>
      <c r="E59" s="2"/>
      <c r="F59" s="2"/>
      <c r="G59" s="30"/>
      <c r="H59" s="30"/>
      <c r="I59" s="2"/>
      <c r="J59" s="2"/>
      <c r="K59" s="2"/>
      <c r="L59" s="2"/>
      <c r="M59" s="41"/>
      <c r="N59" s="42"/>
      <c r="O59" s="2"/>
    </row>
    <row r="60" spans="1:15" s="70" customFormat="1" ht="12.75" customHeight="1" x14ac:dyDescent="0.2">
      <c r="A60" s="87">
        <v>45264</v>
      </c>
      <c r="B60" s="120" t="s">
        <v>6</v>
      </c>
      <c r="C60" s="75" t="s">
        <v>86</v>
      </c>
      <c r="D60" s="88">
        <v>75522</v>
      </c>
      <c r="E60" s="2"/>
      <c r="F60" s="2"/>
      <c r="G60" s="30"/>
      <c r="H60" s="30"/>
      <c r="I60" s="2"/>
      <c r="J60" s="2"/>
      <c r="K60" s="2"/>
      <c r="L60" s="2"/>
      <c r="M60" s="41"/>
      <c r="N60" s="42"/>
      <c r="O60" s="2"/>
    </row>
    <row r="61" spans="1:15" s="70" customFormat="1" ht="12.75" customHeight="1" x14ac:dyDescent="0.2">
      <c r="A61" s="87">
        <v>45265</v>
      </c>
      <c r="B61" s="120" t="s">
        <v>6</v>
      </c>
      <c r="C61" s="75" t="s">
        <v>88</v>
      </c>
      <c r="D61" s="88">
        <v>2152501.6</v>
      </c>
      <c r="E61" s="2"/>
      <c r="F61" s="2"/>
      <c r="G61" s="30"/>
      <c r="H61" s="30"/>
      <c r="I61" s="2"/>
      <c r="J61" s="2"/>
      <c r="K61" s="2"/>
      <c r="L61" s="2"/>
      <c r="M61" s="41"/>
      <c r="N61" s="42"/>
      <c r="O61" s="2"/>
    </row>
    <row r="62" spans="1:15" s="70" customFormat="1" ht="12.75" customHeight="1" x14ac:dyDescent="0.2">
      <c r="A62" s="87">
        <v>45266</v>
      </c>
      <c r="B62" s="120" t="s">
        <v>6</v>
      </c>
      <c r="C62" s="75" t="s">
        <v>271</v>
      </c>
      <c r="D62" s="88">
        <v>9828</v>
      </c>
      <c r="E62" s="2"/>
      <c r="F62" s="2"/>
      <c r="G62" s="30"/>
      <c r="H62" s="30"/>
      <c r="I62" s="2"/>
      <c r="J62" s="2"/>
      <c r="K62" s="2"/>
      <c r="L62" s="2"/>
      <c r="M62" s="41"/>
      <c r="N62" s="42"/>
      <c r="O62" s="2"/>
    </row>
    <row r="63" spans="1:15" s="70" customFormat="1" ht="12.75" customHeight="1" x14ac:dyDescent="0.2">
      <c r="A63" s="87">
        <v>45267</v>
      </c>
      <c r="B63" s="120" t="s">
        <v>6</v>
      </c>
      <c r="C63" s="75" t="s">
        <v>85</v>
      </c>
      <c r="D63" s="88">
        <v>179811</v>
      </c>
      <c r="E63" s="2"/>
      <c r="F63" s="2"/>
      <c r="G63" s="30"/>
      <c r="H63" s="30"/>
      <c r="I63" s="2"/>
      <c r="J63" s="2"/>
      <c r="K63" s="2"/>
      <c r="L63" s="2"/>
      <c r="M63" s="41"/>
      <c r="N63" s="42"/>
      <c r="O63" s="2"/>
    </row>
    <row r="64" spans="1:15" s="70" customFormat="1" ht="12.75" customHeight="1" x14ac:dyDescent="0.2">
      <c r="A64" s="87">
        <v>45267</v>
      </c>
      <c r="B64" s="120" t="s">
        <v>6</v>
      </c>
      <c r="C64" s="75" t="s">
        <v>85</v>
      </c>
      <c r="D64" s="88">
        <v>302254</v>
      </c>
      <c r="E64" s="2"/>
      <c r="F64" s="2"/>
      <c r="G64" s="30"/>
      <c r="H64" s="30"/>
      <c r="I64" s="2"/>
      <c r="J64" s="2"/>
      <c r="K64" s="2"/>
      <c r="L64" s="2"/>
      <c r="M64" s="41"/>
      <c r="N64" s="42"/>
      <c r="O64" s="2"/>
    </row>
    <row r="65" spans="1:15" s="70" customFormat="1" ht="12.75" customHeight="1" x14ac:dyDescent="0.2">
      <c r="A65" s="87">
        <v>45268</v>
      </c>
      <c r="B65" s="120" t="s">
        <v>6</v>
      </c>
      <c r="C65" s="75" t="s">
        <v>201</v>
      </c>
      <c r="D65" s="88">
        <v>4000249.47</v>
      </c>
      <c r="E65" s="2"/>
      <c r="F65" s="2"/>
      <c r="G65" s="30"/>
      <c r="H65" s="30"/>
      <c r="I65" s="2"/>
      <c r="J65" s="2"/>
      <c r="K65" s="2"/>
      <c r="L65" s="2"/>
      <c r="M65" s="41"/>
      <c r="N65" s="42"/>
      <c r="O65" s="2"/>
    </row>
    <row r="66" spans="1:15" s="70" customFormat="1" ht="12.75" customHeight="1" x14ac:dyDescent="0.2">
      <c r="A66" s="87">
        <v>45269</v>
      </c>
      <c r="B66" s="120" t="s">
        <v>6</v>
      </c>
      <c r="C66" s="75" t="s">
        <v>85</v>
      </c>
      <c r="D66" s="88">
        <v>96273</v>
      </c>
      <c r="E66" s="2"/>
      <c r="F66" s="2"/>
      <c r="G66" s="30"/>
      <c r="H66" s="30"/>
      <c r="I66" s="2"/>
      <c r="J66" s="2"/>
      <c r="K66" s="2"/>
      <c r="L66" s="2"/>
      <c r="M66" s="41"/>
      <c r="N66" s="42"/>
      <c r="O66" s="2"/>
    </row>
    <row r="67" spans="1:15" s="70" customFormat="1" ht="12.75" customHeight="1" x14ac:dyDescent="0.2">
      <c r="A67" s="87">
        <v>45269</v>
      </c>
      <c r="B67" s="120" t="s">
        <v>6</v>
      </c>
      <c r="C67" s="75" t="s">
        <v>270</v>
      </c>
      <c r="D67" s="88">
        <v>182684</v>
      </c>
      <c r="E67" s="2"/>
      <c r="F67" s="2"/>
      <c r="G67" s="30"/>
      <c r="H67" s="30"/>
      <c r="I67" s="2"/>
      <c r="J67" s="2"/>
      <c r="K67" s="2"/>
      <c r="L67" s="2"/>
      <c r="M67" s="41"/>
      <c r="N67" s="42"/>
      <c r="O67" s="2"/>
    </row>
    <row r="68" spans="1:15" s="70" customFormat="1" ht="12.75" customHeight="1" x14ac:dyDescent="0.2">
      <c r="A68" s="87">
        <v>45269</v>
      </c>
      <c r="B68" s="120" t="s">
        <v>6</v>
      </c>
      <c r="C68" s="75" t="s">
        <v>271</v>
      </c>
      <c r="D68" s="88">
        <v>15488.3</v>
      </c>
      <c r="E68" s="2"/>
      <c r="F68" s="2"/>
      <c r="G68" s="30"/>
      <c r="H68" s="30"/>
      <c r="I68" s="2"/>
      <c r="J68" s="2"/>
      <c r="K68" s="2"/>
      <c r="L68" s="2"/>
      <c r="M68" s="41"/>
      <c r="N68" s="42"/>
      <c r="O68" s="2"/>
    </row>
    <row r="69" spans="1:15" s="70" customFormat="1" ht="12.75" customHeight="1" x14ac:dyDescent="0.2">
      <c r="A69" s="87">
        <v>45272</v>
      </c>
      <c r="B69" s="120" t="s">
        <v>6</v>
      </c>
      <c r="C69" s="75" t="s">
        <v>270</v>
      </c>
      <c r="D69" s="88">
        <v>687714</v>
      </c>
      <c r="E69" s="2"/>
      <c r="F69" s="2"/>
      <c r="G69" s="30"/>
      <c r="H69" s="30"/>
      <c r="I69" s="2"/>
      <c r="J69" s="2"/>
      <c r="K69" s="2"/>
      <c r="L69" s="2"/>
      <c r="M69" s="41"/>
      <c r="N69" s="42"/>
      <c r="O69" s="2"/>
    </row>
    <row r="70" spans="1:15" s="70" customFormat="1" ht="12.75" customHeight="1" x14ac:dyDescent="0.2">
      <c r="A70" s="87">
        <v>45272</v>
      </c>
      <c r="B70" s="120" t="s">
        <v>6</v>
      </c>
      <c r="C70" s="75" t="s">
        <v>1789</v>
      </c>
      <c r="D70" s="88">
        <v>1945116</v>
      </c>
      <c r="E70" s="2"/>
      <c r="F70" s="2"/>
      <c r="G70" s="30"/>
      <c r="H70" s="30"/>
      <c r="I70" s="2"/>
      <c r="J70" s="2"/>
      <c r="K70" s="2"/>
      <c r="L70" s="2"/>
      <c r="M70" s="41"/>
      <c r="N70" s="42"/>
      <c r="O70" s="2"/>
    </row>
    <row r="71" spans="1:15" s="70" customFormat="1" ht="12.75" customHeight="1" x14ac:dyDescent="0.2">
      <c r="A71" s="87">
        <v>45273</v>
      </c>
      <c r="B71" s="120" t="s">
        <v>6</v>
      </c>
      <c r="C71" s="75" t="s">
        <v>18</v>
      </c>
      <c r="D71" s="88">
        <v>167890</v>
      </c>
      <c r="E71" s="2"/>
      <c r="F71" s="2"/>
      <c r="G71" s="30"/>
      <c r="H71" s="30"/>
      <c r="I71" s="2"/>
      <c r="J71" s="2"/>
      <c r="K71" s="2"/>
      <c r="L71" s="2"/>
      <c r="M71" s="41"/>
      <c r="N71" s="42"/>
      <c r="O71" s="2"/>
    </row>
    <row r="72" spans="1:15" s="70" customFormat="1" ht="12.75" customHeight="1" x14ac:dyDescent="0.2">
      <c r="A72" s="87">
        <v>45274</v>
      </c>
      <c r="B72" s="120" t="s">
        <v>6</v>
      </c>
      <c r="C72" s="75" t="s">
        <v>201</v>
      </c>
      <c r="D72" s="88">
        <v>4000385.13</v>
      </c>
      <c r="E72" s="2"/>
      <c r="F72" s="2"/>
      <c r="G72" s="30"/>
      <c r="H72" s="30"/>
      <c r="I72" s="2"/>
      <c r="J72" s="2"/>
      <c r="K72" s="2"/>
      <c r="L72" s="2"/>
      <c r="M72" s="41"/>
      <c r="N72" s="42"/>
      <c r="O72" s="2"/>
    </row>
    <row r="73" spans="1:15" s="70" customFormat="1" ht="12.75" customHeight="1" x14ac:dyDescent="0.2">
      <c r="A73" s="87">
        <v>45274</v>
      </c>
      <c r="B73" s="120" t="s">
        <v>6</v>
      </c>
      <c r="C73" s="75" t="s">
        <v>594</v>
      </c>
      <c r="D73" s="88">
        <v>15735</v>
      </c>
      <c r="E73" s="2"/>
      <c r="F73" s="2"/>
      <c r="G73" s="30"/>
      <c r="H73" s="30"/>
      <c r="I73" s="2"/>
      <c r="J73" s="2"/>
      <c r="K73" s="2"/>
      <c r="L73" s="2"/>
      <c r="M73" s="41"/>
      <c r="N73" s="42"/>
      <c r="O73" s="2"/>
    </row>
    <row r="74" spans="1:15" s="70" customFormat="1" ht="12.75" customHeight="1" x14ac:dyDescent="0.2">
      <c r="A74" s="87">
        <v>45275</v>
      </c>
      <c r="B74" s="120" t="s">
        <v>6</v>
      </c>
      <c r="C74" s="75" t="s">
        <v>594</v>
      </c>
      <c r="D74" s="88">
        <v>4456919</v>
      </c>
      <c r="E74" s="2"/>
      <c r="F74" s="2"/>
      <c r="G74" s="30"/>
      <c r="H74" s="30"/>
      <c r="I74" s="2"/>
      <c r="J74" s="2"/>
      <c r="K74" s="2"/>
      <c r="L74" s="2"/>
      <c r="M74" s="41"/>
      <c r="N74" s="42"/>
      <c r="O74" s="2"/>
    </row>
    <row r="75" spans="1:15" s="70" customFormat="1" ht="12.75" customHeight="1" x14ac:dyDescent="0.2">
      <c r="A75" s="87">
        <v>45275</v>
      </c>
      <c r="B75" s="120" t="s">
        <v>6</v>
      </c>
      <c r="C75" s="75" t="s">
        <v>270</v>
      </c>
      <c r="D75" s="88">
        <v>18357</v>
      </c>
      <c r="E75" s="2"/>
      <c r="F75" s="2"/>
      <c r="G75" s="30"/>
      <c r="H75" s="30"/>
      <c r="I75" s="2"/>
      <c r="J75" s="2"/>
      <c r="K75" s="2"/>
      <c r="L75" s="2"/>
      <c r="M75" s="41"/>
      <c r="N75" s="42"/>
      <c r="O75" s="2"/>
    </row>
    <row r="76" spans="1:15" s="70" customFormat="1" ht="12.75" customHeight="1" x14ac:dyDescent="0.2">
      <c r="A76" s="87">
        <v>45276</v>
      </c>
      <c r="B76" s="120" t="s">
        <v>6</v>
      </c>
      <c r="C76" s="75" t="s">
        <v>85</v>
      </c>
      <c r="D76" s="88">
        <v>197939</v>
      </c>
      <c r="E76" s="2"/>
      <c r="F76" s="2"/>
      <c r="G76" s="30"/>
      <c r="H76" s="30"/>
      <c r="I76" s="2"/>
      <c r="J76" s="2"/>
      <c r="K76" s="2"/>
      <c r="L76" s="2"/>
      <c r="M76" s="41"/>
      <c r="N76" s="42"/>
      <c r="O76" s="2"/>
    </row>
    <row r="77" spans="1:15" s="70" customFormat="1" ht="12.75" customHeight="1" x14ac:dyDescent="0.2">
      <c r="A77" s="87">
        <v>45276</v>
      </c>
      <c r="B77" s="120" t="s">
        <v>6</v>
      </c>
      <c r="C77" s="75" t="s">
        <v>85</v>
      </c>
      <c r="D77" s="88">
        <v>103476</v>
      </c>
      <c r="E77" s="2"/>
      <c r="F77" s="2"/>
      <c r="G77" s="30"/>
      <c r="H77" s="30"/>
      <c r="I77" s="2"/>
      <c r="J77" s="2"/>
      <c r="K77" s="2"/>
      <c r="L77" s="2"/>
      <c r="M77" s="41"/>
      <c r="N77" s="42"/>
      <c r="O77" s="2"/>
    </row>
    <row r="78" spans="1:15" s="70" customFormat="1" ht="12.75" customHeight="1" x14ac:dyDescent="0.2">
      <c r="A78" s="87">
        <v>45278</v>
      </c>
      <c r="B78" s="120" t="s">
        <v>6</v>
      </c>
      <c r="C78" s="75" t="s">
        <v>270</v>
      </c>
      <c r="D78" s="88">
        <v>384076</v>
      </c>
      <c r="E78" s="2"/>
      <c r="F78" s="2"/>
      <c r="G78" s="30"/>
      <c r="H78" s="30"/>
      <c r="I78" s="2"/>
      <c r="J78" s="2"/>
      <c r="K78" s="2"/>
      <c r="L78" s="2"/>
      <c r="M78" s="41"/>
      <c r="N78" s="42"/>
      <c r="O78" s="2"/>
    </row>
    <row r="79" spans="1:15" s="70" customFormat="1" ht="12.75" customHeight="1" x14ac:dyDescent="0.2">
      <c r="A79" s="87">
        <v>45278</v>
      </c>
      <c r="B79" s="120" t="s">
        <v>6</v>
      </c>
      <c r="C79" s="75" t="s">
        <v>85</v>
      </c>
      <c r="D79" s="88">
        <v>427722</v>
      </c>
      <c r="E79" s="2"/>
      <c r="F79" s="2"/>
      <c r="G79" s="30"/>
      <c r="H79" s="30"/>
      <c r="I79" s="2"/>
      <c r="J79" s="2"/>
      <c r="K79" s="2"/>
      <c r="L79" s="2"/>
      <c r="M79" s="41"/>
      <c r="N79" s="42"/>
      <c r="O79" s="2"/>
    </row>
    <row r="80" spans="1:15" s="70" customFormat="1" ht="12.75" customHeight="1" x14ac:dyDescent="0.2">
      <c r="A80" s="87">
        <v>45280</v>
      </c>
      <c r="B80" s="120" t="s">
        <v>6</v>
      </c>
      <c r="C80" s="75" t="s">
        <v>201</v>
      </c>
      <c r="D80" s="88">
        <v>5253480</v>
      </c>
      <c r="E80" s="2"/>
      <c r="F80" s="2"/>
      <c r="G80" s="30"/>
      <c r="H80" s="30"/>
      <c r="I80" s="2"/>
      <c r="J80" s="2"/>
      <c r="K80" s="2"/>
      <c r="L80" s="2"/>
      <c r="M80" s="41"/>
      <c r="N80" s="42"/>
      <c r="O80" s="2"/>
    </row>
    <row r="81" spans="1:15" s="70" customFormat="1" ht="12.75" customHeight="1" x14ac:dyDescent="0.2">
      <c r="A81" s="87">
        <v>45280</v>
      </c>
      <c r="B81" s="120" t="s">
        <v>6</v>
      </c>
      <c r="C81" s="75" t="s">
        <v>18</v>
      </c>
      <c r="D81" s="88">
        <v>604243</v>
      </c>
      <c r="E81" s="2"/>
      <c r="F81" s="2"/>
      <c r="G81" s="30"/>
      <c r="H81" s="30"/>
      <c r="I81" s="2"/>
      <c r="J81" s="2"/>
      <c r="K81" s="2"/>
      <c r="L81" s="2"/>
      <c r="M81" s="41"/>
      <c r="N81" s="42"/>
      <c r="O81" s="2"/>
    </row>
    <row r="82" spans="1:15" s="70" customFormat="1" ht="12.75" customHeight="1" x14ac:dyDescent="0.2">
      <c r="A82" s="87">
        <v>45280</v>
      </c>
      <c r="B82" s="120" t="s">
        <v>6</v>
      </c>
      <c r="C82" s="75" t="s">
        <v>88</v>
      </c>
      <c r="D82" s="88">
        <v>7395284.2999999998</v>
      </c>
      <c r="E82" s="2"/>
      <c r="F82" s="2"/>
      <c r="G82" s="30"/>
      <c r="H82" s="30"/>
      <c r="I82" s="2"/>
      <c r="J82" s="2"/>
      <c r="K82" s="2"/>
      <c r="L82" s="2"/>
      <c r="M82" s="41"/>
      <c r="N82" s="42"/>
      <c r="O82" s="2"/>
    </row>
    <row r="83" spans="1:15" s="70" customFormat="1" ht="12.75" customHeight="1" x14ac:dyDescent="0.2">
      <c r="A83" s="87">
        <v>45281</v>
      </c>
      <c r="B83" s="120" t="s">
        <v>6</v>
      </c>
      <c r="C83" s="75" t="s">
        <v>1897</v>
      </c>
      <c r="D83" s="88">
        <v>710500.05</v>
      </c>
      <c r="E83" s="2"/>
      <c r="F83" s="2"/>
      <c r="G83" s="30"/>
      <c r="H83" s="30"/>
      <c r="I83" s="2"/>
      <c r="J83" s="2"/>
      <c r="K83" s="2"/>
      <c r="L83" s="2"/>
      <c r="M83" s="41"/>
      <c r="N83" s="42"/>
      <c r="O83" s="2"/>
    </row>
    <row r="84" spans="1:15" s="70" customFormat="1" ht="12.75" customHeight="1" x14ac:dyDescent="0.2">
      <c r="A84" s="87">
        <v>45281</v>
      </c>
      <c r="B84" s="120" t="s">
        <v>6</v>
      </c>
      <c r="C84" s="75" t="s">
        <v>271</v>
      </c>
      <c r="D84" s="88">
        <v>32519</v>
      </c>
      <c r="E84" s="2"/>
      <c r="F84" s="2"/>
      <c r="G84" s="30"/>
      <c r="H84" s="30"/>
      <c r="I84" s="2"/>
      <c r="J84" s="2"/>
      <c r="K84" s="2"/>
      <c r="L84" s="2"/>
      <c r="M84" s="41"/>
      <c r="N84" s="42"/>
      <c r="O84" s="2"/>
    </row>
    <row r="85" spans="1:15" s="70" customFormat="1" ht="12.75" customHeight="1" x14ac:dyDescent="0.2">
      <c r="A85" s="87">
        <v>45282</v>
      </c>
      <c r="B85" s="120" t="s">
        <v>6</v>
      </c>
      <c r="C85" s="75" t="s">
        <v>85</v>
      </c>
      <c r="D85" s="88">
        <v>459852</v>
      </c>
      <c r="E85" s="2"/>
      <c r="F85" s="2"/>
      <c r="G85" s="30"/>
      <c r="H85" s="30"/>
      <c r="I85" s="2"/>
      <c r="J85" s="2"/>
      <c r="K85" s="2"/>
      <c r="L85" s="2"/>
      <c r="M85" s="41"/>
      <c r="N85" s="42"/>
      <c r="O85" s="2"/>
    </row>
    <row r="86" spans="1:15" s="70" customFormat="1" ht="12.75" customHeight="1" x14ac:dyDescent="0.2">
      <c r="A86" s="87">
        <v>45282</v>
      </c>
      <c r="B86" s="120" t="s">
        <v>6</v>
      </c>
      <c r="C86" s="75" t="s">
        <v>467</v>
      </c>
      <c r="D86" s="88">
        <v>5455880</v>
      </c>
      <c r="E86" s="2"/>
      <c r="F86" s="2"/>
      <c r="G86" s="30"/>
      <c r="H86" s="30"/>
      <c r="I86" s="2"/>
      <c r="J86" s="2"/>
      <c r="K86" s="2"/>
      <c r="L86" s="2"/>
      <c r="M86" s="41"/>
      <c r="N86" s="42"/>
      <c r="O86" s="2"/>
    </row>
    <row r="87" spans="1:15" s="2" customFormat="1" x14ac:dyDescent="0.2">
      <c r="A87" s="87"/>
      <c r="B87" s="74"/>
      <c r="C87" s="75"/>
      <c r="D87" s="51">
        <f>SUM(D58:D86)</f>
        <v>53013121.849999994</v>
      </c>
      <c r="F87" s="2" t="s">
        <v>396</v>
      </c>
      <c r="G87" s="1"/>
      <c r="H87" s="1"/>
    </row>
    <row r="88" spans="1:15" s="2" customFormat="1" x14ac:dyDescent="0.2">
      <c r="A88" s="24"/>
      <c r="B88" s="1"/>
      <c r="C88" s="14"/>
      <c r="D88" s="56"/>
      <c r="E88" s="13"/>
      <c r="G88" s="1"/>
      <c r="H88" s="1"/>
    </row>
    <row r="89" spans="1:15" s="2" customFormat="1" x14ac:dyDescent="0.2">
      <c r="A89" s="24"/>
      <c r="B89" s="1"/>
      <c r="C89" s="218" t="s">
        <v>77</v>
      </c>
      <c r="D89" s="219"/>
      <c r="E89" s="219"/>
      <c r="F89" s="220"/>
      <c r="I89" s="2" t="s">
        <v>396</v>
      </c>
    </row>
    <row r="90" spans="1:15" s="2" customFormat="1" x14ac:dyDescent="0.2">
      <c r="A90" s="24"/>
      <c r="B90" s="1"/>
      <c r="C90" s="50"/>
      <c r="D90" s="57" t="s">
        <v>78</v>
      </c>
      <c r="E90" s="58" t="s">
        <v>79</v>
      </c>
      <c r="F90" s="57" t="s">
        <v>72</v>
      </c>
      <c r="I90" s="2" t="s">
        <v>396</v>
      </c>
    </row>
    <row r="91" spans="1:15" s="2" customFormat="1" x14ac:dyDescent="0.2">
      <c r="A91" s="24"/>
      <c r="B91" s="1"/>
      <c r="C91" s="59" t="str">
        <f>"01-12-2023 to "&amp;TEXT(A5-2,"dd-mm-yyyy")</f>
        <v>01-12-2023 to 21-12-2023</v>
      </c>
      <c r="D91" s="60">
        <v>1619.5</v>
      </c>
      <c r="E91" s="60">
        <v>485.28</v>
      </c>
      <c r="F91" s="61">
        <f>SUM(D91:E91)</f>
        <v>2104.7799999999997</v>
      </c>
    </row>
    <row r="92" spans="1:15" s="2" customFormat="1" x14ac:dyDescent="0.2">
      <c r="A92" s="24"/>
      <c r="B92" s="1"/>
      <c r="C92" s="62" t="str">
        <f>TEXT(A5-1,"dd-mm-yyyy")</f>
        <v>22-12-2023</v>
      </c>
      <c r="D92" s="60">
        <v>93.83</v>
      </c>
      <c r="E92" s="60">
        <v>31.2</v>
      </c>
      <c r="F92" s="61">
        <f>SUM(D92:E92)</f>
        <v>125.03</v>
      </c>
      <c r="G92" s="1"/>
      <c r="H92" s="1"/>
      <c r="I92" s="53"/>
    </row>
    <row r="93" spans="1:15" s="2" customFormat="1" ht="13.5" thickBot="1" x14ac:dyDescent="0.25">
      <c r="A93" s="24"/>
      <c r="B93" s="1"/>
      <c r="C93" s="63" t="str">
        <f>"01-12-2023 to "&amp;TEXT(A5-1,"dd-mm-yyyy")</f>
        <v>01-12-2023 to 22-12-2023</v>
      </c>
      <c r="D93" s="64">
        <f>SUM(D91:D92)</f>
        <v>1713.33</v>
      </c>
      <c r="E93" s="64">
        <f>SUM(E91:E92)</f>
        <v>516.48</v>
      </c>
      <c r="F93" s="64">
        <f>SUM(F91:F92)</f>
        <v>2229.81</v>
      </c>
      <c r="G93" s="1"/>
      <c r="H93" s="1"/>
      <c r="I93" s="53"/>
    </row>
    <row r="94" spans="1:15" s="2" customFormat="1" ht="13.5" thickTop="1" x14ac:dyDescent="0.2">
      <c r="A94" s="24"/>
      <c r="B94" s="1"/>
      <c r="C94" s="62"/>
      <c r="D94" s="65"/>
      <c r="E94" s="66"/>
      <c r="F94" s="67"/>
      <c r="M94" s="1"/>
      <c r="N94" s="1"/>
    </row>
    <row r="95" spans="1:15" s="2" customFormat="1" x14ac:dyDescent="0.2">
      <c r="A95" s="24"/>
      <c r="B95" s="1"/>
      <c r="C95" s="62" t="str">
        <f>"01-04-2023 to " &amp;C92</f>
        <v>01-04-2023 to 22-12-2023</v>
      </c>
      <c r="D95" s="68">
        <f>+D93+32234.22</f>
        <v>33947.550000000003</v>
      </c>
      <c r="E95" s="68">
        <f>+E93+3134.59</f>
        <v>3651.07</v>
      </c>
      <c r="F95" s="68">
        <f>+F93+35368.81</f>
        <v>37598.619999999995</v>
      </c>
      <c r="G95" s="1"/>
      <c r="H95" s="1"/>
      <c r="M95" s="1"/>
      <c r="N95" s="1"/>
    </row>
    <row r="96" spans="1:15" s="2" customFormat="1" x14ac:dyDescent="0.2">
      <c r="A96" s="24"/>
      <c r="B96" s="1"/>
      <c r="C96" s="52"/>
      <c r="D96" s="85"/>
      <c r="E96" s="53"/>
      <c r="F96" s="53"/>
      <c r="G96" s="1"/>
      <c r="H96" s="1"/>
      <c r="M96" s="1"/>
      <c r="N96" s="1"/>
    </row>
    <row r="97" spans="1:14" s="2" customFormat="1" x14ac:dyDescent="0.2">
      <c r="A97" s="24"/>
      <c r="B97" s="1"/>
      <c r="C97" s="52"/>
      <c r="D97" s="85"/>
      <c r="E97" s="53"/>
      <c r="F97" s="53"/>
      <c r="G97" s="1"/>
      <c r="H97" s="1"/>
      <c r="M97" s="1"/>
      <c r="N97" s="1"/>
    </row>
    <row r="98" spans="1:14" s="2" customFormat="1" x14ac:dyDescent="0.2">
      <c r="A98" s="24"/>
      <c r="B98" s="1"/>
      <c r="C98" s="52"/>
      <c r="D98" s="85"/>
      <c r="E98" s="53"/>
      <c r="F98" s="53"/>
      <c r="G98" s="1"/>
      <c r="H98" s="1"/>
      <c r="M98" s="1"/>
      <c r="N98" s="1"/>
    </row>
    <row r="99" spans="1:14" s="2" customFormat="1" x14ac:dyDescent="0.2">
      <c r="A99" s="24"/>
      <c r="B99" s="1"/>
      <c r="C99" s="52"/>
      <c r="D99" s="85"/>
      <c r="E99" s="53"/>
      <c r="F99" s="53"/>
      <c r="G99" s="1"/>
      <c r="H99" s="1"/>
      <c r="M99" s="1"/>
      <c r="N99" s="1"/>
    </row>
    <row r="100" spans="1:14" s="2" customFormat="1" x14ac:dyDescent="0.2">
      <c r="A100" s="24"/>
      <c r="B100" s="1"/>
      <c r="C100" s="14"/>
      <c r="D100" s="25">
        <f>SUM(D97:D99)</f>
        <v>0</v>
      </c>
      <c r="E100" s="2">
        <f>SUM(E97:E99)</f>
        <v>0</v>
      </c>
      <c r="G100" s="1"/>
      <c r="H100" s="1"/>
      <c r="M100" s="1"/>
      <c r="N100" s="1"/>
    </row>
    <row r="101" spans="1:14" s="2" customFormat="1" x14ac:dyDescent="0.2">
      <c r="A101" s="24"/>
      <c r="B101" s="1"/>
      <c r="C101" s="14"/>
      <c r="D101" s="25"/>
      <c r="G101" s="1"/>
      <c r="H101" s="1"/>
      <c r="M101" s="1"/>
      <c r="N101" s="1"/>
    </row>
    <row r="102" spans="1:14" s="2" customFormat="1" x14ac:dyDescent="0.2">
      <c r="A102" s="24"/>
      <c r="B102" s="1"/>
      <c r="C102" s="14"/>
      <c r="D102" s="25"/>
      <c r="G102" s="1"/>
      <c r="H102" s="1"/>
      <c r="M102" s="1"/>
      <c r="N102" s="1"/>
    </row>
    <row r="103" spans="1:14" s="2" customFormat="1" x14ac:dyDescent="0.2">
      <c r="A103" s="24"/>
      <c r="B103" s="1"/>
      <c r="C103" s="14"/>
      <c r="D103" s="25"/>
      <c r="G103" s="1"/>
      <c r="H103" s="1"/>
      <c r="M103" s="1"/>
      <c r="N103" s="1"/>
    </row>
    <row r="104" spans="1:14" s="2" customFormat="1" x14ac:dyDescent="0.2">
      <c r="A104" s="24"/>
      <c r="B104" s="1"/>
      <c r="C104" s="14"/>
      <c r="D104" s="25"/>
      <c r="G104" s="1"/>
      <c r="H104" s="1"/>
      <c r="M104" s="1"/>
      <c r="N104" s="1"/>
    </row>
    <row r="105" spans="1:14" s="2" customFormat="1" x14ac:dyDescent="0.2">
      <c r="A105" s="24"/>
      <c r="B105" s="1"/>
      <c r="C105" s="14"/>
      <c r="D105" s="25"/>
      <c r="G105" s="1"/>
      <c r="H105" s="1"/>
      <c r="M105" s="1"/>
      <c r="N105" s="1"/>
    </row>
    <row r="106" spans="1:14" s="2" customFormat="1" x14ac:dyDescent="0.2">
      <c r="A106" s="24"/>
      <c r="B106" s="1"/>
      <c r="C106" s="14"/>
      <c r="D106" s="25"/>
      <c r="G106" s="1"/>
      <c r="H106" s="1"/>
      <c r="M106" s="1"/>
      <c r="N106" s="1"/>
    </row>
    <row r="107" spans="1:14" s="2" customFormat="1" x14ac:dyDescent="0.2">
      <c r="A107" s="24"/>
      <c r="B107" s="1"/>
      <c r="C107" s="14"/>
      <c r="D107" s="25"/>
      <c r="G107" s="1"/>
      <c r="H107" s="1"/>
      <c r="M107" s="1"/>
      <c r="N107" s="1"/>
    </row>
    <row r="108" spans="1:14" s="2" customFormat="1" x14ac:dyDescent="0.2">
      <c r="A108" s="24"/>
      <c r="B108" s="1"/>
      <c r="C108" s="14"/>
      <c r="D108" s="25"/>
      <c r="G108" s="1"/>
      <c r="H108" s="1"/>
      <c r="M108" s="1"/>
      <c r="N108" s="1"/>
    </row>
    <row r="109" spans="1:14" s="2" customFormat="1" x14ac:dyDescent="0.2">
      <c r="A109" s="24"/>
      <c r="B109" s="1"/>
      <c r="C109" s="14"/>
      <c r="D109" s="25"/>
      <c r="G109" s="1"/>
      <c r="H109" s="1"/>
      <c r="M109" s="1"/>
      <c r="N109" s="1"/>
    </row>
    <row r="110" spans="1:14" s="2" customFormat="1" x14ac:dyDescent="0.2">
      <c r="A110" s="24"/>
      <c r="B110" s="1"/>
      <c r="C110" s="14"/>
      <c r="D110" s="25"/>
      <c r="G110" s="1"/>
      <c r="H110" s="1"/>
      <c r="M110" s="1"/>
      <c r="N110" s="1"/>
    </row>
    <row r="111" spans="1:14" s="2" customFormat="1" x14ac:dyDescent="0.2">
      <c r="A111" s="24"/>
      <c r="B111" s="1"/>
      <c r="C111" s="14"/>
      <c r="D111" s="25"/>
      <c r="G111" s="1"/>
      <c r="H111" s="1"/>
      <c r="M111" s="1"/>
      <c r="N111" s="1"/>
    </row>
    <row r="112" spans="1:14" s="2" customFormat="1" x14ac:dyDescent="0.2">
      <c r="A112" s="24"/>
      <c r="B112" s="1"/>
      <c r="C112" s="14"/>
      <c r="D112" s="25"/>
      <c r="G112" s="1"/>
      <c r="H112" s="1"/>
      <c r="M112" s="1"/>
      <c r="N112" s="1"/>
    </row>
    <row r="113" spans="1:15" s="2" customFormat="1" x14ac:dyDescent="0.2">
      <c r="A113" s="24"/>
      <c r="B113" s="1"/>
      <c r="C113" s="14"/>
      <c r="D113" s="25"/>
      <c r="G113" s="1"/>
      <c r="H113" s="1"/>
      <c r="M113" s="1"/>
      <c r="N113" s="1"/>
    </row>
    <row r="114" spans="1:15" s="2" customFormat="1" x14ac:dyDescent="0.2">
      <c r="A114" s="24"/>
      <c r="B114" s="1"/>
      <c r="C114" s="14"/>
      <c r="D114" s="25"/>
      <c r="G114" s="1"/>
      <c r="H114" s="1"/>
      <c r="J114" s="1"/>
      <c r="K114" s="1"/>
      <c r="L114" s="1"/>
      <c r="M114" s="1"/>
      <c r="N114" s="1"/>
    </row>
    <row r="115" spans="1:15" s="2" customFormat="1" x14ac:dyDescent="0.2">
      <c r="A115" s="24"/>
      <c r="B115" s="1"/>
      <c r="C115" s="14"/>
      <c r="D115" s="25"/>
      <c r="G115" s="1"/>
      <c r="H115" s="1"/>
    </row>
    <row r="116" spans="1:15" s="2" customFormat="1" x14ac:dyDescent="0.2">
      <c r="A116" s="24"/>
      <c r="B116" s="1"/>
      <c r="C116" s="14"/>
      <c r="D116" s="25"/>
      <c r="G116" s="1"/>
      <c r="H116" s="1"/>
      <c r="J116" s="1"/>
      <c r="K116" s="1"/>
      <c r="L116" s="1"/>
      <c r="M116" s="1"/>
      <c r="N116" s="1"/>
    </row>
    <row r="117" spans="1:15" s="2" customFormat="1" x14ac:dyDescent="0.2">
      <c r="A117" s="24"/>
      <c r="B117" s="1"/>
      <c r="C117" s="14"/>
      <c r="D117" s="25"/>
      <c r="G117" s="54"/>
      <c r="H117" s="54"/>
      <c r="J117" s="1"/>
      <c r="K117" s="1"/>
      <c r="L117" s="1"/>
      <c r="M117" s="1"/>
      <c r="N117" s="1"/>
    </row>
    <row r="118" spans="1:15" s="2" customFormat="1" x14ac:dyDescent="0.2">
      <c r="A118" s="24"/>
      <c r="B118" s="1"/>
      <c r="C118" s="14"/>
      <c r="D118" s="25"/>
      <c r="G118" s="54"/>
      <c r="H118" s="54"/>
      <c r="J118" s="1"/>
      <c r="K118" s="1"/>
      <c r="L118" s="1"/>
      <c r="M118" s="1"/>
      <c r="N118" s="1"/>
    </row>
    <row r="119" spans="1:15" s="2" customFormat="1" x14ac:dyDescent="0.2">
      <c r="A119" s="24"/>
      <c r="B119" s="1"/>
      <c r="C119" s="14"/>
      <c r="D119" s="25"/>
      <c r="G119" s="54"/>
      <c r="H119" s="54"/>
      <c r="J119" s="1"/>
      <c r="K119" s="1"/>
      <c r="L119" s="1"/>
      <c r="M119" s="1"/>
      <c r="N119" s="1"/>
    </row>
    <row r="120" spans="1:15" s="2" customFormat="1" x14ac:dyDescent="0.2">
      <c r="A120" s="24"/>
      <c r="B120" s="1"/>
      <c r="C120" s="14"/>
      <c r="D120" s="25"/>
      <c r="G120" s="54"/>
      <c r="H120" s="54"/>
      <c r="I120" s="2" t="s">
        <v>396</v>
      </c>
      <c r="J120" s="1"/>
      <c r="K120" s="1"/>
      <c r="L120" s="1"/>
      <c r="M120" s="1"/>
      <c r="N120" s="1"/>
      <c r="O120" s="1"/>
    </row>
    <row r="121" spans="1:15" s="2" customFormat="1" x14ac:dyDescent="0.2">
      <c r="A121" s="24"/>
      <c r="B121" s="1"/>
      <c r="C121" s="14"/>
      <c r="D121" s="25"/>
      <c r="G121" s="54"/>
      <c r="H121" s="54"/>
      <c r="I121" s="53"/>
    </row>
    <row r="122" spans="1:15" s="2" customFormat="1" x14ac:dyDescent="0.2">
      <c r="A122" s="24"/>
      <c r="B122" s="1"/>
      <c r="C122" s="14"/>
      <c r="D122" s="25"/>
      <c r="G122" s="54"/>
      <c r="H122" s="54"/>
      <c r="I122" s="53" t="s">
        <v>396</v>
      </c>
      <c r="J122" s="1"/>
      <c r="K122" s="1"/>
      <c r="L122" s="1"/>
      <c r="M122" s="1"/>
      <c r="N122" s="1"/>
      <c r="O122" s="1"/>
    </row>
    <row r="123" spans="1:15" x14ac:dyDescent="0.2">
      <c r="G123" s="54"/>
      <c r="H123" s="54"/>
      <c r="I123" s="53" t="s">
        <v>396</v>
      </c>
      <c r="K123" s="42"/>
    </row>
    <row r="124" spans="1:15" s="2" customFormat="1" x14ac:dyDescent="0.2">
      <c r="A124" s="24"/>
      <c r="B124" s="1"/>
      <c r="C124" s="14"/>
      <c r="D124" s="25"/>
      <c r="G124" s="54"/>
      <c r="H124" s="54"/>
      <c r="I124" s="53"/>
      <c r="J124" s="101"/>
      <c r="K124" s="1"/>
      <c r="L124" s="1"/>
      <c r="M124" s="1"/>
      <c r="N124" s="1"/>
      <c r="O124" s="1"/>
    </row>
    <row r="125" spans="1:15" x14ac:dyDescent="0.2">
      <c r="G125" s="54"/>
      <c r="H125" s="54"/>
      <c r="I125" s="53"/>
    </row>
    <row r="126" spans="1:15" x14ac:dyDescent="0.2">
      <c r="G126" s="54"/>
      <c r="H126" s="54"/>
      <c r="I126" s="53"/>
    </row>
    <row r="127" spans="1:15" x14ac:dyDescent="0.2">
      <c r="G127" s="54"/>
      <c r="H127" s="54"/>
      <c r="I127" s="53"/>
    </row>
  </sheetData>
  <sheetProtection insertRows="0"/>
  <mergeCells count="7">
    <mergeCell ref="K49:L49"/>
    <mergeCell ref="A56:D56"/>
    <mergeCell ref="C89:F89"/>
    <mergeCell ref="A1:H1"/>
    <mergeCell ref="A3:F3"/>
    <mergeCell ref="A9:F9"/>
    <mergeCell ref="A19:F19"/>
  </mergeCells>
  <conditionalFormatting sqref="H53:H54">
    <cfRule type="cellIs" dxfId="161" priority="1" operator="lessThan">
      <formula>0</formula>
    </cfRule>
  </conditionalFormatting>
  <conditionalFormatting sqref="C21">
    <cfRule type="duplicateValues" dxfId="160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200-000000000000}">
  <sheetPr codeName="Sheet506">
    <pageSetUpPr fitToPage="1"/>
  </sheetPr>
  <dimension ref="A1:O140"/>
  <sheetViews>
    <sheetView topLeftCell="D22" zoomScaleNormal="100" workbookViewId="0">
      <selection activeCell="J32" sqref="J32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12.85546875" style="1" customWidth="1"/>
    <col min="9" max="9" width="24.85546875" style="2" bestFit="1" customWidth="1"/>
    <col min="10" max="10" width="21.5703125" style="1" bestFit="1" customWidth="1"/>
    <col min="11" max="11" width="16.85546875" style="1" bestFit="1" customWidth="1"/>
    <col min="12" max="12" width="17.28515625" style="1" bestFit="1" customWidth="1"/>
    <col min="13" max="13" width="13.5703125" style="1" bestFit="1" customWidth="1"/>
    <col min="14" max="14" width="17.42578125" style="1" bestFit="1" customWidth="1"/>
    <col min="15" max="15" width="12.85546875" style="1" bestFit="1" customWidth="1"/>
    <col min="16" max="17" width="9.140625" style="1"/>
    <col min="18" max="18" width="15.5703125" style="1" bestFit="1" customWidth="1"/>
    <col min="19" max="16384" width="9.140625" style="1"/>
  </cols>
  <sheetData>
    <row r="1" spans="1:12" ht="20.25" customHeight="1" x14ac:dyDescent="0.4">
      <c r="A1" s="212" t="s">
        <v>1902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2" ht="12.75" customHeight="1" x14ac:dyDescent="0.4">
      <c r="I2" s="112"/>
      <c r="J2" s="112"/>
    </row>
    <row r="3" spans="1:12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2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2" s="2" customFormat="1" ht="14.25" customHeight="1" x14ac:dyDescent="0.4">
      <c r="A5" s="89">
        <v>45285</v>
      </c>
      <c r="B5" s="9" t="s">
        <v>6</v>
      </c>
      <c r="C5" s="10" t="s">
        <v>7</v>
      </c>
      <c r="D5" s="11"/>
      <c r="E5" s="12">
        <v>670047.23000000045</v>
      </c>
      <c r="F5" s="12"/>
      <c r="G5" s="1"/>
      <c r="H5" s="1"/>
      <c r="I5" s="112"/>
      <c r="J5" s="112"/>
    </row>
    <row r="6" spans="1:12" s="2" customFormat="1" ht="12.75" customHeight="1" x14ac:dyDescent="0.2">
      <c r="D6" s="15" t="s">
        <v>8</v>
      </c>
      <c r="E6" s="16">
        <f>SUM(E5:E5)</f>
        <v>670047.23000000045</v>
      </c>
      <c r="F6" s="16">
        <f>F5</f>
        <v>0</v>
      </c>
      <c r="G6" s="1"/>
      <c r="H6" s="1"/>
      <c r="I6" s="13" t="s">
        <v>1582</v>
      </c>
      <c r="J6" s="13" t="s">
        <v>1583</v>
      </c>
    </row>
    <row r="7" spans="1:12" s="2" customFormat="1" ht="12.75" customHeight="1" x14ac:dyDescent="0.2">
      <c r="A7" s="17"/>
      <c r="B7" s="18"/>
      <c r="C7" s="19" t="s">
        <v>9</v>
      </c>
      <c r="D7" s="20"/>
      <c r="E7" s="21">
        <f>+E6-F6</f>
        <v>670047.23000000045</v>
      </c>
      <c r="F7" s="22"/>
      <c r="G7" s="23"/>
      <c r="H7" s="23"/>
      <c r="I7" s="2">
        <v>0</v>
      </c>
      <c r="J7" s="2">
        <v>2521544.4</v>
      </c>
      <c r="K7" s="176">
        <f>I7-J7</f>
        <v>-2521544.4</v>
      </c>
    </row>
    <row r="8" spans="1:12" ht="12.75" customHeight="1" x14ac:dyDescent="0.4">
      <c r="I8" s="112"/>
      <c r="J8" s="112"/>
    </row>
    <row r="9" spans="1:12" ht="18" customHeight="1" x14ac:dyDescent="0.4">
      <c r="A9" s="213" t="s">
        <v>1037</v>
      </c>
      <c r="B9" s="213"/>
      <c r="C9" s="213"/>
      <c r="D9" s="213"/>
      <c r="E9" s="213"/>
      <c r="F9" s="213"/>
      <c r="I9" s="112"/>
      <c r="J9" s="169">
        <f>90000000-60000000</f>
        <v>30000000</v>
      </c>
      <c r="K9" s="169" t="s">
        <v>1508</v>
      </c>
    </row>
    <row r="10" spans="1:12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I10" s="112"/>
      <c r="J10" s="169">
        <v>27446426</v>
      </c>
      <c r="K10" s="169" t="s">
        <v>1509</v>
      </c>
      <c r="L10" s="124"/>
    </row>
    <row r="11" spans="1:12" s="2" customFormat="1" ht="14.25" customHeight="1" x14ac:dyDescent="0.2">
      <c r="A11" s="89">
        <v>45285</v>
      </c>
      <c r="B11" s="9" t="s">
        <v>6</v>
      </c>
      <c r="C11" s="10" t="s">
        <v>7</v>
      </c>
      <c r="D11" s="11"/>
      <c r="F11" s="12">
        <v>29693312.390000001</v>
      </c>
      <c r="G11" s="1"/>
      <c r="H11" s="1"/>
      <c r="I11" s="130" t="s">
        <v>396</v>
      </c>
      <c r="J11" s="169">
        <f>+J9-J10</f>
        <v>2553574</v>
      </c>
      <c r="K11" s="169" t="s">
        <v>712</v>
      </c>
      <c r="L11" s="165" t="s">
        <v>1512</v>
      </c>
    </row>
    <row r="12" spans="1:12" s="2" customFormat="1" ht="14.25" customHeight="1" x14ac:dyDescent="0.2">
      <c r="A12" s="89">
        <v>45285</v>
      </c>
      <c r="B12" s="128" t="s">
        <v>6</v>
      </c>
      <c r="C12" s="76" t="s">
        <v>220</v>
      </c>
      <c r="D12" s="11" t="s">
        <v>13</v>
      </c>
      <c r="E12" s="31">
        <v>2246886.39</v>
      </c>
      <c r="F12" s="31">
        <v>0</v>
      </c>
      <c r="G12" s="1"/>
      <c r="H12" s="1"/>
      <c r="I12" s="130"/>
      <c r="J12" s="169"/>
      <c r="K12" s="169"/>
      <c r="L12" s="165"/>
    </row>
    <row r="13" spans="1:12" s="2" customFormat="1" ht="14.25" customHeight="1" x14ac:dyDescent="0.2">
      <c r="A13" s="89">
        <v>45285</v>
      </c>
      <c r="B13" s="128" t="s">
        <v>11</v>
      </c>
      <c r="C13" s="76" t="s">
        <v>1890</v>
      </c>
      <c r="D13" s="11" t="s">
        <v>29</v>
      </c>
      <c r="E13" s="31"/>
      <c r="F13" s="31">
        <v>7776</v>
      </c>
      <c r="G13" s="1"/>
      <c r="H13" s="1"/>
      <c r="I13" s="130"/>
      <c r="J13" s="169"/>
      <c r="K13" s="169"/>
      <c r="L13" s="165"/>
    </row>
    <row r="14" spans="1:12" s="2" customFormat="1" ht="14.25" customHeight="1" x14ac:dyDescent="0.2">
      <c r="A14" s="89">
        <v>45285</v>
      </c>
      <c r="B14" s="128" t="s">
        <v>11</v>
      </c>
      <c r="C14" s="76" t="s">
        <v>927</v>
      </c>
      <c r="D14" s="11" t="s">
        <v>29</v>
      </c>
      <c r="E14" s="31"/>
      <c r="F14" s="31">
        <v>33682</v>
      </c>
      <c r="G14" s="1"/>
      <c r="H14" s="1"/>
      <c r="I14" s="130"/>
      <c r="J14" s="169"/>
      <c r="K14" s="169"/>
      <c r="L14" s="165"/>
    </row>
    <row r="15" spans="1:12" s="2" customFormat="1" ht="14.25" customHeight="1" x14ac:dyDescent="0.2">
      <c r="A15" s="89">
        <v>45285</v>
      </c>
      <c r="B15" s="128" t="s">
        <v>11</v>
      </c>
      <c r="C15" s="76" t="s">
        <v>1903</v>
      </c>
      <c r="D15" s="11" t="s">
        <v>29</v>
      </c>
      <c r="E15" s="31"/>
      <c r="F15" s="31">
        <v>2950</v>
      </c>
      <c r="G15" s="1"/>
      <c r="H15" s="1"/>
      <c r="I15" s="130"/>
      <c r="J15" s="169"/>
      <c r="K15" s="169"/>
      <c r="L15" s="165"/>
    </row>
    <row r="16" spans="1:12" s="2" customFormat="1" ht="14.25" customHeight="1" x14ac:dyDescent="0.2">
      <c r="A16" s="89">
        <v>45285</v>
      </c>
      <c r="B16" s="128" t="s">
        <v>11</v>
      </c>
      <c r="C16" s="76" t="s">
        <v>292</v>
      </c>
      <c r="D16" s="11" t="s">
        <v>29</v>
      </c>
      <c r="E16" s="31"/>
      <c r="F16" s="31">
        <v>7300.3</v>
      </c>
      <c r="G16" s="1"/>
      <c r="H16" s="1"/>
      <c r="I16" s="130"/>
      <c r="J16" s="169"/>
      <c r="K16" s="169"/>
      <c r="L16" s="165"/>
    </row>
    <row r="17" spans="1:14" s="2" customFormat="1" ht="14.25" customHeight="1" x14ac:dyDescent="0.2">
      <c r="A17" s="89">
        <v>45285</v>
      </c>
      <c r="B17" s="128" t="s">
        <v>11</v>
      </c>
      <c r="C17" s="76" t="s">
        <v>1203</v>
      </c>
      <c r="D17" s="11" t="s">
        <v>29</v>
      </c>
      <c r="E17" s="31"/>
      <c r="F17" s="31">
        <v>204</v>
      </c>
      <c r="G17" s="1"/>
      <c r="H17" s="1"/>
      <c r="I17" s="130"/>
      <c r="J17" s="169"/>
      <c r="K17" s="169"/>
      <c r="L17" s="165"/>
    </row>
    <row r="18" spans="1:14" s="2" customFormat="1" ht="14.25" customHeight="1" x14ac:dyDescent="0.2">
      <c r="A18" s="89">
        <v>45285</v>
      </c>
      <c r="B18" s="128" t="s">
        <v>11</v>
      </c>
      <c r="C18" s="76" t="s">
        <v>62</v>
      </c>
      <c r="D18" s="11" t="s">
        <v>29</v>
      </c>
      <c r="E18" s="31"/>
      <c r="F18" s="31">
        <v>105000</v>
      </c>
      <c r="G18" s="1"/>
      <c r="H18" s="1"/>
      <c r="I18" s="130"/>
      <c r="J18" s="169"/>
      <c r="K18" s="169"/>
      <c r="L18" s="165"/>
    </row>
    <row r="19" spans="1:14" s="2" customFormat="1" ht="14.25" customHeight="1" x14ac:dyDescent="0.2">
      <c r="A19" s="89">
        <v>45285</v>
      </c>
      <c r="B19" s="128" t="s">
        <v>11</v>
      </c>
      <c r="C19" s="76" t="s">
        <v>242</v>
      </c>
      <c r="D19" s="11" t="s">
        <v>29</v>
      </c>
      <c r="E19" s="31"/>
      <c r="F19" s="31">
        <v>28353.1</v>
      </c>
      <c r="G19" s="1"/>
      <c r="H19" s="1"/>
      <c r="I19" s="130"/>
      <c r="J19" s="169"/>
      <c r="K19" s="169"/>
      <c r="L19" s="165"/>
    </row>
    <row r="20" spans="1:14" s="2" customFormat="1" ht="14.25" customHeight="1" x14ac:dyDescent="0.2">
      <c r="A20" s="89">
        <v>45285</v>
      </c>
      <c r="B20" s="128" t="s">
        <v>11</v>
      </c>
      <c r="C20" s="76" t="s">
        <v>738</v>
      </c>
      <c r="D20" s="11" t="s">
        <v>29</v>
      </c>
      <c r="E20" s="31"/>
      <c r="F20" s="31">
        <v>109631</v>
      </c>
      <c r="G20" s="1"/>
      <c r="H20" s="1"/>
      <c r="I20" s="130"/>
      <c r="J20" s="169"/>
      <c r="K20" s="169"/>
      <c r="L20" s="165"/>
    </row>
    <row r="21" spans="1:14" s="2" customFormat="1" ht="14.25" customHeight="1" x14ac:dyDescent="0.2">
      <c r="A21" s="89">
        <v>45285</v>
      </c>
      <c r="B21" s="128" t="s">
        <v>11</v>
      </c>
      <c r="C21" s="76" t="s">
        <v>494</v>
      </c>
      <c r="D21" s="11" t="s">
        <v>29</v>
      </c>
      <c r="E21" s="31"/>
      <c r="F21" s="31">
        <v>44473</v>
      </c>
      <c r="G21" s="1"/>
      <c r="H21" s="1"/>
      <c r="I21" s="130"/>
      <c r="J21" s="169"/>
      <c r="K21" s="169"/>
      <c r="L21" s="165"/>
    </row>
    <row r="22" spans="1:14" s="2" customFormat="1" ht="14.25" customHeight="1" x14ac:dyDescent="0.2">
      <c r="A22" s="89">
        <v>45285</v>
      </c>
      <c r="B22" s="128" t="s">
        <v>11</v>
      </c>
      <c r="C22" s="76" t="s">
        <v>262</v>
      </c>
      <c r="D22" s="11" t="s">
        <v>29</v>
      </c>
      <c r="E22" s="31"/>
      <c r="F22" s="31">
        <v>61979</v>
      </c>
      <c r="G22" s="1"/>
      <c r="H22" s="1"/>
      <c r="I22" s="130"/>
      <c r="J22" s="169"/>
      <c r="K22" s="169"/>
      <c r="L22" s="165"/>
    </row>
    <row r="23" spans="1:14" s="2" customFormat="1" ht="14.25" customHeight="1" x14ac:dyDescent="0.2">
      <c r="A23" s="89">
        <v>45285</v>
      </c>
      <c r="B23" s="128" t="s">
        <v>11</v>
      </c>
      <c r="C23" s="76" t="s">
        <v>1833</v>
      </c>
      <c r="D23" s="11" t="s">
        <v>29</v>
      </c>
      <c r="E23" s="31"/>
      <c r="F23" s="31">
        <v>200000</v>
      </c>
      <c r="G23" s="1"/>
      <c r="H23" s="1"/>
      <c r="I23" s="130"/>
      <c r="J23" s="169"/>
      <c r="K23" s="169"/>
      <c r="L23" s="165"/>
    </row>
    <row r="24" spans="1:14" s="2" customFormat="1" ht="14.25" customHeight="1" x14ac:dyDescent="0.2">
      <c r="A24" s="89">
        <v>45285</v>
      </c>
      <c r="B24" s="128" t="s">
        <v>11</v>
      </c>
      <c r="C24" s="76" t="s">
        <v>1025</v>
      </c>
      <c r="D24" s="11" t="s">
        <v>29</v>
      </c>
      <c r="E24" s="31"/>
      <c r="F24" s="31">
        <v>1900000</v>
      </c>
      <c r="G24" s="1"/>
      <c r="H24" s="1"/>
      <c r="I24" s="130"/>
      <c r="J24" s="169"/>
      <c r="K24" s="169"/>
      <c r="L24" s="165"/>
    </row>
    <row r="25" spans="1:14" s="2" customFormat="1" ht="14.25" customHeight="1" x14ac:dyDescent="0.2">
      <c r="A25" s="89">
        <v>45285</v>
      </c>
      <c r="B25" s="128" t="s">
        <v>11</v>
      </c>
      <c r="C25" s="76" t="s">
        <v>166</v>
      </c>
      <c r="D25" s="11" t="s">
        <v>29</v>
      </c>
      <c r="E25" s="31"/>
      <c r="F25" s="31">
        <v>20196</v>
      </c>
      <c r="G25" s="1"/>
      <c r="H25" s="1"/>
      <c r="I25" s="130"/>
      <c r="J25" s="169"/>
      <c r="K25" s="169"/>
      <c r="L25" s="165"/>
    </row>
    <row r="26" spans="1:14" s="2" customFormat="1" ht="14.25" customHeight="1" x14ac:dyDescent="0.2">
      <c r="D26" s="11" t="s">
        <v>8</v>
      </c>
      <c r="E26" s="16">
        <f>SUM(E12:E12)</f>
        <v>2246886.39</v>
      </c>
      <c r="F26" s="16">
        <f>SUM(F11:F25)</f>
        <v>32214856.790000003</v>
      </c>
      <c r="G26" s="1"/>
      <c r="H26" s="1"/>
      <c r="I26" s="143"/>
      <c r="J26" s="130"/>
      <c r="K26" s="143"/>
      <c r="L26" s="143"/>
      <c r="M26" s="143"/>
      <c r="N26" s="143"/>
    </row>
    <row r="27" spans="1:14" s="2" customFormat="1" ht="14.25" customHeight="1" x14ac:dyDescent="0.4">
      <c r="A27" s="17"/>
      <c r="B27" s="18"/>
      <c r="C27" s="96" t="s">
        <v>9</v>
      </c>
      <c r="D27" s="20"/>
      <c r="E27" s="21">
        <f>+F26-E26</f>
        <v>29967970.400000002</v>
      </c>
      <c r="G27" s="1"/>
      <c r="H27" s="1"/>
      <c r="J27" s="112"/>
      <c r="K27" s="153" t="s">
        <v>779</v>
      </c>
    </row>
    <row r="28" spans="1:14" s="2" customFormat="1" ht="14.25" customHeight="1" x14ac:dyDescent="0.2">
      <c r="A28" s="36"/>
      <c r="B28" s="28" t="s">
        <v>66</v>
      </c>
      <c r="C28" s="43" t="s">
        <v>1458</v>
      </c>
      <c r="D28" s="43"/>
      <c r="E28" s="12">
        <f>30000000+60000000</f>
        <v>90000000</v>
      </c>
      <c r="F28" s="22"/>
      <c r="G28" s="1"/>
      <c r="H28" s="1"/>
      <c r="J28" s="40">
        <v>29938923.390000001</v>
      </c>
      <c r="K28" s="154">
        <f>J28-E27</f>
        <v>-29047.010000001639</v>
      </c>
    </row>
    <row r="29" spans="1:14" s="2" customFormat="1" ht="14.25" customHeight="1" x14ac:dyDescent="0.25">
      <c r="A29" s="36"/>
      <c r="B29" s="28"/>
      <c r="C29" s="44" t="s">
        <v>1541</v>
      </c>
      <c r="D29" s="43"/>
      <c r="E29" s="7">
        <f>+E27+E28</f>
        <v>119967970.40000001</v>
      </c>
      <c r="F29" s="22"/>
      <c r="G29" s="1"/>
      <c r="H29" s="1"/>
      <c r="I29" s="13" t="s">
        <v>1582</v>
      </c>
      <c r="J29" s="13" t="s">
        <v>1583</v>
      </c>
    </row>
    <row r="30" spans="1:14" s="2" customFormat="1" ht="14.25" customHeight="1" x14ac:dyDescent="0.25">
      <c r="A30" s="36"/>
      <c r="B30" s="28"/>
      <c r="C30" s="44" t="s">
        <v>1511</v>
      </c>
      <c r="D30" s="43"/>
      <c r="E30" s="38">
        <f>+J11+I7-J7</f>
        <v>32029.600000000093</v>
      </c>
      <c r="F30" s="22"/>
      <c r="G30" s="1"/>
      <c r="H30" s="1"/>
      <c r="I30" s="2">
        <v>1623542</v>
      </c>
      <c r="J30" s="2">
        <v>5576752</v>
      </c>
      <c r="K30" s="176">
        <f>I30-J30</f>
        <v>-3953210</v>
      </c>
    </row>
    <row r="31" spans="1:14" s="2" customFormat="1" ht="14.25" customHeight="1" x14ac:dyDescent="0.2">
      <c r="A31" s="24"/>
      <c r="B31" s="1"/>
      <c r="C31" s="14"/>
      <c r="D31" s="25"/>
      <c r="G31" s="1"/>
      <c r="H31" s="1"/>
      <c r="J31" s="130"/>
      <c r="K31" s="130"/>
    </row>
    <row r="32" spans="1:14" s="2" customFormat="1" x14ac:dyDescent="0.2">
      <c r="A32" s="214" t="s">
        <v>10</v>
      </c>
      <c r="B32" s="214"/>
      <c r="C32" s="214"/>
      <c r="D32" s="214"/>
      <c r="E32" s="214"/>
      <c r="F32" s="214"/>
      <c r="G32" s="1"/>
      <c r="H32" s="1"/>
      <c r="I32" s="159"/>
      <c r="J32" s="160">
        <f>225000000-75000000-50000000</f>
        <v>100000000</v>
      </c>
      <c r="K32" s="160" t="s">
        <v>1506</v>
      </c>
      <c r="L32" s="70"/>
    </row>
    <row r="33" spans="1:15" s="2" customFormat="1" x14ac:dyDescent="0.2">
      <c r="A33" s="26" t="s">
        <v>1</v>
      </c>
      <c r="B33" s="27" t="s">
        <v>2</v>
      </c>
      <c r="C33" s="5"/>
      <c r="D33" s="6" t="s">
        <v>3</v>
      </c>
      <c r="E33" s="7" t="s">
        <v>4</v>
      </c>
      <c r="F33" s="7" t="s">
        <v>5</v>
      </c>
      <c r="G33" s="1"/>
      <c r="H33" s="1"/>
      <c r="I33" s="159"/>
      <c r="J33" s="160">
        <v>92974216.079999998</v>
      </c>
      <c r="K33" s="160" t="s">
        <v>1507</v>
      </c>
      <c r="L33" s="70" t="s">
        <v>1512</v>
      </c>
    </row>
    <row r="34" spans="1:15" s="2" customFormat="1" x14ac:dyDescent="0.2">
      <c r="A34" s="89">
        <v>45285</v>
      </c>
      <c r="B34" s="128" t="s">
        <v>11</v>
      </c>
      <c r="C34" s="29" t="s">
        <v>7</v>
      </c>
      <c r="D34" s="25"/>
      <c r="E34" s="31"/>
      <c r="F34" s="2">
        <v>96669694.089999989</v>
      </c>
      <c r="G34" s="23"/>
      <c r="H34" s="23"/>
      <c r="I34" s="159" t="s">
        <v>1505</v>
      </c>
      <c r="J34" s="160">
        <f>+J32-J33</f>
        <v>7025783.9200000018</v>
      </c>
      <c r="K34" s="160"/>
      <c r="L34" s="70"/>
    </row>
    <row r="35" spans="1:15" s="2" customFormat="1" x14ac:dyDescent="0.2">
      <c r="A35" s="89">
        <v>45285</v>
      </c>
      <c r="B35" s="128" t="s">
        <v>6</v>
      </c>
      <c r="C35" s="76" t="s">
        <v>1787</v>
      </c>
      <c r="D35" s="11" t="s">
        <v>13</v>
      </c>
      <c r="E35" s="31">
        <v>4941</v>
      </c>
      <c r="F35" s="70"/>
      <c r="G35" s="1"/>
      <c r="H35" s="1"/>
      <c r="O35" s="1"/>
    </row>
    <row r="36" spans="1:15" s="2" customFormat="1" x14ac:dyDescent="0.2">
      <c r="A36" s="89">
        <v>45285</v>
      </c>
      <c r="B36" s="128" t="s">
        <v>6</v>
      </c>
      <c r="C36" s="76" t="s">
        <v>220</v>
      </c>
      <c r="D36" s="11" t="s">
        <v>13</v>
      </c>
      <c r="E36" s="31">
        <v>3685222</v>
      </c>
      <c r="F36" s="70"/>
      <c r="G36" s="1"/>
      <c r="H36" s="1"/>
      <c r="O36" s="1"/>
    </row>
    <row r="37" spans="1:15" s="2" customFormat="1" x14ac:dyDescent="0.2">
      <c r="A37" s="89">
        <v>45285</v>
      </c>
      <c r="B37" s="128" t="s">
        <v>6</v>
      </c>
      <c r="C37" s="76" t="s">
        <v>364</v>
      </c>
      <c r="D37" s="11" t="s">
        <v>13</v>
      </c>
      <c r="E37" s="31">
        <v>7350</v>
      </c>
      <c r="F37" s="70"/>
      <c r="G37" s="1"/>
      <c r="H37" s="1"/>
      <c r="O37" s="1"/>
    </row>
    <row r="38" spans="1:15" s="2" customFormat="1" x14ac:dyDescent="0.2">
      <c r="A38" s="89">
        <v>45285</v>
      </c>
      <c r="B38" s="128" t="s">
        <v>6</v>
      </c>
      <c r="C38" s="76" t="s">
        <v>1904</v>
      </c>
      <c r="D38" s="11" t="s">
        <v>13</v>
      </c>
      <c r="E38" s="31">
        <v>41680</v>
      </c>
      <c r="F38" s="70"/>
      <c r="G38" s="1"/>
      <c r="H38" s="1"/>
      <c r="O38" s="1"/>
    </row>
    <row r="39" spans="1:15" s="2" customFormat="1" x14ac:dyDescent="0.2">
      <c r="A39" s="89">
        <v>45285</v>
      </c>
      <c r="B39" s="128" t="s">
        <v>6</v>
      </c>
      <c r="C39" s="76" t="s">
        <v>298</v>
      </c>
      <c r="D39" s="11" t="s">
        <v>13</v>
      </c>
      <c r="E39" s="31">
        <v>13086</v>
      </c>
      <c r="F39" s="70"/>
      <c r="G39" s="1"/>
      <c r="H39" s="1"/>
      <c r="O39" s="1"/>
    </row>
    <row r="40" spans="1:15" s="2" customFormat="1" x14ac:dyDescent="0.2">
      <c r="A40" s="89">
        <v>45285</v>
      </c>
      <c r="B40" s="128" t="s">
        <v>6</v>
      </c>
      <c r="C40" s="76" t="s">
        <v>266</v>
      </c>
      <c r="D40" s="11" t="s">
        <v>13</v>
      </c>
      <c r="E40" s="31">
        <v>291328</v>
      </c>
      <c r="F40" s="70"/>
      <c r="G40" s="1"/>
      <c r="H40" s="1"/>
      <c r="O40" s="1"/>
    </row>
    <row r="41" spans="1:15" s="2" customFormat="1" x14ac:dyDescent="0.2">
      <c r="A41" s="89">
        <v>45285</v>
      </c>
      <c r="B41" s="128" t="s">
        <v>11</v>
      </c>
      <c r="C41" s="76" t="s">
        <v>284</v>
      </c>
      <c r="D41" s="11" t="s">
        <v>29</v>
      </c>
      <c r="E41" s="86"/>
      <c r="F41" s="31">
        <v>358333</v>
      </c>
      <c r="G41" s="1"/>
      <c r="H41" s="1"/>
      <c r="O41" s="1"/>
    </row>
    <row r="42" spans="1:15" s="2" customFormat="1" x14ac:dyDescent="0.2">
      <c r="A42" s="89">
        <v>45285</v>
      </c>
      <c r="B42" s="128" t="s">
        <v>11</v>
      </c>
      <c r="C42" s="76" t="s">
        <v>1533</v>
      </c>
      <c r="D42" s="11" t="s">
        <v>29</v>
      </c>
      <c r="E42" s="86"/>
      <c r="F42" s="31">
        <v>251981</v>
      </c>
      <c r="G42" s="1"/>
      <c r="H42" s="1"/>
      <c r="O42" s="1"/>
    </row>
    <row r="43" spans="1:15" s="2" customFormat="1" x14ac:dyDescent="0.2">
      <c r="A43" s="89">
        <v>45285</v>
      </c>
      <c r="B43" s="128" t="s">
        <v>11</v>
      </c>
      <c r="C43" s="76" t="s">
        <v>687</v>
      </c>
      <c r="D43" s="11" t="s">
        <v>29</v>
      </c>
      <c r="E43" s="86"/>
      <c r="F43" s="31">
        <v>1313494</v>
      </c>
      <c r="G43" s="1"/>
      <c r="H43" s="1"/>
      <c r="O43" s="1"/>
    </row>
    <row r="44" spans="1:15" s="2" customFormat="1" x14ac:dyDescent="0.2">
      <c r="A44" s="89">
        <v>45285</v>
      </c>
      <c r="B44" s="128" t="s">
        <v>11</v>
      </c>
      <c r="C44" s="76" t="s">
        <v>107</v>
      </c>
      <c r="D44" s="11" t="s">
        <v>29</v>
      </c>
      <c r="E44" s="86"/>
      <c r="F44" s="31">
        <v>662144.43999999994</v>
      </c>
      <c r="G44" s="1"/>
      <c r="H44" s="1"/>
      <c r="O44" s="1"/>
    </row>
    <row r="45" spans="1:15" s="2" customFormat="1" x14ac:dyDescent="0.2">
      <c r="A45" s="89">
        <v>45285</v>
      </c>
      <c r="B45" s="128" t="s">
        <v>11</v>
      </c>
      <c r="C45" s="76" t="s">
        <v>558</v>
      </c>
      <c r="D45" s="11" t="s">
        <v>29</v>
      </c>
      <c r="E45" s="86"/>
      <c r="F45" s="31">
        <v>1715386.55</v>
      </c>
      <c r="G45" s="1"/>
      <c r="H45" s="1"/>
      <c r="O45" s="1"/>
    </row>
    <row r="46" spans="1:15" s="2" customFormat="1" x14ac:dyDescent="0.2">
      <c r="A46" s="32"/>
      <c r="B46" s="33"/>
      <c r="C46" s="14"/>
      <c r="D46" s="34"/>
      <c r="E46" s="16">
        <f>SUM(E34:E45)</f>
        <v>4043607</v>
      </c>
      <c r="F46" s="16">
        <f>SUM(F34:F45)</f>
        <v>100971033.07999998</v>
      </c>
      <c r="G46" s="1"/>
      <c r="H46" s="1"/>
      <c r="I46" s="1"/>
      <c r="J46" s="38">
        <v>96927426.079999998</v>
      </c>
      <c r="L46" s="92">
        <f>E47-J46</f>
        <v>0</v>
      </c>
      <c r="O46" s="1"/>
    </row>
    <row r="47" spans="1:15" s="2" customFormat="1" x14ac:dyDescent="0.2">
      <c r="A47" s="36"/>
      <c r="B47" s="28" t="s">
        <v>11</v>
      </c>
      <c r="C47" s="19" t="s">
        <v>65</v>
      </c>
      <c r="D47" s="37"/>
      <c r="E47" s="38">
        <f>F46-E46</f>
        <v>96927426.079999983</v>
      </c>
      <c r="F47" s="22"/>
      <c r="G47" s="1"/>
      <c r="H47" s="1"/>
      <c r="I47" s="1"/>
      <c r="J47" s="70"/>
      <c r="K47" s="70"/>
      <c r="L47" s="70"/>
      <c r="O47" s="1"/>
    </row>
    <row r="48" spans="1:15" s="2" customFormat="1" x14ac:dyDescent="0.2">
      <c r="A48" s="36"/>
      <c r="B48" s="28" t="s">
        <v>66</v>
      </c>
      <c r="C48" s="19" t="s">
        <v>67</v>
      </c>
      <c r="D48" s="37"/>
      <c r="E48" s="38">
        <v>0</v>
      </c>
      <c r="F48" s="22"/>
      <c r="G48" s="1"/>
      <c r="H48" s="1"/>
      <c r="I48" s="70"/>
      <c r="J48" s="70"/>
      <c r="K48" s="70"/>
      <c r="L48" s="70"/>
      <c r="O48" s="1"/>
    </row>
    <row r="49" spans="1:15" s="2" customFormat="1" x14ac:dyDescent="0.2">
      <c r="A49" s="36"/>
      <c r="B49" s="28" t="s">
        <v>66</v>
      </c>
      <c r="C49" s="43" t="s">
        <v>1457</v>
      </c>
      <c r="D49" s="43"/>
      <c r="E49" s="12">
        <f>275000000+75000000+50000000</f>
        <v>400000000</v>
      </c>
      <c r="F49" s="22"/>
      <c r="G49" s="1"/>
      <c r="H49" s="1"/>
      <c r="I49" s="70"/>
      <c r="J49" s="45">
        <v>1392.14</v>
      </c>
      <c r="K49" s="46"/>
      <c r="L49" s="46"/>
      <c r="O49" s="1"/>
    </row>
    <row r="50" spans="1:15" s="2" customFormat="1" ht="15" x14ac:dyDescent="0.25">
      <c r="A50" s="36"/>
      <c r="B50" s="28"/>
      <c r="C50" s="44" t="s">
        <v>1541</v>
      </c>
      <c r="D50" s="43"/>
      <c r="E50" s="7">
        <f>+E49+E47+E48</f>
        <v>496927426.07999998</v>
      </c>
      <c r="F50" s="22"/>
      <c r="G50" s="1"/>
      <c r="H50" s="1"/>
      <c r="I50" s="103" t="s">
        <v>69</v>
      </c>
      <c r="J50" s="45">
        <v>-226.44</v>
      </c>
      <c r="K50" s="46"/>
      <c r="L50" s="46"/>
      <c r="O50" s="1"/>
    </row>
    <row r="51" spans="1:15" s="2" customFormat="1" ht="15" x14ac:dyDescent="0.25">
      <c r="A51" s="24"/>
      <c r="B51" s="1"/>
      <c r="C51" s="44" t="s">
        <v>1510</v>
      </c>
      <c r="D51" s="25"/>
      <c r="E51" s="156">
        <f>+J34-E48+I30-J30</f>
        <v>3072573.9200000018</v>
      </c>
      <c r="G51" s="1"/>
      <c r="H51" s="1"/>
      <c r="I51" s="35">
        <v>1</v>
      </c>
      <c r="J51" s="45">
        <v>171.3</v>
      </c>
      <c r="K51" s="46">
        <f>+J52-D54</f>
        <v>0</v>
      </c>
      <c r="O51" s="1"/>
    </row>
    <row r="52" spans="1:15" s="124" customFormat="1" ht="12.75" customHeight="1" x14ac:dyDescent="0.2">
      <c r="A52" s="24"/>
      <c r="B52" s="1"/>
      <c r="C52" s="56"/>
      <c r="D52" s="56"/>
      <c r="E52" s="104"/>
      <c r="F52" s="2"/>
      <c r="G52" s="166"/>
      <c r="H52" s="166"/>
      <c r="I52" s="70"/>
      <c r="J52" s="49">
        <f>SUM(J49:J51)</f>
        <v>1337</v>
      </c>
      <c r="K52" s="46"/>
      <c r="L52" s="46"/>
    </row>
    <row r="53" spans="1:15" s="124" customFormat="1" ht="12.75" customHeight="1" x14ac:dyDescent="0.2">
      <c r="A53" s="24"/>
      <c r="B53" s="1"/>
      <c r="C53" s="78" t="s">
        <v>575</v>
      </c>
      <c r="D53" s="48" t="s">
        <v>576</v>
      </c>
      <c r="E53" s="104"/>
      <c r="F53" s="2"/>
      <c r="G53" s="168"/>
      <c r="H53" s="168"/>
      <c r="I53" s="167"/>
      <c r="J53" s="167"/>
      <c r="K53" s="168"/>
    </row>
    <row r="54" spans="1:15" s="124" customFormat="1" ht="12.75" customHeight="1" x14ac:dyDescent="0.2">
      <c r="A54" s="24"/>
      <c r="B54" s="1"/>
      <c r="C54" s="47" t="s">
        <v>570</v>
      </c>
      <c r="D54" s="111">
        <v>1337</v>
      </c>
      <c r="E54" s="104"/>
      <c r="F54" s="2"/>
      <c r="G54" s="168"/>
      <c r="H54" s="168"/>
      <c r="I54" s="110" t="s">
        <v>581</v>
      </c>
      <c r="J54" s="167"/>
      <c r="K54" s="168"/>
    </row>
    <row r="55" spans="1:15" s="124" customFormat="1" ht="12.75" customHeight="1" x14ac:dyDescent="0.2">
      <c r="A55" s="24"/>
      <c r="B55" s="1"/>
      <c r="C55" s="47" t="s">
        <v>931</v>
      </c>
      <c r="D55" s="111">
        <v>318.58</v>
      </c>
      <c r="E55" s="104"/>
      <c r="F55" s="2"/>
      <c r="G55" s="168"/>
      <c r="H55" s="168"/>
      <c r="I55" s="110" t="s">
        <v>580</v>
      </c>
      <c r="J55" s="167"/>
      <c r="K55" s="168"/>
    </row>
    <row r="56" spans="1:15" s="124" customFormat="1" ht="12.75" customHeight="1" x14ac:dyDescent="0.2">
      <c r="A56" s="24"/>
      <c r="B56" s="1"/>
      <c r="C56" s="47" t="s">
        <v>572</v>
      </c>
      <c r="D56" s="111">
        <f>+D100/100000</f>
        <v>530.13121849999993</v>
      </c>
      <c r="E56" s="104"/>
      <c r="F56" s="2"/>
      <c r="G56" s="166"/>
      <c r="H56" s="166"/>
      <c r="I56" s="90" t="s">
        <v>587</v>
      </c>
      <c r="J56" s="167"/>
      <c r="K56" s="168"/>
    </row>
    <row r="57" spans="1:15" s="2" customFormat="1" x14ac:dyDescent="0.2">
      <c r="A57" s="24"/>
      <c r="B57" s="1"/>
      <c r="C57" s="108" t="s">
        <v>578</v>
      </c>
      <c r="D57" s="48">
        <f>SUM(D54:D56)</f>
        <v>2185.7112184999996</v>
      </c>
      <c r="E57" s="104"/>
      <c r="G57" s="30"/>
      <c r="H57" s="30"/>
      <c r="J57" s="13"/>
      <c r="K57" s="13"/>
    </row>
    <row r="58" spans="1:15" s="70" customFormat="1" x14ac:dyDescent="0.2">
      <c r="A58" s="24"/>
      <c r="B58" s="1"/>
      <c r="C58" s="47"/>
      <c r="D58" s="107"/>
      <c r="E58" s="104"/>
      <c r="F58" s="2"/>
      <c r="G58" s="30"/>
      <c r="H58" s="30"/>
      <c r="I58" s="2"/>
    </row>
    <row r="59" spans="1:15" s="70" customFormat="1" x14ac:dyDescent="0.2">
      <c r="A59" s="24"/>
      <c r="B59" s="1"/>
      <c r="C59" s="47" t="s">
        <v>932</v>
      </c>
      <c r="D59" s="111">
        <v>305.57</v>
      </c>
      <c r="E59" s="104"/>
      <c r="F59" s="2"/>
      <c r="G59" s="30"/>
      <c r="H59" s="30"/>
      <c r="I59" s="110" t="s">
        <v>581</v>
      </c>
    </row>
    <row r="60" spans="1:15" s="70" customFormat="1" x14ac:dyDescent="0.2">
      <c r="A60" s="24"/>
      <c r="B60" s="1"/>
      <c r="C60" s="136" t="s">
        <v>1142</v>
      </c>
      <c r="D60" s="111">
        <v>772.47</v>
      </c>
      <c r="E60" s="104"/>
      <c r="F60" s="2"/>
      <c r="G60" s="30"/>
      <c r="H60" s="30"/>
      <c r="I60" s="110" t="s">
        <v>581</v>
      </c>
    </row>
    <row r="61" spans="1:15" s="70" customFormat="1" x14ac:dyDescent="0.2">
      <c r="A61" s="24"/>
      <c r="B61" s="1"/>
      <c r="C61" s="78" t="s">
        <v>579</v>
      </c>
      <c r="D61" s="109">
        <f>D59+D60</f>
        <v>1078.04</v>
      </c>
      <c r="E61" s="104"/>
      <c r="F61" s="2"/>
      <c r="G61" s="30"/>
      <c r="H61" s="30"/>
    </row>
    <row r="62" spans="1:15" s="70" customFormat="1" x14ac:dyDescent="0.2">
      <c r="A62" s="24"/>
      <c r="B62" s="1"/>
      <c r="C62" s="105"/>
      <c r="D62" s="106"/>
      <c r="E62" s="104"/>
      <c r="F62" s="2"/>
      <c r="G62" s="30"/>
      <c r="H62" s="30"/>
      <c r="J62" s="2"/>
      <c r="K62" s="221" t="str">
        <f>"FROM ( 01-12-2023 to "&amp;TEXT(A5,"dd-mm-yyyy")&amp;" )"</f>
        <v>FROM ( 01-12-2023 to 25-12-2023 )</v>
      </c>
      <c r="L62" s="221"/>
      <c r="M62" s="2"/>
      <c r="N62" s="2"/>
    </row>
    <row r="63" spans="1:15" s="70" customFormat="1" x14ac:dyDescent="0.2">
      <c r="A63" s="24"/>
      <c r="B63" s="1"/>
      <c r="C63" s="78" t="s">
        <v>577</v>
      </c>
      <c r="D63" s="109">
        <f>D54+D61</f>
        <v>2415.04</v>
      </c>
      <c r="E63" s="104"/>
      <c r="F63" s="2"/>
      <c r="G63" s="30"/>
      <c r="H63" s="30"/>
      <c r="J63" s="113"/>
      <c r="K63" s="113" t="s">
        <v>709</v>
      </c>
      <c r="L63" s="113" t="s">
        <v>710</v>
      </c>
      <c r="M63" s="113" t="s">
        <v>711</v>
      </c>
      <c r="N63" s="113" t="s">
        <v>712</v>
      </c>
    </row>
    <row r="64" spans="1:15" s="70" customFormat="1" x14ac:dyDescent="0.2">
      <c r="A64" s="24"/>
      <c r="B64" s="1"/>
      <c r="C64" s="56"/>
      <c r="D64" s="56"/>
      <c r="E64" s="104"/>
      <c r="F64" s="2"/>
      <c r="G64" s="30"/>
      <c r="H64" s="30"/>
      <c r="J64" s="113" t="s">
        <v>1860</v>
      </c>
      <c r="K64" s="115">
        <v>191.86</v>
      </c>
      <c r="L64" s="115">
        <v>93.65</v>
      </c>
      <c r="M64" s="115">
        <v>90.58</v>
      </c>
      <c r="N64" s="113">
        <f>+K64+M64-L64</f>
        <v>188.79</v>
      </c>
    </row>
    <row r="65" spans="1:15" s="70" customFormat="1" ht="38.25" x14ac:dyDescent="0.2">
      <c r="A65" s="24"/>
      <c r="B65" s="1"/>
      <c r="C65" s="79" t="str">
        <f>"Particulars ( 01-12-2023 to "&amp;TEXT(A5,"dd-mm-yyyy")&amp;" )"</f>
        <v>Particulars ( 01-12-2023 to 25-12-2023 )</v>
      </c>
      <c r="D65" s="79" t="s">
        <v>7</v>
      </c>
      <c r="E65" s="80" t="s">
        <v>73</v>
      </c>
      <c r="F65" s="80" t="s">
        <v>74</v>
      </c>
      <c r="G65" s="81" t="s">
        <v>75</v>
      </c>
      <c r="H65" s="80" t="s">
        <v>76</v>
      </c>
      <c r="J65" s="113" t="s">
        <v>1861</v>
      </c>
      <c r="K65" s="115">
        <v>1332.26</v>
      </c>
      <c r="L65" s="115">
        <v>537.07000000000005</v>
      </c>
      <c r="M65" s="115">
        <v>782.48</v>
      </c>
      <c r="N65" s="113">
        <f>+K65+M65-L65</f>
        <v>1577.6699999999996</v>
      </c>
    </row>
    <row r="66" spans="1:15" s="70" customFormat="1" x14ac:dyDescent="0.2">
      <c r="A66" s="24"/>
      <c r="B66" s="1"/>
      <c r="C66" s="50" t="s">
        <v>444</v>
      </c>
      <c r="D66" s="55">
        <f>+K66</f>
        <v>361.11</v>
      </c>
      <c r="E66" s="55">
        <f>+M66</f>
        <v>305.57</v>
      </c>
      <c r="F66" s="55">
        <f>+L66</f>
        <v>318.58</v>
      </c>
      <c r="G66" s="55">
        <f>+D66+E66-F66</f>
        <v>348.10000000000008</v>
      </c>
      <c r="H66" s="55">
        <f>1500-G66</f>
        <v>1151.8999999999999</v>
      </c>
      <c r="J66" s="113" t="s">
        <v>707</v>
      </c>
      <c r="K66" s="115">
        <v>361.11</v>
      </c>
      <c r="L66" s="115">
        <v>318.58</v>
      </c>
      <c r="M66" s="115">
        <v>305.57</v>
      </c>
      <c r="N66" s="113">
        <f>+K66+M66-L66</f>
        <v>348.10000000000008</v>
      </c>
    </row>
    <row r="67" spans="1:15" s="70" customFormat="1" ht="12.75" customHeight="1" x14ac:dyDescent="0.2">
      <c r="A67" s="24"/>
      <c r="B67" s="1"/>
      <c r="C67" s="50" t="s">
        <v>71</v>
      </c>
      <c r="D67" s="55">
        <f>+K64+K65</f>
        <v>1524.12</v>
      </c>
      <c r="E67" s="55">
        <f>+M64+M65</f>
        <v>873.06000000000006</v>
      </c>
      <c r="F67" s="55">
        <f>+L64+L65</f>
        <v>630.72</v>
      </c>
      <c r="G67" s="55">
        <f>+D67+E67-F67</f>
        <v>1766.4599999999998</v>
      </c>
      <c r="H67" s="55">
        <f>1500+700-G67</f>
        <v>433.54000000000019</v>
      </c>
      <c r="J67" s="2"/>
      <c r="K67" s="118">
        <f>SUM(K64:K66)</f>
        <v>1885.23</v>
      </c>
      <c r="L67" s="118">
        <f>SUM(L64:L66)</f>
        <v>949.3</v>
      </c>
      <c r="M67" s="118">
        <f>SUM(M64:M66)</f>
        <v>1178.6300000000001</v>
      </c>
      <c r="N67" s="118">
        <f>SUM(N64:N66)</f>
        <v>2114.5599999999995</v>
      </c>
    </row>
    <row r="68" spans="1:15" s="70" customFormat="1" ht="12.75" customHeight="1" x14ac:dyDescent="0.2">
      <c r="A68" s="24"/>
      <c r="B68" s="1"/>
      <c r="C68" s="14"/>
      <c r="D68" s="56"/>
      <c r="E68" s="13"/>
      <c r="F68" s="2"/>
      <c r="G68" s="30"/>
      <c r="H68" s="30"/>
    </row>
    <row r="69" spans="1:15" s="70" customFormat="1" ht="12.75" customHeight="1" x14ac:dyDescent="0.2">
      <c r="A69" s="215" t="s">
        <v>80</v>
      </c>
      <c r="B69" s="216"/>
      <c r="C69" s="216"/>
      <c r="D69" s="217"/>
      <c r="E69" s="69"/>
      <c r="G69" s="30"/>
      <c r="H69" s="30"/>
    </row>
    <row r="70" spans="1:15" s="70" customFormat="1" ht="12.75" customHeight="1" x14ac:dyDescent="0.2">
      <c r="A70" s="71" t="s">
        <v>81</v>
      </c>
      <c r="B70" s="71"/>
      <c r="C70" s="72" t="s">
        <v>82</v>
      </c>
      <c r="D70" s="73" t="s">
        <v>83</v>
      </c>
      <c r="E70" s="69"/>
      <c r="G70" s="30"/>
      <c r="H70" s="30"/>
    </row>
    <row r="71" spans="1:15" s="70" customFormat="1" ht="12.75" customHeight="1" x14ac:dyDescent="0.2">
      <c r="A71" s="87">
        <v>45264</v>
      </c>
      <c r="B71" s="120" t="s">
        <v>6</v>
      </c>
      <c r="C71" s="75" t="s">
        <v>86</v>
      </c>
      <c r="D71" s="88">
        <v>11017609</v>
      </c>
      <c r="E71" s="2"/>
      <c r="F71" s="2"/>
      <c r="G71" s="30"/>
      <c r="H71" s="30"/>
      <c r="I71" s="2"/>
      <c r="J71" s="2"/>
      <c r="K71" s="2"/>
      <c r="L71" s="2"/>
      <c r="M71" s="41"/>
      <c r="N71" s="42"/>
      <c r="O71" s="2"/>
    </row>
    <row r="72" spans="1:15" s="70" customFormat="1" ht="12.75" customHeight="1" x14ac:dyDescent="0.2">
      <c r="A72" s="87">
        <v>45264</v>
      </c>
      <c r="B72" s="120" t="s">
        <v>6</v>
      </c>
      <c r="C72" s="75" t="s">
        <v>86</v>
      </c>
      <c r="D72" s="88">
        <v>2663814</v>
      </c>
      <c r="E72" s="2"/>
      <c r="F72" s="2"/>
      <c r="G72" s="30"/>
      <c r="H72" s="30"/>
      <c r="I72" s="2"/>
      <c r="J72" s="2"/>
      <c r="K72" s="2"/>
      <c r="L72" s="2"/>
      <c r="M72" s="41"/>
      <c r="N72" s="42"/>
      <c r="O72" s="2"/>
    </row>
    <row r="73" spans="1:15" s="70" customFormat="1" ht="12.75" customHeight="1" x14ac:dyDescent="0.2">
      <c r="A73" s="87">
        <v>45264</v>
      </c>
      <c r="B73" s="120" t="s">
        <v>6</v>
      </c>
      <c r="C73" s="75" t="s">
        <v>86</v>
      </c>
      <c r="D73" s="88">
        <v>75522</v>
      </c>
      <c r="E73" s="2"/>
      <c r="F73" s="2"/>
      <c r="G73" s="30"/>
      <c r="H73" s="30"/>
      <c r="I73" s="2"/>
      <c r="J73" s="2"/>
      <c r="K73" s="2"/>
      <c r="L73" s="2"/>
      <c r="M73" s="41"/>
      <c r="N73" s="42"/>
      <c r="O73" s="2"/>
    </row>
    <row r="74" spans="1:15" s="70" customFormat="1" ht="12.75" customHeight="1" x14ac:dyDescent="0.2">
      <c r="A74" s="87">
        <v>45265</v>
      </c>
      <c r="B74" s="120" t="s">
        <v>6</v>
      </c>
      <c r="C74" s="75" t="s">
        <v>88</v>
      </c>
      <c r="D74" s="88">
        <v>2152501.6</v>
      </c>
      <c r="E74" s="2"/>
      <c r="F74" s="2"/>
      <c r="G74" s="30"/>
      <c r="H74" s="30"/>
      <c r="I74" s="2"/>
      <c r="J74" s="2"/>
      <c r="K74" s="2"/>
      <c r="L74" s="2"/>
      <c r="M74" s="41"/>
      <c r="N74" s="42"/>
      <c r="O74" s="2"/>
    </row>
    <row r="75" spans="1:15" s="70" customFormat="1" ht="12.75" customHeight="1" x14ac:dyDescent="0.2">
      <c r="A75" s="87">
        <v>45266</v>
      </c>
      <c r="B75" s="120" t="s">
        <v>6</v>
      </c>
      <c r="C75" s="75" t="s">
        <v>271</v>
      </c>
      <c r="D75" s="88">
        <v>9828</v>
      </c>
      <c r="E75" s="2"/>
      <c r="F75" s="2"/>
      <c r="G75" s="30"/>
      <c r="H75" s="30"/>
      <c r="I75" s="2"/>
      <c r="J75" s="2"/>
      <c r="K75" s="2"/>
      <c r="L75" s="2"/>
      <c r="M75" s="41"/>
      <c r="N75" s="42"/>
      <c r="O75" s="2"/>
    </row>
    <row r="76" spans="1:15" s="70" customFormat="1" ht="12.75" customHeight="1" x14ac:dyDescent="0.2">
      <c r="A76" s="87">
        <v>45267</v>
      </c>
      <c r="B76" s="120" t="s">
        <v>6</v>
      </c>
      <c r="C76" s="75" t="s">
        <v>85</v>
      </c>
      <c r="D76" s="88">
        <v>179811</v>
      </c>
      <c r="E76" s="2"/>
      <c r="F76" s="2"/>
      <c r="G76" s="30"/>
      <c r="H76" s="30"/>
      <c r="I76" s="2"/>
      <c r="J76" s="2"/>
      <c r="K76" s="2"/>
      <c r="L76" s="2"/>
      <c r="M76" s="41"/>
      <c r="N76" s="42"/>
      <c r="O76" s="2"/>
    </row>
    <row r="77" spans="1:15" s="70" customFormat="1" ht="12.75" customHeight="1" x14ac:dyDescent="0.2">
      <c r="A77" s="87">
        <v>45267</v>
      </c>
      <c r="B77" s="120" t="s">
        <v>6</v>
      </c>
      <c r="C77" s="75" t="s">
        <v>85</v>
      </c>
      <c r="D77" s="88">
        <v>302254</v>
      </c>
      <c r="E77" s="2"/>
      <c r="F77" s="2"/>
      <c r="G77" s="30"/>
      <c r="H77" s="30"/>
      <c r="I77" s="2"/>
      <c r="J77" s="2"/>
      <c r="K77" s="2"/>
      <c r="L77" s="2"/>
      <c r="M77" s="41"/>
      <c r="N77" s="42"/>
      <c r="O77" s="2"/>
    </row>
    <row r="78" spans="1:15" s="70" customFormat="1" ht="12.75" customHeight="1" x14ac:dyDescent="0.2">
      <c r="A78" s="87">
        <v>45268</v>
      </c>
      <c r="B78" s="120" t="s">
        <v>6</v>
      </c>
      <c r="C78" s="75" t="s">
        <v>201</v>
      </c>
      <c r="D78" s="88">
        <v>4000249.47</v>
      </c>
      <c r="E78" s="2"/>
      <c r="F78" s="2"/>
      <c r="G78" s="30"/>
      <c r="H78" s="30"/>
      <c r="I78" s="2"/>
      <c r="J78" s="2"/>
      <c r="K78" s="2"/>
      <c r="L78" s="2"/>
      <c r="M78" s="41"/>
      <c r="N78" s="42"/>
      <c r="O78" s="2"/>
    </row>
    <row r="79" spans="1:15" s="70" customFormat="1" ht="12.75" customHeight="1" x14ac:dyDescent="0.2">
      <c r="A79" s="87">
        <v>45269</v>
      </c>
      <c r="B79" s="120" t="s">
        <v>6</v>
      </c>
      <c r="C79" s="75" t="s">
        <v>85</v>
      </c>
      <c r="D79" s="88">
        <v>96273</v>
      </c>
      <c r="E79" s="2"/>
      <c r="F79" s="2"/>
      <c r="G79" s="30"/>
      <c r="H79" s="30"/>
      <c r="I79" s="2"/>
      <c r="J79" s="2"/>
      <c r="K79" s="2"/>
      <c r="L79" s="2"/>
      <c r="M79" s="41"/>
      <c r="N79" s="42"/>
      <c r="O79" s="2"/>
    </row>
    <row r="80" spans="1:15" s="70" customFormat="1" ht="12.75" customHeight="1" x14ac:dyDescent="0.2">
      <c r="A80" s="87">
        <v>45269</v>
      </c>
      <c r="B80" s="120" t="s">
        <v>6</v>
      </c>
      <c r="C80" s="75" t="s">
        <v>270</v>
      </c>
      <c r="D80" s="88">
        <v>182684</v>
      </c>
      <c r="E80" s="2"/>
      <c r="F80" s="2"/>
      <c r="G80" s="30"/>
      <c r="H80" s="30"/>
      <c r="I80" s="2"/>
      <c r="J80" s="2"/>
      <c r="K80" s="2"/>
      <c r="L80" s="2"/>
      <c r="M80" s="41"/>
      <c r="N80" s="42"/>
      <c r="O80" s="2"/>
    </row>
    <row r="81" spans="1:15" s="70" customFormat="1" ht="12.75" customHeight="1" x14ac:dyDescent="0.2">
      <c r="A81" s="87">
        <v>45269</v>
      </c>
      <c r="B81" s="120" t="s">
        <v>6</v>
      </c>
      <c r="C81" s="75" t="s">
        <v>271</v>
      </c>
      <c r="D81" s="88">
        <v>15488.3</v>
      </c>
      <c r="E81" s="2"/>
      <c r="F81" s="2"/>
      <c r="G81" s="30"/>
      <c r="H81" s="30"/>
      <c r="I81" s="2"/>
      <c r="J81" s="2"/>
      <c r="K81" s="2"/>
      <c r="L81" s="2"/>
      <c r="M81" s="41"/>
      <c r="N81" s="42"/>
      <c r="O81" s="2"/>
    </row>
    <row r="82" spans="1:15" s="70" customFormat="1" ht="12.75" customHeight="1" x14ac:dyDescent="0.2">
      <c r="A82" s="87">
        <v>45272</v>
      </c>
      <c r="B82" s="120" t="s">
        <v>6</v>
      </c>
      <c r="C82" s="75" t="s">
        <v>270</v>
      </c>
      <c r="D82" s="88">
        <v>687714</v>
      </c>
      <c r="E82" s="2"/>
      <c r="F82" s="2"/>
      <c r="G82" s="30"/>
      <c r="H82" s="30"/>
      <c r="I82" s="2"/>
      <c r="J82" s="2"/>
      <c r="K82" s="2"/>
      <c r="L82" s="2"/>
      <c r="M82" s="41"/>
      <c r="N82" s="42"/>
      <c r="O82" s="2"/>
    </row>
    <row r="83" spans="1:15" s="70" customFormat="1" ht="12.75" customHeight="1" x14ac:dyDescent="0.2">
      <c r="A83" s="87">
        <v>45272</v>
      </c>
      <c r="B83" s="120" t="s">
        <v>6</v>
      </c>
      <c r="C83" s="75" t="s">
        <v>1789</v>
      </c>
      <c r="D83" s="88">
        <v>1945116</v>
      </c>
      <c r="E83" s="2"/>
      <c r="F83" s="2"/>
      <c r="G83" s="30"/>
      <c r="H83" s="30"/>
      <c r="I83" s="2"/>
      <c r="J83" s="2"/>
      <c r="K83" s="2"/>
      <c r="L83" s="2"/>
      <c r="M83" s="41"/>
      <c r="N83" s="42"/>
      <c r="O83" s="2"/>
    </row>
    <row r="84" spans="1:15" s="70" customFormat="1" ht="12.75" customHeight="1" x14ac:dyDescent="0.2">
      <c r="A84" s="87">
        <v>45273</v>
      </c>
      <c r="B84" s="120" t="s">
        <v>6</v>
      </c>
      <c r="C84" s="75" t="s">
        <v>18</v>
      </c>
      <c r="D84" s="88">
        <v>167890</v>
      </c>
      <c r="E84" s="2"/>
      <c r="F84" s="2"/>
      <c r="G84" s="30"/>
      <c r="H84" s="30"/>
      <c r="I84" s="2"/>
      <c r="J84" s="2"/>
      <c r="K84" s="2"/>
      <c r="L84" s="2"/>
      <c r="M84" s="41"/>
      <c r="N84" s="42"/>
      <c r="O84" s="2"/>
    </row>
    <row r="85" spans="1:15" s="70" customFormat="1" ht="12.75" customHeight="1" x14ac:dyDescent="0.2">
      <c r="A85" s="87">
        <v>45274</v>
      </c>
      <c r="B85" s="120" t="s">
        <v>6</v>
      </c>
      <c r="C85" s="75" t="s">
        <v>201</v>
      </c>
      <c r="D85" s="88">
        <v>4000385.13</v>
      </c>
      <c r="E85" s="2"/>
      <c r="F85" s="2"/>
      <c r="G85" s="30"/>
      <c r="H85" s="30"/>
      <c r="I85" s="2"/>
      <c r="J85" s="2"/>
      <c r="K85" s="2"/>
      <c r="L85" s="2"/>
      <c r="M85" s="41"/>
      <c r="N85" s="42"/>
      <c r="O85" s="2"/>
    </row>
    <row r="86" spans="1:15" s="70" customFormat="1" ht="12.75" customHeight="1" x14ac:dyDescent="0.2">
      <c r="A86" s="87">
        <v>45274</v>
      </c>
      <c r="B86" s="120" t="s">
        <v>6</v>
      </c>
      <c r="C86" s="75" t="s">
        <v>594</v>
      </c>
      <c r="D86" s="88">
        <v>15735</v>
      </c>
      <c r="E86" s="2"/>
      <c r="F86" s="2"/>
      <c r="G86" s="30"/>
      <c r="H86" s="30"/>
      <c r="I86" s="2"/>
      <c r="J86" s="2"/>
      <c r="K86" s="2"/>
      <c r="L86" s="2"/>
      <c r="M86" s="41"/>
      <c r="N86" s="42"/>
      <c r="O86" s="2"/>
    </row>
    <row r="87" spans="1:15" s="70" customFormat="1" ht="12.75" customHeight="1" x14ac:dyDescent="0.2">
      <c r="A87" s="87">
        <v>45275</v>
      </c>
      <c r="B87" s="120" t="s">
        <v>6</v>
      </c>
      <c r="C87" s="75" t="s">
        <v>594</v>
      </c>
      <c r="D87" s="88">
        <v>4456919</v>
      </c>
      <c r="E87" s="2"/>
      <c r="F87" s="2"/>
      <c r="G87" s="30"/>
      <c r="H87" s="30"/>
      <c r="I87" s="2"/>
      <c r="J87" s="2"/>
      <c r="K87" s="2"/>
      <c r="L87" s="2"/>
      <c r="M87" s="41"/>
      <c r="N87" s="42"/>
      <c r="O87" s="2"/>
    </row>
    <row r="88" spans="1:15" s="70" customFormat="1" ht="12.75" customHeight="1" x14ac:dyDescent="0.2">
      <c r="A88" s="87">
        <v>45275</v>
      </c>
      <c r="B88" s="120" t="s">
        <v>6</v>
      </c>
      <c r="C88" s="75" t="s">
        <v>270</v>
      </c>
      <c r="D88" s="88">
        <v>18357</v>
      </c>
      <c r="E88" s="2"/>
      <c r="F88" s="2"/>
      <c r="G88" s="30"/>
      <c r="H88" s="30"/>
      <c r="I88" s="2"/>
      <c r="J88" s="2"/>
      <c r="K88" s="2"/>
      <c r="L88" s="2"/>
      <c r="M88" s="41"/>
      <c r="N88" s="42"/>
      <c r="O88" s="2"/>
    </row>
    <row r="89" spans="1:15" s="70" customFormat="1" ht="12.75" customHeight="1" x14ac:dyDescent="0.2">
      <c r="A89" s="87">
        <v>45276</v>
      </c>
      <c r="B89" s="120" t="s">
        <v>6</v>
      </c>
      <c r="C89" s="75" t="s">
        <v>85</v>
      </c>
      <c r="D89" s="88">
        <v>197939</v>
      </c>
      <c r="E89" s="2"/>
      <c r="F89" s="2"/>
      <c r="G89" s="30"/>
      <c r="H89" s="30"/>
      <c r="I89" s="2"/>
      <c r="J89" s="2"/>
      <c r="K89" s="2"/>
      <c r="L89" s="2"/>
      <c r="M89" s="41"/>
      <c r="N89" s="42"/>
      <c r="O89" s="2"/>
    </row>
    <row r="90" spans="1:15" s="70" customFormat="1" ht="12.75" customHeight="1" x14ac:dyDescent="0.2">
      <c r="A90" s="87">
        <v>45276</v>
      </c>
      <c r="B90" s="120" t="s">
        <v>6</v>
      </c>
      <c r="C90" s="75" t="s">
        <v>85</v>
      </c>
      <c r="D90" s="88">
        <v>103476</v>
      </c>
      <c r="E90" s="2"/>
      <c r="F90" s="2"/>
      <c r="G90" s="30"/>
      <c r="H90" s="30"/>
      <c r="I90" s="2"/>
      <c r="J90" s="2"/>
      <c r="K90" s="2"/>
      <c r="L90" s="2"/>
      <c r="M90" s="41"/>
      <c r="N90" s="42"/>
      <c r="O90" s="2"/>
    </row>
    <row r="91" spans="1:15" s="70" customFormat="1" ht="12.75" customHeight="1" x14ac:dyDescent="0.2">
      <c r="A91" s="87">
        <v>45278</v>
      </c>
      <c r="B91" s="120" t="s">
        <v>6</v>
      </c>
      <c r="C91" s="75" t="s">
        <v>270</v>
      </c>
      <c r="D91" s="88">
        <v>384076</v>
      </c>
      <c r="E91" s="2"/>
      <c r="F91" s="2"/>
      <c r="G91" s="30"/>
      <c r="H91" s="30"/>
      <c r="I91" s="2"/>
      <c r="J91" s="2"/>
      <c r="K91" s="2"/>
      <c r="L91" s="2"/>
      <c r="M91" s="41"/>
      <c r="N91" s="42"/>
      <c r="O91" s="2"/>
    </row>
    <row r="92" spans="1:15" s="70" customFormat="1" ht="12.75" customHeight="1" x14ac:dyDescent="0.2">
      <c r="A92" s="87">
        <v>45278</v>
      </c>
      <c r="B92" s="120" t="s">
        <v>6</v>
      </c>
      <c r="C92" s="75" t="s">
        <v>85</v>
      </c>
      <c r="D92" s="88">
        <v>427722</v>
      </c>
      <c r="E92" s="2"/>
      <c r="F92" s="2"/>
      <c r="G92" s="30"/>
      <c r="H92" s="30"/>
      <c r="I92" s="2"/>
      <c r="J92" s="2"/>
      <c r="K92" s="2"/>
      <c r="L92" s="2"/>
      <c r="M92" s="41"/>
      <c r="N92" s="42"/>
      <c r="O92" s="2"/>
    </row>
    <row r="93" spans="1:15" s="70" customFormat="1" ht="12.75" customHeight="1" x14ac:dyDescent="0.2">
      <c r="A93" s="87">
        <v>45280</v>
      </c>
      <c r="B93" s="120" t="s">
        <v>6</v>
      </c>
      <c r="C93" s="75" t="s">
        <v>201</v>
      </c>
      <c r="D93" s="88">
        <v>5253480</v>
      </c>
      <c r="E93" s="2"/>
      <c r="F93" s="2"/>
      <c r="G93" s="30"/>
      <c r="H93" s="30"/>
      <c r="I93" s="2"/>
      <c r="J93" s="2"/>
      <c r="K93" s="2"/>
      <c r="L93" s="2"/>
      <c r="M93" s="41"/>
      <c r="N93" s="42"/>
      <c r="O93" s="2"/>
    </row>
    <row r="94" spans="1:15" s="70" customFormat="1" ht="12.75" customHeight="1" x14ac:dyDescent="0.2">
      <c r="A94" s="87">
        <v>45280</v>
      </c>
      <c r="B94" s="120" t="s">
        <v>6</v>
      </c>
      <c r="C94" s="75" t="s">
        <v>18</v>
      </c>
      <c r="D94" s="88">
        <v>604243</v>
      </c>
      <c r="E94" s="2"/>
      <c r="F94" s="2"/>
      <c r="G94" s="30"/>
      <c r="H94" s="30"/>
      <c r="I94" s="2"/>
      <c r="J94" s="2"/>
      <c r="K94" s="2"/>
      <c r="L94" s="2"/>
      <c r="M94" s="41"/>
      <c r="N94" s="42"/>
      <c r="O94" s="2"/>
    </row>
    <row r="95" spans="1:15" s="70" customFormat="1" ht="12.75" customHeight="1" x14ac:dyDescent="0.2">
      <c r="A95" s="87">
        <v>45280</v>
      </c>
      <c r="B95" s="120" t="s">
        <v>6</v>
      </c>
      <c r="C95" s="75" t="s">
        <v>88</v>
      </c>
      <c r="D95" s="88">
        <v>7395284.2999999998</v>
      </c>
      <c r="E95" s="2"/>
      <c r="F95" s="2"/>
      <c r="G95" s="30"/>
      <c r="H95" s="30"/>
      <c r="I95" s="2"/>
      <c r="J95" s="2"/>
      <c r="K95" s="2"/>
      <c r="L95" s="2"/>
      <c r="M95" s="41"/>
      <c r="N95" s="42"/>
      <c r="O95" s="2"/>
    </row>
    <row r="96" spans="1:15" s="70" customFormat="1" ht="12.75" customHeight="1" x14ac:dyDescent="0.2">
      <c r="A96" s="87">
        <v>45281</v>
      </c>
      <c r="B96" s="120" t="s">
        <v>6</v>
      </c>
      <c r="C96" s="75" t="s">
        <v>1897</v>
      </c>
      <c r="D96" s="88">
        <v>710500.05</v>
      </c>
      <c r="E96" s="2"/>
      <c r="F96" s="2"/>
      <c r="G96" s="30"/>
      <c r="H96" s="30"/>
      <c r="I96" s="2"/>
      <c r="J96" s="2"/>
      <c r="K96" s="2"/>
      <c r="L96" s="2"/>
      <c r="M96" s="41"/>
      <c r="N96" s="42"/>
      <c r="O96" s="2"/>
    </row>
    <row r="97" spans="1:15" s="70" customFormat="1" ht="12.75" customHeight="1" x14ac:dyDescent="0.2">
      <c r="A97" s="87">
        <v>45281</v>
      </c>
      <c r="B97" s="120" t="s">
        <v>6</v>
      </c>
      <c r="C97" s="75" t="s">
        <v>271</v>
      </c>
      <c r="D97" s="88">
        <v>32519</v>
      </c>
      <c r="E97" s="2"/>
      <c r="F97" s="2"/>
      <c r="G97" s="30"/>
      <c r="H97" s="30"/>
      <c r="I97" s="2"/>
      <c r="J97" s="2"/>
      <c r="K97" s="2"/>
      <c r="L97" s="2"/>
      <c r="M97" s="41"/>
      <c r="N97" s="42"/>
      <c r="O97" s="2"/>
    </row>
    <row r="98" spans="1:15" s="70" customFormat="1" ht="12.75" customHeight="1" x14ac:dyDescent="0.2">
      <c r="A98" s="87">
        <v>45282</v>
      </c>
      <c r="B98" s="120" t="s">
        <v>6</v>
      </c>
      <c r="C98" s="75" t="s">
        <v>85</v>
      </c>
      <c r="D98" s="88">
        <v>459852</v>
      </c>
      <c r="E98" s="2"/>
      <c r="F98" s="2"/>
      <c r="G98" s="30"/>
      <c r="H98" s="30"/>
      <c r="I98" s="2"/>
      <c r="J98" s="2"/>
      <c r="K98" s="2"/>
      <c r="L98" s="2"/>
      <c r="M98" s="41"/>
      <c r="N98" s="42"/>
      <c r="O98" s="2"/>
    </row>
    <row r="99" spans="1:15" s="70" customFormat="1" ht="12.75" customHeight="1" x14ac:dyDescent="0.2">
      <c r="A99" s="87">
        <v>45282</v>
      </c>
      <c r="B99" s="120" t="s">
        <v>6</v>
      </c>
      <c r="C99" s="75" t="s">
        <v>467</v>
      </c>
      <c r="D99" s="88">
        <v>5455880</v>
      </c>
      <c r="E99" s="2"/>
      <c r="F99" s="2"/>
      <c r="G99" s="30"/>
      <c r="H99" s="30"/>
      <c r="I99" s="2"/>
      <c r="J99" s="2"/>
      <c r="K99" s="2"/>
      <c r="L99" s="2"/>
      <c r="M99" s="41"/>
      <c r="N99" s="42"/>
      <c r="O99" s="2"/>
    </row>
    <row r="100" spans="1:15" s="2" customFormat="1" x14ac:dyDescent="0.2">
      <c r="A100" s="87"/>
      <c r="B100" s="74"/>
      <c r="C100" s="75"/>
      <c r="D100" s="51">
        <f>SUM(D71:D99)</f>
        <v>53013121.849999994</v>
      </c>
      <c r="F100" s="2" t="s">
        <v>396</v>
      </c>
      <c r="G100" s="1"/>
      <c r="H100" s="1"/>
    </row>
    <row r="101" spans="1:15" s="2" customFormat="1" x14ac:dyDescent="0.2">
      <c r="A101" s="24"/>
      <c r="B101" s="1"/>
      <c r="C101" s="14"/>
      <c r="D101" s="56"/>
      <c r="E101" s="13"/>
      <c r="G101" s="1"/>
      <c r="H101" s="1"/>
    </row>
    <row r="102" spans="1:15" s="2" customFormat="1" x14ac:dyDescent="0.2">
      <c r="A102" s="24"/>
      <c r="B102" s="1"/>
      <c r="C102" s="218" t="s">
        <v>77</v>
      </c>
      <c r="D102" s="219"/>
      <c r="E102" s="219"/>
      <c r="F102" s="220"/>
      <c r="I102" s="2" t="s">
        <v>396</v>
      </c>
    </row>
    <row r="103" spans="1:15" s="2" customFormat="1" x14ac:dyDescent="0.2">
      <c r="A103" s="24"/>
      <c r="B103" s="1"/>
      <c r="C103" s="50"/>
      <c r="D103" s="57" t="s">
        <v>78</v>
      </c>
      <c r="E103" s="58" t="s">
        <v>79</v>
      </c>
      <c r="F103" s="57" t="s">
        <v>72</v>
      </c>
      <c r="I103" s="2" t="s">
        <v>396</v>
      </c>
    </row>
    <row r="104" spans="1:15" s="2" customFormat="1" x14ac:dyDescent="0.2">
      <c r="A104" s="24"/>
      <c r="B104" s="1"/>
      <c r="C104" s="59" t="str">
        <f>"01-12-2023 to "&amp;TEXT(A5-2,"dd-mm-yyyy")</f>
        <v>01-12-2023 to 23-12-2023</v>
      </c>
      <c r="D104" s="60">
        <v>1778.49</v>
      </c>
      <c r="E104" s="60">
        <v>537.51</v>
      </c>
      <c r="F104" s="61">
        <f>SUM(D104:E104)</f>
        <v>2316</v>
      </c>
    </row>
    <row r="105" spans="1:15" s="2" customFormat="1" x14ac:dyDescent="0.2">
      <c r="A105" s="24"/>
      <c r="B105" s="1"/>
      <c r="C105" s="62" t="str">
        <f>TEXT(A5-1,"dd-mm-yyyy")</f>
        <v>24-12-2023</v>
      </c>
      <c r="D105" s="60">
        <v>0</v>
      </c>
      <c r="E105" s="60">
        <v>0</v>
      </c>
      <c r="F105" s="61">
        <f>SUM(D105:E105)</f>
        <v>0</v>
      </c>
      <c r="G105" s="1"/>
      <c r="H105" s="1"/>
      <c r="I105" s="53"/>
    </row>
    <row r="106" spans="1:15" s="2" customFormat="1" ht="13.5" thickBot="1" x14ac:dyDescent="0.25">
      <c r="A106" s="24"/>
      <c r="B106" s="1"/>
      <c r="C106" s="63" t="str">
        <f>"01-12-2023 to "&amp;TEXT(A5-1,"dd-mm-yyyy")</f>
        <v>01-12-2023 to 24-12-2023</v>
      </c>
      <c r="D106" s="64">
        <f>SUM(D104:D105)</f>
        <v>1778.49</v>
      </c>
      <c r="E106" s="64">
        <f>SUM(E104:E105)</f>
        <v>537.51</v>
      </c>
      <c r="F106" s="64">
        <f>SUM(F104:F105)</f>
        <v>2316</v>
      </c>
      <c r="G106" s="1"/>
      <c r="H106" s="1"/>
      <c r="I106" s="53"/>
    </row>
    <row r="107" spans="1:15" s="2" customFormat="1" ht="13.5" thickTop="1" x14ac:dyDescent="0.2">
      <c r="A107" s="24"/>
      <c r="B107" s="1"/>
      <c r="C107" s="62"/>
      <c r="D107" s="65"/>
      <c r="E107" s="66"/>
      <c r="F107" s="67"/>
      <c r="M107" s="1"/>
      <c r="N107" s="1"/>
    </row>
    <row r="108" spans="1:15" s="2" customFormat="1" x14ac:dyDescent="0.2">
      <c r="A108" s="24"/>
      <c r="B108" s="1"/>
      <c r="C108" s="62" t="str">
        <f>"01-04-2023 to " &amp;C105</f>
        <v>01-04-2023 to 24-12-2023</v>
      </c>
      <c r="D108" s="68">
        <f>+D106+32234.22</f>
        <v>34012.71</v>
      </c>
      <c r="E108" s="68">
        <f>+E106+3134.59</f>
        <v>3672.1000000000004</v>
      </c>
      <c r="F108" s="68">
        <f>+F106+35368.81</f>
        <v>37684.81</v>
      </c>
      <c r="G108" s="1"/>
      <c r="H108" s="1"/>
      <c r="M108" s="1"/>
      <c r="N108" s="1"/>
    </row>
    <row r="109" spans="1:15" s="2" customFormat="1" x14ac:dyDescent="0.2">
      <c r="A109" s="24"/>
      <c r="B109" s="1"/>
      <c r="C109" s="52"/>
      <c r="D109" s="85"/>
      <c r="E109" s="53"/>
      <c r="F109" s="53"/>
      <c r="G109" s="1"/>
      <c r="H109" s="1"/>
      <c r="M109" s="1"/>
      <c r="N109" s="1"/>
    </row>
    <row r="110" spans="1:15" s="2" customFormat="1" x14ac:dyDescent="0.2">
      <c r="A110" s="24"/>
      <c r="B110" s="1"/>
      <c r="C110" s="52"/>
      <c r="D110" s="85"/>
      <c r="E110" s="53"/>
      <c r="F110" s="53"/>
      <c r="G110" s="1"/>
      <c r="H110" s="1"/>
      <c r="M110" s="1"/>
      <c r="N110" s="1"/>
    </row>
    <row r="111" spans="1:15" s="2" customFormat="1" x14ac:dyDescent="0.2">
      <c r="A111" s="24"/>
      <c r="B111" s="1"/>
      <c r="C111" s="52"/>
      <c r="D111" s="85"/>
      <c r="E111" s="53"/>
      <c r="F111" s="53"/>
      <c r="G111" s="1"/>
      <c r="H111" s="1"/>
      <c r="M111" s="1"/>
      <c r="N111" s="1"/>
    </row>
    <row r="112" spans="1:15" s="2" customFormat="1" x14ac:dyDescent="0.2">
      <c r="A112" s="24"/>
      <c r="B112" s="1"/>
      <c r="C112" s="52"/>
      <c r="D112" s="85"/>
      <c r="E112" s="53"/>
      <c r="F112" s="53"/>
      <c r="G112" s="1"/>
      <c r="H112" s="1"/>
      <c r="M112" s="1"/>
      <c r="N112" s="1"/>
    </row>
    <row r="113" spans="1:14" s="2" customFormat="1" x14ac:dyDescent="0.2">
      <c r="A113" s="24"/>
      <c r="B113" s="1"/>
      <c r="C113" s="14"/>
      <c r="D113" s="25">
        <f>SUM(D110:D112)</f>
        <v>0</v>
      </c>
      <c r="E113" s="2">
        <f>SUM(E110:E112)</f>
        <v>0</v>
      </c>
      <c r="G113" s="1"/>
      <c r="H113" s="1"/>
      <c r="M113" s="1"/>
      <c r="N113" s="1"/>
    </row>
    <row r="114" spans="1:14" s="2" customFormat="1" x14ac:dyDescent="0.2">
      <c r="A114" s="24"/>
      <c r="B114" s="1"/>
      <c r="C114" s="14"/>
      <c r="D114" s="25"/>
      <c r="G114" s="1"/>
      <c r="H114" s="1"/>
      <c r="M114" s="1"/>
      <c r="N114" s="1"/>
    </row>
    <row r="115" spans="1:14" s="2" customFormat="1" x14ac:dyDescent="0.2">
      <c r="A115" s="24"/>
      <c r="B115" s="1"/>
      <c r="C115" s="14"/>
      <c r="D115" s="25"/>
      <c r="G115" s="1"/>
      <c r="H115" s="1"/>
      <c r="M115" s="1"/>
      <c r="N115" s="1"/>
    </row>
    <row r="116" spans="1:14" s="2" customFormat="1" x14ac:dyDescent="0.2">
      <c r="A116" s="24"/>
      <c r="B116" s="1"/>
      <c r="C116" s="14"/>
      <c r="D116" s="25"/>
      <c r="G116" s="1"/>
      <c r="H116" s="1"/>
      <c r="M116" s="1"/>
      <c r="N116" s="1"/>
    </row>
    <row r="117" spans="1:14" s="2" customFormat="1" x14ac:dyDescent="0.2">
      <c r="A117" s="24"/>
      <c r="B117" s="1"/>
      <c r="C117" s="14"/>
      <c r="D117" s="25"/>
      <c r="G117" s="1"/>
      <c r="H117" s="1"/>
      <c r="M117" s="1"/>
      <c r="N117" s="1"/>
    </row>
    <row r="118" spans="1:14" s="2" customFormat="1" x14ac:dyDescent="0.2">
      <c r="A118" s="24"/>
      <c r="B118" s="1"/>
      <c r="C118" s="14"/>
      <c r="D118" s="25"/>
      <c r="G118" s="1"/>
      <c r="H118" s="1"/>
      <c r="M118" s="1"/>
      <c r="N118" s="1"/>
    </row>
    <row r="119" spans="1:14" s="2" customFormat="1" x14ac:dyDescent="0.2">
      <c r="A119" s="24"/>
      <c r="B119" s="1"/>
      <c r="C119" s="14"/>
      <c r="D119" s="25"/>
      <c r="G119" s="1"/>
      <c r="H119" s="1"/>
      <c r="M119" s="1"/>
      <c r="N119" s="1"/>
    </row>
    <row r="120" spans="1:14" s="2" customFormat="1" x14ac:dyDescent="0.2">
      <c r="A120" s="24"/>
      <c r="B120" s="1"/>
      <c r="C120" s="14"/>
      <c r="D120" s="25"/>
      <c r="G120" s="1"/>
      <c r="H120" s="1"/>
      <c r="M120" s="1"/>
      <c r="N120" s="1"/>
    </row>
    <row r="121" spans="1:14" s="2" customFormat="1" x14ac:dyDescent="0.2">
      <c r="A121" s="24"/>
      <c r="B121" s="1"/>
      <c r="C121" s="14"/>
      <c r="D121" s="25"/>
      <c r="G121" s="1"/>
      <c r="H121" s="1"/>
      <c r="M121" s="1"/>
      <c r="N121" s="1"/>
    </row>
    <row r="122" spans="1:14" s="2" customFormat="1" x14ac:dyDescent="0.2">
      <c r="A122" s="24"/>
      <c r="B122" s="1"/>
      <c r="C122" s="14"/>
      <c r="D122" s="25"/>
      <c r="G122" s="1"/>
      <c r="H122" s="1"/>
      <c r="M122" s="1"/>
      <c r="N122" s="1"/>
    </row>
    <row r="123" spans="1:14" s="2" customFormat="1" x14ac:dyDescent="0.2">
      <c r="A123" s="24"/>
      <c r="B123" s="1"/>
      <c r="C123" s="14"/>
      <c r="D123" s="25"/>
      <c r="G123" s="1"/>
      <c r="H123" s="1"/>
      <c r="M123" s="1"/>
      <c r="N123" s="1"/>
    </row>
    <row r="124" spans="1:14" s="2" customFormat="1" x14ac:dyDescent="0.2">
      <c r="A124" s="24"/>
      <c r="B124" s="1"/>
      <c r="C124" s="14"/>
      <c r="D124" s="25"/>
      <c r="G124" s="1"/>
      <c r="H124" s="1"/>
      <c r="M124" s="1"/>
      <c r="N124" s="1"/>
    </row>
    <row r="125" spans="1:14" s="2" customFormat="1" x14ac:dyDescent="0.2">
      <c r="A125" s="24"/>
      <c r="B125" s="1"/>
      <c r="C125" s="14"/>
      <c r="D125" s="25"/>
      <c r="G125" s="1"/>
      <c r="H125" s="1"/>
      <c r="M125" s="1"/>
      <c r="N125" s="1"/>
    </row>
    <row r="126" spans="1:14" s="2" customFormat="1" x14ac:dyDescent="0.2">
      <c r="A126" s="24"/>
      <c r="B126" s="1"/>
      <c r="C126" s="14"/>
      <c r="D126" s="25"/>
      <c r="G126" s="1"/>
      <c r="H126" s="1"/>
      <c r="M126" s="1"/>
      <c r="N126" s="1"/>
    </row>
    <row r="127" spans="1:14" s="2" customFormat="1" x14ac:dyDescent="0.2">
      <c r="A127" s="24"/>
      <c r="B127" s="1"/>
      <c r="C127" s="14"/>
      <c r="D127" s="25"/>
      <c r="G127" s="1"/>
      <c r="H127" s="1"/>
      <c r="J127" s="1"/>
      <c r="K127" s="1"/>
      <c r="L127" s="1"/>
      <c r="M127" s="1"/>
      <c r="N127" s="1"/>
    </row>
    <row r="128" spans="1:14" s="2" customFormat="1" x14ac:dyDescent="0.2">
      <c r="A128" s="24"/>
      <c r="B128" s="1"/>
      <c r="C128" s="14"/>
      <c r="D128" s="25"/>
      <c r="G128" s="1"/>
      <c r="H128" s="1"/>
    </row>
    <row r="129" spans="1:15" s="2" customFormat="1" x14ac:dyDescent="0.2">
      <c r="A129" s="24"/>
      <c r="B129" s="1"/>
      <c r="C129" s="14"/>
      <c r="D129" s="25"/>
      <c r="G129" s="1"/>
      <c r="H129" s="1"/>
      <c r="J129" s="1"/>
      <c r="K129" s="1"/>
      <c r="L129" s="1"/>
      <c r="M129" s="1"/>
      <c r="N129" s="1"/>
    </row>
    <row r="130" spans="1:15" s="2" customFormat="1" x14ac:dyDescent="0.2">
      <c r="A130" s="24"/>
      <c r="B130" s="1"/>
      <c r="C130" s="14"/>
      <c r="D130" s="25"/>
      <c r="G130" s="54"/>
      <c r="H130" s="54"/>
      <c r="J130" s="1"/>
      <c r="K130" s="1"/>
      <c r="L130" s="1"/>
      <c r="M130" s="1"/>
      <c r="N130" s="1"/>
    </row>
    <row r="131" spans="1:15" s="2" customFormat="1" x14ac:dyDescent="0.2">
      <c r="A131" s="24"/>
      <c r="B131" s="1"/>
      <c r="C131" s="14"/>
      <c r="D131" s="25"/>
      <c r="G131" s="54"/>
      <c r="H131" s="54"/>
      <c r="J131" s="1"/>
      <c r="K131" s="1"/>
      <c r="L131" s="1"/>
      <c r="M131" s="1"/>
      <c r="N131" s="1"/>
    </row>
    <row r="132" spans="1:15" s="2" customFormat="1" x14ac:dyDescent="0.2">
      <c r="A132" s="24"/>
      <c r="B132" s="1"/>
      <c r="C132" s="14"/>
      <c r="D132" s="25"/>
      <c r="G132" s="54"/>
      <c r="H132" s="54"/>
      <c r="J132" s="1"/>
      <c r="K132" s="1"/>
      <c r="L132" s="1"/>
      <c r="M132" s="1"/>
      <c r="N132" s="1"/>
    </row>
    <row r="133" spans="1:15" s="2" customFormat="1" x14ac:dyDescent="0.2">
      <c r="A133" s="24"/>
      <c r="B133" s="1"/>
      <c r="C133" s="14"/>
      <c r="D133" s="25"/>
      <c r="G133" s="54"/>
      <c r="H133" s="54"/>
      <c r="I133" s="2" t="s">
        <v>396</v>
      </c>
      <c r="J133" s="1"/>
      <c r="K133" s="1"/>
      <c r="L133" s="1"/>
      <c r="M133" s="1"/>
      <c r="N133" s="1"/>
      <c r="O133" s="1"/>
    </row>
    <row r="134" spans="1:15" s="2" customFormat="1" x14ac:dyDescent="0.2">
      <c r="A134" s="24"/>
      <c r="B134" s="1"/>
      <c r="C134" s="14"/>
      <c r="D134" s="25"/>
      <c r="G134" s="54"/>
      <c r="H134" s="54"/>
      <c r="I134" s="53"/>
    </row>
    <row r="135" spans="1:15" s="2" customFormat="1" x14ac:dyDescent="0.2">
      <c r="A135" s="24"/>
      <c r="B135" s="1"/>
      <c r="C135" s="14"/>
      <c r="D135" s="25"/>
      <c r="G135" s="54"/>
      <c r="H135" s="54"/>
      <c r="I135" s="53" t="s">
        <v>396</v>
      </c>
      <c r="J135" s="1"/>
      <c r="K135" s="1"/>
      <c r="L135" s="1"/>
      <c r="M135" s="1"/>
      <c r="N135" s="1"/>
      <c r="O135" s="1"/>
    </row>
    <row r="136" spans="1:15" x14ac:dyDescent="0.2">
      <c r="G136" s="54"/>
      <c r="H136" s="54"/>
      <c r="I136" s="53" t="s">
        <v>396</v>
      </c>
      <c r="K136" s="42"/>
    </row>
    <row r="137" spans="1:15" s="2" customFormat="1" x14ac:dyDescent="0.2">
      <c r="A137" s="24"/>
      <c r="B137" s="1"/>
      <c r="C137" s="14"/>
      <c r="D137" s="25"/>
      <c r="G137" s="54"/>
      <c r="H137" s="54"/>
      <c r="I137" s="53"/>
      <c r="J137" s="101"/>
      <c r="K137" s="1"/>
      <c r="L137" s="1"/>
      <c r="M137" s="1"/>
      <c r="N137" s="1"/>
      <c r="O137" s="1"/>
    </row>
    <row r="138" spans="1:15" x14ac:dyDescent="0.2">
      <c r="G138" s="54"/>
      <c r="H138" s="54"/>
      <c r="I138" s="53"/>
    </row>
    <row r="139" spans="1:15" x14ac:dyDescent="0.2">
      <c r="G139" s="54"/>
      <c r="H139" s="54"/>
      <c r="I139" s="53"/>
    </row>
    <row r="140" spans="1:15" x14ac:dyDescent="0.2">
      <c r="G140" s="54"/>
      <c r="H140" s="54"/>
      <c r="I140" s="53"/>
    </row>
  </sheetData>
  <sheetProtection insertRows="0"/>
  <mergeCells count="7">
    <mergeCell ref="K62:L62"/>
    <mergeCell ref="A69:D69"/>
    <mergeCell ref="C102:F102"/>
    <mergeCell ref="A1:H1"/>
    <mergeCell ref="A3:F3"/>
    <mergeCell ref="A9:F9"/>
    <mergeCell ref="A32:F32"/>
  </mergeCells>
  <conditionalFormatting sqref="H66:H67">
    <cfRule type="cellIs" dxfId="159" priority="1" operator="lessThan">
      <formula>0</formula>
    </cfRule>
  </conditionalFormatting>
  <conditionalFormatting sqref="C34">
    <cfRule type="duplicateValues" dxfId="158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300-000000000000}">
  <sheetPr codeName="Sheet507">
    <pageSetUpPr fitToPage="1"/>
  </sheetPr>
  <dimension ref="A1:O180"/>
  <sheetViews>
    <sheetView topLeftCell="A25" zoomScaleNormal="100" workbookViewId="0">
      <selection activeCell="E45" sqref="E45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12.85546875" style="1" customWidth="1"/>
    <col min="9" max="9" width="24.85546875" style="2" bestFit="1" customWidth="1"/>
    <col min="10" max="10" width="21.5703125" style="1" bestFit="1" customWidth="1"/>
    <col min="11" max="11" width="16.85546875" style="1" bestFit="1" customWidth="1"/>
    <col min="12" max="12" width="17.28515625" style="1" bestFit="1" customWidth="1"/>
    <col min="13" max="13" width="13.5703125" style="1" bestFit="1" customWidth="1"/>
    <col min="14" max="14" width="17.42578125" style="1" bestFit="1" customWidth="1"/>
    <col min="15" max="15" width="12.85546875" style="1" bestFit="1" customWidth="1"/>
    <col min="16" max="17" width="9.140625" style="1"/>
    <col min="18" max="18" width="15.5703125" style="1" bestFit="1" customWidth="1"/>
    <col min="19" max="16384" width="9.140625" style="1"/>
  </cols>
  <sheetData>
    <row r="1" spans="1:14" ht="20.25" customHeight="1" x14ac:dyDescent="0.4">
      <c r="A1" s="212" t="s">
        <v>1909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4" ht="12.75" customHeight="1" x14ac:dyDescent="0.4">
      <c r="I2" s="112"/>
      <c r="J2" s="112"/>
    </row>
    <row r="3" spans="1:14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4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4" s="2" customFormat="1" ht="14.25" customHeight="1" x14ac:dyDescent="0.4">
      <c r="A5" s="89">
        <v>45286</v>
      </c>
      <c r="B5" s="9" t="s">
        <v>6</v>
      </c>
      <c r="C5" s="10" t="s">
        <v>7</v>
      </c>
      <c r="D5" s="11"/>
      <c r="E5" s="12">
        <v>670047.23000000045</v>
      </c>
      <c r="F5" s="12"/>
      <c r="G5" s="1"/>
      <c r="H5" s="1"/>
      <c r="I5" s="112"/>
      <c r="J5" s="112"/>
    </row>
    <row r="6" spans="1:14" s="2" customFormat="1" ht="12.75" customHeight="1" x14ac:dyDescent="0.2">
      <c r="D6" s="15" t="s">
        <v>8</v>
      </c>
      <c r="E6" s="16">
        <f>SUM(E5:E5)</f>
        <v>670047.23000000045</v>
      </c>
      <c r="F6" s="16">
        <f>F5</f>
        <v>0</v>
      </c>
      <c r="G6" s="1"/>
      <c r="H6" s="1"/>
      <c r="I6" s="13" t="s">
        <v>1582</v>
      </c>
      <c r="J6" s="13" t="s">
        <v>1583</v>
      </c>
    </row>
    <row r="7" spans="1:14" s="2" customFormat="1" ht="12.75" customHeight="1" x14ac:dyDescent="0.2">
      <c r="A7" s="17"/>
      <c r="B7" s="18"/>
      <c r="C7" s="19" t="s">
        <v>9</v>
      </c>
      <c r="D7" s="20"/>
      <c r="E7" s="21">
        <f>+E6-F6</f>
        <v>670047.23000000045</v>
      </c>
      <c r="F7" s="22"/>
      <c r="G7" s="23"/>
      <c r="H7" s="23"/>
      <c r="I7" s="2">
        <v>3866323</v>
      </c>
      <c r="J7" s="2">
        <v>41500</v>
      </c>
      <c r="K7" s="176">
        <f>I7-J7</f>
        <v>3824823</v>
      </c>
    </row>
    <row r="8" spans="1:14" ht="12.75" customHeight="1" x14ac:dyDescent="0.4">
      <c r="I8" s="112"/>
      <c r="J8" s="112"/>
    </row>
    <row r="9" spans="1:14" ht="18" customHeight="1" x14ac:dyDescent="0.4">
      <c r="A9" s="213" t="s">
        <v>1037</v>
      </c>
      <c r="B9" s="213"/>
      <c r="C9" s="213"/>
      <c r="D9" s="213"/>
      <c r="E9" s="213"/>
      <c r="F9" s="213"/>
      <c r="I9" s="112"/>
      <c r="J9" s="169">
        <f>90000000-60000000</f>
        <v>30000000</v>
      </c>
      <c r="K9" s="169" t="s">
        <v>1508</v>
      </c>
    </row>
    <row r="10" spans="1:14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I10" s="112"/>
      <c r="J10" s="169">
        <v>29136242.399999999</v>
      </c>
      <c r="K10" s="169" t="s">
        <v>1509</v>
      </c>
      <c r="L10" s="124"/>
    </row>
    <row r="11" spans="1:14" s="2" customFormat="1" ht="14.25" customHeight="1" x14ac:dyDescent="0.2">
      <c r="A11" s="89">
        <v>45286</v>
      </c>
      <c r="B11" s="9" t="s">
        <v>6</v>
      </c>
      <c r="C11" s="10" t="s">
        <v>7</v>
      </c>
      <c r="D11" s="11"/>
      <c r="F11" s="12">
        <v>29967970.400000002</v>
      </c>
      <c r="G11" s="1"/>
      <c r="H11" s="1"/>
      <c r="I11" s="130" t="s">
        <v>396</v>
      </c>
      <c r="J11" s="169">
        <f>+J9-J10</f>
        <v>863757.60000000149</v>
      </c>
      <c r="K11" s="169" t="s">
        <v>712</v>
      </c>
      <c r="L11" s="165" t="s">
        <v>1512</v>
      </c>
    </row>
    <row r="12" spans="1:14" s="2" customFormat="1" ht="14.25" customHeight="1" x14ac:dyDescent="0.2">
      <c r="A12" s="89">
        <v>45286</v>
      </c>
      <c r="B12" s="128" t="s">
        <v>6</v>
      </c>
      <c r="C12" s="76" t="s">
        <v>763</v>
      </c>
      <c r="D12" s="11" t="s">
        <v>13</v>
      </c>
      <c r="E12" s="31">
        <f>666323+831728</f>
        <v>1498051</v>
      </c>
      <c r="F12" s="31"/>
      <c r="G12" s="1"/>
      <c r="H12" s="1"/>
      <c r="I12" s="130"/>
      <c r="J12" s="169"/>
      <c r="K12" s="169"/>
      <c r="L12" s="165"/>
    </row>
    <row r="13" spans="1:14" s="2" customFormat="1" ht="14.25" customHeight="1" x14ac:dyDescent="0.2">
      <c r="A13" s="89">
        <v>45286</v>
      </c>
      <c r="B13" s="128" t="s">
        <v>6</v>
      </c>
      <c r="C13" s="76" t="s">
        <v>1025</v>
      </c>
      <c r="D13" s="11" t="s">
        <v>13</v>
      </c>
      <c r="E13" s="31">
        <v>3200000</v>
      </c>
      <c r="F13" s="31"/>
      <c r="G13" s="1"/>
      <c r="H13" s="1"/>
      <c r="I13" s="130"/>
      <c r="J13" s="169"/>
      <c r="K13" s="169"/>
      <c r="L13" s="165"/>
    </row>
    <row r="14" spans="1:14" s="2" customFormat="1" ht="14.25" customHeight="1" x14ac:dyDescent="0.2">
      <c r="A14" s="89">
        <v>45286</v>
      </c>
      <c r="B14" s="128" t="s">
        <v>11</v>
      </c>
      <c r="C14" s="76" t="s">
        <v>62</v>
      </c>
      <c r="D14" s="11" t="s">
        <v>29</v>
      </c>
      <c r="E14" s="31"/>
      <c r="F14" s="31">
        <v>41500</v>
      </c>
      <c r="G14" s="1"/>
      <c r="H14" s="1"/>
      <c r="I14" s="130"/>
      <c r="J14" s="169"/>
      <c r="K14" s="169"/>
      <c r="L14" s="165"/>
    </row>
    <row r="15" spans="1:14" s="2" customFormat="1" ht="14.25" customHeight="1" x14ac:dyDescent="0.2">
      <c r="D15" s="11" t="s">
        <v>8</v>
      </c>
      <c r="E15" s="16">
        <f>SUM(E12:E13)</f>
        <v>4698051</v>
      </c>
      <c r="F15" s="16">
        <f>SUM(F11:F14)</f>
        <v>30009470.400000002</v>
      </c>
      <c r="G15" s="1"/>
      <c r="H15" s="1"/>
      <c r="I15" s="143"/>
      <c r="J15" s="130"/>
      <c r="K15" s="143"/>
      <c r="L15" s="143"/>
      <c r="M15" s="143"/>
      <c r="N15" s="143"/>
    </row>
    <row r="16" spans="1:14" s="2" customFormat="1" ht="14.25" customHeight="1" x14ac:dyDescent="0.4">
      <c r="A16" s="17"/>
      <c r="B16" s="18"/>
      <c r="C16" s="96" t="s">
        <v>9</v>
      </c>
      <c r="D16" s="20"/>
      <c r="E16" s="21">
        <f>+F15-E15</f>
        <v>25311419.400000002</v>
      </c>
      <c r="G16" s="1"/>
      <c r="H16" s="1"/>
      <c r="J16" s="112"/>
      <c r="K16" s="153" t="s">
        <v>779</v>
      </c>
    </row>
    <row r="17" spans="1:15" s="2" customFormat="1" ht="14.25" customHeight="1" x14ac:dyDescent="0.2">
      <c r="A17" s="36"/>
      <c r="B17" s="28" t="s">
        <v>66</v>
      </c>
      <c r="C17" s="43" t="s">
        <v>1458</v>
      </c>
      <c r="D17" s="43"/>
      <c r="E17" s="12">
        <f>30000000+60000000</f>
        <v>90000000</v>
      </c>
      <c r="F17" s="22"/>
      <c r="G17" s="1"/>
      <c r="H17" s="1"/>
      <c r="J17" s="40">
        <f>25307919.4+3500</f>
        <v>25311419.399999999</v>
      </c>
      <c r="K17" s="154">
        <f>J17-E16</f>
        <v>0</v>
      </c>
    </row>
    <row r="18" spans="1:15" s="2" customFormat="1" ht="14.25" customHeight="1" x14ac:dyDescent="0.25">
      <c r="A18" s="36"/>
      <c r="B18" s="28"/>
      <c r="C18" s="44" t="s">
        <v>1541</v>
      </c>
      <c r="D18" s="43"/>
      <c r="E18" s="7">
        <f>+E16+E17</f>
        <v>115311419.40000001</v>
      </c>
      <c r="F18" s="22"/>
      <c r="G18" s="1"/>
      <c r="H18" s="1"/>
      <c r="I18" s="13" t="s">
        <v>1582</v>
      </c>
      <c r="J18" s="13" t="s">
        <v>1583</v>
      </c>
    </row>
    <row r="19" spans="1:15" s="2" customFormat="1" ht="14.25" customHeight="1" x14ac:dyDescent="0.25">
      <c r="A19" s="36"/>
      <c r="B19" s="28"/>
      <c r="C19" s="44" t="s">
        <v>1511</v>
      </c>
      <c r="D19" s="43"/>
      <c r="E19" s="38">
        <f>+J11+I7-J7</f>
        <v>4688580.6000000015</v>
      </c>
      <c r="F19" s="22"/>
      <c r="G19" s="1"/>
      <c r="H19" s="1"/>
      <c r="I19" s="2">
        <v>1816284</v>
      </c>
      <c r="J19" s="2">
        <v>16497127.08</v>
      </c>
      <c r="K19" s="176">
        <f>I19-J19</f>
        <v>-14680843.08</v>
      </c>
    </row>
    <row r="20" spans="1:15" s="2" customFormat="1" ht="14.25" customHeight="1" x14ac:dyDescent="0.2">
      <c r="A20" s="24"/>
      <c r="B20" s="1"/>
      <c r="C20" s="14"/>
      <c r="D20" s="25"/>
      <c r="G20" s="1"/>
      <c r="H20" s="1"/>
      <c r="J20" s="130"/>
      <c r="K20" s="130"/>
    </row>
    <row r="21" spans="1:15" s="2" customFormat="1" x14ac:dyDescent="0.2">
      <c r="A21" s="214" t="s">
        <v>10</v>
      </c>
      <c r="B21" s="214"/>
      <c r="C21" s="214"/>
      <c r="D21" s="214"/>
      <c r="E21" s="214"/>
      <c r="F21" s="214"/>
      <c r="G21" s="1"/>
      <c r="H21" s="1"/>
      <c r="I21" s="159"/>
      <c r="J21" s="160">
        <f>225000000-75000000-50000000</f>
        <v>100000000</v>
      </c>
      <c r="K21" s="160" t="s">
        <v>1506</v>
      </c>
      <c r="L21" s="70"/>
    </row>
    <row r="22" spans="1:15" s="2" customFormat="1" x14ac:dyDescent="0.2">
      <c r="A22" s="26" t="s">
        <v>1</v>
      </c>
      <c r="B22" s="27" t="s">
        <v>2</v>
      </c>
      <c r="C22" s="5"/>
      <c r="D22" s="6" t="s">
        <v>3</v>
      </c>
      <c r="E22" s="7" t="s">
        <v>4</v>
      </c>
      <c r="F22" s="7" t="s">
        <v>5</v>
      </c>
      <c r="G22" s="1"/>
      <c r="H22" s="1"/>
      <c r="I22" s="159"/>
      <c r="J22" s="160">
        <v>90473272.079999998</v>
      </c>
      <c r="K22" s="160" t="s">
        <v>1507</v>
      </c>
      <c r="L22" s="70" t="s">
        <v>1512</v>
      </c>
    </row>
    <row r="23" spans="1:15" s="2" customFormat="1" x14ac:dyDescent="0.2">
      <c r="A23" s="89">
        <v>45286</v>
      </c>
      <c r="B23" s="128" t="s">
        <v>11</v>
      </c>
      <c r="C23" s="29" t="s">
        <v>7</v>
      </c>
      <c r="D23" s="25"/>
      <c r="E23" s="31"/>
      <c r="F23" s="2">
        <v>96927426.079999983</v>
      </c>
      <c r="G23" s="23"/>
      <c r="H23" s="23"/>
      <c r="I23" s="159" t="s">
        <v>1505</v>
      </c>
      <c r="J23" s="160">
        <f>+J21-J22</f>
        <v>9526727.9200000018</v>
      </c>
      <c r="K23" s="160"/>
      <c r="L23" s="70"/>
    </row>
    <row r="24" spans="1:15" s="2" customFormat="1" x14ac:dyDescent="0.2">
      <c r="A24" s="89">
        <v>45286</v>
      </c>
      <c r="B24" s="128" t="s">
        <v>6</v>
      </c>
      <c r="C24" s="76" t="s">
        <v>1905</v>
      </c>
      <c r="D24" s="11" t="s">
        <v>13</v>
      </c>
      <c r="E24" s="31">
        <v>200010</v>
      </c>
      <c r="F24" s="70"/>
      <c r="G24" s="1"/>
      <c r="H24" s="1"/>
      <c r="O24" s="1"/>
    </row>
    <row r="25" spans="1:15" s="2" customFormat="1" x14ac:dyDescent="0.2">
      <c r="A25" s="89">
        <v>45286</v>
      </c>
      <c r="B25" s="128" t="s">
        <v>6</v>
      </c>
      <c r="C25" s="76" t="s">
        <v>1192</v>
      </c>
      <c r="D25" s="11" t="s">
        <v>13</v>
      </c>
      <c r="E25" s="31">
        <v>116601</v>
      </c>
      <c r="F25" s="70"/>
      <c r="G25" s="1"/>
      <c r="H25" s="1"/>
      <c r="O25" s="1"/>
    </row>
    <row r="26" spans="1:15" s="2" customFormat="1" x14ac:dyDescent="0.2">
      <c r="A26" s="89">
        <v>45286</v>
      </c>
      <c r="B26" s="128" t="s">
        <v>6</v>
      </c>
      <c r="C26" s="76" t="s">
        <v>335</v>
      </c>
      <c r="D26" s="11" t="s">
        <v>13</v>
      </c>
      <c r="E26" s="31">
        <v>17120</v>
      </c>
      <c r="F26" s="70"/>
      <c r="G26" s="1"/>
      <c r="H26" s="1"/>
      <c r="O26" s="1"/>
    </row>
    <row r="27" spans="1:15" s="2" customFormat="1" x14ac:dyDescent="0.2">
      <c r="A27" s="89">
        <v>45286</v>
      </c>
      <c r="B27" s="128" t="s">
        <v>6</v>
      </c>
      <c r="C27" s="76" t="s">
        <v>1906</v>
      </c>
      <c r="D27" s="11" t="s">
        <v>13</v>
      </c>
      <c r="E27" s="31">
        <v>8400</v>
      </c>
      <c r="F27" s="70"/>
      <c r="G27" s="1"/>
      <c r="H27" s="1"/>
      <c r="O27" s="1"/>
    </row>
    <row r="28" spans="1:15" s="2" customFormat="1" x14ac:dyDescent="0.2">
      <c r="A28" s="89">
        <v>45286</v>
      </c>
      <c r="B28" s="128" t="s">
        <v>6</v>
      </c>
      <c r="C28" s="76" t="s">
        <v>106</v>
      </c>
      <c r="D28" s="11" t="s">
        <v>13</v>
      </c>
      <c r="E28" s="31">
        <v>127122</v>
      </c>
      <c r="F28" s="70"/>
      <c r="G28" s="1"/>
      <c r="H28" s="1"/>
      <c r="O28" s="1"/>
    </row>
    <row r="29" spans="1:15" s="2" customFormat="1" x14ac:dyDescent="0.2">
      <c r="A29" s="89">
        <v>45286</v>
      </c>
      <c r="B29" s="128" t="s">
        <v>6</v>
      </c>
      <c r="C29" s="76" t="s">
        <v>972</v>
      </c>
      <c r="D29" s="11" t="s">
        <v>13</v>
      </c>
      <c r="E29" s="31">
        <v>2142</v>
      </c>
      <c r="F29" s="70"/>
      <c r="G29" s="1"/>
      <c r="H29" s="1"/>
      <c r="O29" s="1"/>
    </row>
    <row r="30" spans="1:15" s="2" customFormat="1" x14ac:dyDescent="0.2">
      <c r="A30" s="89">
        <v>45286</v>
      </c>
      <c r="B30" s="128" t="s">
        <v>6</v>
      </c>
      <c r="C30" s="76" t="s">
        <v>1501</v>
      </c>
      <c r="D30" s="11" t="s">
        <v>13</v>
      </c>
      <c r="E30" s="31">
        <v>618135</v>
      </c>
      <c r="F30" s="70"/>
      <c r="G30" s="1"/>
      <c r="H30" s="1"/>
      <c r="O30" s="1"/>
    </row>
    <row r="31" spans="1:15" s="2" customFormat="1" x14ac:dyDescent="0.2">
      <c r="A31" s="89">
        <v>45286</v>
      </c>
      <c r="B31" s="128" t="s">
        <v>6</v>
      </c>
      <c r="C31" s="76" t="s">
        <v>276</v>
      </c>
      <c r="D31" s="11" t="s">
        <v>13</v>
      </c>
      <c r="E31" s="31">
        <v>33364</v>
      </c>
      <c r="F31" s="70"/>
      <c r="G31" s="1"/>
      <c r="H31" s="1"/>
      <c r="O31" s="1"/>
    </row>
    <row r="32" spans="1:15" s="2" customFormat="1" x14ac:dyDescent="0.2">
      <c r="A32" s="89">
        <v>45286</v>
      </c>
      <c r="B32" s="128" t="s">
        <v>6</v>
      </c>
      <c r="C32" s="76" t="s">
        <v>1039</v>
      </c>
      <c r="D32" s="11" t="s">
        <v>13</v>
      </c>
      <c r="E32" s="31">
        <v>49866</v>
      </c>
      <c r="F32" s="70"/>
      <c r="G32" s="1"/>
      <c r="H32" s="1"/>
      <c r="O32" s="1"/>
    </row>
    <row r="33" spans="1:15" s="2" customFormat="1" x14ac:dyDescent="0.2">
      <c r="A33" s="89">
        <v>45286</v>
      </c>
      <c r="B33" s="128" t="s">
        <v>6</v>
      </c>
      <c r="C33" s="76" t="s">
        <v>163</v>
      </c>
      <c r="D33" s="11" t="s">
        <v>13</v>
      </c>
      <c r="E33" s="31">
        <v>438786</v>
      </c>
      <c r="F33" s="70"/>
      <c r="G33" s="1"/>
      <c r="H33" s="1"/>
      <c r="O33" s="1"/>
    </row>
    <row r="34" spans="1:15" s="2" customFormat="1" x14ac:dyDescent="0.2">
      <c r="A34" s="89">
        <v>45286</v>
      </c>
      <c r="B34" s="128" t="s">
        <v>6</v>
      </c>
      <c r="C34" s="76" t="s">
        <v>316</v>
      </c>
      <c r="D34" s="11" t="s">
        <v>13</v>
      </c>
      <c r="E34" s="31">
        <v>171422</v>
      </c>
      <c r="F34" s="70"/>
      <c r="G34" s="1"/>
      <c r="H34" s="1"/>
      <c r="O34" s="1"/>
    </row>
    <row r="35" spans="1:15" s="2" customFormat="1" x14ac:dyDescent="0.2">
      <c r="A35" s="89">
        <v>45286</v>
      </c>
      <c r="B35" s="128" t="s">
        <v>6</v>
      </c>
      <c r="C35" s="76" t="s">
        <v>177</v>
      </c>
      <c r="D35" s="11" t="s">
        <v>13</v>
      </c>
      <c r="E35" s="31">
        <v>812994</v>
      </c>
      <c r="F35" s="70"/>
      <c r="G35" s="1"/>
      <c r="H35" s="1"/>
      <c r="O35" s="1"/>
    </row>
    <row r="36" spans="1:15" s="2" customFormat="1" x14ac:dyDescent="0.2">
      <c r="A36" s="89">
        <v>45286</v>
      </c>
      <c r="B36" s="128" t="s">
        <v>6</v>
      </c>
      <c r="C36" s="76" t="s">
        <v>17</v>
      </c>
      <c r="D36" s="11" t="s">
        <v>13</v>
      </c>
      <c r="E36" s="31">
        <v>4356</v>
      </c>
      <c r="F36" s="70"/>
      <c r="G36" s="1"/>
      <c r="H36" s="1"/>
      <c r="O36" s="1"/>
    </row>
    <row r="37" spans="1:15" s="2" customFormat="1" x14ac:dyDescent="0.2">
      <c r="A37" s="89">
        <v>45286</v>
      </c>
      <c r="B37" s="128" t="s">
        <v>6</v>
      </c>
      <c r="C37" s="76" t="s">
        <v>1551</v>
      </c>
      <c r="D37" s="11" t="s">
        <v>13</v>
      </c>
      <c r="E37" s="31">
        <v>97506</v>
      </c>
      <c r="F37" s="70"/>
      <c r="G37" s="1"/>
      <c r="H37" s="1"/>
      <c r="O37" s="1"/>
    </row>
    <row r="38" spans="1:15" s="2" customFormat="1" x14ac:dyDescent="0.2">
      <c r="A38" s="89">
        <v>45286</v>
      </c>
      <c r="B38" s="128" t="s">
        <v>6</v>
      </c>
      <c r="C38" s="76" t="s">
        <v>120</v>
      </c>
      <c r="D38" s="11" t="s">
        <v>13</v>
      </c>
      <c r="E38" s="31">
        <v>3549122</v>
      </c>
      <c r="F38" s="70"/>
      <c r="G38" s="1"/>
      <c r="H38" s="1"/>
      <c r="O38" s="1"/>
    </row>
    <row r="39" spans="1:15" s="2" customFormat="1" x14ac:dyDescent="0.2">
      <c r="A39" s="89">
        <v>45286</v>
      </c>
      <c r="B39" s="128" t="s">
        <v>6</v>
      </c>
      <c r="C39" s="76" t="s">
        <v>589</v>
      </c>
      <c r="D39" s="11" t="s">
        <v>13</v>
      </c>
      <c r="E39" s="31">
        <v>157809</v>
      </c>
      <c r="F39" s="70"/>
      <c r="G39" s="1"/>
      <c r="H39" s="1"/>
      <c r="O39" s="1"/>
    </row>
    <row r="40" spans="1:15" s="2" customFormat="1" x14ac:dyDescent="0.2">
      <c r="A40" s="89">
        <v>45286</v>
      </c>
      <c r="B40" s="128" t="s">
        <v>6</v>
      </c>
      <c r="C40" s="76" t="s">
        <v>964</v>
      </c>
      <c r="D40" s="11" t="s">
        <v>13</v>
      </c>
      <c r="E40" s="31">
        <v>400000</v>
      </c>
      <c r="F40" s="70"/>
      <c r="G40" s="1"/>
      <c r="H40" s="1"/>
      <c r="O40" s="1"/>
    </row>
    <row r="41" spans="1:15" s="2" customFormat="1" x14ac:dyDescent="0.2">
      <c r="A41" s="89">
        <v>45286</v>
      </c>
      <c r="B41" s="128" t="s">
        <v>6</v>
      </c>
      <c r="C41" s="76" t="s">
        <v>474</v>
      </c>
      <c r="D41" s="11" t="s">
        <v>13</v>
      </c>
      <c r="E41" s="31">
        <v>1052110</v>
      </c>
      <c r="F41" s="70"/>
      <c r="G41" s="1"/>
      <c r="H41" s="1"/>
      <c r="O41" s="1"/>
    </row>
    <row r="42" spans="1:15" s="2" customFormat="1" x14ac:dyDescent="0.2">
      <c r="A42" s="89">
        <v>45286</v>
      </c>
      <c r="B42" s="128" t="s">
        <v>6</v>
      </c>
      <c r="C42" s="76" t="s">
        <v>19</v>
      </c>
      <c r="D42" s="11" t="s">
        <v>13</v>
      </c>
      <c r="E42" s="31">
        <v>2360</v>
      </c>
      <c r="F42" s="70"/>
      <c r="G42" s="1"/>
      <c r="H42" s="1"/>
      <c r="O42" s="1"/>
    </row>
    <row r="43" spans="1:15" s="2" customFormat="1" x14ac:dyDescent="0.2">
      <c r="A43" s="89">
        <v>45286</v>
      </c>
      <c r="B43" s="128" t="s">
        <v>6</v>
      </c>
      <c r="C43" s="76" t="s">
        <v>1907</v>
      </c>
      <c r="D43" s="11" t="s">
        <v>13</v>
      </c>
      <c r="E43" s="31">
        <v>6941</v>
      </c>
      <c r="F43" s="70"/>
      <c r="G43" s="1"/>
      <c r="H43" s="1"/>
      <c r="O43" s="1"/>
    </row>
    <row r="44" spans="1:15" s="2" customFormat="1" x14ac:dyDescent="0.2">
      <c r="A44" s="89">
        <v>45286</v>
      </c>
      <c r="B44" s="128" t="s">
        <v>6</v>
      </c>
      <c r="C44" s="76" t="s">
        <v>165</v>
      </c>
      <c r="D44" s="11" t="s">
        <v>13</v>
      </c>
      <c r="E44" s="31">
        <v>12600</v>
      </c>
      <c r="F44" s="70"/>
      <c r="G44" s="1"/>
      <c r="H44" s="1"/>
      <c r="O44" s="1"/>
    </row>
    <row r="45" spans="1:15" s="2" customFormat="1" x14ac:dyDescent="0.2">
      <c r="A45" s="89">
        <v>45286</v>
      </c>
      <c r="B45" s="128" t="s">
        <v>6</v>
      </c>
      <c r="C45" s="76" t="s">
        <v>220</v>
      </c>
      <c r="D45" s="11" t="s">
        <v>13</v>
      </c>
      <c r="E45" s="31">
        <v>190581</v>
      </c>
      <c r="F45" s="70"/>
      <c r="G45" s="1"/>
      <c r="H45" s="1"/>
      <c r="O45" s="1"/>
    </row>
    <row r="46" spans="1:15" s="2" customFormat="1" x14ac:dyDescent="0.2">
      <c r="A46" s="89">
        <v>45286</v>
      </c>
      <c r="B46" s="128" t="s">
        <v>11</v>
      </c>
      <c r="C46" s="76" t="s">
        <v>284</v>
      </c>
      <c r="D46" s="11" t="s">
        <v>29</v>
      </c>
      <c r="E46" s="31"/>
      <c r="F46" s="70">
        <v>2126431</v>
      </c>
      <c r="G46" s="1"/>
      <c r="H46" s="1"/>
      <c r="O46" s="1"/>
    </row>
    <row r="47" spans="1:15" s="2" customFormat="1" x14ac:dyDescent="0.2">
      <c r="A47" s="89">
        <v>45286</v>
      </c>
      <c r="B47" s="128" t="s">
        <v>11</v>
      </c>
      <c r="C47" s="76" t="s">
        <v>451</v>
      </c>
      <c r="D47" s="11" t="s">
        <v>29</v>
      </c>
      <c r="E47" s="31"/>
      <c r="F47" s="70">
        <v>10509</v>
      </c>
      <c r="G47" s="1"/>
      <c r="H47" s="1"/>
      <c r="O47" s="1"/>
    </row>
    <row r="48" spans="1:15" s="2" customFormat="1" x14ac:dyDescent="0.2">
      <c r="A48" s="89">
        <v>45286</v>
      </c>
      <c r="B48" s="128" t="s">
        <v>11</v>
      </c>
      <c r="C48" s="76" t="s">
        <v>437</v>
      </c>
      <c r="D48" s="11" t="s">
        <v>29</v>
      </c>
      <c r="E48" s="31"/>
      <c r="F48" s="70">
        <v>19450</v>
      </c>
      <c r="G48" s="1"/>
      <c r="H48" s="1"/>
      <c r="O48" s="1"/>
    </row>
    <row r="49" spans="1:15" s="2" customFormat="1" x14ac:dyDescent="0.2">
      <c r="A49" s="89">
        <v>45286</v>
      </c>
      <c r="B49" s="128" t="s">
        <v>11</v>
      </c>
      <c r="C49" s="76" t="s">
        <v>290</v>
      </c>
      <c r="D49" s="11" t="s">
        <v>29</v>
      </c>
      <c r="E49" s="31"/>
      <c r="F49" s="70">
        <v>20332</v>
      </c>
      <c r="G49" s="1"/>
      <c r="H49" s="1"/>
      <c r="O49" s="1"/>
    </row>
    <row r="50" spans="1:15" s="2" customFormat="1" x14ac:dyDescent="0.2">
      <c r="A50" s="89">
        <v>45286</v>
      </c>
      <c r="B50" s="128" t="s">
        <v>11</v>
      </c>
      <c r="C50" s="76" t="s">
        <v>1908</v>
      </c>
      <c r="D50" s="11" t="s">
        <v>29</v>
      </c>
      <c r="E50" s="31"/>
      <c r="F50" s="70">
        <v>82880</v>
      </c>
      <c r="G50" s="1"/>
      <c r="H50" s="1"/>
      <c r="O50" s="1"/>
    </row>
    <row r="51" spans="1:15" s="2" customFormat="1" x14ac:dyDescent="0.2">
      <c r="A51" s="89">
        <v>45286</v>
      </c>
      <c r="B51" s="128" t="s">
        <v>11</v>
      </c>
      <c r="C51" s="76" t="s">
        <v>339</v>
      </c>
      <c r="D51" s="11" t="s">
        <v>29</v>
      </c>
      <c r="E51" s="31"/>
      <c r="F51" s="70">
        <v>84032.39</v>
      </c>
      <c r="G51" s="1"/>
      <c r="H51" s="1"/>
      <c r="O51" s="1"/>
    </row>
    <row r="52" spans="1:15" s="2" customFormat="1" x14ac:dyDescent="0.2">
      <c r="A52" s="89">
        <v>45286</v>
      </c>
      <c r="B52" s="128" t="s">
        <v>11</v>
      </c>
      <c r="C52" s="76" t="s">
        <v>348</v>
      </c>
      <c r="D52" s="11" t="s">
        <v>29</v>
      </c>
      <c r="E52" s="31"/>
      <c r="F52" s="70">
        <v>100782</v>
      </c>
      <c r="G52" s="1"/>
      <c r="H52" s="1"/>
      <c r="O52" s="1"/>
    </row>
    <row r="53" spans="1:15" s="2" customFormat="1" x14ac:dyDescent="0.2">
      <c r="A53" s="89">
        <v>45286</v>
      </c>
      <c r="B53" s="128" t="s">
        <v>11</v>
      </c>
      <c r="C53" s="76" t="s">
        <v>38</v>
      </c>
      <c r="D53" s="11" t="s">
        <v>29</v>
      </c>
      <c r="E53" s="31"/>
      <c r="F53" s="70">
        <v>34544.5</v>
      </c>
      <c r="G53" s="1"/>
      <c r="H53" s="1"/>
      <c r="O53" s="1"/>
    </row>
    <row r="54" spans="1:15" s="2" customFormat="1" x14ac:dyDescent="0.2">
      <c r="A54" s="89">
        <v>45286</v>
      </c>
      <c r="B54" s="128" t="s">
        <v>11</v>
      </c>
      <c r="C54" s="76" t="s">
        <v>129</v>
      </c>
      <c r="D54" s="11" t="s">
        <v>29</v>
      </c>
      <c r="E54" s="31"/>
      <c r="F54" s="70">
        <v>40882</v>
      </c>
      <c r="G54" s="1"/>
      <c r="H54" s="1"/>
      <c r="O54" s="1"/>
    </row>
    <row r="55" spans="1:15" s="2" customFormat="1" x14ac:dyDescent="0.2">
      <c r="A55" s="89">
        <v>45286</v>
      </c>
      <c r="B55" s="128" t="s">
        <v>11</v>
      </c>
      <c r="C55" s="76" t="s">
        <v>268</v>
      </c>
      <c r="D55" s="11" t="s">
        <v>29</v>
      </c>
      <c r="E55" s="31"/>
      <c r="F55" s="70">
        <v>114277</v>
      </c>
      <c r="G55" s="1"/>
      <c r="H55" s="1"/>
      <c r="O55" s="1"/>
    </row>
    <row r="56" spans="1:15" s="2" customFormat="1" x14ac:dyDescent="0.2">
      <c r="A56" s="89">
        <v>45286</v>
      </c>
      <c r="B56" s="128" t="s">
        <v>11</v>
      </c>
      <c r="C56" s="76" t="s">
        <v>354</v>
      </c>
      <c r="D56" s="11" t="s">
        <v>29</v>
      </c>
      <c r="E56" s="31"/>
      <c r="F56" s="70">
        <v>234950.35</v>
      </c>
      <c r="G56" s="1"/>
      <c r="H56" s="1"/>
      <c r="O56" s="1"/>
    </row>
    <row r="57" spans="1:15" s="2" customFormat="1" x14ac:dyDescent="0.2">
      <c r="A57" s="89">
        <v>45286</v>
      </c>
      <c r="B57" s="128" t="s">
        <v>11</v>
      </c>
      <c r="C57" s="76" t="s">
        <v>626</v>
      </c>
      <c r="D57" s="11" t="s">
        <v>29</v>
      </c>
      <c r="E57" s="31"/>
      <c r="F57" s="70">
        <v>8020</v>
      </c>
      <c r="G57" s="1"/>
      <c r="H57" s="1"/>
      <c r="O57" s="1"/>
    </row>
    <row r="58" spans="1:15" s="2" customFormat="1" x14ac:dyDescent="0.2">
      <c r="A58" s="89">
        <v>45286</v>
      </c>
      <c r="B58" s="128" t="s">
        <v>11</v>
      </c>
      <c r="C58" s="76" t="s">
        <v>528</v>
      </c>
      <c r="D58" s="11" t="s">
        <v>29</v>
      </c>
      <c r="E58" s="31"/>
      <c r="F58" s="70">
        <v>42480</v>
      </c>
      <c r="G58" s="1"/>
      <c r="H58" s="1"/>
      <c r="O58" s="1"/>
    </row>
    <row r="59" spans="1:15" s="2" customFormat="1" x14ac:dyDescent="0.2">
      <c r="A59" s="89">
        <v>45286</v>
      </c>
      <c r="B59" s="128" t="s">
        <v>11</v>
      </c>
      <c r="C59" s="76" t="s">
        <v>362</v>
      </c>
      <c r="D59" s="11" t="s">
        <v>29</v>
      </c>
      <c r="E59" s="31"/>
      <c r="F59" s="70">
        <v>7412.2</v>
      </c>
      <c r="G59" s="1"/>
      <c r="H59" s="1"/>
      <c r="O59" s="1"/>
    </row>
    <row r="60" spans="1:15" s="2" customFormat="1" x14ac:dyDescent="0.2">
      <c r="A60" s="89">
        <v>45286</v>
      </c>
      <c r="B60" s="128" t="s">
        <v>11</v>
      </c>
      <c r="C60" s="76" t="s">
        <v>970</v>
      </c>
      <c r="D60" s="11" t="s">
        <v>29</v>
      </c>
      <c r="E60" s="31"/>
      <c r="F60" s="70">
        <v>83024</v>
      </c>
      <c r="G60" s="1"/>
      <c r="H60" s="1"/>
      <c r="O60" s="1"/>
    </row>
    <row r="61" spans="1:15" s="2" customFormat="1" x14ac:dyDescent="0.2">
      <c r="A61" s="89">
        <v>45286</v>
      </c>
      <c r="B61" s="128" t="s">
        <v>11</v>
      </c>
      <c r="C61" s="76" t="s">
        <v>54</v>
      </c>
      <c r="D61" s="11" t="s">
        <v>29</v>
      </c>
      <c r="E61" s="31"/>
      <c r="F61" s="70">
        <v>14152</v>
      </c>
      <c r="G61" s="1"/>
      <c r="H61" s="1"/>
      <c r="O61" s="1"/>
    </row>
    <row r="62" spans="1:15" s="2" customFormat="1" x14ac:dyDescent="0.2">
      <c r="A62" s="89">
        <v>45286</v>
      </c>
      <c r="B62" s="128" t="s">
        <v>11</v>
      </c>
      <c r="C62" s="76" t="s">
        <v>392</v>
      </c>
      <c r="D62" s="11" t="s">
        <v>29</v>
      </c>
      <c r="E62" s="31"/>
      <c r="F62" s="70">
        <v>61030</v>
      </c>
      <c r="G62" s="1"/>
      <c r="H62" s="1"/>
      <c r="O62" s="1"/>
    </row>
    <row r="63" spans="1:15" s="2" customFormat="1" x14ac:dyDescent="0.2">
      <c r="A63" s="89">
        <v>45286</v>
      </c>
      <c r="B63" s="128" t="s">
        <v>11</v>
      </c>
      <c r="C63" s="76" t="s">
        <v>885</v>
      </c>
      <c r="D63" s="11" t="s">
        <v>29</v>
      </c>
      <c r="E63" s="31"/>
      <c r="F63" s="70">
        <v>7700</v>
      </c>
      <c r="G63" s="1"/>
      <c r="H63" s="1"/>
      <c r="O63" s="1"/>
    </row>
    <row r="64" spans="1:15" s="2" customFormat="1" x14ac:dyDescent="0.2">
      <c r="A64" s="89">
        <v>45286</v>
      </c>
      <c r="B64" s="128" t="s">
        <v>11</v>
      </c>
      <c r="C64" s="76" t="s">
        <v>525</v>
      </c>
      <c r="D64" s="11" t="s">
        <v>29</v>
      </c>
      <c r="E64" s="31"/>
      <c r="F64" s="70">
        <v>1000000</v>
      </c>
      <c r="G64" s="1"/>
      <c r="H64" s="1"/>
      <c r="O64" s="1"/>
    </row>
    <row r="65" spans="1:15" s="2" customFormat="1" x14ac:dyDescent="0.2">
      <c r="A65" s="89">
        <v>45286</v>
      </c>
      <c r="B65" s="128" t="s">
        <v>11</v>
      </c>
      <c r="C65" s="76" t="s">
        <v>44</v>
      </c>
      <c r="D65" s="11" t="s">
        <v>29</v>
      </c>
      <c r="E65" s="31"/>
      <c r="F65" s="70">
        <v>1376489</v>
      </c>
      <c r="G65" s="1"/>
      <c r="H65" s="1"/>
      <c r="O65" s="1"/>
    </row>
    <row r="66" spans="1:15" s="2" customFormat="1" x14ac:dyDescent="0.2">
      <c r="A66" s="89">
        <v>45286</v>
      </c>
      <c r="B66" s="128" t="s">
        <v>11</v>
      </c>
      <c r="C66" s="76" t="s">
        <v>57</v>
      </c>
      <c r="D66" s="11" t="s">
        <v>29</v>
      </c>
      <c r="E66" s="31"/>
      <c r="F66" s="70">
        <v>2500000</v>
      </c>
      <c r="G66" s="1"/>
      <c r="H66" s="1"/>
      <c r="O66" s="1"/>
    </row>
    <row r="67" spans="1:15" s="2" customFormat="1" x14ac:dyDescent="0.2">
      <c r="A67" s="89">
        <v>45286</v>
      </c>
      <c r="B67" s="128" t="s">
        <v>11</v>
      </c>
      <c r="C67" s="76" t="s">
        <v>925</v>
      </c>
      <c r="D67" s="11" t="s">
        <v>29</v>
      </c>
      <c r="E67" s="31"/>
      <c r="F67" s="70">
        <v>147476</v>
      </c>
      <c r="G67" s="1"/>
      <c r="H67" s="1"/>
      <c r="O67" s="1"/>
    </row>
    <row r="68" spans="1:15" s="2" customFormat="1" x14ac:dyDescent="0.2">
      <c r="A68" s="89">
        <v>45286</v>
      </c>
      <c r="B68" s="128" t="s">
        <v>11</v>
      </c>
      <c r="C68" s="76" t="s">
        <v>409</v>
      </c>
      <c r="D68" s="11" t="s">
        <v>29</v>
      </c>
      <c r="E68" s="31"/>
      <c r="F68" s="70">
        <v>27363.4</v>
      </c>
      <c r="G68" s="1"/>
      <c r="H68" s="1"/>
      <c r="O68" s="1"/>
    </row>
    <row r="69" spans="1:15" s="2" customFormat="1" x14ac:dyDescent="0.2">
      <c r="A69" s="89">
        <v>45286</v>
      </c>
      <c r="B69" s="128" t="s">
        <v>11</v>
      </c>
      <c r="C69" s="76" t="s">
        <v>388</v>
      </c>
      <c r="D69" s="11" t="s">
        <v>29</v>
      </c>
      <c r="E69" s="31"/>
      <c r="F69" s="70">
        <v>8260</v>
      </c>
      <c r="G69" s="1"/>
      <c r="H69" s="1"/>
      <c r="O69" s="1"/>
    </row>
    <row r="70" spans="1:15" s="2" customFormat="1" x14ac:dyDescent="0.2">
      <c r="A70" s="89">
        <v>45286</v>
      </c>
      <c r="B70" s="128" t="s">
        <v>11</v>
      </c>
      <c r="C70" s="76" t="s">
        <v>439</v>
      </c>
      <c r="D70" s="11" t="s">
        <v>29</v>
      </c>
      <c r="E70" s="31"/>
      <c r="F70" s="70">
        <v>1357</v>
      </c>
      <c r="G70" s="1"/>
      <c r="H70" s="1"/>
      <c r="O70" s="1"/>
    </row>
    <row r="71" spans="1:15" s="2" customFormat="1" x14ac:dyDescent="0.2">
      <c r="A71" s="89">
        <v>45286</v>
      </c>
      <c r="B71" s="128" t="s">
        <v>11</v>
      </c>
      <c r="C71" s="76" t="s">
        <v>719</v>
      </c>
      <c r="D71" s="11" t="s">
        <v>29</v>
      </c>
      <c r="E71" s="31"/>
      <c r="F71" s="70">
        <v>27683</v>
      </c>
      <c r="G71" s="1"/>
      <c r="H71" s="1"/>
      <c r="O71" s="1"/>
    </row>
    <row r="72" spans="1:15" s="2" customFormat="1" x14ac:dyDescent="0.2">
      <c r="A72" s="89">
        <v>45286</v>
      </c>
      <c r="B72" s="128" t="s">
        <v>11</v>
      </c>
      <c r="C72" s="76" t="s">
        <v>33</v>
      </c>
      <c r="D72" s="11" t="s">
        <v>29</v>
      </c>
      <c r="E72" s="31"/>
      <c r="F72" s="70">
        <v>424194</v>
      </c>
      <c r="G72" s="1"/>
      <c r="H72" s="1"/>
      <c r="O72" s="1"/>
    </row>
    <row r="73" spans="1:15" s="2" customFormat="1" x14ac:dyDescent="0.2">
      <c r="A73" s="89">
        <v>45286</v>
      </c>
      <c r="B73" s="128" t="s">
        <v>11</v>
      </c>
      <c r="C73" s="76" t="s">
        <v>279</v>
      </c>
      <c r="D73" s="11" t="s">
        <v>29</v>
      </c>
      <c r="E73" s="31"/>
      <c r="F73" s="70">
        <v>3982324</v>
      </c>
      <c r="G73" s="1"/>
      <c r="H73" s="1"/>
      <c r="O73" s="1"/>
    </row>
    <row r="74" spans="1:15" s="2" customFormat="1" x14ac:dyDescent="0.2">
      <c r="A74" s="89">
        <v>45286</v>
      </c>
      <c r="B74" s="128" t="s">
        <v>11</v>
      </c>
      <c r="C74" s="76" t="s">
        <v>372</v>
      </c>
      <c r="D74" s="11" t="s">
        <v>29</v>
      </c>
      <c r="E74" s="31"/>
      <c r="F74" s="70">
        <v>322514</v>
      </c>
      <c r="G74" s="1"/>
      <c r="H74" s="1"/>
      <c r="O74" s="1"/>
    </row>
    <row r="75" spans="1:15" s="2" customFormat="1" x14ac:dyDescent="0.2">
      <c r="A75" s="89">
        <v>45286</v>
      </c>
      <c r="B75" s="128" t="s">
        <v>11</v>
      </c>
      <c r="C75" s="76" t="s">
        <v>1856</v>
      </c>
      <c r="D75" s="11" t="s">
        <v>29</v>
      </c>
      <c r="E75" s="31"/>
      <c r="F75" s="70">
        <v>73006.5</v>
      </c>
      <c r="G75" s="1"/>
      <c r="H75" s="1"/>
      <c r="O75" s="1"/>
    </row>
    <row r="76" spans="1:15" s="2" customFormat="1" x14ac:dyDescent="0.2">
      <c r="A76" s="89">
        <v>45286</v>
      </c>
      <c r="B76" s="128" t="s">
        <v>11</v>
      </c>
      <c r="C76" s="76" t="s">
        <v>814</v>
      </c>
      <c r="D76" s="11" t="s">
        <v>29</v>
      </c>
      <c r="E76" s="31"/>
      <c r="F76" s="70">
        <v>90207</v>
      </c>
      <c r="G76" s="1"/>
      <c r="H76" s="1"/>
      <c r="O76" s="1"/>
    </row>
    <row r="77" spans="1:15" s="2" customFormat="1" x14ac:dyDescent="0.2">
      <c r="A77" s="89">
        <v>45286</v>
      </c>
      <c r="B77" s="128" t="s">
        <v>11</v>
      </c>
      <c r="C77" s="76" t="s">
        <v>194</v>
      </c>
      <c r="D77" s="11" t="s">
        <v>29</v>
      </c>
      <c r="E77" s="31"/>
      <c r="F77" s="70">
        <v>149890</v>
      </c>
      <c r="G77" s="1"/>
      <c r="H77" s="1"/>
      <c r="O77" s="1"/>
    </row>
    <row r="78" spans="1:15" s="2" customFormat="1" x14ac:dyDescent="0.2">
      <c r="A78" s="89">
        <v>45286</v>
      </c>
      <c r="B78" s="128" t="s">
        <v>11</v>
      </c>
      <c r="C78" s="76" t="s">
        <v>849</v>
      </c>
      <c r="D78" s="11" t="s">
        <v>29</v>
      </c>
      <c r="E78" s="31"/>
      <c r="F78" s="70">
        <v>60494</v>
      </c>
      <c r="G78" s="1"/>
      <c r="H78" s="1"/>
      <c r="O78" s="1"/>
    </row>
    <row r="79" spans="1:15" s="2" customFormat="1" x14ac:dyDescent="0.2">
      <c r="A79" s="89">
        <v>45286</v>
      </c>
      <c r="B79" s="128" t="s">
        <v>11</v>
      </c>
      <c r="C79" s="76" t="s">
        <v>745</v>
      </c>
      <c r="D79" s="11" t="s">
        <v>29</v>
      </c>
      <c r="E79" s="31"/>
      <c r="F79" s="70">
        <v>103352</v>
      </c>
      <c r="G79" s="1"/>
      <c r="H79" s="1"/>
      <c r="O79" s="1"/>
    </row>
    <row r="80" spans="1:15" s="2" customFormat="1" x14ac:dyDescent="0.2">
      <c r="A80" s="89">
        <v>45286</v>
      </c>
      <c r="B80" s="128" t="s">
        <v>11</v>
      </c>
      <c r="C80" s="76" t="s">
        <v>193</v>
      </c>
      <c r="D80" s="11" t="s">
        <v>29</v>
      </c>
      <c r="E80" s="31"/>
      <c r="F80" s="70">
        <v>93187</v>
      </c>
      <c r="G80" s="1"/>
      <c r="H80" s="1"/>
      <c r="O80" s="1"/>
    </row>
    <row r="81" spans="1:15" s="2" customFormat="1" x14ac:dyDescent="0.2">
      <c r="A81" s="89">
        <v>45286</v>
      </c>
      <c r="B81" s="128" t="s">
        <v>11</v>
      </c>
      <c r="C81" s="76" t="s">
        <v>300</v>
      </c>
      <c r="D81" s="11" t="s">
        <v>29</v>
      </c>
      <c r="E81" s="31"/>
      <c r="F81" s="70">
        <v>209146</v>
      </c>
      <c r="G81" s="1"/>
      <c r="H81" s="1"/>
      <c r="O81" s="1"/>
    </row>
    <row r="82" spans="1:15" s="2" customFormat="1" x14ac:dyDescent="0.2">
      <c r="A82" s="89">
        <v>45286</v>
      </c>
      <c r="B82" s="128" t="s">
        <v>11</v>
      </c>
      <c r="C82" s="76" t="s">
        <v>56</v>
      </c>
      <c r="D82" s="11" t="s">
        <v>29</v>
      </c>
      <c r="E82" s="31"/>
      <c r="F82" s="70">
        <v>210689</v>
      </c>
      <c r="G82" s="1"/>
      <c r="H82" s="1"/>
      <c r="O82" s="1"/>
    </row>
    <row r="83" spans="1:15" s="2" customFormat="1" x14ac:dyDescent="0.2">
      <c r="A83" s="89">
        <v>45286</v>
      </c>
      <c r="B83" s="128" t="s">
        <v>11</v>
      </c>
      <c r="C83" s="76" t="s">
        <v>1140</v>
      </c>
      <c r="D83" s="11" t="s">
        <v>29</v>
      </c>
      <c r="E83" s="31"/>
      <c r="F83" s="70">
        <v>106745</v>
      </c>
      <c r="G83" s="1"/>
      <c r="H83" s="1"/>
      <c r="O83" s="1"/>
    </row>
    <row r="84" spans="1:15" s="2" customFormat="1" x14ac:dyDescent="0.2">
      <c r="A84" s="89">
        <v>45286</v>
      </c>
      <c r="B84" s="128" t="s">
        <v>11</v>
      </c>
      <c r="C84" s="76" t="s">
        <v>790</v>
      </c>
      <c r="D84" s="11" t="s">
        <v>29</v>
      </c>
      <c r="E84" s="31"/>
      <c r="F84" s="70">
        <v>2288771</v>
      </c>
      <c r="G84" s="1"/>
      <c r="H84" s="1"/>
      <c r="O84" s="1"/>
    </row>
    <row r="85" spans="1:15" s="2" customFormat="1" x14ac:dyDescent="0.2">
      <c r="A85" s="32"/>
      <c r="B85" s="33"/>
      <c r="C85" s="14"/>
      <c r="D85" s="34"/>
      <c r="E85" s="16">
        <f>SUM(E23:E84)</f>
        <v>8069347</v>
      </c>
      <c r="F85" s="16">
        <f>SUM(F23:F84)</f>
        <v>113223462.41999999</v>
      </c>
      <c r="G85" s="1"/>
      <c r="H85" s="1"/>
      <c r="I85" s="1"/>
      <c r="J85" s="38">
        <v>105154115.42</v>
      </c>
      <c r="L85" s="92">
        <f>E86-J85</f>
        <v>0</v>
      </c>
      <c r="O85" s="1"/>
    </row>
    <row r="86" spans="1:15" s="2" customFormat="1" x14ac:dyDescent="0.2">
      <c r="A86" s="36"/>
      <c r="B86" s="28" t="s">
        <v>11</v>
      </c>
      <c r="C86" s="19" t="s">
        <v>65</v>
      </c>
      <c r="D86" s="37"/>
      <c r="E86" s="38">
        <f>F85-E85</f>
        <v>105154115.41999999</v>
      </c>
      <c r="F86" s="22"/>
      <c r="G86" s="1"/>
      <c r="H86" s="1"/>
      <c r="I86" s="1"/>
      <c r="J86" s="70"/>
      <c r="K86" s="70"/>
      <c r="L86" s="70"/>
      <c r="O86" s="1"/>
    </row>
    <row r="87" spans="1:15" s="2" customFormat="1" x14ac:dyDescent="0.2">
      <c r="A87" s="36"/>
      <c r="B87" s="28" t="s">
        <v>66</v>
      </c>
      <c r="C87" s="19" t="s">
        <v>67</v>
      </c>
      <c r="D87" s="37"/>
      <c r="E87" s="38">
        <v>0</v>
      </c>
      <c r="F87" s="22"/>
      <c r="G87" s="1"/>
      <c r="H87" s="1"/>
      <c r="I87" s="70"/>
      <c r="J87" s="70"/>
      <c r="K87" s="70"/>
      <c r="L87" s="70"/>
      <c r="O87" s="1"/>
    </row>
    <row r="88" spans="1:15" s="2" customFormat="1" x14ac:dyDescent="0.2">
      <c r="A88" s="36"/>
      <c r="B88" s="28" t="s">
        <v>66</v>
      </c>
      <c r="C88" s="43" t="s">
        <v>1457</v>
      </c>
      <c r="D88" s="43"/>
      <c r="E88" s="12">
        <f>275000000+75000000+50000000</f>
        <v>400000000</v>
      </c>
      <c r="F88" s="22"/>
      <c r="G88" s="1"/>
      <c r="H88" s="1"/>
      <c r="I88" s="70"/>
      <c r="J88" s="45">
        <v>1485.6</v>
      </c>
      <c r="K88" s="46"/>
      <c r="L88" s="46"/>
      <c r="O88" s="1"/>
    </row>
    <row r="89" spans="1:15" s="2" customFormat="1" ht="15" x14ac:dyDescent="0.25">
      <c r="A89" s="36"/>
      <c r="B89" s="28"/>
      <c r="C89" s="44" t="s">
        <v>1541</v>
      </c>
      <c r="D89" s="43"/>
      <c r="E89" s="7">
        <f>+E88+E86+E87</f>
        <v>505154115.41999996</v>
      </c>
      <c r="F89" s="22"/>
      <c r="G89" s="1"/>
      <c r="H89" s="1"/>
      <c r="I89" s="103" t="s">
        <v>69</v>
      </c>
      <c r="J89" s="45">
        <v>-222.45</v>
      </c>
      <c r="K89" s="46"/>
      <c r="L89" s="46"/>
      <c r="O89" s="1"/>
    </row>
    <row r="90" spans="1:15" s="2" customFormat="1" ht="15" x14ac:dyDescent="0.25">
      <c r="A90" s="24"/>
      <c r="B90" s="1"/>
      <c r="C90" s="44" t="s">
        <v>1510</v>
      </c>
      <c r="D90" s="25"/>
      <c r="E90" s="156">
        <f>+J23-E87+I19-J19</f>
        <v>-5154115.1599999983</v>
      </c>
      <c r="G90" s="1"/>
      <c r="H90" s="1"/>
      <c r="I90" s="35">
        <v>1</v>
      </c>
      <c r="J90" s="45">
        <v>171.3</v>
      </c>
      <c r="K90" s="46">
        <f>+J91-D93</f>
        <v>0</v>
      </c>
      <c r="O90" s="1"/>
    </row>
    <row r="91" spans="1:15" s="124" customFormat="1" ht="12.75" customHeight="1" x14ac:dyDescent="0.2">
      <c r="A91" s="24"/>
      <c r="B91" s="1"/>
      <c r="C91" s="56"/>
      <c r="D91" s="56"/>
      <c r="E91" s="104"/>
      <c r="F91" s="2"/>
      <c r="G91" s="166"/>
      <c r="H91" s="166"/>
      <c r="I91" s="70"/>
      <c r="J91" s="49">
        <f>SUM(J88:J90)</f>
        <v>1434.4499999999998</v>
      </c>
      <c r="K91" s="46"/>
      <c r="L91" s="46"/>
    </row>
    <row r="92" spans="1:15" s="124" customFormat="1" ht="12.75" customHeight="1" x14ac:dyDescent="0.2">
      <c r="A92" s="24"/>
      <c r="B92" s="1"/>
      <c r="C92" s="78" t="s">
        <v>575</v>
      </c>
      <c r="D92" s="48" t="s">
        <v>576</v>
      </c>
      <c r="E92" s="104"/>
      <c r="F92" s="2"/>
      <c r="G92" s="168"/>
      <c r="H92" s="168"/>
      <c r="I92" s="167"/>
      <c r="J92" s="167"/>
      <c r="K92" s="168"/>
    </row>
    <row r="93" spans="1:15" s="124" customFormat="1" ht="12.75" customHeight="1" x14ac:dyDescent="0.2">
      <c r="A93" s="24"/>
      <c r="B93" s="1"/>
      <c r="C93" s="47" t="s">
        <v>570</v>
      </c>
      <c r="D93" s="111">
        <v>1434.45</v>
      </c>
      <c r="E93" s="104"/>
      <c r="F93" s="2"/>
      <c r="G93" s="168"/>
      <c r="H93" s="168"/>
      <c r="I93" s="110" t="s">
        <v>581</v>
      </c>
      <c r="J93" s="167"/>
      <c r="K93" s="168"/>
    </row>
    <row r="94" spans="1:15" s="124" customFormat="1" ht="12.75" customHeight="1" x14ac:dyDescent="0.2">
      <c r="A94" s="24"/>
      <c r="B94" s="1"/>
      <c r="C94" s="47" t="s">
        <v>931</v>
      </c>
      <c r="D94" s="111">
        <v>318.58</v>
      </c>
      <c r="E94" s="104"/>
      <c r="F94" s="2"/>
      <c r="G94" s="168"/>
      <c r="H94" s="168"/>
      <c r="I94" s="110" t="s">
        <v>580</v>
      </c>
      <c r="J94" s="167"/>
      <c r="K94" s="168"/>
    </row>
    <row r="95" spans="1:15" s="124" customFormat="1" ht="12.75" customHeight="1" x14ac:dyDescent="0.2">
      <c r="A95" s="24"/>
      <c r="B95" s="1"/>
      <c r="C95" s="47" t="s">
        <v>572</v>
      </c>
      <c r="D95" s="111">
        <f>+D140/100000</f>
        <v>583.70839849999993</v>
      </c>
      <c r="E95" s="104"/>
      <c r="F95" s="2"/>
      <c r="G95" s="166"/>
      <c r="H95" s="166"/>
      <c r="I95" s="90" t="s">
        <v>587</v>
      </c>
      <c r="J95" s="167"/>
      <c r="K95" s="168"/>
    </row>
    <row r="96" spans="1:15" s="2" customFormat="1" x14ac:dyDescent="0.2">
      <c r="A96" s="24"/>
      <c r="B96" s="1"/>
      <c r="C96" s="108" t="s">
        <v>578</v>
      </c>
      <c r="D96" s="48">
        <f>SUM(D93:D95)</f>
        <v>2336.7383984999997</v>
      </c>
      <c r="E96" s="104"/>
      <c r="G96" s="30"/>
      <c r="H96" s="30"/>
      <c r="J96" s="13"/>
      <c r="K96" s="13"/>
    </row>
    <row r="97" spans="1:15" s="70" customFormat="1" x14ac:dyDescent="0.2">
      <c r="A97" s="24"/>
      <c r="B97" s="1"/>
      <c r="C97" s="47"/>
      <c r="D97" s="107"/>
      <c r="E97" s="104"/>
      <c r="F97" s="2"/>
      <c r="G97" s="30"/>
      <c r="H97" s="30"/>
      <c r="I97" s="2"/>
    </row>
    <row r="98" spans="1:15" s="70" customFormat="1" x14ac:dyDescent="0.2">
      <c r="A98" s="24"/>
      <c r="B98" s="1"/>
      <c r="C98" s="47" t="s">
        <v>932</v>
      </c>
      <c r="D98" s="111">
        <v>305.57</v>
      </c>
      <c r="E98" s="104"/>
      <c r="F98" s="2"/>
      <c r="G98" s="30"/>
      <c r="H98" s="30"/>
      <c r="I98" s="110" t="s">
        <v>581</v>
      </c>
    </row>
    <row r="99" spans="1:15" s="70" customFormat="1" x14ac:dyDescent="0.2">
      <c r="A99" s="24"/>
      <c r="B99" s="1"/>
      <c r="C99" s="136" t="s">
        <v>1142</v>
      </c>
      <c r="D99" s="111">
        <v>730.56</v>
      </c>
      <c r="E99" s="104"/>
      <c r="F99" s="2"/>
      <c r="G99" s="30"/>
      <c r="H99" s="30"/>
      <c r="I99" s="110" t="s">
        <v>581</v>
      </c>
    </row>
    <row r="100" spans="1:15" s="70" customFormat="1" x14ac:dyDescent="0.2">
      <c r="A100" s="24"/>
      <c r="B100" s="1"/>
      <c r="C100" s="78" t="s">
        <v>579</v>
      </c>
      <c r="D100" s="109">
        <f>D98+D99</f>
        <v>1036.1299999999999</v>
      </c>
      <c r="E100" s="104"/>
      <c r="F100" s="2"/>
      <c r="G100" s="30"/>
      <c r="H100" s="30"/>
    </row>
    <row r="101" spans="1:15" s="70" customFormat="1" x14ac:dyDescent="0.2">
      <c r="A101" s="24"/>
      <c r="B101" s="1"/>
      <c r="C101" s="105"/>
      <c r="D101" s="106"/>
      <c r="E101" s="104"/>
      <c r="F101" s="2"/>
      <c r="G101" s="30"/>
      <c r="H101" s="30"/>
      <c r="J101" s="2"/>
      <c r="K101" s="221" t="str">
        <f>"FROM ( 01-12-2023 to "&amp;TEXT(A5,"dd-mm-yyyy")&amp;" )"</f>
        <v>FROM ( 01-12-2023 to 26-12-2023 )</v>
      </c>
      <c r="L101" s="221"/>
      <c r="M101" s="2"/>
      <c r="N101" s="2"/>
    </row>
    <row r="102" spans="1:15" s="70" customFormat="1" x14ac:dyDescent="0.2">
      <c r="A102" s="24"/>
      <c r="B102" s="1"/>
      <c r="C102" s="78" t="s">
        <v>577</v>
      </c>
      <c r="D102" s="109">
        <f>D93+D100</f>
        <v>2470.58</v>
      </c>
      <c r="E102" s="104"/>
      <c r="F102" s="2"/>
      <c r="G102" s="30"/>
      <c r="H102" s="30"/>
      <c r="J102" s="113"/>
      <c r="K102" s="113" t="s">
        <v>709</v>
      </c>
      <c r="L102" s="113" t="s">
        <v>710</v>
      </c>
      <c r="M102" s="113" t="s">
        <v>711</v>
      </c>
      <c r="N102" s="113" t="s">
        <v>712</v>
      </c>
    </row>
    <row r="103" spans="1:15" s="70" customFormat="1" x14ac:dyDescent="0.2">
      <c r="A103" s="24"/>
      <c r="B103" s="1"/>
      <c r="C103" s="56"/>
      <c r="D103" s="56"/>
      <c r="E103" s="104"/>
      <c r="F103" s="2"/>
      <c r="G103" s="30"/>
      <c r="H103" s="30"/>
      <c r="J103" s="113" t="s">
        <v>1860</v>
      </c>
      <c r="K103" s="115">
        <v>191.86</v>
      </c>
      <c r="L103" s="115">
        <v>135.56</v>
      </c>
      <c r="M103" s="115">
        <v>90.58</v>
      </c>
      <c r="N103" s="113">
        <f>+K103+M103-L103</f>
        <v>146.88</v>
      </c>
    </row>
    <row r="104" spans="1:15" s="70" customFormat="1" ht="38.25" x14ac:dyDescent="0.2">
      <c r="A104" s="24"/>
      <c r="B104" s="1"/>
      <c r="C104" s="79" t="str">
        <f>"Particulars ( 01-12-2023 to "&amp;TEXT(A5,"dd-mm-yyyy")&amp;" )"</f>
        <v>Particulars ( 01-12-2023 to 26-12-2023 )</v>
      </c>
      <c r="D104" s="79" t="s">
        <v>7</v>
      </c>
      <c r="E104" s="80" t="s">
        <v>73</v>
      </c>
      <c r="F104" s="80" t="s">
        <v>74</v>
      </c>
      <c r="G104" s="81" t="s">
        <v>75</v>
      </c>
      <c r="H104" s="80" t="s">
        <v>76</v>
      </c>
      <c r="J104" s="113" t="s">
        <v>1861</v>
      </c>
      <c r="K104" s="115">
        <v>1332.26</v>
      </c>
      <c r="L104" s="115">
        <v>590.65</v>
      </c>
      <c r="M104" s="115">
        <v>782.48</v>
      </c>
      <c r="N104" s="113">
        <f>+K104+M104-L104</f>
        <v>1524.0899999999997</v>
      </c>
    </row>
    <row r="105" spans="1:15" s="70" customFormat="1" x14ac:dyDescent="0.2">
      <c r="A105" s="24"/>
      <c r="B105" s="1"/>
      <c r="C105" s="50" t="s">
        <v>444</v>
      </c>
      <c r="D105" s="55">
        <f>+K105</f>
        <v>361.11</v>
      </c>
      <c r="E105" s="55">
        <f>+M105</f>
        <v>305.57</v>
      </c>
      <c r="F105" s="55">
        <f>+L105</f>
        <v>318.58</v>
      </c>
      <c r="G105" s="55">
        <f>+D105+E105-F105</f>
        <v>348.10000000000008</v>
      </c>
      <c r="H105" s="55">
        <f>1500-G105</f>
        <v>1151.8999999999999</v>
      </c>
      <c r="J105" s="113" t="s">
        <v>707</v>
      </c>
      <c r="K105" s="115">
        <v>361.11</v>
      </c>
      <c r="L105" s="115">
        <v>318.58</v>
      </c>
      <c r="M105" s="115">
        <v>305.57</v>
      </c>
      <c r="N105" s="113">
        <f>+K105+M105-L105</f>
        <v>348.10000000000008</v>
      </c>
    </row>
    <row r="106" spans="1:15" s="70" customFormat="1" ht="12.75" customHeight="1" x14ac:dyDescent="0.2">
      <c r="A106" s="24"/>
      <c r="B106" s="1"/>
      <c r="C106" s="50" t="s">
        <v>71</v>
      </c>
      <c r="D106" s="55">
        <f>+K103+K104</f>
        <v>1524.12</v>
      </c>
      <c r="E106" s="55">
        <f>+M103+M104</f>
        <v>873.06000000000006</v>
      </c>
      <c r="F106" s="55">
        <f>+L103+L104</f>
        <v>726.21</v>
      </c>
      <c r="G106" s="55">
        <f>+D106+E106-F106</f>
        <v>1670.9699999999998</v>
      </c>
      <c r="H106" s="55">
        <f>1500+700-G106</f>
        <v>529.0300000000002</v>
      </c>
      <c r="J106" s="2"/>
      <c r="K106" s="118">
        <f>SUM(K103:K105)</f>
        <v>1885.23</v>
      </c>
      <c r="L106" s="118">
        <f>SUM(L103:L105)</f>
        <v>1044.79</v>
      </c>
      <c r="M106" s="118">
        <f>SUM(M103:M105)</f>
        <v>1178.6300000000001</v>
      </c>
      <c r="N106" s="118">
        <f>SUM(N103:N105)</f>
        <v>2019.07</v>
      </c>
    </row>
    <row r="107" spans="1:15" s="70" customFormat="1" ht="12.75" customHeight="1" x14ac:dyDescent="0.2">
      <c r="A107" s="24"/>
      <c r="B107" s="1"/>
      <c r="C107" s="14"/>
      <c r="D107" s="56"/>
      <c r="E107" s="13"/>
      <c r="F107" s="2"/>
      <c r="G107" s="30"/>
      <c r="H107" s="30"/>
    </row>
    <row r="108" spans="1:15" s="70" customFormat="1" ht="12.75" customHeight="1" x14ac:dyDescent="0.2">
      <c r="A108" s="215" t="s">
        <v>80</v>
      </c>
      <c r="B108" s="216"/>
      <c r="C108" s="216"/>
      <c r="D108" s="217"/>
      <c r="E108" s="69"/>
      <c r="G108" s="30"/>
      <c r="H108" s="30"/>
    </row>
    <row r="109" spans="1:15" s="70" customFormat="1" ht="12.75" customHeight="1" x14ac:dyDescent="0.2">
      <c r="A109" s="71" t="s">
        <v>81</v>
      </c>
      <c r="B109" s="71"/>
      <c r="C109" s="72" t="s">
        <v>82</v>
      </c>
      <c r="D109" s="73" t="s">
        <v>83</v>
      </c>
      <c r="E109" s="69"/>
      <c r="G109" s="30"/>
      <c r="H109" s="30"/>
    </row>
    <row r="110" spans="1:15" s="70" customFormat="1" ht="12.75" customHeight="1" x14ac:dyDescent="0.2">
      <c r="A110" s="87">
        <v>45264</v>
      </c>
      <c r="B110" s="120" t="s">
        <v>6</v>
      </c>
      <c r="C110" s="75" t="s">
        <v>86</v>
      </c>
      <c r="D110" s="88">
        <v>11017609</v>
      </c>
      <c r="E110" s="2"/>
      <c r="F110" s="2"/>
      <c r="G110" s="30"/>
      <c r="H110" s="30"/>
      <c r="I110" s="2"/>
      <c r="J110" s="2"/>
      <c r="K110" s="2"/>
      <c r="L110" s="2"/>
      <c r="M110" s="41"/>
      <c r="N110" s="42"/>
      <c r="O110" s="2"/>
    </row>
    <row r="111" spans="1:15" s="70" customFormat="1" ht="12.75" customHeight="1" x14ac:dyDescent="0.2">
      <c r="A111" s="87">
        <v>45264</v>
      </c>
      <c r="B111" s="120" t="s">
        <v>6</v>
      </c>
      <c r="C111" s="75" t="s">
        <v>86</v>
      </c>
      <c r="D111" s="88">
        <v>2663814</v>
      </c>
      <c r="E111" s="2"/>
      <c r="F111" s="2"/>
      <c r="G111" s="30"/>
      <c r="H111" s="30"/>
      <c r="I111" s="2"/>
      <c r="J111" s="2"/>
      <c r="K111" s="2"/>
      <c r="L111" s="2"/>
      <c r="M111" s="41"/>
      <c r="N111" s="42"/>
      <c r="O111" s="2"/>
    </row>
    <row r="112" spans="1:15" s="70" customFormat="1" ht="12.75" customHeight="1" x14ac:dyDescent="0.2">
      <c r="A112" s="87">
        <v>45264</v>
      </c>
      <c r="B112" s="120" t="s">
        <v>6</v>
      </c>
      <c r="C112" s="75" t="s">
        <v>86</v>
      </c>
      <c r="D112" s="88">
        <v>75522</v>
      </c>
      <c r="E112" s="2"/>
      <c r="F112" s="2"/>
      <c r="G112" s="30"/>
      <c r="H112" s="30"/>
      <c r="I112" s="2"/>
      <c r="J112" s="2"/>
      <c r="K112" s="2"/>
      <c r="L112" s="2"/>
      <c r="M112" s="41"/>
      <c r="N112" s="42"/>
      <c r="O112" s="2"/>
    </row>
    <row r="113" spans="1:15" s="70" customFormat="1" ht="12.75" customHeight="1" x14ac:dyDescent="0.2">
      <c r="A113" s="87">
        <v>45265</v>
      </c>
      <c r="B113" s="120" t="s">
        <v>6</v>
      </c>
      <c r="C113" s="75" t="s">
        <v>88</v>
      </c>
      <c r="D113" s="88">
        <v>2152501.6</v>
      </c>
      <c r="E113" s="2"/>
      <c r="F113" s="2"/>
      <c r="G113" s="30"/>
      <c r="H113" s="30"/>
      <c r="I113" s="2"/>
      <c r="J113" s="2"/>
      <c r="K113" s="2"/>
      <c r="L113" s="2"/>
      <c r="M113" s="41"/>
      <c r="N113" s="42"/>
      <c r="O113" s="2"/>
    </row>
    <row r="114" spans="1:15" s="70" customFormat="1" ht="12.75" customHeight="1" x14ac:dyDescent="0.2">
      <c r="A114" s="87">
        <v>45266</v>
      </c>
      <c r="B114" s="120" t="s">
        <v>6</v>
      </c>
      <c r="C114" s="75" t="s">
        <v>271</v>
      </c>
      <c r="D114" s="88">
        <v>9828</v>
      </c>
      <c r="E114" s="2"/>
      <c r="F114" s="2"/>
      <c r="G114" s="30"/>
      <c r="H114" s="30"/>
      <c r="I114" s="2"/>
      <c r="J114" s="2"/>
      <c r="K114" s="2"/>
      <c r="L114" s="2"/>
      <c r="M114" s="41"/>
      <c r="N114" s="42"/>
      <c r="O114" s="2"/>
    </row>
    <row r="115" spans="1:15" s="70" customFormat="1" ht="12.75" customHeight="1" x14ac:dyDescent="0.2">
      <c r="A115" s="87">
        <v>45267</v>
      </c>
      <c r="B115" s="120" t="s">
        <v>6</v>
      </c>
      <c r="C115" s="75" t="s">
        <v>85</v>
      </c>
      <c r="D115" s="88">
        <v>179811</v>
      </c>
      <c r="E115" s="2"/>
      <c r="F115" s="2"/>
      <c r="G115" s="30"/>
      <c r="H115" s="30"/>
      <c r="I115" s="2"/>
      <c r="J115" s="2"/>
      <c r="K115" s="2"/>
      <c r="L115" s="2"/>
      <c r="M115" s="41"/>
      <c r="N115" s="42"/>
      <c r="O115" s="2"/>
    </row>
    <row r="116" spans="1:15" s="70" customFormat="1" ht="12.75" customHeight="1" x14ac:dyDescent="0.2">
      <c r="A116" s="87">
        <v>45267</v>
      </c>
      <c r="B116" s="120" t="s">
        <v>6</v>
      </c>
      <c r="C116" s="75" t="s">
        <v>85</v>
      </c>
      <c r="D116" s="88">
        <v>302254</v>
      </c>
      <c r="E116" s="2"/>
      <c r="F116" s="2"/>
      <c r="G116" s="30"/>
      <c r="H116" s="30"/>
      <c r="I116" s="2"/>
      <c r="J116" s="2"/>
      <c r="K116" s="2"/>
      <c r="L116" s="2"/>
      <c r="M116" s="41"/>
      <c r="N116" s="42"/>
      <c r="O116" s="2"/>
    </row>
    <row r="117" spans="1:15" s="70" customFormat="1" ht="12.75" customHeight="1" x14ac:dyDescent="0.2">
      <c r="A117" s="87">
        <v>45268</v>
      </c>
      <c r="B117" s="120" t="s">
        <v>6</v>
      </c>
      <c r="C117" s="75" t="s">
        <v>201</v>
      </c>
      <c r="D117" s="88">
        <v>4000249.47</v>
      </c>
      <c r="E117" s="2"/>
      <c r="F117" s="2"/>
      <c r="G117" s="30"/>
      <c r="H117" s="30"/>
      <c r="I117" s="2"/>
      <c r="J117" s="2"/>
      <c r="K117" s="2"/>
      <c r="L117" s="2"/>
      <c r="M117" s="41"/>
      <c r="N117" s="42"/>
      <c r="O117" s="2"/>
    </row>
    <row r="118" spans="1:15" s="70" customFormat="1" ht="12.75" customHeight="1" x14ac:dyDescent="0.2">
      <c r="A118" s="87">
        <v>45269</v>
      </c>
      <c r="B118" s="120" t="s">
        <v>6</v>
      </c>
      <c r="C118" s="75" t="s">
        <v>85</v>
      </c>
      <c r="D118" s="88">
        <v>96273</v>
      </c>
      <c r="E118" s="2"/>
      <c r="F118" s="2"/>
      <c r="G118" s="30"/>
      <c r="H118" s="30"/>
      <c r="I118" s="2"/>
      <c r="J118" s="2"/>
      <c r="K118" s="2"/>
      <c r="L118" s="2"/>
      <c r="M118" s="41"/>
      <c r="N118" s="42"/>
      <c r="O118" s="2"/>
    </row>
    <row r="119" spans="1:15" s="70" customFormat="1" ht="12.75" customHeight="1" x14ac:dyDescent="0.2">
      <c r="A119" s="87">
        <v>45269</v>
      </c>
      <c r="B119" s="120" t="s">
        <v>6</v>
      </c>
      <c r="C119" s="75" t="s">
        <v>270</v>
      </c>
      <c r="D119" s="88">
        <v>182684</v>
      </c>
      <c r="E119" s="2"/>
      <c r="F119" s="2"/>
      <c r="G119" s="30"/>
      <c r="H119" s="30"/>
      <c r="I119" s="2"/>
      <c r="J119" s="2"/>
      <c r="K119" s="2"/>
      <c r="L119" s="2"/>
      <c r="M119" s="41"/>
      <c r="N119" s="42"/>
      <c r="O119" s="2"/>
    </row>
    <row r="120" spans="1:15" s="70" customFormat="1" ht="12.75" customHeight="1" x14ac:dyDescent="0.2">
      <c r="A120" s="87">
        <v>45269</v>
      </c>
      <c r="B120" s="120" t="s">
        <v>6</v>
      </c>
      <c r="C120" s="75" t="s">
        <v>271</v>
      </c>
      <c r="D120" s="88">
        <v>15488.3</v>
      </c>
      <c r="E120" s="2"/>
      <c r="F120" s="2"/>
      <c r="G120" s="30"/>
      <c r="H120" s="30"/>
      <c r="I120" s="2"/>
      <c r="J120" s="2"/>
      <c r="K120" s="2"/>
      <c r="L120" s="2"/>
      <c r="M120" s="41"/>
      <c r="N120" s="42"/>
      <c r="O120" s="2"/>
    </row>
    <row r="121" spans="1:15" s="70" customFormat="1" ht="12.75" customHeight="1" x14ac:dyDescent="0.2">
      <c r="A121" s="87">
        <v>45272</v>
      </c>
      <c r="B121" s="120" t="s">
        <v>6</v>
      </c>
      <c r="C121" s="75" t="s">
        <v>270</v>
      </c>
      <c r="D121" s="88">
        <v>687714</v>
      </c>
      <c r="E121" s="2"/>
      <c r="F121" s="2"/>
      <c r="G121" s="30"/>
      <c r="H121" s="30"/>
      <c r="I121" s="2"/>
      <c r="J121" s="2"/>
      <c r="K121" s="2"/>
      <c r="L121" s="2"/>
      <c r="M121" s="41"/>
      <c r="N121" s="42"/>
      <c r="O121" s="2"/>
    </row>
    <row r="122" spans="1:15" s="70" customFormat="1" ht="12.75" customHeight="1" x14ac:dyDescent="0.2">
      <c r="A122" s="87">
        <v>45272</v>
      </c>
      <c r="B122" s="120" t="s">
        <v>6</v>
      </c>
      <c r="C122" s="75" t="s">
        <v>1789</v>
      </c>
      <c r="D122" s="88">
        <v>1945116</v>
      </c>
      <c r="E122" s="2"/>
      <c r="F122" s="2"/>
      <c r="G122" s="30"/>
      <c r="H122" s="30"/>
      <c r="I122" s="2"/>
      <c r="J122" s="2"/>
      <c r="K122" s="2"/>
      <c r="L122" s="2"/>
      <c r="M122" s="41"/>
      <c r="N122" s="42"/>
      <c r="O122" s="2"/>
    </row>
    <row r="123" spans="1:15" s="70" customFormat="1" ht="12.75" customHeight="1" x14ac:dyDescent="0.2">
      <c r="A123" s="87">
        <v>45273</v>
      </c>
      <c r="B123" s="120" t="s">
        <v>6</v>
      </c>
      <c r="C123" s="75" t="s">
        <v>18</v>
      </c>
      <c r="D123" s="88">
        <v>167890</v>
      </c>
      <c r="E123" s="2"/>
      <c r="F123" s="2"/>
      <c r="G123" s="30"/>
      <c r="H123" s="30"/>
      <c r="I123" s="2"/>
      <c r="J123" s="2"/>
      <c r="K123" s="2"/>
      <c r="L123" s="2"/>
      <c r="M123" s="41"/>
      <c r="N123" s="42"/>
      <c r="O123" s="2"/>
    </row>
    <row r="124" spans="1:15" s="70" customFormat="1" ht="12.75" customHeight="1" x14ac:dyDescent="0.2">
      <c r="A124" s="87">
        <v>45274</v>
      </c>
      <c r="B124" s="120" t="s">
        <v>6</v>
      </c>
      <c r="C124" s="75" t="s">
        <v>201</v>
      </c>
      <c r="D124" s="88">
        <v>4000385.13</v>
      </c>
      <c r="E124" s="2"/>
      <c r="F124" s="2"/>
      <c r="G124" s="30"/>
      <c r="H124" s="30"/>
      <c r="I124" s="2"/>
      <c r="J124" s="2"/>
      <c r="K124" s="2"/>
      <c r="L124" s="2"/>
      <c r="M124" s="41"/>
      <c r="N124" s="42"/>
      <c r="O124" s="2"/>
    </row>
    <row r="125" spans="1:15" s="70" customFormat="1" ht="12.75" customHeight="1" x14ac:dyDescent="0.2">
      <c r="A125" s="87">
        <v>45274</v>
      </c>
      <c r="B125" s="120" t="s">
        <v>6</v>
      </c>
      <c r="C125" s="75" t="s">
        <v>594</v>
      </c>
      <c r="D125" s="88">
        <v>15735</v>
      </c>
      <c r="E125" s="2"/>
      <c r="F125" s="2"/>
      <c r="G125" s="30"/>
      <c r="H125" s="30"/>
      <c r="I125" s="2"/>
      <c r="J125" s="2"/>
      <c r="K125" s="2"/>
      <c r="L125" s="2"/>
      <c r="M125" s="41"/>
      <c r="N125" s="42"/>
      <c r="O125" s="2"/>
    </row>
    <row r="126" spans="1:15" s="70" customFormat="1" ht="12.75" customHeight="1" x14ac:dyDescent="0.2">
      <c r="A126" s="87">
        <v>45275</v>
      </c>
      <c r="B126" s="120" t="s">
        <v>6</v>
      </c>
      <c r="C126" s="75" t="s">
        <v>594</v>
      </c>
      <c r="D126" s="88">
        <v>4456919</v>
      </c>
      <c r="E126" s="2"/>
      <c r="F126" s="2"/>
      <c r="G126" s="30"/>
      <c r="H126" s="30"/>
      <c r="I126" s="2"/>
      <c r="J126" s="2"/>
      <c r="K126" s="2"/>
      <c r="L126" s="2"/>
      <c r="M126" s="41"/>
      <c r="N126" s="42"/>
      <c r="O126" s="2"/>
    </row>
    <row r="127" spans="1:15" s="70" customFormat="1" ht="12.75" customHeight="1" x14ac:dyDescent="0.2">
      <c r="A127" s="87">
        <v>45275</v>
      </c>
      <c r="B127" s="120" t="s">
        <v>6</v>
      </c>
      <c r="C127" s="75" t="s">
        <v>270</v>
      </c>
      <c r="D127" s="88">
        <v>18357</v>
      </c>
      <c r="E127" s="2"/>
      <c r="F127" s="2"/>
      <c r="G127" s="30"/>
      <c r="H127" s="30"/>
      <c r="I127" s="2"/>
      <c r="J127" s="2"/>
      <c r="K127" s="2"/>
      <c r="L127" s="2"/>
      <c r="M127" s="41"/>
      <c r="N127" s="42"/>
      <c r="O127" s="2"/>
    </row>
    <row r="128" spans="1:15" s="70" customFormat="1" ht="12.75" customHeight="1" x14ac:dyDescent="0.2">
      <c r="A128" s="87">
        <v>45276</v>
      </c>
      <c r="B128" s="120" t="s">
        <v>6</v>
      </c>
      <c r="C128" s="75" t="s">
        <v>85</v>
      </c>
      <c r="D128" s="88">
        <v>197939</v>
      </c>
      <c r="E128" s="2"/>
      <c r="F128" s="2"/>
      <c r="G128" s="30"/>
      <c r="H128" s="30"/>
      <c r="I128" s="2"/>
      <c r="J128" s="2"/>
      <c r="K128" s="2"/>
      <c r="L128" s="2"/>
      <c r="M128" s="41"/>
      <c r="N128" s="42"/>
      <c r="O128" s="2"/>
    </row>
    <row r="129" spans="1:15" s="70" customFormat="1" ht="12.75" customHeight="1" x14ac:dyDescent="0.2">
      <c r="A129" s="87">
        <v>45276</v>
      </c>
      <c r="B129" s="120" t="s">
        <v>6</v>
      </c>
      <c r="C129" s="75" t="s">
        <v>85</v>
      </c>
      <c r="D129" s="88">
        <v>103476</v>
      </c>
      <c r="E129" s="2"/>
      <c r="F129" s="2"/>
      <c r="G129" s="30"/>
      <c r="H129" s="30"/>
      <c r="I129" s="2"/>
      <c r="J129" s="2"/>
      <c r="K129" s="2"/>
      <c r="L129" s="2"/>
      <c r="M129" s="41"/>
      <c r="N129" s="42"/>
      <c r="O129" s="2"/>
    </row>
    <row r="130" spans="1:15" s="70" customFormat="1" ht="12.75" customHeight="1" x14ac:dyDescent="0.2">
      <c r="A130" s="87">
        <v>45278</v>
      </c>
      <c r="B130" s="120" t="s">
        <v>6</v>
      </c>
      <c r="C130" s="75" t="s">
        <v>270</v>
      </c>
      <c r="D130" s="88">
        <v>384076</v>
      </c>
      <c r="E130" s="2"/>
      <c r="F130" s="2"/>
      <c r="G130" s="30"/>
      <c r="H130" s="30"/>
      <c r="I130" s="2"/>
      <c r="J130" s="2"/>
      <c r="K130" s="2"/>
      <c r="L130" s="2"/>
      <c r="M130" s="41"/>
      <c r="N130" s="42"/>
      <c r="O130" s="2"/>
    </row>
    <row r="131" spans="1:15" s="70" customFormat="1" ht="12.75" customHeight="1" x14ac:dyDescent="0.2">
      <c r="A131" s="87">
        <v>45278</v>
      </c>
      <c r="B131" s="120" t="s">
        <v>6</v>
      </c>
      <c r="C131" s="75" t="s">
        <v>85</v>
      </c>
      <c r="D131" s="88">
        <v>427722</v>
      </c>
      <c r="E131" s="2"/>
      <c r="F131" s="2"/>
      <c r="G131" s="30"/>
      <c r="H131" s="30"/>
      <c r="I131" s="2"/>
      <c r="J131" s="2"/>
      <c r="K131" s="2"/>
      <c r="L131" s="2"/>
      <c r="M131" s="41"/>
      <c r="N131" s="42"/>
      <c r="O131" s="2"/>
    </row>
    <row r="132" spans="1:15" s="70" customFormat="1" ht="12.75" customHeight="1" x14ac:dyDescent="0.2">
      <c r="A132" s="87">
        <v>45280</v>
      </c>
      <c r="B132" s="120" t="s">
        <v>6</v>
      </c>
      <c r="C132" s="75" t="s">
        <v>201</v>
      </c>
      <c r="D132" s="88">
        <v>5253480</v>
      </c>
      <c r="E132" s="2"/>
      <c r="F132" s="2"/>
      <c r="G132" s="30"/>
      <c r="H132" s="30"/>
      <c r="I132" s="2"/>
      <c r="J132" s="2"/>
      <c r="K132" s="2"/>
      <c r="L132" s="2"/>
      <c r="M132" s="41"/>
      <c r="N132" s="42"/>
      <c r="O132" s="2"/>
    </row>
    <row r="133" spans="1:15" s="70" customFormat="1" ht="12.75" customHeight="1" x14ac:dyDescent="0.2">
      <c r="A133" s="87">
        <v>45280</v>
      </c>
      <c r="B133" s="120" t="s">
        <v>6</v>
      </c>
      <c r="C133" s="75" t="s">
        <v>18</v>
      </c>
      <c r="D133" s="88">
        <v>604243</v>
      </c>
      <c r="E133" s="2"/>
      <c r="F133" s="2"/>
      <c r="G133" s="30"/>
      <c r="H133" s="30"/>
      <c r="I133" s="2"/>
      <c r="J133" s="2"/>
      <c r="K133" s="2"/>
      <c r="L133" s="2"/>
      <c r="M133" s="41"/>
      <c r="N133" s="42"/>
      <c r="O133" s="2"/>
    </row>
    <row r="134" spans="1:15" s="70" customFormat="1" ht="12.75" customHeight="1" x14ac:dyDescent="0.2">
      <c r="A134" s="87">
        <v>45280</v>
      </c>
      <c r="B134" s="120" t="s">
        <v>6</v>
      </c>
      <c r="C134" s="75" t="s">
        <v>88</v>
      </c>
      <c r="D134" s="88">
        <v>7395284.2999999998</v>
      </c>
      <c r="E134" s="2"/>
      <c r="F134" s="2"/>
      <c r="G134" s="30"/>
      <c r="H134" s="30"/>
      <c r="I134" s="2"/>
      <c r="J134" s="2"/>
      <c r="K134" s="2"/>
      <c r="L134" s="2"/>
      <c r="M134" s="41"/>
      <c r="N134" s="42"/>
      <c r="O134" s="2"/>
    </row>
    <row r="135" spans="1:15" s="70" customFormat="1" ht="12.75" customHeight="1" x14ac:dyDescent="0.2">
      <c r="A135" s="87">
        <v>45281</v>
      </c>
      <c r="B135" s="120" t="s">
        <v>6</v>
      </c>
      <c r="C135" s="75" t="s">
        <v>1897</v>
      </c>
      <c r="D135" s="88">
        <v>710500.05</v>
      </c>
      <c r="E135" s="2"/>
      <c r="F135" s="2"/>
      <c r="G135" s="30"/>
      <c r="H135" s="30"/>
      <c r="I135" s="2"/>
      <c r="J135" s="2"/>
      <c r="K135" s="2"/>
      <c r="L135" s="2"/>
      <c r="M135" s="41"/>
      <c r="N135" s="42"/>
      <c r="O135" s="2"/>
    </row>
    <row r="136" spans="1:15" s="70" customFormat="1" ht="12.75" customHeight="1" x14ac:dyDescent="0.2">
      <c r="A136" s="87">
        <v>45281</v>
      </c>
      <c r="B136" s="120" t="s">
        <v>6</v>
      </c>
      <c r="C136" s="75" t="s">
        <v>271</v>
      </c>
      <c r="D136" s="88">
        <v>32519</v>
      </c>
      <c r="E136" s="2"/>
      <c r="F136" s="2"/>
      <c r="G136" s="30"/>
      <c r="H136" s="30"/>
      <c r="I136" s="2"/>
      <c r="J136" s="2"/>
      <c r="K136" s="2"/>
      <c r="L136" s="2"/>
      <c r="M136" s="41"/>
      <c r="N136" s="42"/>
      <c r="O136" s="2"/>
    </row>
    <row r="137" spans="1:15" s="70" customFormat="1" ht="12.75" customHeight="1" x14ac:dyDescent="0.2">
      <c r="A137" s="87">
        <v>45282</v>
      </c>
      <c r="B137" s="120" t="s">
        <v>6</v>
      </c>
      <c r="C137" s="75" t="s">
        <v>85</v>
      </c>
      <c r="D137" s="88">
        <v>459852</v>
      </c>
      <c r="E137" s="2"/>
      <c r="F137" s="2"/>
      <c r="G137" s="30"/>
      <c r="H137" s="30"/>
      <c r="I137" s="2"/>
      <c r="J137" s="2"/>
      <c r="K137" s="2"/>
      <c r="L137" s="2"/>
      <c r="M137" s="41"/>
      <c r="N137" s="42"/>
      <c r="O137" s="2"/>
    </row>
    <row r="138" spans="1:15" s="70" customFormat="1" ht="12.75" customHeight="1" x14ac:dyDescent="0.2">
      <c r="A138" s="87">
        <v>45282</v>
      </c>
      <c r="B138" s="120" t="s">
        <v>6</v>
      </c>
      <c r="C138" s="75" t="s">
        <v>467</v>
      </c>
      <c r="D138" s="88">
        <v>5455880</v>
      </c>
      <c r="E138" s="2"/>
      <c r="F138" s="2"/>
      <c r="G138" s="30"/>
      <c r="H138" s="30"/>
      <c r="I138" s="2"/>
      <c r="J138" s="2"/>
      <c r="K138" s="2"/>
      <c r="L138" s="2"/>
      <c r="M138" s="41"/>
      <c r="N138" s="42"/>
      <c r="O138" s="2"/>
    </row>
    <row r="139" spans="1:15" s="70" customFormat="1" ht="12.75" customHeight="1" x14ac:dyDescent="0.2">
      <c r="A139" s="87">
        <v>45286</v>
      </c>
      <c r="B139" s="120" t="s">
        <v>6</v>
      </c>
      <c r="C139" s="75" t="s">
        <v>201</v>
      </c>
      <c r="D139" s="88">
        <v>5357718</v>
      </c>
      <c r="E139" s="2"/>
      <c r="F139" s="2"/>
      <c r="G139" s="30"/>
      <c r="H139" s="30"/>
      <c r="I139" s="2"/>
      <c r="J139" s="2"/>
      <c r="K139" s="2"/>
      <c r="L139" s="2"/>
      <c r="M139" s="41"/>
      <c r="N139" s="42"/>
      <c r="O139" s="2"/>
    </row>
    <row r="140" spans="1:15" s="2" customFormat="1" x14ac:dyDescent="0.2">
      <c r="A140" s="87"/>
      <c r="B140" s="74"/>
      <c r="C140" s="75"/>
      <c r="D140" s="51">
        <f>SUM(D110:D139)</f>
        <v>58370839.849999994</v>
      </c>
      <c r="F140" s="2" t="s">
        <v>396</v>
      </c>
      <c r="G140" s="1"/>
      <c r="H140" s="1"/>
    </row>
    <row r="141" spans="1:15" s="2" customFormat="1" x14ac:dyDescent="0.2">
      <c r="A141" s="24"/>
      <c r="B141" s="1"/>
      <c r="C141" s="14"/>
      <c r="D141" s="56"/>
      <c r="E141" s="13"/>
      <c r="G141" s="1"/>
      <c r="H141" s="1"/>
    </row>
    <row r="142" spans="1:15" s="2" customFormat="1" x14ac:dyDescent="0.2">
      <c r="A142" s="24"/>
      <c r="B142" s="1"/>
      <c r="C142" s="218" t="s">
        <v>77</v>
      </c>
      <c r="D142" s="219"/>
      <c r="E142" s="219"/>
      <c r="F142" s="220"/>
      <c r="I142" s="2" t="s">
        <v>396</v>
      </c>
    </row>
    <row r="143" spans="1:15" s="2" customFormat="1" x14ac:dyDescent="0.2">
      <c r="A143" s="24"/>
      <c r="B143" s="1"/>
      <c r="C143" s="50"/>
      <c r="D143" s="57" t="s">
        <v>78</v>
      </c>
      <c r="E143" s="58" t="s">
        <v>79</v>
      </c>
      <c r="F143" s="57" t="s">
        <v>72</v>
      </c>
      <c r="I143" s="2" t="s">
        <v>396</v>
      </c>
    </row>
    <row r="144" spans="1:15" s="2" customFormat="1" x14ac:dyDescent="0.2">
      <c r="A144" s="24"/>
      <c r="B144" s="1"/>
      <c r="C144" s="59" t="str">
        <f>"01-12-2023 to "&amp;TEXT(A5-2,"dd-mm-yyyy")</f>
        <v>01-12-2023 to 24-12-2023</v>
      </c>
      <c r="D144" s="60">
        <v>1778.49</v>
      </c>
      <c r="E144" s="60">
        <v>537.51</v>
      </c>
      <c r="F144" s="61">
        <f>SUM(D144:E144)</f>
        <v>2316</v>
      </c>
    </row>
    <row r="145" spans="1:14" s="2" customFormat="1" x14ac:dyDescent="0.2">
      <c r="A145" s="24"/>
      <c r="B145" s="1"/>
      <c r="C145" s="62" t="str">
        <f>TEXT(A5-1,"dd-mm-yyyy")</f>
        <v>25-12-2023</v>
      </c>
      <c r="D145" s="60">
        <v>45.97</v>
      </c>
      <c r="E145" s="60">
        <v>21.79</v>
      </c>
      <c r="F145" s="61">
        <f>SUM(D145:E145)</f>
        <v>67.759999999999991</v>
      </c>
      <c r="G145" s="1"/>
      <c r="H145" s="1"/>
      <c r="I145" s="53"/>
    </row>
    <row r="146" spans="1:14" s="2" customFormat="1" ht="13.5" thickBot="1" x14ac:dyDescent="0.25">
      <c r="A146" s="24"/>
      <c r="B146" s="1"/>
      <c r="C146" s="63" t="str">
        <f>"01-12-2023 to "&amp;TEXT(A5-1,"dd-mm-yyyy")</f>
        <v>01-12-2023 to 25-12-2023</v>
      </c>
      <c r="D146" s="64">
        <f>SUM(D144:D145)</f>
        <v>1824.46</v>
      </c>
      <c r="E146" s="64">
        <f>SUM(E144:E145)</f>
        <v>559.29999999999995</v>
      </c>
      <c r="F146" s="64">
        <f>SUM(F144:F145)</f>
        <v>2383.7600000000002</v>
      </c>
      <c r="G146" s="1"/>
      <c r="H146" s="1"/>
      <c r="I146" s="53"/>
    </row>
    <row r="147" spans="1:14" s="2" customFormat="1" ht="13.5" thickTop="1" x14ac:dyDescent="0.2">
      <c r="A147" s="24"/>
      <c r="B147" s="1"/>
      <c r="C147" s="62"/>
      <c r="D147" s="65"/>
      <c r="E147" s="66"/>
      <c r="F147" s="67"/>
      <c r="M147" s="1"/>
      <c r="N147" s="1"/>
    </row>
    <row r="148" spans="1:14" s="2" customFormat="1" x14ac:dyDescent="0.2">
      <c r="A148" s="24"/>
      <c r="B148" s="1"/>
      <c r="C148" s="62" t="str">
        <f>"01-04-2023 to " &amp;C145</f>
        <v>01-04-2023 to 25-12-2023</v>
      </c>
      <c r="D148" s="68">
        <f>+D146+32234.22</f>
        <v>34058.68</v>
      </c>
      <c r="E148" s="68">
        <f>+E146+3134.59</f>
        <v>3693.8900000000003</v>
      </c>
      <c r="F148" s="68">
        <f>+F146+35368.81</f>
        <v>37752.57</v>
      </c>
      <c r="G148" s="1"/>
      <c r="H148" s="1"/>
      <c r="M148" s="1"/>
      <c r="N148" s="1"/>
    </row>
    <row r="149" spans="1:14" s="2" customFormat="1" x14ac:dyDescent="0.2">
      <c r="A149" s="24"/>
      <c r="B149" s="1"/>
      <c r="C149" s="52"/>
      <c r="D149" s="85"/>
      <c r="E149" s="53"/>
      <c r="F149" s="53"/>
      <c r="G149" s="1"/>
      <c r="H149" s="1"/>
      <c r="M149" s="1"/>
      <c r="N149" s="1"/>
    </row>
    <row r="150" spans="1:14" s="2" customFormat="1" x14ac:dyDescent="0.2">
      <c r="A150" s="24"/>
      <c r="B150" s="1"/>
      <c r="C150" s="52"/>
      <c r="D150" s="85"/>
      <c r="E150" s="53"/>
      <c r="F150" s="53"/>
      <c r="G150" s="1"/>
      <c r="H150" s="1"/>
      <c r="M150" s="1"/>
      <c r="N150" s="1"/>
    </row>
    <row r="151" spans="1:14" s="2" customFormat="1" x14ac:dyDescent="0.2">
      <c r="A151" s="24"/>
      <c r="B151" s="1"/>
      <c r="C151" s="52"/>
      <c r="D151" s="85"/>
      <c r="E151" s="53"/>
      <c r="F151" s="53"/>
      <c r="G151" s="1"/>
      <c r="H151" s="1"/>
      <c r="M151" s="1"/>
      <c r="N151" s="1"/>
    </row>
    <row r="152" spans="1:14" s="2" customFormat="1" x14ac:dyDescent="0.2">
      <c r="A152" s="24"/>
      <c r="B152" s="1"/>
      <c r="C152" s="52"/>
      <c r="D152" s="85"/>
      <c r="E152" s="53"/>
      <c r="F152" s="53"/>
      <c r="G152" s="1"/>
      <c r="H152" s="1"/>
      <c r="M152" s="1"/>
      <c r="N152" s="1"/>
    </row>
    <row r="153" spans="1:14" s="2" customFormat="1" x14ac:dyDescent="0.2">
      <c r="A153" s="24"/>
      <c r="B153" s="1"/>
      <c r="C153" s="14"/>
      <c r="D153" s="25">
        <f>SUM(D150:D152)</f>
        <v>0</v>
      </c>
      <c r="E153" s="2">
        <f>SUM(E150:E152)</f>
        <v>0</v>
      </c>
      <c r="G153" s="1"/>
      <c r="H153" s="1"/>
      <c r="M153" s="1"/>
      <c r="N153" s="1"/>
    </row>
    <row r="154" spans="1:14" s="2" customFormat="1" x14ac:dyDescent="0.2">
      <c r="A154" s="24"/>
      <c r="B154" s="1"/>
      <c r="C154" s="14"/>
      <c r="D154" s="25"/>
      <c r="G154" s="1"/>
      <c r="H154" s="1"/>
      <c r="M154" s="1"/>
      <c r="N154" s="1"/>
    </row>
    <row r="155" spans="1:14" s="2" customFormat="1" x14ac:dyDescent="0.2">
      <c r="A155" s="24"/>
      <c r="B155" s="1"/>
      <c r="C155" s="14"/>
      <c r="D155" s="25"/>
      <c r="G155" s="1"/>
      <c r="H155" s="1"/>
      <c r="M155" s="1"/>
      <c r="N155" s="1"/>
    </row>
    <row r="156" spans="1:14" s="2" customFormat="1" x14ac:dyDescent="0.2">
      <c r="A156" s="24"/>
      <c r="B156" s="1"/>
      <c r="C156" s="14"/>
      <c r="D156" s="25"/>
      <c r="G156" s="1"/>
      <c r="H156" s="1"/>
      <c r="M156" s="1"/>
      <c r="N156" s="1"/>
    </row>
    <row r="157" spans="1:14" s="2" customFormat="1" x14ac:dyDescent="0.2">
      <c r="A157" s="24"/>
      <c r="B157" s="1"/>
      <c r="C157" s="14"/>
      <c r="D157" s="25"/>
      <c r="G157" s="1"/>
      <c r="H157" s="1"/>
      <c r="M157" s="1"/>
      <c r="N157" s="1"/>
    </row>
    <row r="158" spans="1:14" s="2" customFormat="1" x14ac:dyDescent="0.2">
      <c r="A158" s="24"/>
      <c r="B158" s="1"/>
      <c r="C158" s="14"/>
      <c r="D158" s="25"/>
      <c r="G158" s="1"/>
      <c r="H158" s="1"/>
      <c r="M158" s="1"/>
      <c r="N158" s="1"/>
    </row>
    <row r="159" spans="1:14" s="2" customFormat="1" x14ac:dyDescent="0.2">
      <c r="A159" s="24"/>
      <c r="B159" s="1"/>
      <c r="C159" s="14"/>
      <c r="D159" s="25"/>
      <c r="G159" s="1"/>
      <c r="H159" s="1"/>
      <c r="M159" s="1"/>
      <c r="N159" s="1"/>
    </row>
    <row r="160" spans="1:14" s="2" customFormat="1" x14ac:dyDescent="0.2">
      <c r="A160" s="24"/>
      <c r="B160" s="1"/>
      <c r="C160" s="14"/>
      <c r="D160" s="25"/>
      <c r="G160" s="1"/>
      <c r="H160" s="1"/>
      <c r="M160" s="1"/>
      <c r="N160" s="1"/>
    </row>
    <row r="161" spans="1:15" s="2" customFormat="1" x14ac:dyDescent="0.2">
      <c r="A161" s="24"/>
      <c r="B161" s="1"/>
      <c r="C161" s="14"/>
      <c r="D161" s="25"/>
      <c r="G161" s="1"/>
      <c r="H161" s="1"/>
      <c r="M161" s="1"/>
      <c r="N161" s="1"/>
    </row>
    <row r="162" spans="1:15" s="2" customFormat="1" x14ac:dyDescent="0.2">
      <c r="A162" s="24"/>
      <c r="B162" s="1"/>
      <c r="C162" s="14"/>
      <c r="D162" s="25"/>
      <c r="G162" s="1"/>
      <c r="H162" s="1"/>
      <c r="M162" s="1"/>
      <c r="N162" s="1"/>
    </row>
    <row r="163" spans="1:15" s="2" customFormat="1" x14ac:dyDescent="0.2">
      <c r="A163" s="24"/>
      <c r="B163" s="1"/>
      <c r="C163" s="14"/>
      <c r="D163" s="25"/>
      <c r="G163" s="1"/>
      <c r="H163" s="1"/>
      <c r="M163" s="1"/>
      <c r="N163" s="1"/>
    </row>
    <row r="164" spans="1:15" s="2" customFormat="1" x14ac:dyDescent="0.2">
      <c r="A164" s="24"/>
      <c r="B164" s="1"/>
      <c r="C164" s="14"/>
      <c r="D164" s="25"/>
      <c r="G164" s="1"/>
      <c r="H164" s="1"/>
      <c r="M164" s="1"/>
      <c r="N164" s="1"/>
    </row>
    <row r="165" spans="1:15" s="2" customFormat="1" x14ac:dyDescent="0.2">
      <c r="A165" s="24"/>
      <c r="B165" s="1"/>
      <c r="C165" s="14"/>
      <c r="D165" s="25"/>
      <c r="G165" s="1"/>
      <c r="H165" s="1"/>
      <c r="M165" s="1"/>
      <c r="N165" s="1"/>
    </row>
    <row r="166" spans="1:15" s="2" customFormat="1" x14ac:dyDescent="0.2">
      <c r="A166" s="24"/>
      <c r="B166" s="1"/>
      <c r="C166" s="14"/>
      <c r="D166" s="25"/>
      <c r="G166" s="1"/>
      <c r="H166" s="1"/>
      <c r="M166" s="1"/>
      <c r="N166" s="1"/>
    </row>
    <row r="167" spans="1:15" s="2" customFormat="1" x14ac:dyDescent="0.2">
      <c r="A167" s="24"/>
      <c r="B167" s="1"/>
      <c r="C167" s="14"/>
      <c r="D167" s="25"/>
      <c r="G167" s="1"/>
      <c r="H167" s="1"/>
      <c r="J167" s="1"/>
      <c r="K167" s="1"/>
      <c r="L167" s="1"/>
      <c r="M167" s="1"/>
      <c r="N167" s="1"/>
    </row>
    <row r="168" spans="1:15" s="2" customFormat="1" x14ac:dyDescent="0.2">
      <c r="A168" s="24"/>
      <c r="B168" s="1"/>
      <c r="C168" s="14"/>
      <c r="D168" s="25"/>
      <c r="G168" s="1"/>
      <c r="H168" s="1"/>
    </row>
    <row r="169" spans="1:15" s="2" customFormat="1" x14ac:dyDescent="0.2">
      <c r="A169" s="24"/>
      <c r="B169" s="1"/>
      <c r="C169" s="14"/>
      <c r="D169" s="25"/>
      <c r="G169" s="1"/>
      <c r="H169" s="1"/>
      <c r="J169" s="1"/>
      <c r="K169" s="1"/>
      <c r="L169" s="1"/>
      <c r="M169" s="1"/>
      <c r="N169" s="1"/>
    </row>
    <row r="170" spans="1:15" s="2" customFormat="1" x14ac:dyDescent="0.2">
      <c r="A170" s="24"/>
      <c r="B170" s="1"/>
      <c r="C170" s="14"/>
      <c r="D170" s="25"/>
      <c r="G170" s="54"/>
      <c r="H170" s="54"/>
      <c r="J170" s="1"/>
      <c r="K170" s="1"/>
      <c r="L170" s="1"/>
      <c r="M170" s="1"/>
      <c r="N170" s="1"/>
    </row>
    <row r="171" spans="1:15" s="2" customFormat="1" x14ac:dyDescent="0.2">
      <c r="A171" s="24"/>
      <c r="B171" s="1"/>
      <c r="C171" s="14"/>
      <c r="D171" s="25"/>
      <c r="G171" s="54"/>
      <c r="H171" s="54"/>
      <c r="J171" s="1"/>
      <c r="K171" s="1"/>
      <c r="L171" s="1"/>
      <c r="M171" s="1"/>
      <c r="N171" s="1"/>
    </row>
    <row r="172" spans="1:15" s="2" customFormat="1" x14ac:dyDescent="0.2">
      <c r="A172" s="24"/>
      <c r="B172" s="1"/>
      <c r="C172" s="14"/>
      <c r="D172" s="25"/>
      <c r="G172" s="54"/>
      <c r="H172" s="54"/>
      <c r="J172" s="1"/>
      <c r="K172" s="1"/>
      <c r="L172" s="1"/>
      <c r="M172" s="1"/>
      <c r="N172" s="1"/>
    </row>
    <row r="173" spans="1:15" s="2" customFormat="1" x14ac:dyDescent="0.2">
      <c r="A173" s="24"/>
      <c r="B173" s="1"/>
      <c r="C173" s="14"/>
      <c r="D173" s="25"/>
      <c r="G173" s="54"/>
      <c r="H173" s="54"/>
      <c r="I173" s="2" t="s">
        <v>396</v>
      </c>
      <c r="J173" s="1"/>
      <c r="K173" s="1"/>
      <c r="L173" s="1"/>
      <c r="M173" s="1"/>
      <c r="N173" s="1"/>
      <c r="O173" s="1"/>
    </row>
    <row r="174" spans="1:15" s="2" customFormat="1" x14ac:dyDescent="0.2">
      <c r="A174" s="24"/>
      <c r="B174" s="1"/>
      <c r="C174" s="14"/>
      <c r="D174" s="25"/>
      <c r="G174" s="54"/>
      <c r="H174" s="54"/>
      <c r="I174" s="53"/>
    </row>
    <row r="175" spans="1:15" s="2" customFormat="1" x14ac:dyDescent="0.2">
      <c r="A175" s="24"/>
      <c r="B175" s="1"/>
      <c r="C175" s="14"/>
      <c r="D175" s="25"/>
      <c r="G175" s="54"/>
      <c r="H175" s="54"/>
      <c r="I175" s="53" t="s">
        <v>396</v>
      </c>
      <c r="J175" s="1"/>
      <c r="K175" s="1"/>
      <c r="L175" s="1"/>
      <c r="M175" s="1"/>
      <c r="N175" s="1"/>
      <c r="O175" s="1"/>
    </row>
    <row r="176" spans="1:15" x14ac:dyDescent="0.2">
      <c r="G176" s="54"/>
      <c r="H176" s="54"/>
      <c r="I176" s="53" t="s">
        <v>396</v>
      </c>
      <c r="K176" s="42"/>
    </row>
    <row r="177" spans="1:15" s="2" customFormat="1" x14ac:dyDescent="0.2">
      <c r="A177" s="24"/>
      <c r="B177" s="1"/>
      <c r="C177" s="14"/>
      <c r="D177" s="25"/>
      <c r="G177" s="54"/>
      <c r="H177" s="54"/>
      <c r="I177" s="53"/>
      <c r="J177" s="101"/>
      <c r="K177" s="1"/>
      <c r="L177" s="1"/>
      <c r="M177" s="1"/>
      <c r="N177" s="1"/>
      <c r="O177" s="1"/>
    </row>
    <row r="178" spans="1:15" x14ac:dyDescent="0.2">
      <c r="G178" s="54"/>
      <c r="H178" s="54"/>
      <c r="I178" s="53"/>
    </row>
    <row r="179" spans="1:15" x14ac:dyDescent="0.2">
      <c r="G179" s="54"/>
      <c r="H179" s="54"/>
      <c r="I179" s="53"/>
    </row>
    <row r="180" spans="1:15" x14ac:dyDescent="0.2">
      <c r="G180" s="54"/>
      <c r="H180" s="54"/>
      <c r="I180" s="53"/>
    </row>
  </sheetData>
  <sheetProtection insertRows="0"/>
  <mergeCells count="7">
    <mergeCell ref="K101:L101"/>
    <mergeCell ref="A108:D108"/>
    <mergeCell ref="C142:F142"/>
    <mergeCell ref="A1:H1"/>
    <mergeCell ref="A3:F3"/>
    <mergeCell ref="A9:F9"/>
    <mergeCell ref="A21:F21"/>
  </mergeCells>
  <conditionalFormatting sqref="H105:H106">
    <cfRule type="cellIs" dxfId="157" priority="1" operator="lessThan">
      <formula>0</formula>
    </cfRule>
  </conditionalFormatting>
  <conditionalFormatting sqref="C23">
    <cfRule type="duplicateValues" dxfId="156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400-000000000000}">
  <sheetPr codeName="Sheet508">
    <pageSetUpPr fitToPage="1"/>
  </sheetPr>
  <dimension ref="A1:O154"/>
  <sheetViews>
    <sheetView topLeftCell="A114" zoomScaleNormal="100" workbookViewId="0">
      <selection activeCell="I61" sqref="I61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12.85546875" style="1" customWidth="1"/>
    <col min="9" max="9" width="24.85546875" style="2" bestFit="1" customWidth="1"/>
    <col min="10" max="10" width="21.5703125" style="1" bestFit="1" customWidth="1"/>
    <col min="11" max="11" width="16.85546875" style="1" bestFit="1" customWidth="1"/>
    <col min="12" max="12" width="17.28515625" style="1" bestFit="1" customWidth="1"/>
    <col min="13" max="13" width="13.5703125" style="1" bestFit="1" customWidth="1"/>
    <col min="14" max="14" width="17.42578125" style="1" bestFit="1" customWidth="1"/>
    <col min="15" max="15" width="12.85546875" style="1" bestFit="1" customWidth="1"/>
    <col min="16" max="17" width="9.140625" style="1"/>
    <col min="18" max="18" width="15.5703125" style="1" bestFit="1" customWidth="1"/>
    <col min="19" max="16384" width="9.140625" style="1"/>
  </cols>
  <sheetData>
    <row r="1" spans="1:12" ht="20.25" customHeight="1" x14ac:dyDescent="0.4">
      <c r="A1" s="212" t="s">
        <v>1910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2" ht="12.75" customHeight="1" x14ac:dyDescent="0.4">
      <c r="I2" s="112"/>
      <c r="J2" s="112"/>
    </row>
    <row r="3" spans="1:12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2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2" s="2" customFormat="1" ht="14.25" customHeight="1" x14ac:dyDescent="0.4">
      <c r="A5" s="89">
        <v>45287</v>
      </c>
      <c r="B5" s="9" t="s">
        <v>6</v>
      </c>
      <c r="C5" s="10" t="s">
        <v>7</v>
      </c>
      <c r="D5" s="11"/>
      <c r="E5" s="12">
        <v>670047.23000000045</v>
      </c>
      <c r="F5" s="12"/>
      <c r="G5" s="1"/>
      <c r="H5" s="1"/>
      <c r="I5" s="112"/>
      <c r="J5" s="112"/>
    </row>
    <row r="6" spans="1:12" s="2" customFormat="1" ht="12.75" customHeight="1" x14ac:dyDescent="0.2">
      <c r="D6" s="15" t="s">
        <v>8</v>
      </c>
      <c r="E6" s="16">
        <f>SUM(E5:E5)</f>
        <v>670047.23000000045</v>
      </c>
      <c r="F6" s="16">
        <f>F5</f>
        <v>0</v>
      </c>
      <c r="G6" s="1"/>
      <c r="H6" s="1"/>
      <c r="I6" s="13" t="s">
        <v>1582</v>
      </c>
      <c r="J6" s="13" t="s">
        <v>1583</v>
      </c>
    </row>
    <row r="7" spans="1:12" s="2" customFormat="1" ht="12.75" customHeight="1" x14ac:dyDescent="0.2">
      <c r="A7" s="17"/>
      <c r="B7" s="18"/>
      <c r="C7" s="19" t="s">
        <v>9</v>
      </c>
      <c r="D7" s="20"/>
      <c r="E7" s="21">
        <f>+E6-F6</f>
        <v>670047.23000000045</v>
      </c>
      <c r="F7" s="22"/>
      <c r="G7" s="23"/>
      <c r="H7" s="23"/>
      <c r="I7" s="2">
        <v>751373</v>
      </c>
      <c r="J7" s="2">
        <v>305150</v>
      </c>
      <c r="K7" s="176">
        <f>I7-J7</f>
        <v>446223</v>
      </c>
    </row>
    <row r="8" spans="1:12" ht="12.75" customHeight="1" x14ac:dyDescent="0.4">
      <c r="I8" s="112"/>
      <c r="J8" s="112"/>
    </row>
    <row r="9" spans="1:12" ht="18" customHeight="1" x14ac:dyDescent="0.4">
      <c r="A9" s="213" t="s">
        <v>1037</v>
      </c>
      <c r="B9" s="213"/>
      <c r="C9" s="213"/>
      <c r="D9" s="213"/>
      <c r="E9" s="213"/>
      <c r="F9" s="213"/>
      <c r="I9" s="112"/>
      <c r="J9" s="169">
        <f>90000000-60000000</f>
        <v>30000000</v>
      </c>
      <c r="K9" s="169" t="s">
        <v>1508</v>
      </c>
    </row>
    <row r="10" spans="1:12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I10" s="112"/>
      <c r="J10" s="169">
        <v>25936242.399999999</v>
      </c>
      <c r="K10" s="169" t="s">
        <v>1509</v>
      </c>
      <c r="L10" s="124"/>
    </row>
    <row r="11" spans="1:12" s="2" customFormat="1" ht="14.25" customHeight="1" x14ac:dyDescent="0.2">
      <c r="A11" s="89">
        <v>45287</v>
      </c>
      <c r="B11" s="9" t="s">
        <v>6</v>
      </c>
      <c r="C11" s="10" t="s">
        <v>7</v>
      </c>
      <c r="D11" s="11"/>
      <c r="F11" s="12">
        <v>25311419.400000002</v>
      </c>
      <c r="G11" s="1"/>
      <c r="H11" s="1"/>
      <c r="I11" s="130" t="s">
        <v>396</v>
      </c>
      <c r="J11" s="169">
        <f>+J9-J10</f>
        <v>4063757.6000000015</v>
      </c>
      <c r="K11" s="169" t="s">
        <v>712</v>
      </c>
      <c r="L11" s="165" t="s">
        <v>1512</v>
      </c>
    </row>
    <row r="12" spans="1:12" s="2" customFormat="1" ht="14.25" customHeight="1" x14ac:dyDescent="0.2">
      <c r="A12" s="89">
        <v>45287</v>
      </c>
      <c r="B12" s="128" t="s">
        <v>6</v>
      </c>
      <c r="C12" s="76" t="s">
        <v>1749</v>
      </c>
      <c r="D12" s="11" t="s">
        <v>13</v>
      </c>
      <c r="E12" s="31">
        <v>85050</v>
      </c>
      <c r="F12" s="31"/>
      <c r="G12" s="1"/>
      <c r="H12" s="1"/>
      <c r="I12" s="130"/>
      <c r="J12" s="169"/>
      <c r="K12" s="169"/>
      <c r="L12" s="165"/>
    </row>
    <row r="13" spans="1:12" s="2" customFormat="1" ht="14.25" customHeight="1" x14ac:dyDescent="0.2">
      <c r="A13" s="89">
        <v>45287</v>
      </c>
      <c r="B13" s="128" t="s">
        <v>11</v>
      </c>
      <c r="C13" s="76" t="s">
        <v>1911</v>
      </c>
      <c r="D13" s="11" t="s">
        <v>13</v>
      </c>
      <c r="E13" s="31"/>
      <c r="F13" s="31">
        <v>20000</v>
      </c>
      <c r="G13" s="1"/>
      <c r="H13" s="1"/>
      <c r="I13" s="130"/>
      <c r="J13" s="169"/>
      <c r="K13" s="169"/>
      <c r="L13" s="165"/>
    </row>
    <row r="14" spans="1:12" s="2" customFormat="1" ht="14.25" customHeight="1" x14ac:dyDescent="0.2">
      <c r="A14" s="89">
        <v>45287</v>
      </c>
      <c r="B14" s="128" t="s">
        <v>11</v>
      </c>
      <c r="C14" s="76" t="s">
        <v>658</v>
      </c>
      <c r="D14" s="11" t="s">
        <v>13</v>
      </c>
      <c r="E14" s="31"/>
      <c r="F14" s="31">
        <v>7080</v>
      </c>
      <c r="G14" s="1"/>
      <c r="H14" s="1"/>
      <c r="I14" s="130"/>
      <c r="J14" s="169"/>
      <c r="K14" s="169"/>
      <c r="L14" s="165"/>
    </row>
    <row r="15" spans="1:12" s="2" customFormat="1" ht="14.25" customHeight="1" x14ac:dyDescent="0.2">
      <c r="A15" s="89">
        <v>45287</v>
      </c>
      <c r="B15" s="128" t="s">
        <v>11</v>
      </c>
      <c r="C15" s="76" t="s">
        <v>1912</v>
      </c>
      <c r="D15" s="11" t="s">
        <v>13</v>
      </c>
      <c r="E15" s="31"/>
      <c r="F15" s="31">
        <v>74250</v>
      </c>
      <c r="G15" s="1"/>
      <c r="H15" s="1"/>
      <c r="I15" s="130"/>
      <c r="J15" s="169"/>
      <c r="K15" s="169"/>
      <c r="L15" s="165"/>
    </row>
    <row r="16" spans="1:12" s="2" customFormat="1" ht="14.25" customHeight="1" x14ac:dyDescent="0.2">
      <c r="A16" s="89">
        <v>45287</v>
      </c>
      <c r="B16" s="128" t="s">
        <v>11</v>
      </c>
      <c r="C16" s="76" t="s">
        <v>209</v>
      </c>
      <c r="D16" s="11" t="s">
        <v>13</v>
      </c>
      <c r="E16" s="31"/>
      <c r="F16" s="31">
        <v>50000</v>
      </c>
      <c r="G16" s="1"/>
      <c r="H16" s="1"/>
      <c r="I16" s="130"/>
      <c r="J16" s="169"/>
      <c r="K16" s="169"/>
      <c r="L16" s="165"/>
    </row>
    <row r="17" spans="1:15" s="2" customFormat="1" ht="14.25" customHeight="1" x14ac:dyDescent="0.2">
      <c r="A17" s="89">
        <v>45287</v>
      </c>
      <c r="B17" s="128" t="s">
        <v>11</v>
      </c>
      <c r="C17" s="76" t="s">
        <v>34</v>
      </c>
      <c r="D17" s="11" t="s">
        <v>13</v>
      </c>
      <c r="E17" s="31"/>
      <c r="F17" s="31">
        <v>25000</v>
      </c>
      <c r="G17" s="1"/>
      <c r="H17" s="1"/>
      <c r="I17" s="130"/>
      <c r="J17" s="169"/>
      <c r="K17" s="169"/>
      <c r="L17" s="165"/>
    </row>
    <row r="18" spans="1:15" s="2" customFormat="1" ht="14.25" customHeight="1" x14ac:dyDescent="0.2">
      <c r="A18" s="89">
        <v>45287</v>
      </c>
      <c r="B18" s="128" t="s">
        <v>11</v>
      </c>
      <c r="C18" s="76" t="s">
        <v>1913</v>
      </c>
      <c r="D18" s="11" t="s">
        <v>13</v>
      </c>
      <c r="E18" s="31"/>
      <c r="F18" s="31">
        <v>87320</v>
      </c>
      <c r="G18" s="1"/>
      <c r="H18" s="1"/>
      <c r="I18" s="130"/>
      <c r="J18" s="169"/>
      <c r="K18" s="169"/>
      <c r="L18" s="165"/>
    </row>
    <row r="19" spans="1:15" s="2" customFormat="1" ht="14.25" customHeight="1" x14ac:dyDescent="0.2">
      <c r="D19" s="11" t="s">
        <v>8</v>
      </c>
      <c r="E19" s="16">
        <f>SUM(E12:E18)</f>
        <v>85050</v>
      </c>
      <c r="F19" s="16">
        <f>SUM(F11:F18)</f>
        <v>25575069.400000002</v>
      </c>
      <c r="G19" s="1"/>
      <c r="H19" s="1"/>
      <c r="I19" s="143"/>
      <c r="J19" s="130"/>
      <c r="K19" s="143"/>
      <c r="L19" s="143"/>
      <c r="M19" s="143"/>
      <c r="N19" s="143"/>
    </row>
    <row r="20" spans="1:15" s="2" customFormat="1" ht="14.25" customHeight="1" x14ac:dyDescent="0.4">
      <c r="A20" s="17"/>
      <c r="B20" s="18"/>
      <c r="C20" s="96" t="s">
        <v>9</v>
      </c>
      <c r="D20" s="20"/>
      <c r="E20" s="21">
        <f>+F19-E19</f>
        <v>25490019.400000002</v>
      </c>
      <c r="G20" s="1"/>
      <c r="H20" s="1"/>
      <c r="J20" s="112"/>
      <c r="K20" s="153" t="s">
        <v>779</v>
      </c>
    </row>
    <row r="21" spans="1:15" s="2" customFormat="1" ht="14.25" customHeight="1" x14ac:dyDescent="0.2">
      <c r="A21" s="36"/>
      <c r="B21" s="28" t="s">
        <v>66</v>
      </c>
      <c r="C21" s="43" t="s">
        <v>1458</v>
      </c>
      <c r="D21" s="43"/>
      <c r="E21" s="12">
        <f>30000000+60000000</f>
        <v>90000000</v>
      </c>
      <c r="F21" s="22"/>
      <c r="G21" s="1"/>
      <c r="H21" s="1"/>
      <c r="J21" s="40">
        <v>25490019.399999999</v>
      </c>
      <c r="K21" s="154">
        <f>J21-E20</f>
        <v>0</v>
      </c>
    </row>
    <row r="22" spans="1:15" s="2" customFormat="1" ht="14.25" customHeight="1" x14ac:dyDescent="0.25">
      <c r="A22" s="36"/>
      <c r="B22" s="28"/>
      <c r="C22" s="44" t="s">
        <v>1541</v>
      </c>
      <c r="D22" s="43"/>
      <c r="E22" s="7">
        <f>+E20+E21</f>
        <v>115490019.40000001</v>
      </c>
      <c r="F22" s="22"/>
      <c r="G22" s="1"/>
      <c r="H22" s="1"/>
      <c r="I22" s="13" t="s">
        <v>1582</v>
      </c>
      <c r="J22" s="13" t="s">
        <v>1583</v>
      </c>
    </row>
    <row r="23" spans="1:15" s="2" customFormat="1" ht="14.25" customHeight="1" x14ac:dyDescent="0.25">
      <c r="A23" s="36"/>
      <c r="B23" s="28"/>
      <c r="C23" s="44" t="s">
        <v>1511</v>
      </c>
      <c r="D23" s="43"/>
      <c r="E23" s="38">
        <f>+J11+I7-J7</f>
        <v>4509980.6000000015</v>
      </c>
      <c r="F23" s="22"/>
      <c r="G23" s="1"/>
      <c r="H23" s="1"/>
      <c r="I23" s="2">
        <v>1650724</v>
      </c>
      <c r="J23" s="2">
        <v>5554334.7400000002</v>
      </c>
      <c r="K23" s="176">
        <f>I23-J23</f>
        <v>-3903610.74</v>
      </c>
    </row>
    <row r="24" spans="1:15" s="2" customFormat="1" ht="14.25" customHeight="1" x14ac:dyDescent="0.2">
      <c r="A24" s="24"/>
      <c r="B24" s="1"/>
      <c r="C24" s="14"/>
      <c r="D24" s="25"/>
      <c r="G24" s="1"/>
      <c r="H24" s="1"/>
      <c r="J24" s="130"/>
      <c r="K24" s="130"/>
    </row>
    <row r="25" spans="1:15" s="2" customFormat="1" x14ac:dyDescent="0.2">
      <c r="A25" s="214" t="s">
        <v>10</v>
      </c>
      <c r="B25" s="214"/>
      <c r="C25" s="214"/>
      <c r="D25" s="214"/>
      <c r="E25" s="214"/>
      <c r="F25" s="214"/>
      <c r="G25" s="1"/>
      <c r="H25" s="1"/>
      <c r="I25" s="159"/>
      <c r="J25" s="160">
        <f>225000000-75000000-50000000</f>
        <v>100000000</v>
      </c>
      <c r="K25" s="160" t="s">
        <v>1506</v>
      </c>
      <c r="L25" s="70"/>
    </row>
    <row r="26" spans="1:15" s="2" customFormat="1" x14ac:dyDescent="0.2">
      <c r="A26" s="26" t="s">
        <v>1</v>
      </c>
      <c r="B26" s="27" t="s">
        <v>2</v>
      </c>
      <c r="C26" s="5"/>
      <c r="D26" s="6" t="s">
        <v>3</v>
      </c>
      <c r="E26" s="7" t="s">
        <v>4</v>
      </c>
      <c r="F26" s="7" t="s">
        <v>5</v>
      </c>
      <c r="G26" s="1"/>
      <c r="H26" s="1"/>
      <c r="I26" s="159"/>
      <c r="J26" s="160">
        <v>90836913.329999998</v>
      </c>
      <c r="K26" s="160" t="s">
        <v>1507</v>
      </c>
      <c r="L26" s="70" t="s">
        <v>1512</v>
      </c>
    </row>
    <row r="27" spans="1:15" s="2" customFormat="1" x14ac:dyDescent="0.2">
      <c r="A27" s="89">
        <v>45287</v>
      </c>
      <c r="B27" s="128" t="s">
        <v>11</v>
      </c>
      <c r="C27" s="29" t="s">
        <v>7</v>
      </c>
      <c r="D27" s="25"/>
      <c r="E27" s="31"/>
      <c r="F27" s="2">
        <v>105154115.41999999</v>
      </c>
      <c r="G27" s="23"/>
      <c r="H27" s="23"/>
      <c r="I27" s="159" t="s">
        <v>1505</v>
      </c>
      <c r="J27" s="160">
        <f>+J25-J26</f>
        <v>9163086.6700000018</v>
      </c>
      <c r="K27" s="160"/>
      <c r="L27" s="70"/>
    </row>
    <row r="28" spans="1:15" s="2" customFormat="1" x14ac:dyDescent="0.2">
      <c r="A28" s="89">
        <v>45287</v>
      </c>
      <c r="B28" s="128" t="s">
        <v>6</v>
      </c>
      <c r="C28" s="76" t="s">
        <v>822</v>
      </c>
      <c r="D28" s="11" t="s">
        <v>13</v>
      </c>
      <c r="E28" s="31">
        <v>12600</v>
      </c>
      <c r="F28" s="70"/>
      <c r="G28" s="1"/>
      <c r="H28" s="1"/>
      <c r="O28" s="1"/>
    </row>
    <row r="29" spans="1:15" s="2" customFormat="1" x14ac:dyDescent="0.2">
      <c r="A29" s="89">
        <v>45287</v>
      </c>
      <c r="B29" s="128" t="s">
        <v>6</v>
      </c>
      <c r="C29" s="76" t="s">
        <v>332</v>
      </c>
      <c r="D29" s="11" t="s">
        <v>13</v>
      </c>
      <c r="E29" s="31">
        <v>89270</v>
      </c>
      <c r="F29" s="70"/>
      <c r="G29" s="1"/>
      <c r="H29" s="1"/>
      <c r="O29" s="1"/>
    </row>
    <row r="30" spans="1:15" s="2" customFormat="1" x14ac:dyDescent="0.2">
      <c r="A30" s="89">
        <v>45287</v>
      </c>
      <c r="B30" s="128" t="s">
        <v>6</v>
      </c>
      <c r="C30" s="76" t="s">
        <v>667</v>
      </c>
      <c r="D30" s="11" t="s">
        <v>13</v>
      </c>
      <c r="E30" s="31">
        <v>21946</v>
      </c>
      <c r="F30" s="70"/>
      <c r="G30" s="1"/>
      <c r="H30" s="1"/>
      <c r="O30" s="1"/>
    </row>
    <row r="31" spans="1:15" s="2" customFormat="1" x14ac:dyDescent="0.2">
      <c r="A31" s="89">
        <v>45287</v>
      </c>
      <c r="B31" s="128" t="s">
        <v>6</v>
      </c>
      <c r="C31" s="76" t="s">
        <v>752</v>
      </c>
      <c r="D31" s="11" t="s">
        <v>13</v>
      </c>
      <c r="E31" s="31">
        <v>1140892</v>
      </c>
      <c r="F31" s="70"/>
      <c r="G31" s="1"/>
      <c r="H31" s="1"/>
      <c r="O31" s="1"/>
    </row>
    <row r="32" spans="1:15" s="2" customFormat="1" x14ac:dyDescent="0.2">
      <c r="A32" s="89">
        <v>45287</v>
      </c>
      <c r="B32" s="128" t="s">
        <v>6</v>
      </c>
      <c r="C32" s="76" t="s">
        <v>386</v>
      </c>
      <c r="D32" s="11" t="s">
        <v>13</v>
      </c>
      <c r="E32" s="31">
        <v>200000</v>
      </c>
      <c r="F32" s="70"/>
      <c r="G32" s="1"/>
      <c r="H32" s="1"/>
      <c r="O32" s="1"/>
    </row>
    <row r="33" spans="1:15" s="2" customFormat="1" x14ac:dyDescent="0.2">
      <c r="A33" s="89">
        <v>45287</v>
      </c>
      <c r="B33" s="128" t="s">
        <v>6</v>
      </c>
      <c r="C33" s="76" t="s">
        <v>149</v>
      </c>
      <c r="D33" s="11" t="s">
        <v>13</v>
      </c>
      <c r="E33" s="31">
        <v>155842</v>
      </c>
      <c r="F33" s="70"/>
      <c r="G33" s="1"/>
      <c r="H33" s="1"/>
      <c r="O33" s="1"/>
    </row>
    <row r="34" spans="1:15" s="2" customFormat="1" x14ac:dyDescent="0.2">
      <c r="A34" s="89">
        <v>45287</v>
      </c>
      <c r="B34" s="128" t="s">
        <v>6</v>
      </c>
      <c r="C34" s="76" t="s">
        <v>105</v>
      </c>
      <c r="D34" s="11" t="s">
        <v>13</v>
      </c>
      <c r="E34" s="31">
        <v>61314</v>
      </c>
      <c r="F34" s="70"/>
      <c r="G34" s="1"/>
      <c r="H34" s="1"/>
      <c r="O34" s="1"/>
    </row>
    <row r="35" spans="1:15" s="2" customFormat="1" x14ac:dyDescent="0.2">
      <c r="A35" s="89">
        <v>45287</v>
      </c>
      <c r="B35" s="128" t="s">
        <v>6</v>
      </c>
      <c r="C35" s="76" t="s">
        <v>159</v>
      </c>
      <c r="D35" s="11" t="s">
        <v>13</v>
      </c>
      <c r="E35" s="31">
        <v>118653</v>
      </c>
      <c r="F35" s="70"/>
      <c r="G35" s="1"/>
      <c r="H35" s="1"/>
      <c r="O35" s="1"/>
    </row>
    <row r="36" spans="1:15" s="2" customFormat="1" x14ac:dyDescent="0.2">
      <c r="A36" s="89">
        <v>45287</v>
      </c>
      <c r="B36" s="128" t="s">
        <v>6</v>
      </c>
      <c r="C36" s="76" t="s">
        <v>764</v>
      </c>
      <c r="D36" s="11" t="s">
        <v>13</v>
      </c>
      <c r="E36" s="31">
        <v>2587769</v>
      </c>
      <c r="F36" s="70"/>
      <c r="G36" s="1"/>
      <c r="H36" s="1"/>
      <c r="O36" s="1"/>
    </row>
    <row r="37" spans="1:15" s="2" customFormat="1" x14ac:dyDescent="0.2">
      <c r="A37" s="89">
        <v>45287</v>
      </c>
      <c r="B37" s="128" t="s">
        <v>6</v>
      </c>
      <c r="C37" s="76" t="s">
        <v>765</v>
      </c>
      <c r="D37" s="11" t="s">
        <v>13</v>
      </c>
      <c r="E37" s="31">
        <v>2683987.14</v>
      </c>
      <c r="F37" s="70"/>
      <c r="G37" s="1"/>
      <c r="H37" s="1"/>
      <c r="O37" s="1"/>
    </row>
    <row r="38" spans="1:15" s="2" customFormat="1" x14ac:dyDescent="0.2">
      <c r="A38" s="89">
        <v>45287</v>
      </c>
      <c r="B38" s="128" t="s">
        <v>6</v>
      </c>
      <c r="C38" s="76" t="s">
        <v>748</v>
      </c>
      <c r="D38" s="11" t="s">
        <v>13</v>
      </c>
      <c r="E38" s="31">
        <v>1936104.72</v>
      </c>
      <c r="F38" s="70"/>
      <c r="G38" s="1"/>
      <c r="H38" s="1"/>
      <c r="O38" s="1"/>
    </row>
    <row r="39" spans="1:15" s="2" customFormat="1" x14ac:dyDescent="0.2">
      <c r="A39" s="89">
        <v>45287</v>
      </c>
      <c r="B39" s="128" t="s">
        <v>6</v>
      </c>
      <c r="C39" s="76" t="s">
        <v>759</v>
      </c>
      <c r="D39" s="11" t="s">
        <v>13</v>
      </c>
      <c r="E39" s="31">
        <v>1022147.41</v>
      </c>
      <c r="F39" s="70"/>
      <c r="G39" s="1"/>
      <c r="H39" s="1"/>
      <c r="O39" s="1"/>
    </row>
    <row r="40" spans="1:15" s="2" customFormat="1" x14ac:dyDescent="0.2">
      <c r="A40" s="89">
        <v>45287</v>
      </c>
      <c r="B40" s="128" t="s">
        <v>6</v>
      </c>
      <c r="C40" s="76" t="s">
        <v>749</v>
      </c>
      <c r="D40" s="11" t="s">
        <v>13</v>
      </c>
      <c r="E40" s="31">
        <v>1297556.1399999999</v>
      </c>
      <c r="F40" s="70"/>
      <c r="G40" s="1"/>
      <c r="H40" s="1"/>
      <c r="O40" s="1"/>
    </row>
    <row r="41" spans="1:15" s="2" customFormat="1" x14ac:dyDescent="0.2">
      <c r="A41" s="89">
        <v>45287</v>
      </c>
      <c r="B41" s="128" t="s">
        <v>6</v>
      </c>
      <c r="C41" s="76" t="s">
        <v>283</v>
      </c>
      <c r="D41" s="11" t="s">
        <v>13</v>
      </c>
      <c r="E41" s="31">
        <v>972116</v>
      </c>
      <c r="F41" s="70"/>
      <c r="G41" s="1"/>
      <c r="H41" s="1"/>
      <c r="O41" s="1"/>
    </row>
    <row r="42" spans="1:15" s="2" customFormat="1" x14ac:dyDescent="0.2">
      <c r="A42" s="89">
        <v>45287</v>
      </c>
      <c r="B42" s="128" t="s">
        <v>6</v>
      </c>
      <c r="C42" s="76" t="s">
        <v>1271</v>
      </c>
      <c r="D42" s="11" t="s">
        <v>13</v>
      </c>
      <c r="E42" s="31">
        <v>70140</v>
      </c>
      <c r="F42" s="70"/>
      <c r="G42" s="1"/>
      <c r="H42" s="1"/>
      <c r="O42" s="1"/>
    </row>
    <row r="43" spans="1:15" s="2" customFormat="1" x14ac:dyDescent="0.2">
      <c r="A43" s="89">
        <v>45287</v>
      </c>
      <c r="B43" s="128" t="s">
        <v>6</v>
      </c>
      <c r="C43" s="76" t="s">
        <v>318</v>
      </c>
      <c r="D43" s="11" t="s">
        <v>13</v>
      </c>
      <c r="E43" s="31">
        <v>877673</v>
      </c>
      <c r="F43" s="70"/>
      <c r="G43" s="1"/>
      <c r="H43" s="1"/>
      <c r="O43" s="1"/>
    </row>
    <row r="44" spans="1:15" s="2" customFormat="1" x14ac:dyDescent="0.2">
      <c r="A44" s="89">
        <v>45287</v>
      </c>
      <c r="B44" s="128" t="s">
        <v>6</v>
      </c>
      <c r="C44" s="76" t="s">
        <v>794</v>
      </c>
      <c r="D44" s="11" t="s">
        <v>13</v>
      </c>
      <c r="E44" s="31">
        <v>114670</v>
      </c>
      <c r="F44" s="70"/>
      <c r="G44" s="1"/>
      <c r="H44" s="1"/>
      <c r="O44" s="1"/>
    </row>
    <row r="45" spans="1:15" s="2" customFormat="1" x14ac:dyDescent="0.2">
      <c r="A45" s="89">
        <v>45287</v>
      </c>
      <c r="B45" s="128" t="s">
        <v>6</v>
      </c>
      <c r="C45" s="76" t="s">
        <v>146</v>
      </c>
      <c r="D45" s="11" t="s">
        <v>13</v>
      </c>
      <c r="E45" s="31">
        <v>218337.17</v>
      </c>
      <c r="F45" s="70"/>
      <c r="G45" s="1"/>
      <c r="H45" s="1"/>
      <c r="O45" s="1"/>
    </row>
    <row r="46" spans="1:15" s="2" customFormat="1" x14ac:dyDescent="0.2">
      <c r="A46" s="89">
        <v>45287</v>
      </c>
      <c r="B46" s="128" t="s">
        <v>6</v>
      </c>
      <c r="C46" s="76" t="s">
        <v>1497</v>
      </c>
      <c r="D46" s="11" t="s">
        <v>13</v>
      </c>
      <c r="E46" s="31">
        <v>96220</v>
      </c>
      <c r="F46" s="70"/>
      <c r="G46" s="1"/>
      <c r="H46" s="1"/>
      <c r="O46" s="1"/>
    </row>
    <row r="47" spans="1:15" s="2" customFormat="1" x14ac:dyDescent="0.2">
      <c r="A47" s="89">
        <v>45287</v>
      </c>
      <c r="B47" s="128" t="s">
        <v>6</v>
      </c>
      <c r="C47" s="76" t="s">
        <v>903</v>
      </c>
      <c r="D47" s="11" t="s">
        <v>13</v>
      </c>
      <c r="E47" s="31">
        <v>1142458</v>
      </c>
      <c r="F47" s="70"/>
      <c r="G47" s="1"/>
      <c r="H47" s="1"/>
      <c r="O47" s="1"/>
    </row>
    <row r="48" spans="1:15" s="2" customFormat="1" x14ac:dyDescent="0.2">
      <c r="A48" s="89">
        <v>45287</v>
      </c>
      <c r="B48" s="128" t="s">
        <v>6</v>
      </c>
      <c r="C48" s="76" t="s">
        <v>15</v>
      </c>
      <c r="D48" s="11" t="s">
        <v>13</v>
      </c>
      <c r="E48" s="31">
        <v>3607.24</v>
      </c>
      <c r="F48" s="70"/>
      <c r="G48" s="1"/>
      <c r="H48" s="1"/>
      <c r="O48" s="1"/>
    </row>
    <row r="49" spans="1:15" s="2" customFormat="1" x14ac:dyDescent="0.2">
      <c r="A49" s="89">
        <v>45287</v>
      </c>
      <c r="B49" s="128" t="s">
        <v>11</v>
      </c>
      <c r="C49" s="76" t="s">
        <v>127</v>
      </c>
      <c r="D49" s="11" t="s">
        <v>29</v>
      </c>
      <c r="E49" s="31"/>
      <c r="F49" s="70">
        <v>958273</v>
      </c>
      <c r="G49" s="1"/>
      <c r="H49" s="1"/>
      <c r="O49" s="1"/>
    </row>
    <row r="50" spans="1:15" s="2" customFormat="1" x14ac:dyDescent="0.2">
      <c r="A50" s="89">
        <v>45287</v>
      </c>
      <c r="B50" s="128" t="s">
        <v>11</v>
      </c>
      <c r="C50" s="76" t="s">
        <v>123</v>
      </c>
      <c r="D50" s="11" t="s">
        <v>29</v>
      </c>
      <c r="E50" s="31"/>
      <c r="F50" s="70">
        <v>380076</v>
      </c>
      <c r="G50" s="1"/>
      <c r="H50" s="1"/>
      <c r="O50" s="1"/>
    </row>
    <row r="51" spans="1:15" s="2" customFormat="1" x14ac:dyDescent="0.2">
      <c r="A51" s="89">
        <v>45287</v>
      </c>
      <c r="B51" s="128" t="s">
        <v>11</v>
      </c>
      <c r="C51" s="76" t="s">
        <v>1914</v>
      </c>
      <c r="D51" s="11" t="s">
        <v>29</v>
      </c>
      <c r="E51" s="31"/>
      <c r="F51" s="70">
        <v>386100</v>
      </c>
      <c r="G51" s="1"/>
      <c r="H51" s="1"/>
      <c r="O51" s="1"/>
    </row>
    <row r="52" spans="1:15" s="2" customFormat="1" x14ac:dyDescent="0.2">
      <c r="A52" s="89">
        <v>45287</v>
      </c>
      <c r="B52" s="128" t="s">
        <v>11</v>
      </c>
      <c r="C52" s="76" t="s">
        <v>1219</v>
      </c>
      <c r="D52" s="11" t="s">
        <v>29</v>
      </c>
      <c r="E52" s="31"/>
      <c r="F52" s="70">
        <v>500000</v>
      </c>
      <c r="G52" s="1"/>
      <c r="H52" s="1"/>
      <c r="O52" s="1"/>
    </row>
    <row r="53" spans="1:15" s="2" customFormat="1" x14ac:dyDescent="0.2">
      <c r="A53" s="89">
        <v>45287</v>
      </c>
      <c r="B53" s="128" t="s">
        <v>11</v>
      </c>
      <c r="C53" s="76" t="s">
        <v>64</v>
      </c>
      <c r="D53" s="11" t="s">
        <v>29</v>
      </c>
      <c r="E53" s="31"/>
      <c r="F53" s="70">
        <v>10959.84</v>
      </c>
      <c r="G53" s="1"/>
      <c r="H53" s="1"/>
      <c r="O53" s="1"/>
    </row>
    <row r="54" spans="1:15" s="2" customFormat="1" x14ac:dyDescent="0.2">
      <c r="A54" s="89">
        <v>45287</v>
      </c>
      <c r="B54" s="128" t="s">
        <v>11</v>
      </c>
      <c r="C54" s="76" t="s">
        <v>15</v>
      </c>
      <c r="D54" s="11" t="s">
        <v>29</v>
      </c>
      <c r="E54" s="31"/>
      <c r="F54" s="70">
        <v>8248.34</v>
      </c>
      <c r="G54" s="1"/>
      <c r="H54" s="1"/>
      <c r="O54" s="1"/>
    </row>
    <row r="55" spans="1:15" s="2" customFormat="1" x14ac:dyDescent="0.2">
      <c r="A55" s="89">
        <v>45287</v>
      </c>
      <c r="B55" s="128" t="s">
        <v>11</v>
      </c>
      <c r="C55" s="76" t="s">
        <v>1886</v>
      </c>
      <c r="D55" s="11" t="s">
        <v>29</v>
      </c>
      <c r="E55" s="31"/>
      <c r="F55" s="70">
        <v>2166054.29</v>
      </c>
      <c r="G55" s="1"/>
      <c r="H55" s="1"/>
      <c r="O55" s="1"/>
    </row>
    <row r="56" spans="1:15" s="2" customFormat="1" x14ac:dyDescent="0.2">
      <c r="A56" s="32"/>
      <c r="B56" s="33"/>
      <c r="C56" s="14"/>
      <c r="D56" s="34"/>
      <c r="E56" s="16">
        <f>SUM(E27:E55)</f>
        <v>14823302.820000002</v>
      </c>
      <c r="F56" s="16">
        <f>SUM(F27:F55)</f>
        <v>109563826.89</v>
      </c>
      <c r="G56" s="1"/>
      <c r="H56" s="1"/>
      <c r="I56" s="1"/>
      <c r="J56" s="38">
        <v>94740524.069999993</v>
      </c>
      <c r="L56" s="92">
        <f>E57-J56</f>
        <v>0</v>
      </c>
      <c r="O56" s="1"/>
    </row>
    <row r="57" spans="1:15" s="2" customFormat="1" x14ac:dyDescent="0.2">
      <c r="A57" s="36"/>
      <c r="B57" s="28" t="s">
        <v>11</v>
      </c>
      <c r="C57" s="19" t="s">
        <v>65</v>
      </c>
      <c r="D57" s="37"/>
      <c r="E57" s="38">
        <f>F56-E56</f>
        <v>94740524.069999993</v>
      </c>
      <c r="F57" s="22"/>
      <c r="G57" s="1"/>
      <c r="H57" s="1"/>
      <c r="I57" s="1"/>
      <c r="J57" s="70"/>
      <c r="K57" s="70"/>
      <c r="L57" s="70"/>
      <c r="O57" s="1"/>
    </row>
    <row r="58" spans="1:15" s="2" customFormat="1" x14ac:dyDescent="0.2">
      <c r="A58" s="36"/>
      <c r="B58" s="28" t="s">
        <v>66</v>
      </c>
      <c r="C58" s="19" t="s">
        <v>67</v>
      </c>
      <c r="D58" s="37"/>
      <c r="E58" s="38">
        <v>0</v>
      </c>
      <c r="F58" s="22"/>
      <c r="G58" s="1"/>
      <c r="H58" s="1"/>
      <c r="I58" s="70"/>
      <c r="J58" s="70"/>
      <c r="K58" s="70"/>
      <c r="L58" s="70"/>
      <c r="O58" s="1"/>
    </row>
    <row r="59" spans="1:15" s="2" customFormat="1" x14ac:dyDescent="0.2">
      <c r="A59" s="36"/>
      <c r="B59" s="28" t="s">
        <v>66</v>
      </c>
      <c r="C59" s="43" t="s">
        <v>1457</v>
      </c>
      <c r="D59" s="43"/>
      <c r="E59" s="12">
        <f>275000000+75000000+50000000</f>
        <v>400000000</v>
      </c>
      <c r="F59" s="22"/>
      <c r="G59" s="1"/>
      <c r="H59" s="1"/>
      <c r="I59" s="70"/>
      <c r="J59" s="45">
        <v>1528.47</v>
      </c>
      <c r="K59" s="46"/>
      <c r="L59" s="46"/>
      <c r="O59" s="1"/>
    </row>
    <row r="60" spans="1:15" s="2" customFormat="1" ht="15" x14ac:dyDescent="0.25">
      <c r="A60" s="36"/>
      <c r="B60" s="28"/>
      <c r="C60" s="44" t="s">
        <v>1541</v>
      </c>
      <c r="D60" s="43"/>
      <c r="E60" s="7">
        <f>+E59+E57+E58</f>
        <v>494740524.06999999</v>
      </c>
      <c r="F60" s="22"/>
      <c r="G60" s="1"/>
      <c r="H60" s="1"/>
      <c r="I60" s="103" t="s">
        <v>69</v>
      </c>
      <c r="J60" s="45">
        <v>-244.11</v>
      </c>
      <c r="K60" s="46"/>
      <c r="L60" s="46"/>
      <c r="O60" s="1"/>
    </row>
    <row r="61" spans="1:15" s="2" customFormat="1" ht="15" x14ac:dyDescent="0.25">
      <c r="A61" s="24"/>
      <c r="B61" s="1"/>
      <c r="C61" s="44" t="s">
        <v>1510</v>
      </c>
      <c r="D61" s="25"/>
      <c r="E61" s="156">
        <f>+J27-E58+I23-J23</f>
        <v>5259475.9300000016</v>
      </c>
      <c r="G61" s="1"/>
      <c r="H61" s="1"/>
      <c r="I61" s="35">
        <v>1</v>
      </c>
      <c r="J61" s="45">
        <v>188.96</v>
      </c>
      <c r="K61" s="46">
        <f>+J62-D64</f>
        <v>0</v>
      </c>
      <c r="O61" s="1"/>
    </row>
    <row r="62" spans="1:15" s="124" customFormat="1" ht="12.75" customHeight="1" x14ac:dyDescent="0.2">
      <c r="A62" s="24"/>
      <c r="B62" s="1"/>
      <c r="C62" s="56"/>
      <c r="D62" s="56"/>
      <c r="E62" s="104"/>
      <c r="F62" s="2"/>
      <c r="G62" s="166"/>
      <c r="H62" s="166"/>
      <c r="I62" s="70"/>
      <c r="J62" s="49">
        <f>SUM(J59:J61)</f>
        <v>1473.3200000000002</v>
      </c>
      <c r="K62" s="46"/>
      <c r="L62" s="46"/>
    </row>
    <row r="63" spans="1:15" s="124" customFormat="1" ht="12.75" customHeight="1" x14ac:dyDescent="0.2">
      <c r="A63" s="24"/>
      <c r="B63" s="1"/>
      <c r="C63" s="78" t="s">
        <v>575</v>
      </c>
      <c r="D63" s="48" t="s">
        <v>576</v>
      </c>
      <c r="E63" s="104"/>
      <c r="F63" s="2"/>
      <c r="G63" s="168"/>
      <c r="H63" s="168"/>
      <c r="I63" s="167"/>
      <c r="J63" s="167"/>
      <c r="K63" s="168"/>
    </row>
    <row r="64" spans="1:15" s="124" customFormat="1" ht="12.75" customHeight="1" x14ac:dyDescent="0.2">
      <c r="A64" s="24"/>
      <c r="B64" s="1"/>
      <c r="C64" s="47" t="s">
        <v>570</v>
      </c>
      <c r="D64" s="111">
        <v>1473.32</v>
      </c>
      <c r="E64" s="104"/>
      <c r="F64" s="2"/>
      <c r="G64" s="168"/>
      <c r="H64" s="168"/>
      <c r="I64" s="110" t="s">
        <v>581</v>
      </c>
      <c r="J64" s="167"/>
      <c r="K64" s="168"/>
    </row>
    <row r="65" spans="1:14" s="124" customFormat="1" ht="12.75" customHeight="1" x14ac:dyDescent="0.2">
      <c r="A65" s="24"/>
      <c r="B65" s="1"/>
      <c r="C65" s="47" t="s">
        <v>931</v>
      </c>
      <c r="D65" s="111">
        <v>318.58</v>
      </c>
      <c r="E65" s="104"/>
      <c r="F65" s="2"/>
      <c r="G65" s="168"/>
      <c r="H65" s="168"/>
      <c r="I65" s="110" t="s">
        <v>580</v>
      </c>
      <c r="J65" s="167"/>
      <c r="K65" s="168"/>
    </row>
    <row r="66" spans="1:14" s="124" customFormat="1" ht="12.75" customHeight="1" x14ac:dyDescent="0.2">
      <c r="A66" s="24"/>
      <c r="B66" s="1"/>
      <c r="C66" s="47" t="s">
        <v>572</v>
      </c>
      <c r="D66" s="111">
        <f>+D114/100000</f>
        <v>753.83667849999995</v>
      </c>
      <c r="E66" s="104"/>
      <c r="F66" s="2"/>
      <c r="G66" s="166"/>
      <c r="H66" s="166"/>
      <c r="I66" s="90" t="s">
        <v>587</v>
      </c>
      <c r="J66" s="167"/>
      <c r="K66" s="168"/>
    </row>
    <row r="67" spans="1:14" s="2" customFormat="1" x14ac:dyDescent="0.2">
      <c r="A67" s="24"/>
      <c r="B67" s="1"/>
      <c r="C67" s="108" t="s">
        <v>578</v>
      </c>
      <c r="D67" s="48">
        <f>SUM(D64:D66)</f>
        <v>2545.7366784999999</v>
      </c>
      <c r="E67" s="104"/>
      <c r="G67" s="30"/>
      <c r="H67" s="30"/>
      <c r="J67" s="13"/>
      <c r="K67" s="13"/>
    </row>
    <row r="68" spans="1:14" s="70" customFormat="1" x14ac:dyDescent="0.2">
      <c r="A68" s="24"/>
      <c r="B68" s="1"/>
      <c r="C68" s="47"/>
      <c r="D68" s="107"/>
      <c r="E68" s="104"/>
      <c r="F68" s="2"/>
      <c r="G68" s="30"/>
      <c r="H68" s="30"/>
      <c r="I68" s="2"/>
    </row>
    <row r="69" spans="1:14" s="70" customFormat="1" x14ac:dyDescent="0.2">
      <c r="A69" s="24"/>
      <c r="B69" s="1"/>
      <c r="C69" s="47" t="s">
        <v>932</v>
      </c>
      <c r="D69" s="111">
        <v>315.29000000000002</v>
      </c>
      <c r="E69" s="104"/>
      <c r="F69" s="2"/>
      <c r="G69" s="30"/>
      <c r="H69" s="30"/>
      <c r="I69" s="110" t="s">
        <v>581</v>
      </c>
    </row>
    <row r="70" spans="1:14" s="70" customFormat="1" x14ac:dyDescent="0.2">
      <c r="A70" s="24"/>
      <c r="B70" s="1"/>
      <c r="C70" s="136" t="s">
        <v>1142</v>
      </c>
      <c r="D70" s="111">
        <v>877.05</v>
      </c>
      <c r="E70" s="104"/>
      <c r="F70" s="2"/>
      <c r="G70" s="30"/>
      <c r="H70" s="30"/>
      <c r="I70" s="110" t="s">
        <v>581</v>
      </c>
    </row>
    <row r="71" spans="1:14" s="70" customFormat="1" x14ac:dyDescent="0.2">
      <c r="A71" s="24"/>
      <c r="B71" s="1"/>
      <c r="C71" s="78" t="s">
        <v>579</v>
      </c>
      <c r="D71" s="109">
        <f>D69+D70</f>
        <v>1192.3399999999999</v>
      </c>
      <c r="E71" s="104"/>
      <c r="F71" s="2"/>
      <c r="G71" s="30"/>
      <c r="H71" s="30"/>
    </row>
    <row r="72" spans="1:14" s="70" customFormat="1" x14ac:dyDescent="0.2">
      <c r="A72" s="24"/>
      <c r="B72" s="1"/>
      <c r="C72" s="105"/>
      <c r="D72" s="106"/>
      <c r="E72" s="104"/>
      <c r="F72" s="2"/>
      <c r="G72" s="30"/>
      <c r="H72" s="30"/>
      <c r="J72" s="2"/>
      <c r="K72" s="221" t="str">
        <f>"FROM ( 01-12-2023 to "&amp;TEXT(A5,"dd-mm-yyyy")&amp;" )"</f>
        <v>FROM ( 01-12-2023 to 27-12-2023 )</v>
      </c>
      <c r="L72" s="221"/>
      <c r="M72" s="2"/>
      <c r="N72" s="2"/>
    </row>
    <row r="73" spans="1:14" s="70" customFormat="1" x14ac:dyDescent="0.2">
      <c r="A73" s="24"/>
      <c r="B73" s="1"/>
      <c r="C73" s="78" t="s">
        <v>577</v>
      </c>
      <c r="D73" s="109">
        <f>D64+D71</f>
        <v>2665.66</v>
      </c>
      <c r="E73" s="104"/>
      <c r="F73" s="2"/>
      <c r="G73" s="30"/>
      <c r="H73" s="30"/>
      <c r="J73" s="113"/>
      <c r="K73" s="113" t="s">
        <v>709</v>
      </c>
      <c r="L73" s="113" t="s">
        <v>710</v>
      </c>
      <c r="M73" s="113" t="s">
        <v>711</v>
      </c>
      <c r="N73" s="113" t="s">
        <v>712</v>
      </c>
    </row>
    <row r="74" spans="1:14" s="70" customFormat="1" x14ac:dyDescent="0.2">
      <c r="A74" s="24"/>
      <c r="B74" s="1"/>
      <c r="C74" s="56"/>
      <c r="D74" s="56"/>
      <c r="E74" s="104"/>
      <c r="F74" s="2"/>
      <c r="G74" s="30"/>
      <c r="H74" s="30"/>
      <c r="J74" s="113" t="s">
        <v>1860</v>
      </c>
      <c r="K74" s="115">
        <v>191.86</v>
      </c>
      <c r="L74" s="115">
        <v>135.56</v>
      </c>
      <c r="M74" s="115">
        <v>90.58</v>
      </c>
      <c r="N74" s="113">
        <f>+K74+M74-L74</f>
        <v>146.88</v>
      </c>
    </row>
    <row r="75" spans="1:14" s="70" customFormat="1" ht="38.25" x14ac:dyDescent="0.2">
      <c r="A75" s="24"/>
      <c r="B75" s="1"/>
      <c r="C75" s="79" t="str">
        <f>"Particulars ( 01-12-2023 to "&amp;TEXT(A5,"dd-mm-yyyy")&amp;" )"</f>
        <v>Particulars ( 01-12-2023 to 27-12-2023 )</v>
      </c>
      <c r="D75" s="79" t="s">
        <v>7</v>
      </c>
      <c r="E75" s="80" t="s">
        <v>73</v>
      </c>
      <c r="F75" s="80" t="s">
        <v>74</v>
      </c>
      <c r="G75" s="81" t="s">
        <v>75</v>
      </c>
      <c r="H75" s="80" t="s">
        <v>76</v>
      </c>
      <c r="J75" s="113" t="s">
        <v>1861</v>
      </c>
      <c r="K75" s="115">
        <v>1332.26</v>
      </c>
      <c r="L75" s="115">
        <v>760.77</v>
      </c>
      <c r="M75" s="115">
        <v>922.03</v>
      </c>
      <c r="N75" s="113">
        <f>+K75+M75-L75</f>
        <v>1493.52</v>
      </c>
    </row>
    <row r="76" spans="1:14" s="70" customFormat="1" x14ac:dyDescent="0.2">
      <c r="A76" s="24"/>
      <c r="B76" s="1"/>
      <c r="C76" s="50" t="s">
        <v>444</v>
      </c>
      <c r="D76" s="55">
        <f>+K76</f>
        <v>361.11</v>
      </c>
      <c r="E76" s="55">
        <f>+M76</f>
        <v>315.29000000000002</v>
      </c>
      <c r="F76" s="55">
        <f>+L76</f>
        <v>318.58</v>
      </c>
      <c r="G76" s="55">
        <f>+D76+E76-F76</f>
        <v>357.82000000000011</v>
      </c>
      <c r="H76" s="55">
        <f>1500-G76</f>
        <v>1142.1799999999998</v>
      </c>
      <c r="J76" s="113" t="s">
        <v>707</v>
      </c>
      <c r="K76" s="115">
        <v>361.11</v>
      </c>
      <c r="L76" s="115">
        <v>318.58</v>
      </c>
      <c r="M76" s="115">
        <v>315.29000000000002</v>
      </c>
      <c r="N76" s="113">
        <f>+K76+M76-L76</f>
        <v>357.82000000000011</v>
      </c>
    </row>
    <row r="77" spans="1:14" s="70" customFormat="1" ht="12.75" customHeight="1" x14ac:dyDescent="0.2">
      <c r="A77" s="24"/>
      <c r="B77" s="1"/>
      <c r="C77" s="50" t="s">
        <v>71</v>
      </c>
      <c r="D77" s="55">
        <f>+K74+K75</f>
        <v>1524.12</v>
      </c>
      <c r="E77" s="55">
        <f>+M74+M75</f>
        <v>1012.61</v>
      </c>
      <c r="F77" s="55">
        <f>+L74+L75</f>
        <v>896.32999999999993</v>
      </c>
      <c r="G77" s="55">
        <f>+D77+E77-F77</f>
        <v>1640.4</v>
      </c>
      <c r="H77" s="55">
        <f>1500+700-G77</f>
        <v>559.59999999999991</v>
      </c>
      <c r="J77" s="2"/>
      <c r="K77" s="118">
        <f>SUM(K74:K76)</f>
        <v>1885.23</v>
      </c>
      <c r="L77" s="118">
        <f>SUM(L74:L76)</f>
        <v>1214.9099999999999</v>
      </c>
      <c r="M77" s="118">
        <f>SUM(M74:M76)</f>
        <v>1327.9</v>
      </c>
      <c r="N77" s="118">
        <f>SUM(N74:N76)</f>
        <v>1998.2200000000003</v>
      </c>
    </row>
    <row r="78" spans="1:14" s="70" customFormat="1" ht="12.75" customHeight="1" x14ac:dyDescent="0.2">
      <c r="A78" s="24"/>
      <c r="B78" s="1"/>
      <c r="C78" s="14"/>
      <c r="D78" s="56"/>
      <c r="E78" s="13"/>
      <c r="F78" s="2"/>
      <c r="G78" s="30"/>
      <c r="H78" s="30"/>
    </row>
    <row r="79" spans="1:14" s="70" customFormat="1" ht="12.75" customHeight="1" x14ac:dyDescent="0.2">
      <c r="A79" s="215" t="s">
        <v>80</v>
      </c>
      <c r="B79" s="216"/>
      <c r="C79" s="216"/>
      <c r="D79" s="217"/>
      <c r="E79" s="69"/>
      <c r="G79" s="30"/>
      <c r="H79" s="30"/>
    </row>
    <row r="80" spans="1:14" s="70" customFormat="1" ht="12.75" customHeight="1" x14ac:dyDescent="0.2">
      <c r="A80" s="71" t="s">
        <v>81</v>
      </c>
      <c r="B80" s="71"/>
      <c r="C80" s="72" t="s">
        <v>82</v>
      </c>
      <c r="D80" s="73" t="s">
        <v>83</v>
      </c>
      <c r="E80" s="69"/>
      <c r="G80" s="30"/>
      <c r="H80" s="30"/>
    </row>
    <row r="81" spans="1:15" s="70" customFormat="1" ht="12.75" customHeight="1" x14ac:dyDescent="0.2">
      <c r="A81" s="87">
        <v>45264</v>
      </c>
      <c r="B81" s="120" t="s">
        <v>6</v>
      </c>
      <c r="C81" s="75" t="s">
        <v>86</v>
      </c>
      <c r="D81" s="88">
        <v>11017609</v>
      </c>
      <c r="E81" s="2"/>
      <c r="F81" s="2"/>
      <c r="G81" s="30"/>
      <c r="H81" s="30"/>
      <c r="I81" s="2"/>
      <c r="J81" s="2"/>
      <c r="K81" s="2"/>
      <c r="L81" s="2"/>
      <c r="M81" s="41"/>
      <c r="N81" s="42"/>
      <c r="O81" s="2"/>
    </row>
    <row r="82" spans="1:15" s="70" customFormat="1" ht="12.75" customHeight="1" x14ac:dyDescent="0.2">
      <c r="A82" s="87">
        <v>45264</v>
      </c>
      <c r="B82" s="120" t="s">
        <v>6</v>
      </c>
      <c r="C82" s="75" t="s">
        <v>86</v>
      </c>
      <c r="D82" s="88">
        <v>2663814</v>
      </c>
      <c r="E82" s="2"/>
      <c r="F82" s="2"/>
      <c r="G82" s="30"/>
      <c r="H82" s="30"/>
      <c r="I82" s="2"/>
      <c r="J82" s="2"/>
      <c r="K82" s="2"/>
      <c r="L82" s="2"/>
      <c r="M82" s="41"/>
      <c r="N82" s="42"/>
      <c r="O82" s="2"/>
    </row>
    <row r="83" spans="1:15" s="70" customFormat="1" ht="12.75" customHeight="1" x14ac:dyDescent="0.2">
      <c r="A83" s="87">
        <v>45264</v>
      </c>
      <c r="B83" s="120" t="s">
        <v>6</v>
      </c>
      <c r="C83" s="75" t="s">
        <v>86</v>
      </c>
      <c r="D83" s="88">
        <v>75522</v>
      </c>
      <c r="E83" s="2"/>
      <c r="F83" s="2"/>
      <c r="G83" s="30"/>
      <c r="H83" s="30"/>
      <c r="I83" s="2"/>
      <c r="J83" s="2"/>
      <c r="K83" s="2"/>
      <c r="L83" s="2"/>
      <c r="M83" s="41"/>
      <c r="N83" s="42"/>
      <c r="O83" s="2"/>
    </row>
    <row r="84" spans="1:15" s="70" customFormat="1" ht="12.75" customHeight="1" x14ac:dyDescent="0.2">
      <c r="A84" s="87">
        <v>45265</v>
      </c>
      <c r="B84" s="120" t="s">
        <v>6</v>
      </c>
      <c r="C84" s="75" t="s">
        <v>88</v>
      </c>
      <c r="D84" s="88">
        <v>2152501.6</v>
      </c>
      <c r="E84" s="2"/>
      <c r="F84" s="2"/>
      <c r="G84" s="30"/>
      <c r="H84" s="30"/>
      <c r="I84" s="2"/>
      <c r="J84" s="2"/>
      <c r="K84" s="2"/>
      <c r="L84" s="2"/>
      <c r="M84" s="41"/>
      <c r="N84" s="42"/>
      <c r="O84" s="2"/>
    </row>
    <row r="85" spans="1:15" s="70" customFormat="1" ht="12.75" customHeight="1" x14ac:dyDescent="0.2">
      <c r="A85" s="87">
        <v>45266</v>
      </c>
      <c r="B85" s="120" t="s">
        <v>6</v>
      </c>
      <c r="C85" s="75" t="s">
        <v>271</v>
      </c>
      <c r="D85" s="88">
        <v>9828</v>
      </c>
      <c r="E85" s="2"/>
      <c r="F85" s="2"/>
      <c r="G85" s="30"/>
      <c r="H85" s="30"/>
      <c r="I85" s="2"/>
      <c r="J85" s="2"/>
      <c r="K85" s="2"/>
      <c r="L85" s="2"/>
      <c r="M85" s="41"/>
      <c r="N85" s="42"/>
      <c r="O85" s="2"/>
    </row>
    <row r="86" spans="1:15" s="70" customFormat="1" ht="12.75" customHeight="1" x14ac:dyDescent="0.2">
      <c r="A86" s="87">
        <v>45267</v>
      </c>
      <c r="B86" s="120" t="s">
        <v>6</v>
      </c>
      <c r="C86" s="75" t="s">
        <v>85</v>
      </c>
      <c r="D86" s="88">
        <v>179811</v>
      </c>
      <c r="E86" s="2"/>
      <c r="F86" s="2"/>
      <c r="G86" s="30"/>
      <c r="H86" s="30"/>
      <c r="I86" s="2"/>
      <c r="J86" s="2"/>
      <c r="K86" s="2"/>
      <c r="L86" s="2"/>
      <c r="M86" s="41"/>
      <c r="N86" s="42"/>
      <c r="O86" s="2"/>
    </row>
    <row r="87" spans="1:15" s="70" customFormat="1" ht="12.75" customHeight="1" x14ac:dyDescent="0.2">
      <c r="A87" s="87">
        <v>45267</v>
      </c>
      <c r="B87" s="120" t="s">
        <v>6</v>
      </c>
      <c r="C87" s="75" t="s">
        <v>85</v>
      </c>
      <c r="D87" s="88">
        <v>302254</v>
      </c>
      <c r="E87" s="2"/>
      <c r="F87" s="2"/>
      <c r="G87" s="30"/>
      <c r="H87" s="30"/>
      <c r="I87" s="2"/>
      <c r="J87" s="2"/>
      <c r="K87" s="2"/>
      <c r="L87" s="2"/>
      <c r="M87" s="41"/>
      <c r="N87" s="42"/>
      <c r="O87" s="2"/>
    </row>
    <row r="88" spans="1:15" s="70" customFormat="1" ht="12.75" customHeight="1" x14ac:dyDescent="0.2">
      <c r="A88" s="87">
        <v>45268</v>
      </c>
      <c r="B88" s="120" t="s">
        <v>6</v>
      </c>
      <c r="C88" s="75" t="s">
        <v>201</v>
      </c>
      <c r="D88" s="88">
        <v>4000249.47</v>
      </c>
      <c r="E88" s="2"/>
      <c r="F88" s="2"/>
      <c r="G88" s="30"/>
      <c r="H88" s="30"/>
      <c r="I88" s="2"/>
      <c r="J88" s="2"/>
      <c r="K88" s="2"/>
      <c r="L88" s="2"/>
      <c r="M88" s="41"/>
      <c r="N88" s="42"/>
      <c r="O88" s="2"/>
    </row>
    <row r="89" spans="1:15" s="70" customFormat="1" ht="12.75" customHeight="1" x14ac:dyDescent="0.2">
      <c r="A89" s="87">
        <v>45269</v>
      </c>
      <c r="B89" s="120" t="s">
        <v>6</v>
      </c>
      <c r="C89" s="75" t="s">
        <v>85</v>
      </c>
      <c r="D89" s="88">
        <v>96273</v>
      </c>
      <c r="E89" s="2"/>
      <c r="F89" s="2"/>
      <c r="G89" s="30"/>
      <c r="H89" s="30"/>
      <c r="I89" s="2"/>
      <c r="J89" s="2"/>
      <c r="K89" s="2"/>
      <c r="L89" s="2"/>
      <c r="M89" s="41"/>
      <c r="N89" s="42"/>
      <c r="O89" s="2"/>
    </row>
    <row r="90" spans="1:15" s="70" customFormat="1" ht="12.75" customHeight="1" x14ac:dyDescent="0.2">
      <c r="A90" s="87">
        <v>45269</v>
      </c>
      <c r="B90" s="120" t="s">
        <v>6</v>
      </c>
      <c r="C90" s="75" t="s">
        <v>270</v>
      </c>
      <c r="D90" s="88">
        <v>182684</v>
      </c>
      <c r="E90" s="2"/>
      <c r="F90" s="2"/>
      <c r="G90" s="30"/>
      <c r="H90" s="30"/>
      <c r="I90" s="2"/>
      <c r="J90" s="2"/>
      <c r="K90" s="2"/>
      <c r="L90" s="2"/>
      <c r="M90" s="41"/>
      <c r="N90" s="42"/>
      <c r="O90" s="2"/>
    </row>
    <row r="91" spans="1:15" s="70" customFormat="1" ht="12.75" customHeight="1" x14ac:dyDescent="0.2">
      <c r="A91" s="87">
        <v>45269</v>
      </c>
      <c r="B91" s="120" t="s">
        <v>6</v>
      </c>
      <c r="C91" s="75" t="s">
        <v>271</v>
      </c>
      <c r="D91" s="88">
        <v>15488.3</v>
      </c>
      <c r="E91" s="2"/>
      <c r="F91" s="2"/>
      <c r="G91" s="30"/>
      <c r="H91" s="30"/>
      <c r="I91" s="2"/>
      <c r="J91" s="2"/>
      <c r="K91" s="2"/>
      <c r="L91" s="2"/>
      <c r="M91" s="41"/>
      <c r="N91" s="42"/>
      <c r="O91" s="2"/>
    </row>
    <row r="92" spans="1:15" s="70" customFormat="1" ht="12.75" customHeight="1" x14ac:dyDescent="0.2">
      <c r="A92" s="87">
        <v>45272</v>
      </c>
      <c r="B92" s="120" t="s">
        <v>6</v>
      </c>
      <c r="C92" s="75" t="s">
        <v>270</v>
      </c>
      <c r="D92" s="88">
        <v>687714</v>
      </c>
      <c r="E92" s="2"/>
      <c r="F92" s="2"/>
      <c r="G92" s="30"/>
      <c r="H92" s="30"/>
      <c r="I92" s="2"/>
      <c r="J92" s="2"/>
      <c r="K92" s="2"/>
      <c r="L92" s="2"/>
      <c r="M92" s="41"/>
      <c r="N92" s="42"/>
      <c r="O92" s="2"/>
    </row>
    <row r="93" spans="1:15" s="70" customFormat="1" ht="12.75" customHeight="1" x14ac:dyDescent="0.2">
      <c r="A93" s="87">
        <v>45272</v>
      </c>
      <c r="B93" s="120" t="s">
        <v>6</v>
      </c>
      <c r="C93" s="75" t="s">
        <v>1789</v>
      </c>
      <c r="D93" s="88">
        <v>1945116</v>
      </c>
      <c r="E93" s="2"/>
      <c r="F93" s="2"/>
      <c r="G93" s="30"/>
      <c r="H93" s="30"/>
      <c r="I93" s="2"/>
      <c r="J93" s="2"/>
      <c r="K93" s="2"/>
      <c r="L93" s="2"/>
      <c r="M93" s="41"/>
      <c r="N93" s="42"/>
      <c r="O93" s="2"/>
    </row>
    <row r="94" spans="1:15" s="70" customFormat="1" ht="12.75" customHeight="1" x14ac:dyDescent="0.2">
      <c r="A94" s="87">
        <v>45273</v>
      </c>
      <c r="B94" s="120" t="s">
        <v>6</v>
      </c>
      <c r="C94" s="75" t="s">
        <v>18</v>
      </c>
      <c r="D94" s="88">
        <v>167890</v>
      </c>
      <c r="E94" s="2"/>
      <c r="F94" s="2"/>
      <c r="G94" s="30"/>
      <c r="H94" s="30"/>
      <c r="I94" s="2"/>
      <c r="J94" s="2"/>
      <c r="K94" s="2"/>
      <c r="L94" s="2"/>
      <c r="M94" s="41"/>
      <c r="N94" s="42"/>
      <c r="O94" s="2"/>
    </row>
    <row r="95" spans="1:15" s="70" customFormat="1" ht="12.75" customHeight="1" x14ac:dyDescent="0.2">
      <c r="A95" s="87">
        <v>45274</v>
      </c>
      <c r="B95" s="120" t="s">
        <v>6</v>
      </c>
      <c r="C95" s="75" t="s">
        <v>201</v>
      </c>
      <c r="D95" s="88">
        <v>4000385.13</v>
      </c>
      <c r="E95" s="2"/>
      <c r="F95" s="2"/>
      <c r="G95" s="30"/>
      <c r="H95" s="30"/>
      <c r="I95" s="2"/>
      <c r="J95" s="2"/>
      <c r="K95" s="2"/>
      <c r="L95" s="2"/>
      <c r="M95" s="41"/>
      <c r="N95" s="42"/>
      <c r="O95" s="2"/>
    </row>
    <row r="96" spans="1:15" s="70" customFormat="1" ht="12.75" customHeight="1" x14ac:dyDescent="0.2">
      <c r="A96" s="87">
        <v>45274</v>
      </c>
      <c r="B96" s="120" t="s">
        <v>6</v>
      </c>
      <c r="C96" s="75" t="s">
        <v>594</v>
      </c>
      <c r="D96" s="88">
        <v>15735</v>
      </c>
      <c r="E96" s="2"/>
      <c r="F96" s="2"/>
      <c r="G96" s="30"/>
      <c r="H96" s="30"/>
      <c r="I96" s="2"/>
      <c r="J96" s="2"/>
      <c r="K96" s="2"/>
      <c r="L96" s="2"/>
      <c r="M96" s="41"/>
      <c r="N96" s="42"/>
      <c r="O96" s="2"/>
    </row>
    <row r="97" spans="1:15" s="70" customFormat="1" ht="12.75" customHeight="1" x14ac:dyDescent="0.2">
      <c r="A97" s="87">
        <v>45275</v>
      </c>
      <c r="B97" s="120" t="s">
        <v>6</v>
      </c>
      <c r="C97" s="75" t="s">
        <v>594</v>
      </c>
      <c r="D97" s="88">
        <v>4456919</v>
      </c>
      <c r="E97" s="2"/>
      <c r="F97" s="2"/>
      <c r="G97" s="30"/>
      <c r="H97" s="30"/>
      <c r="I97" s="2"/>
      <c r="J97" s="2"/>
      <c r="K97" s="2"/>
      <c r="L97" s="2"/>
      <c r="M97" s="41"/>
      <c r="N97" s="42"/>
      <c r="O97" s="2"/>
    </row>
    <row r="98" spans="1:15" s="70" customFormat="1" ht="12.75" customHeight="1" x14ac:dyDescent="0.2">
      <c r="A98" s="87">
        <v>45275</v>
      </c>
      <c r="B98" s="120" t="s">
        <v>6</v>
      </c>
      <c r="C98" s="75" t="s">
        <v>270</v>
      </c>
      <c r="D98" s="88">
        <v>18357</v>
      </c>
      <c r="E98" s="2"/>
      <c r="F98" s="2"/>
      <c r="G98" s="30"/>
      <c r="H98" s="30"/>
      <c r="I98" s="2"/>
      <c r="J98" s="2"/>
      <c r="K98" s="2"/>
      <c r="L98" s="2"/>
      <c r="M98" s="41"/>
      <c r="N98" s="42"/>
      <c r="O98" s="2"/>
    </row>
    <row r="99" spans="1:15" s="70" customFormat="1" ht="12.75" customHeight="1" x14ac:dyDescent="0.2">
      <c r="A99" s="87">
        <v>45276</v>
      </c>
      <c r="B99" s="120" t="s">
        <v>6</v>
      </c>
      <c r="C99" s="75" t="s">
        <v>85</v>
      </c>
      <c r="D99" s="88">
        <v>197939</v>
      </c>
      <c r="E99" s="2"/>
      <c r="F99" s="2"/>
      <c r="G99" s="30"/>
      <c r="H99" s="30"/>
      <c r="I99" s="2"/>
      <c r="J99" s="2"/>
      <c r="K99" s="2"/>
      <c r="L99" s="2"/>
      <c r="M99" s="41"/>
      <c r="N99" s="42"/>
      <c r="O99" s="2"/>
    </row>
    <row r="100" spans="1:15" s="70" customFormat="1" ht="12.75" customHeight="1" x14ac:dyDescent="0.2">
      <c r="A100" s="87">
        <v>45276</v>
      </c>
      <c r="B100" s="120" t="s">
        <v>6</v>
      </c>
      <c r="C100" s="75" t="s">
        <v>85</v>
      </c>
      <c r="D100" s="88">
        <v>103476</v>
      </c>
      <c r="E100" s="2"/>
      <c r="F100" s="2"/>
      <c r="G100" s="30"/>
      <c r="H100" s="30"/>
      <c r="I100" s="2"/>
      <c r="J100" s="2"/>
      <c r="K100" s="2"/>
      <c r="L100" s="2"/>
      <c r="M100" s="41"/>
      <c r="N100" s="42"/>
      <c r="O100" s="2"/>
    </row>
    <row r="101" spans="1:15" s="70" customFormat="1" ht="12.75" customHeight="1" x14ac:dyDescent="0.2">
      <c r="A101" s="87">
        <v>45278</v>
      </c>
      <c r="B101" s="120" t="s">
        <v>6</v>
      </c>
      <c r="C101" s="75" t="s">
        <v>270</v>
      </c>
      <c r="D101" s="88">
        <v>384076</v>
      </c>
      <c r="E101" s="2"/>
      <c r="F101" s="2"/>
      <c r="G101" s="30"/>
      <c r="H101" s="30"/>
      <c r="I101" s="2"/>
      <c r="J101" s="2"/>
      <c r="K101" s="2"/>
      <c r="L101" s="2"/>
      <c r="M101" s="41"/>
      <c r="N101" s="42"/>
      <c r="O101" s="2"/>
    </row>
    <row r="102" spans="1:15" s="70" customFormat="1" ht="12.75" customHeight="1" x14ac:dyDescent="0.2">
      <c r="A102" s="87">
        <v>45278</v>
      </c>
      <c r="B102" s="120" t="s">
        <v>6</v>
      </c>
      <c r="C102" s="75" t="s">
        <v>85</v>
      </c>
      <c r="D102" s="88">
        <v>427722</v>
      </c>
      <c r="E102" s="2"/>
      <c r="F102" s="2"/>
      <c r="G102" s="30"/>
      <c r="H102" s="30"/>
      <c r="I102" s="2"/>
      <c r="J102" s="2"/>
      <c r="K102" s="2"/>
      <c r="L102" s="2"/>
      <c r="M102" s="41"/>
      <c r="N102" s="42"/>
      <c r="O102" s="2"/>
    </row>
    <row r="103" spans="1:15" s="70" customFormat="1" ht="12.75" customHeight="1" x14ac:dyDescent="0.2">
      <c r="A103" s="87">
        <v>45280</v>
      </c>
      <c r="B103" s="120" t="s">
        <v>6</v>
      </c>
      <c r="C103" s="75" t="s">
        <v>201</v>
      </c>
      <c r="D103" s="88">
        <v>5253480</v>
      </c>
      <c r="E103" s="2"/>
      <c r="F103" s="2"/>
      <c r="G103" s="30"/>
      <c r="H103" s="30"/>
      <c r="I103" s="2"/>
      <c r="J103" s="2"/>
      <c r="K103" s="2"/>
      <c r="L103" s="2"/>
      <c r="M103" s="41"/>
      <c r="N103" s="42"/>
      <c r="O103" s="2"/>
    </row>
    <row r="104" spans="1:15" s="70" customFormat="1" ht="12.75" customHeight="1" x14ac:dyDescent="0.2">
      <c r="A104" s="87">
        <v>45280</v>
      </c>
      <c r="B104" s="120" t="s">
        <v>6</v>
      </c>
      <c r="C104" s="75" t="s">
        <v>18</v>
      </c>
      <c r="D104" s="88">
        <v>604243</v>
      </c>
      <c r="E104" s="2"/>
      <c r="F104" s="2"/>
      <c r="G104" s="30"/>
      <c r="H104" s="30"/>
      <c r="I104" s="2"/>
      <c r="J104" s="2"/>
      <c r="K104" s="2"/>
      <c r="L104" s="2"/>
      <c r="M104" s="41"/>
      <c r="N104" s="42"/>
      <c r="O104" s="2"/>
    </row>
    <row r="105" spans="1:15" s="70" customFormat="1" ht="12.75" customHeight="1" x14ac:dyDescent="0.2">
      <c r="A105" s="87">
        <v>45280</v>
      </c>
      <c r="B105" s="120" t="s">
        <v>6</v>
      </c>
      <c r="C105" s="75" t="s">
        <v>88</v>
      </c>
      <c r="D105" s="88">
        <v>7395284.2999999998</v>
      </c>
      <c r="E105" s="2"/>
      <c r="F105" s="2"/>
      <c r="G105" s="30"/>
      <c r="H105" s="30"/>
      <c r="I105" s="2"/>
      <c r="J105" s="2"/>
      <c r="K105" s="2"/>
      <c r="L105" s="2"/>
      <c r="M105" s="41"/>
      <c r="N105" s="42"/>
      <c r="O105" s="2"/>
    </row>
    <row r="106" spans="1:15" s="70" customFormat="1" ht="12.75" customHeight="1" x14ac:dyDescent="0.2">
      <c r="A106" s="87">
        <v>45281</v>
      </c>
      <c r="B106" s="120" t="s">
        <v>6</v>
      </c>
      <c r="C106" s="75" t="s">
        <v>1897</v>
      </c>
      <c r="D106" s="88">
        <v>710500.05</v>
      </c>
      <c r="E106" s="2"/>
      <c r="F106" s="2"/>
      <c r="G106" s="30"/>
      <c r="H106" s="30"/>
      <c r="I106" s="2"/>
      <c r="J106" s="2"/>
      <c r="K106" s="2"/>
      <c r="L106" s="2"/>
      <c r="M106" s="41"/>
      <c r="N106" s="42"/>
      <c r="O106" s="2"/>
    </row>
    <row r="107" spans="1:15" s="70" customFormat="1" ht="12.75" customHeight="1" x14ac:dyDescent="0.2">
      <c r="A107" s="87">
        <v>45281</v>
      </c>
      <c r="B107" s="120" t="s">
        <v>6</v>
      </c>
      <c r="C107" s="75" t="s">
        <v>271</v>
      </c>
      <c r="D107" s="88">
        <v>32519</v>
      </c>
      <c r="E107" s="2"/>
      <c r="F107" s="2"/>
      <c r="G107" s="30"/>
      <c r="H107" s="30"/>
      <c r="I107" s="2"/>
      <c r="J107" s="2"/>
      <c r="K107" s="2"/>
      <c r="L107" s="2"/>
      <c r="M107" s="41"/>
      <c r="N107" s="42"/>
      <c r="O107" s="2"/>
    </row>
    <row r="108" spans="1:15" s="70" customFormat="1" ht="12.75" customHeight="1" x14ac:dyDescent="0.2">
      <c r="A108" s="87">
        <v>45282</v>
      </c>
      <c r="B108" s="120" t="s">
        <v>6</v>
      </c>
      <c r="C108" s="75" t="s">
        <v>85</v>
      </c>
      <c r="D108" s="88">
        <v>459852</v>
      </c>
      <c r="E108" s="2"/>
      <c r="F108" s="2"/>
      <c r="G108" s="30"/>
      <c r="H108" s="30"/>
      <c r="I108" s="2"/>
      <c r="J108" s="2"/>
      <c r="K108" s="2"/>
      <c r="L108" s="2"/>
      <c r="M108" s="41"/>
      <c r="N108" s="42"/>
      <c r="O108" s="2"/>
    </row>
    <row r="109" spans="1:15" s="70" customFormat="1" ht="12.75" customHeight="1" x14ac:dyDescent="0.2">
      <c r="A109" s="87">
        <v>45282</v>
      </c>
      <c r="B109" s="120" t="s">
        <v>6</v>
      </c>
      <c r="C109" s="75" t="s">
        <v>467</v>
      </c>
      <c r="D109" s="88">
        <v>5455880</v>
      </c>
      <c r="E109" s="2"/>
      <c r="F109" s="2"/>
      <c r="G109" s="30"/>
      <c r="H109" s="30"/>
      <c r="I109" s="2"/>
      <c r="J109" s="2"/>
      <c r="K109" s="2"/>
      <c r="L109" s="2"/>
      <c r="M109" s="41"/>
      <c r="N109" s="42"/>
      <c r="O109" s="2"/>
    </row>
    <row r="110" spans="1:15" s="70" customFormat="1" ht="12.75" customHeight="1" x14ac:dyDescent="0.2">
      <c r="A110" s="87">
        <v>45286</v>
      </c>
      <c r="B110" s="120" t="s">
        <v>6</v>
      </c>
      <c r="C110" s="75" t="s">
        <v>201</v>
      </c>
      <c r="D110" s="88">
        <v>5357718</v>
      </c>
      <c r="E110" s="2"/>
      <c r="F110" s="2"/>
      <c r="G110" s="30"/>
      <c r="H110" s="30"/>
      <c r="I110" s="2"/>
      <c r="J110" s="2"/>
      <c r="K110" s="2"/>
      <c r="L110" s="2"/>
      <c r="M110" s="41"/>
      <c r="N110" s="42"/>
      <c r="O110" s="2"/>
    </row>
    <row r="111" spans="1:15" s="70" customFormat="1" ht="12.75" customHeight="1" x14ac:dyDescent="0.2">
      <c r="A111" s="87">
        <v>45286</v>
      </c>
      <c r="B111" s="120" t="s">
        <v>6</v>
      </c>
      <c r="C111" s="75" t="s">
        <v>86</v>
      </c>
      <c r="D111" s="88">
        <v>1364459</v>
      </c>
      <c r="E111" s="2"/>
      <c r="F111" s="2"/>
      <c r="G111" s="30"/>
      <c r="H111" s="30"/>
      <c r="I111" s="2"/>
      <c r="J111" s="2"/>
      <c r="K111" s="2"/>
      <c r="L111" s="2"/>
      <c r="M111" s="41"/>
      <c r="N111" s="42"/>
      <c r="O111" s="2"/>
    </row>
    <row r="112" spans="1:15" s="70" customFormat="1" ht="12.75" customHeight="1" x14ac:dyDescent="0.2">
      <c r="A112" s="87">
        <v>45286</v>
      </c>
      <c r="B112" s="120" t="s">
        <v>6</v>
      </c>
      <c r="C112" s="75" t="s">
        <v>86</v>
      </c>
      <c r="D112" s="88">
        <v>15528365</v>
      </c>
      <c r="E112" s="2"/>
      <c r="F112" s="2"/>
      <c r="G112" s="30"/>
      <c r="H112" s="30"/>
      <c r="I112" s="2"/>
      <c r="J112" s="2"/>
      <c r="K112" s="2"/>
      <c r="L112" s="2"/>
      <c r="M112" s="41"/>
      <c r="N112" s="42"/>
      <c r="O112" s="2"/>
    </row>
    <row r="113" spans="1:15" s="70" customFormat="1" ht="12.75" customHeight="1" x14ac:dyDescent="0.2">
      <c r="A113" s="87">
        <v>45286</v>
      </c>
      <c r="B113" s="120" t="s">
        <v>6</v>
      </c>
      <c r="C113" s="75" t="s">
        <v>86</v>
      </c>
      <c r="D113" s="88">
        <v>120004</v>
      </c>
      <c r="E113" s="2"/>
      <c r="F113" s="2"/>
      <c r="G113" s="30"/>
      <c r="H113" s="30"/>
      <c r="I113" s="2"/>
      <c r="J113" s="2"/>
      <c r="K113" s="2"/>
      <c r="L113" s="2"/>
      <c r="M113" s="41"/>
      <c r="N113" s="42"/>
      <c r="O113" s="2"/>
    </row>
    <row r="114" spans="1:15" s="2" customFormat="1" x14ac:dyDescent="0.2">
      <c r="A114" s="87"/>
      <c r="B114" s="74"/>
      <c r="C114" s="75"/>
      <c r="D114" s="51">
        <f>SUM(D81:D113)</f>
        <v>75383667.849999994</v>
      </c>
      <c r="F114" s="2" t="s">
        <v>396</v>
      </c>
      <c r="G114" s="1"/>
      <c r="H114" s="1"/>
    </row>
    <row r="115" spans="1:15" s="2" customFormat="1" x14ac:dyDescent="0.2">
      <c r="A115" s="24"/>
      <c r="B115" s="1"/>
      <c r="C115" s="14"/>
      <c r="D115" s="56"/>
      <c r="E115" s="13"/>
      <c r="G115" s="1"/>
      <c r="H115" s="1"/>
    </row>
    <row r="116" spans="1:15" s="2" customFormat="1" x14ac:dyDescent="0.2">
      <c r="A116" s="24"/>
      <c r="B116" s="1"/>
      <c r="C116" s="218" t="s">
        <v>77</v>
      </c>
      <c r="D116" s="219"/>
      <c r="E116" s="219"/>
      <c r="F116" s="220"/>
      <c r="I116" s="2" t="s">
        <v>396</v>
      </c>
    </row>
    <row r="117" spans="1:15" s="2" customFormat="1" x14ac:dyDescent="0.2">
      <c r="A117" s="24"/>
      <c r="B117" s="1"/>
      <c r="C117" s="50"/>
      <c r="D117" s="57" t="s">
        <v>78</v>
      </c>
      <c r="E117" s="58" t="s">
        <v>79</v>
      </c>
      <c r="F117" s="57" t="s">
        <v>72</v>
      </c>
      <c r="I117" s="2" t="s">
        <v>396</v>
      </c>
    </row>
    <row r="118" spans="1:15" s="2" customFormat="1" x14ac:dyDescent="0.2">
      <c r="A118" s="24"/>
      <c r="B118" s="1"/>
      <c r="C118" s="59" t="str">
        <f>"01-12-2023 to "&amp;TEXT(A5-2,"dd-mm-yyyy")</f>
        <v>01-12-2023 to 25-12-2023</v>
      </c>
      <c r="D118" s="60">
        <v>1824.45</v>
      </c>
      <c r="E118" s="60">
        <v>559.29999999999995</v>
      </c>
      <c r="F118" s="61">
        <f>SUM(D118:E118)</f>
        <v>2383.75</v>
      </c>
    </row>
    <row r="119" spans="1:15" s="2" customFormat="1" x14ac:dyDescent="0.2">
      <c r="A119" s="24"/>
      <c r="B119" s="1"/>
      <c r="C119" s="62" t="str">
        <f>TEXT(A5-1,"dd-mm-yyyy")</f>
        <v>26-12-2023</v>
      </c>
      <c r="D119" s="60">
        <v>122.71</v>
      </c>
      <c r="E119" s="60">
        <v>39</v>
      </c>
      <c r="F119" s="61">
        <f>SUM(D119:E119)</f>
        <v>161.70999999999998</v>
      </c>
      <c r="G119" s="1"/>
      <c r="H119" s="1"/>
      <c r="I119" s="53"/>
    </row>
    <row r="120" spans="1:15" s="2" customFormat="1" ht="13.5" thickBot="1" x14ac:dyDescent="0.25">
      <c r="A120" s="24"/>
      <c r="B120" s="1"/>
      <c r="C120" s="63" t="str">
        <f>"01-12-2023 to "&amp;TEXT(A5-1,"dd-mm-yyyy")</f>
        <v>01-12-2023 to 26-12-2023</v>
      </c>
      <c r="D120" s="64">
        <f>SUM(D118:D119)</f>
        <v>1947.16</v>
      </c>
      <c r="E120" s="64">
        <f>SUM(E118:E119)</f>
        <v>598.29999999999995</v>
      </c>
      <c r="F120" s="64">
        <f>SUM(F118:F119)</f>
        <v>2545.46</v>
      </c>
      <c r="G120" s="1"/>
      <c r="H120" s="1"/>
      <c r="I120" s="53"/>
    </row>
    <row r="121" spans="1:15" s="2" customFormat="1" ht="13.5" thickTop="1" x14ac:dyDescent="0.2">
      <c r="A121" s="24"/>
      <c r="B121" s="1"/>
      <c r="C121" s="62"/>
      <c r="D121" s="65"/>
      <c r="E121" s="66"/>
      <c r="F121" s="67"/>
      <c r="M121" s="1"/>
      <c r="N121" s="1"/>
    </row>
    <row r="122" spans="1:15" s="2" customFormat="1" x14ac:dyDescent="0.2">
      <c r="A122" s="24"/>
      <c r="B122" s="1"/>
      <c r="C122" s="62" t="str">
        <f>"01-04-2023 to " &amp;C119</f>
        <v>01-04-2023 to 26-12-2023</v>
      </c>
      <c r="D122" s="68">
        <f>+D120+32234.22</f>
        <v>34181.380000000005</v>
      </c>
      <c r="E122" s="68">
        <f>+E120+3134.59</f>
        <v>3732.8900000000003</v>
      </c>
      <c r="F122" s="68">
        <f>+F120+35368.81</f>
        <v>37914.269999999997</v>
      </c>
      <c r="G122" s="1"/>
      <c r="H122" s="1"/>
      <c r="M122" s="1"/>
      <c r="N122" s="1"/>
    </row>
    <row r="123" spans="1:15" s="2" customFormat="1" x14ac:dyDescent="0.2">
      <c r="A123" s="24"/>
      <c r="B123" s="1"/>
      <c r="C123" s="52"/>
      <c r="D123" s="85"/>
      <c r="E123" s="53"/>
      <c r="F123" s="53"/>
      <c r="G123" s="1"/>
      <c r="H123" s="1"/>
      <c r="M123" s="1"/>
      <c r="N123" s="1"/>
    </row>
    <row r="124" spans="1:15" s="2" customFormat="1" x14ac:dyDescent="0.2">
      <c r="A124" s="24"/>
      <c r="B124" s="1"/>
      <c r="C124" s="52"/>
      <c r="D124" s="85"/>
      <c r="E124" s="53"/>
      <c r="F124" s="53"/>
      <c r="G124" s="1"/>
      <c r="H124" s="1"/>
      <c r="M124" s="1"/>
      <c r="N124" s="1"/>
    </row>
    <row r="125" spans="1:15" s="2" customFormat="1" x14ac:dyDescent="0.2">
      <c r="A125" s="24"/>
      <c r="B125" s="1"/>
      <c r="C125" s="52"/>
      <c r="D125" s="85"/>
      <c r="E125" s="53"/>
      <c r="F125" s="53"/>
      <c r="G125" s="1"/>
      <c r="H125" s="1"/>
      <c r="M125" s="1"/>
      <c r="N125" s="1"/>
    </row>
    <row r="126" spans="1:15" s="2" customFormat="1" x14ac:dyDescent="0.2">
      <c r="A126" s="24"/>
      <c r="B126" s="1"/>
      <c r="C126" s="52"/>
      <c r="D126" s="85"/>
      <c r="E126" s="53"/>
      <c r="F126" s="53"/>
      <c r="G126" s="1"/>
      <c r="H126" s="1"/>
      <c r="M126" s="1"/>
      <c r="N126" s="1"/>
    </row>
    <row r="127" spans="1:15" s="2" customFormat="1" x14ac:dyDescent="0.2">
      <c r="A127" s="24"/>
      <c r="B127" s="1"/>
      <c r="C127" s="14"/>
      <c r="D127" s="25">
        <f>SUM(D124:D126)</f>
        <v>0</v>
      </c>
      <c r="E127" s="2">
        <f>SUM(E124:E126)</f>
        <v>0</v>
      </c>
      <c r="G127" s="1"/>
      <c r="H127" s="1"/>
      <c r="M127" s="1"/>
      <c r="N127" s="1"/>
    </row>
    <row r="128" spans="1:15" s="2" customFormat="1" x14ac:dyDescent="0.2">
      <c r="A128" s="24"/>
      <c r="B128" s="1"/>
      <c r="C128" s="14"/>
      <c r="D128" s="25"/>
      <c r="G128" s="1"/>
      <c r="H128" s="1"/>
      <c r="M128" s="1"/>
      <c r="N128" s="1"/>
    </row>
    <row r="129" spans="1:14" s="2" customFormat="1" x14ac:dyDescent="0.2">
      <c r="A129" s="24"/>
      <c r="B129" s="1"/>
      <c r="C129" s="14"/>
      <c r="D129" s="25"/>
      <c r="G129" s="1"/>
      <c r="H129" s="1"/>
      <c r="M129" s="1"/>
      <c r="N129" s="1"/>
    </row>
    <row r="130" spans="1:14" s="2" customFormat="1" x14ac:dyDescent="0.2">
      <c r="A130" s="24"/>
      <c r="B130" s="1"/>
      <c r="C130" s="14"/>
      <c r="D130" s="25"/>
      <c r="G130" s="1"/>
      <c r="H130" s="1"/>
      <c r="M130" s="1"/>
      <c r="N130" s="1"/>
    </row>
    <row r="131" spans="1:14" s="2" customFormat="1" x14ac:dyDescent="0.2">
      <c r="A131" s="24"/>
      <c r="B131" s="1"/>
      <c r="C131" s="14"/>
      <c r="D131" s="25"/>
      <c r="G131" s="1"/>
      <c r="H131" s="1"/>
      <c r="M131" s="1"/>
      <c r="N131" s="1"/>
    </row>
    <row r="132" spans="1:14" s="2" customFormat="1" x14ac:dyDescent="0.2">
      <c r="A132" s="24"/>
      <c r="B132" s="1"/>
      <c r="C132" s="14"/>
      <c r="D132" s="25"/>
      <c r="G132" s="1"/>
      <c r="H132" s="1"/>
      <c r="M132" s="1"/>
      <c r="N132" s="1"/>
    </row>
    <row r="133" spans="1:14" s="2" customFormat="1" x14ac:dyDescent="0.2">
      <c r="A133" s="24"/>
      <c r="B133" s="1"/>
      <c r="C133" s="14"/>
      <c r="D133" s="25"/>
      <c r="G133" s="1"/>
      <c r="H133" s="1"/>
      <c r="M133" s="1"/>
      <c r="N133" s="1"/>
    </row>
    <row r="134" spans="1:14" s="2" customFormat="1" x14ac:dyDescent="0.2">
      <c r="A134" s="24"/>
      <c r="B134" s="1"/>
      <c r="C134" s="14"/>
      <c r="D134" s="25"/>
      <c r="G134" s="1"/>
      <c r="H134" s="1"/>
      <c r="M134" s="1"/>
      <c r="N134" s="1"/>
    </row>
    <row r="135" spans="1:14" s="2" customFormat="1" x14ac:dyDescent="0.2">
      <c r="A135" s="24"/>
      <c r="B135" s="1"/>
      <c r="C135" s="14"/>
      <c r="D135" s="25"/>
      <c r="G135" s="1"/>
      <c r="H135" s="1"/>
      <c r="M135" s="1"/>
      <c r="N135" s="1"/>
    </row>
    <row r="136" spans="1:14" s="2" customFormat="1" x14ac:dyDescent="0.2">
      <c r="A136" s="24"/>
      <c r="B136" s="1"/>
      <c r="C136" s="14"/>
      <c r="D136" s="25"/>
      <c r="G136" s="1"/>
      <c r="H136" s="1"/>
      <c r="M136" s="1"/>
      <c r="N136" s="1"/>
    </row>
    <row r="137" spans="1:14" s="2" customFormat="1" x14ac:dyDescent="0.2">
      <c r="A137" s="24"/>
      <c r="B137" s="1"/>
      <c r="C137" s="14"/>
      <c r="D137" s="25"/>
      <c r="G137" s="1"/>
      <c r="H137" s="1"/>
      <c r="M137" s="1"/>
      <c r="N137" s="1"/>
    </row>
    <row r="138" spans="1:14" s="2" customFormat="1" x14ac:dyDescent="0.2">
      <c r="A138" s="24"/>
      <c r="B138" s="1"/>
      <c r="C138" s="14"/>
      <c r="D138" s="25"/>
      <c r="G138" s="1"/>
      <c r="H138" s="1"/>
      <c r="M138" s="1"/>
      <c r="N138" s="1"/>
    </row>
    <row r="139" spans="1:14" s="2" customFormat="1" x14ac:dyDescent="0.2">
      <c r="A139" s="24"/>
      <c r="B139" s="1"/>
      <c r="C139" s="14"/>
      <c r="D139" s="25"/>
      <c r="G139" s="1"/>
      <c r="H139" s="1"/>
      <c r="M139" s="1"/>
      <c r="N139" s="1"/>
    </row>
    <row r="140" spans="1:14" s="2" customFormat="1" x14ac:dyDescent="0.2">
      <c r="A140" s="24"/>
      <c r="B140" s="1"/>
      <c r="C140" s="14"/>
      <c r="D140" s="25"/>
      <c r="G140" s="1"/>
      <c r="H140" s="1"/>
      <c r="M140" s="1"/>
      <c r="N140" s="1"/>
    </row>
    <row r="141" spans="1:14" s="2" customFormat="1" x14ac:dyDescent="0.2">
      <c r="A141" s="24"/>
      <c r="B141" s="1"/>
      <c r="C141" s="14"/>
      <c r="D141" s="25"/>
      <c r="G141" s="1"/>
      <c r="H141" s="1"/>
      <c r="J141" s="1"/>
      <c r="K141" s="1"/>
      <c r="L141" s="1"/>
      <c r="M141" s="1"/>
      <c r="N141" s="1"/>
    </row>
    <row r="142" spans="1:14" s="2" customFormat="1" x14ac:dyDescent="0.2">
      <c r="A142" s="24"/>
      <c r="B142" s="1"/>
      <c r="C142" s="14"/>
      <c r="D142" s="25"/>
      <c r="G142" s="1"/>
      <c r="H142" s="1"/>
    </row>
    <row r="143" spans="1:14" s="2" customFormat="1" x14ac:dyDescent="0.2">
      <c r="A143" s="24"/>
      <c r="B143" s="1"/>
      <c r="C143" s="14"/>
      <c r="D143" s="25"/>
      <c r="G143" s="1"/>
      <c r="H143" s="1"/>
      <c r="J143" s="1"/>
      <c r="K143" s="1"/>
      <c r="L143" s="1"/>
      <c r="M143" s="1"/>
      <c r="N143" s="1"/>
    </row>
    <row r="144" spans="1:14" s="2" customFormat="1" x14ac:dyDescent="0.2">
      <c r="A144" s="24"/>
      <c r="B144" s="1"/>
      <c r="C144" s="14"/>
      <c r="D144" s="25"/>
      <c r="G144" s="54"/>
      <c r="H144" s="54"/>
      <c r="J144" s="1"/>
      <c r="K144" s="1"/>
      <c r="L144" s="1"/>
      <c r="M144" s="1"/>
      <c r="N144" s="1"/>
    </row>
    <row r="145" spans="1:15" s="2" customFormat="1" x14ac:dyDescent="0.2">
      <c r="A145" s="24"/>
      <c r="B145" s="1"/>
      <c r="C145" s="14"/>
      <c r="D145" s="25"/>
      <c r="G145" s="54"/>
      <c r="H145" s="54"/>
      <c r="J145" s="1"/>
      <c r="K145" s="1"/>
      <c r="L145" s="1"/>
      <c r="M145" s="1"/>
      <c r="N145" s="1"/>
    </row>
    <row r="146" spans="1:15" s="2" customFormat="1" x14ac:dyDescent="0.2">
      <c r="A146" s="24"/>
      <c r="B146" s="1"/>
      <c r="C146" s="14"/>
      <c r="D146" s="25"/>
      <c r="G146" s="54"/>
      <c r="H146" s="54"/>
      <c r="J146" s="1"/>
      <c r="K146" s="1"/>
      <c r="L146" s="1"/>
      <c r="M146" s="1"/>
      <c r="N146" s="1"/>
    </row>
    <row r="147" spans="1:15" s="2" customFormat="1" x14ac:dyDescent="0.2">
      <c r="A147" s="24"/>
      <c r="B147" s="1"/>
      <c r="C147" s="14"/>
      <c r="D147" s="25"/>
      <c r="G147" s="54"/>
      <c r="H147" s="54"/>
      <c r="I147" s="2" t="s">
        <v>396</v>
      </c>
      <c r="J147" s="1"/>
      <c r="K147" s="1"/>
      <c r="L147" s="1"/>
      <c r="M147" s="1"/>
      <c r="N147" s="1"/>
      <c r="O147" s="1"/>
    </row>
    <row r="148" spans="1:15" s="2" customFormat="1" x14ac:dyDescent="0.2">
      <c r="A148" s="24"/>
      <c r="B148" s="1"/>
      <c r="C148" s="14"/>
      <c r="D148" s="25"/>
      <c r="G148" s="54"/>
      <c r="H148" s="54"/>
      <c r="I148" s="53"/>
    </row>
    <row r="149" spans="1:15" s="2" customFormat="1" x14ac:dyDescent="0.2">
      <c r="A149" s="24"/>
      <c r="B149" s="1"/>
      <c r="C149" s="14"/>
      <c r="D149" s="25"/>
      <c r="G149" s="54"/>
      <c r="H149" s="54"/>
      <c r="I149" s="53" t="s">
        <v>396</v>
      </c>
      <c r="J149" s="1"/>
      <c r="K149" s="1"/>
      <c r="L149" s="1"/>
      <c r="M149" s="1"/>
      <c r="N149" s="1"/>
      <c r="O149" s="1"/>
    </row>
    <row r="150" spans="1:15" x14ac:dyDescent="0.2">
      <c r="G150" s="54"/>
      <c r="H150" s="54"/>
      <c r="I150" s="53" t="s">
        <v>396</v>
      </c>
      <c r="K150" s="42"/>
    </row>
    <row r="151" spans="1:15" s="2" customFormat="1" x14ac:dyDescent="0.2">
      <c r="A151" s="24"/>
      <c r="B151" s="1"/>
      <c r="C151" s="14"/>
      <c r="D151" s="25"/>
      <c r="G151" s="54"/>
      <c r="H151" s="54"/>
      <c r="I151" s="53"/>
      <c r="J151" s="101"/>
      <c r="K151" s="1"/>
      <c r="L151" s="1"/>
      <c r="M151" s="1"/>
      <c r="N151" s="1"/>
      <c r="O151" s="1"/>
    </row>
    <row r="152" spans="1:15" x14ac:dyDescent="0.2">
      <c r="G152" s="54"/>
      <c r="H152" s="54"/>
      <c r="I152" s="53"/>
    </row>
    <row r="153" spans="1:15" x14ac:dyDescent="0.2">
      <c r="G153" s="54"/>
      <c r="H153" s="54"/>
      <c r="I153" s="53"/>
    </row>
    <row r="154" spans="1:15" x14ac:dyDescent="0.2">
      <c r="G154" s="54"/>
      <c r="H154" s="54"/>
      <c r="I154" s="53"/>
    </row>
  </sheetData>
  <sheetProtection insertRows="0"/>
  <mergeCells count="7">
    <mergeCell ref="K72:L72"/>
    <mergeCell ref="A79:D79"/>
    <mergeCell ref="C116:F116"/>
    <mergeCell ref="A1:H1"/>
    <mergeCell ref="A3:F3"/>
    <mergeCell ref="A9:F9"/>
    <mergeCell ref="A25:F25"/>
  </mergeCells>
  <conditionalFormatting sqref="H76:H77">
    <cfRule type="cellIs" dxfId="155" priority="1" operator="lessThan">
      <formula>0</formula>
    </cfRule>
  </conditionalFormatting>
  <conditionalFormatting sqref="C27">
    <cfRule type="duplicateValues" dxfId="154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500-000000000000}">
  <sheetPr codeName="Sheet509">
    <pageSetUpPr fitToPage="1"/>
  </sheetPr>
  <dimension ref="A1:O155"/>
  <sheetViews>
    <sheetView topLeftCell="A19" zoomScaleNormal="100" workbookViewId="0">
      <selection activeCell="E37" sqref="E37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12.85546875" style="1" customWidth="1"/>
    <col min="9" max="9" width="24.85546875" style="2" bestFit="1" customWidth="1"/>
    <col min="10" max="10" width="21.5703125" style="1" bestFit="1" customWidth="1"/>
    <col min="11" max="11" width="16.85546875" style="1" bestFit="1" customWidth="1"/>
    <col min="12" max="12" width="17.28515625" style="1" bestFit="1" customWidth="1"/>
    <col min="13" max="13" width="13.5703125" style="1" bestFit="1" customWidth="1"/>
    <col min="14" max="14" width="17.42578125" style="1" bestFit="1" customWidth="1"/>
    <col min="15" max="15" width="12.85546875" style="1" bestFit="1" customWidth="1"/>
    <col min="16" max="17" width="9.140625" style="1"/>
    <col min="18" max="18" width="15.5703125" style="1" bestFit="1" customWidth="1"/>
    <col min="19" max="16384" width="9.140625" style="1"/>
  </cols>
  <sheetData>
    <row r="1" spans="1:14" ht="20.25" customHeight="1" x14ac:dyDescent="0.4">
      <c r="A1" s="212" t="s">
        <v>1915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4" ht="12.75" customHeight="1" x14ac:dyDescent="0.4">
      <c r="I2" s="112"/>
      <c r="J2" s="112"/>
    </row>
    <row r="3" spans="1:14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4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4" s="2" customFormat="1" ht="14.25" customHeight="1" x14ac:dyDescent="0.4">
      <c r="A5" s="89">
        <v>45288</v>
      </c>
      <c r="B5" s="9" t="s">
        <v>6</v>
      </c>
      <c r="C5" s="10" t="s">
        <v>7</v>
      </c>
      <c r="D5" s="11"/>
      <c r="E5" s="12">
        <v>670047.23000000045</v>
      </c>
      <c r="F5" s="12"/>
      <c r="G5" s="1"/>
      <c r="H5" s="1"/>
      <c r="I5" s="112"/>
      <c r="J5" s="112"/>
    </row>
    <row r="6" spans="1:14" s="2" customFormat="1" ht="12.75" customHeight="1" x14ac:dyDescent="0.2">
      <c r="D6" s="15" t="s">
        <v>8</v>
      </c>
      <c r="E6" s="16">
        <f>SUM(E5:E5)</f>
        <v>670047.23000000045</v>
      </c>
      <c r="F6" s="16">
        <f>F5</f>
        <v>0</v>
      </c>
      <c r="G6" s="1"/>
      <c r="H6" s="1"/>
      <c r="I6" s="13" t="s">
        <v>1582</v>
      </c>
      <c r="J6" s="13" t="s">
        <v>1583</v>
      </c>
    </row>
    <row r="7" spans="1:14" s="2" customFormat="1" ht="12.75" customHeight="1" x14ac:dyDescent="0.2">
      <c r="A7" s="17"/>
      <c r="B7" s="18"/>
      <c r="C7" s="19" t="s">
        <v>9</v>
      </c>
      <c r="D7" s="20"/>
      <c r="E7" s="21">
        <f>+E6-F6</f>
        <v>670047.23000000045</v>
      </c>
      <c r="F7" s="22"/>
      <c r="G7" s="23"/>
      <c r="H7" s="23"/>
      <c r="I7" s="2">
        <v>387590</v>
      </c>
      <c r="J7" s="2">
        <v>952773</v>
      </c>
      <c r="K7" s="176">
        <f>I7-J7</f>
        <v>-565183</v>
      </c>
    </row>
    <row r="8" spans="1:14" ht="12.75" customHeight="1" x14ac:dyDescent="0.4">
      <c r="I8" s="112"/>
      <c r="J8" s="112"/>
    </row>
    <row r="9" spans="1:14" ht="18" customHeight="1" x14ac:dyDescent="0.4">
      <c r="A9" s="213" t="s">
        <v>1037</v>
      </c>
      <c r="B9" s="213"/>
      <c r="C9" s="213"/>
      <c r="D9" s="213"/>
      <c r="E9" s="213"/>
      <c r="F9" s="213"/>
      <c r="I9" s="112"/>
      <c r="J9" s="169">
        <f>90000000-60000000</f>
        <v>30000000</v>
      </c>
      <c r="K9" s="169" t="s">
        <v>1508</v>
      </c>
    </row>
    <row r="10" spans="1:14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I10" s="112"/>
      <c r="J10" s="169">
        <v>25575069.399999999</v>
      </c>
      <c r="K10" s="169" t="s">
        <v>1509</v>
      </c>
      <c r="L10" s="124"/>
    </row>
    <row r="11" spans="1:14" s="2" customFormat="1" ht="14.25" customHeight="1" x14ac:dyDescent="0.2">
      <c r="A11" s="89">
        <v>45288</v>
      </c>
      <c r="B11" s="9" t="s">
        <v>6</v>
      </c>
      <c r="C11" s="10" t="s">
        <v>7</v>
      </c>
      <c r="D11" s="11"/>
      <c r="F11" s="12">
        <v>25490019.400000002</v>
      </c>
      <c r="G11" s="1"/>
      <c r="H11" s="1"/>
      <c r="I11" s="130" t="s">
        <v>396</v>
      </c>
      <c r="J11" s="169">
        <f>+J9-J10</f>
        <v>4424930.6000000015</v>
      </c>
      <c r="K11" s="169" t="s">
        <v>712</v>
      </c>
      <c r="L11" s="165" t="s">
        <v>1512</v>
      </c>
    </row>
    <row r="12" spans="1:14" s="2" customFormat="1" ht="14.25" customHeight="1" x14ac:dyDescent="0.2">
      <c r="A12" s="89">
        <v>45288</v>
      </c>
      <c r="B12" s="128" t="s">
        <v>6</v>
      </c>
      <c r="C12" s="76" t="s">
        <v>419</v>
      </c>
      <c r="D12" s="11" t="s">
        <v>13</v>
      </c>
      <c r="E12" s="31">
        <v>302540</v>
      </c>
      <c r="F12" s="31"/>
      <c r="G12" s="1"/>
      <c r="H12" s="1"/>
      <c r="I12" s="130"/>
      <c r="J12" s="169"/>
      <c r="K12" s="169"/>
      <c r="L12" s="165"/>
    </row>
    <row r="13" spans="1:14" s="2" customFormat="1" ht="14.25" customHeight="1" x14ac:dyDescent="0.2">
      <c r="A13" s="89">
        <v>45288</v>
      </c>
      <c r="B13" s="128" t="s">
        <v>11</v>
      </c>
      <c r="C13" s="76" t="s">
        <v>696</v>
      </c>
      <c r="D13" s="11" t="s">
        <v>13</v>
      </c>
      <c r="E13" s="31"/>
      <c r="F13" s="31">
        <v>952773</v>
      </c>
      <c r="G13" s="1"/>
      <c r="H13" s="1"/>
      <c r="I13" s="130"/>
      <c r="J13" s="169"/>
      <c r="K13" s="169"/>
      <c r="L13" s="165"/>
    </row>
    <row r="14" spans="1:14" s="2" customFormat="1" ht="14.25" customHeight="1" x14ac:dyDescent="0.2">
      <c r="D14" s="11" t="s">
        <v>8</v>
      </c>
      <c r="E14" s="16">
        <f>SUM(E12:E13)</f>
        <v>302540</v>
      </c>
      <c r="F14" s="16">
        <f>SUM(F11:F13)</f>
        <v>26442792.400000002</v>
      </c>
      <c r="G14" s="1"/>
      <c r="H14" s="1"/>
      <c r="I14" s="143"/>
      <c r="J14" s="130"/>
      <c r="K14" s="143"/>
      <c r="L14" s="143"/>
      <c r="M14" s="143"/>
      <c r="N14" s="143"/>
    </row>
    <row r="15" spans="1:14" s="2" customFormat="1" ht="14.25" customHeight="1" x14ac:dyDescent="0.4">
      <c r="A15" s="17"/>
      <c r="B15" s="18"/>
      <c r="C15" s="96" t="s">
        <v>9</v>
      </c>
      <c r="D15" s="20"/>
      <c r="E15" s="21">
        <f>+F14-E14</f>
        <v>26140252.400000002</v>
      </c>
      <c r="G15" s="1"/>
      <c r="H15" s="1"/>
      <c r="J15" s="112"/>
      <c r="K15" s="153" t="s">
        <v>779</v>
      </c>
    </row>
    <row r="16" spans="1:14" s="2" customFormat="1" ht="14.25" customHeight="1" x14ac:dyDescent="0.2">
      <c r="A16" s="36"/>
      <c r="B16" s="28" t="s">
        <v>66</v>
      </c>
      <c r="C16" s="43" t="s">
        <v>1458</v>
      </c>
      <c r="D16" s="43"/>
      <c r="E16" s="12">
        <f>30000000+60000000</f>
        <v>90000000</v>
      </c>
      <c r="F16" s="22"/>
      <c r="G16" s="1"/>
      <c r="H16" s="1"/>
      <c r="J16" s="40">
        <v>26140252.399999999</v>
      </c>
      <c r="K16" s="154">
        <f>J16-E15</f>
        <v>0</v>
      </c>
    </row>
    <row r="17" spans="1:15" s="2" customFormat="1" ht="14.25" customHeight="1" x14ac:dyDescent="0.25">
      <c r="A17" s="36"/>
      <c r="B17" s="28"/>
      <c r="C17" s="44" t="s">
        <v>1541</v>
      </c>
      <c r="D17" s="43"/>
      <c r="E17" s="7">
        <f>+E15+E16</f>
        <v>116140252.40000001</v>
      </c>
      <c r="F17" s="22"/>
      <c r="G17" s="1"/>
      <c r="H17" s="1"/>
      <c r="I17" s="13" t="s">
        <v>1582</v>
      </c>
      <c r="J17" s="13" t="s">
        <v>1583</v>
      </c>
    </row>
    <row r="18" spans="1:15" s="2" customFormat="1" ht="14.25" customHeight="1" x14ac:dyDescent="0.25">
      <c r="A18" s="36"/>
      <c r="B18" s="28"/>
      <c r="C18" s="44" t="s">
        <v>1511</v>
      </c>
      <c r="D18" s="43"/>
      <c r="E18" s="38">
        <f>+J11+I7-J7</f>
        <v>3859747.6000000015</v>
      </c>
      <c r="F18" s="22"/>
      <c r="G18" s="1"/>
      <c r="H18" s="1"/>
      <c r="I18" s="2">
        <v>2424039</v>
      </c>
      <c r="J18" s="2">
        <v>13271626.73</v>
      </c>
      <c r="K18" s="176">
        <f>I18-J18</f>
        <v>-10847587.73</v>
      </c>
    </row>
    <row r="19" spans="1:15" s="2" customFormat="1" ht="14.25" customHeight="1" x14ac:dyDescent="0.2">
      <c r="A19" s="24"/>
      <c r="B19" s="1"/>
      <c r="C19" s="14"/>
      <c r="D19" s="25"/>
      <c r="G19" s="1"/>
      <c r="H19" s="1"/>
      <c r="J19" s="130"/>
      <c r="K19" s="130"/>
    </row>
    <row r="20" spans="1:15" s="2" customFormat="1" x14ac:dyDescent="0.2">
      <c r="A20" s="214" t="s">
        <v>10</v>
      </c>
      <c r="B20" s="214"/>
      <c r="C20" s="214"/>
      <c r="D20" s="214"/>
      <c r="E20" s="214"/>
      <c r="F20" s="214"/>
      <c r="G20" s="1"/>
      <c r="H20" s="1"/>
      <c r="I20" s="159"/>
      <c r="J20" s="160">
        <f>225000000-75000000-50000000</f>
        <v>100000000</v>
      </c>
      <c r="K20" s="160" t="s">
        <v>1506</v>
      </c>
      <c r="L20" s="70"/>
    </row>
    <row r="21" spans="1:15" s="2" customFormat="1" x14ac:dyDescent="0.2">
      <c r="A21" s="26" t="s">
        <v>1</v>
      </c>
      <c r="B21" s="27" t="s">
        <v>2</v>
      </c>
      <c r="C21" s="5"/>
      <c r="D21" s="6" t="s">
        <v>3</v>
      </c>
      <c r="E21" s="7" t="s">
        <v>4</v>
      </c>
      <c r="F21" s="7" t="s">
        <v>5</v>
      </c>
      <c r="G21" s="1"/>
      <c r="H21" s="1"/>
      <c r="I21" s="159"/>
      <c r="J21" s="160">
        <v>83521096.799999997</v>
      </c>
      <c r="K21" s="160" t="s">
        <v>1507</v>
      </c>
      <c r="L21" s="70" t="s">
        <v>1512</v>
      </c>
    </row>
    <row r="22" spans="1:15" s="2" customFormat="1" x14ac:dyDescent="0.2">
      <c r="A22" s="89">
        <v>45288</v>
      </c>
      <c r="B22" s="128" t="s">
        <v>11</v>
      </c>
      <c r="C22" s="29" t="s">
        <v>7</v>
      </c>
      <c r="D22" s="25"/>
      <c r="E22" s="31"/>
      <c r="F22" s="2">
        <v>94740524.069999993</v>
      </c>
      <c r="G22" s="23"/>
      <c r="H22" s="23"/>
      <c r="I22" s="159" t="s">
        <v>1505</v>
      </c>
      <c r="J22" s="160">
        <f>+J20-J21</f>
        <v>16478903.200000003</v>
      </c>
      <c r="K22" s="160"/>
      <c r="L22" s="70"/>
    </row>
    <row r="23" spans="1:15" s="2" customFormat="1" x14ac:dyDescent="0.2">
      <c r="A23" s="89">
        <v>45288</v>
      </c>
      <c r="B23" s="128" t="s">
        <v>6</v>
      </c>
      <c r="C23" s="76" t="s">
        <v>14</v>
      </c>
      <c r="D23" s="11" t="s">
        <v>13</v>
      </c>
      <c r="E23" s="31">
        <v>303811</v>
      </c>
      <c r="F23" s="70"/>
      <c r="G23" s="1"/>
      <c r="H23" s="1"/>
      <c r="O23" s="1"/>
    </row>
    <row r="24" spans="1:15" s="2" customFormat="1" x14ac:dyDescent="0.2">
      <c r="A24" s="89">
        <v>45288</v>
      </c>
      <c r="B24" s="128" t="s">
        <v>6</v>
      </c>
      <c r="C24" s="76" t="s">
        <v>17</v>
      </c>
      <c r="D24" s="11" t="s">
        <v>13</v>
      </c>
      <c r="E24" s="31">
        <v>53232</v>
      </c>
      <c r="F24" s="70"/>
      <c r="G24" s="1"/>
      <c r="H24" s="1"/>
      <c r="O24" s="1"/>
    </row>
    <row r="25" spans="1:15" s="2" customFormat="1" x14ac:dyDescent="0.2">
      <c r="A25" s="89">
        <v>45288</v>
      </c>
      <c r="B25" s="128" t="s">
        <v>6</v>
      </c>
      <c r="C25" s="76" t="s">
        <v>24</v>
      </c>
      <c r="D25" s="11" t="s">
        <v>13</v>
      </c>
      <c r="E25" s="31">
        <v>4817759</v>
      </c>
      <c r="F25" s="70"/>
      <c r="G25" s="1"/>
      <c r="H25" s="1"/>
      <c r="O25" s="1"/>
    </row>
    <row r="26" spans="1:15" s="2" customFormat="1" x14ac:dyDescent="0.2">
      <c r="A26" s="89">
        <v>45288</v>
      </c>
      <c r="B26" s="128" t="s">
        <v>6</v>
      </c>
      <c r="C26" s="76" t="s">
        <v>316</v>
      </c>
      <c r="D26" s="11" t="s">
        <v>13</v>
      </c>
      <c r="E26" s="31">
        <v>62213</v>
      </c>
      <c r="F26" s="70"/>
      <c r="G26" s="1"/>
      <c r="H26" s="1"/>
      <c r="O26" s="1"/>
    </row>
    <row r="27" spans="1:15" s="2" customFormat="1" x14ac:dyDescent="0.2">
      <c r="A27" s="89">
        <v>45288</v>
      </c>
      <c r="B27" s="128" t="s">
        <v>6</v>
      </c>
      <c r="C27" s="76" t="s">
        <v>1356</v>
      </c>
      <c r="D27" s="11" t="s">
        <v>13</v>
      </c>
      <c r="E27" s="31">
        <v>6930</v>
      </c>
      <c r="F27" s="70"/>
      <c r="G27" s="1"/>
      <c r="H27" s="1"/>
      <c r="O27" s="1"/>
    </row>
    <row r="28" spans="1:15" s="2" customFormat="1" x14ac:dyDescent="0.2">
      <c r="A28" s="89">
        <v>45288</v>
      </c>
      <c r="B28" s="128" t="s">
        <v>6</v>
      </c>
      <c r="C28" s="76" t="s">
        <v>1365</v>
      </c>
      <c r="D28" s="11" t="s">
        <v>13</v>
      </c>
      <c r="E28" s="31">
        <v>500000</v>
      </c>
      <c r="F28" s="70"/>
      <c r="G28" s="1"/>
      <c r="H28" s="1"/>
      <c r="O28" s="1"/>
    </row>
    <row r="29" spans="1:15" s="2" customFormat="1" x14ac:dyDescent="0.2">
      <c r="A29" s="89">
        <v>45288</v>
      </c>
      <c r="B29" s="128" t="s">
        <v>6</v>
      </c>
      <c r="C29" s="76" t="s">
        <v>159</v>
      </c>
      <c r="D29" s="11" t="s">
        <v>13</v>
      </c>
      <c r="E29" s="31">
        <v>87543</v>
      </c>
      <c r="F29" s="70"/>
      <c r="G29" s="1"/>
      <c r="H29" s="1"/>
      <c r="O29" s="1"/>
    </row>
    <row r="30" spans="1:15" s="2" customFormat="1" x14ac:dyDescent="0.2">
      <c r="A30" s="89">
        <v>45288</v>
      </c>
      <c r="B30" s="128" t="s">
        <v>6</v>
      </c>
      <c r="C30" s="76" t="s">
        <v>320</v>
      </c>
      <c r="D30" s="11" t="s">
        <v>13</v>
      </c>
      <c r="E30" s="31">
        <v>176447</v>
      </c>
      <c r="F30" s="70"/>
      <c r="G30" s="1"/>
      <c r="H30" s="1"/>
      <c r="O30" s="1"/>
    </row>
    <row r="31" spans="1:15" s="2" customFormat="1" x14ac:dyDescent="0.2">
      <c r="A31" s="89">
        <v>45288</v>
      </c>
      <c r="B31" s="128" t="s">
        <v>6</v>
      </c>
      <c r="C31" s="76" t="s">
        <v>1916</v>
      </c>
      <c r="D31" s="11" t="s">
        <v>13</v>
      </c>
      <c r="E31" s="31">
        <v>865423</v>
      </c>
      <c r="F31" s="70"/>
      <c r="G31" s="1"/>
      <c r="H31" s="1"/>
      <c r="O31" s="1"/>
    </row>
    <row r="32" spans="1:15" s="2" customFormat="1" x14ac:dyDescent="0.2">
      <c r="A32" s="89">
        <v>45288</v>
      </c>
      <c r="B32" s="128" t="s">
        <v>6</v>
      </c>
      <c r="C32" s="76" t="s">
        <v>1647</v>
      </c>
      <c r="D32" s="11" t="s">
        <v>13</v>
      </c>
      <c r="E32" s="31">
        <v>21562</v>
      </c>
      <c r="F32" s="70"/>
      <c r="G32" s="1"/>
      <c r="H32" s="1"/>
      <c r="O32" s="1"/>
    </row>
    <row r="33" spans="1:15" s="2" customFormat="1" x14ac:dyDescent="0.2">
      <c r="A33" s="89">
        <v>45288</v>
      </c>
      <c r="B33" s="128" t="s">
        <v>6</v>
      </c>
      <c r="C33" s="76" t="s">
        <v>143</v>
      </c>
      <c r="D33" s="11" t="s">
        <v>13</v>
      </c>
      <c r="E33" s="31">
        <v>4930</v>
      </c>
      <c r="F33" s="70"/>
      <c r="G33" s="1"/>
      <c r="H33" s="1"/>
      <c r="O33" s="1"/>
    </row>
    <row r="34" spans="1:15" s="2" customFormat="1" x14ac:dyDescent="0.2">
      <c r="A34" s="89">
        <v>45288</v>
      </c>
      <c r="B34" s="128" t="s">
        <v>6</v>
      </c>
      <c r="C34" s="76" t="s">
        <v>122</v>
      </c>
      <c r="D34" s="11" t="s">
        <v>13</v>
      </c>
      <c r="E34" s="31">
        <v>79540</v>
      </c>
      <c r="F34" s="70"/>
      <c r="G34" s="1"/>
      <c r="H34" s="1"/>
      <c r="O34" s="1"/>
    </row>
    <row r="35" spans="1:15" s="2" customFormat="1" x14ac:dyDescent="0.2">
      <c r="A35" s="89">
        <v>45288</v>
      </c>
      <c r="B35" s="128" t="s">
        <v>6</v>
      </c>
      <c r="C35" s="76" t="s">
        <v>261</v>
      </c>
      <c r="D35" s="11" t="s">
        <v>13</v>
      </c>
      <c r="E35" s="31">
        <v>268134</v>
      </c>
      <c r="F35" s="70"/>
      <c r="G35" s="1"/>
      <c r="H35" s="1"/>
      <c r="O35" s="1"/>
    </row>
    <row r="36" spans="1:15" s="2" customFormat="1" x14ac:dyDescent="0.2">
      <c r="A36" s="89">
        <v>45288</v>
      </c>
      <c r="B36" s="128" t="s">
        <v>6</v>
      </c>
      <c r="C36" s="76" t="s">
        <v>148</v>
      </c>
      <c r="D36" s="11" t="s">
        <v>13</v>
      </c>
      <c r="E36" s="31">
        <v>1150749.03</v>
      </c>
      <c r="F36" s="70"/>
      <c r="G36" s="1"/>
      <c r="H36" s="1"/>
      <c r="O36" s="1"/>
    </row>
    <row r="37" spans="1:15" s="2" customFormat="1" x14ac:dyDescent="0.2">
      <c r="A37" s="89">
        <v>45288</v>
      </c>
      <c r="B37" s="128" t="s">
        <v>6</v>
      </c>
      <c r="C37" s="76" t="s">
        <v>1569</v>
      </c>
      <c r="D37" s="11" t="s">
        <v>13</v>
      </c>
      <c r="E37" s="31">
        <v>869165</v>
      </c>
      <c r="F37" s="70"/>
      <c r="G37" s="1"/>
      <c r="H37" s="1"/>
      <c r="O37" s="1"/>
    </row>
    <row r="38" spans="1:15" s="2" customFormat="1" x14ac:dyDescent="0.2">
      <c r="A38" s="89">
        <v>45288</v>
      </c>
      <c r="B38" s="128" t="s">
        <v>11</v>
      </c>
      <c r="C38" s="76" t="s">
        <v>1917</v>
      </c>
      <c r="D38" s="11" t="s">
        <v>29</v>
      </c>
      <c r="E38" s="31"/>
      <c r="F38" s="70">
        <v>84563.35</v>
      </c>
      <c r="G38" s="1"/>
      <c r="H38" s="1"/>
      <c r="O38" s="1"/>
    </row>
    <row r="39" spans="1:15" s="2" customFormat="1" x14ac:dyDescent="0.2">
      <c r="A39" s="89">
        <v>45288</v>
      </c>
      <c r="B39" s="128" t="s">
        <v>11</v>
      </c>
      <c r="C39" s="76" t="s">
        <v>284</v>
      </c>
      <c r="D39" s="11" t="s">
        <v>29</v>
      </c>
      <c r="E39" s="31"/>
      <c r="F39" s="70">
        <v>752316</v>
      </c>
      <c r="G39" s="1"/>
      <c r="H39" s="1"/>
      <c r="O39" s="1"/>
    </row>
    <row r="40" spans="1:15" s="2" customFormat="1" x14ac:dyDescent="0.2">
      <c r="A40" s="89">
        <v>45288</v>
      </c>
      <c r="B40" s="128" t="s">
        <v>11</v>
      </c>
      <c r="C40" s="76" t="s">
        <v>356</v>
      </c>
      <c r="D40" s="11" t="s">
        <v>29</v>
      </c>
      <c r="E40" s="31"/>
      <c r="F40" s="70">
        <v>1364139</v>
      </c>
      <c r="G40" s="1"/>
      <c r="H40" s="1"/>
      <c r="O40" s="1"/>
    </row>
    <row r="41" spans="1:15" s="2" customFormat="1" x14ac:dyDescent="0.2">
      <c r="A41" s="89">
        <v>45288</v>
      </c>
      <c r="B41" s="128" t="s">
        <v>11</v>
      </c>
      <c r="C41" s="76" t="s">
        <v>91</v>
      </c>
      <c r="D41" s="11" t="s">
        <v>29</v>
      </c>
      <c r="E41" s="31"/>
      <c r="F41" s="70">
        <v>627527</v>
      </c>
      <c r="G41" s="1"/>
      <c r="H41" s="1"/>
      <c r="O41" s="1"/>
    </row>
    <row r="42" spans="1:15" s="2" customFormat="1" x14ac:dyDescent="0.2">
      <c r="A42" s="89">
        <v>45288</v>
      </c>
      <c r="B42" s="128" t="s">
        <v>11</v>
      </c>
      <c r="C42" s="76" t="s">
        <v>301</v>
      </c>
      <c r="D42" s="11" t="s">
        <v>29</v>
      </c>
      <c r="E42" s="31"/>
      <c r="F42" s="70">
        <v>2263149</v>
      </c>
      <c r="G42" s="1"/>
      <c r="H42" s="1"/>
      <c r="O42" s="1"/>
    </row>
    <row r="43" spans="1:15" s="2" customFormat="1" x14ac:dyDescent="0.2">
      <c r="A43" s="89">
        <v>45288</v>
      </c>
      <c r="B43" s="128" t="s">
        <v>11</v>
      </c>
      <c r="C43" s="76" t="s">
        <v>64</v>
      </c>
      <c r="D43" s="11" t="s">
        <v>29</v>
      </c>
      <c r="E43" s="31"/>
      <c r="F43" s="70">
        <v>6662.41</v>
      </c>
      <c r="G43" s="1"/>
      <c r="H43" s="1"/>
      <c r="O43" s="1"/>
    </row>
    <row r="44" spans="1:15" s="2" customFormat="1" x14ac:dyDescent="0.2">
      <c r="A44" s="89">
        <v>45288</v>
      </c>
      <c r="B44" s="128" t="s">
        <v>11</v>
      </c>
      <c r="C44" s="76" t="s">
        <v>156</v>
      </c>
      <c r="D44" s="11" t="s">
        <v>29</v>
      </c>
      <c r="E44" s="31"/>
      <c r="F44" s="70">
        <v>12</v>
      </c>
      <c r="G44" s="1"/>
      <c r="H44" s="1"/>
      <c r="O44" s="1"/>
    </row>
    <row r="45" spans="1:15" s="2" customFormat="1" x14ac:dyDescent="0.2">
      <c r="A45" s="89">
        <v>45288</v>
      </c>
      <c r="B45" s="128" t="s">
        <v>11</v>
      </c>
      <c r="C45" s="76" t="s">
        <v>477</v>
      </c>
      <c r="D45" s="11" t="s">
        <v>29</v>
      </c>
      <c r="E45" s="31"/>
      <c r="F45" s="70">
        <v>53140</v>
      </c>
      <c r="G45" s="1"/>
      <c r="H45" s="1"/>
      <c r="O45" s="1"/>
    </row>
    <row r="46" spans="1:15" s="2" customFormat="1" x14ac:dyDescent="0.2">
      <c r="A46" s="89">
        <v>45288</v>
      </c>
      <c r="B46" s="128" t="s">
        <v>11</v>
      </c>
      <c r="C46" s="76" t="s">
        <v>135</v>
      </c>
      <c r="D46" s="11" t="s">
        <v>29</v>
      </c>
      <c r="E46" s="31"/>
      <c r="F46" s="70">
        <v>314824</v>
      </c>
      <c r="G46" s="1"/>
      <c r="H46" s="1"/>
      <c r="O46" s="1"/>
    </row>
    <row r="47" spans="1:15" s="2" customFormat="1" x14ac:dyDescent="0.2">
      <c r="A47" s="89">
        <v>45288</v>
      </c>
      <c r="B47" s="128" t="s">
        <v>11</v>
      </c>
      <c r="C47" s="76" t="s">
        <v>1404</v>
      </c>
      <c r="D47" s="11" t="s">
        <v>29</v>
      </c>
      <c r="E47" s="31"/>
      <c r="F47" s="70">
        <v>78177</v>
      </c>
      <c r="G47" s="1"/>
      <c r="H47" s="1"/>
      <c r="O47" s="1"/>
    </row>
    <row r="48" spans="1:15" s="2" customFormat="1" x14ac:dyDescent="0.2">
      <c r="A48" s="89">
        <v>45288</v>
      </c>
      <c r="B48" s="128" t="s">
        <v>11</v>
      </c>
      <c r="C48" s="76" t="s">
        <v>243</v>
      </c>
      <c r="D48" s="11" t="s">
        <v>29</v>
      </c>
      <c r="E48" s="31"/>
      <c r="F48" s="70">
        <v>7848.73</v>
      </c>
      <c r="G48" s="1"/>
      <c r="H48" s="1"/>
      <c r="O48" s="1"/>
    </row>
    <row r="49" spans="1:15" s="2" customFormat="1" x14ac:dyDescent="0.2">
      <c r="A49" s="89">
        <v>45288</v>
      </c>
      <c r="B49" s="128" t="s">
        <v>11</v>
      </c>
      <c r="C49" s="76" t="s">
        <v>442</v>
      </c>
      <c r="D49" s="11" t="s">
        <v>29</v>
      </c>
      <c r="E49" s="31"/>
      <c r="F49" s="70">
        <v>241319</v>
      </c>
      <c r="G49" s="1"/>
      <c r="H49" s="1"/>
      <c r="O49" s="1"/>
    </row>
    <row r="50" spans="1:15" s="2" customFormat="1" x14ac:dyDescent="0.2">
      <c r="A50" s="89">
        <v>45288</v>
      </c>
      <c r="B50" s="128" t="s">
        <v>11</v>
      </c>
      <c r="C50" s="76" t="s">
        <v>926</v>
      </c>
      <c r="D50" s="11" t="s">
        <v>29</v>
      </c>
      <c r="E50" s="31"/>
      <c r="F50" s="70">
        <v>292283</v>
      </c>
      <c r="G50" s="1"/>
      <c r="H50" s="1"/>
      <c r="O50" s="1"/>
    </row>
    <row r="51" spans="1:15" s="2" customFormat="1" x14ac:dyDescent="0.2">
      <c r="A51" s="89">
        <v>45288</v>
      </c>
      <c r="B51" s="128" t="s">
        <v>11</v>
      </c>
      <c r="C51" s="76" t="s">
        <v>1269</v>
      </c>
      <c r="D51" s="11" t="s">
        <v>29</v>
      </c>
      <c r="E51" s="31"/>
      <c r="F51" s="70">
        <v>834389</v>
      </c>
      <c r="G51" s="1"/>
      <c r="H51" s="1"/>
      <c r="O51" s="1"/>
    </row>
    <row r="52" spans="1:15" s="2" customFormat="1" x14ac:dyDescent="0.2">
      <c r="A52" s="89">
        <v>45288</v>
      </c>
      <c r="B52" s="128" t="s">
        <v>11</v>
      </c>
      <c r="C52" s="76" t="s">
        <v>460</v>
      </c>
      <c r="D52" s="11" t="s">
        <v>29</v>
      </c>
      <c r="E52" s="31"/>
      <c r="F52" s="70">
        <v>534313</v>
      </c>
      <c r="G52" s="1"/>
      <c r="H52" s="1"/>
      <c r="O52" s="1"/>
    </row>
    <row r="53" spans="1:15" s="2" customFormat="1" x14ac:dyDescent="0.2">
      <c r="A53" s="89">
        <v>45288</v>
      </c>
      <c r="B53" s="128" t="s">
        <v>11</v>
      </c>
      <c r="C53" s="76" t="s">
        <v>32</v>
      </c>
      <c r="D53" s="11" t="s">
        <v>29</v>
      </c>
      <c r="E53" s="31"/>
      <c r="F53" s="70">
        <v>1440936</v>
      </c>
      <c r="G53" s="1"/>
      <c r="H53" s="1"/>
      <c r="O53" s="1"/>
    </row>
    <row r="54" spans="1:15" s="2" customFormat="1" x14ac:dyDescent="0.2">
      <c r="A54" s="32"/>
      <c r="B54" s="33"/>
      <c r="C54" s="14"/>
      <c r="D54" s="34"/>
      <c r="E54" s="16">
        <f>SUM(E22:E53)</f>
        <v>9267438.0299999993</v>
      </c>
      <c r="F54" s="16">
        <f>SUM(F22:F53)</f>
        <v>103636122.55999999</v>
      </c>
      <c r="G54" s="1"/>
      <c r="H54" s="1"/>
      <c r="I54" s="1"/>
      <c r="J54" s="38">
        <v>94368684.530000001</v>
      </c>
      <c r="L54" s="92">
        <f>E55-J54</f>
        <v>0</v>
      </c>
      <c r="O54" s="1"/>
    </row>
    <row r="55" spans="1:15" s="2" customFormat="1" x14ac:dyDescent="0.2">
      <c r="A55" s="36"/>
      <c r="B55" s="28" t="s">
        <v>11</v>
      </c>
      <c r="C55" s="19" t="s">
        <v>65</v>
      </c>
      <c r="D55" s="37"/>
      <c r="E55" s="38">
        <f>F54-E54</f>
        <v>94368684.529999986</v>
      </c>
      <c r="F55" s="22"/>
      <c r="G55" s="1"/>
      <c r="H55" s="1"/>
      <c r="I55" s="1"/>
      <c r="J55" s="70"/>
      <c r="K55" s="70"/>
      <c r="L55" s="70"/>
      <c r="O55" s="1"/>
    </row>
    <row r="56" spans="1:15" s="2" customFormat="1" x14ac:dyDescent="0.2">
      <c r="A56" s="36"/>
      <c r="B56" s="28" t="s">
        <v>66</v>
      </c>
      <c r="C56" s="19" t="s">
        <v>67</v>
      </c>
      <c r="D56" s="37"/>
      <c r="E56" s="38">
        <v>0</v>
      </c>
      <c r="F56" s="22"/>
      <c r="G56" s="1"/>
      <c r="H56" s="1"/>
      <c r="I56" s="70"/>
      <c r="J56" s="70"/>
      <c r="K56" s="70"/>
      <c r="L56" s="70"/>
      <c r="O56" s="1"/>
    </row>
    <row r="57" spans="1:15" s="2" customFormat="1" x14ac:dyDescent="0.2">
      <c r="A57" s="36"/>
      <c r="B57" s="28" t="s">
        <v>66</v>
      </c>
      <c r="C57" s="43" t="s">
        <v>1457</v>
      </c>
      <c r="D57" s="43"/>
      <c r="E57" s="12">
        <f>275000000+75000000+50000000</f>
        <v>400000000</v>
      </c>
      <c r="F57" s="22"/>
      <c r="G57" s="1"/>
      <c r="H57" s="1"/>
      <c r="I57" s="70"/>
      <c r="J57" s="45">
        <v>1623.56</v>
      </c>
      <c r="K57" s="46"/>
      <c r="L57" s="46"/>
      <c r="O57" s="1"/>
    </row>
    <row r="58" spans="1:15" s="2" customFormat="1" ht="15" x14ac:dyDescent="0.25">
      <c r="A58" s="36"/>
      <c r="B58" s="28"/>
      <c r="C58" s="44" t="s">
        <v>1541</v>
      </c>
      <c r="D58" s="43"/>
      <c r="E58" s="7">
        <f>+E57+E55+E56</f>
        <v>494368684.52999997</v>
      </c>
      <c r="F58" s="22"/>
      <c r="G58" s="1"/>
      <c r="H58" s="1"/>
      <c r="I58" s="103" t="s">
        <v>69</v>
      </c>
      <c r="J58" s="45">
        <v>-226.96</v>
      </c>
      <c r="K58" s="46"/>
      <c r="L58" s="46"/>
      <c r="O58" s="1"/>
    </row>
    <row r="59" spans="1:15" s="2" customFormat="1" ht="15" x14ac:dyDescent="0.25">
      <c r="A59" s="24"/>
      <c r="B59" s="1"/>
      <c r="C59" s="44" t="s">
        <v>1510</v>
      </c>
      <c r="D59" s="25"/>
      <c r="E59" s="156">
        <f>+J22-E56+I18-J18</f>
        <v>5631315.4700000025</v>
      </c>
      <c r="G59" s="1"/>
      <c r="H59" s="1"/>
      <c r="I59" s="35">
        <v>1</v>
      </c>
      <c r="J59" s="45">
        <f>166.25+5.56</f>
        <v>171.81</v>
      </c>
      <c r="K59" s="46">
        <f>+J60-D62</f>
        <v>0</v>
      </c>
      <c r="O59" s="1"/>
    </row>
    <row r="60" spans="1:15" s="124" customFormat="1" ht="12.75" customHeight="1" x14ac:dyDescent="0.2">
      <c r="A60" s="24"/>
      <c r="B60" s="1"/>
      <c r="C60" s="56"/>
      <c r="D60" s="56"/>
      <c r="E60" s="104"/>
      <c r="F60" s="2"/>
      <c r="G60" s="166"/>
      <c r="H60" s="166"/>
      <c r="I60" s="70"/>
      <c r="J60" s="49">
        <f>SUM(J57:J59)</f>
        <v>1568.4099999999999</v>
      </c>
      <c r="K60" s="46"/>
      <c r="L60" s="46"/>
    </row>
    <row r="61" spans="1:15" s="124" customFormat="1" ht="12.75" customHeight="1" x14ac:dyDescent="0.2">
      <c r="A61" s="24"/>
      <c r="B61" s="1"/>
      <c r="C61" s="78" t="s">
        <v>575</v>
      </c>
      <c r="D61" s="48" t="s">
        <v>576</v>
      </c>
      <c r="E61" s="104"/>
      <c r="F61" s="2"/>
      <c r="G61" s="168"/>
      <c r="H61" s="168"/>
      <c r="I61" s="167"/>
      <c r="J61" s="167"/>
      <c r="K61" s="168"/>
    </row>
    <row r="62" spans="1:15" s="124" customFormat="1" ht="12.75" customHeight="1" x14ac:dyDescent="0.2">
      <c r="A62" s="24"/>
      <c r="B62" s="1"/>
      <c r="C62" s="47" t="s">
        <v>570</v>
      </c>
      <c r="D62" s="111">
        <v>1568.41</v>
      </c>
      <c r="E62" s="104"/>
      <c r="F62" s="2"/>
      <c r="G62" s="168"/>
      <c r="H62" s="168"/>
      <c r="I62" s="110" t="s">
        <v>581</v>
      </c>
      <c r="J62" s="167"/>
      <c r="K62" s="168"/>
    </row>
    <row r="63" spans="1:15" s="124" customFormat="1" ht="12.75" customHeight="1" x14ac:dyDescent="0.2">
      <c r="A63" s="24"/>
      <c r="B63" s="1"/>
      <c r="C63" s="47" t="s">
        <v>931</v>
      </c>
      <c r="D63" s="111">
        <v>318.58</v>
      </c>
      <c r="E63" s="104"/>
      <c r="F63" s="2"/>
      <c r="G63" s="168"/>
      <c r="H63" s="168"/>
      <c r="I63" s="110" t="s">
        <v>580</v>
      </c>
      <c r="J63" s="167"/>
      <c r="K63" s="168"/>
    </row>
    <row r="64" spans="1:15" s="124" customFormat="1" ht="12.75" customHeight="1" x14ac:dyDescent="0.2">
      <c r="A64" s="24"/>
      <c r="B64" s="1"/>
      <c r="C64" s="47" t="s">
        <v>572</v>
      </c>
      <c r="D64" s="111">
        <f>+D115/100000</f>
        <v>821.51279849999992</v>
      </c>
      <c r="E64" s="104"/>
      <c r="F64" s="2"/>
      <c r="G64" s="166"/>
      <c r="H64" s="166"/>
      <c r="I64" s="90" t="s">
        <v>587</v>
      </c>
      <c r="J64" s="167"/>
      <c r="K64" s="168"/>
    </row>
    <row r="65" spans="1:15" s="2" customFormat="1" x14ac:dyDescent="0.2">
      <c r="A65" s="24"/>
      <c r="B65" s="1"/>
      <c r="C65" s="108" t="s">
        <v>578</v>
      </c>
      <c r="D65" s="48">
        <f>SUM(D62:D64)</f>
        <v>2708.5027984999997</v>
      </c>
      <c r="E65" s="104"/>
      <c r="G65" s="30"/>
      <c r="H65" s="30"/>
      <c r="J65" s="13"/>
      <c r="K65" s="13"/>
    </row>
    <row r="66" spans="1:15" s="70" customFormat="1" x14ac:dyDescent="0.2">
      <c r="A66" s="24"/>
      <c r="B66" s="1"/>
      <c r="C66" s="47"/>
      <c r="D66" s="107"/>
      <c r="E66" s="104"/>
      <c r="F66" s="2"/>
      <c r="G66" s="30"/>
      <c r="H66" s="30"/>
      <c r="I66" s="2"/>
    </row>
    <row r="67" spans="1:15" s="70" customFormat="1" x14ac:dyDescent="0.2">
      <c r="A67" s="24"/>
      <c r="B67" s="1"/>
      <c r="C67" s="47" t="s">
        <v>932</v>
      </c>
      <c r="D67" s="111">
        <v>315.29000000000002</v>
      </c>
      <c r="E67" s="104"/>
      <c r="F67" s="2"/>
      <c r="G67" s="30"/>
      <c r="H67" s="30"/>
      <c r="I67" s="110" t="s">
        <v>581</v>
      </c>
    </row>
    <row r="68" spans="1:15" s="70" customFormat="1" x14ac:dyDescent="0.2">
      <c r="A68" s="24"/>
      <c r="B68" s="1"/>
      <c r="C68" s="136" t="s">
        <v>1142</v>
      </c>
      <c r="D68" s="111">
        <v>871.05</v>
      </c>
      <c r="E68" s="104"/>
      <c r="F68" s="2"/>
      <c r="G68" s="30"/>
      <c r="H68" s="30"/>
      <c r="I68" s="110" t="s">
        <v>581</v>
      </c>
    </row>
    <row r="69" spans="1:15" s="70" customFormat="1" x14ac:dyDescent="0.2">
      <c r="A69" s="24"/>
      <c r="B69" s="1"/>
      <c r="C69" s="78" t="s">
        <v>579</v>
      </c>
      <c r="D69" s="109">
        <f>D67+D68</f>
        <v>1186.3399999999999</v>
      </c>
      <c r="E69" s="104"/>
      <c r="F69" s="2"/>
      <c r="G69" s="30"/>
      <c r="H69" s="30"/>
    </row>
    <row r="70" spans="1:15" s="70" customFormat="1" x14ac:dyDescent="0.2">
      <c r="A70" s="24"/>
      <c r="B70" s="1"/>
      <c r="C70" s="105"/>
      <c r="D70" s="106"/>
      <c r="E70" s="104"/>
      <c r="F70" s="2"/>
      <c r="G70" s="30"/>
      <c r="H70" s="30"/>
      <c r="J70" s="2"/>
      <c r="K70" s="221" t="str">
        <f>"FROM ( 01-12-2023 to "&amp;TEXT(A5,"dd-mm-yyyy")&amp;" )"</f>
        <v>FROM ( 01-12-2023 to 28-12-2023 )</v>
      </c>
      <c r="L70" s="221"/>
      <c r="M70" s="2"/>
      <c r="N70" s="2"/>
    </row>
    <row r="71" spans="1:15" s="70" customFormat="1" x14ac:dyDescent="0.2">
      <c r="A71" s="24"/>
      <c r="B71" s="1"/>
      <c r="C71" s="78" t="s">
        <v>577</v>
      </c>
      <c r="D71" s="109">
        <f>D62+D69</f>
        <v>2754.75</v>
      </c>
      <c r="E71" s="104"/>
      <c r="F71" s="2"/>
      <c r="G71" s="30"/>
      <c r="H71" s="30"/>
      <c r="J71" s="113"/>
      <c r="K71" s="113" t="s">
        <v>709</v>
      </c>
      <c r="L71" s="113" t="s">
        <v>710</v>
      </c>
      <c r="M71" s="113" t="s">
        <v>711</v>
      </c>
      <c r="N71" s="113" t="s">
        <v>712</v>
      </c>
    </row>
    <row r="72" spans="1:15" s="70" customFormat="1" x14ac:dyDescent="0.2">
      <c r="A72" s="24"/>
      <c r="B72" s="1"/>
      <c r="C72" s="56"/>
      <c r="D72" s="56"/>
      <c r="E72" s="104"/>
      <c r="F72" s="2"/>
      <c r="G72" s="30"/>
      <c r="H72" s="30"/>
      <c r="J72" s="113" t="s">
        <v>1860</v>
      </c>
      <c r="K72" s="115">
        <v>191.86</v>
      </c>
      <c r="L72" s="115">
        <v>135.56</v>
      </c>
      <c r="M72" s="115">
        <v>133.58000000000001</v>
      </c>
      <c r="N72" s="113">
        <f>+K72+M72-L72</f>
        <v>189.88000000000005</v>
      </c>
    </row>
    <row r="73" spans="1:15" s="70" customFormat="1" ht="38.25" x14ac:dyDescent="0.2">
      <c r="A73" s="24"/>
      <c r="B73" s="1"/>
      <c r="C73" s="79" t="str">
        <f>"Particulars ( 01-12-2023 to "&amp;TEXT(A5,"dd-mm-yyyy")&amp;" )"</f>
        <v>Particulars ( 01-12-2023 to 28-12-2023 )</v>
      </c>
      <c r="D73" s="79" t="s">
        <v>7</v>
      </c>
      <c r="E73" s="80" t="s">
        <v>73</v>
      </c>
      <c r="F73" s="80" t="s">
        <v>74</v>
      </c>
      <c r="G73" s="81" t="s">
        <v>75</v>
      </c>
      <c r="H73" s="80" t="s">
        <v>76</v>
      </c>
      <c r="J73" s="113" t="s">
        <v>1861</v>
      </c>
      <c r="K73" s="115">
        <v>1332.26</v>
      </c>
      <c r="L73" s="115">
        <v>828.45</v>
      </c>
      <c r="M73" s="115">
        <v>879.97</v>
      </c>
      <c r="N73" s="113">
        <f>+K73+M73-L73</f>
        <v>1383.78</v>
      </c>
    </row>
    <row r="74" spans="1:15" s="70" customFormat="1" x14ac:dyDescent="0.2">
      <c r="A74" s="24"/>
      <c r="B74" s="1"/>
      <c r="C74" s="50" t="s">
        <v>444</v>
      </c>
      <c r="D74" s="55">
        <f>+K74</f>
        <v>361.11</v>
      </c>
      <c r="E74" s="55">
        <f>+M74</f>
        <v>315.29000000000002</v>
      </c>
      <c r="F74" s="55">
        <f>+L74</f>
        <v>318.58</v>
      </c>
      <c r="G74" s="55">
        <f>+D74+E74-F74</f>
        <v>357.82000000000011</v>
      </c>
      <c r="H74" s="55">
        <f>1500-G74</f>
        <v>1142.1799999999998</v>
      </c>
      <c r="J74" s="113" t="s">
        <v>707</v>
      </c>
      <c r="K74" s="115">
        <v>361.11</v>
      </c>
      <c r="L74" s="115">
        <v>318.58</v>
      </c>
      <c r="M74" s="115">
        <v>315.29000000000002</v>
      </c>
      <c r="N74" s="113">
        <f>+K74+M74-L74</f>
        <v>357.82000000000011</v>
      </c>
    </row>
    <row r="75" spans="1:15" s="70" customFormat="1" ht="12.75" customHeight="1" x14ac:dyDescent="0.2">
      <c r="A75" s="24"/>
      <c r="B75" s="1"/>
      <c r="C75" s="50" t="s">
        <v>71</v>
      </c>
      <c r="D75" s="55">
        <f>+K72+K73</f>
        <v>1524.12</v>
      </c>
      <c r="E75" s="55">
        <f>+M72+M73</f>
        <v>1013.5500000000001</v>
      </c>
      <c r="F75" s="55">
        <f>+L72+L73</f>
        <v>964.01</v>
      </c>
      <c r="G75" s="55">
        <f>+D75+E75-F75</f>
        <v>1573.66</v>
      </c>
      <c r="H75" s="55">
        <f>1500+700-G75</f>
        <v>626.33999999999992</v>
      </c>
      <c r="J75" s="2"/>
      <c r="K75" s="118">
        <f>SUM(K72:K74)</f>
        <v>1885.23</v>
      </c>
      <c r="L75" s="118">
        <f>SUM(L72:L74)</f>
        <v>1282.5899999999999</v>
      </c>
      <c r="M75" s="118">
        <f>SUM(M72:M74)</f>
        <v>1328.8400000000001</v>
      </c>
      <c r="N75" s="118">
        <f>SUM(N72:N74)</f>
        <v>1931.4800000000002</v>
      </c>
    </row>
    <row r="76" spans="1:15" s="70" customFormat="1" ht="12.75" customHeight="1" x14ac:dyDescent="0.2">
      <c r="A76" s="24"/>
      <c r="B76" s="1"/>
      <c r="C76" s="14"/>
      <c r="D76" s="56"/>
      <c r="E76" s="13"/>
      <c r="F76" s="2"/>
      <c r="G76" s="30"/>
      <c r="H76" s="30"/>
    </row>
    <row r="77" spans="1:15" s="70" customFormat="1" ht="12.75" customHeight="1" x14ac:dyDescent="0.2">
      <c r="A77" s="215" t="s">
        <v>80</v>
      </c>
      <c r="B77" s="216"/>
      <c r="C77" s="216"/>
      <c r="D77" s="217"/>
      <c r="E77" s="69"/>
      <c r="G77" s="30"/>
      <c r="H77" s="30"/>
    </row>
    <row r="78" spans="1:15" s="70" customFormat="1" ht="12.75" customHeight="1" x14ac:dyDescent="0.2">
      <c r="A78" s="71" t="s">
        <v>81</v>
      </c>
      <c r="B78" s="71"/>
      <c r="C78" s="72" t="s">
        <v>82</v>
      </c>
      <c r="D78" s="73" t="s">
        <v>83</v>
      </c>
      <c r="E78" s="69"/>
      <c r="G78" s="30"/>
      <c r="H78" s="30"/>
    </row>
    <row r="79" spans="1:15" s="70" customFormat="1" ht="12.75" customHeight="1" x14ac:dyDescent="0.2">
      <c r="A79" s="87">
        <v>45264</v>
      </c>
      <c r="B79" s="120" t="s">
        <v>6</v>
      </c>
      <c r="C79" s="75" t="s">
        <v>86</v>
      </c>
      <c r="D79" s="88">
        <v>11017609</v>
      </c>
      <c r="E79" s="2"/>
      <c r="F79" s="2"/>
      <c r="G79" s="30"/>
      <c r="H79" s="30"/>
      <c r="I79" s="2"/>
      <c r="J79" s="2"/>
      <c r="K79" s="2"/>
      <c r="L79" s="2"/>
      <c r="M79" s="41"/>
      <c r="N79" s="42"/>
      <c r="O79" s="2"/>
    </row>
    <row r="80" spans="1:15" s="70" customFormat="1" ht="12.75" customHeight="1" x14ac:dyDescent="0.2">
      <c r="A80" s="87">
        <v>45264</v>
      </c>
      <c r="B80" s="120" t="s">
        <v>6</v>
      </c>
      <c r="C80" s="75" t="s">
        <v>86</v>
      </c>
      <c r="D80" s="88">
        <v>2663814</v>
      </c>
      <c r="E80" s="2"/>
      <c r="F80" s="2"/>
      <c r="G80" s="30"/>
      <c r="H80" s="30"/>
      <c r="I80" s="2"/>
      <c r="J80" s="2"/>
      <c r="K80" s="2"/>
      <c r="L80" s="2"/>
      <c r="M80" s="41"/>
      <c r="N80" s="42"/>
      <c r="O80" s="2"/>
    </row>
    <row r="81" spans="1:15" s="70" customFormat="1" ht="12.75" customHeight="1" x14ac:dyDescent="0.2">
      <c r="A81" s="87">
        <v>45264</v>
      </c>
      <c r="B81" s="120" t="s">
        <v>6</v>
      </c>
      <c r="C81" s="75" t="s">
        <v>86</v>
      </c>
      <c r="D81" s="88">
        <v>75522</v>
      </c>
      <c r="E81" s="2"/>
      <c r="F81" s="2"/>
      <c r="G81" s="30"/>
      <c r="H81" s="30"/>
      <c r="I81" s="2"/>
      <c r="J81" s="2"/>
      <c r="K81" s="2"/>
      <c r="L81" s="2"/>
      <c r="M81" s="41"/>
      <c r="N81" s="42"/>
      <c r="O81" s="2"/>
    </row>
    <row r="82" spans="1:15" s="70" customFormat="1" ht="12.75" customHeight="1" x14ac:dyDescent="0.2">
      <c r="A82" s="87">
        <v>45265</v>
      </c>
      <c r="B82" s="120" t="s">
        <v>6</v>
      </c>
      <c r="C82" s="75" t="s">
        <v>88</v>
      </c>
      <c r="D82" s="88">
        <v>2152501.6</v>
      </c>
      <c r="E82" s="2"/>
      <c r="F82" s="2"/>
      <c r="G82" s="30"/>
      <c r="H82" s="30"/>
      <c r="I82" s="2"/>
      <c r="J82" s="2"/>
      <c r="K82" s="2"/>
      <c r="L82" s="2"/>
      <c r="M82" s="41"/>
      <c r="N82" s="42"/>
      <c r="O82" s="2"/>
    </row>
    <row r="83" spans="1:15" s="70" customFormat="1" ht="12.75" customHeight="1" x14ac:dyDescent="0.2">
      <c r="A83" s="87">
        <v>45266</v>
      </c>
      <c r="B83" s="120" t="s">
        <v>6</v>
      </c>
      <c r="C83" s="75" t="s">
        <v>271</v>
      </c>
      <c r="D83" s="88">
        <v>9828</v>
      </c>
      <c r="E83" s="2"/>
      <c r="F83" s="2"/>
      <c r="G83" s="30"/>
      <c r="H83" s="30"/>
      <c r="I83" s="2"/>
      <c r="J83" s="2"/>
      <c r="K83" s="2"/>
      <c r="L83" s="2"/>
      <c r="M83" s="41"/>
      <c r="N83" s="42"/>
      <c r="O83" s="2"/>
    </row>
    <row r="84" spans="1:15" s="70" customFormat="1" ht="12.75" customHeight="1" x14ac:dyDescent="0.2">
      <c r="A84" s="87">
        <v>45267</v>
      </c>
      <c r="B84" s="120" t="s">
        <v>6</v>
      </c>
      <c r="C84" s="75" t="s">
        <v>85</v>
      </c>
      <c r="D84" s="88">
        <v>179811</v>
      </c>
      <c r="E84" s="2"/>
      <c r="F84" s="2"/>
      <c r="G84" s="30"/>
      <c r="H84" s="30"/>
      <c r="I84" s="2"/>
      <c r="J84" s="2"/>
      <c r="K84" s="2"/>
      <c r="L84" s="2"/>
      <c r="M84" s="41"/>
      <c r="N84" s="42"/>
      <c r="O84" s="2"/>
    </row>
    <row r="85" spans="1:15" s="70" customFormat="1" ht="12.75" customHeight="1" x14ac:dyDescent="0.2">
      <c r="A85" s="87">
        <v>45267</v>
      </c>
      <c r="B85" s="120" t="s">
        <v>6</v>
      </c>
      <c r="C85" s="75" t="s">
        <v>85</v>
      </c>
      <c r="D85" s="88">
        <v>302254</v>
      </c>
      <c r="E85" s="2"/>
      <c r="F85" s="2"/>
      <c r="G85" s="30"/>
      <c r="H85" s="30"/>
      <c r="I85" s="2"/>
      <c r="J85" s="2"/>
      <c r="K85" s="2"/>
      <c r="L85" s="2"/>
      <c r="M85" s="41"/>
      <c r="N85" s="42"/>
      <c r="O85" s="2"/>
    </row>
    <row r="86" spans="1:15" s="70" customFormat="1" ht="12.75" customHeight="1" x14ac:dyDescent="0.2">
      <c r="A86" s="87">
        <v>45268</v>
      </c>
      <c r="B86" s="120" t="s">
        <v>6</v>
      </c>
      <c r="C86" s="75" t="s">
        <v>201</v>
      </c>
      <c r="D86" s="88">
        <v>4000249.47</v>
      </c>
      <c r="E86" s="2"/>
      <c r="F86" s="2"/>
      <c r="G86" s="30"/>
      <c r="H86" s="30"/>
      <c r="I86" s="2"/>
      <c r="J86" s="2"/>
      <c r="K86" s="2"/>
      <c r="L86" s="2"/>
      <c r="M86" s="41"/>
      <c r="N86" s="42"/>
      <c r="O86" s="2"/>
    </row>
    <row r="87" spans="1:15" s="70" customFormat="1" ht="12.75" customHeight="1" x14ac:dyDescent="0.2">
      <c r="A87" s="87">
        <v>45269</v>
      </c>
      <c r="B87" s="120" t="s">
        <v>6</v>
      </c>
      <c r="C87" s="75" t="s">
        <v>85</v>
      </c>
      <c r="D87" s="88">
        <v>96273</v>
      </c>
      <c r="E87" s="2"/>
      <c r="F87" s="2"/>
      <c r="G87" s="30"/>
      <c r="H87" s="30"/>
      <c r="I87" s="2"/>
      <c r="J87" s="2"/>
      <c r="K87" s="2"/>
      <c r="L87" s="2"/>
      <c r="M87" s="41"/>
      <c r="N87" s="42"/>
      <c r="O87" s="2"/>
    </row>
    <row r="88" spans="1:15" s="70" customFormat="1" ht="12.75" customHeight="1" x14ac:dyDescent="0.2">
      <c r="A88" s="87">
        <v>45269</v>
      </c>
      <c r="B88" s="120" t="s">
        <v>6</v>
      </c>
      <c r="C88" s="75" t="s">
        <v>270</v>
      </c>
      <c r="D88" s="88">
        <v>182684</v>
      </c>
      <c r="E88" s="2"/>
      <c r="F88" s="2"/>
      <c r="G88" s="30"/>
      <c r="H88" s="30"/>
      <c r="I88" s="2"/>
      <c r="J88" s="2"/>
      <c r="K88" s="2"/>
      <c r="L88" s="2"/>
      <c r="M88" s="41"/>
      <c r="N88" s="42"/>
      <c r="O88" s="2"/>
    </row>
    <row r="89" spans="1:15" s="70" customFormat="1" ht="12.75" customHeight="1" x14ac:dyDescent="0.2">
      <c r="A89" s="87">
        <v>45269</v>
      </c>
      <c r="B89" s="120" t="s">
        <v>6</v>
      </c>
      <c r="C89" s="75" t="s">
        <v>271</v>
      </c>
      <c r="D89" s="88">
        <v>15488.3</v>
      </c>
      <c r="E89" s="2"/>
      <c r="F89" s="2"/>
      <c r="G89" s="30"/>
      <c r="H89" s="30"/>
      <c r="I89" s="2"/>
      <c r="J89" s="2"/>
      <c r="K89" s="2"/>
      <c r="L89" s="2"/>
      <c r="M89" s="41"/>
      <c r="N89" s="42"/>
      <c r="O89" s="2"/>
    </row>
    <row r="90" spans="1:15" s="70" customFormat="1" ht="12.75" customHeight="1" x14ac:dyDescent="0.2">
      <c r="A90" s="87">
        <v>45272</v>
      </c>
      <c r="B90" s="120" t="s">
        <v>6</v>
      </c>
      <c r="C90" s="75" t="s">
        <v>270</v>
      </c>
      <c r="D90" s="88">
        <v>687714</v>
      </c>
      <c r="E90" s="2"/>
      <c r="F90" s="2"/>
      <c r="G90" s="30"/>
      <c r="H90" s="30"/>
      <c r="I90" s="2"/>
      <c r="J90" s="2"/>
      <c r="K90" s="2"/>
      <c r="L90" s="2"/>
      <c r="M90" s="41"/>
      <c r="N90" s="42"/>
      <c r="O90" s="2"/>
    </row>
    <row r="91" spans="1:15" s="70" customFormat="1" ht="12.75" customHeight="1" x14ac:dyDescent="0.2">
      <c r="A91" s="87">
        <v>45272</v>
      </c>
      <c r="B91" s="120" t="s">
        <v>6</v>
      </c>
      <c r="C91" s="75" t="s">
        <v>1789</v>
      </c>
      <c r="D91" s="88">
        <v>1945116</v>
      </c>
      <c r="E91" s="2"/>
      <c r="F91" s="2"/>
      <c r="G91" s="30"/>
      <c r="H91" s="30"/>
      <c r="I91" s="2"/>
      <c r="J91" s="2"/>
      <c r="K91" s="2"/>
      <c r="L91" s="2"/>
      <c r="M91" s="41"/>
      <c r="N91" s="42"/>
      <c r="O91" s="2"/>
    </row>
    <row r="92" spans="1:15" s="70" customFormat="1" ht="12.75" customHeight="1" x14ac:dyDescent="0.2">
      <c r="A92" s="87">
        <v>45273</v>
      </c>
      <c r="B92" s="120" t="s">
        <v>6</v>
      </c>
      <c r="C92" s="75" t="s">
        <v>18</v>
      </c>
      <c r="D92" s="88">
        <v>167890</v>
      </c>
      <c r="E92" s="2"/>
      <c r="F92" s="2"/>
      <c r="G92" s="30"/>
      <c r="H92" s="30"/>
      <c r="I92" s="2"/>
      <c r="J92" s="2"/>
      <c r="K92" s="2"/>
      <c r="L92" s="2"/>
      <c r="M92" s="41"/>
      <c r="N92" s="42"/>
      <c r="O92" s="2"/>
    </row>
    <row r="93" spans="1:15" s="70" customFormat="1" ht="12.75" customHeight="1" x14ac:dyDescent="0.2">
      <c r="A93" s="87">
        <v>45274</v>
      </c>
      <c r="B93" s="120" t="s">
        <v>6</v>
      </c>
      <c r="C93" s="75" t="s">
        <v>201</v>
      </c>
      <c r="D93" s="88">
        <v>4000385.13</v>
      </c>
      <c r="E93" s="2"/>
      <c r="F93" s="2"/>
      <c r="G93" s="30"/>
      <c r="H93" s="30"/>
      <c r="I93" s="2"/>
      <c r="J93" s="2"/>
      <c r="K93" s="2"/>
      <c r="L93" s="2"/>
      <c r="M93" s="41"/>
      <c r="N93" s="42"/>
      <c r="O93" s="2"/>
    </row>
    <row r="94" spans="1:15" s="70" customFormat="1" ht="12.75" customHeight="1" x14ac:dyDescent="0.2">
      <c r="A94" s="87">
        <v>45274</v>
      </c>
      <c r="B94" s="120" t="s">
        <v>6</v>
      </c>
      <c r="C94" s="75" t="s">
        <v>594</v>
      </c>
      <c r="D94" s="88">
        <v>15735</v>
      </c>
      <c r="E94" s="2"/>
      <c r="F94" s="2"/>
      <c r="G94" s="30"/>
      <c r="H94" s="30"/>
      <c r="I94" s="2"/>
      <c r="J94" s="2"/>
      <c r="K94" s="2"/>
      <c r="L94" s="2"/>
      <c r="M94" s="41"/>
      <c r="N94" s="42"/>
      <c r="O94" s="2"/>
    </row>
    <row r="95" spans="1:15" s="70" customFormat="1" ht="12.75" customHeight="1" x14ac:dyDescent="0.2">
      <c r="A95" s="87">
        <v>45275</v>
      </c>
      <c r="B95" s="120" t="s">
        <v>6</v>
      </c>
      <c r="C95" s="75" t="s">
        <v>594</v>
      </c>
      <c r="D95" s="88">
        <v>4456919</v>
      </c>
      <c r="E95" s="2"/>
      <c r="F95" s="2"/>
      <c r="G95" s="30"/>
      <c r="H95" s="30"/>
      <c r="I95" s="2"/>
      <c r="J95" s="2"/>
      <c r="K95" s="2"/>
      <c r="L95" s="2"/>
      <c r="M95" s="41"/>
      <c r="N95" s="42"/>
      <c r="O95" s="2"/>
    </row>
    <row r="96" spans="1:15" s="70" customFormat="1" ht="12.75" customHeight="1" x14ac:dyDescent="0.2">
      <c r="A96" s="87">
        <v>45275</v>
      </c>
      <c r="B96" s="120" t="s">
        <v>6</v>
      </c>
      <c r="C96" s="75" t="s">
        <v>270</v>
      </c>
      <c r="D96" s="88">
        <v>18357</v>
      </c>
      <c r="E96" s="2"/>
      <c r="F96" s="2"/>
      <c r="G96" s="30"/>
      <c r="H96" s="30"/>
      <c r="I96" s="2"/>
      <c r="J96" s="2"/>
      <c r="K96" s="2"/>
      <c r="L96" s="2"/>
      <c r="M96" s="41"/>
      <c r="N96" s="42"/>
      <c r="O96" s="2"/>
    </row>
    <row r="97" spans="1:15" s="70" customFormat="1" ht="12.75" customHeight="1" x14ac:dyDescent="0.2">
      <c r="A97" s="87">
        <v>45276</v>
      </c>
      <c r="B97" s="120" t="s">
        <v>6</v>
      </c>
      <c r="C97" s="75" t="s">
        <v>85</v>
      </c>
      <c r="D97" s="88">
        <v>197939</v>
      </c>
      <c r="E97" s="2"/>
      <c r="F97" s="2"/>
      <c r="G97" s="30"/>
      <c r="H97" s="30"/>
      <c r="I97" s="2"/>
      <c r="J97" s="2"/>
      <c r="K97" s="2"/>
      <c r="L97" s="2"/>
      <c r="M97" s="41"/>
      <c r="N97" s="42"/>
      <c r="O97" s="2"/>
    </row>
    <row r="98" spans="1:15" s="70" customFormat="1" ht="12.75" customHeight="1" x14ac:dyDescent="0.2">
      <c r="A98" s="87">
        <v>45276</v>
      </c>
      <c r="B98" s="120" t="s">
        <v>6</v>
      </c>
      <c r="C98" s="75" t="s">
        <v>85</v>
      </c>
      <c r="D98" s="88">
        <v>103476</v>
      </c>
      <c r="E98" s="2"/>
      <c r="F98" s="2"/>
      <c r="G98" s="30"/>
      <c r="H98" s="30"/>
      <c r="I98" s="2"/>
      <c r="J98" s="2"/>
      <c r="K98" s="2"/>
      <c r="L98" s="2"/>
      <c r="M98" s="41"/>
      <c r="N98" s="42"/>
      <c r="O98" s="2"/>
    </row>
    <row r="99" spans="1:15" s="70" customFormat="1" ht="12.75" customHeight="1" x14ac:dyDescent="0.2">
      <c r="A99" s="87">
        <v>45278</v>
      </c>
      <c r="B99" s="120" t="s">
        <v>6</v>
      </c>
      <c r="C99" s="75" t="s">
        <v>270</v>
      </c>
      <c r="D99" s="88">
        <v>384076</v>
      </c>
      <c r="E99" s="2"/>
      <c r="F99" s="2"/>
      <c r="G99" s="30"/>
      <c r="H99" s="30"/>
      <c r="I99" s="2"/>
      <c r="J99" s="2"/>
      <c r="K99" s="2"/>
      <c r="L99" s="2"/>
      <c r="M99" s="41"/>
      <c r="N99" s="42"/>
      <c r="O99" s="2"/>
    </row>
    <row r="100" spans="1:15" s="70" customFormat="1" ht="12.75" customHeight="1" x14ac:dyDescent="0.2">
      <c r="A100" s="87">
        <v>45278</v>
      </c>
      <c r="B100" s="120" t="s">
        <v>6</v>
      </c>
      <c r="C100" s="75" t="s">
        <v>85</v>
      </c>
      <c r="D100" s="88">
        <v>427722</v>
      </c>
      <c r="E100" s="2"/>
      <c r="F100" s="2"/>
      <c r="G100" s="30"/>
      <c r="H100" s="30"/>
      <c r="I100" s="2"/>
      <c r="J100" s="2"/>
      <c r="K100" s="2"/>
      <c r="L100" s="2"/>
      <c r="M100" s="41"/>
      <c r="N100" s="42"/>
      <c r="O100" s="2"/>
    </row>
    <row r="101" spans="1:15" s="70" customFormat="1" ht="12.75" customHeight="1" x14ac:dyDescent="0.2">
      <c r="A101" s="87">
        <v>45280</v>
      </c>
      <c r="B101" s="120" t="s">
        <v>6</v>
      </c>
      <c r="C101" s="75" t="s">
        <v>201</v>
      </c>
      <c r="D101" s="88">
        <v>5253480</v>
      </c>
      <c r="E101" s="2"/>
      <c r="F101" s="2"/>
      <c r="G101" s="30"/>
      <c r="H101" s="30"/>
      <c r="I101" s="2"/>
      <c r="J101" s="2"/>
      <c r="K101" s="2"/>
      <c r="L101" s="2"/>
      <c r="M101" s="41"/>
      <c r="N101" s="42"/>
      <c r="O101" s="2"/>
    </row>
    <row r="102" spans="1:15" s="70" customFormat="1" ht="12.75" customHeight="1" x14ac:dyDescent="0.2">
      <c r="A102" s="87">
        <v>45280</v>
      </c>
      <c r="B102" s="120" t="s">
        <v>6</v>
      </c>
      <c r="C102" s="75" t="s">
        <v>18</v>
      </c>
      <c r="D102" s="88">
        <v>604243</v>
      </c>
      <c r="E102" s="2"/>
      <c r="F102" s="2"/>
      <c r="G102" s="30"/>
      <c r="H102" s="30"/>
      <c r="I102" s="2"/>
      <c r="J102" s="2"/>
      <c r="K102" s="2"/>
      <c r="L102" s="2"/>
      <c r="M102" s="41"/>
      <c r="N102" s="42"/>
      <c r="O102" s="2"/>
    </row>
    <row r="103" spans="1:15" s="70" customFormat="1" ht="12.75" customHeight="1" x14ac:dyDescent="0.2">
      <c r="A103" s="87">
        <v>45280</v>
      </c>
      <c r="B103" s="120" t="s">
        <v>6</v>
      </c>
      <c r="C103" s="75" t="s">
        <v>88</v>
      </c>
      <c r="D103" s="88">
        <v>7395284.2999999998</v>
      </c>
      <c r="E103" s="2"/>
      <c r="F103" s="2"/>
      <c r="G103" s="30"/>
      <c r="H103" s="30"/>
      <c r="I103" s="2"/>
      <c r="J103" s="2"/>
      <c r="K103" s="2"/>
      <c r="L103" s="2"/>
      <c r="M103" s="41"/>
      <c r="N103" s="42"/>
      <c r="O103" s="2"/>
    </row>
    <row r="104" spans="1:15" s="70" customFormat="1" ht="12.75" customHeight="1" x14ac:dyDescent="0.2">
      <c r="A104" s="87">
        <v>45281</v>
      </c>
      <c r="B104" s="120" t="s">
        <v>6</v>
      </c>
      <c r="C104" s="75" t="s">
        <v>1897</v>
      </c>
      <c r="D104" s="88">
        <v>710500.05</v>
      </c>
      <c r="E104" s="2"/>
      <c r="F104" s="2"/>
      <c r="G104" s="30"/>
      <c r="H104" s="30"/>
      <c r="I104" s="2"/>
      <c r="J104" s="2"/>
      <c r="K104" s="2"/>
      <c r="L104" s="2"/>
      <c r="M104" s="41"/>
      <c r="N104" s="42"/>
      <c r="O104" s="2"/>
    </row>
    <row r="105" spans="1:15" s="70" customFormat="1" ht="12.75" customHeight="1" x14ac:dyDescent="0.2">
      <c r="A105" s="87">
        <v>45281</v>
      </c>
      <c r="B105" s="120" t="s">
        <v>6</v>
      </c>
      <c r="C105" s="75" t="s">
        <v>271</v>
      </c>
      <c r="D105" s="88">
        <v>32519</v>
      </c>
      <c r="E105" s="2"/>
      <c r="F105" s="2"/>
      <c r="G105" s="30"/>
      <c r="H105" s="30"/>
      <c r="I105" s="2"/>
      <c r="J105" s="2"/>
      <c r="K105" s="2"/>
      <c r="L105" s="2"/>
      <c r="M105" s="41"/>
      <c r="N105" s="42"/>
      <c r="O105" s="2"/>
    </row>
    <row r="106" spans="1:15" s="70" customFormat="1" ht="12.75" customHeight="1" x14ac:dyDescent="0.2">
      <c r="A106" s="87">
        <v>45282</v>
      </c>
      <c r="B106" s="120" t="s">
        <v>6</v>
      </c>
      <c r="C106" s="75" t="s">
        <v>85</v>
      </c>
      <c r="D106" s="88">
        <v>459852</v>
      </c>
      <c r="E106" s="2"/>
      <c r="F106" s="2"/>
      <c r="G106" s="30"/>
      <c r="H106" s="30"/>
      <c r="I106" s="2"/>
      <c r="J106" s="2"/>
      <c r="K106" s="2"/>
      <c r="L106" s="2"/>
      <c r="M106" s="41"/>
      <c r="N106" s="42"/>
      <c r="O106" s="2"/>
    </row>
    <row r="107" spans="1:15" s="70" customFormat="1" ht="12.75" customHeight="1" x14ac:dyDescent="0.2">
      <c r="A107" s="87">
        <v>45282</v>
      </c>
      <c r="B107" s="120" t="s">
        <v>6</v>
      </c>
      <c r="C107" s="75" t="s">
        <v>467</v>
      </c>
      <c r="D107" s="88">
        <v>5455880</v>
      </c>
      <c r="E107" s="2"/>
      <c r="F107" s="2"/>
      <c r="G107" s="30"/>
      <c r="H107" s="30"/>
      <c r="I107" s="2"/>
      <c r="J107" s="2"/>
      <c r="K107" s="2"/>
      <c r="L107" s="2"/>
      <c r="M107" s="41"/>
      <c r="N107" s="42"/>
      <c r="O107" s="2"/>
    </row>
    <row r="108" spans="1:15" s="70" customFormat="1" ht="12.75" customHeight="1" x14ac:dyDescent="0.2">
      <c r="A108" s="87">
        <v>45286</v>
      </c>
      <c r="B108" s="120" t="s">
        <v>6</v>
      </c>
      <c r="C108" s="75" t="s">
        <v>201</v>
      </c>
      <c r="D108" s="88">
        <v>5357718</v>
      </c>
      <c r="E108" s="2"/>
      <c r="F108" s="2"/>
      <c r="G108" s="30"/>
      <c r="H108" s="30"/>
      <c r="I108" s="2"/>
      <c r="J108" s="2"/>
      <c r="K108" s="2"/>
      <c r="L108" s="2"/>
      <c r="M108" s="41"/>
      <c r="N108" s="42"/>
      <c r="O108" s="2"/>
    </row>
    <row r="109" spans="1:15" s="70" customFormat="1" ht="12.75" customHeight="1" x14ac:dyDescent="0.2">
      <c r="A109" s="87">
        <v>45286</v>
      </c>
      <c r="B109" s="120" t="s">
        <v>6</v>
      </c>
      <c r="C109" s="75" t="s">
        <v>86</v>
      </c>
      <c r="D109" s="88">
        <v>1364459</v>
      </c>
      <c r="E109" s="2"/>
      <c r="F109" s="2"/>
      <c r="G109" s="30"/>
      <c r="H109" s="30"/>
      <c r="I109" s="2"/>
      <c r="J109" s="2"/>
      <c r="K109" s="2"/>
      <c r="L109" s="2"/>
      <c r="M109" s="41"/>
      <c r="N109" s="42"/>
      <c r="O109" s="2"/>
    </row>
    <row r="110" spans="1:15" s="70" customFormat="1" ht="12.75" customHeight="1" x14ac:dyDescent="0.2">
      <c r="A110" s="87">
        <v>45286</v>
      </c>
      <c r="B110" s="120" t="s">
        <v>6</v>
      </c>
      <c r="C110" s="75" t="s">
        <v>86</v>
      </c>
      <c r="D110" s="88">
        <v>15528365</v>
      </c>
      <c r="E110" s="2"/>
      <c r="F110" s="2"/>
      <c r="G110" s="30"/>
      <c r="H110" s="30"/>
      <c r="I110" s="2"/>
      <c r="J110" s="2"/>
      <c r="K110" s="2"/>
      <c r="L110" s="2"/>
      <c r="M110" s="41"/>
      <c r="N110" s="42"/>
      <c r="O110" s="2"/>
    </row>
    <row r="111" spans="1:15" s="70" customFormat="1" ht="12.75" customHeight="1" x14ac:dyDescent="0.2">
      <c r="A111" s="87">
        <v>45286</v>
      </c>
      <c r="B111" s="120" t="s">
        <v>6</v>
      </c>
      <c r="C111" s="75" t="s">
        <v>86</v>
      </c>
      <c r="D111" s="88">
        <v>120004</v>
      </c>
      <c r="E111" s="2"/>
      <c r="F111" s="2"/>
      <c r="G111" s="30"/>
      <c r="H111" s="30"/>
      <c r="I111" s="2"/>
      <c r="J111" s="2"/>
      <c r="K111" s="2"/>
      <c r="L111" s="2"/>
      <c r="M111" s="41"/>
      <c r="N111" s="42"/>
      <c r="O111" s="2"/>
    </row>
    <row r="112" spans="1:15" s="70" customFormat="1" ht="12.75" customHeight="1" x14ac:dyDescent="0.2">
      <c r="A112" s="87">
        <v>45287</v>
      </c>
      <c r="B112" s="120" t="s">
        <v>6</v>
      </c>
      <c r="C112" s="75" t="s">
        <v>18</v>
      </c>
      <c r="D112" s="88">
        <v>336298</v>
      </c>
      <c r="E112" s="2"/>
      <c r="F112" s="2"/>
      <c r="G112" s="30"/>
      <c r="H112" s="30"/>
      <c r="I112" s="2"/>
      <c r="J112" s="2"/>
      <c r="K112" s="2"/>
      <c r="L112" s="2"/>
      <c r="M112" s="41"/>
      <c r="N112" s="42"/>
      <c r="O112" s="2"/>
    </row>
    <row r="113" spans="1:15" s="70" customFormat="1" ht="12.75" customHeight="1" x14ac:dyDescent="0.2">
      <c r="A113" s="87">
        <v>45288</v>
      </c>
      <c r="B113" s="120" t="s">
        <v>6</v>
      </c>
      <c r="C113" s="75" t="s">
        <v>270</v>
      </c>
      <c r="D113" s="88">
        <v>2034458</v>
      </c>
      <c r="E113" s="2"/>
      <c r="F113" s="2"/>
      <c r="G113" s="30"/>
      <c r="H113" s="30"/>
      <c r="I113" s="2"/>
      <c r="J113" s="2"/>
      <c r="K113" s="2"/>
      <c r="L113" s="2"/>
      <c r="M113" s="41"/>
      <c r="N113" s="42"/>
      <c r="O113" s="2"/>
    </row>
    <row r="114" spans="1:15" s="70" customFormat="1" ht="12.75" customHeight="1" x14ac:dyDescent="0.2">
      <c r="A114" s="87">
        <v>45288</v>
      </c>
      <c r="B114" s="120" t="s">
        <v>6</v>
      </c>
      <c r="C114" s="75" t="s">
        <v>606</v>
      </c>
      <c r="D114" s="88">
        <v>4396856</v>
      </c>
      <c r="E114" s="2"/>
      <c r="F114" s="2"/>
      <c r="G114" s="30"/>
      <c r="H114" s="30"/>
      <c r="I114" s="2"/>
      <c r="J114" s="2"/>
      <c r="K114" s="2"/>
      <c r="L114" s="2"/>
      <c r="M114" s="41"/>
      <c r="N114" s="42"/>
      <c r="O114" s="2"/>
    </row>
    <row r="115" spans="1:15" s="2" customFormat="1" x14ac:dyDescent="0.2">
      <c r="A115" s="87"/>
      <c r="B115" s="74"/>
      <c r="C115" s="75"/>
      <c r="D115" s="51">
        <f>SUM(D79:D114)</f>
        <v>82151279.849999994</v>
      </c>
      <c r="F115" s="2" t="s">
        <v>396</v>
      </c>
      <c r="G115" s="1"/>
      <c r="H115" s="1"/>
    </row>
    <row r="116" spans="1:15" s="2" customFormat="1" x14ac:dyDescent="0.2">
      <c r="A116" s="24"/>
      <c r="B116" s="1"/>
      <c r="C116" s="14"/>
      <c r="D116" s="56"/>
      <c r="E116" s="13"/>
      <c r="G116" s="1"/>
      <c r="H116" s="1"/>
    </row>
    <row r="117" spans="1:15" s="2" customFormat="1" x14ac:dyDescent="0.2">
      <c r="A117" s="24"/>
      <c r="B117" s="1"/>
      <c r="C117" s="218" t="s">
        <v>77</v>
      </c>
      <c r="D117" s="219"/>
      <c r="E117" s="219"/>
      <c r="F117" s="220"/>
      <c r="I117" s="2" t="s">
        <v>396</v>
      </c>
    </row>
    <row r="118" spans="1:15" s="2" customFormat="1" x14ac:dyDescent="0.2">
      <c r="A118" s="24"/>
      <c r="B118" s="1"/>
      <c r="C118" s="50"/>
      <c r="D118" s="57" t="s">
        <v>78</v>
      </c>
      <c r="E118" s="58" t="s">
        <v>79</v>
      </c>
      <c r="F118" s="57" t="s">
        <v>72</v>
      </c>
      <c r="I118" s="2" t="s">
        <v>396</v>
      </c>
    </row>
    <row r="119" spans="1:15" s="2" customFormat="1" x14ac:dyDescent="0.2">
      <c r="A119" s="24"/>
      <c r="B119" s="1"/>
      <c r="C119" s="59" t="str">
        <f>"01-12-2023 to "&amp;TEXT(A5-2,"dd-mm-yyyy")</f>
        <v>01-12-2023 to 26-12-2023</v>
      </c>
      <c r="D119" s="60">
        <v>1949.55</v>
      </c>
      <c r="E119" s="60">
        <v>598.29999999999995</v>
      </c>
      <c r="F119" s="61">
        <f>SUM(D119:E119)</f>
        <v>2547.85</v>
      </c>
    </row>
    <row r="120" spans="1:15" s="2" customFormat="1" x14ac:dyDescent="0.2">
      <c r="A120" s="24"/>
      <c r="B120" s="1"/>
      <c r="C120" s="62" t="str">
        <f>TEXT(A5-1,"dd-mm-yyyy")</f>
        <v>27-12-2023</v>
      </c>
      <c r="D120" s="60">
        <f>16.99+61</f>
        <v>77.989999999999995</v>
      </c>
      <c r="E120" s="60">
        <v>19.96</v>
      </c>
      <c r="F120" s="61">
        <f>SUM(D120:E120)</f>
        <v>97.949999999999989</v>
      </c>
      <c r="G120" s="1"/>
      <c r="H120" s="1"/>
      <c r="I120" s="53"/>
    </row>
    <row r="121" spans="1:15" s="2" customFormat="1" ht="13.5" thickBot="1" x14ac:dyDescent="0.25">
      <c r="A121" s="24"/>
      <c r="B121" s="1"/>
      <c r="C121" s="63" t="str">
        <f>"01-12-2023 to "&amp;TEXT(A5-1,"dd-mm-yyyy")</f>
        <v>01-12-2023 to 27-12-2023</v>
      </c>
      <c r="D121" s="64">
        <f>SUM(D119:D120)</f>
        <v>2027.54</v>
      </c>
      <c r="E121" s="64">
        <f>SUM(E119:E120)</f>
        <v>618.26</v>
      </c>
      <c r="F121" s="64">
        <f>SUM(F119:F120)</f>
        <v>2645.7999999999997</v>
      </c>
      <c r="G121" s="1"/>
      <c r="H121" s="1"/>
      <c r="I121" s="53"/>
    </row>
    <row r="122" spans="1:15" s="2" customFormat="1" ht="13.5" thickTop="1" x14ac:dyDescent="0.2">
      <c r="A122" s="24"/>
      <c r="B122" s="1"/>
      <c r="C122" s="62"/>
      <c r="D122" s="65"/>
      <c r="E122" s="66"/>
      <c r="F122" s="67"/>
      <c r="M122" s="1"/>
      <c r="N122" s="1"/>
    </row>
    <row r="123" spans="1:15" s="2" customFormat="1" x14ac:dyDescent="0.2">
      <c r="A123" s="24"/>
      <c r="B123" s="1"/>
      <c r="C123" s="62" t="str">
        <f>"01-04-2023 to " &amp;C120</f>
        <v>01-04-2023 to 27-12-2023</v>
      </c>
      <c r="D123" s="68">
        <f>+D121+32234.22</f>
        <v>34261.760000000002</v>
      </c>
      <c r="E123" s="68">
        <f>+E121+3134.59</f>
        <v>3752.8500000000004</v>
      </c>
      <c r="F123" s="68">
        <f>+F121+35368.81</f>
        <v>38014.61</v>
      </c>
      <c r="G123" s="1"/>
      <c r="H123" s="1"/>
      <c r="M123" s="1"/>
      <c r="N123" s="1"/>
    </row>
    <row r="124" spans="1:15" s="2" customFormat="1" x14ac:dyDescent="0.2">
      <c r="A124" s="24"/>
      <c r="B124" s="1"/>
      <c r="C124" s="52"/>
      <c r="D124" s="85"/>
      <c r="E124" s="53"/>
      <c r="F124" s="53"/>
      <c r="G124" s="1"/>
      <c r="H124" s="1"/>
      <c r="M124" s="1"/>
      <c r="N124" s="1"/>
    </row>
    <row r="125" spans="1:15" s="2" customFormat="1" x14ac:dyDescent="0.2">
      <c r="A125" s="24"/>
      <c r="B125" s="1"/>
      <c r="C125" s="52"/>
      <c r="D125" s="85"/>
      <c r="E125" s="53"/>
      <c r="F125" s="53"/>
      <c r="G125" s="1"/>
      <c r="H125" s="1"/>
      <c r="M125" s="1"/>
      <c r="N125" s="1"/>
    </row>
    <row r="126" spans="1:15" s="2" customFormat="1" x14ac:dyDescent="0.2">
      <c r="A126" s="24"/>
      <c r="B126" s="1"/>
      <c r="C126" s="52"/>
      <c r="D126" s="85"/>
      <c r="E126" s="53"/>
      <c r="F126" s="53"/>
      <c r="G126" s="1"/>
      <c r="H126" s="1"/>
      <c r="M126" s="1"/>
      <c r="N126" s="1"/>
    </row>
    <row r="127" spans="1:15" s="2" customFormat="1" x14ac:dyDescent="0.2">
      <c r="A127" s="24"/>
      <c r="B127" s="1"/>
      <c r="C127" s="52"/>
      <c r="D127" s="85"/>
      <c r="E127" s="53"/>
      <c r="F127" s="53"/>
      <c r="G127" s="1"/>
      <c r="H127" s="1"/>
      <c r="M127" s="1"/>
      <c r="N127" s="1"/>
    </row>
    <row r="128" spans="1:15" s="2" customFormat="1" x14ac:dyDescent="0.2">
      <c r="A128" s="24"/>
      <c r="B128" s="1"/>
      <c r="C128" s="14"/>
      <c r="D128" s="25">
        <f>SUM(D125:D127)</f>
        <v>0</v>
      </c>
      <c r="E128" s="2">
        <f>SUM(E125:E127)</f>
        <v>0</v>
      </c>
      <c r="G128" s="1"/>
      <c r="H128" s="1"/>
      <c r="M128" s="1"/>
      <c r="N128" s="1"/>
    </row>
    <row r="129" spans="1:14" s="2" customFormat="1" x14ac:dyDescent="0.2">
      <c r="A129" s="24"/>
      <c r="B129" s="1"/>
      <c r="C129" s="14"/>
      <c r="D129" s="25"/>
      <c r="G129" s="1"/>
      <c r="H129" s="1"/>
      <c r="M129" s="1"/>
      <c r="N129" s="1"/>
    </row>
    <row r="130" spans="1:14" s="2" customFormat="1" x14ac:dyDescent="0.2">
      <c r="A130" s="24"/>
      <c r="B130" s="1"/>
      <c r="C130" s="14"/>
      <c r="D130" s="25"/>
      <c r="G130" s="1"/>
      <c r="H130" s="1"/>
      <c r="M130" s="1"/>
      <c r="N130" s="1"/>
    </row>
    <row r="131" spans="1:14" s="2" customFormat="1" x14ac:dyDescent="0.2">
      <c r="A131" s="24"/>
      <c r="B131" s="1"/>
      <c r="C131" s="14"/>
      <c r="D131" s="25"/>
      <c r="G131" s="1"/>
      <c r="H131" s="1"/>
      <c r="M131" s="1"/>
      <c r="N131" s="1"/>
    </row>
    <row r="132" spans="1:14" s="2" customFormat="1" x14ac:dyDescent="0.2">
      <c r="A132" s="24"/>
      <c r="B132" s="1"/>
      <c r="C132" s="14"/>
      <c r="D132" s="25"/>
      <c r="G132" s="1"/>
      <c r="H132" s="1"/>
      <c r="M132" s="1"/>
      <c r="N132" s="1"/>
    </row>
    <row r="133" spans="1:14" s="2" customFormat="1" x14ac:dyDescent="0.2">
      <c r="A133" s="24"/>
      <c r="B133" s="1"/>
      <c r="C133" s="14"/>
      <c r="D133" s="25"/>
      <c r="G133" s="1"/>
      <c r="H133" s="1"/>
      <c r="M133" s="1"/>
      <c r="N133" s="1"/>
    </row>
    <row r="134" spans="1:14" s="2" customFormat="1" x14ac:dyDescent="0.2">
      <c r="A134" s="24"/>
      <c r="B134" s="1"/>
      <c r="C134" s="14"/>
      <c r="D134" s="25"/>
      <c r="G134" s="1"/>
      <c r="H134" s="1"/>
      <c r="M134" s="1"/>
      <c r="N134" s="1"/>
    </row>
    <row r="135" spans="1:14" s="2" customFormat="1" x14ac:dyDescent="0.2">
      <c r="A135" s="24"/>
      <c r="B135" s="1"/>
      <c r="C135" s="14"/>
      <c r="D135" s="25"/>
      <c r="G135" s="1"/>
      <c r="H135" s="1"/>
      <c r="M135" s="1"/>
      <c r="N135" s="1"/>
    </row>
    <row r="136" spans="1:14" s="2" customFormat="1" x14ac:dyDescent="0.2">
      <c r="A136" s="24"/>
      <c r="B136" s="1"/>
      <c r="C136" s="14"/>
      <c r="D136" s="25"/>
      <c r="G136" s="1"/>
      <c r="H136" s="1"/>
      <c r="M136" s="1"/>
      <c r="N136" s="1"/>
    </row>
    <row r="137" spans="1:14" s="2" customFormat="1" x14ac:dyDescent="0.2">
      <c r="A137" s="24"/>
      <c r="B137" s="1"/>
      <c r="C137" s="14"/>
      <c r="D137" s="25"/>
      <c r="G137" s="1"/>
      <c r="H137" s="1"/>
      <c r="M137" s="1"/>
      <c r="N137" s="1"/>
    </row>
    <row r="138" spans="1:14" s="2" customFormat="1" x14ac:dyDescent="0.2">
      <c r="A138" s="24"/>
      <c r="B138" s="1"/>
      <c r="C138" s="14"/>
      <c r="D138" s="25"/>
      <c r="G138" s="1"/>
      <c r="H138" s="1"/>
      <c r="M138" s="1"/>
      <c r="N138" s="1"/>
    </row>
    <row r="139" spans="1:14" s="2" customFormat="1" x14ac:dyDescent="0.2">
      <c r="A139" s="24"/>
      <c r="B139" s="1"/>
      <c r="C139" s="14"/>
      <c r="D139" s="25"/>
      <c r="G139" s="1"/>
      <c r="H139" s="1"/>
      <c r="M139" s="1"/>
      <c r="N139" s="1"/>
    </row>
    <row r="140" spans="1:14" s="2" customFormat="1" x14ac:dyDescent="0.2">
      <c r="A140" s="24"/>
      <c r="B140" s="1"/>
      <c r="C140" s="14"/>
      <c r="D140" s="25"/>
      <c r="G140" s="1"/>
      <c r="H140" s="1"/>
      <c r="M140" s="1"/>
      <c r="N140" s="1"/>
    </row>
    <row r="141" spans="1:14" s="2" customFormat="1" x14ac:dyDescent="0.2">
      <c r="A141" s="24"/>
      <c r="B141" s="1"/>
      <c r="C141" s="14"/>
      <c r="D141" s="25"/>
      <c r="G141" s="1"/>
      <c r="H141" s="1"/>
      <c r="M141" s="1"/>
      <c r="N141" s="1"/>
    </row>
    <row r="142" spans="1:14" s="2" customFormat="1" x14ac:dyDescent="0.2">
      <c r="A142" s="24"/>
      <c r="B142" s="1"/>
      <c r="C142" s="14"/>
      <c r="D142" s="25"/>
      <c r="G142" s="1"/>
      <c r="H142" s="1"/>
      <c r="J142" s="1"/>
      <c r="K142" s="1"/>
      <c r="L142" s="1"/>
      <c r="M142" s="1"/>
      <c r="N142" s="1"/>
    </row>
    <row r="143" spans="1:14" s="2" customFormat="1" x14ac:dyDescent="0.2">
      <c r="A143" s="24"/>
      <c r="B143" s="1"/>
      <c r="C143" s="14"/>
      <c r="D143" s="25"/>
      <c r="G143" s="1"/>
      <c r="H143" s="1"/>
    </row>
    <row r="144" spans="1:14" s="2" customFormat="1" x14ac:dyDescent="0.2">
      <c r="A144" s="24"/>
      <c r="B144" s="1"/>
      <c r="C144" s="14"/>
      <c r="D144" s="25"/>
      <c r="G144" s="1"/>
      <c r="H144" s="1"/>
      <c r="J144" s="1"/>
      <c r="K144" s="1"/>
      <c r="L144" s="1"/>
      <c r="M144" s="1"/>
      <c r="N144" s="1"/>
    </row>
    <row r="145" spans="1:15" s="2" customFormat="1" x14ac:dyDescent="0.2">
      <c r="A145" s="24"/>
      <c r="B145" s="1"/>
      <c r="C145" s="14"/>
      <c r="D145" s="25"/>
      <c r="G145" s="54"/>
      <c r="H145" s="54"/>
      <c r="J145" s="1"/>
      <c r="K145" s="1"/>
      <c r="L145" s="1"/>
      <c r="M145" s="1"/>
      <c r="N145" s="1"/>
    </row>
    <row r="146" spans="1:15" s="2" customFormat="1" x14ac:dyDescent="0.2">
      <c r="A146" s="24"/>
      <c r="B146" s="1"/>
      <c r="C146" s="14"/>
      <c r="D146" s="25"/>
      <c r="G146" s="54"/>
      <c r="H146" s="54"/>
      <c r="J146" s="1"/>
      <c r="K146" s="1"/>
      <c r="L146" s="1"/>
      <c r="M146" s="1"/>
      <c r="N146" s="1"/>
    </row>
    <row r="147" spans="1:15" s="2" customFormat="1" x14ac:dyDescent="0.2">
      <c r="A147" s="24"/>
      <c r="B147" s="1"/>
      <c r="C147" s="14"/>
      <c r="D147" s="25"/>
      <c r="G147" s="54"/>
      <c r="H147" s="54"/>
      <c r="J147" s="1"/>
      <c r="K147" s="1"/>
      <c r="L147" s="1"/>
      <c r="M147" s="1"/>
      <c r="N147" s="1"/>
    </row>
    <row r="148" spans="1:15" s="2" customFormat="1" x14ac:dyDescent="0.2">
      <c r="A148" s="24"/>
      <c r="B148" s="1"/>
      <c r="C148" s="14"/>
      <c r="D148" s="25"/>
      <c r="G148" s="54"/>
      <c r="H148" s="54"/>
      <c r="I148" s="2" t="s">
        <v>396</v>
      </c>
      <c r="J148" s="1"/>
      <c r="K148" s="1"/>
      <c r="L148" s="1"/>
      <c r="M148" s="1"/>
      <c r="N148" s="1"/>
      <c r="O148" s="1"/>
    </row>
    <row r="149" spans="1:15" s="2" customFormat="1" x14ac:dyDescent="0.2">
      <c r="A149" s="24"/>
      <c r="B149" s="1"/>
      <c r="C149" s="14"/>
      <c r="D149" s="25"/>
      <c r="G149" s="54"/>
      <c r="H149" s="54"/>
      <c r="I149" s="53"/>
    </row>
    <row r="150" spans="1:15" s="2" customFormat="1" x14ac:dyDescent="0.2">
      <c r="A150" s="24"/>
      <c r="B150" s="1"/>
      <c r="C150" s="14"/>
      <c r="D150" s="25"/>
      <c r="G150" s="54"/>
      <c r="H150" s="54"/>
      <c r="I150" s="53" t="s">
        <v>396</v>
      </c>
      <c r="J150" s="1"/>
      <c r="K150" s="1"/>
      <c r="L150" s="1"/>
      <c r="M150" s="1"/>
      <c r="N150" s="1"/>
      <c r="O150" s="1"/>
    </row>
    <row r="151" spans="1:15" x14ac:dyDescent="0.2">
      <c r="G151" s="54"/>
      <c r="H151" s="54"/>
      <c r="I151" s="53" t="s">
        <v>396</v>
      </c>
      <c r="K151" s="42"/>
    </row>
    <row r="152" spans="1:15" s="2" customFormat="1" x14ac:dyDescent="0.2">
      <c r="A152" s="24"/>
      <c r="B152" s="1"/>
      <c r="C152" s="14"/>
      <c r="D152" s="25"/>
      <c r="G152" s="54"/>
      <c r="H152" s="54"/>
      <c r="I152" s="53"/>
      <c r="J152" s="101"/>
      <c r="K152" s="1"/>
      <c r="L152" s="1"/>
      <c r="M152" s="1"/>
      <c r="N152" s="1"/>
      <c r="O152" s="1"/>
    </row>
    <row r="153" spans="1:15" x14ac:dyDescent="0.2">
      <c r="G153" s="54"/>
      <c r="H153" s="54"/>
      <c r="I153" s="53"/>
    </row>
    <row r="154" spans="1:15" x14ac:dyDescent="0.2">
      <c r="G154" s="54"/>
      <c r="H154" s="54"/>
      <c r="I154" s="53"/>
    </row>
    <row r="155" spans="1:15" x14ac:dyDescent="0.2">
      <c r="G155" s="54"/>
      <c r="H155" s="54"/>
      <c r="I155" s="53"/>
    </row>
  </sheetData>
  <sheetProtection insertRows="0"/>
  <mergeCells count="7">
    <mergeCell ref="K70:L70"/>
    <mergeCell ref="A77:D77"/>
    <mergeCell ref="C117:F117"/>
    <mergeCell ref="A1:H1"/>
    <mergeCell ref="A3:F3"/>
    <mergeCell ref="A9:F9"/>
    <mergeCell ref="A20:F20"/>
  </mergeCells>
  <conditionalFormatting sqref="H74:H75">
    <cfRule type="cellIs" dxfId="153" priority="1" operator="lessThan">
      <formula>0</formula>
    </cfRule>
  </conditionalFormatting>
  <conditionalFormatting sqref="C22">
    <cfRule type="duplicateValues" dxfId="152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600-000000000000}">
  <sheetPr codeName="Sheet510">
    <pageSetUpPr fitToPage="1"/>
  </sheetPr>
  <dimension ref="A1:O166"/>
  <sheetViews>
    <sheetView topLeftCell="A40" zoomScaleNormal="100" workbookViewId="0">
      <selection activeCell="E59" sqref="E59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12.85546875" style="1" customWidth="1"/>
    <col min="9" max="9" width="24.85546875" style="2" bestFit="1" customWidth="1"/>
    <col min="10" max="10" width="21.5703125" style="1" bestFit="1" customWidth="1"/>
    <col min="11" max="11" width="16.85546875" style="1" bestFit="1" customWidth="1"/>
    <col min="12" max="12" width="17.28515625" style="1" bestFit="1" customWidth="1"/>
    <col min="13" max="13" width="13.5703125" style="1" bestFit="1" customWidth="1"/>
    <col min="14" max="14" width="17.42578125" style="1" bestFit="1" customWidth="1"/>
    <col min="15" max="15" width="12.85546875" style="1" bestFit="1" customWidth="1"/>
    <col min="16" max="17" width="9.140625" style="1"/>
    <col min="18" max="18" width="15.5703125" style="1" bestFit="1" customWidth="1"/>
    <col min="19" max="16384" width="9.140625" style="1"/>
  </cols>
  <sheetData>
    <row r="1" spans="1:12" ht="20.25" customHeight="1" x14ac:dyDescent="0.4">
      <c r="A1" s="212" t="s">
        <v>1918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2" ht="12.75" customHeight="1" x14ac:dyDescent="0.4">
      <c r="I2" s="112"/>
      <c r="J2" s="112"/>
    </row>
    <row r="3" spans="1:12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2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2" s="2" customFormat="1" ht="14.25" customHeight="1" x14ac:dyDescent="0.4">
      <c r="A5" s="89">
        <v>45289</v>
      </c>
      <c r="B5" s="9" t="s">
        <v>6</v>
      </c>
      <c r="C5" s="10" t="s">
        <v>7</v>
      </c>
      <c r="D5" s="11"/>
      <c r="E5" s="12">
        <v>670047.23000000045</v>
      </c>
      <c r="F5" s="12"/>
      <c r="G5" s="1"/>
      <c r="H5" s="1"/>
      <c r="I5" s="112"/>
      <c r="J5" s="112"/>
    </row>
    <row r="6" spans="1:12" s="2" customFormat="1" ht="12.75" customHeight="1" x14ac:dyDescent="0.2">
      <c r="D6" s="15" t="s">
        <v>8</v>
      </c>
      <c r="E6" s="16">
        <f>SUM(E5:E5)</f>
        <v>670047.23000000045</v>
      </c>
      <c r="F6" s="16">
        <f>F5</f>
        <v>0</v>
      </c>
      <c r="G6" s="1"/>
      <c r="H6" s="1"/>
      <c r="I6" s="13" t="s">
        <v>1582</v>
      </c>
      <c r="J6" s="13" t="s">
        <v>1583</v>
      </c>
    </row>
    <row r="7" spans="1:12" s="2" customFormat="1" ht="12.75" customHeight="1" x14ac:dyDescent="0.2">
      <c r="A7" s="17"/>
      <c r="B7" s="18"/>
      <c r="C7" s="19" t="s">
        <v>9</v>
      </c>
      <c r="D7" s="20"/>
      <c r="E7" s="21">
        <f>+E6-F6</f>
        <v>670047.23000000045</v>
      </c>
      <c r="F7" s="22"/>
      <c r="G7" s="23"/>
      <c r="H7" s="23"/>
      <c r="I7" s="2">
        <v>0</v>
      </c>
      <c r="J7" s="2">
        <v>1121756.82</v>
      </c>
      <c r="K7" s="176">
        <f>I7-J7</f>
        <v>-1121756.82</v>
      </c>
    </row>
    <row r="8" spans="1:12" ht="12.75" customHeight="1" x14ac:dyDescent="0.4">
      <c r="I8" s="112"/>
      <c r="J8" s="112"/>
    </row>
    <row r="9" spans="1:12" ht="18" customHeight="1" x14ac:dyDescent="0.4">
      <c r="A9" s="213" t="s">
        <v>1037</v>
      </c>
      <c r="B9" s="213"/>
      <c r="C9" s="213"/>
      <c r="D9" s="213"/>
      <c r="E9" s="213"/>
      <c r="F9" s="213"/>
      <c r="I9" s="112"/>
      <c r="J9" s="169">
        <f>90000000-60000000</f>
        <v>30000000</v>
      </c>
      <c r="K9" s="169" t="s">
        <v>1508</v>
      </c>
    </row>
    <row r="10" spans="1:12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I10" s="112"/>
      <c r="J10" s="169">
        <v>24915648.649999999</v>
      </c>
      <c r="K10" s="169" t="s">
        <v>1509</v>
      </c>
      <c r="L10" s="124"/>
    </row>
    <row r="11" spans="1:12" s="2" customFormat="1" ht="14.25" customHeight="1" x14ac:dyDescent="0.2">
      <c r="A11" s="89">
        <v>45289</v>
      </c>
      <c r="B11" s="9" t="s">
        <v>6</v>
      </c>
      <c r="C11" s="10" t="s">
        <v>7</v>
      </c>
      <c r="D11" s="11"/>
      <c r="F11" s="12">
        <v>26140252.400000002</v>
      </c>
      <c r="G11" s="1"/>
      <c r="H11" s="1"/>
      <c r="I11" s="130" t="s">
        <v>396</v>
      </c>
      <c r="J11" s="169">
        <f>+J9-J10</f>
        <v>5084351.3500000015</v>
      </c>
      <c r="K11" s="169" t="s">
        <v>712</v>
      </c>
      <c r="L11" s="165" t="s">
        <v>1512</v>
      </c>
    </row>
    <row r="12" spans="1:12" s="2" customFormat="1" ht="14.25" customHeight="1" x14ac:dyDescent="0.2">
      <c r="A12" s="89">
        <v>45289</v>
      </c>
      <c r="B12" s="128" t="s">
        <v>6</v>
      </c>
      <c r="C12" s="76" t="s">
        <v>21</v>
      </c>
      <c r="D12" s="11" t="s">
        <v>13</v>
      </c>
      <c r="E12" s="31">
        <v>1200000</v>
      </c>
      <c r="F12" s="31"/>
      <c r="G12" s="1"/>
      <c r="H12" s="1"/>
      <c r="I12" s="130"/>
      <c r="J12" s="169"/>
      <c r="K12" s="169"/>
      <c r="L12" s="165"/>
    </row>
    <row r="13" spans="1:12" s="2" customFormat="1" ht="14.25" customHeight="1" x14ac:dyDescent="0.2">
      <c r="A13" s="89">
        <v>45289</v>
      </c>
      <c r="B13" s="128" t="s">
        <v>6</v>
      </c>
      <c r="C13" s="76" t="s">
        <v>1137</v>
      </c>
      <c r="D13" s="11" t="s">
        <v>13</v>
      </c>
      <c r="E13" s="31">
        <v>24648.75</v>
      </c>
      <c r="F13" s="31"/>
      <c r="G13" s="1"/>
      <c r="H13" s="1"/>
      <c r="I13" s="130"/>
      <c r="J13" s="169"/>
      <c r="K13" s="169"/>
      <c r="L13" s="165"/>
    </row>
    <row r="14" spans="1:12" s="2" customFormat="1" ht="14.25" customHeight="1" x14ac:dyDescent="0.2">
      <c r="A14" s="89">
        <v>45289</v>
      </c>
      <c r="B14" s="128" t="s">
        <v>11</v>
      </c>
      <c r="C14" s="76" t="s">
        <v>156</v>
      </c>
      <c r="D14" s="11" t="s">
        <v>29</v>
      </c>
      <c r="E14" s="31"/>
      <c r="F14" s="31">
        <v>45</v>
      </c>
      <c r="G14" s="1"/>
      <c r="H14" s="1"/>
      <c r="I14" s="130"/>
      <c r="J14" s="169"/>
      <c r="K14" s="169"/>
      <c r="L14" s="165"/>
    </row>
    <row r="15" spans="1:12" s="2" customFormat="1" ht="14.25" customHeight="1" x14ac:dyDescent="0.2">
      <c r="A15" s="89">
        <v>45289</v>
      </c>
      <c r="B15" s="128" t="s">
        <v>11</v>
      </c>
      <c r="C15" s="76" t="s">
        <v>34</v>
      </c>
      <c r="D15" s="11" t="s">
        <v>29</v>
      </c>
      <c r="E15" s="31"/>
      <c r="F15" s="31">
        <v>35000</v>
      </c>
      <c r="G15" s="1"/>
      <c r="H15" s="1"/>
      <c r="I15" s="130"/>
      <c r="J15" s="169"/>
      <c r="K15" s="169"/>
      <c r="L15" s="165"/>
    </row>
    <row r="16" spans="1:12" s="2" customFormat="1" ht="14.25" customHeight="1" x14ac:dyDescent="0.2">
      <c r="A16" s="89">
        <v>45289</v>
      </c>
      <c r="B16" s="128" t="s">
        <v>11</v>
      </c>
      <c r="C16" s="76" t="s">
        <v>937</v>
      </c>
      <c r="D16" s="11" t="s">
        <v>29</v>
      </c>
      <c r="E16" s="31"/>
      <c r="F16" s="31">
        <v>4788</v>
      </c>
      <c r="G16" s="1"/>
      <c r="H16" s="1"/>
      <c r="I16" s="130"/>
      <c r="J16" s="169"/>
      <c r="K16" s="169"/>
      <c r="L16" s="165"/>
    </row>
    <row r="17" spans="1:14" s="2" customFormat="1" ht="14.25" customHeight="1" x14ac:dyDescent="0.2">
      <c r="A17" s="89">
        <v>45289</v>
      </c>
      <c r="B17" s="128" t="s">
        <v>11</v>
      </c>
      <c r="C17" s="76" t="s">
        <v>98</v>
      </c>
      <c r="D17" s="11" t="s">
        <v>29</v>
      </c>
      <c r="E17" s="31"/>
      <c r="F17" s="31">
        <v>8740</v>
      </c>
      <c r="G17" s="1"/>
      <c r="H17" s="1"/>
      <c r="I17" s="130"/>
      <c r="J17" s="169"/>
      <c r="K17" s="169"/>
      <c r="L17" s="165"/>
    </row>
    <row r="18" spans="1:14" s="2" customFormat="1" ht="14.25" customHeight="1" x14ac:dyDescent="0.2">
      <c r="A18" s="89">
        <v>45289</v>
      </c>
      <c r="B18" s="128" t="s">
        <v>11</v>
      </c>
      <c r="C18" s="76" t="s">
        <v>521</v>
      </c>
      <c r="D18" s="11" t="s">
        <v>29</v>
      </c>
      <c r="E18" s="31"/>
      <c r="F18" s="31">
        <v>59160</v>
      </c>
      <c r="G18" s="1"/>
      <c r="H18" s="1"/>
      <c r="I18" s="130"/>
      <c r="J18" s="169"/>
      <c r="K18" s="169"/>
      <c r="L18" s="165"/>
    </row>
    <row r="19" spans="1:14" s="2" customFormat="1" ht="14.25" customHeight="1" x14ac:dyDescent="0.2">
      <c r="A19" s="89">
        <v>45289</v>
      </c>
      <c r="B19" s="128" t="s">
        <v>11</v>
      </c>
      <c r="C19" s="76" t="s">
        <v>1919</v>
      </c>
      <c r="D19" s="11" t="s">
        <v>29</v>
      </c>
      <c r="E19" s="31"/>
      <c r="F19" s="31">
        <v>28580.14</v>
      </c>
      <c r="G19" s="1"/>
      <c r="H19" s="1"/>
      <c r="I19" s="130"/>
      <c r="J19" s="169"/>
      <c r="K19" s="169"/>
      <c r="L19" s="165"/>
    </row>
    <row r="20" spans="1:14" s="2" customFormat="1" ht="14.25" customHeight="1" x14ac:dyDescent="0.2">
      <c r="A20" s="89">
        <v>45289</v>
      </c>
      <c r="B20" s="128" t="s">
        <v>11</v>
      </c>
      <c r="C20" s="76" t="s">
        <v>1919</v>
      </c>
      <c r="D20" s="11" t="s">
        <v>29</v>
      </c>
      <c r="E20" s="31"/>
      <c r="F20" s="31">
        <v>28580.14</v>
      </c>
      <c r="G20" s="1"/>
      <c r="H20" s="1"/>
      <c r="I20" s="130"/>
      <c r="J20" s="169"/>
      <c r="K20" s="169"/>
      <c r="L20" s="165"/>
    </row>
    <row r="21" spans="1:14" s="2" customFormat="1" ht="14.25" customHeight="1" x14ac:dyDescent="0.2">
      <c r="A21" s="89">
        <v>45289</v>
      </c>
      <c r="B21" s="128" t="s">
        <v>11</v>
      </c>
      <c r="C21" s="76" t="s">
        <v>1919</v>
      </c>
      <c r="D21" s="11" t="s">
        <v>29</v>
      </c>
      <c r="E21" s="31"/>
      <c r="F21" s="31">
        <v>80313.7</v>
      </c>
      <c r="G21" s="1"/>
      <c r="H21" s="1"/>
      <c r="I21" s="130"/>
      <c r="J21" s="169"/>
      <c r="K21" s="169"/>
      <c r="L21" s="165"/>
    </row>
    <row r="22" spans="1:14" s="2" customFormat="1" ht="14.25" customHeight="1" x14ac:dyDescent="0.2">
      <c r="A22" s="89">
        <v>45289</v>
      </c>
      <c r="B22" s="128" t="s">
        <v>11</v>
      </c>
      <c r="C22" s="76" t="s">
        <v>1919</v>
      </c>
      <c r="D22" s="11" t="s">
        <v>29</v>
      </c>
      <c r="E22" s="31"/>
      <c r="F22" s="31">
        <v>22947.84</v>
      </c>
      <c r="G22" s="1"/>
      <c r="H22" s="1"/>
      <c r="I22" s="130"/>
      <c r="J22" s="169"/>
      <c r="K22" s="169"/>
      <c r="L22" s="165"/>
    </row>
    <row r="23" spans="1:14" s="2" customFormat="1" ht="14.25" customHeight="1" x14ac:dyDescent="0.2">
      <c r="A23" s="89">
        <v>45289</v>
      </c>
      <c r="B23" s="128" t="s">
        <v>11</v>
      </c>
      <c r="C23" s="76" t="s">
        <v>798</v>
      </c>
      <c r="D23" s="11" t="s">
        <v>29</v>
      </c>
      <c r="E23" s="31"/>
      <c r="F23" s="31">
        <v>326477</v>
      </c>
      <c r="G23" s="1"/>
      <c r="H23" s="1"/>
      <c r="I23" s="130"/>
      <c r="J23" s="169"/>
      <c r="K23" s="169"/>
      <c r="L23" s="165"/>
    </row>
    <row r="24" spans="1:14" s="2" customFormat="1" ht="14.25" customHeight="1" x14ac:dyDescent="0.2">
      <c r="A24" s="89">
        <v>45289</v>
      </c>
      <c r="B24" s="128" t="s">
        <v>11</v>
      </c>
      <c r="C24" s="76" t="s">
        <v>45</v>
      </c>
      <c r="D24" s="11" t="s">
        <v>29</v>
      </c>
      <c r="E24" s="31"/>
      <c r="F24" s="31">
        <v>258832</v>
      </c>
      <c r="G24" s="1"/>
      <c r="H24" s="1"/>
      <c r="I24" s="130"/>
      <c r="J24" s="169"/>
      <c r="K24" s="169"/>
      <c r="L24" s="165"/>
    </row>
    <row r="25" spans="1:14" s="2" customFormat="1" ht="14.25" customHeight="1" x14ac:dyDescent="0.2">
      <c r="A25" s="89">
        <v>45289</v>
      </c>
      <c r="B25" s="128" t="s">
        <v>11</v>
      </c>
      <c r="C25" s="76" t="s">
        <v>292</v>
      </c>
      <c r="D25" s="11" t="s">
        <v>29</v>
      </c>
      <c r="E25" s="31"/>
      <c r="F25" s="31">
        <v>2400</v>
      </c>
      <c r="G25" s="1"/>
      <c r="H25" s="1"/>
      <c r="I25" s="130"/>
      <c r="J25" s="169"/>
      <c r="K25" s="169"/>
      <c r="L25" s="165"/>
    </row>
    <row r="26" spans="1:14" s="2" customFormat="1" ht="14.25" customHeight="1" x14ac:dyDescent="0.2">
      <c r="A26" s="89">
        <v>45289</v>
      </c>
      <c r="B26" s="128" t="s">
        <v>11</v>
      </c>
      <c r="C26" s="76" t="s">
        <v>1056</v>
      </c>
      <c r="D26" s="11" t="s">
        <v>29</v>
      </c>
      <c r="E26" s="31"/>
      <c r="F26" s="31">
        <v>37500</v>
      </c>
      <c r="G26" s="1"/>
      <c r="H26" s="1"/>
      <c r="I26" s="130"/>
      <c r="J26" s="169"/>
      <c r="K26" s="169"/>
      <c r="L26" s="165"/>
    </row>
    <row r="27" spans="1:14" s="2" customFormat="1" ht="14.25" customHeight="1" x14ac:dyDescent="0.2">
      <c r="A27" s="89">
        <v>45289</v>
      </c>
      <c r="B27" s="128" t="s">
        <v>11</v>
      </c>
      <c r="C27" s="76" t="s">
        <v>195</v>
      </c>
      <c r="D27" s="11" t="s">
        <v>29</v>
      </c>
      <c r="E27" s="31"/>
      <c r="F27" s="31">
        <v>40000</v>
      </c>
      <c r="G27" s="1"/>
      <c r="H27" s="1"/>
      <c r="I27" s="130"/>
      <c r="J27" s="169"/>
      <c r="K27" s="169"/>
      <c r="L27" s="165"/>
    </row>
    <row r="28" spans="1:14" s="2" customFormat="1" ht="14.25" customHeight="1" x14ac:dyDescent="0.2">
      <c r="A28" s="89">
        <v>45289</v>
      </c>
      <c r="B28" s="128" t="s">
        <v>11</v>
      </c>
      <c r="C28" s="76" t="s">
        <v>1920</v>
      </c>
      <c r="D28" s="11" t="s">
        <v>29</v>
      </c>
      <c r="E28" s="31"/>
      <c r="F28" s="31">
        <v>35400</v>
      </c>
      <c r="G28" s="1"/>
      <c r="H28" s="1"/>
      <c r="I28" s="130"/>
      <c r="J28" s="169"/>
      <c r="K28" s="169"/>
      <c r="L28" s="165"/>
    </row>
    <row r="29" spans="1:14" s="2" customFormat="1" ht="14.25" customHeight="1" x14ac:dyDescent="0.2">
      <c r="A29" s="89">
        <v>45289</v>
      </c>
      <c r="B29" s="128" t="s">
        <v>11</v>
      </c>
      <c r="C29" s="76" t="s">
        <v>367</v>
      </c>
      <c r="D29" s="11" t="s">
        <v>29</v>
      </c>
      <c r="E29" s="31"/>
      <c r="F29" s="31">
        <v>96465</v>
      </c>
      <c r="G29" s="1"/>
      <c r="H29" s="1"/>
      <c r="I29" s="130"/>
      <c r="J29" s="169"/>
      <c r="K29" s="169"/>
      <c r="L29" s="165"/>
    </row>
    <row r="30" spans="1:14" s="2" customFormat="1" ht="14.25" customHeight="1" x14ac:dyDescent="0.2">
      <c r="A30" s="89">
        <v>45289</v>
      </c>
      <c r="B30" s="128" t="s">
        <v>11</v>
      </c>
      <c r="C30" s="76" t="s">
        <v>823</v>
      </c>
      <c r="D30" s="11" t="s">
        <v>29</v>
      </c>
      <c r="E30" s="31"/>
      <c r="F30" s="31">
        <v>20918</v>
      </c>
      <c r="G30" s="1"/>
      <c r="H30" s="1"/>
      <c r="I30" s="130"/>
      <c r="J30" s="169"/>
      <c r="K30" s="169"/>
      <c r="L30" s="165"/>
    </row>
    <row r="31" spans="1:14" s="2" customFormat="1" ht="14.25" customHeight="1" x14ac:dyDescent="0.2">
      <c r="A31" s="89">
        <v>45289</v>
      </c>
      <c r="B31" s="128" t="s">
        <v>11</v>
      </c>
      <c r="C31" s="76" t="s">
        <v>1772</v>
      </c>
      <c r="D31" s="11" t="s">
        <v>29</v>
      </c>
      <c r="E31" s="31"/>
      <c r="F31" s="31">
        <v>35655</v>
      </c>
      <c r="G31" s="1"/>
      <c r="H31" s="1"/>
      <c r="I31" s="130"/>
      <c r="J31" s="169"/>
      <c r="K31" s="169"/>
      <c r="L31" s="165"/>
    </row>
    <row r="32" spans="1:14" s="2" customFormat="1" ht="14.25" customHeight="1" x14ac:dyDescent="0.2">
      <c r="D32" s="11" t="s">
        <v>8</v>
      </c>
      <c r="E32" s="16">
        <f>SUM(E12:E31)</f>
        <v>1224648.75</v>
      </c>
      <c r="F32" s="16">
        <f>SUM(F11:F31)</f>
        <v>27262054.220000003</v>
      </c>
      <c r="G32" s="1"/>
      <c r="H32" s="1"/>
      <c r="I32" s="143"/>
      <c r="J32" s="130"/>
      <c r="K32" s="143"/>
      <c r="L32" s="143"/>
      <c r="M32" s="143"/>
      <c r="N32" s="143"/>
    </row>
    <row r="33" spans="1:15" s="2" customFormat="1" ht="14.25" customHeight="1" x14ac:dyDescent="0.4">
      <c r="A33" s="17"/>
      <c r="B33" s="18"/>
      <c r="C33" s="96" t="s">
        <v>9</v>
      </c>
      <c r="D33" s="20"/>
      <c r="E33" s="21">
        <f>+F32-E32</f>
        <v>26037405.470000003</v>
      </c>
      <c r="G33" s="1"/>
      <c r="H33" s="1"/>
      <c r="J33" s="112"/>
      <c r="K33" s="153" t="s">
        <v>779</v>
      </c>
    </row>
    <row r="34" spans="1:15" s="2" customFormat="1" ht="14.25" customHeight="1" x14ac:dyDescent="0.2">
      <c r="A34" s="36"/>
      <c r="B34" s="28" t="s">
        <v>66</v>
      </c>
      <c r="C34" s="43" t="s">
        <v>1458</v>
      </c>
      <c r="D34" s="43"/>
      <c r="E34" s="12">
        <f>30000000+60000000</f>
        <v>90000000</v>
      </c>
      <c r="F34" s="22"/>
      <c r="G34" s="1"/>
      <c r="H34" s="1"/>
      <c r="J34" s="40">
        <v>26037405.469999999</v>
      </c>
      <c r="K34" s="154">
        <f>J34-E33</f>
        <v>0</v>
      </c>
    </row>
    <row r="35" spans="1:15" s="2" customFormat="1" ht="14.25" customHeight="1" x14ac:dyDescent="0.25">
      <c r="A35" s="36"/>
      <c r="B35" s="28"/>
      <c r="C35" s="44" t="s">
        <v>1541</v>
      </c>
      <c r="D35" s="43"/>
      <c r="E35" s="7">
        <f>+E33+E34</f>
        <v>116037405.47</v>
      </c>
      <c r="F35" s="22"/>
      <c r="G35" s="1"/>
      <c r="H35" s="1"/>
      <c r="I35" s="13" t="s">
        <v>1582</v>
      </c>
      <c r="J35" s="13" t="s">
        <v>1583</v>
      </c>
    </row>
    <row r="36" spans="1:15" s="2" customFormat="1" ht="14.25" customHeight="1" x14ac:dyDescent="0.25">
      <c r="A36" s="36"/>
      <c r="B36" s="28"/>
      <c r="C36" s="44" t="s">
        <v>1511</v>
      </c>
      <c r="D36" s="43"/>
      <c r="E36" s="38">
        <f>+J11+I7-J7</f>
        <v>3962594.5300000012</v>
      </c>
      <c r="F36" s="22"/>
      <c r="G36" s="1"/>
      <c r="H36" s="1"/>
      <c r="I36" s="2">
        <v>3064919</v>
      </c>
      <c r="J36" s="2">
        <v>5427182</v>
      </c>
      <c r="K36" s="176">
        <f>I36-J36</f>
        <v>-2362263</v>
      </c>
    </row>
    <row r="37" spans="1:15" s="2" customFormat="1" ht="14.25" customHeight="1" x14ac:dyDescent="0.2">
      <c r="A37" s="24"/>
      <c r="B37" s="1"/>
      <c r="C37" s="14"/>
      <c r="D37" s="25"/>
      <c r="G37" s="1"/>
      <c r="H37" s="1"/>
      <c r="J37" s="130"/>
      <c r="K37" s="130"/>
    </row>
    <row r="38" spans="1:15" s="2" customFormat="1" x14ac:dyDescent="0.2">
      <c r="A38" s="214" t="s">
        <v>10</v>
      </c>
      <c r="B38" s="214"/>
      <c r="C38" s="214"/>
      <c r="D38" s="214"/>
      <c r="E38" s="214"/>
      <c r="F38" s="214"/>
      <c r="G38" s="1"/>
      <c r="H38" s="1"/>
      <c r="I38" s="159"/>
      <c r="J38" s="160">
        <f>225000000-75000000-50000000+75000000</f>
        <v>175000000</v>
      </c>
      <c r="K38" s="160" t="s">
        <v>1506</v>
      </c>
      <c r="L38" s="70"/>
    </row>
    <row r="39" spans="1:15" s="2" customFormat="1" x14ac:dyDescent="0.2">
      <c r="A39" s="26" t="s">
        <v>1</v>
      </c>
      <c r="B39" s="27" t="s">
        <v>2</v>
      </c>
      <c r="C39" s="5"/>
      <c r="D39" s="6" t="s">
        <v>3</v>
      </c>
      <c r="E39" s="7" t="s">
        <v>4</v>
      </c>
      <c r="F39" s="7" t="s">
        <v>5</v>
      </c>
      <c r="G39" s="1"/>
      <c r="H39" s="1"/>
      <c r="I39" s="159"/>
      <c r="J39" s="160">
        <v>161055222.09999999</v>
      </c>
      <c r="K39" s="160" t="s">
        <v>1507</v>
      </c>
      <c r="L39" s="70" t="s">
        <v>1512</v>
      </c>
    </row>
    <row r="40" spans="1:15" s="2" customFormat="1" x14ac:dyDescent="0.2">
      <c r="A40" s="89">
        <v>45289</v>
      </c>
      <c r="B40" s="128" t="s">
        <v>11</v>
      </c>
      <c r="C40" s="29" t="s">
        <v>7</v>
      </c>
      <c r="D40" s="25"/>
      <c r="E40" s="31"/>
      <c r="F40" s="2">
        <v>94368684.529999986</v>
      </c>
      <c r="G40" s="23"/>
      <c r="H40" s="23"/>
      <c r="I40" s="159" t="s">
        <v>1505</v>
      </c>
      <c r="J40" s="160">
        <f>+J38-J39</f>
        <v>13944777.900000006</v>
      </c>
      <c r="K40" s="160"/>
      <c r="L40" s="70"/>
    </row>
    <row r="41" spans="1:15" s="2" customFormat="1" x14ac:dyDescent="0.2">
      <c r="A41" s="89">
        <v>45289</v>
      </c>
      <c r="B41" s="128" t="s">
        <v>6</v>
      </c>
      <c r="C41" s="76" t="s">
        <v>598</v>
      </c>
      <c r="D41" s="11" t="s">
        <v>13</v>
      </c>
      <c r="E41" s="31">
        <v>389483</v>
      </c>
      <c r="F41" s="70"/>
      <c r="G41" s="1"/>
      <c r="H41" s="1"/>
      <c r="O41" s="1"/>
    </row>
    <row r="42" spans="1:15" s="2" customFormat="1" x14ac:dyDescent="0.2">
      <c r="A42" s="89">
        <v>45289</v>
      </c>
      <c r="B42" s="128" t="s">
        <v>6</v>
      </c>
      <c r="C42" s="76" t="s">
        <v>1733</v>
      </c>
      <c r="D42" s="11" t="s">
        <v>13</v>
      </c>
      <c r="E42" s="31">
        <v>163690</v>
      </c>
      <c r="F42" s="70"/>
      <c r="G42" s="1"/>
      <c r="H42" s="1"/>
      <c r="O42" s="1"/>
    </row>
    <row r="43" spans="1:15" s="2" customFormat="1" x14ac:dyDescent="0.2">
      <c r="A43" s="89">
        <v>45289</v>
      </c>
      <c r="B43" s="128" t="s">
        <v>6</v>
      </c>
      <c r="C43" s="76" t="s">
        <v>200</v>
      </c>
      <c r="D43" s="11" t="s">
        <v>13</v>
      </c>
      <c r="E43" s="31">
        <v>84430</v>
      </c>
      <c r="F43" s="70"/>
      <c r="G43" s="1"/>
      <c r="H43" s="1"/>
      <c r="O43" s="1"/>
    </row>
    <row r="44" spans="1:15" s="2" customFormat="1" x14ac:dyDescent="0.2">
      <c r="A44" s="89">
        <v>45289</v>
      </c>
      <c r="B44" s="128" t="s">
        <v>6</v>
      </c>
      <c r="C44" s="76" t="s">
        <v>17</v>
      </c>
      <c r="D44" s="11" t="s">
        <v>13</v>
      </c>
      <c r="E44" s="31">
        <v>42169</v>
      </c>
      <c r="F44" s="70"/>
      <c r="G44" s="1"/>
      <c r="H44" s="1"/>
      <c r="O44" s="1"/>
    </row>
    <row r="45" spans="1:15" s="2" customFormat="1" x14ac:dyDescent="0.2">
      <c r="A45" s="89">
        <v>45289</v>
      </c>
      <c r="B45" s="128" t="s">
        <v>6</v>
      </c>
      <c r="C45" s="76" t="s">
        <v>178</v>
      </c>
      <c r="D45" s="11" t="s">
        <v>13</v>
      </c>
      <c r="E45" s="31">
        <v>1170627</v>
      </c>
      <c r="F45" s="70"/>
      <c r="G45" s="1"/>
      <c r="H45" s="1"/>
      <c r="O45" s="1"/>
    </row>
    <row r="46" spans="1:15" s="2" customFormat="1" x14ac:dyDescent="0.2">
      <c r="A46" s="89">
        <v>45289</v>
      </c>
      <c r="B46" s="128" t="s">
        <v>6</v>
      </c>
      <c r="C46" s="76" t="s">
        <v>24</v>
      </c>
      <c r="D46" s="11" t="s">
        <v>13</v>
      </c>
      <c r="E46" s="31">
        <v>47599</v>
      </c>
      <c r="F46" s="70"/>
      <c r="G46" s="1"/>
      <c r="H46" s="1"/>
      <c r="O46" s="1"/>
    </row>
    <row r="47" spans="1:15" s="2" customFormat="1" x14ac:dyDescent="0.2">
      <c r="A47" s="89">
        <v>45289</v>
      </c>
      <c r="B47" s="128" t="s">
        <v>6</v>
      </c>
      <c r="C47" s="76" t="s">
        <v>1246</v>
      </c>
      <c r="D47" s="11" t="s">
        <v>13</v>
      </c>
      <c r="E47" s="31">
        <v>100000</v>
      </c>
      <c r="F47" s="70"/>
      <c r="G47" s="1"/>
      <c r="H47" s="1"/>
      <c r="O47" s="1"/>
    </row>
    <row r="48" spans="1:15" s="2" customFormat="1" x14ac:dyDescent="0.2">
      <c r="A48" s="89">
        <v>45289</v>
      </c>
      <c r="B48" s="128" t="s">
        <v>6</v>
      </c>
      <c r="C48" s="76" t="s">
        <v>105</v>
      </c>
      <c r="D48" s="11" t="s">
        <v>13</v>
      </c>
      <c r="E48" s="31">
        <v>2634055</v>
      </c>
      <c r="F48" s="70"/>
      <c r="G48" s="1"/>
      <c r="H48" s="1"/>
      <c r="O48" s="1"/>
    </row>
    <row r="49" spans="1:15" s="2" customFormat="1" x14ac:dyDescent="0.2">
      <c r="A49" s="89">
        <v>45289</v>
      </c>
      <c r="B49" s="128" t="s">
        <v>6</v>
      </c>
      <c r="C49" s="76" t="s">
        <v>1921</v>
      </c>
      <c r="D49" s="11" t="s">
        <v>13</v>
      </c>
      <c r="E49" s="31">
        <v>8663</v>
      </c>
      <c r="F49" s="70"/>
      <c r="G49" s="1"/>
      <c r="H49" s="1"/>
      <c r="O49" s="1"/>
    </row>
    <row r="50" spans="1:15" s="2" customFormat="1" x14ac:dyDescent="0.2">
      <c r="A50" s="89">
        <v>45289</v>
      </c>
      <c r="B50" s="128" t="s">
        <v>6</v>
      </c>
      <c r="C50" s="76" t="s">
        <v>1596</v>
      </c>
      <c r="D50" s="11" t="s">
        <v>13</v>
      </c>
      <c r="E50" s="31">
        <v>127575</v>
      </c>
      <c r="F50" s="70"/>
      <c r="G50" s="1"/>
      <c r="H50" s="1"/>
      <c r="O50" s="1"/>
    </row>
    <row r="51" spans="1:15" s="2" customFormat="1" x14ac:dyDescent="0.2">
      <c r="A51" s="89">
        <v>45289</v>
      </c>
      <c r="B51" s="128" t="s">
        <v>6</v>
      </c>
      <c r="C51" s="76" t="s">
        <v>607</v>
      </c>
      <c r="D51" s="11" t="s">
        <v>13</v>
      </c>
      <c r="E51" s="31">
        <v>84000</v>
      </c>
      <c r="F51" s="70"/>
      <c r="G51" s="1"/>
      <c r="H51" s="1"/>
      <c r="O51" s="1"/>
    </row>
    <row r="52" spans="1:15" s="2" customFormat="1" x14ac:dyDescent="0.2">
      <c r="A52" s="89">
        <v>45289</v>
      </c>
      <c r="B52" s="128" t="s">
        <v>6</v>
      </c>
      <c r="C52" s="76" t="s">
        <v>316</v>
      </c>
      <c r="D52" s="11" t="s">
        <v>13</v>
      </c>
      <c r="E52" s="31">
        <v>15574</v>
      </c>
      <c r="F52" s="70"/>
      <c r="G52" s="1"/>
      <c r="H52" s="1"/>
      <c r="O52" s="1"/>
    </row>
    <row r="53" spans="1:15" s="2" customFormat="1" x14ac:dyDescent="0.2">
      <c r="A53" s="89">
        <v>45289</v>
      </c>
      <c r="B53" s="128" t="s">
        <v>6</v>
      </c>
      <c r="C53" s="76" t="s">
        <v>15</v>
      </c>
      <c r="D53" s="11" t="s">
        <v>13</v>
      </c>
      <c r="E53" s="31">
        <v>199990.37</v>
      </c>
      <c r="F53" s="70"/>
      <c r="G53" s="1"/>
      <c r="H53" s="1"/>
      <c r="O53" s="1"/>
    </row>
    <row r="54" spans="1:15" s="2" customFormat="1" x14ac:dyDescent="0.2">
      <c r="A54" s="89">
        <v>45289</v>
      </c>
      <c r="B54" s="128" t="s">
        <v>6</v>
      </c>
      <c r="C54" s="76" t="s">
        <v>757</v>
      </c>
      <c r="D54" s="11" t="s">
        <v>13</v>
      </c>
      <c r="E54" s="31">
        <v>56263.3</v>
      </c>
      <c r="F54" s="70"/>
      <c r="G54" s="1"/>
      <c r="H54" s="1"/>
      <c r="O54" s="1"/>
    </row>
    <row r="55" spans="1:15" s="2" customFormat="1" x14ac:dyDescent="0.2">
      <c r="A55" s="89">
        <v>45289</v>
      </c>
      <c r="B55" s="128" t="s">
        <v>6</v>
      </c>
      <c r="C55" s="76" t="s">
        <v>773</v>
      </c>
      <c r="D55" s="11" t="s">
        <v>13</v>
      </c>
      <c r="E55" s="31">
        <v>447365.39999999997</v>
      </c>
      <c r="F55" s="70"/>
      <c r="G55" s="1"/>
      <c r="H55" s="1"/>
      <c r="O55" s="1"/>
    </row>
    <row r="56" spans="1:15" s="2" customFormat="1" x14ac:dyDescent="0.2">
      <c r="A56" s="89">
        <v>45289</v>
      </c>
      <c r="B56" s="128" t="s">
        <v>6</v>
      </c>
      <c r="C56" s="76" t="s">
        <v>1922</v>
      </c>
      <c r="D56" s="11" t="s">
        <v>13</v>
      </c>
      <c r="E56" s="31">
        <v>10737</v>
      </c>
      <c r="F56" s="70"/>
      <c r="G56" s="1"/>
      <c r="H56" s="1"/>
      <c r="O56" s="1"/>
    </row>
    <row r="57" spans="1:15" s="2" customFormat="1" x14ac:dyDescent="0.2">
      <c r="A57" s="89">
        <v>45289</v>
      </c>
      <c r="B57" s="128" t="s">
        <v>6</v>
      </c>
      <c r="C57" s="76" t="s">
        <v>764</v>
      </c>
      <c r="D57" s="11" t="s">
        <v>13</v>
      </c>
      <c r="E57" s="31">
        <v>2131725.09</v>
      </c>
      <c r="F57" s="70"/>
      <c r="G57" s="1"/>
      <c r="H57" s="1"/>
      <c r="O57" s="1"/>
    </row>
    <row r="58" spans="1:15" s="2" customFormat="1" x14ac:dyDescent="0.2">
      <c r="A58" s="89">
        <v>45289</v>
      </c>
      <c r="B58" s="128" t="s">
        <v>6</v>
      </c>
      <c r="C58" s="76" t="s">
        <v>612</v>
      </c>
      <c r="D58" s="11" t="s">
        <v>13</v>
      </c>
      <c r="E58" s="31">
        <v>202612</v>
      </c>
      <c r="F58" s="70"/>
      <c r="G58" s="1"/>
      <c r="H58" s="1"/>
      <c r="O58" s="1"/>
    </row>
    <row r="59" spans="1:15" s="2" customFormat="1" x14ac:dyDescent="0.2">
      <c r="A59" s="89">
        <v>45289</v>
      </c>
      <c r="B59" s="128" t="s">
        <v>6</v>
      </c>
      <c r="C59" s="76" t="s">
        <v>750</v>
      </c>
      <c r="D59" s="11" t="s">
        <v>13</v>
      </c>
      <c r="E59" s="31">
        <v>32519</v>
      </c>
      <c r="F59" s="70"/>
      <c r="G59" s="1"/>
      <c r="H59" s="1"/>
      <c r="O59" s="1"/>
    </row>
    <row r="60" spans="1:15" s="2" customFormat="1" x14ac:dyDescent="0.2">
      <c r="A60" s="89">
        <v>45289</v>
      </c>
      <c r="B60" s="128" t="s">
        <v>11</v>
      </c>
      <c r="C60" s="76" t="s">
        <v>1365</v>
      </c>
      <c r="D60" s="11" t="s">
        <v>499</v>
      </c>
      <c r="E60" s="31"/>
      <c r="F60" s="70">
        <v>500000</v>
      </c>
      <c r="G60" s="1"/>
      <c r="H60" s="1"/>
      <c r="O60" s="1"/>
    </row>
    <row r="61" spans="1:15" s="2" customFormat="1" x14ac:dyDescent="0.2">
      <c r="A61" s="89">
        <v>45289</v>
      </c>
      <c r="B61" s="128" t="s">
        <v>11</v>
      </c>
      <c r="C61" s="76" t="s">
        <v>687</v>
      </c>
      <c r="D61" s="11" t="s">
        <v>29</v>
      </c>
      <c r="E61" s="31"/>
      <c r="F61" s="70">
        <v>655967</v>
      </c>
      <c r="G61" s="1"/>
      <c r="H61" s="1"/>
      <c r="O61" s="1"/>
    </row>
    <row r="62" spans="1:15" s="2" customFormat="1" x14ac:dyDescent="0.2">
      <c r="A62" s="89">
        <v>45289</v>
      </c>
      <c r="B62" s="128" t="s">
        <v>11</v>
      </c>
      <c r="C62" s="76" t="s">
        <v>203</v>
      </c>
      <c r="D62" s="11" t="s">
        <v>29</v>
      </c>
      <c r="E62" s="31"/>
      <c r="F62" s="70">
        <v>303949</v>
      </c>
      <c r="G62" s="1"/>
      <c r="H62" s="1"/>
      <c r="O62" s="1"/>
    </row>
    <row r="63" spans="1:15" s="2" customFormat="1" x14ac:dyDescent="0.2">
      <c r="A63" s="89">
        <v>45289</v>
      </c>
      <c r="B63" s="128" t="s">
        <v>11</v>
      </c>
      <c r="C63" s="76" t="s">
        <v>64</v>
      </c>
      <c r="D63" s="11" t="s">
        <v>29</v>
      </c>
      <c r="E63" s="31"/>
      <c r="F63" s="70">
        <v>16.52</v>
      </c>
      <c r="G63" s="1"/>
      <c r="H63" s="1"/>
      <c r="O63" s="1"/>
    </row>
    <row r="64" spans="1:15" s="2" customFormat="1" x14ac:dyDescent="0.2">
      <c r="A64" s="89">
        <v>45289</v>
      </c>
      <c r="B64" s="128" t="s">
        <v>11</v>
      </c>
      <c r="C64" s="76" t="s">
        <v>1155</v>
      </c>
      <c r="D64" s="11" t="s">
        <v>29</v>
      </c>
      <c r="E64" s="31"/>
      <c r="F64" s="70">
        <v>75537945.209999993</v>
      </c>
      <c r="G64" s="1"/>
      <c r="H64" s="1"/>
      <c r="O64" s="1"/>
    </row>
    <row r="65" spans="1:15" s="2" customFormat="1" x14ac:dyDescent="0.2">
      <c r="A65" s="32"/>
      <c r="B65" s="33"/>
      <c r="C65" s="14"/>
      <c r="D65" s="34"/>
      <c r="E65" s="16">
        <f>SUM(E40:E64)</f>
        <v>7949077.1600000001</v>
      </c>
      <c r="F65" s="16">
        <f>SUM(F40:F64)</f>
        <v>171366562.25999999</v>
      </c>
      <c r="G65" s="1"/>
      <c r="H65" s="1"/>
      <c r="I65" s="1"/>
      <c r="J65" s="38">
        <v>163417485.09999999</v>
      </c>
      <c r="L65" s="92">
        <f>E66-J65</f>
        <v>0</v>
      </c>
      <c r="O65" s="1"/>
    </row>
    <row r="66" spans="1:15" s="2" customFormat="1" x14ac:dyDescent="0.2">
      <c r="A66" s="36"/>
      <c r="B66" s="28" t="s">
        <v>11</v>
      </c>
      <c r="C66" s="19" t="s">
        <v>65</v>
      </c>
      <c r="D66" s="37"/>
      <c r="E66" s="38">
        <f>F65-E65</f>
        <v>163417485.09999999</v>
      </c>
      <c r="F66" s="22"/>
      <c r="G66" s="1"/>
      <c r="H66" s="1"/>
      <c r="I66" s="1"/>
      <c r="J66" s="70"/>
      <c r="K66" s="70"/>
      <c r="L66" s="70"/>
      <c r="O66" s="1"/>
    </row>
    <row r="67" spans="1:15" s="2" customFormat="1" x14ac:dyDescent="0.2">
      <c r="A67" s="36"/>
      <c r="B67" s="28" t="s">
        <v>66</v>
      </c>
      <c r="C67" s="19" t="s">
        <v>67</v>
      </c>
      <c r="D67" s="37"/>
      <c r="E67" s="38">
        <v>0</v>
      </c>
      <c r="F67" s="22"/>
      <c r="G67" s="1"/>
      <c r="H67" s="1"/>
      <c r="I67" s="70"/>
      <c r="J67" s="70"/>
      <c r="K67" s="70"/>
      <c r="L67" s="70"/>
      <c r="O67" s="1"/>
    </row>
    <row r="68" spans="1:15" s="2" customFormat="1" x14ac:dyDescent="0.2">
      <c r="A68" s="36"/>
      <c r="B68" s="28" t="s">
        <v>66</v>
      </c>
      <c r="C68" s="43" t="s">
        <v>1457</v>
      </c>
      <c r="D68" s="43"/>
      <c r="E68" s="12">
        <f>275000000+75000000+50000000-75000000</f>
        <v>325000000</v>
      </c>
      <c r="F68" s="22"/>
      <c r="G68" s="1"/>
      <c r="H68" s="1"/>
      <c r="I68" s="70"/>
      <c r="J68" s="45">
        <v>1683.41</v>
      </c>
      <c r="K68" s="46"/>
      <c r="L68" s="46"/>
      <c r="O68" s="1"/>
    </row>
    <row r="69" spans="1:15" s="2" customFormat="1" ht="15" x14ac:dyDescent="0.25">
      <c r="A69" s="36"/>
      <c r="B69" s="28"/>
      <c r="C69" s="44" t="s">
        <v>1541</v>
      </c>
      <c r="D69" s="43"/>
      <c r="E69" s="7">
        <f>+E68+E66+E67</f>
        <v>488417485.10000002</v>
      </c>
      <c r="F69" s="22"/>
      <c r="G69" s="1"/>
      <c r="H69" s="1"/>
      <c r="I69" s="103" t="s">
        <v>69</v>
      </c>
      <c r="J69" s="45">
        <v>-229.23</v>
      </c>
      <c r="K69" s="46"/>
      <c r="L69" s="46"/>
      <c r="O69" s="1"/>
    </row>
    <row r="70" spans="1:15" s="2" customFormat="1" ht="15" x14ac:dyDescent="0.25">
      <c r="A70" s="24"/>
      <c r="B70" s="1"/>
      <c r="C70" s="44" t="s">
        <v>1510</v>
      </c>
      <c r="D70" s="25"/>
      <c r="E70" s="156">
        <f>+J40-E67+I36-J36</f>
        <v>11582514.900000006</v>
      </c>
      <c r="G70" s="1"/>
      <c r="H70" s="1"/>
      <c r="I70" s="35">
        <v>1</v>
      </c>
      <c r="J70" s="45">
        <f>166.25+5.56</f>
        <v>171.81</v>
      </c>
      <c r="K70" s="46">
        <f>+J71-D73</f>
        <v>0</v>
      </c>
      <c r="O70" s="1"/>
    </row>
    <row r="71" spans="1:15" s="124" customFormat="1" ht="12.75" customHeight="1" x14ac:dyDescent="0.2">
      <c r="A71" s="24"/>
      <c r="B71" s="1"/>
      <c r="C71" s="56"/>
      <c r="D71" s="56"/>
      <c r="E71" s="104"/>
      <c r="F71" s="2"/>
      <c r="G71" s="166"/>
      <c r="H71" s="166"/>
      <c r="I71" s="70"/>
      <c r="J71" s="49">
        <f>SUM(J68:J70)</f>
        <v>1625.99</v>
      </c>
      <c r="K71" s="46"/>
      <c r="L71" s="46"/>
    </row>
    <row r="72" spans="1:15" s="124" customFormat="1" ht="12.75" customHeight="1" x14ac:dyDescent="0.2">
      <c r="A72" s="24"/>
      <c r="B72" s="1"/>
      <c r="C72" s="78" t="s">
        <v>575</v>
      </c>
      <c r="D72" s="48" t="s">
        <v>576</v>
      </c>
      <c r="E72" s="104"/>
      <c r="F72" s="2"/>
      <c r="G72" s="168"/>
      <c r="H72" s="168"/>
      <c r="I72" s="167"/>
      <c r="J72" s="167"/>
      <c r="K72" s="168"/>
    </row>
    <row r="73" spans="1:15" s="124" customFormat="1" ht="12.75" customHeight="1" x14ac:dyDescent="0.2">
      <c r="A73" s="24"/>
      <c r="B73" s="1"/>
      <c r="C73" s="47" t="s">
        <v>570</v>
      </c>
      <c r="D73" s="111">
        <v>1625.99</v>
      </c>
      <c r="E73" s="104"/>
      <c r="F73" s="2"/>
      <c r="G73" s="168"/>
      <c r="H73" s="168"/>
      <c r="I73" s="110" t="s">
        <v>581</v>
      </c>
      <c r="J73" s="167"/>
      <c r="K73" s="168"/>
    </row>
    <row r="74" spans="1:15" s="124" customFormat="1" ht="12.75" customHeight="1" x14ac:dyDescent="0.2">
      <c r="A74" s="24"/>
      <c r="B74" s="1"/>
      <c r="C74" s="47" t="s">
        <v>931</v>
      </c>
      <c r="D74" s="111">
        <v>318.58</v>
      </c>
      <c r="E74" s="104"/>
      <c r="F74" s="2"/>
      <c r="G74" s="168"/>
      <c r="H74" s="168"/>
      <c r="I74" s="110" t="s">
        <v>580</v>
      </c>
      <c r="J74" s="167"/>
      <c r="K74" s="168"/>
    </row>
    <row r="75" spans="1:15" s="124" customFormat="1" ht="12.75" customHeight="1" x14ac:dyDescent="0.2">
      <c r="A75" s="24"/>
      <c r="B75" s="1"/>
      <c r="C75" s="47" t="s">
        <v>572</v>
      </c>
      <c r="D75" s="111">
        <f>+D126/100000</f>
        <v>821.51279849999992</v>
      </c>
      <c r="E75" s="104"/>
      <c r="F75" s="2"/>
      <c r="G75" s="166"/>
      <c r="H75" s="166"/>
      <c r="I75" s="90" t="s">
        <v>587</v>
      </c>
      <c r="J75" s="167"/>
      <c r="K75" s="168"/>
    </row>
    <row r="76" spans="1:15" s="2" customFormat="1" x14ac:dyDescent="0.2">
      <c r="A76" s="24"/>
      <c r="B76" s="1"/>
      <c r="C76" s="108" t="s">
        <v>578</v>
      </c>
      <c r="D76" s="48">
        <f>SUM(D73:D75)</f>
        <v>2766.0827984999996</v>
      </c>
      <c r="E76" s="104"/>
      <c r="G76" s="30"/>
      <c r="H76" s="30"/>
      <c r="J76" s="13"/>
      <c r="K76" s="13"/>
    </row>
    <row r="77" spans="1:15" s="70" customFormat="1" x14ac:dyDescent="0.2">
      <c r="A77" s="24"/>
      <c r="B77" s="1"/>
      <c r="C77" s="47"/>
      <c r="D77" s="107"/>
      <c r="E77" s="104"/>
      <c r="F77" s="2"/>
      <c r="G77" s="30"/>
      <c r="H77" s="30"/>
      <c r="I77" s="2"/>
    </row>
    <row r="78" spans="1:15" s="70" customFormat="1" x14ac:dyDescent="0.2">
      <c r="A78" s="24"/>
      <c r="B78" s="1"/>
      <c r="C78" s="47" t="s">
        <v>932</v>
      </c>
      <c r="D78" s="111">
        <v>315.29000000000002</v>
      </c>
      <c r="E78" s="104"/>
      <c r="F78" s="2"/>
      <c r="G78" s="30"/>
      <c r="H78" s="30"/>
      <c r="I78" s="110" t="s">
        <v>581</v>
      </c>
    </row>
    <row r="79" spans="1:15" s="70" customFormat="1" x14ac:dyDescent="0.2">
      <c r="A79" s="24"/>
      <c r="B79" s="1"/>
      <c r="C79" s="136" t="s">
        <v>1142</v>
      </c>
      <c r="D79" s="111">
        <v>897.73</v>
      </c>
      <c r="E79" s="104"/>
      <c r="F79" s="2"/>
      <c r="G79" s="30"/>
      <c r="H79" s="30"/>
      <c r="I79" s="110" t="s">
        <v>581</v>
      </c>
    </row>
    <row r="80" spans="1:15" s="70" customFormat="1" x14ac:dyDescent="0.2">
      <c r="A80" s="24"/>
      <c r="B80" s="1"/>
      <c r="C80" s="78" t="s">
        <v>579</v>
      </c>
      <c r="D80" s="109">
        <f>D78+D79</f>
        <v>1213.02</v>
      </c>
      <c r="E80" s="104"/>
      <c r="F80" s="2"/>
      <c r="G80" s="30"/>
      <c r="H80" s="30"/>
    </row>
    <row r="81" spans="1:15" s="70" customFormat="1" x14ac:dyDescent="0.2">
      <c r="A81" s="24"/>
      <c r="B81" s="1"/>
      <c r="C81" s="105"/>
      <c r="D81" s="106"/>
      <c r="E81" s="104"/>
      <c r="F81" s="2"/>
      <c r="G81" s="30"/>
      <c r="H81" s="30"/>
      <c r="J81" s="2"/>
      <c r="K81" s="221" t="str">
        <f>"FROM ( 01-12-2023 to "&amp;TEXT(A5,"dd-mm-yyyy")&amp;" )"</f>
        <v>FROM ( 01-12-2023 to 29-12-2023 )</v>
      </c>
      <c r="L81" s="221"/>
      <c r="M81" s="2"/>
      <c r="N81" s="2"/>
    </row>
    <row r="82" spans="1:15" s="70" customFormat="1" x14ac:dyDescent="0.2">
      <c r="A82" s="24"/>
      <c r="B82" s="1"/>
      <c r="C82" s="78" t="s">
        <v>577</v>
      </c>
      <c r="D82" s="109">
        <f>D73+D80</f>
        <v>2839.01</v>
      </c>
      <c r="E82" s="104"/>
      <c r="F82" s="2"/>
      <c r="G82" s="30"/>
      <c r="H82" s="30"/>
      <c r="J82" s="113"/>
      <c r="K82" s="113" t="s">
        <v>709</v>
      </c>
      <c r="L82" s="113" t="s">
        <v>710</v>
      </c>
      <c r="M82" s="113" t="s">
        <v>711</v>
      </c>
      <c r="N82" s="113" t="s">
        <v>712</v>
      </c>
    </row>
    <row r="83" spans="1:15" s="70" customFormat="1" x14ac:dyDescent="0.2">
      <c r="A83" s="24"/>
      <c r="B83" s="1"/>
      <c r="C83" s="56"/>
      <c r="D83" s="56"/>
      <c r="E83" s="104"/>
      <c r="F83" s="2"/>
      <c r="G83" s="30"/>
      <c r="H83" s="30"/>
      <c r="J83" s="113" t="s">
        <v>1860</v>
      </c>
      <c r="K83" s="115">
        <v>191.86</v>
      </c>
      <c r="L83" s="115">
        <v>135.56</v>
      </c>
      <c r="M83" s="115">
        <v>133.58000000000001</v>
      </c>
      <c r="N83" s="113">
        <f>+K83+M83-L83</f>
        <v>189.88000000000005</v>
      </c>
    </row>
    <row r="84" spans="1:15" s="70" customFormat="1" ht="38.25" x14ac:dyDescent="0.2">
      <c r="A84" s="24"/>
      <c r="B84" s="1"/>
      <c r="C84" s="79" t="str">
        <f>"Particulars ( 01-12-2023 to "&amp;TEXT(A5,"dd-mm-yyyy")&amp;" )"</f>
        <v>Particulars ( 01-12-2023 to 29-12-2023 )</v>
      </c>
      <c r="D84" s="79" t="s">
        <v>7</v>
      </c>
      <c r="E84" s="80" t="s">
        <v>73</v>
      </c>
      <c r="F84" s="80" t="s">
        <v>74</v>
      </c>
      <c r="G84" s="81" t="s">
        <v>75</v>
      </c>
      <c r="H84" s="80" t="s">
        <v>76</v>
      </c>
      <c r="J84" s="113" t="s">
        <v>1861</v>
      </c>
      <c r="K84" s="115">
        <v>1332.26</v>
      </c>
      <c r="L84" s="115">
        <v>829.65</v>
      </c>
      <c r="M84" s="115">
        <v>906.65</v>
      </c>
      <c r="N84" s="113">
        <f>+K84+M84-L84</f>
        <v>1409.2599999999998</v>
      </c>
    </row>
    <row r="85" spans="1:15" s="70" customFormat="1" x14ac:dyDescent="0.2">
      <c r="A85" s="24"/>
      <c r="B85" s="1"/>
      <c r="C85" s="50" t="s">
        <v>444</v>
      </c>
      <c r="D85" s="55">
        <f>+K85</f>
        <v>361.11</v>
      </c>
      <c r="E85" s="55">
        <f>+M85</f>
        <v>315.29000000000002</v>
      </c>
      <c r="F85" s="55">
        <f>+L85</f>
        <v>318.58</v>
      </c>
      <c r="G85" s="55">
        <f>+D85+E85-F85</f>
        <v>357.82000000000011</v>
      </c>
      <c r="H85" s="55">
        <f>1500-G85</f>
        <v>1142.1799999999998</v>
      </c>
      <c r="J85" s="113" t="s">
        <v>707</v>
      </c>
      <c r="K85" s="115">
        <v>361.11</v>
      </c>
      <c r="L85" s="115">
        <v>318.58</v>
      </c>
      <c r="M85" s="115">
        <v>315.29000000000002</v>
      </c>
      <c r="N85" s="113">
        <f>+K85+M85-L85</f>
        <v>357.82000000000011</v>
      </c>
    </row>
    <row r="86" spans="1:15" s="70" customFormat="1" ht="12.75" customHeight="1" x14ac:dyDescent="0.2">
      <c r="A86" s="24"/>
      <c r="B86" s="1"/>
      <c r="C86" s="50" t="s">
        <v>71</v>
      </c>
      <c r="D86" s="55">
        <f>+K83+K84</f>
        <v>1524.12</v>
      </c>
      <c r="E86" s="55">
        <f>+M83+M84</f>
        <v>1040.23</v>
      </c>
      <c r="F86" s="55">
        <f>+L83+L84</f>
        <v>965.21</v>
      </c>
      <c r="G86" s="55">
        <f>+D86+E86-F86</f>
        <v>1599.1399999999999</v>
      </c>
      <c r="H86" s="55">
        <f>1500+700-G86</f>
        <v>600.86000000000013</v>
      </c>
      <c r="J86" s="2"/>
      <c r="K86" s="118">
        <f>SUM(K83:K85)</f>
        <v>1885.23</v>
      </c>
      <c r="L86" s="118">
        <f>SUM(L83:L85)</f>
        <v>1283.79</v>
      </c>
      <c r="M86" s="118">
        <f>SUM(M83:M85)</f>
        <v>1355.52</v>
      </c>
      <c r="N86" s="118">
        <f>SUM(N83:N85)</f>
        <v>1956.96</v>
      </c>
    </row>
    <row r="87" spans="1:15" s="70" customFormat="1" ht="12.75" customHeight="1" x14ac:dyDescent="0.2">
      <c r="A87" s="24"/>
      <c r="B87" s="1"/>
      <c r="C87" s="14"/>
      <c r="D87" s="56"/>
      <c r="E87" s="13"/>
      <c r="F87" s="2"/>
      <c r="G87" s="30"/>
      <c r="H87" s="30"/>
    </row>
    <row r="88" spans="1:15" s="70" customFormat="1" ht="12.75" customHeight="1" x14ac:dyDescent="0.2">
      <c r="A88" s="215" t="s">
        <v>80</v>
      </c>
      <c r="B88" s="216"/>
      <c r="C88" s="216"/>
      <c r="D88" s="217"/>
      <c r="E88" s="69"/>
      <c r="G88" s="30"/>
      <c r="H88" s="30"/>
    </row>
    <row r="89" spans="1:15" s="70" customFormat="1" ht="12.75" customHeight="1" x14ac:dyDescent="0.2">
      <c r="A89" s="71" t="s">
        <v>81</v>
      </c>
      <c r="B89" s="71"/>
      <c r="C89" s="72" t="s">
        <v>82</v>
      </c>
      <c r="D89" s="73" t="s">
        <v>83</v>
      </c>
      <c r="E89" s="69"/>
      <c r="G89" s="30"/>
      <c r="H89" s="30"/>
    </row>
    <row r="90" spans="1:15" s="70" customFormat="1" ht="12.75" customHeight="1" x14ac:dyDescent="0.2">
      <c r="A90" s="87">
        <v>45264</v>
      </c>
      <c r="B90" s="120" t="s">
        <v>6</v>
      </c>
      <c r="C90" s="75" t="s">
        <v>86</v>
      </c>
      <c r="D90" s="88">
        <v>11017609</v>
      </c>
      <c r="E90" s="2"/>
      <c r="F90" s="2"/>
      <c r="G90" s="30"/>
      <c r="H90" s="30"/>
      <c r="I90" s="2"/>
      <c r="J90" s="2"/>
      <c r="K90" s="2"/>
      <c r="L90" s="2"/>
      <c r="M90" s="41"/>
      <c r="N90" s="42"/>
      <c r="O90" s="2"/>
    </row>
    <row r="91" spans="1:15" s="70" customFormat="1" ht="12.75" customHeight="1" x14ac:dyDescent="0.2">
      <c r="A91" s="87">
        <v>45264</v>
      </c>
      <c r="B91" s="120" t="s">
        <v>6</v>
      </c>
      <c r="C91" s="75" t="s">
        <v>86</v>
      </c>
      <c r="D91" s="88">
        <v>2663814</v>
      </c>
      <c r="E91" s="2"/>
      <c r="F91" s="2"/>
      <c r="G91" s="30"/>
      <c r="H91" s="30"/>
      <c r="I91" s="2"/>
      <c r="J91" s="2"/>
      <c r="K91" s="2"/>
      <c r="L91" s="2"/>
      <c r="M91" s="41"/>
      <c r="N91" s="42"/>
      <c r="O91" s="2"/>
    </row>
    <row r="92" spans="1:15" s="70" customFormat="1" ht="12.75" customHeight="1" x14ac:dyDescent="0.2">
      <c r="A92" s="87">
        <v>45264</v>
      </c>
      <c r="B92" s="120" t="s">
        <v>6</v>
      </c>
      <c r="C92" s="75" t="s">
        <v>86</v>
      </c>
      <c r="D92" s="88">
        <v>75522</v>
      </c>
      <c r="E92" s="2"/>
      <c r="F92" s="2"/>
      <c r="G92" s="30"/>
      <c r="H92" s="30"/>
      <c r="I92" s="2"/>
      <c r="J92" s="2"/>
      <c r="K92" s="2"/>
      <c r="L92" s="2"/>
      <c r="M92" s="41"/>
      <c r="N92" s="42"/>
      <c r="O92" s="2"/>
    </row>
    <row r="93" spans="1:15" s="70" customFormat="1" ht="12.75" customHeight="1" x14ac:dyDescent="0.2">
      <c r="A93" s="87">
        <v>45265</v>
      </c>
      <c r="B93" s="120" t="s">
        <v>6</v>
      </c>
      <c r="C93" s="75" t="s">
        <v>88</v>
      </c>
      <c r="D93" s="88">
        <v>2152501.6</v>
      </c>
      <c r="E93" s="2"/>
      <c r="F93" s="2"/>
      <c r="G93" s="30"/>
      <c r="H93" s="30"/>
      <c r="I93" s="2"/>
      <c r="J93" s="2"/>
      <c r="K93" s="2"/>
      <c r="L93" s="2"/>
      <c r="M93" s="41"/>
      <c r="N93" s="42"/>
      <c r="O93" s="2"/>
    </row>
    <row r="94" spans="1:15" s="70" customFormat="1" ht="12.75" customHeight="1" x14ac:dyDescent="0.2">
      <c r="A94" s="87">
        <v>45266</v>
      </c>
      <c r="B94" s="120" t="s">
        <v>6</v>
      </c>
      <c r="C94" s="75" t="s">
        <v>271</v>
      </c>
      <c r="D94" s="88">
        <v>9828</v>
      </c>
      <c r="E94" s="2"/>
      <c r="F94" s="2"/>
      <c r="G94" s="30"/>
      <c r="H94" s="30"/>
      <c r="I94" s="2"/>
      <c r="J94" s="2"/>
      <c r="K94" s="2"/>
      <c r="L94" s="2"/>
      <c r="M94" s="41"/>
      <c r="N94" s="42"/>
      <c r="O94" s="2"/>
    </row>
    <row r="95" spans="1:15" s="70" customFormat="1" ht="12.75" customHeight="1" x14ac:dyDescent="0.2">
      <c r="A95" s="87">
        <v>45267</v>
      </c>
      <c r="B95" s="120" t="s">
        <v>6</v>
      </c>
      <c r="C95" s="75" t="s">
        <v>85</v>
      </c>
      <c r="D95" s="88">
        <v>179811</v>
      </c>
      <c r="E95" s="2"/>
      <c r="F95" s="2"/>
      <c r="G95" s="30"/>
      <c r="H95" s="30"/>
      <c r="I95" s="2"/>
      <c r="J95" s="2"/>
      <c r="K95" s="2"/>
      <c r="L95" s="2"/>
      <c r="M95" s="41"/>
      <c r="N95" s="42"/>
      <c r="O95" s="2"/>
    </row>
    <row r="96" spans="1:15" s="70" customFormat="1" ht="12.75" customHeight="1" x14ac:dyDescent="0.2">
      <c r="A96" s="87">
        <v>45267</v>
      </c>
      <c r="B96" s="120" t="s">
        <v>6</v>
      </c>
      <c r="C96" s="75" t="s">
        <v>85</v>
      </c>
      <c r="D96" s="88">
        <v>302254</v>
      </c>
      <c r="E96" s="2"/>
      <c r="F96" s="2"/>
      <c r="G96" s="30"/>
      <c r="H96" s="30"/>
      <c r="I96" s="2"/>
      <c r="J96" s="2"/>
      <c r="K96" s="2"/>
      <c r="L96" s="2"/>
      <c r="M96" s="41"/>
      <c r="N96" s="42"/>
      <c r="O96" s="2"/>
    </row>
    <row r="97" spans="1:15" s="70" customFormat="1" ht="12.75" customHeight="1" x14ac:dyDescent="0.2">
      <c r="A97" s="87">
        <v>45268</v>
      </c>
      <c r="B97" s="120" t="s">
        <v>6</v>
      </c>
      <c r="C97" s="75" t="s">
        <v>201</v>
      </c>
      <c r="D97" s="88">
        <v>4000249.47</v>
      </c>
      <c r="E97" s="2"/>
      <c r="F97" s="2"/>
      <c r="G97" s="30"/>
      <c r="H97" s="30"/>
      <c r="I97" s="2"/>
      <c r="J97" s="2"/>
      <c r="K97" s="2"/>
      <c r="L97" s="2"/>
      <c r="M97" s="41"/>
      <c r="N97" s="42"/>
      <c r="O97" s="2"/>
    </row>
    <row r="98" spans="1:15" s="70" customFormat="1" ht="12.75" customHeight="1" x14ac:dyDescent="0.2">
      <c r="A98" s="87">
        <v>45269</v>
      </c>
      <c r="B98" s="120" t="s">
        <v>6</v>
      </c>
      <c r="C98" s="75" t="s">
        <v>85</v>
      </c>
      <c r="D98" s="88">
        <v>96273</v>
      </c>
      <c r="E98" s="2"/>
      <c r="F98" s="2"/>
      <c r="G98" s="30"/>
      <c r="H98" s="30"/>
      <c r="I98" s="2"/>
      <c r="J98" s="2"/>
      <c r="K98" s="2"/>
      <c r="L98" s="2"/>
      <c r="M98" s="41"/>
      <c r="N98" s="42"/>
      <c r="O98" s="2"/>
    </row>
    <row r="99" spans="1:15" s="70" customFormat="1" ht="12.75" customHeight="1" x14ac:dyDescent="0.2">
      <c r="A99" s="87">
        <v>45269</v>
      </c>
      <c r="B99" s="120" t="s">
        <v>6</v>
      </c>
      <c r="C99" s="75" t="s">
        <v>270</v>
      </c>
      <c r="D99" s="88">
        <v>182684</v>
      </c>
      <c r="E99" s="2"/>
      <c r="F99" s="2"/>
      <c r="G99" s="30"/>
      <c r="H99" s="30"/>
      <c r="I99" s="2"/>
      <c r="J99" s="2"/>
      <c r="K99" s="2"/>
      <c r="L99" s="2"/>
      <c r="M99" s="41"/>
      <c r="N99" s="42"/>
      <c r="O99" s="2"/>
    </row>
    <row r="100" spans="1:15" s="70" customFormat="1" ht="12.75" customHeight="1" x14ac:dyDescent="0.2">
      <c r="A100" s="87">
        <v>45269</v>
      </c>
      <c r="B100" s="120" t="s">
        <v>6</v>
      </c>
      <c r="C100" s="75" t="s">
        <v>271</v>
      </c>
      <c r="D100" s="88">
        <v>15488.3</v>
      </c>
      <c r="E100" s="2"/>
      <c r="F100" s="2"/>
      <c r="G100" s="30"/>
      <c r="H100" s="30"/>
      <c r="I100" s="2"/>
      <c r="J100" s="2"/>
      <c r="K100" s="2"/>
      <c r="L100" s="2"/>
      <c r="M100" s="41"/>
      <c r="N100" s="42"/>
      <c r="O100" s="2"/>
    </row>
    <row r="101" spans="1:15" s="70" customFormat="1" ht="12.75" customHeight="1" x14ac:dyDescent="0.2">
      <c r="A101" s="87">
        <v>45272</v>
      </c>
      <c r="B101" s="120" t="s">
        <v>6</v>
      </c>
      <c r="C101" s="75" t="s">
        <v>270</v>
      </c>
      <c r="D101" s="88">
        <v>687714</v>
      </c>
      <c r="E101" s="2"/>
      <c r="F101" s="2"/>
      <c r="G101" s="30"/>
      <c r="H101" s="30"/>
      <c r="I101" s="2"/>
      <c r="J101" s="2"/>
      <c r="K101" s="2"/>
      <c r="L101" s="2"/>
      <c r="M101" s="41"/>
      <c r="N101" s="42"/>
      <c r="O101" s="2"/>
    </row>
    <row r="102" spans="1:15" s="70" customFormat="1" ht="12.75" customHeight="1" x14ac:dyDescent="0.2">
      <c r="A102" s="87">
        <v>45272</v>
      </c>
      <c r="B102" s="120" t="s">
        <v>6</v>
      </c>
      <c r="C102" s="75" t="s">
        <v>1789</v>
      </c>
      <c r="D102" s="88">
        <v>1945116</v>
      </c>
      <c r="E102" s="2"/>
      <c r="F102" s="2"/>
      <c r="G102" s="30"/>
      <c r="H102" s="30"/>
      <c r="I102" s="2"/>
      <c r="J102" s="2"/>
      <c r="K102" s="2"/>
      <c r="L102" s="2"/>
      <c r="M102" s="41"/>
      <c r="N102" s="42"/>
      <c r="O102" s="2"/>
    </row>
    <row r="103" spans="1:15" s="70" customFormat="1" ht="12.75" customHeight="1" x14ac:dyDescent="0.2">
      <c r="A103" s="87">
        <v>45273</v>
      </c>
      <c r="B103" s="120" t="s">
        <v>6</v>
      </c>
      <c r="C103" s="75" t="s">
        <v>18</v>
      </c>
      <c r="D103" s="88">
        <v>167890</v>
      </c>
      <c r="E103" s="2"/>
      <c r="F103" s="2"/>
      <c r="G103" s="30"/>
      <c r="H103" s="30"/>
      <c r="I103" s="2"/>
      <c r="J103" s="2"/>
      <c r="K103" s="2"/>
      <c r="L103" s="2"/>
      <c r="M103" s="41"/>
      <c r="N103" s="42"/>
      <c r="O103" s="2"/>
    </row>
    <row r="104" spans="1:15" s="70" customFormat="1" ht="12.75" customHeight="1" x14ac:dyDescent="0.2">
      <c r="A104" s="87">
        <v>45274</v>
      </c>
      <c r="B104" s="120" t="s">
        <v>6</v>
      </c>
      <c r="C104" s="75" t="s">
        <v>201</v>
      </c>
      <c r="D104" s="88">
        <v>4000385.13</v>
      </c>
      <c r="E104" s="2"/>
      <c r="F104" s="2"/>
      <c r="G104" s="30"/>
      <c r="H104" s="30"/>
      <c r="I104" s="2"/>
      <c r="J104" s="2"/>
      <c r="K104" s="2"/>
      <c r="L104" s="2"/>
      <c r="M104" s="41"/>
      <c r="N104" s="42"/>
      <c r="O104" s="2"/>
    </row>
    <row r="105" spans="1:15" s="70" customFormat="1" ht="12.75" customHeight="1" x14ac:dyDescent="0.2">
      <c r="A105" s="87">
        <v>45274</v>
      </c>
      <c r="B105" s="120" t="s">
        <v>6</v>
      </c>
      <c r="C105" s="75" t="s">
        <v>594</v>
      </c>
      <c r="D105" s="88">
        <v>15735</v>
      </c>
      <c r="E105" s="2"/>
      <c r="F105" s="2"/>
      <c r="G105" s="30"/>
      <c r="H105" s="30"/>
      <c r="I105" s="2"/>
      <c r="J105" s="2"/>
      <c r="K105" s="2"/>
      <c r="L105" s="2"/>
      <c r="M105" s="41"/>
      <c r="N105" s="42"/>
      <c r="O105" s="2"/>
    </row>
    <row r="106" spans="1:15" s="70" customFormat="1" ht="12.75" customHeight="1" x14ac:dyDescent="0.2">
      <c r="A106" s="87">
        <v>45275</v>
      </c>
      <c r="B106" s="120" t="s">
        <v>6</v>
      </c>
      <c r="C106" s="75" t="s">
        <v>594</v>
      </c>
      <c r="D106" s="88">
        <v>4456919</v>
      </c>
      <c r="E106" s="2"/>
      <c r="F106" s="2"/>
      <c r="G106" s="30"/>
      <c r="H106" s="30"/>
      <c r="I106" s="2"/>
      <c r="J106" s="2"/>
      <c r="K106" s="2"/>
      <c r="L106" s="2"/>
      <c r="M106" s="41"/>
      <c r="N106" s="42"/>
      <c r="O106" s="2"/>
    </row>
    <row r="107" spans="1:15" s="70" customFormat="1" ht="12.75" customHeight="1" x14ac:dyDescent="0.2">
      <c r="A107" s="87">
        <v>45275</v>
      </c>
      <c r="B107" s="120" t="s">
        <v>6</v>
      </c>
      <c r="C107" s="75" t="s">
        <v>270</v>
      </c>
      <c r="D107" s="88">
        <v>18357</v>
      </c>
      <c r="E107" s="2"/>
      <c r="F107" s="2"/>
      <c r="G107" s="30"/>
      <c r="H107" s="30"/>
      <c r="I107" s="2"/>
      <c r="J107" s="2"/>
      <c r="K107" s="2"/>
      <c r="L107" s="2"/>
      <c r="M107" s="41"/>
      <c r="N107" s="42"/>
      <c r="O107" s="2"/>
    </row>
    <row r="108" spans="1:15" s="70" customFormat="1" ht="12.75" customHeight="1" x14ac:dyDescent="0.2">
      <c r="A108" s="87">
        <v>45276</v>
      </c>
      <c r="B108" s="120" t="s">
        <v>6</v>
      </c>
      <c r="C108" s="75" t="s">
        <v>85</v>
      </c>
      <c r="D108" s="88">
        <v>197939</v>
      </c>
      <c r="E108" s="2"/>
      <c r="F108" s="2"/>
      <c r="G108" s="30"/>
      <c r="H108" s="30"/>
      <c r="I108" s="2"/>
      <c r="J108" s="2"/>
      <c r="K108" s="2"/>
      <c r="L108" s="2"/>
      <c r="M108" s="41"/>
      <c r="N108" s="42"/>
      <c r="O108" s="2"/>
    </row>
    <row r="109" spans="1:15" s="70" customFormat="1" ht="12.75" customHeight="1" x14ac:dyDescent="0.2">
      <c r="A109" s="87">
        <v>45276</v>
      </c>
      <c r="B109" s="120" t="s">
        <v>6</v>
      </c>
      <c r="C109" s="75" t="s">
        <v>85</v>
      </c>
      <c r="D109" s="88">
        <v>103476</v>
      </c>
      <c r="E109" s="2"/>
      <c r="F109" s="2"/>
      <c r="G109" s="30"/>
      <c r="H109" s="30"/>
      <c r="I109" s="2"/>
      <c r="J109" s="2"/>
      <c r="K109" s="2"/>
      <c r="L109" s="2"/>
      <c r="M109" s="41"/>
      <c r="N109" s="42"/>
      <c r="O109" s="2"/>
    </row>
    <row r="110" spans="1:15" s="70" customFormat="1" ht="12.75" customHeight="1" x14ac:dyDescent="0.2">
      <c r="A110" s="87">
        <v>45278</v>
      </c>
      <c r="B110" s="120" t="s">
        <v>6</v>
      </c>
      <c r="C110" s="75" t="s">
        <v>270</v>
      </c>
      <c r="D110" s="88">
        <v>384076</v>
      </c>
      <c r="E110" s="2"/>
      <c r="F110" s="2"/>
      <c r="G110" s="30"/>
      <c r="H110" s="30"/>
      <c r="I110" s="2"/>
      <c r="J110" s="2"/>
      <c r="K110" s="2"/>
      <c r="L110" s="2"/>
      <c r="M110" s="41"/>
      <c r="N110" s="42"/>
      <c r="O110" s="2"/>
    </row>
    <row r="111" spans="1:15" s="70" customFormat="1" ht="12.75" customHeight="1" x14ac:dyDescent="0.2">
      <c r="A111" s="87">
        <v>45278</v>
      </c>
      <c r="B111" s="120" t="s">
        <v>6</v>
      </c>
      <c r="C111" s="75" t="s">
        <v>85</v>
      </c>
      <c r="D111" s="88">
        <v>427722</v>
      </c>
      <c r="E111" s="2"/>
      <c r="F111" s="2"/>
      <c r="G111" s="30"/>
      <c r="H111" s="30"/>
      <c r="I111" s="2"/>
      <c r="J111" s="2"/>
      <c r="K111" s="2"/>
      <c r="L111" s="2"/>
      <c r="M111" s="41"/>
      <c r="N111" s="42"/>
      <c r="O111" s="2"/>
    </row>
    <row r="112" spans="1:15" s="70" customFormat="1" ht="12.75" customHeight="1" x14ac:dyDescent="0.2">
      <c r="A112" s="87">
        <v>45280</v>
      </c>
      <c r="B112" s="120" t="s">
        <v>6</v>
      </c>
      <c r="C112" s="75" t="s">
        <v>201</v>
      </c>
      <c r="D112" s="88">
        <v>5253480</v>
      </c>
      <c r="E112" s="2"/>
      <c r="F112" s="2"/>
      <c r="G112" s="30"/>
      <c r="H112" s="30"/>
      <c r="I112" s="2"/>
      <c r="J112" s="2"/>
      <c r="K112" s="2"/>
      <c r="L112" s="2"/>
      <c r="M112" s="41"/>
      <c r="N112" s="42"/>
      <c r="O112" s="2"/>
    </row>
    <row r="113" spans="1:15" s="70" customFormat="1" ht="12.75" customHeight="1" x14ac:dyDescent="0.2">
      <c r="A113" s="87">
        <v>45280</v>
      </c>
      <c r="B113" s="120" t="s">
        <v>6</v>
      </c>
      <c r="C113" s="75" t="s">
        <v>18</v>
      </c>
      <c r="D113" s="88">
        <v>604243</v>
      </c>
      <c r="E113" s="2"/>
      <c r="F113" s="2"/>
      <c r="G113" s="30"/>
      <c r="H113" s="30"/>
      <c r="I113" s="2"/>
      <c r="J113" s="2"/>
      <c r="K113" s="2"/>
      <c r="L113" s="2"/>
      <c r="M113" s="41"/>
      <c r="N113" s="42"/>
      <c r="O113" s="2"/>
    </row>
    <row r="114" spans="1:15" s="70" customFormat="1" ht="12.75" customHeight="1" x14ac:dyDescent="0.2">
      <c r="A114" s="87">
        <v>45280</v>
      </c>
      <c r="B114" s="120" t="s">
        <v>6</v>
      </c>
      <c r="C114" s="75" t="s">
        <v>88</v>
      </c>
      <c r="D114" s="88">
        <v>7395284.2999999998</v>
      </c>
      <c r="E114" s="2"/>
      <c r="F114" s="2"/>
      <c r="G114" s="30"/>
      <c r="H114" s="30"/>
      <c r="I114" s="2"/>
      <c r="J114" s="2"/>
      <c r="K114" s="2"/>
      <c r="L114" s="2"/>
      <c r="M114" s="41"/>
      <c r="N114" s="42"/>
      <c r="O114" s="2"/>
    </row>
    <row r="115" spans="1:15" s="70" customFormat="1" ht="12.75" customHeight="1" x14ac:dyDescent="0.2">
      <c r="A115" s="87">
        <v>45281</v>
      </c>
      <c r="B115" s="120" t="s">
        <v>6</v>
      </c>
      <c r="C115" s="75" t="s">
        <v>1897</v>
      </c>
      <c r="D115" s="88">
        <v>710500.05</v>
      </c>
      <c r="E115" s="2"/>
      <c r="F115" s="2"/>
      <c r="G115" s="30"/>
      <c r="H115" s="30"/>
      <c r="I115" s="2"/>
      <c r="J115" s="2"/>
      <c r="K115" s="2"/>
      <c r="L115" s="2"/>
      <c r="M115" s="41"/>
      <c r="N115" s="42"/>
      <c r="O115" s="2"/>
    </row>
    <row r="116" spans="1:15" s="70" customFormat="1" ht="12.75" customHeight="1" x14ac:dyDescent="0.2">
      <c r="A116" s="87">
        <v>45281</v>
      </c>
      <c r="B116" s="120" t="s">
        <v>6</v>
      </c>
      <c r="C116" s="75" t="s">
        <v>271</v>
      </c>
      <c r="D116" s="88">
        <v>32519</v>
      </c>
      <c r="E116" s="2"/>
      <c r="F116" s="2"/>
      <c r="G116" s="30"/>
      <c r="H116" s="30"/>
      <c r="I116" s="2"/>
      <c r="J116" s="2"/>
      <c r="K116" s="2"/>
      <c r="L116" s="2"/>
      <c r="M116" s="41"/>
      <c r="N116" s="42"/>
      <c r="O116" s="2"/>
    </row>
    <row r="117" spans="1:15" s="70" customFormat="1" ht="12.75" customHeight="1" x14ac:dyDescent="0.2">
      <c r="A117" s="87">
        <v>45282</v>
      </c>
      <c r="B117" s="120" t="s">
        <v>6</v>
      </c>
      <c r="C117" s="75" t="s">
        <v>85</v>
      </c>
      <c r="D117" s="88">
        <v>459852</v>
      </c>
      <c r="E117" s="2"/>
      <c r="F117" s="2"/>
      <c r="G117" s="30"/>
      <c r="H117" s="30"/>
      <c r="I117" s="2"/>
      <c r="J117" s="2"/>
      <c r="K117" s="2"/>
      <c r="L117" s="2"/>
      <c r="M117" s="41"/>
      <c r="N117" s="42"/>
      <c r="O117" s="2"/>
    </row>
    <row r="118" spans="1:15" s="70" customFormat="1" ht="12.75" customHeight="1" x14ac:dyDescent="0.2">
      <c r="A118" s="87">
        <v>45282</v>
      </c>
      <c r="B118" s="120" t="s">
        <v>6</v>
      </c>
      <c r="C118" s="75" t="s">
        <v>467</v>
      </c>
      <c r="D118" s="88">
        <v>5455880</v>
      </c>
      <c r="E118" s="2"/>
      <c r="F118" s="2"/>
      <c r="G118" s="30"/>
      <c r="H118" s="30"/>
      <c r="I118" s="2"/>
      <c r="J118" s="2"/>
      <c r="K118" s="2"/>
      <c r="L118" s="2"/>
      <c r="M118" s="41"/>
      <c r="N118" s="42"/>
      <c r="O118" s="2"/>
    </row>
    <row r="119" spans="1:15" s="70" customFormat="1" ht="12.75" customHeight="1" x14ac:dyDescent="0.2">
      <c r="A119" s="87">
        <v>45286</v>
      </c>
      <c r="B119" s="120" t="s">
        <v>6</v>
      </c>
      <c r="C119" s="75" t="s">
        <v>201</v>
      </c>
      <c r="D119" s="88">
        <v>5357718</v>
      </c>
      <c r="E119" s="2"/>
      <c r="F119" s="2"/>
      <c r="G119" s="30"/>
      <c r="H119" s="30"/>
      <c r="I119" s="2"/>
      <c r="J119" s="2"/>
      <c r="K119" s="2"/>
      <c r="L119" s="2"/>
      <c r="M119" s="41"/>
      <c r="N119" s="42"/>
      <c r="O119" s="2"/>
    </row>
    <row r="120" spans="1:15" s="70" customFormat="1" ht="12.75" customHeight="1" x14ac:dyDescent="0.2">
      <c r="A120" s="87">
        <v>45286</v>
      </c>
      <c r="B120" s="120" t="s">
        <v>6</v>
      </c>
      <c r="C120" s="75" t="s">
        <v>86</v>
      </c>
      <c r="D120" s="88">
        <v>1364459</v>
      </c>
      <c r="E120" s="2"/>
      <c r="F120" s="2"/>
      <c r="G120" s="30"/>
      <c r="H120" s="30"/>
      <c r="I120" s="2"/>
      <c r="J120" s="2"/>
      <c r="K120" s="2"/>
      <c r="L120" s="2"/>
      <c r="M120" s="41"/>
      <c r="N120" s="42"/>
      <c r="O120" s="2"/>
    </row>
    <row r="121" spans="1:15" s="70" customFormat="1" ht="12.75" customHeight="1" x14ac:dyDescent="0.2">
      <c r="A121" s="87">
        <v>45286</v>
      </c>
      <c r="B121" s="120" t="s">
        <v>6</v>
      </c>
      <c r="C121" s="75" t="s">
        <v>86</v>
      </c>
      <c r="D121" s="88">
        <v>15528365</v>
      </c>
      <c r="E121" s="2"/>
      <c r="F121" s="2"/>
      <c r="G121" s="30"/>
      <c r="H121" s="30"/>
      <c r="I121" s="2"/>
      <c r="J121" s="2"/>
      <c r="K121" s="2"/>
      <c r="L121" s="2"/>
      <c r="M121" s="41"/>
      <c r="N121" s="42"/>
      <c r="O121" s="2"/>
    </row>
    <row r="122" spans="1:15" s="70" customFormat="1" ht="12.75" customHeight="1" x14ac:dyDescent="0.2">
      <c r="A122" s="87">
        <v>45286</v>
      </c>
      <c r="B122" s="120" t="s">
        <v>6</v>
      </c>
      <c r="C122" s="75" t="s">
        <v>86</v>
      </c>
      <c r="D122" s="88">
        <v>120004</v>
      </c>
      <c r="E122" s="2"/>
      <c r="F122" s="2"/>
      <c r="G122" s="30"/>
      <c r="H122" s="30"/>
      <c r="I122" s="2"/>
      <c r="J122" s="2"/>
      <c r="K122" s="2"/>
      <c r="L122" s="2"/>
      <c r="M122" s="41"/>
      <c r="N122" s="42"/>
      <c r="O122" s="2"/>
    </row>
    <row r="123" spans="1:15" s="70" customFormat="1" ht="12.75" customHeight="1" x14ac:dyDescent="0.2">
      <c r="A123" s="87">
        <v>45287</v>
      </c>
      <c r="B123" s="120" t="s">
        <v>6</v>
      </c>
      <c r="C123" s="75" t="s">
        <v>18</v>
      </c>
      <c r="D123" s="88">
        <v>336298</v>
      </c>
      <c r="E123" s="2"/>
      <c r="F123" s="2"/>
      <c r="G123" s="30"/>
      <c r="H123" s="30"/>
      <c r="I123" s="2"/>
      <c r="J123" s="2"/>
      <c r="K123" s="2"/>
      <c r="L123" s="2"/>
      <c r="M123" s="41"/>
      <c r="N123" s="42"/>
      <c r="O123" s="2"/>
    </row>
    <row r="124" spans="1:15" s="70" customFormat="1" ht="12.75" customHeight="1" x14ac:dyDescent="0.2">
      <c r="A124" s="87">
        <v>45288</v>
      </c>
      <c r="B124" s="120" t="s">
        <v>6</v>
      </c>
      <c r="C124" s="75" t="s">
        <v>270</v>
      </c>
      <c r="D124" s="88">
        <v>2034458</v>
      </c>
      <c r="E124" s="2"/>
      <c r="F124" s="2"/>
      <c r="G124" s="30"/>
      <c r="H124" s="30"/>
      <c r="I124" s="2"/>
      <c r="J124" s="2"/>
      <c r="K124" s="2"/>
      <c r="L124" s="2"/>
      <c r="M124" s="41"/>
      <c r="N124" s="42"/>
      <c r="O124" s="2"/>
    </row>
    <row r="125" spans="1:15" s="70" customFormat="1" ht="12.75" customHeight="1" x14ac:dyDescent="0.2">
      <c r="A125" s="87">
        <v>45288</v>
      </c>
      <c r="B125" s="120" t="s">
        <v>6</v>
      </c>
      <c r="C125" s="75" t="s">
        <v>606</v>
      </c>
      <c r="D125" s="88">
        <v>4396856</v>
      </c>
      <c r="E125" s="2"/>
      <c r="F125" s="2"/>
      <c r="G125" s="30"/>
      <c r="H125" s="30"/>
      <c r="I125" s="2"/>
      <c r="J125" s="2"/>
      <c r="K125" s="2"/>
      <c r="L125" s="2"/>
      <c r="M125" s="41"/>
      <c r="N125" s="42"/>
      <c r="O125" s="2"/>
    </row>
    <row r="126" spans="1:15" s="2" customFormat="1" x14ac:dyDescent="0.2">
      <c r="A126" s="87"/>
      <c r="B126" s="74"/>
      <c r="C126" s="75"/>
      <c r="D126" s="51">
        <f>SUM(D90:D125)</f>
        <v>82151279.849999994</v>
      </c>
      <c r="F126" s="2" t="s">
        <v>396</v>
      </c>
      <c r="G126" s="1"/>
      <c r="H126" s="1"/>
    </row>
    <row r="127" spans="1:15" s="2" customFormat="1" x14ac:dyDescent="0.2">
      <c r="A127" s="24"/>
      <c r="B127" s="1"/>
      <c r="C127" s="14"/>
      <c r="D127" s="56"/>
      <c r="E127" s="13"/>
      <c r="G127" s="1"/>
      <c r="H127" s="1"/>
    </row>
    <row r="128" spans="1:15" s="2" customFormat="1" x14ac:dyDescent="0.2">
      <c r="A128" s="24"/>
      <c r="B128" s="1"/>
      <c r="C128" s="218" t="s">
        <v>77</v>
      </c>
      <c r="D128" s="219"/>
      <c r="E128" s="219"/>
      <c r="F128" s="220"/>
      <c r="I128" s="2" t="s">
        <v>396</v>
      </c>
    </row>
    <row r="129" spans="1:14" s="2" customFormat="1" x14ac:dyDescent="0.2">
      <c r="A129" s="24"/>
      <c r="B129" s="1"/>
      <c r="C129" s="50"/>
      <c r="D129" s="57" t="s">
        <v>78</v>
      </c>
      <c r="E129" s="58" t="s">
        <v>79</v>
      </c>
      <c r="F129" s="57" t="s">
        <v>72</v>
      </c>
      <c r="I129" s="2" t="s">
        <v>396</v>
      </c>
    </row>
    <row r="130" spans="1:14" s="2" customFormat="1" x14ac:dyDescent="0.2">
      <c r="A130" s="24"/>
      <c r="B130" s="1"/>
      <c r="C130" s="59" t="str">
        <f>"01-12-2023 to "&amp;TEXT(A5-2,"dd-mm-yyyy")</f>
        <v>01-12-2023 to 27-12-2023</v>
      </c>
      <c r="D130" s="60">
        <v>2027.54</v>
      </c>
      <c r="E130" s="60">
        <v>618.32000000000005</v>
      </c>
      <c r="F130" s="61">
        <f>SUM(D130:E130)</f>
        <v>2645.86</v>
      </c>
    </row>
    <row r="131" spans="1:14" s="2" customFormat="1" x14ac:dyDescent="0.2">
      <c r="A131" s="24"/>
      <c r="B131" s="1"/>
      <c r="C131" s="62" t="str">
        <f>TEXT(A5-1,"dd-mm-yyyy")</f>
        <v>28-12-2023</v>
      </c>
      <c r="D131" s="60">
        <v>141.47999999999999</v>
      </c>
      <c r="E131" s="60">
        <v>27.02</v>
      </c>
      <c r="F131" s="61">
        <f>SUM(D131:E131)</f>
        <v>168.5</v>
      </c>
      <c r="G131" s="1"/>
      <c r="H131" s="1"/>
      <c r="I131" s="53"/>
    </row>
    <row r="132" spans="1:14" s="2" customFormat="1" ht="13.5" thickBot="1" x14ac:dyDescent="0.25">
      <c r="A132" s="24"/>
      <c r="B132" s="1"/>
      <c r="C132" s="63" t="str">
        <f>"01-12-2023 to "&amp;TEXT(A5-1,"dd-mm-yyyy")</f>
        <v>01-12-2023 to 28-12-2023</v>
      </c>
      <c r="D132" s="64">
        <f>SUM(D130:D131)</f>
        <v>2169.02</v>
      </c>
      <c r="E132" s="64">
        <f>SUM(E130:E131)</f>
        <v>645.34</v>
      </c>
      <c r="F132" s="64">
        <f>SUM(F130:F131)</f>
        <v>2814.36</v>
      </c>
      <c r="G132" s="1"/>
      <c r="H132" s="1"/>
      <c r="I132" s="53"/>
    </row>
    <row r="133" spans="1:14" s="2" customFormat="1" ht="13.5" thickTop="1" x14ac:dyDescent="0.2">
      <c r="A133" s="24"/>
      <c r="B133" s="1"/>
      <c r="C133" s="62"/>
      <c r="D133" s="65"/>
      <c r="E133" s="66"/>
      <c r="F133" s="67"/>
      <c r="M133" s="1"/>
      <c r="N133" s="1"/>
    </row>
    <row r="134" spans="1:14" s="2" customFormat="1" x14ac:dyDescent="0.2">
      <c r="A134" s="24"/>
      <c r="B134" s="1"/>
      <c r="C134" s="62" t="str">
        <f>"01-04-2023 to " &amp;C131</f>
        <v>01-04-2023 to 28-12-2023</v>
      </c>
      <c r="D134" s="68">
        <f>+D132+32234.22</f>
        <v>34403.24</v>
      </c>
      <c r="E134" s="68">
        <f>+E132+3134.59</f>
        <v>3779.9300000000003</v>
      </c>
      <c r="F134" s="68">
        <f>+F132+35368.81</f>
        <v>38183.17</v>
      </c>
      <c r="G134" s="1"/>
      <c r="H134" s="1"/>
      <c r="M134" s="1"/>
      <c r="N134" s="1"/>
    </row>
    <row r="135" spans="1:14" s="2" customFormat="1" x14ac:dyDescent="0.2">
      <c r="A135" s="24"/>
      <c r="B135" s="1"/>
      <c r="C135" s="52"/>
      <c r="D135" s="85"/>
      <c r="E135" s="53"/>
      <c r="F135" s="53"/>
      <c r="G135" s="1"/>
      <c r="H135" s="1"/>
      <c r="M135" s="1"/>
      <c r="N135" s="1"/>
    </row>
    <row r="136" spans="1:14" s="2" customFormat="1" x14ac:dyDescent="0.2">
      <c r="A136" s="24"/>
      <c r="B136" s="1"/>
      <c r="C136" s="52"/>
      <c r="D136" s="85"/>
      <c r="E136" s="53"/>
      <c r="F136" s="53"/>
      <c r="G136" s="1"/>
      <c r="H136" s="1"/>
      <c r="M136" s="1"/>
      <c r="N136" s="1"/>
    </row>
    <row r="137" spans="1:14" s="2" customFormat="1" x14ac:dyDescent="0.2">
      <c r="A137" s="24"/>
      <c r="B137" s="1"/>
      <c r="C137" s="52"/>
      <c r="D137" s="85"/>
      <c r="E137" s="53"/>
      <c r="F137" s="53"/>
      <c r="G137" s="1"/>
      <c r="H137" s="1"/>
      <c r="M137" s="1"/>
      <c r="N137" s="1"/>
    </row>
    <row r="138" spans="1:14" s="2" customFormat="1" x14ac:dyDescent="0.2">
      <c r="A138" s="24"/>
      <c r="B138" s="1"/>
      <c r="C138" s="52"/>
      <c r="D138" s="85"/>
      <c r="E138" s="53"/>
      <c r="F138" s="53"/>
      <c r="G138" s="1"/>
      <c r="H138" s="1"/>
      <c r="M138" s="1"/>
      <c r="N138" s="1"/>
    </row>
    <row r="139" spans="1:14" s="2" customFormat="1" x14ac:dyDescent="0.2">
      <c r="A139" s="24"/>
      <c r="B139" s="1"/>
      <c r="C139" s="14"/>
      <c r="D139" s="25">
        <f>SUM(D136:D138)</f>
        <v>0</v>
      </c>
      <c r="E139" s="2">
        <f>SUM(E136:E138)</f>
        <v>0</v>
      </c>
      <c r="G139" s="1"/>
      <c r="H139" s="1"/>
      <c r="M139" s="1"/>
      <c r="N139" s="1"/>
    </row>
    <row r="140" spans="1:14" s="2" customFormat="1" x14ac:dyDescent="0.2">
      <c r="A140" s="24"/>
      <c r="B140" s="1"/>
      <c r="C140" s="14"/>
      <c r="D140" s="25"/>
      <c r="G140" s="1"/>
      <c r="H140" s="1"/>
      <c r="M140" s="1"/>
      <c r="N140" s="1"/>
    </row>
    <row r="141" spans="1:14" s="2" customFormat="1" x14ac:dyDescent="0.2">
      <c r="A141" s="24"/>
      <c r="B141" s="1"/>
      <c r="C141" s="14"/>
      <c r="D141" s="25"/>
      <c r="G141" s="1"/>
      <c r="H141" s="1"/>
      <c r="M141" s="1"/>
      <c r="N141" s="1"/>
    </row>
    <row r="142" spans="1:14" s="2" customFormat="1" x14ac:dyDescent="0.2">
      <c r="A142" s="24"/>
      <c r="B142" s="1"/>
      <c r="C142" s="14"/>
      <c r="D142" s="25"/>
      <c r="G142" s="1"/>
      <c r="H142" s="1"/>
      <c r="M142" s="1"/>
      <c r="N142" s="1"/>
    </row>
    <row r="143" spans="1:14" s="2" customFormat="1" x14ac:dyDescent="0.2">
      <c r="A143" s="24"/>
      <c r="B143" s="1"/>
      <c r="C143" s="14"/>
      <c r="D143" s="25"/>
      <c r="G143" s="1"/>
      <c r="H143" s="1"/>
      <c r="M143" s="1"/>
      <c r="N143" s="1"/>
    </row>
    <row r="144" spans="1:14" s="2" customFormat="1" x14ac:dyDescent="0.2">
      <c r="A144" s="24"/>
      <c r="B144" s="1"/>
      <c r="C144" s="14"/>
      <c r="D144" s="25"/>
      <c r="G144" s="1"/>
      <c r="H144" s="1"/>
      <c r="M144" s="1"/>
      <c r="N144" s="1"/>
    </row>
    <row r="145" spans="1:15" s="2" customFormat="1" x14ac:dyDescent="0.2">
      <c r="A145" s="24"/>
      <c r="B145" s="1"/>
      <c r="C145" s="14"/>
      <c r="D145" s="25"/>
      <c r="G145" s="1"/>
      <c r="H145" s="1"/>
      <c r="M145" s="1"/>
      <c r="N145" s="1"/>
    </row>
    <row r="146" spans="1:15" s="2" customFormat="1" x14ac:dyDescent="0.2">
      <c r="A146" s="24"/>
      <c r="B146" s="1"/>
      <c r="C146" s="14"/>
      <c r="D146" s="25"/>
      <c r="G146" s="1"/>
      <c r="H146" s="1"/>
      <c r="M146" s="1"/>
      <c r="N146" s="1"/>
    </row>
    <row r="147" spans="1:15" s="2" customFormat="1" x14ac:dyDescent="0.2">
      <c r="A147" s="24"/>
      <c r="B147" s="1"/>
      <c r="C147" s="14"/>
      <c r="D147" s="25"/>
      <c r="G147" s="1"/>
      <c r="H147" s="1"/>
      <c r="M147" s="1"/>
      <c r="N147" s="1"/>
    </row>
    <row r="148" spans="1:15" s="2" customFormat="1" x14ac:dyDescent="0.2">
      <c r="A148" s="24"/>
      <c r="B148" s="1"/>
      <c r="C148" s="14"/>
      <c r="D148" s="25"/>
      <c r="G148" s="1"/>
      <c r="H148" s="1"/>
      <c r="M148" s="1"/>
      <c r="N148" s="1"/>
    </row>
    <row r="149" spans="1:15" s="2" customFormat="1" x14ac:dyDescent="0.2">
      <c r="A149" s="24"/>
      <c r="B149" s="1"/>
      <c r="C149" s="14"/>
      <c r="D149" s="25"/>
      <c r="G149" s="1"/>
      <c r="H149" s="1"/>
      <c r="M149" s="1"/>
      <c r="N149" s="1"/>
    </row>
    <row r="150" spans="1:15" s="2" customFormat="1" x14ac:dyDescent="0.2">
      <c r="A150" s="24"/>
      <c r="B150" s="1"/>
      <c r="C150" s="14"/>
      <c r="D150" s="25"/>
      <c r="G150" s="1"/>
      <c r="H150" s="1"/>
      <c r="M150" s="1"/>
      <c r="N150" s="1"/>
    </row>
    <row r="151" spans="1:15" s="2" customFormat="1" x14ac:dyDescent="0.2">
      <c r="A151" s="24"/>
      <c r="B151" s="1"/>
      <c r="C151" s="14"/>
      <c r="D151" s="25"/>
      <c r="G151" s="1"/>
      <c r="H151" s="1"/>
      <c r="M151" s="1"/>
      <c r="N151" s="1"/>
    </row>
    <row r="152" spans="1:15" s="2" customFormat="1" x14ac:dyDescent="0.2">
      <c r="A152" s="24"/>
      <c r="B152" s="1"/>
      <c r="C152" s="14"/>
      <c r="D152" s="25"/>
      <c r="G152" s="1"/>
      <c r="H152" s="1"/>
      <c r="M152" s="1"/>
      <c r="N152" s="1"/>
    </row>
    <row r="153" spans="1:15" s="2" customFormat="1" x14ac:dyDescent="0.2">
      <c r="A153" s="24"/>
      <c r="B153" s="1"/>
      <c r="C153" s="14"/>
      <c r="D153" s="25"/>
      <c r="G153" s="1"/>
      <c r="H153" s="1"/>
      <c r="J153" s="1"/>
      <c r="K153" s="1"/>
      <c r="L153" s="1"/>
      <c r="M153" s="1"/>
      <c r="N153" s="1"/>
    </row>
    <row r="154" spans="1:15" s="2" customFormat="1" x14ac:dyDescent="0.2">
      <c r="A154" s="24"/>
      <c r="B154" s="1"/>
      <c r="C154" s="14"/>
      <c r="D154" s="25"/>
      <c r="G154" s="1"/>
      <c r="H154" s="1"/>
    </row>
    <row r="155" spans="1:15" s="2" customFormat="1" x14ac:dyDescent="0.2">
      <c r="A155" s="24"/>
      <c r="B155" s="1"/>
      <c r="C155" s="14"/>
      <c r="D155" s="25"/>
      <c r="G155" s="1"/>
      <c r="H155" s="1"/>
      <c r="J155" s="1"/>
      <c r="K155" s="1"/>
      <c r="L155" s="1"/>
      <c r="M155" s="1"/>
      <c r="N155" s="1"/>
    </row>
    <row r="156" spans="1:15" s="2" customFormat="1" x14ac:dyDescent="0.2">
      <c r="A156" s="24"/>
      <c r="B156" s="1"/>
      <c r="C156" s="14"/>
      <c r="D156" s="25"/>
      <c r="G156" s="54"/>
      <c r="H156" s="54"/>
      <c r="J156" s="1"/>
      <c r="K156" s="1"/>
      <c r="L156" s="1"/>
      <c r="M156" s="1"/>
      <c r="N156" s="1"/>
    </row>
    <row r="157" spans="1:15" s="2" customFormat="1" x14ac:dyDescent="0.2">
      <c r="A157" s="24"/>
      <c r="B157" s="1"/>
      <c r="C157" s="14"/>
      <c r="D157" s="25"/>
      <c r="G157" s="54"/>
      <c r="H157" s="54"/>
      <c r="J157" s="1"/>
      <c r="K157" s="1"/>
      <c r="L157" s="1"/>
      <c r="M157" s="1"/>
      <c r="N157" s="1"/>
    </row>
    <row r="158" spans="1:15" s="2" customFormat="1" x14ac:dyDescent="0.2">
      <c r="A158" s="24"/>
      <c r="B158" s="1"/>
      <c r="C158" s="14"/>
      <c r="D158" s="25"/>
      <c r="G158" s="54"/>
      <c r="H158" s="54"/>
      <c r="J158" s="1"/>
      <c r="K158" s="1"/>
      <c r="L158" s="1"/>
      <c r="M158" s="1"/>
      <c r="N158" s="1"/>
    </row>
    <row r="159" spans="1:15" s="2" customFormat="1" x14ac:dyDescent="0.2">
      <c r="A159" s="24"/>
      <c r="B159" s="1"/>
      <c r="C159" s="14"/>
      <c r="D159" s="25"/>
      <c r="G159" s="54"/>
      <c r="H159" s="54"/>
      <c r="I159" s="2" t="s">
        <v>396</v>
      </c>
      <c r="J159" s="1"/>
      <c r="K159" s="1"/>
      <c r="L159" s="1"/>
      <c r="M159" s="1"/>
      <c r="N159" s="1"/>
      <c r="O159" s="1"/>
    </row>
    <row r="160" spans="1:15" s="2" customFormat="1" x14ac:dyDescent="0.2">
      <c r="A160" s="24"/>
      <c r="B160" s="1"/>
      <c r="C160" s="14"/>
      <c r="D160" s="25"/>
      <c r="G160" s="54"/>
      <c r="H160" s="54"/>
      <c r="I160" s="53"/>
    </row>
    <row r="161" spans="1:15" s="2" customFormat="1" x14ac:dyDescent="0.2">
      <c r="A161" s="24"/>
      <c r="B161" s="1"/>
      <c r="C161" s="14"/>
      <c r="D161" s="25"/>
      <c r="G161" s="54"/>
      <c r="H161" s="54"/>
      <c r="I161" s="53" t="s">
        <v>396</v>
      </c>
      <c r="J161" s="1"/>
      <c r="K161" s="1"/>
      <c r="L161" s="1"/>
      <c r="M161" s="1"/>
      <c r="N161" s="1"/>
      <c r="O161" s="1"/>
    </row>
    <row r="162" spans="1:15" x14ac:dyDescent="0.2">
      <c r="G162" s="54"/>
      <c r="H162" s="54"/>
      <c r="I162" s="53" t="s">
        <v>396</v>
      </c>
      <c r="K162" s="42"/>
    </row>
    <row r="163" spans="1:15" s="2" customFormat="1" x14ac:dyDescent="0.2">
      <c r="A163" s="24"/>
      <c r="B163" s="1"/>
      <c r="C163" s="14"/>
      <c r="D163" s="25"/>
      <c r="G163" s="54"/>
      <c r="H163" s="54"/>
      <c r="I163" s="53"/>
      <c r="J163" s="101"/>
      <c r="K163" s="1"/>
      <c r="L163" s="1"/>
      <c r="M163" s="1"/>
      <c r="N163" s="1"/>
      <c r="O163" s="1"/>
    </row>
    <row r="164" spans="1:15" x14ac:dyDescent="0.2">
      <c r="G164" s="54"/>
      <c r="H164" s="54"/>
      <c r="I164" s="53"/>
    </row>
    <row r="165" spans="1:15" x14ac:dyDescent="0.2">
      <c r="G165" s="54"/>
      <c r="H165" s="54"/>
      <c r="I165" s="53"/>
    </row>
    <row r="166" spans="1:15" x14ac:dyDescent="0.2">
      <c r="G166" s="54"/>
      <c r="H166" s="54"/>
      <c r="I166" s="53"/>
    </row>
  </sheetData>
  <sheetProtection insertRows="0"/>
  <mergeCells count="7">
    <mergeCell ref="K81:L81"/>
    <mergeCell ref="A88:D88"/>
    <mergeCell ref="C128:F128"/>
    <mergeCell ref="A1:H1"/>
    <mergeCell ref="A3:F3"/>
    <mergeCell ref="A9:F9"/>
    <mergeCell ref="A38:F38"/>
  </mergeCells>
  <conditionalFormatting sqref="H85:H86">
    <cfRule type="cellIs" dxfId="151" priority="1" operator="lessThan">
      <formula>0</formula>
    </cfRule>
  </conditionalFormatting>
  <conditionalFormatting sqref="C40">
    <cfRule type="duplicateValues" dxfId="150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700-000000000000}">
  <sheetPr codeName="Sheet511">
    <pageSetUpPr fitToPage="1"/>
  </sheetPr>
  <dimension ref="A1:O162"/>
  <sheetViews>
    <sheetView topLeftCell="A118" zoomScaleNormal="100" workbookViewId="0">
      <selection activeCell="F59" sqref="F59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12.85546875" style="1" customWidth="1"/>
    <col min="9" max="9" width="24.85546875" style="2" bestFit="1" customWidth="1"/>
    <col min="10" max="10" width="21.5703125" style="1" bestFit="1" customWidth="1"/>
    <col min="11" max="11" width="16.85546875" style="1" bestFit="1" customWidth="1"/>
    <col min="12" max="12" width="17.28515625" style="1" bestFit="1" customWidth="1"/>
    <col min="13" max="13" width="13.5703125" style="1" bestFit="1" customWidth="1"/>
    <col min="14" max="14" width="17.42578125" style="1" bestFit="1" customWidth="1"/>
    <col min="15" max="15" width="12.85546875" style="1" bestFit="1" customWidth="1"/>
    <col min="16" max="17" width="9.140625" style="1"/>
    <col min="18" max="18" width="15.5703125" style="1" bestFit="1" customWidth="1"/>
    <col min="19" max="16384" width="9.140625" style="1"/>
  </cols>
  <sheetData>
    <row r="1" spans="1:14" ht="20.25" customHeight="1" x14ac:dyDescent="0.4">
      <c r="A1" s="212" t="s">
        <v>1923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4" ht="12.75" customHeight="1" x14ac:dyDescent="0.4">
      <c r="I2" s="112"/>
      <c r="J2" s="112"/>
    </row>
    <row r="3" spans="1:14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4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4" s="2" customFormat="1" ht="14.25" customHeight="1" x14ac:dyDescent="0.4">
      <c r="A5" s="89">
        <v>45290</v>
      </c>
      <c r="B5" s="9" t="s">
        <v>6</v>
      </c>
      <c r="C5" s="10" t="s">
        <v>7</v>
      </c>
      <c r="D5" s="11"/>
      <c r="E5" s="12">
        <v>670047.23000000045</v>
      </c>
      <c r="F5" s="12"/>
      <c r="G5" s="1"/>
      <c r="H5" s="1"/>
      <c r="I5" s="112"/>
      <c r="J5" s="112"/>
    </row>
    <row r="6" spans="1:14" s="2" customFormat="1" ht="12.75" customHeight="1" x14ac:dyDescent="0.2">
      <c r="D6" s="15" t="s">
        <v>8</v>
      </c>
      <c r="E6" s="16">
        <f>SUM(E5:E5)</f>
        <v>670047.23000000045</v>
      </c>
      <c r="F6" s="16">
        <f>F5</f>
        <v>0</v>
      </c>
      <c r="G6" s="1"/>
      <c r="H6" s="1"/>
      <c r="I6" s="13" t="s">
        <v>1582</v>
      </c>
      <c r="J6" s="13" t="s">
        <v>1583</v>
      </c>
    </row>
    <row r="7" spans="1:14" s="2" customFormat="1" ht="12.75" customHeight="1" x14ac:dyDescent="0.2">
      <c r="A7" s="17"/>
      <c r="B7" s="18"/>
      <c r="C7" s="19" t="s">
        <v>9</v>
      </c>
      <c r="D7" s="20"/>
      <c r="E7" s="21">
        <f>+E6-F6</f>
        <v>670047.23000000045</v>
      </c>
      <c r="F7" s="22"/>
      <c r="G7" s="23"/>
      <c r="H7" s="23"/>
      <c r="I7" s="2">
        <v>0</v>
      </c>
      <c r="J7" s="2">
        <v>144430</v>
      </c>
      <c r="K7" s="176">
        <f>I7-J7</f>
        <v>-144430</v>
      </c>
    </row>
    <row r="8" spans="1:14" ht="12.75" customHeight="1" x14ac:dyDescent="0.4">
      <c r="I8" s="112"/>
      <c r="J8" s="112"/>
    </row>
    <row r="9" spans="1:14" ht="18" customHeight="1" x14ac:dyDescent="0.4">
      <c r="A9" s="213" t="s">
        <v>1037</v>
      </c>
      <c r="B9" s="213"/>
      <c r="C9" s="213"/>
      <c r="D9" s="213"/>
      <c r="E9" s="213"/>
      <c r="F9" s="213"/>
      <c r="I9" s="112"/>
      <c r="J9" s="169">
        <f>90000000-60000000</f>
        <v>30000000</v>
      </c>
      <c r="K9" s="169" t="s">
        <v>1508</v>
      </c>
    </row>
    <row r="10" spans="1:14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I10" s="112"/>
      <c r="J10" s="169">
        <v>26695761.469999999</v>
      </c>
      <c r="K10" s="169" t="s">
        <v>1509</v>
      </c>
      <c r="L10" s="124"/>
    </row>
    <row r="11" spans="1:14" s="2" customFormat="1" ht="14.25" customHeight="1" x14ac:dyDescent="0.2">
      <c r="A11" s="89">
        <v>45290</v>
      </c>
      <c r="B11" s="9" t="s">
        <v>6</v>
      </c>
      <c r="C11" s="10" t="s">
        <v>7</v>
      </c>
      <c r="D11" s="11"/>
      <c r="F11" s="12">
        <v>26037405.470000003</v>
      </c>
      <c r="G11" s="1"/>
      <c r="H11" s="1"/>
      <c r="I11" s="130" t="s">
        <v>396</v>
      </c>
      <c r="J11" s="169">
        <f>+J9-J10</f>
        <v>3304238.5300000012</v>
      </c>
      <c r="K11" s="169" t="s">
        <v>712</v>
      </c>
      <c r="L11" s="165" t="s">
        <v>1512</v>
      </c>
    </row>
    <row r="12" spans="1:14" s="2" customFormat="1" ht="14.25" customHeight="1" x14ac:dyDescent="0.2">
      <c r="A12" s="89">
        <v>45290</v>
      </c>
      <c r="B12" s="128" t="s">
        <v>11</v>
      </c>
      <c r="C12" s="76" t="s">
        <v>1924</v>
      </c>
      <c r="D12" s="11" t="s">
        <v>29</v>
      </c>
      <c r="E12" s="31"/>
      <c r="F12" s="31">
        <v>45430</v>
      </c>
      <c r="G12" s="1"/>
      <c r="H12" s="1"/>
      <c r="I12" s="130"/>
      <c r="J12" s="169"/>
      <c r="K12" s="169"/>
      <c r="L12" s="165"/>
    </row>
    <row r="13" spans="1:14" s="2" customFormat="1" ht="14.25" customHeight="1" x14ac:dyDescent="0.2">
      <c r="A13" s="89">
        <v>45290</v>
      </c>
      <c r="B13" s="128" t="s">
        <v>11</v>
      </c>
      <c r="C13" s="76" t="s">
        <v>1215</v>
      </c>
      <c r="D13" s="11" t="s">
        <v>29</v>
      </c>
      <c r="E13" s="31"/>
      <c r="F13" s="31">
        <v>99000</v>
      </c>
      <c r="G13" s="1"/>
      <c r="H13" s="1"/>
      <c r="I13" s="130"/>
      <c r="J13" s="169"/>
      <c r="K13" s="169"/>
      <c r="L13" s="165"/>
    </row>
    <row r="14" spans="1:14" s="2" customFormat="1" ht="14.25" customHeight="1" x14ac:dyDescent="0.2">
      <c r="A14" s="89">
        <v>45290</v>
      </c>
      <c r="B14" s="128" t="s">
        <v>11</v>
      </c>
      <c r="C14" s="76" t="s">
        <v>1681</v>
      </c>
      <c r="D14" s="11" t="s">
        <v>29</v>
      </c>
      <c r="E14" s="31"/>
      <c r="F14" s="31">
        <v>658356</v>
      </c>
      <c r="G14" s="1"/>
      <c r="H14" s="1"/>
      <c r="I14" s="130"/>
      <c r="J14" s="169"/>
      <c r="K14" s="169"/>
      <c r="L14" s="165"/>
    </row>
    <row r="15" spans="1:14" s="2" customFormat="1" ht="14.25" customHeight="1" x14ac:dyDescent="0.2">
      <c r="D15" s="11" t="s">
        <v>8</v>
      </c>
      <c r="E15" s="16">
        <f>SUM(E12:E13)</f>
        <v>0</v>
      </c>
      <c r="F15" s="16">
        <f>SUM(F11:F14)</f>
        <v>26840191.470000003</v>
      </c>
      <c r="G15" s="1"/>
      <c r="H15" s="1"/>
      <c r="I15" s="143"/>
      <c r="J15" s="130"/>
      <c r="K15" s="143"/>
      <c r="L15" s="143"/>
      <c r="M15" s="143"/>
      <c r="N15" s="143"/>
    </row>
    <row r="16" spans="1:14" s="2" customFormat="1" ht="14.25" customHeight="1" x14ac:dyDescent="0.4">
      <c r="A16" s="17"/>
      <c r="B16" s="18"/>
      <c r="C16" s="96" t="s">
        <v>9</v>
      </c>
      <c r="D16" s="20"/>
      <c r="E16" s="21">
        <f>+F15-E15</f>
        <v>26840191.470000003</v>
      </c>
      <c r="G16" s="1"/>
      <c r="H16" s="1"/>
      <c r="J16" s="112"/>
      <c r="K16" s="153" t="s">
        <v>779</v>
      </c>
    </row>
    <row r="17" spans="1:15" s="2" customFormat="1" ht="14.25" customHeight="1" x14ac:dyDescent="0.2">
      <c r="A17" s="36"/>
      <c r="B17" s="28" t="s">
        <v>66</v>
      </c>
      <c r="C17" s="43" t="s">
        <v>1458</v>
      </c>
      <c r="D17" s="43"/>
      <c r="E17" s="12">
        <f>30000000+60000000</f>
        <v>90000000</v>
      </c>
      <c r="F17" s="22"/>
      <c r="G17" s="1"/>
      <c r="H17" s="1"/>
      <c r="J17" s="40">
        <v>26181835.469999999</v>
      </c>
      <c r="K17" s="154">
        <f>J17-E16</f>
        <v>-658356.00000000373</v>
      </c>
    </row>
    <row r="18" spans="1:15" s="2" customFormat="1" ht="14.25" customHeight="1" x14ac:dyDescent="0.25">
      <c r="A18" s="36"/>
      <c r="B18" s="28"/>
      <c r="C18" s="44" t="s">
        <v>1541</v>
      </c>
      <c r="D18" s="43"/>
      <c r="E18" s="7">
        <f>+E16+E17</f>
        <v>116840191.47</v>
      </c>
      <c r="F18" s="22"/>
      <c r="G18" s="1"/>
      <c r="H18" s="1"/>
      <c r="I18" s="13" t="s">
        <v>1582</v>
      </c>
      <c r="J18" s="13" t="s">
        <v>1583</v>
      </c>
    </row>
    <row r="19" spans="1:15" s="2" customFormat="1" ht="14.25" customHeight="1" x14ac:dyDescent="0.25">
      <c r="A19" s="36"/>
      <c r="B19" s="28"/>
      <c r="C19" s="44" t="s">
        <v>1511</v>
      </c>
      <c r="D19" s="43"/>
      <c r="E19" s="38">
        <f>+J11+I7-J7</f>
        <v>3159808.5300000012</v>
      </c>
      <c r="F19" s="22"/>
      <c r="G19" s="1"/>
      <c r="H19" s="1"/>
      <c r="I19" s="2">
        <v>2172393</v>
      </c>
      <c r="J19" s="2">
        <v>17096522</v>
      </c>
      <c r="K19" s="176">
        <f>I19-J19</f>
        <v>-14924129</v>
      </c>
    </row>
    <row r="20" spans="1:15" s="2" customFormat="1" ht="14.25" customHeight="1" x14ac:dyDescent="0.2">
      <c r="A20" s="24"/>
      <c r="B20" s="1"/>
      <c r="C20" s="14"/>
      <c r="D20" s="25"/>
      <c r="G20" s="1"/>
      <c r="H20" s="1"/>
      <c r="J20" s="130"/>
      <c r="K20" s="130"/>
    </row>
    <row r="21" spans="1:15" s="2" customFormat="1" x14ac:dyDescent="0.2">
      <c r="A21" s="214" t="s">
        <v>10</v>
      </c>
      <c r="B21" s="214"/>
      <c r="C21" s="214"/>
      <c r="D21" s="214"/>
      <c r="E21" s="214"/>
      <c r="F21" s="214"/>
      <c r="G21" s="1"/>
      <c r="H21" s="1"/>
      <c r="I21" s="159"/>
      <c r="J21" s="160">
        <f>225000000-75000000-50000000+75000000</f>
        <v>175000000</v>
      </c>
      <c r="K21" s="160" t="s">
        <v>1506</v>
      </c>
      <c r="L21" s="70"/>
    </row>
    <row r="22" spans="1:15" s="2" customFormat="1" x14ac:dyDescent="0.2">
      <c r="A22" s="26" t="s">
        <v>1</v>
      </c>
      <c r="B22" s="27" t="s">
        <v>2</v>
      </c>
      <c r="C22" s="5"/>
      <c r="D22" s="6" t="s">
        <v>3</v>
      </c>
      <c r="E22" s="7" t="s">
        <v>4</v>
      </c>
      <c r="F22" s="7" t="s">
        <v>5</v>
      </c>
      <c r="G22" s="1"/>
      <c r="H22" s="1"/>
      <c r="I22" s="159"/>
      <c r="J22" s="160">
        <v>141976339.03</v>
      </c>
      <c r="K22" s="160" t="s">
        <v>1507</v>
      </c>
      <c r="L22" s="70" t="s">
        <v>1512</v>
      </c>
    </row>
    <row r="23" spans="1:15" s="2" customFormat="1" x14ac:dyDescent="0.2">
      <c r="A23" s="89">
        <v>45290</v>
      </c>
      <c r="B23" s="128" t="s">
        <v>11</v>
      </c>
      <c r="C23" s="29" t="s">
        <v>7</v>
      </c>
      <c r="D23" s="25"/>
      <c r="E23" s="31"/>
      <c r="F23" s="2">
        <v>163417485.09999999</v>
      </c>
      <c r="G23" s="23"/>
      <c r="H23" s="23"/>
      <c r="I23" s="159" t="s">
        <v>1505</v>
      </c>
      <c r="J23" s="160">
        <f>+J21-J22</f>
        <v>33023660.969999999</v>
      </c>
      <c r="K23" s="160"/>
      <c r="L23" s="70"/>
    </row>
    <row r="24" spans="1:15" s="2" customFormat="1" x14ac:dyDescent="0.2">
      <c r="A24" s="89">
        <v>45290</v>
      </c>
      <c r="B24" s="128" t="s">
        <v>6</v>
      </c>
      <c r="C24" s="76" t="s">
        <v>1708</v>
      </c>
      <c r="D24" s="11" t="s">
        <v>13</v>
      </c>
      <c r="E24" s="31">
        <v>185378</v>
      </c>
      <c r="F24" s="70"/>
      <c r="G24" s="1"/>
      <c r="H24" s="1"/>
      <c r="O24" s="1"/>
    </row>
    <row r="25" spans="1:15" s="2" customFormat="1" x14ac:dyDescent="0.2">
      <c r="A25" s="89">
        <v>45290</v>
      </c>
      <c r="B25" s="128" t="s">
        <v>6</v>
      </c>
      <c r="C25" s="76" t="s">
        <v>765</v>
      </c>
      <c r="D25" s="11" t="s">
        <v>13</v>
      </c>
      <c r="E25" s="31">
        <v>584746.07999999996</v>
      </c>
      <c r="F25" s="70"/>
      <c r="G25" s="1"/>
      <c r="H25" s="1"/>
      <c r="O25" s="1"/>
    </row>
    <row r="26" spans="1:15" s="2" customFormat="1" x14ac:dyDescent="0.2">
      <c r="A26" s="89">
        <v>45290</v>
      </c>
      <c r="B26" s="128" t="s">
        <v>6</v>
      </c>
      <c r="C26" s="76" t="s">
        <v>748</v>
      </c>
      <c r="D26" s="11" t="s">
        <v>13</v>
      </c>
      <c r="E26" s="31">
        <v>492928.3</v>
      </c>
      <c r="F26" s="70"/>
      <c r="G26" s="1"/>
      <c r="H26" s="1"/>
      <c r="O26" s="1"/>
    </row>
    <row r="27" spans="1:15" s="2" customFormat="1" x14ac:dyDescent="0.2">
      <c r="A27" s="89">
        <v>45290</v>
      </c>
      <c r="B27" s="128" t="s">
        <v>6</v>
      </c>
      <c r="C27" s="76" t="s">
        <v>758</v>
      </c>
      <c r="D27" s="11" t="s">
        <v>13</v>
      </c>
      <c r="E27" s="31">
        <v>759106.89</v>
      </c>
      <c r="F27" s="70"/>
      <c r="G27" s="1"/>
      <c r="H27" s="1"/>
      <c r="O27" s="1"/>
    </row>
    <row r="28" spans="1:15" s="2" customFormat="1" x14ac:dyDescent="0.2">
      <c r="A28" s="89">
        <v>45290</v>
      </c>
      <c r="B28" s="128" t="s">
        <v>6</v>
      </c>
      <c r="C28" s="76" t="s">
        <v>1925</v>
      </c>
      <c r="D28" s="11" t="s">
        <v>13</v>
      </c>
      <c r="E28" s="31">
        <v>26438137.559999999</v>
      </c>
      <c r="F28" s="70"/>
      <c r="G28" s="1"/>
      <c r="H28" s="1"/>
      <c r="O28" s="1"/>
    </row>
    <row r="29" spans="1:15" s="2" customFormat="1" x14ac:dyDescent="0.2">
      <c r="A29" s="89">
        <v>45290</v>
      </c>
      <c r="B29" s="128" t="s">
        <v>6</v>
      </c>
      <c r="C29" s="76" t="s">
        <v>749</v>
      </c>
      <c r="D29" s="11" t="s">
        <v>13</v>
      </c>
      <c r="E29" s="31">
        <v>2335235.7799999998</v>
      </c>
      <c r="F29" s="70"/>
      <c r="G29" s="1"/>
      <c r="H29" s="1"/>
      <c r="O29" s="1"/>
    </row>
    <row r="30" spans="1:15" s="2" customFormat="1" x14ac:dyDescent="0.2">
      <c r="A30" s="89">
        <v>45290</v>
      </c>
      <c r="B30" s="128" t="s">
        <v>6</v>
      </c>
      <c r="C30" s="76" t="s">
        <v>24</v>
      </c>
      <c r="D30" s="11" t="s">
        <v>13</v>
      </c>
      <c r="E30" s="31">
        <v>795060</v>
      </c>
      <c r="F30" s="70"/>
      <c r="G30" s="1"/>
      <c r="H30" s="1"/>
      <c r="O30" s="1"/>
    </row>
    <row r="31" spans="1:15" s="2" customFormat="1" x14ac:dyDescent="0.2">
      <c r="A31" s="89">
        <v>45290</v>
      </c>
      <c r="B31" s="128" t="s">
        <v>6</v>
      </c>
      <c r="C31" s="76" t="s">
        <v>1629</v>
      </c>
      <c r="D31" s="11" t="s">
        <v>13</v>
      </c>
      <c r="E31" s="31">
        <v>1559626</v>
      </c>
      <c r="F31" s="70"/>
      <c r="G31" s="1"/>
      <c r="H31" s="1"/>
      <c r="O31" s="1"/>
    </row>
    <row r="32" spans="1:15" s="2" customFormat="1" x14ac:dyDescent="0.2">
      <c r="A32" s="89">
        <v>45290</v>
      </c>
      <c r="B32" s="128" t="s">
        <v>6</v>
      </c>
      <c r="C32" s="76" t="s">
        <v>19</v>
      </c>
      <c r="D32" s="11" t="s">
        <v>13</v>
      </c>
      <c r="E32" s="31">
        <v>5245</v>
      </c>
      <c r="F32" s="70"/>
      <c r="G32" s="1"/>
      <c r="H32" s="1"/>
      <c r="O32" s="1"/>
    </row>
    <row r="33" spans="1:15" s="2" customFormat="1" x14ac:dyDescent="0.2">
      <c r="A33" s="89">
        <v>45290</v>
      </c>
      <c r="B33" s="128" t="s">
        <v>6</v>
      </c>
      <c r="C33" s="76" t="s">
        <v>244</v>
      </c>
      <c r="D33" s="11" t="s">
        <v>13</v>
      </c>
      <c r="E33" s="31">
        <v>435897</v>
      </c>
      <c r="F33" s="70"/>
      <c r="G33" s="1"/>
      <c r="H33" s="1"/>
      <c r="O33" s="1"/>
    </row>
    <row r="34" spans="1:15" s="2" customFormat="1" x14ac:dyDescent="0.2">
      <c r="A34" s="89">
        <v>45290</v>
      </c>
      <c r="B34" s="128" t="s">
        <v>6</v>
      </c>
      <c r="C34" s="76" t="s">
        <v>105</v>
      </c>
      <c r="D34" s="11" t="s">
        <v>13</v>
      </c>
      <c r="E34" s="31">
        <v>483326</v>
      </c>
      <c r="F34" s="70"/>
      <c r="G34" s="1"/>
      <c r="H34" s="1"/>
      <c r="O34" s="1"/>
    </row>
    <row r="35" spans="1:15" s="2" customFormat="1" x14ac:dyDescent="0.2">
      <c r="A35" s="89">
        <v>45290</v>
      </c>
      <c r="B35" s="128" t="s">
        <v>6</v>
      </c>
      <c r="C35" s="76" t="s">
        <v>694</v>
      </c>
      <c r="D35" s="11" t="s">
        <v>13</v>
      </c>
      <c r="E35" s="31">
        <v>1000000</v>
      </c>
      <c r="F35" s="70"/>
      <c r="G35" s="1"/>
      <c r="H35" s="1"/>
      <c r="O35" s="1"/>
    </row>
    <row r="36" spans="1:15" s="2" customFormat="1" x14ac:dyDescent="0.2">
      <c r="A36" s="89">
        <v>45290</v>
      </c>
      <c r="B36" s="128" t="s">
        <v>6</v>
      </c>
      <c r="C36" s="76" t="s">
        <v>1647</v>
      </c>
      <c r="D36" s="11" t="s">
        <v>13</v>
      </c>
      <c r="E36" s="31">
        <v>19997</v>
      </c>
      <c r="F36" s="70"/>
      <c r="G36" s="1"/>
      <c r="H36" s="1"/>
      <c r="O36" s="1"/>
    </row>
    <row r="37" spans="1:15" s="2" customFormat="1" x14ac:dyDescent="0.2">
      <c r="A37" s="89">
        <v>45290</v>
      </c>
      <c r="B37" s="128" t="s">
        <v>6</v>
      </c>
      <c r="C37" s="76" t="s">
        <v>1926</v>
      </c>
      <c r="D37" s="11" t="s">
        <v>13</v>
      </c>
      <c r="E37" s="31">
        <v>4956</v>
      </c>
      <c r="F37" s="70"/>
      <c r="G37" s="1"/>
      <c r="H37" s="1"/>
      <c r="O37" s="1"/>
    </row>
    <row r="38" spans="1:15" s="2" customFormat="1" x14ac:dyDescent="0.2">
      <c r="A38" s="89">
        <v>45290</v>
      </c>
      <c r="B38" s="128" t="s">
        <v>6</v>
      </c>
      <c r="C38" s="76" t="s">
        <v>1927</v>
      </c>
      <c r="D38" s="11" t="s">
        <v>13</v>
      </c>
      <c r="E38" s="31">
        <v>36750</v>
      </c>
      <c r="F38" s="70"/>
      <c r="G38" s="1"/>
      <c r="H38" s="1"/>
      <c r="O38" s="1"/>
    </row>
    <row r="39" spans="1:15" s="2" customFormat="1" x14ac:dyDescent="0.2">
      <c r="A39" s="89">
        <v>45290</v>
      </c>
      <c r="B39" s="128" t="s">
        <v>6</v>
      </c>
      <c r="C39" s="76" t="s">
        <v>1928</v>
      </c>
      <c r="D39" s="11" t="s">
        <v>13</v>
      </c>
      <c r="E39" s="31">
        <v>4935</v>
      </c>
      <c r="F39" s="70"/>
      <c r="G39" s="1"/>
      <c r="H39" s="1"/>
      <c r="O39" s="1"/>
    </row>
    <row r="40" spans="1:15" s="2" customFormat="1" x14ac:dyDescent="0.2">
      <c r="A40" s="89">
        <v>45290</v>
      </c>
      <c r="B40" s="128" t="s">
        <v>6</v>
      </c>
      <c r="C40" s="76" t="s">
        <v>122</v>
      </c>
      <c r="D40" s="11" t="s">
        <v>13</v>
      </c>
      <c r="E40" s="31">
        <v>147422</v>
      </c>
      <c r="F40" s="70"/>
      <c r="G40" s="1"/>
      <c r="H40" s="1"/>
      <c r="O40" s="1"/>
    </row>
    <row r="41" spans="1:15" s="2" customFormat="1" x14ac:dyDescent="0.2">
      <c r="A41" s="89">
        <v>45290</v>
      </c>
      <c r="B41" s="128" t="s">
        <v>6</v>
      </c>
      <c r="C41" s="76" t="s">
        <v>15</v>
      </c>
      <c r="D41" s="11" t="s">
        <v>13</v>
      </c>
      <c r="E41" s="31">
        <v>1054.0899999999999</v>
      </c>
      <c r="F41" s="70"/>
      <c r="G41" s="1"/>
      <c r="H41" s="1"/>
      <c r="O41" s="1"/>
    </row>
    <row r="42" spans="1:15" s="2" customFormat="1" x14ac:dyDescent="0.2">
      <c r="A42" s="89">
        <v>45290</v>
      </c>
      <c r="B42" s="128" t="s">
        <v>6</v>
      </c>
      <c r="C42" s="76" t="s">
        <v>1831</v>
      </c>
      <c r="D42" s="11" t="s">
        <v>13</v>
      </c>
      <c r="E42" s="31">
        <v>500000</v>
      </c>
      <c r="F42" s="70"/>
      <c r="G42" s="1"/>
      <c r="H42" s="1"/>
      <c r="O42" s="1"/>
    </row>
    <row r="43" spans="1:15" s="2" customFormat="1" x14ac:dyDescent="0.2">
      <c r="A43" s="89">
        <v>45290</v>
      </c>
      <c r="B43" s="128" t="s">
        <v>6</v>
      </c>
      <c r="C43" s="76" t="s">
        <v>165</v>
      </c>
      <c r="D43" s="11" t="s">
        <v>13</v>
      </c>
      <c r="E43" s="31">
        <v>1512</v>
      </c>
      <c r="F43" s="70"/>
      <c r="G43" s="1"/>
      <c r="H43" s="1"/>
      <c r="O43" s="1"/>
    </row>
    <row r="44" spans="1:15" s="2" customFormat="1" x14ac:dyDescent="0.2">
      <c r="A44" s="89">
        <v>45290</v>
      </c>
      <c r="B44" s="128" t="s">
        <v>6</v>
      </c>
      <c r="C44" s="76" t="s">
        <v>27</v>
      </c>
      <c r="D44" s="11" t="s">
        <v>13</v>
      </c>
      <c r="E44" s="31">
        <v>3903897.53</v>
      </c>
      <c r="F44" s="70"/>
      <c r="G44" s="1"/>
      <c r="H44" s="1"/>
      <c r="O44" s="1"/>
    </row>
    <row r="45" spans="1:15" s="2" customFormat="1" x14ac:dyDescent="0.2">
      <c r="A45" s="89">
        <v>45290</v>
      </c>
      <c r="B45" s="128" t="s">
        <v>11</v>
      </c>
      <c r="C45" s="76" t="s">
        <v>1929</v>
      </c>
      <c r="D45" s="11" t="s">
        <v>29</v>
      </c>
      <c r="E45" s="31"/>
      <c r="F45" s="70">
        <v>20000000</v>
      </c>
      <c r="G45" s="1"/>
      <c r="H45" s="1"/>
      <c r="O45" s="1"/>
    </row>
    <row r="46" spans="1:15" s="2" customFormat="1" x14ac:dyDescent="0.2">
      <c r="A46" s="89">
        <v>45290</v>
      </c>
      <c r="B46" s="128" t="s">
        <v>11</v>
      </c>
      <c r="C46" s="76" t="s">
        <v>64</v>
      </c>
      <c r="D46" s="11" t="s">
        <v>29</v>
      </c>
      <c r="E46" s="31"/>
      <c r="F46" s="70">
        <f>7375+1475</f>
        <v>8850</v>
      </c>
      <c r="G46" s="1"/>
      <c r="H46" s="1"/>
      <c r="O46" s="1"/>
    </row>
    <row r="47" spans="1:15" s="2" customFormat="1" x14ac:dyDescent="0.2">
      <c r="A47" s="89">
        <v>45290</v>
      </c>
      <c r="B47" s="128" t="s">
        <v>11</v>
      </c>
      <c r="C47" s="76" t="s">
        <v>1131</v>
      </c>
      <c r="D47" s="11" t="s">
        <v>29</v>
      </c>
      <c r="E47" s="31"/>
      <c r="F47" s="70">
        <v>1455292</v>
      </c>
      <c r="G47" s="1"/>
      <c r="H47" s="1"/>
      <c r="O47" s="1"/>
    </row>
    <row r="48" spans="1:15" s="2" customFormat="1" x14ac:dyDescent="0.2">
      <c r="A48" s="89">
        <v>45290</v>
      </c>
      <c r="B48" s="128" t="s">
        <v>11</v>
      </c>
      <c r="C48" s="76" t="s">
        <v>109</v>
      </c>
      <c r="D48" s="11" t="s">
        <v>29</v>
      </c>
      <c r="E48" s="31"/>
      <c r="F48" s="70">
        <v>860672</v>
      </c>
      <c r="G48" s="1"/>
      <c r="H48" s="1"/>
      <c r="O48" s="1"/>
    </row>
    <row r="49" spans="1:15" s="2" customFormat="1" x14ac:dyDescent="0.2">
      <c r="A49" s="89">
        <v>45290</v>
      </c>
      <c r="B49" s="128" t="s">
        <v>11</v>
      </c>
      <c r="C49" s="76" t="s">
        <v>112</v>
      </c>
      <c r="D49" s="11" t="s">
        <v>29</v>
      </c>
      <c r="E49" s="31"/>
      <c r="F49" s="70">
        <v>468230</v>
      </c>
      <c r="G49" s="1"/>
      <c r="H49" s="1"/>
      <c r="O49" s="1"/>
    </row>
    <row r="50" spans="1:15" s="2" customFormat="1" x14ac:dyDescent="0.2">
      <c r="A50" s="89">
        <v>45290</v>
      </c>
      <c r="B50" s="128" t="s">
        <v>11</v>
      </c>
      <c r="C50" s="76" t="s">
        <v>1810</v>
      </c>
      <c r="D50" s="11" t="s">
        <v>29</v>
      </c>
      <c r="E50" s="31"/>
      <c r="F50" s="70">
        <v>1989435</v>
      </c>
      <c r="G50" s="1"/>
      <c r="H50" s="1"/>
      <c r="O50" s="1"/>
    </row>
    <row r="51" spans="1:15" s="2" customFormat="1" x14ac:dyDescent="0.2">
      <c r="A51" s="89">
        <v>45290</v>
      </c>
      <c r="B51" s="128" t="s">
        <v>11</v>
      </c>
      <c r="C51" s="76" t="s">
        <v>368</v>
      </c>
      <c r="D51" s="11" t="s">
        <v>29</v>
      </c>
      <c r="E51" s="31"/>
      <c r="F51" s="70">
        <v>1913732</v>
      </c>
      <c r="G51" s="1"/>
      <c r="H51" s="1"/>
      <c r="O51" s="1"/>
    </row>
    <row r="52" spans="1:15" s="2" customFormat="1" x14ac:dyDescent="0.2">
      <c r="A52" s="89">
        <v>45290</v>
      </c>
      <c r="B52" s="128" t="s">
        <v>11</v>
      </c>
      <c r="C52" s="76" t="s">
        <v>199</v>
      </c>
      <c r="D52" s="11" t="s">
        <v>29</v>
      </c>
      <c r="E52" s="31"/>
      <c r="F52" s="70">
        <v>1934154</v>
      </c>
      <c r="G52" s="1"/>
      <c r="H52" s="1"/>
      <c r="O52" s="1"/>
    </row>
    <row r="53" spans="1:15" s="2" customFormat="1" x14ac:dyDescent="0.2">
      <c r="A53" s="89">
        <v>45290</v>
      </c>
      <c r="B53" s="128" t="s">
        <v>11</v>
      </c>
      <c r="C53" s="76" t="s">
        <v>1472</v>
      </c>
      <c r="D53" s="11" t="s">
        <v>29</v>
      </c>
      <c r="E53" s="31"/>
      <c r="F53" s="70">
        <v>1633267</v>
      </c>
      <c r="G53" s="1"/>
      <c r="H53" s="1"/>
      <c r="O53" s="1"/>
    </row>
    <row r="54" spans="1:15" s="2" customFormat="1" x14ac:dyDescent="0.2">
      <c r="A54" s="89">
        <v>45290</v>
      </c>
      <c r="B54" s="128" t="s">
        <v>11</v>
      </c>
      <c r="C54" s="76" t="s">
        <v>1502</v>
      </c>
      <c r="D54" s="11" t="s">
        <v>29</v>
      </c>
      <c r="E54" s="31"/>
      <c r="F54" s="70">
        <v>1272616</v>
      </c>
      <c r="G54" s="1"/>
      <c r="H54" s="1"/>
      <c r="O54" s="1"/>
    </row>
    <row r="55" spans="1:15" s="2" customFormat="1" x14ac:dyDescent="0.2">
      <c r="A55" s="89">
        <v>45290</v>
      </c>
      <c r="B55" s="128" t="s">
        <v>11</v>
      </c>
      <c r="C55" s="76" t="s">
        <v>1467</v>
      </c>
      <c r="D55" s="11" t="s">
        <v>29</v>
      </c>
      <c r="E55" s="31"/>
      <c r="F55" s="70">
        <v>5723</v>
      </c>
      <c r="G55" s="1"/>
      <c r="H55" s="1"/>
      <c r="O55" s="1"/>
    </row>
    <row r="56" spans="1:15" s="2" customFormat="1" x14ac:dyDescent="0.2">
      <c r="A56" s="89">
        <v>45290</v>
      </c>
      <c r="B56" s="128" t="s">
        <v>11</v>
      </c>
      <c r="C56" s="76" t="s">
        <v>116</v>
      </c>
      <c r="D56" s="11" t="s">
        <v>29</v>
      </c>
      <c r="E56" s="31"/>
      <c r="F56" s="70">
        <v>122719</v>
      </c>
      <c r="G56" s="1"/>
      <c r="H56" s="1"/>
      <c r="O56" s="1"/>
    </row>
    <row r="57" spans="1:15" s="2" customFormat="1" x14ac:dyDescent="0.2">
      <c r="A57" s="89">
        <v>45290</v>
      </c>
      <c r="B57" s="128" t="s">
        <v>11</v>
      </c>
      <c r="C57" s="76" t="s">
        <v>593</v>
      </c>
      <c r="D57" s="11" t="s">
        <v>29</v>
      </c>
      <c r="E57" s="31"/>
      <c r="F57" s="70">
        <v>1500000</v>
      </c>
      <c r="G57" s="1"/>
      <c r="H57" s="1"/>
      <c r="O57" s="1"/>
    </row>
    <row r="58" spans="1:15" s="2" customFormat="1" x14ac:dyDescent="0.2">
      <c r="A58" s="89">
        <v>45290</v>
      </c>
      <c r="B58" s="128" t="s">
        <v>11</v>
      </c>
      <c r="C58" s="76" t="s">
        <v>343</v>
      </c>
      <c r="D58" s="11" t="s">
        <v>29</v>
      </c>
      <c r="E58" s="31"/>
      <c r="F58" s="70">
        <v>13500</v>
      </c>
      <c r="G58" s="1"/>
      <c r="H58" s="1"/>
      <c r="O58" s="1"/>
    </row>
    <row r="59" spans="1:15" s="2" customFormat="1" x14ac:dyDescent="0.2">
      <c r="A59" s="89">
        <v>45290</v>
      </c>
      <c r="B59" s="128" t="s">
        <v>11</v>
      </c>
      <c r="C59" s="76" t="s">
        <v>156</v>
      </c>
      <c r="D59" s="11" t="s">
        <v>29</v>
      </c>
      <c r="E59" s="31"/>
      <c r="F59" s="70">
        <f>2.16+1</f>
        <v>3.16</v>
      </c>
      <c r="G59" s="1"/>
      <c r="H59" s="1"/>
      <c r="O59" s="1"/>
    </row>
    <row r="60" spans="1:15" s="2" customFormat="1" x14ac:dyDescent="0.2">
      <c r="A60" s="32"/>
      <c r="B60" s="33"/>
      <c r="C60" s="14"/>
      <c r="D60" s="34"/>
      <c r="E60" s="16">
        <f>SUM(E23:E59)</f>
        <v>39695210.230000004</v>
      </c>
      <c r="F60" s="16">
        <f>SUM(F23:F59)</f>
        <v>196595678.25999999</v>
      </c>
      <c r="G60" s="1"/>
      <c r="H60" s="1"/>
      <c r="I60" s="1"/>
      <c r="J60" s="38">
        <v>156900468.03</v>
      </c>
      <c r="L60" s="92">
        <f>E61-J60</f>
        <v>0</v>
      </c>
      <c r="O60" s="1"/>
    </row>
    <row r="61" spans="1:15" s="2" customFormat="1" x14ac:dyDescent="0.2">
      <c r="A61" s="36"/>
      <c r="B61" s="28" t="s">
        <v>11</v>
      </c>
      <c r="C61" s="19" t="s">
        <v>65</v>
      </c>
      <c r="D61" s="37"/>
      <c r="E61" s="38">
        <f>F60-E60</f>
        <v>156900468.02999997</v>
      </c>
      <c r="F61" s="22"/>
      <c r="G61" s="1"/>
      <c r="H61" s="1"/>
      <c r="I61" s="1"/>
      <c r="J61" s="70"/>
      <c r="K61" s="70"/>
      <c r="L61" s="70"/>
      <c r="O61" s="1"/>
    </row>
    <row r="62" spans="1:15" s="2" customFormat="1" x14ac:dyDescent="0.2">
      <c r="A62" s="36"/>
      <c r="B62" s="28" t="s">
        <v>66</v>
      </c>
      <c r="C62" s="19" t="s">
        <v>67</v>
      </c>
      <c r="D62" s="37"/>
      <c r="E62" s="38">
        <v>0</v>
      </c>
      <c r="F62" s="22"/>
      <c r="G62" s="1"/>
      <c r="H62" s="1"/>
      <c r="I62" s="70"/>
      <c r="J62" s="70"/>
      <c r="K62" s="70"/>
      <c r="L62" s="70"/>
      <c r="O62" s="1"/>
    </row>
    <row r="63" spans="1:15" s="2" customFormat="1" x14ac:dyDescent="0.2">
      <c r="A63" s="36"/>
      <c r="B63" s="28" t="s">
        <v>66</v>
      </c>
      <c r="C63" s="43" t="s">
        <v>1457</v>
      </c>
      <c r="D63" s="43"/>
      <c r="E63" s="12">
        <f>275000000+75000000+50000000-75000000</f>
        <v>325000000</v>
      </c>
      <c r="F63" s="22"/>
      <c r="G63" s="1"/>
      <c r="H63" s="1"/>
      <c r="I63" s="70"/>
      <c r="J63" s="45">
        <v>1735.21</v>
      </c>
      <c r="K63" s="46"/>
      <c r="L63" s="46"/>
      <c r="O63" s="1"/>
    </row>
    <row r="64" spans="1:15" s="2" customFormat="1" ht="15" x14ac:dyDescent="0.25">
      <c r="A64" s="36"/>
      <c r="B64" s="28"/>
      <c r="C64" s="44" t="s">
        <v>1541</v>
      </c>
      <c r="D64" s="43"/>
      <c r="E64" s="7">
        <f>+E63+E61+E62</f>
        <v>481900468.02999997</v>
      </c>
      <c r="F64" s="22"/>
      <c r="G64" s="1"/>
      <c r="H64" s="1"/>
      <c r="I64" s="103" t="s">
        <v>69</v>
      </c>
      <c r="J64" s="45">
        <v>-229.23</v>
      </c>
      <c r="K64" s="46"/>
      <c r="L64" s="46"/>
      <c r="O64" s="1"/>
    </row>
    <row r="65" spans="1:15" s="2" customFormat="1" ht="15" x14ac:dyDescent="0.25">
      <c r="A65" s="24"/>
      <c r="B65" s="1"/>
      <c r="C65" s="44" t="s">
        <v>1510</v>
      </c>
      <c r="D65" s="25"/>
      <c r="E65" s="156">
        <f>+J23-E62+I19-J19</f>
        <v>18099531.969999999</v>
      </c>
      <c r="G65" s="1"/>
      <c r="H65" s="1"/>
      <c r="I65" s="35">
        <v>1</v>
      </c>
      <c r="J65" s="45">
        <f>166.25+5.56</f>
        <v>171.81</v>
      </c>
      <c r="K65" s="46">
        <f>+J66-D68</f>
        <v>0</v>
      </c>
      <c r="O65" s="1"/>
    </row>
    <row r="66" spans="1:15" s="124" customFormat="1" ht="12.75" customHeight="1" x14ac:dyDescent="0.2">
      <c r="A66" s="24"/>
      <c r="B66" s="1"/>
      <c r="C66" s="56"/>
      <c r="D66" s="56"/>
      <c r="E66" s="104"/>
      <c r="F66" s="2"/>
      <c r="G66" s="166"/>
      <c r="H66" s="166"/>
      <c r="I66" s="70"/>
      <c r="J66" s="49">
        <f>SUM(J63:J65)</f>
        <v>1677.79</v>
      </c>
      <c r="K66" s="46"/>
      <c r="L66" s="46"/>
    </row>
    <row r="67" spans="1:15" s="124" customFormat="1" ht="12.75" customHeight="1" x14ac:dyDescent="0.2">
      <c r="A67" s="24"/>
      <c r="B67" s="1"/>
      <c r="C67" s="78" t="s">
        <v>575</v>
      </c>
      <c r="D67" s="48" t="s">
        <v>576</v>
      </c>
      <c r="E67" s="104"/>
      <c r="F67" s="2"/>
      <c r="G67" s="168"/>
      <c r="H67" s="168"/>
      <c r="I67" s="167"/>
      <c r="J67" s="167"/>
      <c r="K67" s="168"/>
    </row>
    <row r="68" spans="1:15" s="124" customFormat="1" ht="12.75" customHeight="1" x14ac:dyDescent="0.2">
      <c r="A68" s="24"/>
      <c r="B68" s="1"/>
      <c r="C68" s="47" t="s">
        <v>570</v>
      </c>
      <c r="D68" s="111">
        <v>1677.79</v>
      </c>
      <c r="E68" s="104"/>
      <c r="F68" s="2"/>
      <c r="G68" s="168"/>
      <c r="H68" s="168"/>
      <c r="I68" s="110" t="s">
        <v>581</v>
      </c>
      <c r="J68" s="167"/>
      <c r="K68" s="168"/>
    </row>
    <row r="69" spans="1:15" s="124" customFormat="1" ht="12.75" customHeight="1" x14ac:dyDescent="0.2">
      <c r="A69" s="24"/>
      <c r="B69" s="1"/>
      <c r="C69" s="47" t="s">
        <v>931</v>
      </c>
      <c r="D69" s="111">
        <v>373.44</v>
      </c>
      <c r="E69" s="104"/>
      <c r="F69" s="2"/>
      <c r="G69" s="168"/>
      <c r="H69" s="168"/>
      <c r="I69" s="110" t="s">
        <v>580</v>
      </c>
      <c r="J69" s="167"/>
      <c r="K69" s="168"/>
    </row>
    <row r="70" spans="1:15" s="124" customFormat="1" ht="12.75" customHeight="1" x14ac:dyDescent="0.2">
      <c r="A70" s="24"/>
      <c r="B70" s="1"/>
      <c r="C70" s="47" t="s">
        <v>572</v>
      </c>
      <c r="D70" s="111">
        <f>+D122/100000</f>
        <v>889.8902384999999</v>
      </c>
      <c r="E70" s="104"/>
      <c r="F70" s="2"/>
      <c r="G70" s="166"/>
      <c r="H70" s="166"/>
      <c r="I70" s="90" t="s">
        <v>587</v>
      </c>
      <c r="J70" s="167"/>
      <c r="K70" s="168"/>
    </row>
    <row r="71" spans="1:15" s="2" customFormat="1" x14ac:dyDescent="0.2">
      <c r="A71" s="24"/>
      <c r="B71" s="1"/>
      <c r="C71" s="108" t="s">
        <v>578</v>
      </c>
      <c r="D71" s="48">
        <f>SUM(D68:D70)</f>
        <v>2941.1202384999997</v>
      </c>
      <c r="E71" s="104"/>
      <c r="G71" s="30"/>
      <c r="H71" s="30"/>
      <c r="J71" s="13"/>
      <c r="K71" s="13"/>
    </row>
    <row r="72" spans="1:15" s="70" customFormat="1" x14ac:dyDescent="0.2">
      <c r="A72" s="24"/>
      <c r="B72" s="1"/>
      <c r="C72" s="47"/>
      <c r="D72" s="107"/>
      <c r="E72" s="104"/>
      <c r="F72" s="2"/>
      <c r="G72" s="30"/>
      <c r="H72" s="30"/>
      <c r="I72" s="2"/>
    </row>
    <row r="73" spans="1:15" s="70" customFormat="1" x14ac:dyDescent="0.2">
      <c r="A73" s="24"/>
      <c r="B73" s="1"/>
      <c r="C73" s="47" t="s">
        <v>932</v>
      </c>
      <c r="D73" s="111">
        <v>315.29000000000002</v>
      </c>
      <c r="E73" s="104"/>
      <c r="F73" s="2"/>
      <c r="G73" s="30"/>
      <c r="H73" s="30"/>
      <c r="I73" s="110" t="s">
        <v>581</v>
      </c>
    </row>
    <row r="74" spans="1:15" s="70" customFormat="1" x14ac:dyDescent="0.2">
      <c r="A74" s="24"/>
      <c r="B74" s="1"/>
      <c r="C74" s="136" t="s">
        <v>1142</v>
      </c>
      <c r="D74" s="111">
        <v>1249.72</v>
      </c>
      <c r="E74" s="104"/>
      <c r="F74" s="2"/>
      <c r="G74" s="30"/>
      <c r="H74" s="30"/>
      <c r="I74" s="110" t="s">
        <v>581</v>
      </c>
    </row>
    <row r="75" spans="1:15" s="70" customFormat="1" x14ac:dyDescent="0.2">
      <c r="A75" s="24"/>
      <c r="B75" s="1"/>
      <c r="C75" s="78" t="s">
        <v>579</v>
      </c>
      <c r="D75" s="109">
        <f>D73+D74</f>
        <v>1565.01</v>
      </c>
      <c r="E75" s="104"/>
      <c r="F75" s="2"/>
      <c r="G75" s="30"/>
      <c r="H75" s="30"/>
    </row>
    <row r="76" spans="1:15" s="70" customFormat="1" x14ac:dyDescent="0.2">
      <c r="A76" s="24"/>
      <c r="B76" s="1"/>
      <c r="C76" s="105"/>
      <c r="D76" s="106"/>
      <c r="E76" s="104"/>
      <c r="F76" s="2"/>
      <c r="G76" s="30"/>
      <c r="H76" s="30"/>
      <c r="J76" s="2"/>
      <c r="K76" s="221" t="str">
        <f>"FROM ( 01-12-2023 to "&amp;TEXT(A5,"dd-mm-yyyy")&amp;" )"</f>
        <v>FROM ( 01-12-2023 to 30-12-2023 )</v>
      </c>
      <c r="L76" s="221"/>
      <c r="M76" s="2"/>
      <c r="N76" s="2"/>
    </row>
    <row r="77" spans="1:15" s="70" customFormat="1" x14ac:dyDescent="0.2">
      <c r="A77" s="24"/>
      <c r="B77" s="1"/>
      <c r="C77" s="78" t="s">
        <v>577</v>
      </c>
      <c r="D77" s="109">
        <f>D68+D75</f>
        <v>3242.8</v>
      </c>
      <c r="E77" s="104"/>
      <c r="F77" s="2"/>
      <c r="G77" s="30"/>
      <c r="H77" s="30"/>
      <c r="J77" s="113"/>
      <c r="K77" s="113" t="s">
        <v>709</v>
      </c>
      <c r="L77" s="113" t="s">
        <v>710</v>
      </c>
      <c r="M77" s="113" t="s">
        <v>711</v>
      </c>
      <c r="N77" s="113" t="s">
        <v>712</v>
      </c>
    </row>
    <row r="78" spans="1:15" s="70" customFormat="1" x14ac:dyDescent="0.2">
      <c r="A78" s="24"/>
      <c r="B78" s="1"/>
      <c r="C78" s="56"/>
      <c r="D78" s="56"/>
      <c r="E78" s="104"/>
      <c r="F78" s="2"/>
      <c r="G78" s="30"/>
      <c r="H78" s="30"/>
      <c r="J78" s="113" t="s">
        <v>1860</v>
      </c>
      <c r="K78" s="115">
        <v>191.86</v>
      </c>
      <c r="L78" s="115">
        <v>135.56</v>
      </c>
      <c r="M78" s="115">
        <v>133.58000000000001</v>
      </c>
      <c r="N78" s="113">
        <f>+K78+M78-L78</f>
        <v>189.88000000000005</v>
      </c>
    </row>
    <row r="79" spans="1:15" s="70" customFormat="1" ht="38.25" x14ac:dyDescent="0.2">
      <c r="A79" s="24"/>
      <c r="B79" s="1"/>
      <c r="C79" s="79" t="str">
        <f>"Particulars ( 01-12-2023 to "&amp;TEXT(A5,"dd-mm-yyyy")&amp;" )"</f>
        <v>Particulars ( 01-12-2023 to 30-12-2023 )</v>
      </c>
      <c r="D79" s="79" t="s">
        <v>7</v>
      </c>
      <c r="E79" s="80" t="s">
        <v>73</v>
      </c>
      <c r="F79" s="80" t="s">
        <v>74</v>
      </c>
      <c r="G79" s="81" t="s">
        <v>75</v>
      </c>
      <c r="H79" s="80" t="s">
        <v>76</v>
      </c>
      <c r="J79" s="113" t="s">
        <v>1861</v>
      </c>
      <c r="K79" s="115">
        <v>1332.26</v>
      </c>
      <c r="L79" s="115">
        <v>896.83</v>
      </c>
      <c r="M79" s="115">
        <v>1258.6400000000001</v>
      </c>
      <c r="N79" s="113">
        <f>+K79+M79-L79</f>
        <v>1694.0700000000002</v>
      </c>
    </row>
    <row r="80" spans="1:15" s="70" customFormat="1" x14ac:dyDescent="0.2">
      <c r="A80" s="24"/>
      <c r="B80" s="1"/>
      <c r="C80" s="50" t="s">
        <v>444</v>
      </c>
      <c r="D80" s="55">
        <f>+K80</f>
        <v>361.11</v>
      </c>
      <c r="E80" s="55">
        <f>+M80</f>
        <v>315.29000000000002</v>
      </c>
      <c r="F80" s="55">
        <f>+L80</f>
        <v>373.44</v>
      </c>
      <c r="G80" s="55">
        <f>+D80+E80-F80</f>
        <v>302.96000000000009</v>
      </c>
      <c r="H80" s="55">
        <f>1500-G80</f>
        <v>1197.04</v>
      </c>
      <c r="J80" s="113" t="s">
        <v>707</v>
      </c>
      <c r="K80" s="115">
        <v>361.11</v>
      </c>
      <c r="L80" s="115">
        <v>373.44</v>
      </c>
      <c r="M80" s="115">
        <v>315.29000000000002</v>
      </c>
      <c r="N80" s="113">
        <f>+K80+M80-L80</f>
        <v>302.96000000000009</v>
      </c>
    </row>
    <row r="81" spans="1:15" s="70" customFormat="1" ht="12.75" customHeight="1" x14ac:dyDescent="0.2">
      <c r="A81" s="24"/>
      <c r="B81" s="1"/>
      <c r="C81" s="50" t="s">
        <v>71</v>
      </c>
      <c r="D81" s="55">
        <f>+K78+K79</f>
        <v>1524.12</v>
      </c>
      <c r="E81" s="55">
        <f>+M78+M79</f>
        <v>1392.22</v>
      </c>
      <c r="F81" s="55">
        <f>+L78+L79</f>
        <v>1032.3900000000001</v>
      </c>
      <c r="G81" s="55">
        <f>+D81+E81-F81</f>
        <v>1883.95</v>
      </c>
      <c r="H81" s="55">
        <f>1500+700-G81</f>
        <v>316.04999999999995</v>
      </c>
      <c r="J81" s="2"/>
      <c r="K81" s="118">
        <f>SUM(K78:K80)</f>
        <v>1885.23</v>
      </c>
      <c r="L81" s="118">
        <f>SUM(L78:L80)</f>
        <v>1405.8300000000002</v>
      </c>
      <c r="M81" s="118">
        <f>SUM(M78:M80)</f>
        <v>1707.51</v>
      </c>
      <c r="N81" s="118">
        <f>SUM(N78:N80)</f>
        <v>2186.9100000000003</v>
      </c>
    </row>
    <row r="82" spans="1:15" s="70" customFormat="1" ht="12.75" customHeight="1" x14ac:dyDescent="0.2">
      <c r="A82" s="24"/>
      <c r="B82" s="1"/>
      <c r="C82" s="14"/>
      <c r="D82" s="56"/>
      <c r="E82" s="13"/>
      <c r="F82" s="2"/>
      <c r="G82" s="30"/>
      <c r="H82" s="30"/>
    </row>
    <row r="83" spans="1:15" s="70" customFormat="1" ht="12.75" customHeight="1" x14ac:dyDescent="0.2">
      <c r="A83" s="215" t="s">
        <v>80</v>
      </c>
      <c r="B83" s="216"/>
      <c r="C83" s="216"/>
      <c r="D83" s="217"/>
      <c r="E83" s="69"/>
      <c r="G83" s="30"/>
      <c r="H83" s="30"/>
    </row>
    <row r="84" spans="1:15" s="70" customFormat="1" ht="12.75" customHeight="1" x14ac:dyDescent="0.2">
      <c r="A84" s="71" t="s">
        <v>81</v>
      </c>
      <c r="B84" s="71"/>
      <c r="C84" s="72" t="s">
        <v>82</v>
      </c>
      <c r="D84" s="73" t="s">
        <v>83</v>
      </c>
      <c r="E84" s="69"/>
      <c r="G84" s="30"/>
      <c r="H84" s="30"/>
    </row>
    <row r="85" spans="1:15" s="70" customFormat="1" ht="12.75" customHeight="1" x14ac:dyDescent="0.2">
      <c r="A85" s="87">
        <v>45264</v>
      </c>
      <c r="B85" s="120" t="s">
        <v>6</v>
      </c>
      <c r="C85" s="75" t="s">
        <v>86</v>
      </c>
      <c r="D85" s="88">
        <v>11017609</v>
      </c>
      <c r="E85" s="2"/>
      <c r="F85" s="2"/>
      <c r="G85" s="30"/>
      <c r="H85" s="30"/>
      <c r="I85" s="2"/>
      <c r="J85" s="2"/>
      <c r="K85" s="2"/>
      <c r="L85" s="2"/>
      <c r="M85" s="41"/>
      <c r="N85" s="42"/>
      <c r="O85" s="2"/>
    </row>
    <row r="86" spans="1:15" s="70" customFormat="1" ht="12.75" customHeight="1" x14ac:dyDescent="0.2">
      <c r="A86" s="87">
        <v>45264</v>
      </c>
      <c r="B86" s="120" t="s">
        <v>6</v>
      </c>
      <c r="C86" s="75" t="s">
        <v>86</v>
      </c>
      <c r="D86" s="88">
        <v>2663814</v>
      </c>
      <c r="E86" s="2"/>
      <c r="F86" s="2"/>
      <c r="G86" s="30"/>
      <c r="H86" s="30"/>
      <c r="I86" s="2"/>
      <c r="J86" s="2"/>
      <c r="K86" s="2"/>
      <c r="L86" s="2"/>
      <c r="M86" s="41"/>
      <c r="N86" s="42"/>
      <c r="O86" s="2"/>
    </row>
    <row r="87" spans="1:15" s="70" customFormat="1" ht="12.75" customHeight="1" x14ac:dyDescent="0.2">
      <c r="A87" s="87">
        <v>45264</v>
      </c>
      <c r="B87" s="120" t="s">
        <v>6</v>
      </c>
      <c r="C87" s="75" t="s">
        <v>86</v>
      </c>
      <c r="D87" s="88">
        <v>75522</v>
      </c>
      <c r="E87" s="2"/>
      <c r="F87" s="2"/>
      <c r="G87" s="30"/>
      <c r="H87" s="30"/>
      <c r="I87" s="2"/>
      <c r="J87" s="2"/>
      <c r="K87" s="2"/>
      <c r="L87" s="2"/>
      <c r="M87" s="41"/>
      <c r="N87" s="42"/>
      <c r="O87" s="2"/>
    </row>
    <row r="88" spans="1:15" s="70" customFormat="1" ht="12.75" customHeight="1" x14ac:dyDescent="0.2">
      <c r="A88" s="87">
        <v>45265</v>
      </c>
      <c r="B88" s="120" t="s">
        <v>6</v>
      </c>
      <c r="C88" s="75" t="s">
        <v>88</v>
      </c>
      <c r="D88" s="88">
        <v>2152501.6</v>
      </c>
      <c r="E88" s="2"/>
      <c r="F88" s="2"/>
      <c r="G88" s="30"/>
      <c r="H88" s="30"/>
      <c r="I88" s="2"/>
      <c r="J88" s="2"/>
      <c r="K88" s="2"/>
      <c r="L88" s="2"/>
      <c r="M88" s="41"/>
      <c r="N88" s="42"/>
      <c r="O88" s="2"/>
    </row>
    <row r="89" spans="1:15" s="70" customFormat="1" ht="12.75" customHeight="1" x14ac:dyDescent="0.2">
      <c r="A89" s="87">
        <v>45266</v>
      </c>
      <c r="B89" s="120" t="s">
        <v>6</v>
      </c>
      <c r="C89" s="75" t="s">
        <v>271</v>
      </c>
      <c r="D89" s="88">
        <v>9828</v>
      </c>
      <c r="E89" s="2"/>
      <c r="F89" s="2"/>
      <c r="G89" s="30"/>
      <c r="H89" s="30"/>
      <c r="I89" s="2"/>
      <c r="J89" s="2"/>
      <c r="K89" s="2"/>
      <c r="L89" s="2"/>
      <c r="M89" s="41"/>
      <c r="N89" s="42"/>
      <c r="O89" s="2"/>
    </row>
    <row r="90" spans="1:15" s="70" customFormat="1" ht="12.75" customHeight="1" x14ac:dyDescent="0.2">
      <c r="A90" s="87">
        <v>45267</v>
      </c>
      <c r="B90" s="120" t="s">
        <v>6</v>
      </c>
      <c r="C90" s="75" t="s">
        <v>85</v>
      </c>
      <c r="D90" s="88">
        <v>179811</v>
      </c>
      <c r="E90" s="2"/>
      <c r="F90" s="2"/>
      <c r="G90" s="30"/>
      <c r="H90" s="30"/>
      <c r="I90" s="2"/>
      <c r="J90" s="2"/>
      <c r="K90" s="2"/>
      <c r="L90" s="2"/>
      <c r="M90" s="41"/>
      <c r="N90" s="42"/>
      <c r="O90" s="2"/>
    </row>
    <row r="91" spans="1:15" s="70" customFormat="1" ht="12.75" customHeight="1" x14ac:dyDescent="0.2">
      <c r="A91" s="87">
        <v>45267</v>
      </c>
      <c r="B91" s="120" t="s">
        <v>6</v>
      </c>
      <c r="C91" s="75" t="s">
        <v>85</v>
      </c>
      <c r="D91" s="88">
        <v>302254</v>
      </c>
      <c r="E91" s="2"/>
      <c r="F91" s="2"/>
      <c r="G91" s="30"/>
      <c r="H91" s="30"/>
      <c r="I91" s="2"/>
      <c r="J91" s="2"/>
      <c r="K91" s="2"/>
      <c r="L91" s="2"/>
      <c r="M91" s="41"/>
      <c r="N91" s="42"/>
      <c r="O91" s="2"/>
    </row>
    <row r="92" spans="1:15" s="70" customFormat="1" ht="12.75" customHeight="1" x14ac:dyDescent="0.2">
      <c r="A92" s="87">
        <v>45268</v>
      </c>
      <c r="B92" s="120" t="s">
        <v>6</v>
      </c>
      <c r="C92" s="75" t="s">
        <v>201</v>
      </c>
      <c r="D92" s="88">
        <v>4000249.47</v>
      </c>
      <c r="E92" s="2"/>
      <c r="F92" s="2"/>
      <c r="G92" s="30"/>
      <c r="H92" s="30"/>
      <c r="I92" s="2"/>
      <c r="J92" s="2"/>
      <c r="K92" s="2"/>
      <c r="L92" s="2"/>
      <c r="M92" s="41"/>
      <c r="N92" s="42"/>
      <c r="O92" s="2"/>
    </row>
    <row r="93" spans="1:15" s="70" customFormat="1" ht="12.75" customHeight="1" x14ac:dyDescent="0.2">
      <c r="A93" s="87">
        <v>45269</v>
      </c>
      <c r="B93" s="120" t="s">
        <v>6</v>
      </c>
      <c r="C93" s="75" t="s">
        <v>85</v>
      </c>
      <c r="D93" s="88">
        <v>96273</v>
      </c>
      <c r="E93" s="2"/>
      <c r="F93" s="2"/>
      <c r="G93" s="30"/>
      <c r="H93" s="30"/>
      <c r="I93" s="2"/>
      <c r="J93" s="2"/>
      <c r="K93" s="2"/>
      <c r="L93" s="2"/>
      <c r="M93" s="41"/>
      <c r="N93" s="42"/>
      <c r="O93" s="2"/>
    </row>
    <row r="94" spans="1:15" s="70" customFormat="1" ht="12.75" customHeight="1" x14ac:dyDescent="0.2">
      <c r="A94" s="87">
        <v>45269</v>
      </c>
      <c r="B94" s="120" t="s">
        <v>6</v>
      </c>
      <c r="C94" s="75" t="s">
        <v>270</v>
      </c>
      <c r="D94" s="88">
        <v>182684</v>
      </c>
      <c r="E94" s="2"/>
      <c r="F94" s="2"/>
      <c r="G94" s="30"/>
      <c r="H94" s="30"/>
      <c r="I94" s="2"/>
      <c r="J94" s="2"/>
      <c r="K94" s="2"/>
      <c r="L94" s="2"/>
      <c r="M94" s="41"/>
      <c r="N94" s="42"/>
      <c r="O94" s="2"/>
    </row>
    <row r="95" spans="1:15" s="70" customFormat="1" ht="12.75" customHeight="1" x14ac:dyDescent="0.2">
      <c r="A95" s="87">
        <v>45269</v>
      </c>
      <c r="B95" s="120" t="s">
        <v>6</v>
      </c>
      <c r="C95" s="75" t="s">
        <v>271</v>
      </c>
      <c r="D95" s="88">
        <v>15488.3</v>
      </c>
      <c r="E95" s="2"/>
      <c r="F95" s="2"/>
      <c r="G95" s="30"/>
      <c r="H95" s="30"/>
      <c r="I95" s="2"/>
      <c r="J95" s="2"/>
      <c r="K95" s="2"/>
      <c r="L95" s="2"/>
      <c r="M95" s="41"/>
      <c r="N95" s="42"/>
      <c r="O95" s="2"/>
    </row>
    <row r="96" spans="1:15" s="70" customFormat="1" ht="12.75" customHeight="1" x14ac:dyDescent="0.2">
      <c r="A96" s="87">
        <v>45272</v>
      </c>
      <c r="B96" s="120" t="s">
        <v>6</v>
      </c>
      <c r="C96" s="75" t="s">
        <v>270</v>
      </c>
      <c r="D96" s="88">
        <v>687714</v>
      </c>
      <c r="E96" s="2"/>
      <c r="F96" s="2"/>
      <c r="G96" s="30"/>
      <c r="H96" s="30"/>
      <c r="I96" s="2"/>
      <c r="J96" s="2"/>
      <c r="K96" s="2"/>
      <c r="L96" s="2"/>
      <c r="M96" s="41"/>
      <c r="N96" s="42"/>
      <c r="O96" s="2"/>
    </row>
    <row r="97" spans="1:15" s="70" customFormat="1" ht="12.75" customHeight="1" x14ac:dyDescent="0.2">
      <c r="A97" s="87">
        <v>45272</v>
      </c>
      <c r="B97" s="120" t="s">
        <v>6</v>
      </c>
      <c r="C97" s="75" t="s">
        <v>1789</v>
      </c>
      <c r="D97" s="88">
        <v>1945116</v>
      </c>
      <c r="E97" s="2"/>
      <c r="F97" s="2"/>
      <c r="G97" s="30"/>
      <c r="H97" s="30"/>
      <c r="I97" s="2"/>
      <c r="J97" s="2"/>
      <c r="K97" s="2"/>
      <c r="L97" s="2"/>
      <c r="M97" s="41"/>
      <c r="N97" s="42"/>
      <c r="O97" s="2"/>
    </row>
    <row r="98" spans="1:15" s="70" customFormat="1" ht="12.75" customHeight="1" x14ac:dyDescent="0.2">
      <c r="A98" s="87">
        <v>45273</v>
      </c>
      <c r="B98" s="120" t="s">
        <v>6</v>
      </c>
      <c r="C98" s="75" t="s">
        <v>18</v>
      </c>
      <c r="D98" s="88">
        <v>167890</v>
      </c>
      <c r="E98" s="2"/>
      <c r="F98" s="2"/>
      <c r="G98" s="30"/>
      <c r="H98" s="30"/>
      <c r="I98" s="2"/>
      <c r="J98" s="2"/>
      <c r="K98" s="2"/>
      <c r="L98" s="2"/>
      <c r="M98" s="41"/>
      <c r="N98" s="42"/>
      <c r="O98" s="2"/>
    </row>
    <row r="99" spans="1:15" s="70" customFormat="1" ht="12.75" customHeight="1" x14ac:dyDescent="0.2">
      <c r="A99" s="87">
        <v>45274</v>
      </c>
      <c r="B99" s="120" t="s">
        <v>6</v>
      </c>
      <c r="C99" s="75" t="s">
        <v>201</v>
      </c>
      <c r="D99" s="88">
        <v>4000385.13</v>
      </c>
      <c r="E99" s="2"/>
      <c r="F99" s="2"/>
      <c r="G99" s="30"/>
      <c r="H99" s="30"/>
      <c r="I99" s="2"/>
      <c r="J99" s="2"/>
      <c r="K99" s="2"/>
      <c r="L99" s="2"/>
      <c r="M99" s="41"/>
      <c r="N99" s="42"/>
      <c r="O99" s="2"/>
    </row>
    <row r="100" spans="1:15" s="70" customFormat="1" ht="12.75" customHeight="1" x14ac:dyDescent="0.2">
      <c r="A100" s="87">
        <v>45274</v>
      </c>
      <c r="B100" s="120" t="s">
        <v>6</v>
      </c>
      <c r="C100" s="75" t="s">
        <v>594</v>
      </c>
      <c r="D100" s="88">
        <v>15735</v>
      </c>
      <c r="E100" s="2"/>
      <c r="F100" s="2"/>
      <c r="G100" s="30"/>
      <c r="H100" s="30"/>
      <c r="I100" s="2"/>
      <c r="J100" s="2"/>
      <c r="K100" s="2"/>
      <c r="L100" s="2"/>
      <c r="M100" s="41"/>
      <c r="N100" s="42"/>
      <c r="O100" s="2"/>
    </row>
    <row r="101" spans="1:15" s="70" customFormat="1" ht="12.75" customHeight="1" x14ac:dyDescent="0.2">
      <c r="A101" s="87">
        <v>45275</v>
      </c>
      <c r="B101" s="120" t="s">
        <v>6</v>
      </c>
      <c r="C101" s="75" t="s">
        <v>594</v>
      </c>
      <c r="D101" s="88">
        <v>4456919</v>
      </c>
      <c r="E101" s="2"/>
      <c r="F101" s="2"/>
      <c r="G101" s="30"/>
      <c r="H101" s="30"/>
      <c r="I101" s="2"/>
      <c r="J101" s="2"/>
      <c r="K101" s="2"/>
      <c r="L101" s="2"/>
      <c r="M101" s="41"/>
      <c r="N101" s="42"/>
      <c r="O101" s="2"/>
    </row>
    <row r="102" spans="1:15" s="70" customFormat="1" ht="12.75" customHeight="1" x14ac:dyDescent="0.2">
      <c r="A102" s="87">
        <v>45275</v>
      </c>
      <c r="B102" s="120" t="s">
        <v>6</v>
      </c>
      <c r="C102" s="75" t="s">
        <v>270</v>
      </c>
      <c r="D102" s="88">
        <v>18357</v>
      </c>
      <c r="E102" s="2"/>
      <c r="F102" s="2"/>
      <c r="G102" s="30"/>
      <c r="H102" s="30"/>
      <c r="I102" s="2"/>
      <c r="J102" s="2"/>
      <c r="K102" s="2"/>
      <c r="L102" s="2"/>
      <c r="M102" s="41"/>
      <c r="N102" s="42"/>
      <c r="O102" s="2"/>
    </row>
    <row r="103" spans="1:15" s="70" customFormat="1" ht="12.75" customHeight="1" x14ac:dyDescent="0.2">
      <c r="A103" s="87">
        <v>45276</v>
      </c>
      <c r="B103" s="120" t="s">
        <v>6</v>
      </c>
      <c r="C103" s="75" t="s">
        <v>85</v>
      </c>
      <c r="D103" s="88">
        <v>197939</v>
      </c>
      <c r="E103" s="2"/>
      <c r="F103" s="2"/>
      <c r="G103" s="30"/>
      <c r="H103" s="30"/>
      <c r="I103" s="2"/>
      <c r="J103" s="2"/>
      <c r="K103" s="2"/>
      <c r="L103" s="2"/>
      <c r="M103" s="41"/>
      <c r="N103" s="42"/>
      <c r="O103" s="2"/>
    </row>
    <row r="104" spans="1:15" s="70" customFormat="1" ht="12.75" customHeight="1" x14ac:dyDescent="0.2">
      <c r="A104" s="87">
        <v>45276</v>
      </c>
      <c r="B104" s="120" t="s">
        <v>6</v>
      </c>
      <c r="C104" s="75" t="s">
        <v>85</v>
      </c>
      <c r="D104" s="88">
        <v>103476</v>
      </c>
      <c r="E104" s="2"/>
      <c r="F104" s="2"/>
      <c r="G104" s="30"/>
      <c r="H104" s="30"/>
      <c r="I104" s="2"/>
      <c r="J104" s="2"/>
      <c r="K104" s="2"/>
      <c r="L104" s="2"/>
      <c r="M104" s="41"/>
      <c r="N104" s="42"/>
      <c r="O104" s="2"/>
    </row>
    <row r="105" spans="1:15" s="70" customFormat="1" ht="12.75" customHeight="1" x14ac:dyDescent="0.2">
      <c r="A105" s="87">
        <v>45278</v>
      </c>
      <c r="B105" s="120" t="s">
        <v>6</v>
      </c>
      <c r="C105" s="75" t="s">
        <v>270</v>
      </c>
      <c r="D105" s="88">
        <v>384076</v>
      </c>
      <c r="E105" s="2"/>
      <c r="F105" s="2"/>
      <c r="G105" s="30"/>
      <c r="H105" s="30"/>
      <c r="I105" s="2"/>
      <c r="J105" s="2"/>
      <c r="K105" s="2"/>
      <c r="L105" s="2"/>
      <c r="M105" s="41"/>
      <c r="N105" s="42"/>
      <c r="O105" s="2"/>
    </row>
    <row r="106" spans="1:15" s="70" customFormat="1" ht="12.75" customHeight="1" x14ac:dyDescent="0.2">
      <c r="A106" s="87">
        <v>45278</v>
      </c>
      <c r="B106" s="120" t="s">
        <v>6</v>
      </c>
      <c r="C106" s="75" t="s">
        <v>85</v>
      </c>
      <c r="D106" s="88">
        <v>427722</v>
      </c>
      <c r="E106" s="2"/>
      <c r="F106" s="2"/>
      <c r="G106" s="30"/>
      <c r="H106" s="30"/>
      <c r="I106" s="2"/>
      <c r="J106" s="2"/>
      <c r="K106" s="2"/>
      <c r="L106" s="2"/>
      <c r="M106" s="41"/>
      <c r="N106" s="42"/>
      <c r="O106" s="2"/>
    </row>
    <row r="107" spans="1:15" s="70" customFormat="1" ht="12.75" customHeight="1" x14ac:dyDescent="0.2">
      <c r="A107" s="87">
        <v>45280</v>
      </c>
      <c r="B107" s="120" t="s">
        <v>6</v>
      </c>
      <c r="C107" s="75" t="s">
        <v>201</v>
      </c>
      <c r="D107" s="88">
        <v>5253480</v>
      </c>
      <c r="E107" s="2"/>
      <c r="F107" s="2"/>
      <c r="G107" s="30"/>
      <c r="H107" s="30"/>
      <c r="I107" s="2"/>
      <c r="J107" s="2"/>
      <c r="K107" s="2"/>
      <c r="L107" s="2"/>
      <c r="M107" s="41"/>
      <c r="N107" s="42"/>
      <c r="O107" s="2"/>
    </row>
    <row r="108" spans="1:15" s="70" customFormat="1" ht="12.75" customHeight="1" x14ac:dyDescent="0.2">
      <c r="A108" s="87">
        <v>45280</v>
      </c>
      <c r="B108" s="120" t="s">
        <v>6</v>
      </c>
      <c r="C108" s="75" t="s">
        <v>18</v>
      </c>
      <c r="D108" s="88">
        <v>604243</v>
      </c>
      <c r="E108" s="2"/>
      <c r="F108" s="2"/>
      <c r="G108" s="30"/>
      <c r="H108" s="30"/>
      <c r="I108" s="2"/>
      <c r="J108" s="2"/>
      <c r="K108" s="2"/>
      <c r="L108" s="2"/>
      <c r="M108" s="41"/>
      <c r="N108" s="42"/>
      <c r="O108" s="2"/>
    </row>
    <row r="109" spans="1:15" s="70" customFormat="1" ht="12.75" customHeight="1" x14ac:dyDescent="0.2">
      <c r="A109" s="87">
        <v>45280</v>
      </c>
      <c r="B109" s="120" t="s">
        <v>6</v>
      </c>
      <c r="C109" s="75" t="s">
        <v>88</v>
      </c>
      <c r="D109" s="88">
        <v>7395284.2999999998</v>
      </c>
      <c r="E109" s="2"/>
      <c r="F109" s="2"/>
      <c r="G109" s="30"/>
      <c r="H109" s="30"/>
      <c r="I109" s="2"/>
      <c r="J109" s="2"/>
      <c r="K109" s="2"/>
      <c r="L109" s="2"/>
      <c r="M109" s="41"/>
      <c r="N109" s="42"/>
      <c r="O109" s="2"/>
    </row>
    <row r="110" spans="1:15" s="70" customFormat="1" ht="12.75" customHeight="1" x14ac:dyDescent="0.2">
      <c r="A110" s="87">
        <v>45281</v>
      </c>
      <c r="B110" s="120" t="s">
        <v>6</v>
      </c>
      <c r="C110" s="75" t="s">
        <v>1897</v>
      </c>
      <c r="D110" s="88">
        <v>710500.05</v>
      </c>
      <c r="E110" s="2"/>
      <c r="F110" s="2"/>
      <c r="G110" s="30"/>
      <c r="H110" s="30"/>
      <c r="I110" s="2"/>
      <c r="J110" s="2"/>
      <c r="K110" s="2"/>
      <c r="L110" s="2"/>
      <c r="M110" s="41"/>
      <c r="N110" s="42"/>
      <c r="O110" s="2"/>
    </row>
    <row r="111" spans="1:15" s="70" customFormat="1" ht="12.75" customHeight="1" x14ac:dyDescent="0.2">
      <c r="A111" s="87">
        <v>45281</v>
      </c>
      <c r="B111" s="120" t="s">
        <v>6</v>
      </c>
      <c r="C111" s="75" t="s">
        <v>271</v>
      </c>
      <c r="D111" s="88">
        <v>32519</v>
      </c>
      <c r="E111" s="2"/>
      <c r="F111" s="2"/>
      <c r="G111" s="30"/>
      <c r="H111" s="30"/>
      <c r="I111" s="2"/>
      <c r="J111" s="2"/>
      <c r="K111" s="2"/>
      <c r="L111" s="2"/>
      <c r="M111" s="41"/>
      <c r="N111" s="42"/>
      <c r="O111" s="2"/>
    </row>
    <row r="112" spans="1:15" s="70" customFormat="1" ht="12.75" customHeight="1" x14ac:dyDescent="0.2">
      <c r="A112" s="87">
        <v>45282</v>
      </c>
      <c r="B112" s="120" t="s">
        <v>6</v>
      </c>
      <c r="C112" s="75" t="s">
        <v>85</v>
      </c>
      <c r="D112" s="88">
        <v>459852</v>
      </c>
      <c r="E112" s="2"/>
      <c r="F112" s="2"/>
      <c r="G112" s="30"/>
      <c r="H112" s="30"/>
      <c r="I112" s="2"/>
      <c r="J112" s="2"/>
      <c r="K112" s="2"/>
      <c r="L112" s="2"/>
      <c r="M112" s="41"/>
      <c r="N112" s="42"/>
      <c r="O112" s="2"/>
    </row>
    <row r="113" spans="1:15" s="70" customFormat="1" ht="12.75" customHeight="1" x14ac:dyDescent="0.2">
      <c r="A113" s="87">
        <v>45282</v>
      </c>
      <c r="B113" s="120" t="s">
        <v>6</v>
      </c>
      <c r="C113" s="75" t="s">
        <v>467</v>
      </c>
      <c r="D113" s="88">
        <v>5455880</v>
      </c>
      <c r="E113" s="2"/>
      <c r="F113" s="2"/>
      <c r="G113" s="30"/>
      <c r="H113" s="30"/>
      <c r="I113" s="2"/>
      <c r="J113" s="2"/>
      <c r="K113" s="2"/>
      <c r="L113" s="2"/>
      <c r="M113" s="41"/>
      <c r="N113" s="42"/>
      <c r="O113" s="2"/>
    </row>
    <row r="114" spans="1:15" s="70" customFormat="1" ht="12.75" customHeight="1" x14ac:dyDescent="0.2">
      <c r="A114" s="87">
        <v>45286</v>
      </c>
      <c r="B114" s="120" t="s">
        <v>6</v>
      </c>
      <c r="C114" s="75" t="s">
        <v>201</v>
      </c>
      <c r="D114" s="88">
        <v>5357718</v>
      </c>
      <c r="E114" s="2"/>
      <c r="F114" s="2"/>
      <c r="G114" s="30"/>
      <c r="H114" s="30"/>
      <c r="I114" s="2"/>
      <c r="J114" s="2"/>
      <c r="K114" s="2"/>
      <c r="L114" s="2"/>
      <c r="M114" s="41"/>
      <c r="N114" s="42"/>
      <c r="O114" s="2"/>
    </row>
    <row r="115" spans="1:15" s="70" customFormat="1" ht="12.75" customHeight="1" x14ac:dyDescent="0.2">
      <c r="A115" s="87">
        <v>45286</v>
      </c>
      <c r="B115" s="120" t="s">
        <v>6</v>
      </c>
      <c r="C115" s="75" t="s">
        <v>86</v>
      </c>
      <c r="D115" s="88">
        <v>1364459</v>
      </c>
      <c r="E115" s="2"/>
      <c r="F115" s="2"/>
      <c r="G115" s="30"/>
      <c r="H115" s="30"/>
      <c r="I115" s="2"/>
      <c r="J115" s="2"/>
      <c r="K115" s="2"/>
      <c r="L115" s="2"/>
      <c r="M115" s="41"/>
      <c r="N115" s="42"/>
      <c r="O115" s="2"/>
    </row>
    <row r="116" spans="1:15" s="70" customFormat="1" ht="12.75" customHeight="1" x14ac:dyDescent="0.2">
      <c r="A116" s="87">
        <v>45286</v>
      </c>
      <c r="B116" s="120" t="s">
        <v>6</v>
      </c>
      <c r="C116" s="75" t="s">
        <v>86</v>
      </c>
      <c r="D116" s="88">
        <v>15528365</v>
      </c>
      <c r="E116" s="2"/>
      <c r="F116" s="2"/>
      <c r="G116" s="30"/>
      <c r="H116" s="30"/>
      <c r="I116" s="2"/>
      <c r="J116" s="2"/>
      <c r="K116" s="2"/>
      <c r="L116" s="2"/>
      <c r="M116" s="41"/>
      <c r="N116" s="42"/>
      <c r="O116" s="2"/>
    </row>
    <row r="117" spans="1:15" s="70" customFormat="1" ht="12.75" customHeight="1" x14ac:dyDescent="0.2">
      <c r="A117" s="87">
        <v>45286</v>
      </c>
      <c r="B117" s="120" t="s">
        <v>6</v>
      </c>
      <c r="C117" s="75" t="s">
        <v>86</v>
      </c>
      <c r="D117" s="88">
        <v>120004</v>
      </c>
      <c r="E117" s="2"/>
      <c r="F117" s="2"/>
      <c r="G117" s="30"/>
      <c r="H117" s="30"/>
      <c r="I117" s="2"/>
      <c r="J117" s="2"/>
      <c r="K117" s="2"/>
      <c r="L117" s="2"/>
      <c r="M117" s="41"/>
      <c r="N117" s="42"/>
      <c r="O117" s="2"/>
    </row>
    <row r="118" spans="1:15" s="70" customFormat="1" ht="12.75" customHeight="1" x14ac:dyDescent="0.2">
      <c r="A118" s="87">
        <v>45287</v>
      </c>
      <c r="B118" s="120" t="s">
        <v>6</v>
      </c>
      <c r="C118" s="75" t="s">
        <v>18</v>
      </c>
      <c r="D118" s="88">
        <v>336298</v>
      </c>
      <c r="E118" s="2"/>
      <c r="F118" s="2"/>
      <c r="G118" s="30"/>
      <c r="H118" s="30"/>
      <c r="I118" s="2"/>
      <c r="J118" s="2"/>
      <c r="K118" s="2"/>
      <c r="L118" s="2"/>
      <c r="M118" s="41"/>
      <c r="N118" s="42"/>
      <c r="O118" s="2"/>
    </row>
    <row r="119" spans="1:15" s="70" customFormat="1" ht="12.75" customHeight="1" x14ac:dyDescent="0.2">
      <c r="A119" s="87">
        <v>45288</v>
      </c>
      <c r="B119" s="120" t="s">
        <v>6</v>
      </c>
      <c r="C119" s="75" t="s">
        <v>270</v>
      </c>
      <c r="D119" s="88">
        <v>2034458</v>
      </c>
      <c r="E119" s="2"/>
      <c r="F119" s="2"/>
      <c r="G119" s="30"/>
      <c r="H119" s="30"/>
      <c r="I119" s="2"/>
      <c r="J119" s="2"/>
      <c r="K119" s="2"/>
      <c r="L119" s="2"/>
      <c r="M119" s="41"/>
      <c r="N119" s="42"/>
      <c r="O119" s="2"/>
    </row>
    <row r="120" spans="1:15" s="70" customFormat="1" ht="12.75" customHeight="1" x14ac:dyDescent="0.2">
      <c r="A120" s="87">
        <v>45288</v>
      </c>
      <c r="B120" s="120" t="s">
        <v>6</v>
      </c>
      <c r="C120" s="75" t="s">
        <v>606</v>
      </c>
      <c r="D120" s="88">
        <v>4396856</v>
      </c>
      <c r="E120" s="2"/>
      <c r="F120" s="2"/>
      <c r="G120" s="30"/>
      <c r="H120" s="30"/>
      <c r="I120" s="2"/>
      <c r="J120" s="2"/>
      <c r="K120" s="2"/>
      <c r="L120" s="2"/>
      <c r="M120" s="41"/>
      <c r="N120" s="42"/>
      <c r="O120" s="2"/>
    </row>
    <row r="121" spans="1:15" s="70" customFormat="1" ht="12.75" customHeight="1" x14ac:dyDescent="0.2">
      <c r="A121" s="87">
        <v>45289</v>
      </c>
      <c r="B121" s="120" t="s">
        <v>6</v>
      </c>
      <c r="C121" s="75" t="s">
        <v>594</v>
      </c>
      <c r="D121" s="88">
        <v>6837744</v>
      </c>
      <c r="E121" s="2"/>
      <c r="F121" s="2"/>
      <c r="G121" s="30"/>
      <c r="H121" s="30"/>
      <c r="I121" s="2"/>
      <c r="J121" s="2"/>
      <c r="K121" s="2"/>
      <c r="L121" s="2"/>
      <c r="M121" s="41"/>
      <c r="N121" s="42"/>
      <c r="O121" s="2"/>
    </row>
    <row r="122" spans="1:15" s="2" customFormat="1" x14ac:dyDescent="0.2">
      <c r="A122" s="87"/>
      <c r="B122" s="74"/>
      <c r="C122" s="75"/>
      <c r="D122" s="51">
        <f>SUM(D85:D121)</f>
        <v>88989023.849999994</v>
      </c>
      <c r="F122" s="2" t="s">
        <v>396</v>
      </c>
      <c r="G122" s="1"/>
      <c r="H122" s="1"/>
    </row>
    <row r="123" spans="1:15" s="2" customFormat="1" x14ac:dyDescent="0.2">
      <c r="A123" s="24"/>
      <c r="B123" s="1"/>
      <c r="C123" s="14"/>
      <c r="D123" s="56"/>
      <c r="E123" s="13"/>
      <c r="G123" s="1"/>
      <c r="H123" s="1"/>
    </row>
    <row r="124" spans="1:15" s="2" customFormat="1" x14ac:dyDescent="0.2">
      <c r="A124" s="24"/>
      <c r="B124" s="1"/>
      <c r="C124" s="218" t="s">
        <v>77</v>
      </c>
      <c r="D124" s="219"/>
      <c r="E124" s="219"/>
      <c r="F124" s="220"/>
      <c r="I124" s="2" t="s">
        <v>396</v>
      </c>
    </row>
    <row r="125" spans="1:15" s="2" customFormat="1" x14ac:dyDescent="0.2">
      <c r="A125" s="24"/>
      <c r="B125" s="1"/>
      <c r="C125" s="50"/>
      <c r="D125" s="57" t="s">
        <v>78</v>
      </c>
      <c r="E125" s="58" t="s">
        <v>79</v>
      </c>
      <c r="F125" s="57" t="s">
        <v>72</v>
      </c>
      <c r="I125" s="2" t="s">
        <v>396</v>
      </c>
    </row>
    <row r="126" spans="1:15" s="2" customFormat="1" x14ac:dyDescent="0.2">
      <c r="A126" s="24"/>
      <c r="B126" s="1"/>
      <c r="C126" s="59" t="str">
        <f>"01-12-2023 to "&amp;TEXT(A5-2,"dd-mm-yyyy")</f>
        <v>01-12-2023 to 28-12-2023</v>
      </c>
      <c r="D126" s="60">
        <v>2169.02</v>
      </c>
      <c r="E126" s="60">
        <v>645.34</v>
      </c>
      <c r="F126" s="61">
        <f>SUM(D126:E126)</f>
        <v>2814.36</v>
      </c>
    </row>
    <row r="127" spans="1:15" s="2" customFormat="1" x14ac:dyDescent="0.2">
      <c r="A127" s="24"/>
      <c r="B127" s="1"/>
      <c r="C127" s="62" t="str">
        <f>TEXT(A5-1,"dd-mm-yyyy")</f>
        <v>29-12-2023</v>
      </c>
      <c r="D127" s="60">
        <v>53.27</v>
      </c>
      <c r="E127" s="60">
        <v>30.06</v>
      </c>
      <c r="F127" s="61">
        <f>SUM(D127:E127)</f>
        <v>83.33</v>
      </c>
      <c r="G127" s="1"/>
      <c r="H127" s="1"/>
      <c r="I127" s="53"/>
    </row>
    <row r="128" spans="1:15" s="2" customFormat="1" ht="13.5" thickBot="1" x14ac:dyDescent="0.25">
      <c r="A128" s="24"/>
      <c r="B128" s="1"/>
      <c r="C128" s="63" t="str">
        <f>"01-12-2023 to "&amp;TEXT(A5-1,"dd-mm-yyyy")</f>
        <v>01-12-2023 to 29-12-2023</v>
      </c>
      <c r="D128" s="64">
        <f>SUM(D126:D127)</f>
        <v>2222.29</v>
      </c>
      <c r="E128" s="64">
        <f>SUM(E126:E127)</f>
        <v>675.4</v>
      </c>
      <c r="F128" s="64">
        <f>SUM(F126:F127)</f>
        <v>2897.69</v>
      </c>
      <c r="G128" s="1"/>
      <c r="H128" s="1"/>
      <c r="I128" s="53"/>
    </row>
    <row r="129" spans="1:14" s="2" customFormat="1" ht="13.5" thickTop="1" x14ac:dyDescent="0.2">
      <c r="A129" s="24"/>
      <c r="B129" s="1"/>
      <c r="C129" s="62"/>
      <c r="D129" s="65"/>
      <c r="E129" s="66"/>
      <c r="F129" s="67"/>
      <c r="M129" s="1"/>
      <c r="N129" s="1"/>
    </row>
    <row r="130" spans="1:14" s="2" customFormat="1" x14ac:dyDescent="0.2">
      <c r="A130" s="24"/>
      <c r="B130" s="1"/>
      <c r="C130" s="62" t="str">
        <f>"01-04-2023 to " &amp;C127</f>
        <v>01-04-2023 to 29-12-2023</v>
      </c>
      <c r="D130" s="68">
        <f>+D128+32234.22</f>
        <v>34456.51</v>
      </c>
      <c r="E130" s="68">
        <f>+E128+3134.59</f>
        <v>3809.9900000000002</v>
      </c>
      <c r="F130" s="68">
        <f>+F128+35368.81</f>
        <v>38266.5</v>
      </c>
      <c r="G130" s="1"/>
      <c r="H130" s="1"/>
      <c r="M130" s="1"/>
      <c r="N130" s="1"/>
    </row>
    <row r="131" spans="1:14" s="2" customFormat="1" x14ac:dyDescent="0.2">
      <c r="A131" s="24"/>
      <c r="B131" s="1"/>
      <c r="C131" s="52"/>
      <c r="D131" s="85"/>
      <c r="E131" s="53"/>
      <c r="F131" s="53"/>
      <c r="G131" s="1"/>
      <c r="H131" s="1"/>
      <c r="M131" s="1"/>
      <c r="N131" s="1"/>
    </row>
    <row r="132" spans="1:14" s="2" customFormat="1" x14ac:dyDescent="0.2">
      <c r="A132" s="24"/>
      <c r="B132" s="1"/>
      <c r="C132" s="52"/>
      <c r="D132" s="85"/>
      <c r="E132" s="53"/>
      <c r="F132" s="53"/>
      <c r="G132" s="1"/>
      <c r="H132" s="1"/>
      <c r="M132" s="1"/>
      <c r="N132" s="1"/>
    </row>
    <row r="133" spans="1:14" s="2" customFormat="1" x14ac:dyDescent="0.2">
      <c r="A133" s="24"/>
      <c r="B133" s="1"/>
      <c r="C133" s="52"/>
      <c r="D133" s="85"/>
      <c r="E133" s="53"/>
      <c r="F133" s="53"/>
      <c r="G133" s="1"/>
      <c r="H133" s="1"/>
      <c r="M133" s="1"/>
      <c r="N133" s="1"/>
    </row>
    <row r="134" spans="1:14" s="2" customFormat="1" x14ac:dyDescent="0.2">
      <c r="A134" s="24"/>
      <c r="B134" s="1"/>
      <c r="C134" s="52"/>
      <c r="D134" s="85"/>
      <c r="E134" s="53"/>
      <c r="F134" s="53"/>
      <c r="G134" s="1"/>
      <c r="H134" s="1"/>
      <c r="M134" s="1"/>
      <c r="N134" s="1"/>
    </row>
    <row r="135" spans="1:14" s="2" customFormat="1" x14ac:dyDescent="0.2">
      <c r="A135" s="24"/>
      <c r="B135" s="1"/>
      <c r="C135" s="14"/>
      <c r="D135" s="25">
        <f>SUM(D132:D134)</f>
        <v>0</v>
      </c>
      <c r="E135" s="2">
        <f>SUM(E132:E134)</f>
        <v>0</v>
      </c>
      <c r="G135" s="1"/>
      <c r="H135" s="1"/>
      <c r="M135" s="1"/>
      <c r="N135" s="1"/>
    </row>
    <row r="136" spans="1:14" s="2" customFormat="1" x14ac:dyDescent="0.2">
      <c r="A136" s="24"/>
      <c r="B136" s="1"/>
      <c r="C136" s="14"/>
      <c r="D136" s="25"/>
      <c r="G136" s="1"/>
      <c r="H136" s="1"/>
      <c r="M136" s="1"/>
      <c r="N136" s="1"/>
    </row>
    <row r="137" spans="1:14" s="2" customFormat="1" x14ac:dyDescent="0.2">
      <c r="A137" s="24"/>
      <c r="B137" s="1"/>
      <c r="C137" s="14"/>
      <c r="D137" s="25"/>
      <c r="G137" s="1"/>
      <c r="H137" s="1"/>
      <c r="M137" s="1"/>
      <c r="N137" s="1"/>
    </row>
    <row r="138" spans="1:14" s="2" customFormat="1" x14ac:dyDescent="0.2">
      <c r="A138" s="24"/>
      <c r="B138" s="1"/>
      <c r="C138" s="14"/>
      <c r="D138" s="25"/>
      <c r="G138" s="1"/>
      <c r="H138" s="1"/>
      <c r="M138" s="1"/>
      <c r="N138" s="1"/>
    </row>
    <row r="139" spans="1:14" s="2" customFormat="1" x14ac:dyDescent="0.2">
      <c r="A139" s="24"/>
      <c r="B139" s="1"/>
      <c r="C139" s="14"/>
      <c r="D139" s="25"/>
      <c r="G139" s="1"/>
      <c r="H139" s="1"/>
      <c r="M139" s="1"/>
      <c r="N139" s="1"/>
    </row>
    <row r="140" spans="1:14" s="2" customFormat="1" x14ac:dyDescent="0.2">
      <c r="A140" s="24"/>
      <c r="B140" s="1"/>
      <c r="C140" s="14"/>
      <c r="D140" s="25"/>
      <c r="G140" s="1"/>
      <c r="H140" s="1"/>
      <c r="M140" s="1"/>
      <c r="N140" s="1"/>
    </row>
    <row r="141" spans="1:14" s="2" customFormat="1" x14ac:dyDescent="0.2">
      <c r="A141" s="24"/>
      <c r="B141" s="1"/>
      <c r="C141" s="14"/>
      <c r="D141" s="25"/>
      <c r="G141" s="1"/>
      <c r="H141" s="1"/>
      <c r="M141" s="1"/>
      <c r="N141" s="1"/>
    </row>
    <row r="142" spans="1:14" s="2" customFormat="1" x14ac:dyDescent="0.2">
      <c r="A142" s="24"/>
      <c r="B142" s="1"/>
      <c r="C142" s="14"/>
      <c r="D142" s="25"/>
      <c r="G142" s="1"/>
      <c r="H142" s="1"/>
      <c r="M142" s="1"/>
      <c r="N142" s="1"/>
    </row>
    <row r="143" spans="1:14" s="2" customFormat="1" x14ac:dyDescent="0.2">
      <c r="A143" s="24"/>
      <c r="B143" s="1"/>
      <c r="C143" s="14"/>
      <c r="D143" s="25"/>
      <c r="G143" s="1"/>
      <c r="H143" s="1"/>
      <c r="M143" s="1"/>
      <c r="N143" s="1"/>
    </row>
    <row r="144" spans="1:14" s="2" customFormat="1" x14ac:dyDescent="0.2">
      <c r="A144" s="24"/>
      <c r="B144" s="1"/>
      <c r="C144" s="14"/>
      <c r="D144" s="25"/>
      <c r="G144" s="1"/>
      <c r="H144" s="1"/>
      <c r="M144" s="1"/>
      <c r="N144" s="1"/>
    </row>
    <row r="145" spans="1:15" s="2" customFormat="1" x14ac:dyDescent="0.2">
      <c r="A145" s="24"/>
      <c r="B145" s="1"/>
      <c r="C145" s="14"/>
      <c r="D145" s="25"/>
      <c r="G145" s="1"/>
      <c r="H145" s="1"/>
      <c r="M145" s="1"/>
      <c r="N145" s="1"/>
    </row>
    <row r="146" spans="1:15" s="2" customFormat="1" x14ac:dyDescent="0.2">
      <c r="A146" s="24"/>
      <c r="B146" s="1"/>
      <c r="C146" s="14"/>
      <c r="D146" s="25"/>
      <c r="G146" s="1"/>
      <c r="H146" s="1"/>
      <c r="M146" s="1"/>
      <c r="N146" s="1"/>
    </row>
    <row r="147" spans="1:15" s="2" customFormat="1" x14ac:dyDescent="0.2">
      <c r="A147" s="24"/>
      <c r="B147" s="1"/>
      <c r="C147" s="14"/>
      <c r="D147" s="25"/>
      <c r="G147" s="1"/>
      <c r="H147" s="1"/>
      <c r="M147" s="1"/>
      <c r="N147" s="1"/>
    </row>
    <row r="148" spans="1:15" s="2" customFormat="1" x14ac:dyDescent="0.2">
      <c r="A148" s="24"/>
      <c r="B148" s="1"/>
      <c r="C148" s="14"/>
      <c r="D148" s="25"/>
      <c r="G148" s="1"/>
      <c r="H148" s="1"/>
      <c r="M148" s="1"/>
      <c r="N148" s="1"/>
    </row>
    <row r="149" spans="1:15" s="2" customFormat="1" x14ac:dyDescent="0.2">
      <c r="A149" s="24"/>
      <c r="B149" s="1"/>
      <c r="C149" s="14"/>
      <c r="D149" s="25"/>
      <c r="G149" s="1"/>
      <c r="H149" s="1"/>
      <c r="J149" s="1"/>
      <c r="K149" s="1"/>
      <c r="L149" s="1"/>
      <c r="M149" s="1"/>
      <c r="N149" s="1"/>
    </row>
    <row r="150" spans="1:15" s="2" customFormat="1" x14ac:dyDescent="0.2">
      <c r="A150" s="24"/>
      <c r="B150" s="1"/>
      <c r="C150" s="14"/>
      <c r="D150" s="25"/>
      <c r="G150" s="1"/>
      <c r="H150" s="1"/>
    </row>
    <row r="151" spans="1:15" s="2" customFormat="1" x14ac:dyDescent="0.2">
      <c r="A151" s="24"/>
      <c r="B151" s="1"/>
      <c r="C151" s="14"/>
      <c r="D151" s="25"/>
      <c r="G151" s="1"/>
      <c r="H151" s="1"/>
      <c r="J151" s="1"/>
      <c r="K151" s="1"/>
      <c r="L151" s="1"/>
      <c r="M151" s="1"/>
      <c r="N151" s="1"/>
    </row>
    <row r="152" spans="1:15" s="2" customFormat="1" x14ac:dyDescent="0.2">
      <c r="A152" s="24"/>
      <c r="B152" s="1"/>
      <c r="C152" s="14"/>
      <c r="D152" s="25"/>
      <c r="G152" s="54"/>
      <c r="H152" s="54"/>
      <c r="J152" s="1"/>
      <c r="K152" s="1"/>
      <c r="L152" s="1"/>
      <c r="M152" s="1"/>
      <c r="N152" s="1"/>
    </row>
    <row r="153" spans="1:15" s="2" customFormat="1" x14ac:dyDescent="0.2">
      <c r="A153" s="24"/>
      <c r="B153" s="1"/>
      <c r="C153" s="14"/>
      <c r="D153" s="25"/>
      <c r="G153" s="54"/>
      <c r="H153" s="54"/>
      <c r="J153" s="1"/>
      <c r="K153" s="1"/>
      <c r="L153" s="1"/>
      <c r="M153" s="1"/>
      <c r="N153" s="1"/>
    </row>
    <row r="154" spans="1:15" s="2" customFormat="1" x14ac:dyDescent="0.2">
      <c r="A154" s="24"/>
      <c r="B154" s="1"/>
      <c r="C154" s="14"/>
      <c r="D154" s="25"/>
      <c r="G154" s="54"/>
      <c r="H154" s="54"/>
      <c r="J154" s="1"/>
      <c r="K154" s="1"/>
      <c r="L154" s="1"/>
      <c r="M154" s="1"/>
      <c r="N154" s="1"/>
    </row>
    <row r="155" spans="1:15" s="2" customFormat="1" x14ac:dyDescent="0.2">
      <c r="A155" s="24"/>
      <c r="B155" s="1"/>
      <c r="C155" s="14"/>
      <c r="D155" s="25"/>
      <c r="G155" s="54"/>
      <c r="H155" s="54"/>
      <c r="I155" s="2" t="s">
        <v>396</v>
      </c>
      <c r="J155" s="1"/>
      <c r="K155" s="1"/>
      <c r="L155" s="1"/>
      <c r="M155" s="1"/>
      <c r="N155" s="1"/>
      <c r="O155" s="1"/>
    </row>
    <row r="156" spans="1:15" s="2" customFormat="1" x14ac:dyDescent="0.2">
      <c r="A156" s="24"/>
      <c r="B156" s="1"/>
      <c r="C156" s="14"/>
      <c r="D156" s="25"/>
      <c r="G156" s="54"/>
      <c r="H156" s="54"/>
      <c r="I156" s="53"/>
    </row>
    <row r="157" spans="1:15" s="2" customFormat="1" x14ac:dyDescent="0.2">
      <c r="A157" s="24"/>
      <c r="B157" s="1"/>
      <c r="C157" s="14"/>
      <c r="D157" s="25"/>
      <c r="G157" s="54"/>
      <c r="H157" s="54"/>
      <c r="I157" s="53" t="s">
        <v>396</v>
      </c>
      <c r="J157" s="1"/>
      <c r="K157" s="1"/>
      <c r="L157" s="1"/>
      <c r="M157" s="1"/>
      <c r="N157" s="1"/>
      <c r="O157" s="1"/>
    </row>
    <row r="158" spans="1:15" x14ac:dyDescent="0.2">
      <c r="G158" s="54"/>
      <c r="H158" s="54"/>
      <c r="I158" s="53" t="s">
        <v>396</v>
      </c>
      <c r="K158" s="42"/>
    </row>
    <row r="159" spans="1:15" s="2" customFormat="1" x14ac:dyDescent="0.2">
      <c r="A159" s="24"/>
      <c r="B159" s="1"/>
      <c r="C159" s="14"/>
      <c r="D159" s="25"/>
      <c r="G159" s="54"/>
      <c r="H159" s="54"/>
      <c r="I159" s="53"/>
      <c r="J159" s="101"/>
      <c r="K159" s="1"/>
      <c r="L159" s="1"/>
      <c r="M159" s="1"/>
      <c r="N159" s="1"/>
      <c r="O159" s="1"/>
    </row>
    <row r="160" spans="1:15" x14ac:dyDescent="0.2">
      <c r="G160" s="54"/>
      <c r="H160" s="54"/>
      <c r="I160" s="53"/>
    </row>
    <row r="161" spans="7:9" x14ac:dyDescent="0.2">
      <c r="G161" s="54"/>
      <c r="H161" s="54"/>
      <c r="I161" s="53"/>
    </row>
    <row r="162" spans="7:9" x14ac:dyDescent="0.2">
      <c r="G162" s="54"/>
      <c r="H162" s="54"/>
      <c r="I162" s="53"/>
    </row>
  </sheetData>
  <sheetProtection insertRows="0"/>
  <mergeCells count="7">
    <mergeCell ref="K76:L76"/>
    <mergeCell ref="A83:D83"/>
    <mergeCell ref="C124:F124"/>
    <mergeCell ref="A1:H1"/>
    <mergeCell ref="A3:F3"/>
    <mergeCell ref="A9:F9"/>
    <mergeCell ref="A21:F21"/>
  </mergeCells>
  <conditionalFormatting sqref="H80:H81">
    <cfRule type="cellIs" dxfId="149" priority="1" operator="lessThan">
      <formula>0</formula>
    </cfRule>
  </conditionalFormatting>
  <conditionalFormatting sqref="C23">
    <cfRule type="duplicateValues" dxfId="148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800-000000000000}">
  <sheetPr codeName="Sheet512">
    <pageSetUpPr fitToPage="1"/>
  </sheetPr>
  <dimension ref="A1:O156"/>
  <sheetViews>
    <sheetView topLeftCell="A109" zoomScaleNormal="100" workbookViewId="0">
      <selection activeCell="E44" sqref="E44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12.85546875" style="1" customWidth="1"/>
    <col min="9" max="9" width="24.85546875" style="2" bestFit="1" customWidth="1"/>
    <col min="10" max="10" width="21.5703125" style="1" bestFit="1" customWidth="1"/>
    <col min="11" max="11" width="16.85546875" style="1" bestFit="1" customWidth="1"/>
    <col min="12" max="12" width="17.28515625" style="1" bestFit="1" customWidth="1"/>
    <col min="13" max="13" width="13.5703125" style="1" bestFit="1" customWidth="1"/>
    <col min="14" max="14" width="17.42578125" style="1" bestFit="1" customWidth="1"/>
    <col min="15" max="15" width="12.85546875" style="1" bestFit="1" customWidth="1"/>
    <col min="16" max="17" width="9.140625" style="1"/>
    <col min="18" max="18" width="15.5703125" style="1" bestFit="1" customWidth="1"/>
    <col min="19" max="16384" width="9.140625" style="1"/>
  </cols>
  <sheetData>
    <row r="1" spans="1:12" ht="20.25" customHeight="1" x14ac:dyDescent="0.4">
      <c r="A1" s="212" t="s">
        <v>1930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2" ht="12.75" customHeight="1" x14ac:dyDescent="0.4">
      <c r="I2" s="112"/>
      <c r="J2" s="112"/>
    </row>
    <row r="3" spans="1:12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2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2" s="2" customFormat="1" ht="14.25" customHeight="1" x14ac:dyDescent="0.4">
      <c r="A5" s="89">
        <v>45293</v>
      </c>
      <c r="B5" s="9" t="s">
        <v>6</v>
      </c>
      <c r="C5" s="10" t="s">
        <v>7</v>
      </c>
      <c r="D5" s="11"/>
      <c r="E5" s="12">
        <v>670047.23000000045</v>
      </c>
      <c r="F5" s="12"/>
      <c r="G5" s="1"/>
      <c r="H5" s="1"/>
      <c r="I5" s="112"/>
      <c r="J5" s="112"/>
    </row>
    <row r="6" spans="1:12" s="2" customFormat="1" ht="12.75" customHeight="1" x14ac:dyDescent="0.2">
      <c r="D6" s="15" t="s">
        <v>8</v>
      </c>
      <c r="E6" s="16">
        <f>SUM(E5:E5)</f>
        <v>670047.23000000045</v>
      </c>
      <c r="F6" s="16">
        <f>F5</f>
        <v>0</v>
      </c>
      <c r="G6" s="1"/>
      <c r="H6" s="1"/>
      <c r="I6" s="13" t="s">
        <v>1582</v>
      </c>
      <c r="J6" s="13" t="s">
        <v>1583</v>
      </c>
    </row>
    <row r="7" spans="1:12" s="2" customFormat="1" ht="12.75" customHeight="1" x14ac:dyDescent="0.2">
      <c r="A7" s="17"/>
      <c r="B7" s="18"/>
      <c r="C7" s="19" t="s">
        <v>9</v>
      </c>
      <c r="D7" s="20"/>
      <c r="E7" s="21">
        <f>+E6-F6</f>
        <v>670047.23000000045</v>
      </c>
      <c r="F7" s="22"/>
      <c r="G7" s="23"/>
      <c r="H7" s="23"/>
      <c r="I7" s="2">
        <v>300000</v>
      </c>
      <c r="K7" s="176">
        <f>I7-J7</f>
        <v>300000</v>
      </c>
    </row>
    <row r="8" spans="1:12" ht="12.75" customHeight="1" x14ac:dyDescent="0.4">
      <c r="I8" s="112"/>
      <c r="J8" s="112"/>
    </row>
    <row r="9" spans="1:12" ht="18" customHeight="1" x14ac:dyDescent="0.4">
      <c r="A9" s="213" t="s">
        <v>1037</v>
      </c>
      <c r="B9" s="213"/>
      <c r="C9" s="213"/>
      <c r="D9" s="213"/>
      <c r="E9" s="213"/>
      <c r="F9" s="213"/>
      <c r="I9" s="112"/>
      <c r="J9" s="169">
        <f>90000000-60000000</f>
        <v>30000000</v>
      </c>
      <c r="K9" s="169" t="s">
        <v>1508</v>
      </c>
    </row>
    <row r="10" spans="1:12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I10" s="112"/>
      <c r="J10" s="169">
        <v>30058439.68</v>
      </c>
      <c r="K10" s="169" t="s">
        <v>1509</v>
      </c>
      <c r="L10" s="124"/>
    </row>
    <row r="11" spans="1:12" s="2" customFormat="1" ht="14.25" customHeight="1" x14ac:dyDescent="0.2">
      <c r="A11" s="89">
        <v>45293</v>
      </c>
      <c r="B11" s="9" t="s">
        <v>6</v>
      </c>
      <c r="C11" s="10" t="s">
        <v>7</v>
      </c>
      <c r="D11" s="11"/>
      <c r="F11" s="12">
        <v>26840191.470000003</v>
      </c>
      <c r="G11" s="1"/>
      <c r="H11" s="1"/>
      <c r="I11" s="130" t="s">
        <v>396</v>
      </c>
      <c r="J11" s="169">
        <f>+J9-J10</f>
        <v>-58439.679999999702</v>
      </c>
      <c r="K11" s="169" t="s">
        <v>712</v>
      </c>
      <c r="L11" s="165" t="s">
        <v>1512</v>
      </c>
    </row>
    <row r="12" spans="1:12" s="2" customFormat="1" ht="14.25" customHeight="1" x14ac:dyDescent="0.2">
      <c r="A12" s="89">
        <v>45293</v>
      </c>
      <c r="B12" s="128" t="s">
        <v>6</v>
      </c>
      <c r="C12" s="76" t="s">
        <v>400</v>
      </c>
      <c r="D12" s="11" t="s">
        <v>13</v>
      </c>
      <c r="E12" s="31">
        <v>800000</v>
      </c>
      <c r="F12" s="31"/>
      <c r="G12" s="1"/>
      <c r="H12" s="1"/>
      <c r="I12" s="130"/>
      <c r="J12" s="169"/>
      <c r="K12" s="169"/>
      <c r="L12" s="165"/>
    </row>
    <row r="13" spans="1:12" s="2" customFormat="1" ht="14.25" customHeight="1" x14ac:dyDescent="0.2">
      <c r="A13" s="89">
        <v>45293</v>
      </c>
      <c r="B13" s="128" t="s">
        <v>11</v>
      </c>
      <c r="C13" s="76" t="s">
        <v>102</v>
      </c>
      <c r="D13" s="11" t="s">
        <v>29</v>
      </c>
      <c r="E13" s="31"/>
      <c r="F13" s="31">
        <v>334509.96000000002</v>
      </c>
      <c r="G13" s="1"/>
      <c r="H13" s="1"/>
      <c r="I13" s="130"/>
      <c r="J13" s="169"/>
      <c r="K13" s="169"/>
      <c r="L13" s="165"/>
    </row>
    <row r="14" spans="1:12" s="2" customFormat="1" ht="14.25" customHeight="1" x14ac:dyDescent="0.2">
      <c r="A14" s="89">
        <v>45293</v>
      </c>
      <c r="B14" s="128" t="s">
        <v>11</v>
      </c>
      <c r="C14" s="76" t="s">
        <v>156</v>
      </c>
      <c r="D14" s="11" t="s">
        <v>29</v>
      </c>
      <c r="E14" s="31"/>
      <c r="F14" s="31">
        <v>1393.61</v>
      </c>
      <c r="G14" s="1"/>
      <c r="H14" s="1"/>
      <c r="I14" s="130"/>
      <c r="J14" s="169"/>
      <c r="K14" s="169"/>
      <c r="L14" s="165"/>
    </row>
    <row r="15" spans="1:12" s="2" customFormat="1" ht="14.25" customHeight="1" x14ac:dyDescent="0.2">
      <c r="A15" s="89">
        <v>45293</v>
      </c>
      <c r="B15" s="128" t="s">
        <v>11</v>
      </c>
      <c r="C15" s="76" t="s">
        <v>34</v>
      </c>
      <c r="D15" s="11" t="s">
        <v>29</v>
      </c>
      <c r="E15" s="31"/>
      <c r="F15" s="31">
        <v>80000</v>
      </c>
      <c r="G15" s="1"/>
      <c r="H15" s="1"/>
      <c r="I15" s="130"/>
      <c r="J15" s="169"/>
      <c r="K15" s="169"/>
      <c r="L15" s="165"/>
    </row>
    <row r="16" spans="1:12" s="2" customFormat="1" ht="14.25" customHeight="1" x14ac:dyDescent="0.2">
      <c r="A16" s="89">
        <v>45293</v>
      </c>
      <c r="B16" s="128" t="s">
        <v>11</v>
      </c>
      <c r="C16" s="76" t="s">
        <v>1796</v>
      </c>
      <c r="D16" s="11" t="s">
        <v>29</v>
      </c>
      <c r="E16" s="31"/>
      <c r="F16" s="31">
        <v>44445</v>
      </c>
      <c r="G16" s="1"/>
      <c r="H16" s="1"/>
      <c r="I16" s="130"/>
      <c r="J16" s="169"/>
      <c r="K16" s="169"/>
      <c r="L16" s="165"/>
    </row>
    <row r="17" spans="1:15" s="2" customFormat="1" ht="14.25" customHeight="1" x14ac:dyDescent="0.2">
      <c r="A17" s="89">
        <v>45293</v>
      </c>
      <c r="B17" s="128" t="s">
        <v>11</v>
      </c>
      <c r="C17" s="76" t="s">
        <v>1931</v>
      </c>
      <c r="D17" s="11" t="s">
        <v>29</v>
      </c>
      <c r="E17" s="31"/>
      <c r="F17" s="31">
        <v>15576</v>
      </c>
      <c r="G17" s="1"/>
      <c r="H17" s="1"/>
      <c r="I17" s="130"/>
      <c r="J17" s="169"/>
      <c r="K17" s="169"/>
      <c r="L17" s="165"/>
    </row>
    <row r="18" spans="1:15" s="2" customFormat="1" ht="14.25" customHeight="1" x14ac:dyDescent="0.2">
      <c r="A18" s="89">
        <v>45293</v>
      </c>
      <c r="B18" s="128" t="s">
        <v>11</v>
      </c>
      <c r="C18" s="76" t="s">
        <v>1156</v>
      </c>
      <c r="D18" s="11" t="s">
        <v>29</v>
      </c>
      <c r="E18" s="31"/>
      <c r="F18" s="31">
        <v>3242323.64</v>
      </c>
      <c r="G18" s="1"/>
      <c r="H18" s="1"/>
      <c r="I18" s="130"/>
      <c r="J18" s="169"/>
      <c r="K18" s="169"/>
      <c r="L18" s="165"/>
    </row>
    <row r="19" spans="1:15" s="2" customFormat="1" ht="14.25" customHeight="1" x14ac:dyDescent="0.2">
      <c r="D19" s="11" t="s">
        <v>8</v>
      </c>
      <c r="E19" s="16">
        <f>SUM(E12:E13)</f>
        <v>800000</v>
      </c>
      <c r="F19" s="16">
        <f>SUM(F11:F18)</f>
        <v>30558439.680000003</v>
      </c>
      <c r="G19" s="1"/>
      <c r="H19" s="1"/>
      <c r="I19" s="143"/>
      <c r="J19" s="130"/>
      <c r="K19" s="143"/>
      <c r="L19" s="143"/>
      <c r="M19" s="143"/>
      <c r="N19" s="143"/>
    </row>
    <row r="20" spans="1:15" s="2" customFormat="1" ht="14.25" customHeight="1" x14ac:dyDescent="0.4">
      <c r="A20" s="17"/>
      <c r="B20" s="18"/>
      <c r="C20" s="96" t="s">
        <v>9</v>
      </c>
      <c r="D20" s="20"/>
      <c r="E20" s="21">
        <f>+F19-E19</f>
        <v>29758439.680000003</v>
      </c>
      <c r="G20" s="1"/>
      <c r="H20" s="1"/>
      <c r="J20" s="112"/>
      <c r="K20" s="153" t="s">
        <v>779</v>
      </c>
    </row>
    <row r="21" spans="1:15" s="2" customFormat="1" ht="14.25" customHeight="1" x14ac:dyDescent="0.2">
      <c r="A21" s="36"/>
      <c r="B21" s="28" t="s">
        <v>66</v>
      </c>
      <c r="C21" s="43" t="s">
        <v>1458</v>
      </c>
      <c r="D21" s="43"/>
      <c r="E21" s="12">
        <f>30000000+60000000</f>
        <v>90000000</v>
      </c>
      <c r="F21" s="22"/>
      <c r="G21" s="1"/>
      <c r="H21" s="1"/>
      <c r="J21" s="40">
        <v>29758439.68</v>
      </c>
      <c r="K21" s="154">
        <f>J21-E20</f>
        <v>0</v>
      </c>
    </row>
    <row r="22" spans="1:15" s="2" customFormat="1" ht="14.25" customHeight="1" x14ac:dyDescent="0.25">
      <c r="A22" s="36"/>
      <c r="B22" s="28"/>
      <c r="C22" s="44" t="s">
        <v>1541</v>
      </c>
      <c r="D22" s="43"/>
      <c r="E22" s="7">
        <f>+E20+E21</f>
        <v>119758439.68000001</v>
      </c>
      <c r="F22" s="22"/>
      <c r="G22" s="1"/>
      <c r="H22" s="1"/>
      <c r="I22" s="13" t="s">
        <v>1582</v>
      </c>
      <c r="J22" s="13" t="s">
        <v>1583</v>
      </c>
    </row>
    <row r="23" spans="1:15" s="2" customFormat="1" ht="14.25" customHeight="1" x14ac:dyDescent="0.25">
      <c r="A23" s="36"/>
      <c r="B23" s="28"/>
      <c r="C23" s="44" t="s">
        <v>1511</v>
      </c>
      <c r="D23" s="43"/>
      <c r="E23" s="38">
        <f>+J11+I7-J7</f>
        <v>241560.3200000003</v>
      </c>
      <c r="F23" s="22"/>
      <c r="G23" s="1"/>
      <c r="H23" s="1"/>
      <c r="I23" s="2">
        <v>1246481</v>
      </c>
      <c r="J23" s="2">
        <v>14904980</v>
      </c>
      <c r="K23" s="176">
        <f>I23-J23</f>
        <v>-13658499</v>
      </c>
    </row>
    <row r="24" spans="1:15" s="2" customFormat="1" ht="14.25" customHeight="1" x14ac:dyDescent="0.2">
      <c r="A24" s="24"/>
      <c r="B24" s="1"/>
      <c r="C24" s="14"/>
      <c r="D24" s="25"/>
      <c r="G24" s="1"/>
      <c r="H24" s="1"/>
      <c r="J24" s="130"/>
      <c r="K24" s="130"/>
    </row>
    <row r="25" spans="1:15" s="2" customFormat="1" x14ac:dyDescent="0.2">
      <c r="A25" s="214" t="s">
        <v>10</v>
      </c>
      <c r="B25" s="214"/>
      <c r="C25" s="214"/>
      <c r="D25" s="214"/>
      <c r="E25" s="214"/>
      <c r="F25" s="214"/>
      <c r="G25" s="1"/>
      <c r="H25" s="1"/>
      <c r="I25" s="159"/>
      <c r="J25" s="160">
        <f>225000000-75000000-50000000+75000000</f>
        <v>175000000</v>
      </c>
      <c r="K25" s="160" t="s">
        <v>1506</v>
      </c>
      <c r="L25" s="70"/>
    </row>
    <row r="26" spans="1:15" s="2" customFormat="1" x14ac:dyDescent="0.2">
      <c r="A26" s="26" t="s">
        <v>1</v>
      </c>
      <c r="B26" s="27" t="s">
        <v>2</v>
      </c>
      <c r="C26" s="5"/>
      <c r="D26" s="6" t="s">
        <v>3</v>
      </c>
      <c r="E26" s="7" t="s">
        <v>4</v>
      </c>
      <c r="F26" s="7" t="s">
        <v>5</v>
      </c>
      <c r="G26" s="1"/>
      <c r="H26" s="1"/>
      <c r="I26" s="159"/>
      <c r="J26" s="160">
        <v>153879422.37</v>
      </c>
      <c r="K26" s="160" t="s">
        <v>1507</v>
      </c>
      <c r="L26" s="70" t="s">
        <v>1512</v>
      </c>
    </row>
    <row r="27" spans="1:15" s="2" customFormat="1" x14ac:dyDescent="0.2">
      <c r="A27" s="89">
        <v>45293</v>
      </c>
      <c r="B27" s="128" t="s">
        <v>11</v>
      </c>
      <c r="C27" s="29" t="s">
        <v>7</v>
      </c>
      <c r="D27" s="25"/>
      <c r="E27" s="31"/>
      <c r="F27" s="2">
        <v>156900468.02999997</v>
      </c>
      <c r="G27" s="23"/>
      <c r="H27" s="23"/>
      <c r="I27" s="159" t="s">
        <v>1505</v>
      </c>
      <c r="J27" s="160">
        <f>+J25-J26</f>
        <v>21120577.629999995</v>
      </c>
      <c r="K27" s="160"/>
      <c r="L27" s="70"/>
    </row>
    <row r="28" spans="1:15" s="2" customFormat="1" x14ac:dyDescent="0.2">
      <c r="A28" s="89">
        <v>45293</v>
      </c>
      <c r="B28" s="128" t="s">
        <v>6</v>
      </c>
      <c r="C28" s="76" t="s">
        <v>670</v>
      </c>
      <c r="D28" s="11" t="s">
        <v>13</v>
      </c>
      <c r="E28" s="31">
        <v>1114636</v>
      </c>
      <c r="F28" s="70"/>
      <c r="G28" s="1"/>
      <c r="H28" s="1"/>
      <c r="O28" s="1"/>
    </row>
    <row r="29" spans="1:15" s="2" customFormat="1" x14ac:dyDescent="0.2">
      <c r="A29" s="89">
        <v>45293</v>
      </c>
      <c r="B29" s="128" t="s">
        <v>6</v>
      </c>
      <c r="C29" s="76" t="s">
        <v>364</v>
      </c>
      <c r="D29" s="11" t="s">
        <v>13</v>
      </c>
      <c r="E29" s="31">
        <v>199950</v>
      </c>
      <c r="F29" s="70"/>
      <c r="G29" s="1"/>
      <c r="H29" s="1"/>
      <c r="O29" s="1"/>
    </row>
    <row r="30" spans="1:15" s="2" customFormat="1" x14ac:dyDescent="0.2">
      <c r="A30" s="89">
        <v>45293</v>
      </c>
      <c r="B30" s="128" t="s">
        <v>6</v>
      </c>
      <c r="C30" s="76" t="s">
        <v>15</v>
      </c>
      <c r="D30" s="11" t="s">
        <v>13</v>
      </c>
      <c r="E30" s="31">
        <v>85485.819999999992</v>
      </c>
      <c r="F30" s="70"/>
      <c r="G30" s="1"/>
      <c r="H30" s="1"/>
      <c r="O30" s="1"/>
    </row>
    <row r="31" spans="1:15" s="2" customFormat="1" x14ac:dyDescent="0.2">
      <c r="A31" s="89">
        <v>45293</v>
      </c>
      <c r="B31" s="128" t="s">
        <v>6</v>
      </c>
      <c r="C31" s="76" t="s">
        <v>759</v>
      </c>
      <c r="D31" s="11" t="s">
        <v>13</v>
      </c>
      <c r="E31" s="31">
        <v>720440.4</v>
      </c>
      <c r="F31" s="70"/>
      <c r="G31" s="1"/>
      <c r="H31" s="1"/>
      <c r="O31" s="1"/>
    </row>
    <row r="32" spans="1:15" s="2" customFormat="1" x14ac:dyDescent="0.2">
      <c r="A32" s="89">
        <v>45293</v>
      </c>
      <c r="B32" s="128" t="s">
        <v>6</v>
      </c>
      <c r="C32" s="76" t="s">
        <v>213</v>
      </c>
      <c r="D32" s="11" t="s">
        <v>13</v>
      </c>
      <c r="E32" s="31">
        <v>44687</v>
      </c>
      <c r="F32" s="70"/>
      <c r="G32" s="1"/>
      <c r="H32" s="1"/>
      <c r="O32" s="1"/>
    </row>
    <row r="33" spans="1:15" s="2" customFormat="1" x14ac:dyDescent="0.2">
      <c r="A33" s="89">
        <v>45293</v>
      </c>
      <c r="B33" s="128" t="s">
        <v>6</v>
      </c>
      <c r="C33" s="76" t="s">
        <v>87</v>
      </c>
      <c r="D33" s="11" t="s">
        <v>13</v>
      </c>
      <c r="E33" s="31">
        <v>710500.05</v>
      </c>
      <c r="F33" s="70"/>
      <c r="G33" s="1"/>
      <c r="H33" s="1"/>
      <c r="O33" s="1"/>
    </row>
    <row r="34" spans="1:15" s="2" customFormat="1" x14ac:dyDescent="0.2">
      <c r="A34" s="89">
        <v>45293</v>
      </c>
      <c r="B34" s="128" t="s">
        <v>6</v>
      </c>
      <c r="C34" s="76" t="s">
        <v>85</v>
      </c>
      <c r="D34" s="11" t="s">
        <v>13</v>
      </c>
      <c r="E34" s="31">
        <v>459852</v>
      </c>
      <c r="F34" s="70"/>
      <c r="G34" s="1"/>
      <c r="H34" s="1"/>
      <c r="O34" s="1"/>
    </row>
    <row r="35" spans="1:15" s="2" customFormat="1" x14ac:dyDescent="0.2">
      <c r="A35" s="89">
        <v>45293</v>
      </c>
      <c r="B35" s="128" t="s">
        <v>6</v>
      </c>
      <c r="C35" s="76" t="s">
        <v>164</v>
      </c>
      <c r="D35" s="11" t="s">
        <v>13</v>
      </c>
      <c r="E35" s="31">
        <v>1000000</v>
      </c>
      <c r="F35" s="70"/>
      <c r="G35" s="1"/>
      <c r="H35" s="1"/>
      <c r="O35" s="1"/>
    </row>
    <row r="36" spans="1:15" s="2" customFormat="1" x14ac:dyDescent="0.2">
      <c r="A36" s="89">
        <v>45293</v>
      </c>
      <c r="B36" s="128" t="s">
        <v>6</v>
      </c>
      <c r="C36" s="76" t="s">
        <v>133</v>
      </c>
      <c r="D36" s="11" t="s">
        <v>13</v>
      </c>
      <c r="E36" s="31">
        <v>68049</v>
      </c>
      <c r="F36" s="70"/>
      <c r="G36" s="1"/>
      <c r="H36" s="1"/>
      <c r="O36" s="1"/>
    </row>
    <row r="37" spans="1:15" s="2" customFormat="1" x14ac:dyDescent="0.2">
      <c r="A37" s="89">
        <v>45293</v>
      </c>
      <c r="B37" s="128" t="s">
        <v>6</v>
      </c>
      <c r="C37" s="76" t="s">
        <v>105</v>
      </c>
      <c r="D37" s="11" t="s">
        <v>13</v>
      </c>
      <c r="E37" s="31">
        <v>158435</v>
      </c>
      <c r="F37" s="70"/>
      <c r="G37" s="1"/>
      <c r="H37" s="1"/>
      <c r="O37" s="1"/>
    </row>
    <row r="38" spans="1:15" s="2" customFormat="1" x14ac:dyDescent="0.2">
      <c r="A38" s="89">
        <v>45293</v>
      </c>
      <c r="B38" s="128" t="s">
        <v>6</v>
      </c>
      <c r="C38" s="76" t="s">
        <v>755</v>
      </c>
      <c r="D38" s="11" t="s">
        <v>13</v>
      </c>
      <c r="E38" s="31">
        <v>237533.2</v>
      </c>
      <c r="F38" s="70"/>
      <c r="G38" s="1"/>
      <c r="H38" s="1"/>
      <c r="O38" s="1"/>
    </row>
    <row r="39" spans="1:15" s="2" customFormat="1" x14ac:dyDescent="0.2">
      <c r="A39" s="89">
        <v>45293</v>
      </c>
      <c r="B39" s="128" t="s">
        <v>6</v>
      </c>
      <c r="C39" s="76" t="s">
        <v>27</v>
      </c>
      <c r="D39" s="11" t="s">
        <v>13</v>
      </c>
      <c r="E39" s="31">
        <v>162180</v>
      </c>
      <c r="F39" s="70"/>
      <c r="G39" s="1"/>
      <c r="H39" s="1"/>
      <c r="O39" s="1"/>
    </row>
    <row r="40" spans="1:15" s="2" customFormat="1" x14ac:dyDescent="0.2">
      <c r="A40" s="89">
        <v>45293</v>
      </c>
      <c r="B40" s="128" t="s">
        <v>6</v>
      </c>
      <c r="C40" s="76" t="s">
        <v>773</v>
      </c>
      <c r="D40" s="11" t="s">
        <v>13</v>
      </c>
      <c r="E40" s="31">
        <v>456968.7</v>
      </c>
      <c r="F40" s="70"/>
      <c r="G40" s="1"/>
      <c r="H40" s="1"/>
      <c r="O40" s="1"/>
    </row>
    <row r="41" spans="1:15" s="2" customFormat="1" x14ac:dyDescent="0.2">
      <c r="A41" s="89">
        <v>45293</v>
      </c>
      <c r="B41" s="128" t="s">
        <v>6</v>
      </c>
      <c r="C41" s="76" t="s">
        <v>748</v>
      </c>
      <c r="D41" s="11" t="s">
        <v>13</v>
      </c>
      <c r="E41" s="31">
        <v>249259.30000000002</v>
      </c>
      <c r="F41" s="70"/>
      <c r="G41" s="1"/>
      <c r="H41" s="1"/>
      <c r="O41" s="1"/>
    </row>
    <row r="42" spans="1:15" s="2" customFormat="1" x14ac:dyDescent="0.2">
      <c r="A42" s="89">
        <v>45293</v>
      </c>
      <c r="B42" s="128" t="s">
        <v>6</v>
      </c>
      <c r="C42" s="76" t="s">
        <v>1932</v>
      </c>
      <c r="D42" s="11" t="s">
        <v>13</v>
      </c>
      <c r="E42" s="31">
        <v>20000000</v>
      </c>
      <c r="F42" s="70"/>
      <c r="G42" s="1"/>
      <c r="H42" s="1"/>
      <c r="O42" s="1"/>
    </row>
    <row r="43" spans="1:15" s="2" customFormat="1" x14ac:dyDescent="0.2">
      <c r="A43" s="89">
        <v>45293</v>
      </c>
      <c r="B43" s="128" t="s">
        <v>6</v>
      </c>
      <c r="C43" s="76" t="s">
        <v>146</v>
      </c>
      <c r="D43" s="11" t="s">
        <v>13</v>
      </c>
      <c r="E43" s="31">
        <v>1998668.62</v>
      </c>
      <c r="F43" s="70"/>
      <c r="G43" s="1"/>
      <c r="H43" s="1"/>
      <c r="O43" s="1"/>
    </row>
    <row r="44" spans="1:15" s="2" customFormat="1" x14ac:dyDescent="0.2">
      <c r="A44" s="89">
        <v>45293</v>
      </c>
      <c r="B44" s="128" t="s">
        <v>6</v>
      </c>
      <c r="C44" s="76" t="s">
        <v>149</v>
      </c>
      <c r="D44" s="11" t="s">
        <v>13</v>
      </c>
      <c r="E44" s="31">
        <v>6976</v>
      </c>
      <c r="F44" s="70"/>
      <c r="G44" s="1"/>
      <c r="H44" s="1"/>
      <c r="O44" s="1"/>
    </row>
    <row r="45" spans="1:15" s="2" customFormat="1" x14ac:dyDescent="0.2">
      <c r="A45" s="89">
        <v>45293</v>
      </c>
      <c r="B45" s="128" t="s">
        <v>6</v>
      </c>
      <c r="C45" s="76" t="s">
        <v>1031</v>
      </c>
      <c r="D45" s="11" t="s">
        <v>13</v>
      </c>
      <c r="E45" s="31">
        <v>3900.07</v>
      </c>
      <c r="F45" s="70"/>
      <c r="G45" s="1"/>
      <c r="H45" s="1"/>
      <c r="O45" s="1"/>
    </row>
    <row r="46" spans="1:15" s="2" customFormat="1" x14ac:dyDescent="0.2">
      <c r="A46" s="89">
        <v>45293</v>
      </c>
      <c r="B46" s="128" t="s">
        <v>11</v>
      </c>
      <c r="C46" s="76" t="s">
        <v>64</v>
      </c>
      <c r="D46" s="11" t="s">
        <v>29</v>
      </c>
      <c r="E46" s="31"/>
      <c r="F46" s="70">
        <f>8872.42-1475</f>
        <v>7397.42</v>
      </c>
      <c r="G46" s="1"/>
      <c r="H46" s="1"/>
      <c r="O46" s="1"/>
    </row>
    <row r="47" spans="1:15" s="2" customFormat="1" x14ac:dyDescent="0.2">
      <c r="A47" s="89">
        <v>45293</v>
      </c>
      <c r="B47" s="128" t="s">
        <v>11</v>
      </c>
      <c r="C47" s="76" t="s">
        <v>733</v>
      </c>
      <c r="D47" s="11" t="s">
        <v>29</v>
      </c>
      <c r="E47" s="31"/>
      <c r="F47" s="70">
        <v>2305248</v>
      </c>
      <c r="G47" s="1"/>
      <c r="H47" s="1"/>
      <c r="O47" s="1"/>
    </row>
    <row r="48" spans="1:15" s="2" customFormat="1" x14ac:dyDescent="0.2">
      <c r="A48" s="89">
        <v>45293</v>
      </c>
      <c r="B48" s="128" t="s">
        <v>11</v>
      </c>
      <c r="C48" s="76" t="s">
        <v>732</v>
      </c>
      <c r="D48" s="11" t="s">
        <v>29</v>
      </c>
      <c r="E48" s="31"/>
      <c r="F48" s="70">
        <v>3520008</v>
      </c>
      <c r="G48" s="1"/>
      <c r="H48" s="1"/>
      <c r="O48" s="1"/>
    </row>
    <row r="49" spans="1:15" s="2" customFormat="1" x14ac:dyDescent="0.2">
      <c r="A49" s="89">
        <v>45293</v>
      </c>
      <c r="B49" s="128" t="s">
        <v>11</v>
      </c>
      <c r="C49" s="76" t="s">
        <v>1894</v>
      </c>
      <c r="D49" s="11" t="s">
        <v>29</v>
      </c>
      <c r="E49" s="31"/>
      <c r="F49" s="70">
        <v>3112875</v>
      </c>
      <c r="G49" s="1"/>
      <c r="H49" s="1"/>
      <c r="O49" s="1"/>
    </row>
    <row r="50" spans="1:15" s="2" customFormat="1" x14ac:dyDescent="0.2">
      <c r="A50" s="89">
        <v>45293</v>
      </c>
      <c r="B50" s="128" t="s">
        <v>11</v>
      </c>
      <c r="C50" s="76" t="s">
        <v>1838</v>
      </c>
      <c r="D50" s="11" t="s">
        <v>29</v>
      </c>
      <c r="E50" s="31"/>
      <c r="F50" s="70">
        <v>89753</v>
      </c>
      <c r="G50" s="1"/>
      <c r="H50" s="1"/>
      <c r="O50" s="1"/>
    </row>
    <row r="51" spans="1:15" s="2" customFormat="1" x14ac:dyDescent="0.2">
      <c r="A51" s="89">
        <v>45293</v>
      </c>
      <c r="B51" s="128" t="s">
        <v>11</v>
      </c>
      <c r="C51" s="76" t="s">
        <v>1031</v>
      </c>
      <c r="D51" s="11" t="s">
        <v>29</v>
      </c>
      <c r="E51" s="31"/>
      <c r="F51" s="70">
        <v>18685.189999999999</v>
      </c>
      <c r="G51" s="1"/>
      <c r="H51" s="1"/>
      <c r="O51" s="1"/>
    </row>
    <row r="52" spans="1:15" s="2" customFormat="1" x14ac:dyDescent="0.2">
      <c r="A52" s="89">
        <v>45293</v>
      </c>
      <c r="B52" s="128" t="s">
        <v>11</v>
      </c>
      <c r="C52" s="76" t="s">
        <v>92</v>
      </c>
      <c r="D52" s="11" t="s">
        <v>29</v>
      </c>
      <c r="E52" s="31"/>
      <c r="F52" s="70">
        <v>16615</v>
      </c>
      <c r="G52" s="1"/>
      <c r="H52" s="1"/>
      <c r="O52" s="1"/>
    </row>
    <row r="53" spans="1:15" s="2" customFormat="1" x14ac:dyDescent="0.2">
      <c r="A53" s="89">
        <v>45293</v>
      </c>
      <c r="B53" s="128" t="s">
        <v>11</v>
      </c>
      <c r="C53" s="76" t="s">
        <v>518</v>
      </c>
      <c r="D53" s="11" t="s">
        <v>29</v>
      </c>
      <c r="E53" s="31"/>
      <c r="F53" s="70">
        <v>20302</v>
      </c>
      <c r="G53" s="1"/>
      <c r="H53" s="1"/>
      <c r="O53" s="1"/>
    </row>
    <row r="54" spans="1:15" s="2" customFormat="1" x14ac:dyDescent="0.2">
      <c r="A54" s="89">
        <v>45293</v>
      </c>
      <c r="B54" s="128" t="s">
        <v>11</v>
      </c>
      <c r="C54" s="76" t="s">
        <v>740</v>
      </c>
      <c r="D54" s="11" t="s">
        <v>29</v>
      </c>
      <c r="E54" s="31"/>
      <c r="F54" s="70">
        <v>44098</v>
      </c>
      <c r="G54" s="1"/>
      <c r="H54" s="1"/>
      <c r="O54" s="1"/>
    </row>
    <row r="55" spans="1:15" s="2" customFormat="1" x14ac:dyDescent="0.2">
      <c r="A55" s="89">
        <v>45293</v>
      </c>
      <c r="B55" s="128" t="s">
        <v>11</v>
      </c>
      <c r="C55" s="76" t="s">
        <v>167</v>
      </c>
      <c r="D55" s="11" t="s">
        <v>29</v>
      </c>
      <c r="E55" s="31"/>
      <c r="F55" s="70">
        <v>65884</v>
      </c>
      <c r="G55" s="1"/>
      <c r="H55" s="1"/>
      <c r="O55" s="1"/>
    </row>
    <row r="56" spans="1:15" s="2" customFormat="1" x14ac:dyDescent="0.2">
      <c r="A56" s="89">
        <v>45293</v>
      </c>
      <c r="B56" s="128" t="s">
        <v>11</v>
      </c>
      <c r="C56" s="76" t="s">
        <v>170</v>
      </c>
      <c r="D56" s="11" t="s">
        <v>29</v>
      </c>
      <c r="E56" s="31"/>
      <c r="F56" s="70">
        <v>10000</v>
      </c>
      <c r="G56" s="1"/>
      <c r="H56" s="1"/>
      <c r="O56" s="1"/>
    </row>
    <row r="57" spans="1:15" s="2" customFormat="1" x14ac:dyDescent="0.2">
      <c r="A57" s="89">
        <v>45293</v>
      </c>
      <c r="B57" s="128" t="s">
        <v>11</v>
      </c>
      <c r="C57" s="76" t="s">
        <v>169</v>
      </c>
      <c r="D57" s="11" t="s">
        <v>29</v>
      </c>
      <c r="E57" s="31"/>
      <c r="F57" s="70">
        <v>8500</v>
      </c>
      <c r="G57" s="1"/>
      <c r="H57" s="1"/>
      <c r="O57" s="1"/>
    </row>
    <row r="58" spans="1:15" s="2" customFormat="1" x14ac:dyDescent="0.2">
      <c r="A58" s="89">
        <v>45293</v>
      </c>
      <c r="B58" s="128" t="s">
        <v>11</v>
      </c>
      <c r="C58" s="76" t="s">
        <v>168</v>
      </c>
      <c r="D58" s="11" t="s">
        <v>29</v>
      </c>
      <c r="E58" s="31"/>
      <c r="F58" s="70">
        <v>3600</v>
      </c>
      <c r="G58" s="1"/>
      <c r="H58" s="1"/>
      <c r="O58" s="1"/>
    </row>
    <row r="59" spans="1:15" s="2" customFormat="1" x14ac:dyDescent="0.2">
      <c r="A59" s="89">
        <v>45293</v>
      </c>
      <c r="B59" s="128" t="s">
        <v>11</v>
      </c>
      <c r="C59" s="76" t="s">
        <v>635</v>
      </c>
      <c r="D59" s="11" t="s">
        <v>29</v>
      </c>
      <c r="E59" s="31"/>
      <c r="F59" s="70">
        <v>831613</v>
      </c>
      <c r="G59" s="1"/>
      <c r="H59" s="1"/>
      <c r="O59" s="1"/>
    </row>
    <row r="60" spans="1:15" s="2" customFormat="1" x14ac:dyDescent="0.2">
      <c r="A60" s="89">
        <v>45293</v>
      </c>
      <c r="B60" s="128" t="s">
        <v>11</v>
      </c>
      <c r="C60" s="76" t="s">
        <v>256</v>
      </c>
      <c r="D60" s="11" t="s">
        <v>29</v>
      </c>
      <c r="E60" s="31"/>
      <c r="F60" s="70">
        <v>351578</v>
      </c>
      <c r="G60" s="1"/>
      <c r="H60" s="1"/>
      <c r="O60" s="1"/>
    </row>
    <row r="61" spans="1:15" s="2" customFormat="1" x14ac:dyDescent="0.2">
      <c r="A61" s="89">
        <v>45293</v>
      </c>
      <c r="B61" s="128" t="s">
        <v>11</v>
      </c>
      <c r="C61" s="76" t="s">
        <v>799</v>
      </c>
      <c r="D61" s="11" t="s">
        <v>29</v>
      </c>
      <c r="E61" s="31"/>
      <c r="F61" s="70">
        <v>1774347</v>
      </c>
      <c r="G61" s="1"/>
      <c r="H61" s="1"/>
      <c r="O61" s="1"/>
    </row>
    <row r="62" spans="1:15" s="2" customFormat="1" x14ac:dyDescent="0.2">
      <c r="A62" s="89">
        <v>45293</v>
      </c>
      <c r="B62" s="128" t="s">
        <v>11</v>
      </c>
      <c r="C62" s="76" t="s">
        <v>1651</v>
      </c>
      <c r="D62" s="11" t="s">
        <v>29</v>
      </c>
      <c r="E62" s="31"/>
      <c r="F62" s="70">
        <v>2860793</v>
      </c>
      <c r="G62" s="1"/>
      <c r="H62" s="1"/>
      <c r="O62" s="1"/>
    </row>
    <row r="63" spans="1:15" s="2" customFormat="1" x14ac:dyDescent="0.2">
      <c r="A63" s="89">
        <v>45293</v>
      </c>
      <c r="B63" s="128" t="s">
        <v>11</v>
      </c>
      <c r="C63" s="76" t="s">
        <v>696</v>
      </c>
      <c r="D63" s="11" t="s">
        <v>29</v>
      </c>
      <c r="E63" s="31"/>
      <c r="F63" s="70">
        <v>1871786</v>
      </c>
      <c r="G63" s="1"/>
      <c r="H63" s="1"/>
      <c r="O63" s="1"/>
    </row>
    <row r="64" spans="1:15" s="2" customFormat="1" x14ac:dyDescent="0.2">
      <c r="A64" s="89">
        <v>45293</v>
      </c>
      <c r="B64" s="128" t="s">
        <v>11</v>
      </c>
      <c r="C64" s="76" t="s">
        <v>394</v>
      </c>
      <c r="D64" s="11" t="s">
        <v>29</v>
      </c>
      <c r="E64" s="31"/>
      <c r="F64" s="70">
        <v>804465</v>
      </c>
      <c r="G64" s="1"/>
      <c r="H64" s="1"/>
      <c r="O64" s="1"/>
    </row>
    <row r="65" spans="1:15" s="2" customFormat="1" x14ac:dyDescent="0.2">
      <c r="A65" s="89">
        <v>45293</v>
      </c>
      <c r="B65" s="128" t="s">
        <v>11</v>
      </c>
      <c r="C65" s="76" t="s">
        <v>301</v>
      </c>
      <c r="D65" s="11" t="s">
        <v>29</v>
      </c>
      <c r="E65" s="31"/>
      <c r="F65" s="70">
        <v>1525331</v>
      </c>
      <c r="G65" s="1"/>
      <c r="H65" s="1"/>
      <c r="O65" s="1"/>
    </row>
    <row r="66" spans="1:15" s="2" customFormat="1" x14ac:dyDescent="0.2">
      <c r="A66" s="89">
        <v>45293</v>
      </c>
      <c r="B66" s="128" t="s">
        <v>11</v>
      </c>
      <c r="C66" s="76" t="s">
        <v>254</v>
      </c>
      <c r="D66" s="11" t="s">
        <v>29</v>
      </c>
      <c r="E66" s="31"/>
      <c r="F66" s="70">
        <v>345307</v>
      </c>
      <c r="G66" s="1"/>
      <c r="H66" s="1"/>
      <c r="O66" s="1"/>
    </row>
    <row r="67" spans="1:15" s="2" customFormat="1" x14ac:dyDescent="0.2">
      <c r="A67" s="89">
        <v>45293</v>
      </c>
      <c r="B67" s="128" t="s">
        <v>11</v>
      </c>
      <c r="C67" s="76" t="s">
        <v>253</v>
      </c>
      <c r="D67" s="11" t="s">
        <v>29</v>
      </c>
      <c r="E67" s="31"/>
      <c r="F67" s="70">
        <v>415360</v>
      </c>
      <c r="G67" s="1"/>
      <c r="H67" s="1"/>
      <c r="O67" s="1"/>
    </row>
    <row r="68" spans="1:15" s="2" customFormat="1" x14ac:dyDescent="0.2">
      <c r="A68" s="89">
        <v>45293</v>
      </c>
      <c r="B68" s="128" t="s">
        <v>11</v>
      </c>
      <c r="C68" s="76" t="s">
        <v>496</v>
      </c>
      <c r="D68" s="11" t="s">
        <v>29</v>
      </c>
      <c r="E68" s="31"/>
      <c r="F68" s="70">
        <v>368160</v>
      </c>
      <c r="G68" s="1"/>
      <c r="H68" s="1"/>
      <c r="O68" s="1"/>
    </row>
    <row r="69" spans="1:15" s="2" customFormat="1" x14ac:dyDescent="0.2">
      <c r="A69" s="89">
        <v>45293</v>
      </c>
      <c r="B69" s="128" t="s">
        <v>11</v>
      </c>
      <c r="C69" s="76" t="s">
        <v>308</v>
      </c>
      <c r="D69" s="11" t="s">
        <v>29</v>
      </c>
      <c r="E69" s="31"/>
      <c r="F69" s="70">
        <v>206500</v>
      </c>
      <c r="G69" s="1"/>
      <c r="H69" s="1"/>
      <c r="O69" s="1"/>
    </row>
    <row r="70" spans="1:15" s="2" customFormat="1" x14ac:dyDescent="0.2">
      <c r="A70" s="89">
        <v>45293</v>
      </c>
      <c r="B70" s="128" t="s">
        <v>11</v>
      </c>
      <c r="C70" s="76" t="s">
        <v>341</v>
      </c>
      <c r="D70" s="11" t="s">
        <v>29</v>
      </c>
      <c r="E70" s="31"/>
      <c r="F70" s="70">
        <v>242096</v>
      </c>
      <c r="G70" s="1"/>
      <c r="H70" s="1"/>
      <c r="O70" s="1"/>
    </row>
    <row r="71" spans="1:15" s="2" customFormat="1" x14ac:dyDescent="0.2">
      <c r="A71" s="89">
        <v>45293</v>
      </c>
      <c r="B71" s="128" t="s">
        <v>11</v>
      </c>
      <c r="C71" s="76" t="s">
        <v>411</v>
      </c>
      <c r="D71" s="11" t="s">
        <v>29</v>
      </c>
      <c r="E71" s="31"/>
      <c r="F71" s="70">
        <v>62304</v>
      </c>
      <c r="G71" s="1"/>
      <c r="H71" s="1"/>
      <c r="O71" s="1"/>
    </row>
    <row r="72" spans="1:15" s="2" customFormat="1" x14ac:dyDescent="0.2">
      <c r="A72" s="89">
        <v>45293</v>
      </c>
      <c r="B72" s="128" t="s">
        <v>11</v>
      </c>
      <c r="C72" s="76" t="s">
        <v>307</v>
      </c>
      <c r="D72" s="11" t="s">
        <v>29</v>
      </c>
      <c r="E72" s="31"/>
      <c r="F72" s="70">
        <v>64192</v>
      </c>
      <c r="G72" s="1"/>
      <c r="H72" s="1"/>
      <c r="O72" s="1"/>
    </row>
    <row r="73" spans="1:15" s="2" customFormat="1" x14ac:dyDescent="0.2">
      <c r="A73" s="89">
        <v>45293</v>
      </c>
      <c r="B73" s="128" t="s">
        <v>11</v>
      </c>
      <c r="C73" s="76" t="s">
        <v>944</v>
      </c>
      <c r="D73" s="11" t="s">
        <v>29</v>
      </c>
      <c r="E73" s="31"/>
      <c r="F73" s="70">
        <v>800000</v>
      </c>
      <c r="G73" s="1"/>
      <c r="H73" s="1"/>
      <c r="O73" s="1"/>
    </row>
    <row r="74" spans="1:15" s="2" customFormat="1" x14ac:dyDescent="0.2">
      <c r="A74" s="89">
        <v>45293</v>
      </c>
      <c r="B74" s="128" t="s">
        <v>11</v>
      </c>
      <c r="C74" s="76" t="s">
        <v>1865</v>
      </c>
      <c r="D74" s="11" t="s">
        <v>29</v>
      </c>
      <c r="E74" s="31"/>
      <c r="F74" s="70">
        <v>219442.31</v>
      </c>
      <c r="G74" s="1"/>
      <c r="H74" s="1"/>
      <c r="O74" s="1"/>
    </row>
    <row r="75" spans="1:15" s="2" customFormat="1" x14ac:dyDescent="0.2">
      <c r="A75" s="89">
        <v>45293</v>
      </c>
      <c r="B75" s="128" t="s">
        <v>11</v>
      </c>
      <c r="C75" s="76" t="s">
        <v>715</v>
      </c>
      <c r="D75" s="11" t="s">
        <v>29</v>
      </c>
      <c r="E75" s="31"/>
      <c r="F75" s="70">
        <v>2899050</v>
      </c>
      <c r="G75" s="1"/>
      <c r="H75" s="1"/>
      <c r="O75" s="1"/>
    </row>
    <row r="76" spans="1:15" s="2" customFormat="1" x14ac:dyDescent="0.2">
      <c r="A76" s="89">
        <v>45293</v>
      </c>
      <c r="B76" s="128" t="s">
        <v>11</v>
      </c>
      <c r="C76" s="76" t="s">
        <v>107</v>
      </c>
      <c r="D76" s="11" t="s">
        <v>29</v>
      </c>
      <c r="E76" s="31"/>
      <c r="F76" s="70">
        <v>136751.07999999999</v>
      </c>
      <c r="G76" s="1"/>
      <c r="H76" s="1"/>
      <c r="O76" s="1"/>
    </row>
    <row r="77" spans="1:15" s="2" customFormat="1" x14ac:dyDescent="0.2">
      <c r="A77" s="89">
        <v>45293</v>
      </c>
      <c r="B77" s="128" t="s">
        <v>11</v>
      </c>
      <c r="C77" s="76" t="s">
        <v>1155</v>
      </c>
      <c r="D77" s="11" t="s">
        <v>29</v>
      </c>
      <c r="E77" s="31"/>
      <c r="F77" s="70">
        <v>2491678.09</v>
      </c>
      <c r="G77" s="1"/>
      <c r="H77" s="1"/>
      <c r="O77" s="1"/>
    </row>
    <row r="78" spans="1:15" s="2" customFormat="1" x14ac:dyDescent="0.2">
      <c r="A78" s="89">
        <v>45293</v>
      </c>
      <c r="B78" s="128" t="s">
        <v>11</v>
      </c>
      <c r="C78" s="76" t="s">
        <v>1797</v>
      </c>
      <c r="D78" s="11" t="s">
        <v>29</v>
      </c>
      <c r="E78" s="31"/>
      <c r="F78" s="70">
        <v>845068.49</v>
      </c>
      <c r="G78" s="1"/>
      <c r="H78" s="1"/>
      <c r="O78" s="1"/>
    </row>
    <row r="79" spans="1:15" s="2" customFormat="1" x14ac:dyDescent="0.2">
      <c r="A79" s="89">
        <v>45293</v>
      </c>
      <c r="B79" s="128" t="s">
        <v>11</v>
      </c>
      <c r="C79" s="76" t="s">
        <v>108</v>
      </c>
      <c r="D79" s="11" t="s">
        <v>29</v>
      </c>
      <c r="E79" s="31"/>
      <c r="F79" s="70">
        <v>299835.92</v>
      </c>
      <c r="G79" s="1"/>
      <c r="H79" s="1"/>
      <c r="O79" s="1"/>
    </row>
    <row r="80" spans="1:15" s="2" customFormat="1" x14ac:dyDescent="0.2">
      <c r="A80" s="89">
        <v>45293</v>
      </c>
      <c r="B80" s="128" t="s">
        <v>11</v>
      </c>
      <c r="C80" s="76" t="s">
        <v>244</v>
      </c>
      <c r="D80" s="11" t="s">
        <v>29</v>
      </c>
      <c r="E80" s="31"/>
      <c r="F80" s="70">
        <v>435897</v>
      </c>
      <c r="G80" s="1"/>
      <c r="H80" s="1"/>
      <c r="O80" s="1"/>
    </row>
    <row r="81" spans="1:15" s="2" customFormat="1" x14ac:dyDescent="0.2">
      <c r="A81" s="89">
        <v>45293</v>
      </c>
      <c r="B81" s="128" t="s">
        <v>11</v>
      </c>
      <c r="C81" s="76" t="s">
        <v>102</v>
      </c>
      <c r="D81" s="11" t="s">
        <v>29</v>
      </c>
      <c r="E81" s="31"/>
      <c r="F81" s="70">
        <v>619379</v>
      </c>
      <c r="G81" s="1"/>
      <c r="H81" s="1"/>
      <c r="O81" s="1"/>
    </row>
    <row r="82" spans="1:15" s="2" customFormat="1" x14ac:dyDescent="0.2">
      <c r="A82" s="89">
        <v>45293</v>
      </c>
      <c r="B82" s="128" t="s">
        <v>11</v>
      </c>
      <c r="C82" s="76" t="s">
        <v>284</v>
      </c>
      <c r="D82" s="11" t="s">
        <v>29</v>
      </c>
      <c r="E82" s="31"/>
      <c r="F82" s="70">
        <v>1567717</v>
      </c>
      <c r="G82" s="1"/>
      <c r="H82" s="1"/>
      <c r="O82" s="1"/>
    </row>
    <row r="83" spans="1:15" s="2" customFormat="1" x14ac:dyDescent="0.2">
      <c r="A83" s="89">
        <v>45293</v>
      </c>
      <c r="B83" s="128" t="s">
        <v>11</v>
      </c>
      <c r="C83" s="76" t="s">
        <v>1798</v>
      </c>
      <c r="D83" s="11" t="s">
        <v>29</v>
      </c>
      <c r="E83" s="31"/>
      <c r="F83" s="70">
        <v>659384</v>
      </c>
      <c r="G83" s="1"/>
      <c r="H83" s="1"/>
      <c r="O83" s="1"/>
    </row>
    <row r="84" spans="1:15" s="2" customFormat="1" x14ac:dyDescent="0.2">
      <c r="A84" s="89">
        <v>45293</v>
      </c>
      <c r="B84" s="128" t="s">
        <v>11</v>
      </c>
      <c r="C84" s="76" t="s">
        <v>1533</v>
      </c>
      <c r="D84" s="11" t="s">
        <v>29</v>
      </c>
      <c r="E84" s="31"/>
      <c r="F84" s="70">
        <v>488422</v>
      </c>
      <c r="G84" s="1"/>
      <c r="H84" s="1"/>
      <c r="O84" s="1"/>
    </row>
    <row r="85" spans="1:15" s="2" customFormat="1" x14ac:dyDescent="0.2">
      <c r="A85" s="89">
        <v>45293</v>
      </c>
      <c r="B85" s="128" t="s">
        <v>11</v>
      </c>
      <c r="C85" s="76" t="s">
        <v>37</v>
      </c>
      <c r="D85" s="11" t="s">
        <v>29</v>
      </c>
      <c r="E85" s="31"/>
      <c r="F85" s="70">
        <v>32302</v>
      </c>
      <c r="G85" s="1"/>
      <c r="H85" s="1"/>
      <c r="O85" s="1"/>
    </row>
    <row r="86" spans="1:15" s="2" customFormat="1" x14ac:dyDescent="0.2">
      <c r="A86" s="89">
        <v>45293</v>
      </c>
      <c r="B86" s="128" t="s">
        <v>11</v>
      </c>
      <c r="C86" s="76" t="s">
        <v>95</v>
      </c>
      <c r="D86" s="11" t="s">
        <v>29</v>
      </c>
      <c r="E86" s="31"/>
      <c r="F86" s="70">
        <v>24750</v>
      </c>
      <c r="G86" s="1"/>
      <c r="H86" s="1"/>
      <c r="O86" s="1"/>
    </row>
    <row r="87" spans="1:15" s="2" customFormat="1" x14ac:dyDescent="0.2">
      <c r="A87" s="89">
        <v>45293</v>
      </c>
      <c r="B87" s="128" t="s">
        <v>11</v>
      </c>
      <c r="C87" s="76" t="s">
        <v>1670</v>
      </c>
      <c r="D87" s="11" t="s">
        <v>29</v>
      </c>
      <c r="E87" s="31"/>
      <c r="F87" s="70">
        <v>148500</v>
      </c>
      <c r="G87" s="1"/>
      <c r="H87" s="1"/>
      <c r="O87" s="1"/>
    </row>
    <row r="88" spans="1:15" s="2" customFormat="1" x14ac:dyDescent="0.2">
      <c r="A88" s="89">
        <v>45293</v>
      </c>
      <c r="B88" s="128" t="s">
        <v>11</v>
      </c>
      <c r="C88" s="76" t="s">
        <v>1025</v>
      </c>
      <c r="D88" s="11" t="s">
        <v>29</v>
      </c>
      <c r="E88" s="31"/>
      <c r="F88" s="70">
        <v>5700000</v>
      </c>
      <c r="G88" s="1"/>
      <c r="H88" s="1"/>
      <c r="O88" s="1"/>
    </row>
    <row r="89" spans="1:15" s="2" customFormat="1" x14ac:dyDescent="0.2">
      <c r="A89" s="32"/>
      <c r="B89" s="33"/>
      <c r="C89" s="14"/>
      <c r="D89" s="34"/>
      <c r="E89" s="16">
        <f>SUM(E27:E88)</f>
        <v>27677521.16</v>
      </c>
      <c r="F89" s="16">
        <f>SUM(F27:F88)</f>
        <v>195215442.52999997</v>
      </c>
      <c r="G89" s="1"/>
      <c r="H89" s="1"/>
      <c r="I89" s="1"/>
      <c r="J89" s="38">
        <v>167537921.37</v>
      </c>
      <c r="L89" s="92">
        <f>E90-J89</f>
        <v>0</v>
      </c>
      <c r="O89" s="1"/>
    </row>
    <row r="90" spans="1:15" s="2" customFormat="1" x14ac:dyDescent="0.2">
      <c r="A90" s="36"/>
      <c r="B90" s="28" t="s">
        <v>11</v>
      </c>
      <c r="C90" s="19" t="s">
        <v>65</v>
      </c>
      <c r="D90" s="37"/>
      <c r="E90" s="38">
        <f>F89-E89</f>
        <v>167537921.36999997</v>
      </c>
      <c r="F90" s="22"/>
      <c r="G90" s="1"/>
      <c r="H90" s="1"/>
      <c r="I90" s="1"/>
      <c r="J90" s="70"/>
      <c r="K90" s="70"/>
      <c r="L90" s="70"/>
      <c r="O90" s="1"/>
    </row>
    <row r="91" spans="1:15" s="2" customFormat="1" x14ac:dyDescent="0.2">
      <c r="A91" s="36"/>
      <c r="B91" s="28" t="s">
        <v>66</v>
      </c>
      <c r="C91" s="19" t="s">
        <v>67</v>
      </c>
      <c r="D91" s="37"/>
      <c r="E91" s="38">
        <v>0</v>
      </c>
      <c r="F91" s="22"/>
      <c r="G91" s="1"/>
      <c r="H91" s="1"/>
      <c r="I91" s="70"/>
      <c r="J91" s="70"/>
      <c r="K91" s="70"/>
      <c r="L91" s="70"/>
      <c r="O91" s="1"/>
    </row>
    <row r="92" spans="1:15" s="2" customFormat="1" x14ac:dyDescent="0.2">
      <c r="A92" s="36"/>
      <c r="B92" s="28" t="s">
        <v>66</v>
      </c>
      <c r="C92" s="43" t="s">
        <v>1457</v>
      </c>
      <c r="D92" s="43"/>
      <c r="E92" s="12">
        <f>275000000+75000000+50000000-75000000</f>
        <v>325000000</v>
      </c>
      <c r="F92" s="22"/>
      <c r="G92" s="1"/>
      <c r="H92" s="1"/>
      <c r="I92" s="70"/>
      <c r="J92" s="45">
        <v>44.15</v>
      </c>
      <c r="K92" s="46"/>
      <c r="L92" s="46"/>
      <c r="O92" s="1"/>
    </row>
    <row r="93" spans="1:15" s="2" customFormat="1" ht="15" x14ac:dyDescent="0.25">
      <c r="A93" s="36"/>
      <c r="B93" s="28"/>
      <c r="C93" s="44" t="s">
        <v>1541</v>
      </c>
      <c r="D93" s="43"/>
      <c r="E93" s="7">
        <f>+E92+E90+E91</f>
        <v>492537921.37</v>
      </c>
      <c r="F93" s="22"/>
      <c r="G93" s="1"/>
      <c r="H93" s="1"/>
      <c r="I93" s="103" t="s">
        <v>69</v>
      </c>
      <c r="J93" s="45">
        <v>-11.44</v>
      </c>
      <c r="K93" s="46"/>
      <c r="L93" s="46"/>
      <c r="O93" s="1"/>
    </row>
    <row r="94" spans="1:15" s="2" customFormat="1" ht="15" x14ac:dyDescent="0.25">
      <c r="A94" s="24"/>
      <c r="B94" s="1"/>
      <c r="C94" s="44" t="s">
        <v>1510</v>
      </c>
      <c r="D94" s="25"/>
      <c r="E94" s="156">
        <f>+J27-E91+I23-J23</f>
        <v>7462078.6299999952</v>
      </c>
      <c r="G94" s="1"/>
      <c r="H94" s="1"/>
      <c r="I94" s="35">
        <v>1</v>
      </c>
      <c r="J94" s="45">
        <v>0</v>
      </c>
      <c r="K94" s="46">
        <f>+J95-D97</f>
        <v>0</v>
      </c>
      <c r="O94" s="1"/>
    </row>
    <row r="95" spans="1:15" s="124" customFormat="1" ht="12.75" customHeight="1" x14ac:dyDescent="0.2">
      <c r="A95" s="24"/>
      <c r="B95" s="1"/>
      <c r="C95" s="56"/>
      <c r="D95" s="56"/>
      <c r="E95" s="104"/>
      <c r="F95" s="2"/>
      <c r="G95" s="166"/>
      <c r="H95" s="166"/>
      <c r="I95" s="70"/>
      <c r="J95" s="49">
        <f>SUM(J92:J94)</f>
        <v>32.71</v>
      </c>
      <c r="K95" s="46"/>
      <c r="L95" s="46"/>
    </row>
    <row r="96" spans="1:15" s="124" customFormat="1" ht="12.75" customHeight="1" x14ac:dyDescent="0.2">
      <c r="A96" s="24"/>
      <c r="B96" s="1"/>
      <c r="C96" s="78" t="s">
        <v>575</v>
      </c>
      <c r="D96" s="48" t="s">
        <v>576</v>
      </c>
      <c r="E96" s="104"/>
      <c r="F96" s="2"/>
      <c r="G96" s="168"/>
      <c r="H96" s="168"/>
      <c r="I96" s="167"/>
      <c r="J96" s="167"/>
      <c r="K96" s="168"/>
    </row>
    <row r="97" spans="1:14" s="124" customFormat="1" ht="12.75" customHeight="1" x14ac:dyDescent="0.2">
      <c r="A97" s="24"/>
      <c r="B97" s="1"/>
      <c r="C97" s="47" t="s">
        <v>570</v>
      </c>
      <c r="D97" s="111">
        <v>32.71</v>
      </c>
      <c r="E97" s="104"/>
      <c r="F97" s="2"/>
      <c r="G97" s="168"/>
      <c r="H97" s="168"/>
      <c r="I97" s="110" t="s">
        <v>581</v>
      </c>
      <c r="J97" s="167"/>
      <c r="K97" s="168"/>
    </row>
    <row r="98" spans="1:14" s="124" customFormat="1" ht="12.75" customHeight="1" x14ac:dyDescent="0.2">
      <c r="A98" s="24"/>
      <c r="B98" s="1"/>
      <c r="C98" s="47" t="s">
        <v>931</v>
      </c>
      <c r="D98" s="111">
        <v>49.98</v>
      </c>
      <c r="E98" s="104"/>
      <c r="F98" s="2"/>
      <c r="G98" s="168"/>
      <c r="H98" s="168"/>
      <c r="I98" s="110" t="s">
        <v>580</v>
      </c>
      <c r="J98" s="167"/>
      <c r="K98" s="168"/>
    </row>
    <row r="99" spans="1:14" s="124" customFormat="1" ht="12.75" customHeight="1" x14ac:dyDescent="0.2">
      <c r="A99" s="24"/>
      <c r="B99" s="1"/>
      <c r="C99" s="47" t="s">
        <v>572</v>
      </c>
      <c r="D99" s="111">
        <f>+D116/100000</f>
        <v>77.084580000000003</v>
      </c>
      <c r="E99" s="104"/>
      <c r="F99" s="2"/>
      <c r="G99" s="166"/>
      <c r="H99" s="166"/>
      <c r="I99" s="90" t="s">
        <v>587</v>
      </c>
      <c r="J99" s="167"/>
      <c r="K99" s="168"/>
    </row>
    <row r="100" spans="1:14" s="2" customFormat="1" x14ac:dyDescent="0.2">
      <c r="A100" s="24"/>
      <c r="B100" s="1"/>
      <c r="C100" s="108" t="s">
        <v>578</v>
      </c>
      <c r="D100" s="48">
        <f>SUM(D97:D99)</f>
        <v>159.77458000000001</v>
      </c>
      <c r="E100" s="104"/>
      <c r="G100" s="30"/>
      <c r="H100" s="30"/>
      <c r="J100" s="13"/>
      <c r="K100" s="13"/>
    </row>
    <row r="101" spans="1:14" s="70" customFormat="1" x14ac:dyDescent="0.2">
      <c r="A101" s="24"/>
      <c r="B101" s="1"/>
      <c r="C101" s="47"/>
      <c r="D101" s="107"/>
      <c r="E101" s="104"/>
      <c r="F101" s="2"/>
      <c r="G101" s="30"/>
      <c r="H101" s="30"/>
      <c r="I101" s="2"/>
    </row>
    <row r="102" spans="1:14" s="70" customFormat="1" x14ac:dyDescent="0.2">
      <c r="A102" s="24"/>
      <c r="B102" s="1"/>
      <c r="C102" s="47" t="s">
        <v>932</v>
      </c>
      <c r="D102" s="111">
        <v>0</v>
      </c>
      <c r="E102" s="104"/>
      <c r="F102" s="2"/>
      <c r="G102" s="30"/>
      <c r="H102" s="30"/>
      <c r="I102" s="110" t="s">
        <v>581</v>
      </c>
    </row>
    <row r="103" spans="1:14" s="70" customFormat="1" x14ac:dyDescent="0.2">
      <c r="A103" s="24"/>
      <c r="B103" s="1"/>
      <c r="C103" s="136" t="s">
        <v>1142</v>
      </c>
      <c r="D103" s="111">
        <v>11.06</v>
      </c>
      <c r="E103" s="104"/>
      <c r="F103" s="2"/>
      <c r="G103" s="30"/>
      <c r="H103" s="30"/>
      <c r="I103" s="110" t="s">
        <v>581</v>
      </c>
    </row>
    <row r="104" spans="1:14" s="70" customFormat="1" x14ac:dyDescent="0.2">
      <c r="A104" s="24"/>
      <c r="B104" s="1"/>
      <c r="C104" s="78" t="s">
        <v>579</v>
      </c>
      <c r="D104" s="109">
        <f>D102+D103</f>
        <v>11.06</v>
      </c>
      <c r="E104" s="104"/>
      <c r="F104" s="2"/>
      <c r="G104" s="30"/>
      <c r="H104" s="30"/>
    </row>
    <row r="105" spans="1:14" s="70" customFormat="1" x14ac:dyDescent="0.2">
      <c r="A105" s="24"/>
      <c r="B105" s="1"/>
      <c r="C105" s="105"/>
      <c r="D105" s="106"/>
      <c r="E105" s="104"/>
      <c r="F105" s="2"/>
      <c r="G105" s="30"/>
      <c r="H105" s="30"/>
      <c r="J105" s="2"/>
      <c r="K105" s="221" t="str">
        <f>"FROM ( 01-12-2023 to "&amp;TEXT(A5,"dd-mm-yyyy")&amp;" )"</f>
        <v>FROM ( 01-12-2023 to 02-01-2024 )</v>
      </c>
      <c r="L105" s="221"/>
      <c r="M105" s="2"/>
      <c r="N105" s="2"/>
    </row>
    <row r="106" spans="1:14" s="70" customFormat="1" x14ac:dyDescent="0.2">
      <c r="A106" s="24"/>
      <c r="B106" s="1"/>
      <c r="C106" s="78" t="s">
        <v>577</v>
      </c>
      <c r="D106" s="109">
        <f>D97+D104</f>
        <v>43.77</v>
      </c>
      <c r="E106" s="104"/>
      <c r="F106" s="2"/>
      <c r="G106" s="30"/>
      <c r="H106" s="30"/>
      <c r="J106" s="113"/>
      <c r="K106" s="113" t="s">
        <v>709</v>
      </c>
      <c r="L106" s="113" t="s">
        <v>710</v>
      </c>
      <c r="M106" s="113" t="s">
        <v>711</v>
      </c>
      <c r="N106" s="113" t="s">
        <v>712</v>
      </c>
    </row>
    <row r="107" spans="1:14" s="70" customFormat="1" x14ac:dyDescent="0.2">
      <c r="A107" s="24"/>
      <c r="B107" s="1"/>
      <c r="C107" s="56"/>
      <c r="D107" s="56"/>
      <c r="E107" s="104"/>
      <c r="F107" s="2"/>
      <c r="G107" s="30"/>
      <c r="H107" s="30"/>
      <c r="J107" s="113" t="s">
        <v>1860</v>
      </c>
      <c r="K107" s="115">
        <v>189.89</v>
      </c>
      <c r="L107" s="115">
        <v>0</v>
      </c>
      <c r="M107" s="115">
        <v>0</v>
      </c>
      <c r="N107" s="113">
        <f>+K107+M107-L107</f>
        <v>189.89</v>
      </c>
    </row>
    <row r="108" spans="1:14" s="70" customFormat="1" ht="38.25" x14ac:dyDescent="0.2">
      <c r="A108" s="24"/>
      <c r="B108" s="1"/>
      <c r="C108" s="79" t="str">
        <f>"Particulars ( 01-12-2023 to "&amp;TEXT(A5,"dd-mm-yyyy")&amp;" )"</f>
        <v>Particulars ( 01-12-2023 to 02-01-2024 )</v>
      </c>
      <c r="D108" s="79" t="s">
        <v>7</v>
      </c>
      <c r="E108" s="80" t="s">
        <v>73</v>
      </c>
      <c r="F108" s="80" t="s">
        <v>74</v>
      </c>
      <c r="G108" s="81" t="s">
        <v>75</v>
      </c>
      <c r="H108" s="80" t="s">
        <v>76</v>
      </c>
      <c r="J108" s="113" t="s">
        <v>1861</v>
      </c>
      <c r="K108" s="115">
        <v>1669.19</v>
      </c>
      <c r="L108" s="115">
        <v>77.08</v>
      </c>
      <c r="M108" s="115">
        <v>11.06</v>
      </c>
      <c r="N108" s="113">
        <f>+K108+M108-L108</f>
        <v>1603.17</v>
      </c>
    </row>
    <row r="109" spans="1:14" s="70" customFormat="1" x14ac:dyDescent="0.2">
      <c r="A109" s="24"/>
      <c r="B109" s="1"/>
      <c r="C109" s="50" t="s">
        <v>444</v>
      </c>
      <c r="D109" s="55">
        <f>+K109</f>
        <v>181.74</v>
      </c>
      <c r="E109" s="55">
        <f>+M109</f>
        <v>0</v>
      </c>
      <c r="F109" s="55">
        <f>+L109</f>
        <v>49.98</v>
      </c>
      <c r="G109" s="55">
        <f>+D109+E109-F109</f>
        <v>131.76000000000002</v>
      </c>
      <c r="H109" s="55">
        <f>1500-G109</f>
        <v>1368.24</v>
      </c>
      <c r="J109" s="113" t="s">
        <v>707</v>
      </c>
      <c r="K109" s="115">
        <v>181.74</v>
      </c>
      <c r="L109" s="115">
        <v>49.98</v>
      </c>
      <c r="M109" s="115">
        <v>0</v>
      </c>
      <c r="N109" s="113">
        <f>+K109+M109-L109</f>
        <v>131.76000000000002</v>
      </c>
    </row>
    <row r="110" spans="1:14" s="70" customFormat="1" ht="12.75" customHeight="1" x14ac:dyDescent="0.2">
      <c r="A110" s="24"/>
      <c r="B110" s="1"/>
      <c r="C110" s="50" t="s">
        <v>71</v>
      </c>
      <c r="D110" s="55">
        <f>+K107+K108</f>
        <v>1859.08</v>
      </c>
      <c r="E110" s="55">
        <f>+M107+M108</f>
        <v>11.06</v>
      </c>
      <c r="F110" s="55">
        <f>+L107+L108</f>
        <v>77.08</v>
      </c>
      <c r="G110" s="55">
        <f>+D110+E110-F110</f>
        <v>1793.06</v>
      </c>
      <c r="H110" s="55">
        <f>1500+700-G110</f>
        <v>406.94000000000005</v>
      </c>
      <c r="J110" s="2"/>
      <c r="K110" s="118">
        <f>SUM(K107:K109)</f>
        <v>2040.82</v>
      </c>
      <c r="L110" s="118">
        <f>SUM(L107:L109)</f>
        <v>127.06</v>
      </c>
      <c r="M110" s="118">
        <f>SUM(M107:M109)</f>
        <v>11.06</v>
      </c>
      <c r="N110" s="118">
        <f>SUM(N107:N109)</f>
        <v>1924.82</v>
      </c>
    </row>
    <row r="111" spans="1:14" s="70" customFormat="1" ht="12.75" customHeight="1" x14ac:dyDescent="0.2">
      <c r="A111" s="24"/>
      <c r="B111" s="1"/>
      <c r="C111" s="14"/>
      <c r="D111" s="56"/>
      <c r="E111" s="13"/>
      <c r="F111" s="2"/>
      <c r="G111" s="30"/>
      <c r="H111" s="30"/>
    </row>
    <row r="112" spans="1:14" s="70" customFormat="1" ht="12.75" customHeight="1" x14ac:dyDescent="0.2">
      <c r="A112" s="215" t="s">
        <v>80</v>
      </c>
      <c r="B112" s="216"/>
      <c r="C112" s="216"/>
      <c r="D112" s="217"/>
      <c r="E112" s="69"/>
      <c r="G112" s="30"/>
      <c r="H112" s="30"/>
    </row>
    <row r="113" spans="1:15" s="70" customFormat="1" ht="12.75" customHeight="1" x14ac:dyDescent="0.2">
      <c r="A113" s="71" t="s">
        <v>81</v>
      </c>
      <c r="B113" s="71"/>
      <c r="C113" s="72" t="s">
        <v>82</v>
      </c>
      <c r="D113" s="73" t="s">
        <v>83</v>
      </c>
      <c r="E113" s="69"/>
      <c r="G113" s="30"/>
      <c r="H113" s="30"/>
    </row>
    <row r="114" spans="1:15" s="70" customFormat="1" ht="12.75" customHeight="1" x14ac:dyDescent="0.2">
      <c r="A114" s="87">
        <v>45292</v>
      </c>
      <c r="B114" s="120" t="s">
        <v>6</v>
      </c>
      <c r="C114" s="75" t="s">
        <v>1933</v>
      </c>
      <c r="D114" s="88">
        <v>7583470</v>
      </c>
      <c r="E114" s="2"/>
      <c r="F114" s="2"/>
      <c r="G114" s="30"/>
      <c r="H114" s="30"/>
      <c r="I114" s="2"/>
      <c r="J114" s="2"/>
      <c r="K114" s="2"/>
      <c r="L114" s="2"/>
      <c r="M114" s="41"/>
      <c r="N114" s="42"/>
      <c r="O114" s="2"/>
    </row>
    <row r="115" spans="1:15" s="70" customFormat="1" ht="12.75" customHeight="1" x14ac:dyDescent="0.2">
      <c r="A115" s="87">
        <v>44928</v>
      </c>
      <c r="B115" s="120" t="s">
        <v>6</v>
      </c>
      <c r="C115" s="75" t="s">
        <v>1934</v>
      </c>
      <c r="D115" s="88">
        <v>124988</v>
      </c>
      <c r="E115" s="2"/>
      <c r="F115" s="2"/>
      <c r="G115" s="30"/>
      <c r="H115" s="30"/>
      <c r="I115" s="2"/>
      <c r="J115" s="2"/>
      <c r="K115" s="2"/>
      <c r="L115" s="2"/>
      <c r="M115" s="41"/>
      <c r="N115" s="42"/>
      <c r="O115" s="2"/>
    </row>
    <row r="116" spans="1:15" s="2" customFormat="1" x14ac:dyDescent="0.2">
      <c r="A116" s="87"/>
      <c r="B116" s="74"/>
      <c r="C116" s="75"/>
      <c r="D116" s="51">
        <f>SUM(D114:D115)</f>
        <v>7708458</v>
      </c>
      <c r="F116" s="2" t="s">
        <v>396</v>
      </c>
      <c r="G116" s="1"/>
      <c r="H116" s="1"/>
    </row>
    <row r="117" spans="1:15" s="2" customFormat="1" x14ac:dyDescent="0.2">
      <c r="A117" s="24"/>
      <c r="B117" s="1"/>
      <c r="C117" s="14"/>
      <c r="D117" s="56"/>
      <c r="E117" s="13"/>
      <c r="G117" s="1"/>
      <c r="H117" s="1"/>
    </row>
    <row r="118" spans="1:15" s="2" customFormat="1" x14ac:dyDescent="0.2">
      <c r="A118" s="24"/>
      <c r="B118" s="1"/>
      <c r="C118" s="218" t="s">
        <v>77</v>
      </c>
      <c r="D118" s="219"/>
      <c r="E118" s="219"/>
      <c r="F118" s="220"/>
      <c r="I118" s="2" t="s">
        <v>396</v>
      </c>
    </row>
    <row r="119" spans="1:15" s="2" customFormat="1" x14ac:dyDescent="0.2">
      <c r="A119" s="24"/>
      <c r="B119" s="1"/>
      <c r="C119" s="50"/>
      <c r="D119" s="57" t="s">
        <v>78</v>
      </c>
      <c r="E119" s="58" t="s">
        <v>79</v>
      </c>
      <c r="F119" s="57" t="s">
        <v>72</v>
      </c>
      <c r="I119" s="2" t="s">
        <v>396</v>
      </c>
    </row>
    <row r="120" spans="1:15" s="2" customFormat="1" x14ac:dyDescent="0.2">
      <c r="A120" s="24"/>
      <c r="B120" s="1"/>
      <c r="C120" s="59" t="str">
        <f>"01-12-2023 to "&amp;TEXT(A5-2,"dd-mm-yyyy")</f>
        <v>01-12-2023 to 31-12-2023</v>
      </c>
      <c r="D120" s="60">
        <v>2307.04</v>
      </c>
      <c r="E120" s="60">
        <v>697.28</v>
      </c>
      <c r="F120" s="61">
        <f>SUM(D120:E120)</f>
        <v>3004.3199999999997</v>
      </c>
    </row>
    <row r="121" spans="1:15" s="2" customFormat="1" x14ac:dyDescent="0.2">
      <c r="A121" s="24"/>
      <c r="B121" s="1"/>
      <c r="C121" s="62" t="str">
        <f>TEXT(A5-1,"dd-mm-yyyy")</f>
        <v>01-01-2024</v>
      </c>
      <c r="D121" s="60">
        <v>0.96</v>
      </c>
      <c r="E121" s="60">
        <v>0</v>
      </c>
      <c r="F121" s="61">
        <f>SUM(D121:E121)</f>
        <v>0.96</v>
      </c>
      <c r="G121" s="1"/>
      <c r="H121" s="1"/>
      <c r="I121" s="53"/>
    </row>
    <row r="122" spans="1:15" s="2" customFormat="1" ht="13.5" thickBot="1" x14ac:dyDescent="0.25">
      <c r="A122" s="24"/>
      <c r="B122" s="1"/>
      <c r="C122" s="63" t="str">
        <f>"01-12-2023 to "&amp;TEXT(A5-1,"dd-mm-yyyy")</f>
        <v>01-12-2023 to 01-01-2024</v>
      </c>
      <c r="D122" s="64">
        <f>SUM(D120:D121)</f>
        <v>2308</v>
      </c>
      <c r="E122" s="64">
        <f>SUM(E120:E121)</f>
        <v>697.28</v>
      </c>
      <c r="F122" s="64">
        <f>SUM(F120:F121)</f>
        <v>3005.2799999999997</v>
      </c>
      <c r="G122" s="1"/>
      <c r="H122" s="1"/>
      <c r="I122" s="53"/>
    </row>
    <row r="123" spans="1:15" s="2" customFormat="1" ht="13.5" thickTop="1" x14ac:dyDescent="0.2">
      <c r="A123" s="24"/>
      <c r="B123" s="1"/>
      <c r="C123" s="62"/>
      <c r="D123" s="65"/>
      <c r="E123" s="66"/>
      <c r="F123" s="67"/>
      <c r="M123" s="1"/>
      <c r="N123" s="1"/>
    </row>
    <row r="124" spans="1:15" s="2" customFormat="1" x14ac:dyDescent="0.2">
      <c r="A124" s="24"/>
      <c r="B124" s="1"/>
      <c r="C124" s="62" t="str">
        <f>"01-04-2023 to " &amp;C121</f>
        <v>01-04-2023 to 01-01-2024</v>
      </c>
      <c r="D124" s="68">
        <f>+D122+32234.22</f>
        <v>34542.22</v>
      </c>
      <c r="E124" s="68">
        <f>+E122+3134.59</f>
        <v>3831.87</v>
      </c>
      <c r="F124" s="68">
        <f>+F122+35368.81</f>
        <v>38374.089999999997</v>
      </c>
      <c r="G124" s="1"/>
      <c r="H124" s="1"/>
      <c r="M124" s="1"/>
      <c r="N124" s="1"/>
    </row>
    <row r="125" spans="1:15" s="2" customFormat="1" x14ac:dyDescent="0.2">
      <c r="A125" s="24"/>
      <c r="B125" s="1"/>
      <c r="C125" s="52"/>
      <c r="D125" s="85"/>
      <c r="E125" s="53"/>
      <c r="F125" s="53"/>
      <c r="G125" s="1"/>
      <c r="H125" s="1"/>
      <c r="M125" s="1"/>
      <c r="N125" s="1"/>
    </row>
    <row r="126" spans="1:15" s="2" customFormat="1" x14ac:dyDescent="0.2">
      <c r="A126" s="24"/>
      <c r="B126" s="1"/>
      <c r="C126" s="52"/>
      <c r="D126" s="85"/>
      <c r="E126" s="53"/>
      <c r="F126" s="53"/>
      <c r="G126" s="1"/>
      <c r="H126" s="1"/>
      <c r="M126" s="1"/>
      <c r="N126" s="1"/>
    </row>
    <row r="127" spans="1:15" s="2" customFormat="1" x14ac:dyDescent="0.2">
      <c r="A127" s="24"/>
      <c r="B127" s="1"/>
      <c r="C127" s="52"/>
      <c r="D127" s="85"/>
      <c r="E127" s="53"/>
      <c r="F127" s="53"/>
      <c r="G127" s="1"/>
      <c r="H127" s="1"/>
      <c r="M127" s="1"/>
      <c r="N127" s="1"/>
    </row>
    <row r="128" spans="1:15" s="2" customFormat="1" x14ac:dyDescent="0.2">
      <c r="A128" s="24"/>
      <c r="B128" s="1"/>
      <c r="C128" s="52"/>
      <c r="D128" s="85"/>
      <c r="E128" s="53"/>
      <c r="F128" s="53"/>
      <c r="G128" s="1"/>
      <c r="H128" s="1"/>
      <c r="M128" s="1"/>
      <c r="N128" s="1"/>
    </row>
    <row r="129" spans="1:14" s="2" customFormat="1" x14ac:dyDescent="0.2">
      <c r="A129" s="24"/>
      <c r="B129" s="1"/>
      <c r="C129" s="14"/>
      <c r="D129" s="25">
        <f>SUM(D126:D128)</f>
        <v>0</v>
      </c>
      <c r="E129" s="2">
        <f>SUM(E126:E128)</f>
        <v>0</v>
      </c>
      <c r="G129" s="1"/>
      <c r="H129" s="1"/>
      <c r="M129" s="1"/>
      <c r="N129" s="1"/>
    </row>
    <row r="130" spans="1:14" s="2" customFormat="1" x14ac:dyDescent="0.2">
      <c r="A130" s="24"/>
      <c r="B130" s="1"/>
      <c r="C130" s="14"/>
      <c r="D130" s="25"/>
      <c r="G130" s="1"/>
      <c r="H130" s="1"/>
      <c r="M130" s="1"/>
      <c r="N130" s="1"/>
    </row>
    <row r="131" spans="1:14" s="2" customFormat="1" x14ac:dyDescent="0.2">
      <c r="A131" s="24"/>
      <c r="B131" s="1"/>
      <c r="C131" s="14"/>
      <c r="D131" s="25"/>
      <c r="G131" s="1"/>
      <c r="H131" s="1"/>
      <c r="M131" s="1"/>
      <c r="N131" s="1"/>
    </row>
    <row r="132" spans="1:14" s="2" customFormat="1" x14ac:dyDescent="0.2">
      <c r="A132" s="24"/>
      <c r="B132" s="1"/>
      <c r="C132" s="14"/>
      <c r="D132" s="25"/>
      <c r="G132" s="1"/>
      <c r="H132" s="1"/>
      <c r="M132" s="1"/>
      <c r="N132" s="1"/>
    </row>
    <row r="133" spans="1:14" s="2" customFormat="1" x14ac:dyDescent="0.2">
      <c r="A133" s="24"/>
      <c r="B133" s="1"/>
      <c r="C133" s="14"/>
      <c r="D133" s="25"/>
      <c r="G133" s="1"/>
      <c r="H133" s="1"/>
      <c r="M133" s="1"/>
      <c r="N133" s="1"/>
    </row>
    <row r="134" spans="1:14" s="2" customFormat="1" x14ac:dyDescent="0.2">
      <c r="A134" s="24"/>
      <c r="B134" s="1"/>
      <c r="C134" s="14"/>
      <c r="D134" s="25"/>
      <c r="G134" s="1"/>
      <c r="H134" s="1"/>
      <c r="M134" s="1"/>
      <c r="N134" s="1"/>
    </row>
    <row r="135" spans="1:14" s="2" customFormat="1" x14ac:dyDescent="0.2">
      <c r="A135" s="24"/>
      <c r="B135" s="1"/>
      <c r="C135" s="14"/>
      <c r="D135" s="25"/>
      <c r="G135" s="1"/>
      <c r="H135" s="1"/>
      <c r="M135" s="1"/>
      <c r="N135" s="1"/>
    </row>
    <row r="136" spans="1:14" s="2" customFormat="1" x14ac:dyDescent="0.2">
      <c r="A136" s="24"/>
      <c r="B136" s="1"/>
      <c r="C136" s="14"/>
      <c r="D136" s="25"/>
      <c r="G136" s="1"/>
      <c r="H136" s="1"/>
      <c r="M136" s="1"/>
      <c r="N136" s="1"/>
    </row>
    <row r="137" spans="1:14" s="2" customFormat="1" x14ac:dyDescent="0.2">
      <c r="A137" s="24"/>
      <c r="B137" s="1"/>
      <c r="C137" s="14"/>
      <c r="D137" s="25"/>
      <c r="G137" s="1"/>
      <c r="H137" s="1"/>
      <c r="M137" s="1"/>
      <c r="N137" s="1"/>
    </row>
    <row r="138" spans="1:14" s="2" customFormat="1" x14ac:dyDescent="0.2">
      <c r="A138" s="24"/>
      <c r="B138" s="1"/>
      <c r="C138" s="14"/>
      <c r="D138" s="25"/>
      <c r="G138" s="1"/>
      <c r="H138" s="1"/>
      <c r="M138" s="1"/>
      <c r="N138" s="1"/>
    </row>
    <row r="139" spans="1:14" s="2" customFormat="1" x14ac:dyDescent="0.2">
      <c r="A139" s="24"/>
      <c r="B139" s="1"/>
      <c r="C139" s="14"/>
      <c r="D139" s="25"/>
      <c r="G139" s="1"/>
      <c r="H139" s="1"/>
      <c r="M139" s="1"/>
      <c r="N139" s="1"/>
    </row>
    <row r="140" spans="1:14" s="2" customFormat="1" x14ac:dyDescent="0.2">
      <c r="A140" s="24"/>
      <c r="B140" s="1"/>
      <c r="C140" s="14"/>
      <c r="D140" s="25"/>
      <c r="G140" s="1"/>
      <c r="H140" s="1"/>
      <c r="M140" s="1"/>
      <c r="N140" s="1"/>
    </row>
    <row r="141" spans="1:14" s="2" customFormat="1" x14ac:dyDescent="0.2">
      <c r="A141" s="24"/>
      <c r="B141" s="1"/>
      <c r="C141" s="14"/>
      <c r="D141" s="25"/>
      <c r="G141" s="1"/>
      <c r="H141" s="1"/>
      <c r="M141" s="1"/>
      <c r="N141" s="1"/>
    </row>
    <row r="142" spans="1:14" s="2" customFormat="1" x14ac:dyDescent="0.2">
      <c r="A142" s="24"/>
      <c r="B142" s="1"/>
      <c r="C142" s="14"/>
      <c r="D142" s="25"/>
      <c r="G142" s="1"/>
      <c r="H142" s="1"/>
      <c r="M142" s="1"/>
      <c r="N142" s="1"/>
    </row>
    <row r="143" spans="1:14" s="2" customFormat="1" x14ac:dyDescent="0.2">
      <c r="A143" s="24"/>
      <c r="B143" s="1"/>
      <c r="C143" s="14"/>
      <c r="D143" s="25"/>
      <c r="G143" s="1"/>
      <c r="H143" s="1"/>
      <c r="J143" s="1"/>
      <c r="K143" s="1"/>
      <c r="L143" s="1"/>
      <c r="M143" s="1"/>
      <c r="N143" s="1"/>
    </row>
    <row r="144" spans="1:14" s="2" customFormat="1" x14ac:dyDescent="0.2">
      <c r="A144" s="24"/>
      <c r="B144" s="1"/>
      <c r="C144" s="14"/>
      <c r="D144" s="25"/>
      <c r="G144" s="1"/>
      <c r="H144" s="1"/>
    </row>
    <row r="145" spans="1:15" s="2" customFormat="1" x14ac:dyDescent="0.2">
      <c r="A145" s="24"/>
      <c r="B145" s="1"/>
      <c r="C145" s="14"/>
      <c r="D145" s="25"/>
      <c r="G145" s="1"/>
      <c r="H145" s="1"/>
      <c r="J145" s="1"/>
      <c r="K145" s="1"/>
      <c r="L145" s="1"/>
      <c r="M145" s="1"/>
      <c r="N145" s="1"/>
    </row>
    <row r="146" spans="1:15" s="2" customFormat="1" x14ac:dyDescent="0.2">
      <c r="A146" s="24"/>
      <c r="B146" s="1"/>
      <c r="C146" s="14"/>
      <c r="D146" s="25"/>
      <c r="G146" s="54"/>
      <c r="H146" s="54"/>
      <c r="J146" s="1"/>
      <c r="K146" s="1"/>
      <c r="L146" s="1"/>
      <c r="M146" s="1"/>
      <c r="N146" s="1"/>
    </row>
    <row r="147" spans="1:15" s="2" customFormat="1" x14ac:dyDescent="0.2">
      <c r="A147" s="24"/>
      <c r="B147" s="1"/>
      <c r="C147" s="14"/>
      <c r="D147" s="25"/>
      <c r="G147" s="54"/>
      <c r="H147" s="54"/>
      <c r="J147" s="1"/>
      <c r="K147" s="1"/>
      <c r="L147" s="1"/>
      <c r="M147" s="1"/>
      <c r="N147" s="1"/>
    </row>
    <row r="148" spans="1:15" s="2" customFormat="1" x14ac:dyDescent="0.2">
      <c r="A148" s="24"/>
      <c r="B148" s="1"/>
      <c r="C148" s="14"/>
      <c r="D148" s="25"/>
      <c r="G148" s="54"/>
      <c r="H148" s="54"/>
      <c r="J148" s="1"/>
      <c r="K148" s="1"/>
      <c r="L148" s="1"/>
      <c r="M148" s="1"/>
      <c r="N148" s="1"/>
    </row>
    <row r="149" spans="1:15" s="2" customFormat="1" x14ac:dyDescent="0.2">
      <c r="A149" s="24"/>
      <c r="B149" s="1"/>
      <c r="C149" s="14"/>
      <c r="D149" s="25"/>
      <c r="G149" s="54"/>
      <c r="H149" s="54"/>
      <c r="I149" s="2" t="s">
        <v>396</v>
      </c>
      <c r="J149" s="1"/>
      <c r="K149" s="1"/>
      <c r="L149" s="1"/>
      <c r="M149" s="1"/>
      <c r="N149" s="1"/>
      <c r="O149" s="1"/>
    </row>
    <row r="150" spans="1:15" s="2" customFormat="1" x14ac:dyDescent="0.2">
      <c r="A150" s="24"/>
      <c r="B150" s="1"/>
      <c r="C150" s="14"/>
      <c r="D150" s="25"/>
      <c r="G150" s="54"/>
      <c r="H150" s="54"/>
      <c r="I150" s="53"/>
    </row>
    <row r="151" spans="1:15" s="2" customFormat="1" x14ac:dyDescent="0.2">
      <c r="A151" s="24"/>
      <c r="B151" s="1"/>
      <c r="C151" s="14"/>
      <c r="D151" s="25"/>
      <c r="G151" s="54"/>
      <c r="H151" s="54"/>
      <c r="I151" s="53" t="s">
        <v>396</v>
      </c>
      <c r="J151" s="1"/>
      <c r="K151" s="1"/>
      <c r="L151" s="1"/>
      <c r="M151" s="1"/>
      <c r="N151" s="1"/>
      <c r="O151" s="1"/>
    </row>
    <row r="152" spans="1:15" x14ac:dyDescent="0.2">
      <c r="G152" s="54"/>
      <c r="H152" s="54"/>
      <c r="I152" s="53" t="s">
        <v>396</v>
      </c>
      <c r="K152" s="42"/>
    </row>
    <row r="153" spans="1:15" s="2" customFormat="1" x14ac:dyDescent="0.2">
      <c r="A153" s="24"/>
      <c r="B153" s="1"/>
      <c r="C153" s="14"/>
      <c r="D153" s="25"/>
      <c r="G153" s="54"/>
      <c r="H153" s="54"/>
      <c r="I153" s="53"/>
      <c r="J153" s="101"/>
      <c r="K153" s="1"/>
      <c r="L153" s="1"/>
      <c r="M153" s="1"/>
      <c r="N153" s="1"/>
      <c r="O153" s="1"/>
    </row>
    <row r="154" spans="1:15" x14ac:dyDescent="0.2">
      <c r="G154" s="54"/>
      <c r="H154" s="54"/>
      <c r="I154" s="53"/>
    </row>
    <row r="155" spans="1:15" x14ac:dyDescent="0.2">
      <c r="G155" s="54"/>
      <c r="H155" s="54"/>
      <c r="I155" s="53"/>
    </row>
    <row r="156" spans="1:15" x14ac:dyDescent="0.2">
      <c r="G156" s="54"/>
      <c r="H156" s="54"/>
      <c r="I156" s="53"/>
    </row>
  </sheetData>
  <sheetProtection insertRows="0"/>
  <mergeCells count="7">
    <mergeCell ref="K105:L105"/>
    <mergeCell ref="A112:D112"/>
    <mergeCell ref="C118:F118"/>
    <mergeCell ref="A1:H1"/>
    <mergeCell ref="A3:F3"/>
    <mergeCell ref="A9:F9"/>
    <mergeCell ref="A25:F25"/>
  </mergeCells>
  <conditionalFormatting sqref="H109:H110">
    <cfRule type="cellIs" dxfId="147" priority="1" operator="lessThan">
      <formula>0</formula>
    </cfRule>
  </conditionalFormatting>
  <conditionalFormatting sqref="C27">
    <cfRule type="duplicateValues" dxfId="146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900-000000000000}">
  <sheetPr codeName="Sheet513">
    <pageSetUpPr fitToPage="1"/>
  </sheetPr>
  <dimension ref="A1:O127"/>
  <sheetViews>
    <sheetView topLeftCell="A62" zoomScaleNormal="100" workbookViewId="0">
      <selection activeCell="E71" sqref="E71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12.85546875" style="1" customWidth="1"/>
    <col min="9" max="9" width="24.85546875" style="2" bestFit="1" customWidth="1"/>
    <col min="10" max="10" width="21.5703125" style="1" bestFit="1" customWidth="1"/>
    <col min="11" max="11" width="16.85546875" style="1" bestFit="1" customWidth="1"/>
    <col min="12" max="12" width="17.28515625" style="1" bestFit="1" customWidth="1"/>
    <col min="13" max="13" width="13.5703125" style="1" bestFit="1" customWidth="1"/>
    <col min="14" max="14" width="17.42578125" style="1" bestFit="1" customWidth="1"/>
    <col min="15" max="15" width="12.85546875" style="1" bestFit="1" customWidth="1"/>
    <col min="16" max="17" width="9.140625" style="1"/>
    <col min="18" max="18" width="15.5703125" style="1" bestFit="1" customWidth="1"/>
    <col min="19" max="16384" width="9.140625" style="1"/>
  </cols>
  <sheetData>
    <row r="1" spans="1:14" ht="20.25" customHeight="1" x14ac:dyDescent="0.4">
      <c r="A1" s="212" t="s">
        <v>1935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4" ht="12.75" customHeight="1" x14ac:dyDescent="0.4">
      <c r="I2" s="112"/>
      <c r="J2" s="112"/>
    </row>
    <row r="3" spans="1:14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4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4" s="2" customFormat="1" ht="14.25" customHeight="1" x14ac:dyDescent="0.4">
      <c r="A5" s="89">
        <v>45294</v>
      </c>
      <c r="B5" s="9" t="s">
        <v>6</v>
      </c>
      <c r="C5" s="10" t="s">
        <v>7</v>
      </c>
      <c r="D5" s="11"/>
      <c r="E5" s="12">
        <v>670047.23000000045</v>
      </c>
      <c r="F5" s="12"/>
      <c r="G5" s="1"/>
      <c r="H5" s="1"/>
      <c r="I5" s="112"/>
      <c r="J5" s="112"/>
    </row>
    <row r="6" spans="1:14" s="2" customFormat="1" ht="12.75" customHeight="1" x14ac:dyDescent="0.2">
      <c r="D6" s="15" t="s">
        <v>8</v>
      </c>
      <c r="E6" s="16">
        <f>SUM(E5:E5)</f>
        <v>670047.23000000045</v>
      </c>
      <c r="F6" s="16">
        <f>F5</f>
        <v>0</v>
      </c>
      <c r="G6" s="1"/>
      <c r="H6" s="1"/>
      <c r="I6" s="13" t="s">
        <v>1582</v>
      </c>
      <c r="J6" s="13" t="s">
        <v>1583</v>
      </c>
    </row>
    <row r="7" spans="1:14" s="2" customFormat="1" ht="12.75" customHeight="1" x14ac:dyDescent="0.2">
      <c r="A7" s="17"/>
      <c r="B7" s="18"/>
      <c r="C7" s="19" t="s">
        <v>9</v>
      </c>
      <c r="D7" s="20"/>
      <c r="E7" s="21">
        <f>+E6-F6</f>
        <v>670047.23000000045</v>
      </c>
      <c r="F7" s="22"/>
      <c r="G7" s="23"/>
      <c r="H7" s="23"/>
      <c r="I7" s="2">
        <v>0</v>
      </c>
      <c r="K7" s="176">
        <f>I7-J7</f>
        <v>0</v>
      </c>
    </row>
    <row r="8" spans="1:14" ht="12.75" customHeight="1" x14ac:dyDescent="0.4">
      <c r="I8" s="112"/>
      <c r="J8" s="112"/>
    </row>
    <row r="9" spans="1:14" ht="18" customHeight="1" x14ac:dyDescent="0.4">
      <c r="A9" s="213" t="s">
        <v>1037</v>
      </c>
      <c r="B9" s="213"/>
      <c r="C9" s="213"/>
      <c r="D9" s="213"/>
      <c r="E9" s="213"/>
      <c r="F9" s="213"/>
      <c r="I9" s="112"/>
      <c r="J9" s="169">
        <f>90000000-60000000</f>
        <v>30000000</v>
      </c>
      <c r="K9" s="169" t="s">
        <v>1508</v>
      </c>
    </row>
    <row r="10" spans="1:14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I10" s="112"/>
      <c r="J10" s="169">
        <v>29718188.219999999</v>
      </c>
      <c r="K10" s="169" t="s">
        <v>1509</v>
      </c>
      <c r="L10" s="124"/>
    </row>
    <row r="11" spans="1:14" s="2" customFormat="1" ht="14.25" customHeight="1" x14ac:dyDescent="0.2">
      <c r="A11" s="89">
        <v>45294</v>
      </c>
      <c r="B11" s="9" t="s">
        <v>6</v>
      </c>
      <c r="C11" s="10" t="s">
        <v>7</v>
      </c>
      <c r="D11" s="11"/>
      <c r="F11" s="12">
        <v>29758439.680000003</v>
      </c>
      <c r="G11" s="1"/>
      <c r="H11" s="1"/>
      <c r="I11" s="130" t="s">
        <v>396</v>
      </c>
      <c r="J11" s="169">
        <f>+J9-J10</f>
        <v>281811.78000000119</v>
      </c>
      <c r="K11" s="169" t="s">
        <v>712</v>
      </c>
      <c r="L11" s="165" t="s">
        <v>1512</v>
      </c>
    </row>
    <row r="12" spans="1:14" s="2" customFormat="1" ht="14.25" customHeight="1" x14ac:dyDescent="0.2">
      <c r="A12" s="89">
        <v>45294</v>
      </c>
      <c r="B12" s="128" t="s">
        <v>6</v>
      </c>
      <c r="C12" s="76" t="s">
        <v>1137</v>
      </c>
      <c r="D12" s="11" t="s">
        <v>13</v>
      </c>
      <c r="E12" s="31">
        <v>40251.46</v>
      </c>
      <c r="F12" s="31"/>
      <c r="G12" s="1"/>
      <c r="H12" s="1"/>
      <c r="I12" s="130"/>
      <c r="J12" s="169"/>
      <c r="K12" s="169"/>
      <c r="L12" s="165"/>
    </row>
    <row r="13" spans="1:14" s="2" customFormat="1" ht="14.25" customHeight="1" x14ac:dyDescent="0.2">
      <c r="D13" s="11" t="s">
        <v>8</v>
      </c>
      <c r="E13" s="16">
        <f>SUM(E12:E12)</f>
        <v>40251.46</v>
      </c>
      <c r="F13" s="16">
        <f>SUM(F11:F12)</f>
        <v>29758439.680000003</v>
      </c>
      <c r="G13" s="1"/>
      <c r="H13" s="1"/>
      <c r="I13" s="143"/>
      <c r="J13" s="130"/>
      <c r="K13" s="143"/>
      <c r="L13" s="143"/>
      <c r="M13" s="143"/>
      <c r="N13" s="143"/>
    </row>
    <row r="14" spans="1:14" s="2" customFormat="1" ht="14.25" customHeight="1" x14ac:dyDescent="0.4">
      <c r="A14" s="17"/>
      <c r="B14" s="18"/>
      <c r="C14" s="96" t="s">
        <v>9</v>
      </c>
      <c r="D14" s="20"/>
      <c r="E14" s="21">
        <f>+F13-E13</f>
        <v>29718188.220000003</v>
      </c>
      <c r="G14" s="1"/>
      <c r="H14" s="1"/>
      <c r="J14" s="112"/>
      <c r="K14" s="153" t="s">
        <v>779</v>
      </c>
    </row>
    <row r="15" spans="1:14" s="2" customFormat="1" ht="14.25" customHeight="1" x14ac:dyDescent="0.2">
      <c r="A15" s="36"/>
      <c r="B15" s="28" t="s">
        <v>66</v>
      </c>
      <c r="C15" s="43" t="s">
        <v>1458</v>
      </c>
      <c r="D15" s="43"/>
      <c r="E15" s="12">
        <f>30000000+60000000</f>
        <v>90000000</v>
      </c>
      <c r="F15" s="22"/>
      <c r="G15" s="1"/>
      <c r="H15" s="1"/>
      <c r="J15" s="40">
        <v>29718188.219999999</v>
      </c>
      <c r="K15" s="154">
        <f>J15-E14</f>
        <v>0</v>
      </c>
    </row>
    <row r="16" spans="1:14" s="2" customFormat="1" ht="14.25" customHeight="1" x14ac:dyDescent="0.25">
      <c r="A16" s="36"/>
      <c r="B16" s="28"/>
      <c r="C16" s="44" t="s">
        <v>1541</v>
      </c>
      <c r="D16" s="43"/>
      <c r="E16" s="7">
        <f>+E14+E15</f>
        <v>119718188.22</v>
      </c>
      <c r="F16" s="22"/>
      <c r="G16" s="1"/>
      <c r="H16" s="1"/>
      <c r="I16" s="13" t="s">
        <v>1582</v>
      </c>
      <c r="J16" s="13" t="s">
        <v>1583</v>
      </c>
    </row>
    <row r="17" spans="1:15" s="2" customFormat="1" ht="14.25" customHeight="1" x14ac:dyDescent="0.25">
      <c r="A17" s="36"/>
      <c r="B17" s="28"/>
      <c r="C17" s="44" t="s">
        <v>1511</v>
      </c>
      <c r="D17" s="43"/>
      <c r="E17" s="38">
        <f>+J11+I7-J7</f>
        <v>281811.78000000119</v>
      </c>
      <c r="F17" s="22"/>
      <c r="G17" s="1"/>
      <c r="H17" s="1"/>
      <c r="I17" s="2">
        <v>0</v>
      </c>
      <c r="J17" s="2">
        <v>13029161</v>
      </c>
      <c r="K17" s="176">
        <f>I17-J17</f>
        <v>-13029161</v>
      </c>
    </row>
    <row r="18" spans="1:15" s="2" customFormat="1" ht="14.25" customHeight="1" x14ac:dyDescent="0.2">
      <c r="A18" s="24"/>
      <c r="B18" s="1"/>
      <c r="C18" s="14"/>
      <c r="D18" s="25"/>
      <c r="G18" s="1"/>
      <c r="H18" s="1"/>
      <c r="J18" s="130"/>
      <c r="K18" s="130"/>
    </row>
    <row r="19" spans="1:15" s="2" customFormat="1" x14ac:dyDescent="0.2">
      <c r="A19" s="214" t="s">
        <v>10</v>
      </c>
      <c r="B19" s="214"/>
      <c r="C19" s="214"/>
      <c r="D19" s="214"/>
      <c r="E19" s="214"/>
      <c r="F19" s="214"/>
      <c r="G19" s="1"/>
      <c r="H19" s="1"/>
      <c r="I19" s="159"/>
      <c r="J19" s="160">
        <f>225000000-75000000-50000000+75000000</f>
        <v>175000000</v>
      </c>
      <c r="K19" s="160" t="s">
        <v>1506</v>
      </c>
      <c r="L19" s="70"/>
    </row>
    <row r="20" spans="1:15" s="2" customFormat="1" x14ac:dyDescent="0.2">
      <c r="A20" s="26" t="s">
        <v>1</v>
      </c>
      <c r="B20" s="27" t="s">
        <v>2</v>
      </c>
      <c r="C20" s="5"/>
      <c r="D20" s="6" t="s">
        <v>3</v>
      </c>
      <c r="E20" s="7" t="s">
        <v>4</v>
      </c>
      <c r="F20" s="7" t="s">
        <v>5</v>
      </c>
      <c r="G20" s="1"/>
      <c r="H20" s="1"/>
      <c r="I20" s="159"/>
      <c r="J20" s="160">
        <v>143701170.49000001</v>
      </c>
      <c r="K20" s="160" t="s">
        <v>1507</v>
      </c>
      <c r="L20" s="70" t="s">
        <v>1512</v>
      </c>
    </row>
    <row r="21" spans="1:15" s="2" customFormat="1" x14ac:dyDescent="0.2">
      <c r="A21" s="89">
        <v>45294</v>
      </c>
      <c r="B21" s="128" t="s">
        <v>11</v>
      </c>
      <c r="C21" s="29" t="s">
        <v>7</v>
      </c>
      <c r="D21" s="25"/>
      <c r="E21" s="31"/>
      <c r="F21" s="2">
        <v>167537921.36999997</v>
      </c>
      <c r="G21" s="23"/>
      <c r="H21" s="23"/>
      <c r="I21" s="159" t="s">
        <v>1505</v>
      </c>
      <c r="J21" s="160">
        <f>+J19-J20</f>
        <v>31298829.50999999</v>
      </c>
      <c r="K21" s="160"/>
      <c r="L21" s="70"/>
    </row>
    <row r="22" spans="1:15" s="2" customFormat="1" x14ac:dyDescent="0.2">
      <c r="A22" s="89">
        <v>45294</v>
      </c>
      <c r="B22" s="128" t="s">
        <v>6</v>
      </c>
      <c r="C22" s="76" t="s">
        <v>1927</v>
      </c>
      <c r="D22" s="11" t="s">
        <v>13</v>
      </c>
      <c r="E22" s="31">
        <v>31395</v>
      </c>
      <c r="F22" s="70"/>
      <c r="G22" s="1"/>
      <c r="H22" s="1"/>
      <c r="O22" s="1"/>
    </row>
    <row r="23" spans="1:15" s="2" customFormat="1" x14ac:dyDescent="0.2">
      <c r="A23" s="89">
        <v>45294</v>
      </c>
      <c r="B23" s="128" t="s">
        <v>6</v>
      </c>
      <c r="C23" s="76" t="s">
        <v>465</v>
      </c>
      <c r="D23" s="11" t="s">
        <v>13</v>
      </c>
      <c r="E23" s="31">
        <v>77850.12</v>
      </c>
      <c r="F23" s="70"/>
      <c r="G23" s="1"/>
      <c r="H23" s="1"/>
      <c r="O23" s="1"/>
    </row>
    <row r="24" spans="1:15" s="2" customFormat="1" x14ac:dyDescent="0.2">
      <c r="A24" s="89">
        <v>45294</v>
      </c>
      <c r="B24" s="128" t="s">
        <v>6</v>
      </c>
      <c r="C24" s="76" t="s">
        <v>316</v>
      </c>
      <c r="D24" s="11" t="s">
        <v>13</v>
      </c>
      <c r="E24" s="31">
        <v>345833</v>
      </c>
      <c r="F24" s="70"/>
      <c r="G24" s="1"/>
      <c r="H24" s="1"/>
      <c r="O24" s="1"/>
    </row>
    <row r="25" spans="1:15" s="2" customFormat="1" x14ac:dyDescent="0.2">
      <c r="A25" s="89">
        <v>45294</v>
      </c>
      <c r="B25" s="128" t="s">
        <v>6</v>
      </c>
      <c r="C25" s="76" t="s">
        <v>474</v>
      </c>
      <c r="D25" s="11" t="s">
        <v>13</v>
      </c>
      <c r="E25" s="31">
        <v>1137222</v>
      </c>
      <c r="F25" s="70"/>
      <c r="G25" s="1"/>
      <c r="H25" s="1"/>
      <c r="O25" s="1"/>
    </row>
    <row r="26" spans="1:15" s="2" customFormat="1" x14ac:dyDescent="0.2">
      <c r="A26" s="89">
        <v>45294</v>
      </c>
      <c r="B26" s="128" t="s">
        <v>6</v>
      </c>
      <c r="C26" s="76" t="s">
        <v>764</v>
      </c>
      <c r="D26" s="11" t="s">
        <v>13</v>
      </c>
      <c r="E26" s="31">
        <v>2744012.59</v>
      </c>
      <c r="F26" s="70"/>
      <c r="G26" s="1"/>
      <c r="H26" s="1"/>
      <c r="O26" s="1"/>
    </row>
    <row r="27" spans="1:15" s="2" customFormat="1" x14ac:dyDescent="0.2">
      <c r="A27" s="89">
        <v>45294</v>
      </c>
      <c r="B27" s="128" t="s">
        <v>6</v>
      </c>
      <c r="C27" s="76" t="s">
        <v>765</v>
      </c>
      <c r="D27" s="11" t="s">
        <v>13</v>
      </c>
      <c r="E27" s="31">
        <v>3456221.4</v>
      </c>
      <c r="F27" s="70"/>
      <c r="G27" s="1"/>
      <c r="H27" s="1"/>
      <c r="O27" s="1"/>
    </row>
    <row r="28" spans="1:15" s="2" customFormat="1" x14ac:dyDescent="0.2">
      <c r="A28" s="89">
        <v>45294</v>
      </c>
      <c r="B28" s="128" t="s">
        <v>6</v>
      </c>
      <c r="C28" s="76" t="s">
        <v>759</v>
      </c>
      <c r="D28" s="11" t="s">
        <v>13</v>
      </c>
      <c r="E28" s="31">
        <v>1016243.68</v>
      </c>
      <c r="F28" s="70"/>
      <c r="G28" s="1"/>
      <c r="H28" s="1"/>
      <c r="O28" s="1"/>
    </row>
    <row r="29" spans="1:15" s="2" customFormat="1" x14ac:dyDescent="0.2">
      <c r="A29" s="89">
        <v>45294</v>
      </c>
      <c r="B29" s="128" t="s">
        <v>6</v>
      </c>
      <c r="C29" s="76" t="s">
        <v>15</v>
      </c>
      <c r="D29" s="11" t="s">
        <v>13</v>
      </c>
      <c r="E29" s="31">
        <v>70308.69</v>
      </c>
      <c r="F29" s="70"/>
      <c r="G29" s="1"/>
      <c r="H29" s="1"/>
      <c r="O29" s="1"/>
    </row>
    <row r="30" spans="1:15" s="2" customFormat="1" x14ac:dyDescent="0.2">
      <c r="A30" s="89">
        <v>45294</v>
      </c>
      <c r="B30" s="128" t="s">
        <v>6</v>
      </c>
      <c r="C30" s="76" t="s">
        <v>773</v>
      </c>
      <c r="D30" s="11" t="s">
        <v>13</v>
      </c>
      <c r="E30" s="31">
        <v>591482.07999999996</v>
      </c>
      <c r="F30" s="70"/>
      <c r="G30" s="1"/>
      <c r="H30" s="1"/>
      <c r="O30" s="1"/>
    </row>
    <row r="31" spans="1:15" s="2" customFormat="1" x14ac:dyDescent="0.2">
      <c r="A31" s="89">
        <v>45294</v>
      </c>
      <c r="B31" s="128" t="s">
        <v>6</v>
      </c>
      <c r="C31" s="76" t="s">
        <v>748</v>
      </c>
      <c r="D31" s="11" t="s">
        <v>13</v>
      </c>
      <c r="E31" s="31">
        <v>3483146.29</v>
      </c>
      <c r="F31" s="70"/>
      <c r="G31" s="1"/>
      <c r="H31" s="1"/>
      <c r="O31" s="1"/>
    </row>
    <row r="32" spans="1:15" s="2" customFormat="1" x14ac:dyDescent="0.2">
      <c r="A32" s="89">
        <v>45294</v>
      </c>
      <c r="B32" s="128" t="s">
        <v>6</v>
      </c>
      <c r="C32" s="76" t="s">
        <v>1925</v>
      </c>
      <c r="D32" s="11" t="s">
        <v>13</v>
      </c>
      <c r="E32" s="31">
        <v>6132226.5300000003</v>
      </c>
      <c r="F32" s="70"/>
      <c r="G32" s="1"/>
      <c r="H32" s="1"/>
      <c r="O32" s="1"/>
    </row>
    <row r="33" spans="1:15" s="2" customFormat="1" x14ac:dyDescent="0.2">
      <c r="A33" s="89">
        <v>45294</v>
      </c>
      <c r="B33" s="128" t="s">
        <v>6</v>
      </c>
      <c r="C33" s="76" t="s">
        <v>675</v>
      </c>
      <c r="D33" s="11" t="s">
        <v>13</v>
      </c>
      <c r="E33" s="31">
        <v>50000</v>
      </c>
      <c r="F33" s="70"/>
      <c r="G33" s="1"/>
      <c r="H33" s="1"/>
      <c r="O33" s="1"/>
    </row>
    <row r="34" spans="1:15" s="2" customFormat="1" x14ac:dyDescent="0.2">
      <c r="A34" s="89">
        <v>45294</v>
      </c>
      <c r="B34" s="128" t="s">
        <v>6</v>
      </c>
      <c r="C34" s="76" t="s">
        <v>1939</v>
      </c>
      <c r="D34" s="11" t="s">
        <v>13</v>
      </c>
      <c r="E34" s="31">
        <v>38746</v>
      </c>
      <c r="F34" s="70"/>
      <c r="G34" s="1"/>
      <c r="H34" s="1"/>
      <c r="O34" s="1"/>
    </row>
    <row r="35" spans="1:15" s="2" customFormat="1" x14ac:dyDescent="0.2">
      <c r="A35" s="89">
        <v>45294</v>
      </c>
      <c r="B35" s="128" t="s">
        <v>6</v>
      </c>
      <c r="C35" s="76" t="s">
        <v>16</v>
      </c>
      <c r="D35" s="11" t="s">
        <v>13</v>
      </c>
      <c r="E35" s="31">
        <v>2940</v>
      </c>
      <c r="F35" s="70"/>
      <c r="G35" s="1"/>
      <c r="H35" s="1"/>
      <c r="O35" s="1"/>
    </row>
    <row r="36" spans="1:15" s="2" customFormat="1" x14ac:dyDescent="0.2">
      <c r="A36" s="89">
        <v>45294</v>
      </c>
      <c r="B36" s="128" t="s">
        <v>6</v>
      </c>
      <c r="C36" s="76" t="s">
        <v>149</v>
      </c>
      <c r="D36" s="11" t="s">
        <v>13</v>
      </c>
      <c r="E36" s="31">
        <v>44364</v>
      </c>
      <c r="F36" s="70"/>
      <c r="G36" s="1"/>
      <c r="H36" s="1"/>
      <c r="O36" s="1"/>
    </row>
    <row r="37" spans="1:15" s="2" customFormat="1" x14ac:dyDescent="0.2">
      <c r="A37" s="89">
        <v>45294</v>
      </c>
      <c r="B37" s="128" t="s">
        <v>6</v>
      </c>
      <c r="C37" s="76" t="s">
        <v>1625</v>
      </c>
      <c r="D37" s="11" t="s">
        <v>13</v>
      </c>
      <c r="E37" s="31">
        <v>4830</v>
      </c>
      <c r="F37" s="70"/>
      <c r="G37" s="1"/>
      <c r="H37" s="1"/>
      <c r="O37" s="1"/>
    </row>
    <row r="38" spans="1:15" s="2" customFormat="1" x14ac:dyDescent="0.2">
      <c r="A38" s="89">
        <v>45294</v>
      </c>
      <c r="B38" s="128" t="s">
        <v>6</v>
      </c>
      <c r="C38" s="76" t="s">
        <v>1907</v>
      </c>
      <c r="D38" s="11" t="s">
        <v>13</v>
      </c>
      <c r="E38" s="31">
        <v>5366</v>
      </c>
      <c r="F38" s="70"/>
      <c r="G38" s="1"/>
      <c r="H38" s="1"/>
      <c r="O38" s="1"/>
    </row>
    <row r="39" spans="1:15" s="2" customFormat="1" x14ac:dyDescent="0.2">
      <c r="A39" s="89">
        <v>45294</v>
      </c>
      <c r="B39" s="128" t="s">
        <v>6</v>
      </c>
      <c r="C39" s="76" t="s">
        <v>120</v>
      </c>
      <c r="D39" s="11" t="s">
        <v>13</v>
      </c>
      <c r="E39" s="31">
        <v>4187811.5</v>
      </c>
      <c r="F39" s="70"/>
      <c r="G39" s="1"/>
      <c r="H39" s="1"/>
      <c r="O39" s="1"/>
    </row>
    <row r="40" spans="1:15" s="2" customFormat="1" x14ac:dyDescent="0.2">
      <c r="A40" s="89">
        <v>45294</v>
      </c>
      <c r="B40" s="128" t="s">
        <v>6</v>
      </c>
      <c r="C40" s="76" t="s">
        <v>1940</v>
      </c>
      <c r="D40" s="11" t="s">
        <v>13</v>
      </c>
      <c r="E40" s="31">
        <v>18082</v>
      </c>
      <c r="F40" s="70"/>
      <c r="G40" s="1"/>
      <c r="H40" s="1"/>
      <c r="O40" s="1"/>
    </row>
    <row r="41" spans="1:15" s="2" customFormat="1" x14ac:dyDescent="0.2">
      <c r="A41" s="89">
        <v>45294</v>
      </c>
      <c r="B41" s="128" t="s">
        <v>11</v>
      </c>
      <c r="C41" s="76" t="s">
        <v>64</v>
      </c>
      <c r="D41" s="11" t="s">
        <v>29</v>
      </c>
      <c r="E41" s="31"/>
      <c r="F41" s="70">
        <v>8850</v>
      </c>
      <c r="G41" s="1"/>
      <c r="H41" s="1"/>
      <c r="O41" s="1"/>
    </row>
    <row r="42" spans="1:15" s="2" customFormat="1" x14ac:dyDescent="0.2">
      <c r="A42" s="89">
        <v>45294</v>
      </c>
      <c r="B42" s="128" t="s">
        <v>11</v>
      </c>
      <c r="C42" s="76" t="s">
        <v>1936</v>
      </c>
      <c r="D42" s="11" t="s">
        <v>29</v>
      </c>
      <c r="E42" s="31"/>
      <c r="F42" s="70">
        <v>5431336</v>
      </c>
      <c r="G42" s="1"/>
      <c r="H42" s="1"/>
      <c r="O42" s="1"/>
    </row>
    <row r="43" spans="1:15" s="2" customFormat="1" x14ac:dyDescent="0.2">
      <c r="A43" s="89">
        <v>45294</v>
      </c>
      <c r="B43" s="128" t="s">
        <v>11</v>
      </c>
      <c r="C43" s="76" t="s">
        <v>687</v>
      </c>
      <c r="D43" s="11" t="s">
        <v>29</v>
      </c>
      <c r="E43" s="31"/>
      <c r="F43" s="70">
        <v>805214</v>
      </c>
      <c r="G43" s="1"/>
      <c r="H43" s="1"/>
      <c r="O43" s="1"/>
    </row>
    <row r="44" spans="1:15" s="2" customFormat="1" x14ac:dyDescent="0.2">
      <c r="A44" s="89">
        <v>45294</v>
      </c>
      <c r="B44" s="128" t="s">
        <v>11</v>
      </c>
      <c r="C44" s="76" t="s">
        <v>1937</v>
      </c>
      <c r="D44" s="11" t="s">
        <v>29</v>
      </c>
      <c r="E44" s="31"/>
      <c r="F44" s="70">
        <v>864000</v>
      </c>
      <c r="G44" s="1"/>
      <c r="H44" s="1"/>
      <c r="O44" s="1"/>
    </row>
    <row r="45" spans="1:15" s="2" customFormat="1" x14ac:dyDescent="0.2">
      <c r="A45" s="89">
        <v>45294</v>
      </c>
      <c r="B45" s="128" t="s">
        <v>11</v>
      </c>
      <c r="C45" s="76" t="s">
        <v>1938</v>
      </c>
      <c r="D45" s="11" t="s">
        <v>29</v>
      </c>
      <c r="E45" s="31"/>
      <c r="F45" s="70">
        <v>230100</v>
      </c>
      <c r="G45" s="1"/>
      <c r="H45" s="1"/>
      <c r="O45" s="1"/>
    </row>
    <row r="46" spans="1:15" s="2" customFormat="1" x14ac:dyDescent="0.2">
      <c r="A46" s="89">
        <v>45294</v>
      </c>
      <c r="B46" s="128" t="s">
        <v>11</v>
      </c>
      <c r="C46" s="76" t="s">
        <v>500</v>
      </c>
      <c r="D46" s="11" t="s">
        <v>29</v>
      </c>
      <c r="E46" s="31"/>
      <c r="F46" s="70">
        <v>2316193</v>
      </c>
      <c r="G46" s="1"/>
      <c r="H46" s="1"/>
      <c r="O46" s="1"/>
    </row>
    <row r="47" spans="1:15" s="2" customFormat="1" x14ac:dyDescent="0.2">
      <c r="A47" s="89">
        <v>45294</v>
      </c>
      <c r="B47" s="128" t="s">
        <v>11</v>
      </c>
      <c r="C47" s="76" t="s">
        <v>561</v>
      </c>
      <c r="D47" s="11" t="s">
        <v>29</v>
      </c>
      <c r="E47" s="31"/>
      <c r="F47" s="70">
        <v>895204</v>
      </c>
      <c r="G47" s="1"/>
      <c r="H47" s="1"/>
      <c r="O47" s="1"/>
    </row>
    <row r="48" spans="1:15" s="2" customFormat="1" x14ac:dyDescent="0.2">
      <c r="A48" s="89">
        <v>45294</v>
      </c>
      <c r="B48" s="128" t="s">
        <v>11</v>
      </c>
      <c r="C48" s="76" t="s">
        <v>208</v>
      </c>
      <c r="D48" s="11" t="s">
        <v>29</v>
      </c>
      <c r="E48" s="31"/>
      <c r="F48" s="70">
        <v>16512</v>
      </c>
      <c r="G48" s="1"/>
      <c r="H48" s="1"/>
      <c r="O48" s="1"/>
    </row>
    <row r="49" spans="1:15" s="2" customFormat="1" x14ac:dyDescent="0.2">
      <c r="A49" s="89">
        <v>45294</v>
      </c>
      <c r="B49" s="128" t="s">
        <v>11</v>
      </c>
      <c r="C49" s="76" t="s">
        <v>738</v>
      </c>
      <c r="D49" s="11" t="s">
        <v>29</v>
      </c>
      <c r="E49" s="31"/>
      <c r="F49" s="70">
        <v>17892</v>
      </c>
      <c r="G49" s="1"/>
      <c r="H49" s="1"/>
      <c r="O49" s="1"/>
    </row>
    <row r="50" spans="1:15" s="2" customFormat="1" x14ac:dyDescent="0.2">
      <c r="A50" s="89">
        <v>45294</v>
      </c>
      <c r="B50" s="128" t="s">
        <v>11</v>
      </c>
      <c r="C50" s="76" t="s">
        <v>751</v>
      </c>
      <c r="D50" s="11" t="s">
        <v>29</v>
      </c>
      <c r="E50" s="31"/>
      <c r="F50" s="70">
        <v>318840</v>
      </c>
      <c r="G50" s="1"/>
      <c r="H50" s="1"/>
      <c r="O50" s="1"/>
    </row>
    <row r="51" spans="1:15" s="2" customFormat="1" x14ac:dyDescent="0.2">
      <c r="A51" s="89">
        <v>45294</v>
      </c>
      <c r="B51" s="128" t="s">
        <v>11</v>
      </c>
      <c r="C51" s="76" t="s">
        <v>603</v>
      </c>
      <c r="D51" s="11" t="s">
        <v>29</v>
      </c>
      <c r="E51" s="31"/>
      <c r="F51" s="70">
        <v>26052</v>
      </c>
      <c r="G51" s="1"/>
      <c r="H51" s="1"/>
      <c r="O51" s="1"/>
    </row>
    <row r="52" spans="1:15" s="2" customFormat="1" x14ac:dyDescent="0.2">
      <c r="A52" s="89">
        <v>45294</v>
      </c>
      <c r="B52" s="128" t="s">
        <v>11</v>
      </c>
      <c r="C52" s="76" t="s">
        <v>210</v>
      </c>
      <c r="D52" s="11" t="s">
        <v>29</v>
      </c>
      <c r="E52" s="31"/>
      <c r="F52" s="70">
        <v>46964</v>
      </c>
      <c r="G52" s="1"/>
      <c r="H52" s="1"/>
      <c r="O52" s="1"/>
    </row>
    <row r="53" spans="1:15" s="2" customFormat="1" x14ac:dyDescent="0.2">
      <c r="A53" s="89">
        <v>45294</v>
      </c>
      <c r="B53" s="128" t="s">
        <v>11</v>
      </c>
      <c r="C53" s="76" t="s">
        <v>719</v>
      </c>
      <c r="D53" s="11" t="s">
        <v>29</v>
      </c>
      <c r="E53" s="31"/>
      <c r="F53" s="70">
        <v>82761</v>
      </c>
      <c r="G53" s="1"/>
      <c r="H53" s="1"/>
      <c r="O53" s="1"/>
    </row>
    <row r="54" spans="1:15" s="2" customFormat="1" x14ac:dyDescent="0.2">
      <c r="A54" s="89">
        <v>45294</v>
      </c>
      <c r="B54" s="128" t="s">
        <v>11</v>
      </c>
      <c r="C54" s="76" t="s">
        <v>532</v>
      </c>
      <c r="D54" s="11" t="s">
        <v>29</v>
      </c>
      <c r="E54" s="31"/>
      <c r="F54" s="70">
        <v>115133</v>
      </c>
      <c r="G54" s="1"/>
      <c r="H54" s="1"/>
      <c r="O54" s="1"/>
    </row>
    <row r="55" spans="1:15" s="2" customFormat="1" x14ac:dyDescent="0.2">
      <c r="A55" s="89">
        <v>45294</v>
      </c>
      <c r="B55" s="128" t="s">
        <v>11</v>
      </c>
      <c r="C55" s="76" t="s">
        <v>663</v>
      </c>
      <c r="D55" s="11" t="s">
        <v>29</v>
      </c>
      <c r="E55" s="31"/>
      <c r="F55" s="70">
        <v>55440</v>
      </c>
      <c r="G55" s="1"/>
      <c r="H55" s="1"/>
      <c r="O55" s="1"/>
    </row>
    <row r="56" spans="1:15" s="2" customFormat="1" x14ac:dyDescent="0.2">
      <c r="A56" s="89">
        <v>45294</v>
      </c>
      <c r="B56" s="128" t="s">
        <v>11</v>
      </c>
      <c r="C56" s="76" t="s">
        <v>198</v>
      </c>
      <c r="D56" s="11" t="s">
        <v>29</v>
      </c>
      <c r="E56" s="31"/>
      <c r="F56" s="70">
        <v>700000</v>
      </c>
      <c r="G56" s="1"/>
      <c r="H56" s="1"/>
      <c r="O56" s="1"/>
    </row>
    <row r="57" spans="1:15" s="2" customFormat="1" x14ac:dyDescent="0.2">
      <c r="A57" s="89">
        <v>45294</v>
      </c>
      <c r="B57" s="128" t="s">
        <v>11</v>
      </c>
      <c r="C57" s="76" t="s">
        <v>443</v>
      </c>
      <c r="D57" s="11" t="s">
        <v>29</v>
      </c>
      <c r="E57" s="31"/>
      <c r="F57" s="70">
        <v>700000</v>
      </c>
      <c r="G57" s="1"/>
      <c r="H57" s="1"/>
      <c r="O57" s="1"/>
    </row>
    <row r="58" spans="1:15" s="2" customFormat="1" x14ac:dyDescent="0.2">
      <c r="A58" s="32"/>
      <c r="B58" s="33"/>
      <c r="C58" s="14"/>
      <c r="D58" s="34"/>
      <c r="E58" s="16">
        <f>SUM(E21:E57)</f>
        <v>23438080.879999999</v>
      </c>
      <c r="F58" s="16">
        <f>SUM(F21:F57)</f>
        <v>180168412.36999997</v>
      </c>
      <c r="G58" s="1"/>
      <c r="H58" s="1"/>
      <c r="I58" s="1"/>
      <c r="J58" s="38">
        <v>156730331.49000001</v>
      </c>
      <c r="L58" s="92">
        <f>E59-J58</f>
        <v>0</v>
      </c>
      <c r="O58" s="1"/>
    </row>
    <row r="59" spans="1:15" s="2" customFormat="1" x14ac:dyDescent="0.2">
      <c r="A59" s="36"/>
      <c r="B59" s="28" t="s">
        <v>11</v>
      </c>
      <c r="C59" s="19" t="s">
        <v>65</v>
      </c>
      <c r="D59" s="37"/>
      <c r="E59" s="38">
        <f>F58-E58</f>
        <v>156730331.48999998</v>
      </c>
      <c r="F59" s="22"/>
      <c r="G59" s="1"/>
      <c r="H59" s="1"/>
      <c r="I59" s="1"/>
      <c r="J59" s="70"/>
      <c r="K59" s="70"/>
      <c r="L59" s="70"/>
      <c r="O59" s="1"/>
    </row>
    <row r="60" spans="1:15" s="2" customFormat="1" x14ac:dyDescent="0.2">
      <c r="A60" s="36"/>
      <c r="B60" s="28" t="s">
        <v>66</v>
      </c>
      <c r="C60" s="19" t="s">
        <v>67</v>
      </c>
      <c r="D60" s="37"/>
      <c r="E60" s="38">
        <v>0</v>
      </c>
      <c r="F60" s="22"/>
      <c r="G60" s="1"/>
      <c r="H60" s="1"/>
      <c r="I60" s="70"/>
      <c r="J60" s="70"/>
      <c r="K60" s="70"/>
      <c r="L60" s="70"/>
      <c r="O60" s="1"/>
    </row>
    <row r="61" spans="1:15" s="2" customFormat="1" x14ac:dyDescent="0.2">
      <c r="A61" s="36"/>
      <c r="B61" s="28" t="s">
        <v>66</v>
      </c>
      <c r="C61" s="43" t="s">
        <v>1457</v>
      </c>
      <c r="D61" s="43"/>
      <c r="E61" s="12">
        <f>275000000+75000000+50000000-75000000</f>
        <v>325000000</v>
      </c>
      <c r="F61" s="22"/>
      <c r="G61" s="1"/>
      <c r="H61" s="1"/>
      <c r="I61" s="70"/>
      <c r="J61" s="45">
        <v>99.94</v>
      </c>
      <c r="K61" s="46"/>
      <c r="L61" s="46"/>
      <c r="O61" s="1"/>
    </row>
    <row r="62" spans="1:15" s="2" customFormat="1" ht="15" x14ac:dyDescent="0.25">
      <c r="A62" s="36"/>
      <c r="B62" s="28"/>
      <c r="C62" s="44" t="s">
        <v>1541</v>
      </c>
      <c r="D62" s="43"/>
      <c r="E62" s="7">
        <f>+E61+E59+E60</f>
        <v>481730331.49000001</v>
      </c>
      <c r="F62" s="22"/>
      <c r="G62" s="1"/>
      <c r="H62" s="1"/>
      <c r="I62" s="103" t="s">
        <v>69</v>
      </c>
      <c r="J62" s="45">
        <v>-11.44</v>
      </c>
      <c r="K62" s="46"/>
      <c r="L62" s="46"/>
      <c r="O62" s="1"/>
    </row>
    <row r="63" spans="1:15" s="2" customFormat="1" ht="15" x14ac:dyDescent="0.25">
      <c r="A63" s="24"/>
      <c r="B63" s="1"/>
      <c r="C63" s="44" t="s">
        <v>1510</v>
      </c>
      <c r="D63" s="25"/>
      <c r="E63" s="156">
        <f>+J21-E60+I17-J17</f>
        <v>18269668.50999999</v>
      </c>
      <c r="G63" s="1"/>
      <c r="H63" s="1"/>
      <c r="I63" s="35">
        <v>1</v>
      </c>
      <c r="J63" s="45">
        <v>0</v>
      </c>
      <c r="K63" s="46">
        <f>+J64-D66</f>
        <v>0</v>
      </c>
      <c r="O63" s="1"/>
    </row>
    <row r="64" spans="1:15" s="124" customFormat="1" ht="12.75" customHeight="1" x14ac:dyDescent="0.2">
      <c r="A64" s="24"/>
      <c r="B64" s="1"/>
      <c r="C64" s="56"/>
      <c r="D64" s="56"/>
      <c r="E64" s="104"/>
      <c r="F64" s="2"/>
      <c r="G64" s="166"/>
      <c r="H64" s="166"/>
      <c r="I64" s="70"/>
      <c r="J64" s="49">
        <f>SUM(J61:J63)</f>
        <v>88.5</v>
      </c>
      <c r="K64" s="46"/>
      <c r="L64" s="46"/>
    </row>
    <row r="65" spans="1:14" s="124" customFormat="1" ht="12.75" customHeight="1" x14ac:dyDescent="0.2">
      <c r="A65" s="24"/>
      <c r="B65" s="1"/>
      <c r="C65" s="78" t="s">
        <v>575</v>
      </c>
      <c r="D65" s="48" t="s">
        <v>576</v>
      </c>
      <c r="E65" s="104"/>
      <c r="F65" s="2"/>
      <c r="G65" s="168"/>
      <c r="H65" s="168"/>
      <c r="I65" s="167"/>
      <c r="J65" s="167"/>
      <c r="K65" s="168"/>
    </row>
    <row r="66" spans="1:14" s="124" customFormat="1" ht="12.75" customHeight="1" x14ac:dyDescent="0.2">
      <c r="A66" s="24"/>
      <c r="B66" s="1"/>
      <c r="C66" s="47" t="s">
        <v>570</v>
      </c>
      <c r="D66" s="111">
        <v>88.5</v>
      </c>
      <c r="E66" s="104"/>
      <c r="F66" s="2"/>
      <c r="G66" s="168"/>
      <c r="H66" s="168"/>
      <c r="I66" s="110" t="s">
        <v>581</v>
      </c>
      <c r="J66" s="167"/>
      <c r="K66" s="168"/>
    </row>
    <row r="67" spans="1:14" s="124" customFormat="1" ht="12.75" customHeight="1" x14ac:dyDescent="0.2">
      <c r="A67" s="24"/>
      <c r="B67" s="1"/>
      <c r="C67" s="47" t="s">
        <v>931</v>
      </c>
      <c r="D67" s="111">
        <v>54.06</v>
      </c>
      <c r="E67" s="104"/>
      <c r="F67" s="2"/>
      <c r="G67" s="168"/>
      <c r="H67" s="168"/>
      <c r="I67" s="110" t="s">
        <v>580</v>
      </c>
      <c r="J67" s="167"/>
      <c r="K67" s="168"/>
    </row>
    <row r="68" spans="1:14" s="124" customFormat="1" ht="12.75" customHeight="1" x14ac:dyDescent="0.2">
      <c r="A68" s="24"/>
      <c r="B68" s="1"/>
      <c r="C68" s="47" t="s">
        <v>572</v>
      </c>
      <c r="D68" s="111">
        <f>+D87/100000</f>
        <v>104.0064034</v>
      </c>
      <c r="E68" s="104"/>
      <c r="F68" s="2"/>
      <c r="G68" s="166"/>
      <c r="H68" s="166"/>
      <c r="I68" s="90" t="s">
        <v>587</v>
      </c>
      <c r="J68" s="167"/>
      <c r="K68" s="168"/>
    </row>
    <row r="69" spans="1:14" s="2" customFormat="1" x14ac:dyDescent="0.2">
      <c r="A69" s="24"/>
      <c r="B69" s="1"/>
      <c r="C69" s="108" t="s">
        <v>578</v>
      </c>
      <c r="D69" s="48">
        <f>SUM(D66:D68)</f>
        <v>246.56640340000001</v>
      </c>
      <c r="E69" s="104"/>
      <c r="G69" s="30"/>
      <c r="H69" s="30"/>
      <c r="J69" s="13"/>
      <c r="K69" s="13"/>
    </row>
    <row r="70" spans="1:14" s="70" customFormat="1" x14ac:dyDescent="0.2">
      <c r="A70" s="24"/>
      <c r="B70" s="1"/>
      <c r="C70" s="47"/>
      <c r="D70" s="107"/>
      <c r="E70" s="104"/>
      <c r="F70" s="2"/>
      <c r="G70" s="30"/>
      <c r="H70" s="30"/>
      <c r="I70" s="2"/>
    </row>
    <row r="71" spans="1:14" s="70" customFormat="1" x14ac:dyDescent="0.2">
      <c r="A71" s="24"/>
      <c r="B71" s="1"/>
      <c r="C71" s="47" t="s">
        <v>932</v>
      </c>
      <c r="D71" s="111">
        <v>0</v>
      </c>
      <c r="E71" s="104"/>
      <c r="F71" s="2"/>
      <c r="G71" s="30"/>
      <c r="H71" s="30"/>
      <c r="I71" s="110" t="s">
        <v>581</v>
      </c>
    </row>
    <row r="72" spans="1:14" s="70" customFormat="1" x14ac:dyDescent="0.2">
      <c r="A72" s="24"/>
      <c r="B72" s="1"/>
      <c r="C72" s="136" t="s">
        <v>1142</v>
      </c>
      <c r="D72" s="111">
        <f>189.27-56.33</f>
        <v>132.94</v>
      </c>
      <c r="E72" s="104"/>
      <c r="F72" s="2"/>
      <c r="G72" s="30"/>
      <c r="H72" s="30"/>
      <c r="I72" s="110" t="s">
        <v>581</v>
      </c>
    </row>
    <row r="73" spans="1:14" s="70" customFormat="1" x14ac:dyDescent="0.2">
      <c r="A73" s="24"/>
      <c r="B73" s="1"/>
      <c r="C73" s="78" t="s">
        <v>579</v>
      </c>
      <c r="D73" s="109">
        <f>D71+D72</f>
        <v>132.94</v>
      </c>
      <c r="E73" s="104"/>
      <c r="F73" s="2"/>
      <c r="G73" s="30"/>
      <c r="H73" s="30"/>
    </row>
    <row r="74" spans="1:14" s="70" customFormat="1" x14ac:dyDescent="0.2">
      <c r="A74" s="24"/>
      <c r="B74" s="1"/>
      <c r="C74" s="105"/>
      <c r="D74" s="106"/>
      <c r="E74" s="104"/>
      <c r="F74" s="2"/>
      <c r="G74" s="30"/>
      <c r="H74" s="30"/>
      <c r="J74" s="2"/>
      <c r="K74" s="221" t="str">
        <f>"FROM ( 01-01-2024 to "&amp;TEXT(A5,"dd-mm-yyyy")&amp;" )"</f>
        <v>FROM ( 01-01-2024 to 03-01-2024 )</v>
      </c>
      <c r="L74" s="221"/>
      <c r="M74" s="2"/>
      <c r="N74" s="2"/>
    </row>
    <row r="75" spans="1:14" s="70" customFormat="1" x14ac:dyDescent="0.2">
      <c r="A75" s="24"/>
      <c r="B75" s="1"/>
      <c r="C75" s="78" t="s">
        <v>577</v>
      </c>
      <c r="D75" s="109">
        <f>D66+D73</f>
        <v>221.44</v>
      </c>
      <c r="E75" s="104"/>
      <c r="F75" s="2"/>
      <c r="G75" s="30"/>
      <c r="H75" s="30"/>
      <c r="J75" s="113"/>
      <c r="K75" s="113" t="s">
        <v>709</v>
      </c>
      <c r="L75" s="113" t="s">
        <v>710</v>
      </c>
      <c r="M75" s="113" t="s">
        <v>711</v>
      </c>
      <c r="N75" s="113" t="s">
        <v>712</v>
      </c>
    </row>
    <row r="76" spans="1:14" s="70" customFormat="1" x14ac:dyDescent="0.2">
      <c r="A76" s="24"/>
      <c r="B76" s="1"/>
      <c r="C76" s="56"/>
      <c r="D76" s="56"/>
      <c r="E76" s="104"/>
      <c r="F76" s="2"/>
      <c r="G76" s="30"/>
      <c r="H76" s="30"/>
      <c r="J76" s="113" t="s">
        <v>1860</v>
      </c>
      <c r="K76" s="115">
        <v>189.89</v>
      </c>
      <c r="L76" s="115">
        <v>56.33</v>
      </c>
      <c r="M76" s="115">
        <v>0</v>
      </c>
      <c r="N76" s="113">
        <f>+K76+M76-L76</f>
        <v>133.56</v>
      </c>
    </row>
    <row r="77" spans="1:14" s="70" customFormat="1" ht="38.25" x14ac:dyDescent="0.2">
      <c r="A77" s="24"/>
      <c r="B77" s="1"/>
      <c r="C77" s="79" t="str">
        <f>"Particulars ( 01-01-2024 to "&amp;TEXT(A5,"dd-mm-yyyy")&amp;" )"</f>
        <v>Particulars ( 01-01-2024 to 03-01-2024 )</v>
      </c>
      <c r="D77" s="79" t="s">
        <v>7</v>
      </c>
      <c r="E77" s="80" t="s">
        <v>73</v>
      </c>
      <c r="F77" s="80" t="s">
        <v>74</v>
      </c>
      <c r="G77" s="81" t="s">
        <v>75</v>
      </c>
      <c r="H77" s="80" t="s">
        <v>76</v>
      </c>
      <c r="J77" s="113" t="s">
        <v>1861</v>
      </c>
      <c r="K77" s="115">
        <v>1669.19</v>
      </c>
      <c r="L77" s="115">
        <v>104.01</v>
      </c>
      <c r="M77" s="115">
        <v>189.27</v>
      </c>
      <c r="N77" s="113">
        <f>+K77+M77-L77</f>
        <v>1754.45</v>
      </c>
    </row>
    <row r="78" spans="1:14" s="70" customFormat="1" x14ac:dyDescent="0.2">
      <c r="A78" s="24"/>
      <c r="B78" s="1"/>
      <c r="C78" s="50" t="s">
        <v>444</v>
      </c>
      <c r="D78" s="55">
        <f>+K78</f>
        <v>140.88</v>
      </c>
      <c r="E78" s="55">
        <f>+M78</f>
        <v>0</v>
      </c>
      <c r="F78" s="55">
        <f>+L78</f>
        <v>54.06</v>
      </c>
      <c r="G78" s="55">
        <f>+D78+E78-F78</f>
        <v>86.82</v>
      </c>
      <c r="H78" s="55">
        <f>1500-G78</f>
        <v>1413.18</v>
      </c>
      <c r="J78" s="113" t="s">
        <v>707</v>
      </c>
      <c r="K78" s="115">
        <v>140.88</v>
      </c>
      <c r="L78" s="115">
        <v>54.06</v>
      </c>
      <c r="M78" s="115">
        <v>0</v>
      </c>
      <c r="N78" s="113">
        <f>+K78+M78-L78</f>
        <v>86.82</v>
      </c>
    </row>
    <row r="79" spans="1:14" s="70" customFormat="1" ht="12.75" customHeight="1" x14ac:dyDescent="0.2">
      <c r="A79" s="24"/>
      <c r="B79" s="1"/>
      <c r="C79" s="50" t="s">
        <v>71</v>
      </c>
      <c r="D79" s="55">
        <f>+K76+K77</f>
        <v>1859.08</v>
      </c>
      <c r="E79" s="55">
        <f>+M76+M77</f>
        <v>189.27</v>
      </c>
      <c r="F79" s="55">
        <f>+L76+L77</f>
        <v>160.34</v>
      </c>
      <c r="G79" s="55">
        <f>+D79+E79-F79</f>
        <v>1888.01</v>
      </c>
      <c r="H79" s="55">
        <f>1500+700-G79</f>
        <v>311.99</v>
      </c>
      <c r="J79" s="2"/>
      <c r="K79" s="118">
        <f>SUM(K76:K78)</f>
        <v>1999.96</v>
      </c>
      <c r="L79" s="118">
        <f>SUM(L76:L78)</f>
        <v>214.4</v>
      </c>
      <c r="M79" s="118">
        <f>SUM(M76:M78)</f>
        <v>189.27</v>
      </c>
      <c r="N79" s="118">
        <f>SUM(N76:N78)</f>
        <v>1974.83</v>
      </c>
    </row>
    <row r="80" spans="1:14" s="70" customFormat="1" ht="12.75" customHeight="1" x14ac:dyDescent="0.2">
      <c r="A80" s="24"/>
      <c r="B80" s="1"/>
      <c r="C80" s="14"/>
      <c r="D80" s="56"/>
      <c r="E80" s="13"/>
      <c r="F80" s="2"/>
      <c r="G80" s="30"/>
      <c r="H80" s="30"/>
    </row>
    <row r="81" spans="1:15" s="70" customFormat="1" ht="12.75" customHeight="1" x14ac:dyDescent="0.2">
      <c r="A81" s="215" t="s">
        <v>80</v>
      </c>
      <c r="B81" s="216"/>
      <c r="C81" s="216"/>
      <c r="D81" s="217"/>
      <c r="E81" s="69"/>
      <c r="G81" s="30"/>
      <c r="H81" s="30"/>
    </row>
    <row r="82" spans="1:15" s="70" customFormat="1" ht="12.75" customHeight="1" x14ac:dyDescent="0.2">
      <c r="A82" s="71" t="s">
        <v>81</v>
      </c>
      <c r="B82" s="71"/>
      <c r="C82" s="72" t="s">
        <v>82</v>
      </c>
      <c r="D82" s="73" t="s">
        <v>83</v>
      </c>
      <c r="E82" s="69"/>
      <c r="G82" s="30"/>
      <c r="H82" s="30"/>
    </row>
    <row r="83" spans="1:15" s="70" customFormat="1" ht="12.75" customHeight="1" x14ac:dyDescent="0.2">
      <c r="A83" s="87">
        <v>45292</v>
      </c>
      <c r="B83" s="120" t="s">
        <v>6</v>
      </c>
      <c r="C83" s="75" t="s">
        <v>1933</v>
      </c>
      <c r="D83" s="88">
        <v>7583470</v>
      </c>
      <c r="E83" s="2"/>
      <c r="F83" s="2"/>
      <c r="G83" s="30"/>
      <c r="H83" s="30"/>
      <c r="I83" s="2"/>
      <c r="J83" s="2"/>
      <c r="K83" s="2"/>
      <c r="L83" s="2"/>
      <c r="M83" s="41"/>
      <c r="N83" s="42"/>
      <c r="O83" s="2"/>
    </row>
    <row r="84" spans="1:15" s="70" customFormat="1" ht="12.75" customHeight="1" x14ac:dyDescent="0.2">
      <c r="A84" s="87">
        <v>44928</v>
      </c>
      <c r="B84" s="120" t="s">
        <v>6</v>
      </c>
      <c r="C84" s="75" t="s">
        <v>1934</v>
      </c>
      <c r="D84" s="88">
        <v>124988</v>
      </c>
      <c r="E84" s="2"/>
      <c r="F84" s="2"/>
      <c r="G84" s="30"/>
      <c r="H84" s="30"/>
      <c r="I84" s="2"/>
      <c r="J84" s="2"/>
      <c r="K84" s="2"/>
      <c r="L84" s="2"/>
      <c r="M84" s="41"/>
      <c r="N84" s="42"/>
      <c r="O84" s="2"/>
    </row>
    <row r="85" spans="1:15" s="70" customFormat="1" ht="12.75" customHeight="1" x14ac:dyDescent="0.2">
      <c r="A85" s="87">
        <v>44929</v>
      </c>
      <c r="B85" s="120" t="s">
        <v>6</v>
      </c>
      <c r="C85" s="75" t="s">
        <v>606</v>
      </c>
      <c r="D85" s="88">
        <v>260191</v>
      </c>
      <c r="E85" s="2"/>
      <c r="F85" s="2"/>
      <c r="G85" s="30"/>
      <c r="H85" s="30"/>
      <c r="I85" s="2"/>
      <c r="J85" s="2"/>
      <c r="K85" s="2"/>
      <c r="L85" s="2"/>
      <c r="M85" s="41"/>
      <c r="N85" s="42"/>
      <c r="O85" s="2"/>
    </row>
    <row r="86" spans="1:15" s="70" customFormat="1" ht="12.75" customHeight="1" x14ac:dyDescent="0.2">
      <c r="A86" s="87">
        <v>44929</v>
      </c>
      <c r="B86" s="120" t="s">
        <v>6</v>
      </c>
      <c r="C86" s="75" t="s">
        <v>888</v>
      </c>
      <c r="D86" s="88">
        <v>2431991.34</v>
      </c>
      <c r="E86" s="2"/>
      <c r="F86" s="2"/>
      <c r="G86" s="30"/>
      <c r="H86" s="30"/>
      <c r="I86" s="2"/>
      <c r="J86" s="2"/>
      <c r="K86" s="2"/>
      <c r="L86" s="2"/>
      <c r="M86" s="41"/>
      <c r="N86" s="42"/>
      <c r="O86" s="2"/>
    </row>
    <row r="87" spans="1:15" s="2" customFormat="1" x14ac:dyDescent="0.2">
      <c r="A87" s="87"/>
      <c r="B87" s="74"/>
      <c r="C87" s="75"/>
      <c r="D87" s="51">
        <f>SUM(D83:D86)</f>
        <v>10400640.34</v>
      </c>
      <c r="F87" s="2" t="s">
        <v>396</v>
      </c>
      <c r="G87" s="1"/>
      <c r="H87" s="1"/>
    </row>
    <row r="88" spans="1:15" s="2" customFormat="1" x14ac:dyDescent="0.2">
      <c r="A88" s="24"/>
      <c r="B88" s="1"/>
      <c r="C88" s="14"/>
      <c r="D88" s="56"/>
      <c r="E88" s="13"/>
      <c r="G88" s="1"/>
      <c r="H88" s="1"/>
    </row>
    <row r="89" spans="1:15" s="2" customFormat="1" x14ac:dyDescent="0.2">
      <c r="A89" s="24"/>
      <c r="B89" s="1"/>
      <c r="C89" s="218" t="s">
        <v>77</v>
      </c>
      <c r="D89" s="219"/>
      <c r="E89" s="219"/>
      <c r="F89" s="220"/>
      <c r="I89" s="2" t="s">
        <v>396</v>
      </c>
    </row>
    <row r="90" spans="1:15" s="2" customFormat="1" x14ac:dyDescent="0.2">
      <c r="A90" s="24"/>
      <c r="B90" s="1"/>
      <c r="C90" s="50"/>
      <c r="D90" s="57" t="s">
        <v>78</v>
      </c>
      <c r="E90" s="58" t="s">
        <v>79</v>
      </c>
      <c r="F90" s="57" t="s">
        <v>72</v>
      </c>
      <c r="I90" s="2" t="s">
        <v>396</v>
      </c>
    </row>
    <row r="91" spans="1:15" s="2" customFormat="1" x14ac:dyDescent="0.2">
      <c r="A91" s="24"/>
      <c r="B91" s="1"/>
      <c r="C91" s="59" t="str">
        <f>"01-01-2024 to "&amp;TEXT(A5-2,"dd-mm-yyyy")</f>
        <v>01-01-2024 to 01-01-2024</v>
      </c>
      <c r="D91" s="60">
        <v>0</v>
      </c>
      <c r="E91" s="60">
        <v>0</v>
      </c>
      <c r="F91" s="61">
        <f>SUM(D91:E91)</f>
        <v>0</v>
      </c>
    </row>
    <row r="92" spans="1:15" s="2" customFormat="1" x14ac:dyDescent="0.2">
      <c r="A92" s="24"/>
      <c r="B92" s="1"/>
      <c r="C92" s="62" t="str">
        <f>TEXT(A5-1,"dd-mm-yyyy")</f>
        <v>02-01-2024</v>
      </c>
      <c r="D92" s="60">
        <v>5.45</v>
      </c>
      <c r="E92" s="60">
        <v>9.2200000000000006</v>
      </c>
      <c r="F92" s="61">
        <f>SUM(D92:E92)</f>
        <v>14.670000000000002</v>
      </c>
      <c r="G92" s="1"/>
      <c r="H92" s="1"/>
      <c r="I92" s="53"/>
    </row>
    <row r="93" spans="1:15" s="2" customFormat="1" ht="13.5" thickBot="1" x14ac:dyDescent="0.25">
      <c r="A93" s="24"/>
      <c r="B93" s="1"/>
      <c r="C93" s="63" t="str">
        <f>"01-01-2024 to "&amp;TEXT(A5-1,"dd-mm-yyyy")</f>
        <v>01-01-2024 to 02-01-2024</v>
      </c>
      <c r="D93" s="64">
        <f>SUM(D91:D92)</f>
        <v>5.45</v>
      </c>
      <c r="E93" s="64">
        <f>SUM(E91:E92)</f>
        <v>9.2200000000000006</v>
      </c>
      <c r="F93" s="64">
        <f>SUM(F91:F92)</f>
        <v>14.670000000000002</v>
      </c>
      <c r="G93" s="1"/>
      <c r="H93" s="1"/>
      <c r="I93" s="53"/>
    </row>
    <row r="94" spans="1:15" s="2" customFormat="1" ht="13.5" thickTop="1" x14ac:dyDescent="0.2">
      <c r="A94" s="24"/>
      <c r="B94" s="1"/>
      <c r="C94" s="62"/>
      <c r="D94" s="65"/>
      <c r="E94" s="66"/>
      <c r="F94" s="67"/>
      <c r="M94" s="1"/>
      <c r="N94" s="1"/>
    </row>
    <row r="95" spans="1:15" s="2" customFormat="1" x14ac:dyDescent="0.2">
      <c r="A95" s="24"/>
      <c r="B95" s="1"/>
      <c r="C95" s="62" t="str">
        <f>"01-04-2023 to " &amp;C92</f>
        <v>01-04-2023 to 02-01-2024</v>
      </c>
      <c r="D95" s="68">
        <f>+D93+34576.72</f>
        <v>34582.17</v>
      </c>
      <c r="E95" s="68">
        <f>+E93+3831.86</f>
        <v>3841.08</v>
      </c>
      <c r="F95" s="68">
        <f>+F93+38408.58</f>
        <v>38423.25</v>
      </c>
      <c r="G95" s="1"/>
      <c r="H95" s="1"/>
      <c r="M95" s="1"/>
      <c r="N95" s="1"/>
    </row>
    <row r="96" spans="1:15" s="2" customFormat="1" x14ac:dyDescent="0.2">
      <c r="A96" s="24"/>
      <c r="B96" s="1"/>
      <c r="C96" s="52"/>
      <c r="D96" s="85"/>
      <c r="E96" s="53"/>
      <c r="F96" s="53"/>
      <c r="G96" s="1"/>
      <c r="H96" s="1"/>
      <c r="M96" s="1"/>
      <c r="N96" s="1"/>
    </row>
    <row r="97" spans="1:14" s="2" customFormat="1" x14ac:dyDescent="0.2">
      <c r="A97" s="24"/>
      <c r="B97" s="1"/>
      <c r="C97" s="52"/>
      <c r="D97" s="85"/>
      <c r="E97" s="53"/>
      <c r="F97" s="53"/>
      <c r="G97" s="1"/>
      <c r="H97" s="1"/>
      <c r="M97" s="1"/>
      <c r="N97" s="1"/>
    </row>
    <row r="98" spans="1:14" s="2" customFormat="1" x14ac:dyDescent="0.2">
      <c r="A98" s="24"/>
      <c r="B98" s="1"/>
      <c r="C98" s="52"/>
      <c r="D98" s="85"/>
      <c r="E98" s="53"/>
      <c r="F98" s="53"/>
      <c r="G98" s="1"/>
      <c r="H98" s="1"/>
      <c r="M98" s="1"/>
      <c r="N98" s="1"/>
    </row>
    <row r="99" spans="1:14" s="2" customFormat="1" x14ac:dyDescent="0.2">
      <c r="A99" s="24"/>
      <c r="B99" s="1"/>
      <c r="C99" s="52"/>
      <c r="D99" s="85"/>
      <c r="E99" s="53"/>
      <c r="F99" s="53"/>
      <c r="G99" s="1"/>
      <c r="H99" s="1"/>
      <c r="M99" s="1"/>
      <c r="N99" s="1"/>
    </row>
    <row r="100" spans="1:14" s="2" customFormat="1" x14ac:dyDescent="0.2">
      <c r="A100" s="24"/>
      <c r="B100" s="1"/>
      <c r="C100" s="14"/>
      <c r="D100" s="25">
        <f>SUM(D97:D99)</f>
        <v>0</v>
      </c>
      <c r="E100" s="2">
        <f>SUM(E97:E99)</f>
        <v>0</v>
      </c>
      <c r="G100" s="1"/>
      <c r="H100" s="1"/>
      <c r="M100" s="1"/>
      <c r="N100" s="1"/>
    </row>
    <row r="101" spans="1:14" s="2" customFormat="1" x14ac:dyDescent="0.2">
      <c r="A101" s="24"/>
      <c r="B101" s="1"/>
      <c r="C101" s="14"/>
      <c r="D101" s="25"/>
      <c r="G101" s="1"/>
      <c r="H101" s="1"/>
      <c r="M101" s="1"/>
      <c r="N101" s="1"/>
    </row>
    <row r="102" spans="1:14" s="2" customFormat="1" x14ac:dyDescent="0.2">
      <c r="A102" s="24"/>
      <c r="B102" s="1"/>
      <c r="C102" s="14"/>
      <c r="D102" s="25"/>
      <c r="G102" s="1"/>
      <c r="H102" s="1"/>
      <c r="M102" s="1"/>
      <c r="N102" s="1"/>
    </row>
    <row r="103" spans="1:14" s="2" customFormat="1" x14ac:dyDescent="0.2">
      <c r="A103" s="24"/>
      <c r="B103" s="1"/>
      <c r="C103" s="14"/>
      <c r="D103" s="25"/>
      <c r="G103" s="1"/>
      <c r="H103" s="1"/>
      <c r="M103" s="1"/>
      <c r="N103" s="1"/>
    </row>
    <row r="104" spans="1:14" s="2" customFormat="1" x14ac:dyDescent="0.2">
      <c r="A104" s="24"/>
      <c r="B104" s="1"/>
      <c r="C104" s="14"/>
      <c r="D104" s="25"/>
      <c r="G104" s="1"/>
      <c r="H104" s="1"/>
      <c r="M104" s="1"/>
      <c r="N104" s="1"/>
    </row>
    <row r="105" spans="1:14" s="2" customFormat="1" x14ac:dyDescent="0.2">
      <c r="A105" s="24"/>
      <c r="B105" s="1"/>
      <c r="C105" s="14"/>
      <c r="D105" s="25"/>
      <c r="G105" s="1"/>
      <c r="H105" s="1"/>
      <c r="M105" s="1"/>
      <c r="N105" s="1"/>
    </row>
    <row r="106" spans="1:14" s="2" customFormat="1" x14ac:dyDescent="0.2">
      <c r="A106" s="24"/>
      <c r="B106" s="1"/>
      <c r="C106" s="14"/>
      <c r="D106" s="25"/>
      <c r="G106" s="1"/>
      <c r="H106" s="1"/>
      <c r="M106" s="1"/>
      <c r="N106" s="1"/>
    </row>
    <row r="107" spans="1:14" s="2" customFormat="1" x14ac:dyDescent="0.2">
      <c r="A107" s="24"/>
      <c r="B107" s="1"/>
      <c r="C107" s="14"/>
      <c r="D107" s="25"/>
      <c r="G107" s="1"/>
      <c r="H107" s="1"/>
      <c r="M107" s="1"/>
      <c r="N107" s="1"/>
    </row>
    <row r="108" spans="1:14" s="2" customFormat="1" x14ac:dyDescent="0.2">
      <c r="A108" s="24"/>
      <c r="B108" s="1"/>
      <c r="C108" s="14"/>
      <c r="D108" s="25"/>
      <c r="G108" s="1"/>
      <c r="H108" s="1"/>
      <c r="M108" s="1"/>
      <c r="N108" s="1"/>
    </row>
    <row r="109" spans="1:14" s="2" customFormat="1" x14ac:dyDescent="0.2">
      <c r="A109" s="24"/>
      <c r="B109" s="1"/>
      <c r="C109" s="14"/>
      <c r="D109" s="25"/>
      <c r="G109" s="1"/>
      <c r="H109" s="1"/>
      <c r="M109" s="1"/>
      <c r="N109" s="1"/>
    </row>
    <row r="110" spans="1:14" s="2" customFormat="1" x14ac:dyDescent="0.2">
      <c r="A110" s="24"/>
      <c r="B110" s="1"/>
      <c r="C110" s="14"/>
      <c r="D110" s="25"/>
      <c r="G110" s="1"/>
      <c r="H110" s="1"/>
      <c r="M110" s="1"/>
      <c r="N110" s="1"/>
    </row>
    <row r="111" spans="1:14" s="2" customFormat="1" x14ac:dyDescent="0.2">
      <c r="A111" s="24"/>
      <c r="B111" s="1"/>
      <c r="C111" s="14"/>
      <c r="D111" s="25"/>
      <c r="G111" s="1"/>
      <c r="H111" s="1"/>
      <c r="M111" s="1"/>
      <c r="N111" s="1"/>
    </row>
    <row r="112" spans="1:14" s="2" customFormat="1" x14ac:dyDescent="0.2">
      <c r="A112" s="24"/>
      <c r="B112" s="1"/>
      <c r="C112" s="14"/>
      <c r="D112" s="25"/>
      <c r="G112" s="1"/>
      <c r="H112" s="1"/>
      <c r="M112" s="1"/>
      <c r="N112" s="1"/>
    </row>
    <row r="113" spans="1:15" s="2" customFormat="1" x14ac:dyDescent="0.2">
      <c r="A113" s="24"/>
      <c r="B113" s="1"/>
      <c r="C113" s="14"/>
      <c r="D113" s="25"/>
      <c r="G113" s="1"/>
      <c r="H113" s="1"/>
      <c r="M113" s="1"/>
      <c r="N113" s="1"/>
    </row>
    <row r="114" spans="1:15" s="2" customFormat="1" x14ac:dyDescent="0.2">
      <c r="A114" s="24"/>
      <c r="B114" s="1"/>
      <c r="C114" s="14"/>
      <c r="D114" s="25"/>
      <c r="G114" s="1"/>
      <c r="H114" s="1"/>
      <c r="J114" s="1"/>
      <c r="K114" s="1"/>
      <c r="L114" s="1"/>
      <c r="M114" s="1"/>
      <c r="N114" s="1"/>
    </row>
    <row r="115" spans="1:15" s="2" customFormat="1" x14ac:dyDescent="0.2">
      <c r="A115" s="24"/>
      <c r="B115" s="1"/>
      <c r="C115" s="14"/>
      <c r="D115" s="25"/>
      <c r="G115" s="1"/>
      <c r="H115" s="1"/>
    </row>
    <row r="116" spans="1:15" s="2" customFormat="1" x14ac:dyDescent="0.2">
      <c r="A116" s="24"/>
      <c r="B116" s="1"/>
      <c r="C116" s="14"/>
      <c r="D116" s="25"/>
      <c r="G116" s="1"/>
      <c r="H116" s="1"/>
      <c r="J116" s="1"/>
      <c r="K116" s="1"/>
      <c r="L116" s="1"/>
      <c r="M116" s="1"/>
      <c r="N116" s="1"/>
    </row>
    <row r="117" spans="1:15" s="2" customFormat="1" x14ac:dyDescent="0.2">
      <c r="A117" s="24"/>
      <c r="B117" s="1"/>
      <c r="C117" s="14"/>
      <c r="D117" s="25"/>
      <c r="G117" s="54"/>
      <c r="H117" s="54"/>
      <c r="J117" s="1"/>
      <c r="K117" s="1"/>
      <c r="L117" s="1"/>
      <c r="M117" s="1"/>
      <c r="N117" s="1"/>
    </row>
    <row r="118" spans="1:15" s="2" customFormat="1" x14ac:dyDescent="0.2">
      <c r="A118" s="24"/>
      <c r="B118" s="1"/>
      <c r="C118" s="14"/>
      <c r="D118" s="25"/>
      <c r="G118" s="54"/>
      <c r="H118" s="54"/>
      <c r="J118" s="1"/>
      <c r="K118" s="1"/>
      <c r="L118" s="1"/>
      <c r="M118" s="1"/>
      <c r="N118" s="1"/>
    </row>
    <row r="119" spans="1:15" s="2" customFormat="1" x14ac:dyDescent="0.2">
      <c r="A119" s="24"/>
      <c r="B119" s="1"/>
      <c r="C119" s="14"/>
      <c r="D119" s="25"/>
      <c r="G119" s="54"/>
      <c r="H119" s="54"/>
      <c r="J119" s="1"/>
      <c r="K119" s="1"/>
      <c r="L119" s="1"/>
      <c r="M119" s="1"/>
      <c r="N119" s="1"/>
    </row>
    <row r="120" spans="1:15" s="2" customFormat="1" x14ac:dyDescent="0.2">
      <c r="A120" s="24"/>
      <c r="B120" s="1"/>
      <c r="C120" s="14"/>
      <c r="D120" s="25"/>
      <c r="G120" s="54"/>
      <c r="H120" s="54"/>
      <c r="I120" s="2" t="s">
        <v>396</v>
      </c>
      <c r="J120" s="1"/>
      <c r="K120" s="1"/>
      <c r="L120" s="1"/>
      <c r="M120" s="1"/>
      <c r="N120" s="1"/>
      <c r="O120" s="1"/>
    </row>
    <row r="121" spans="1:15" s="2" customFormat="1" x14ac:dyDescent="0.2">
      <c r="A121" s="24"/>
      <c r="B121" s="1"/>
      <c r="C121" s="14"/>
      <c r="D121" s="25"/>
      <c r="G121" s="54"/>
      <c r="H121" s="54"/>
      <c r="I121" s="53"/>
    </row>
    <row r="122" spans="1:15" s="2" customFormat="1" x14ac:dyDescent="0.2">
      <c r="A122" s="24"/>
      <c r="B122" s="1"/>
      <c r="C122" s="14"/>
      <c r="D122" s="25"/>
      <c r="G122" s="54"/>
      <c r="H122" s="54"/>
      <c r="I122" s="53" t="s">
        <v>396</v>
      </c>
      <c r="J122" s="1"/>
      <c r="K122" s="1"/>
      <c r="L122" s="1"/>
      <c r="M122" s="1"/>
      <c r="N122" s="1"/>
      <c r="O122" s="1"/>
    </row>
    <row r="123" spans="1:15" x14ac:dyDescent="0.2">
      <c r="G123" s="54"/>
      <c r="H123" s="54"/>
      <c r="I123" s="53" t="s">
        <v>396</v>
      </c>
      <c r="K123" s="42"/>
    </row>
    <row r="124" spans="1:15" s="2" customFormat="1" x14ac:dyDescent="0.2">
      <c r="A124" s="24"/>
      <c r="B124" s="1"/>
      <c r="C124" s="14"/>
      <c r="D124" s="25"/>
      <c r="G124" s="54"/>
      <c r="H124" s="54"/>
      <c r="I124" s="53"/>
      <c r="J124" s="101"/>
      <c r="K124" s="1"/>
      <c r="L124" s="1"/>
      <c r="M124" s="1"/>
      <c r="N124" s="1"/>
      <c r="O124" s="1"/>
    </row>
    <row r="125" spans="1:15" x14ac:dyDescent="0.2">
      <c r="G125" s="54"/>
      <c r="H125" s="54"/>
      <c r="I125" s="53"/>
    </row>
    <row r="126" spans="1:15" x14ac:dyDescent="0.2">
      <c r="G126" s="54"/>
      <c r="H126" s="54"/>
      <c r="I126" s="53"/>
    </row>
    <row r="127" spans="1:15" x14ac:dyDescent="0.2">
      <c r="G127" s="54"/>
      <c r="H127" s="54"/>
      <c r="I127" s="53"/>
    </row>
  </sheetData>
  <sheetProtection insertRows="0"/>
  <mergeCells count="7">
    <mergeCell ref="K74:L74"/>
    <mergeCell ref="A81:D81"/>
    <mergeCell ref="C89:F89"/>
    <mergeCell ref="A1:H1"/>
    <mergeCell ref="A3:F3"/>
    <mergeCell ref="A9:F9"/>
    <mergeCell ref="A19:F19"/>
  </mergeCells>
  <conditionalFormatting sqref="H78:H79">
    <cfRule type="cellIs" dxfId="145" priority="1" operator="lessThan">
      <formula>0</formula>
    </cfRule>
  </conditionalFormatting>
  <conditionalFormatting sqref="C21">
    <cfRule type="duplicateValues" dxfId="144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A00-000000000000}">
  <sheetPr codeName="Sheet514">
    <pageSetUpPr fitToPage="1"/>
  </sheetPr>
  <dimension ref="A1:O137"/>
  <sheetViews>
    <sheetView topLeftCell="B32" zoomScaleNormal="100" workbookViewId="0">
      <selection activeCell="E40" sqref="E40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12.85546875" style="1" customWidth="1"/>
    <col min="9" max="9" width="24.85546875" style="2" bestFit="1" customWidth="1"/>
    <col min="10" max="10" width="21.5703125" style="1" bestFit="1" customWidth="1"/>
    <col min="11" max="11" width="16.85546875" style="1" bestFit="1" customWidth="1"/>
    <col min="12" max="12" width="17.28515625" style="1" bestFit="1" customWidth="1"/>
    <col min="13" max="13" width="13.5703125" style="1" bestFit="1" customWidth="1"/>
    <col min="14" max="14" width="17.42578125" style="1" bestFit="1" customWidth="1"/>
    <col min="15" max="15" width="12.85546875" style="1" bestFit="1" customWidth="1"/>
    <col min="16" max="17" width="9.140625" style="1"/>
    <col min="18" max="18" width="15.5703125" style="1" bestFit="1" customWidth="1"/>
    <col min="19" max="16384" width="9.140625" style="1"/>
  </cols>
  <sheetData>
    <row r="1" spans="1:14" ht="20.25" customHeight="1" x14ac:dyDescent="0.4">
      <c r="A1" s="212" t="s">
        <v>1941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4" ht="12.75" customHeight="1" x14ac:dyDescent="0.4">
      <c r="I2" s="112"/>
      <c r="J2" s="112"/>
    </row>
    <row r="3" spans="1:14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4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4" s="2" customFormat="1" ht="14.25" customHeight="1" x14ac:dyDescent="0.4">
      <c r="A5" s="89">
        <v>45295</v>
      </c>
      <c r="B5" s="9" t="s">
        <v>6</v>
      </c>
      <c r="C5" s="10" t="s">
        <v>7</v>
      </c>
      <c r="D5" s="11"/>
      <c r="E5" s="12">
        <v>670047.23000000045</v>
      </c>
      <c r="F5" s="12"/>
      <c r="G5" s="1"/>
      <c r="H5" s="1"/>
      <c r="I5" s="112"/>
      <c r="J5" s="112"/>
    </row>
    <row r="6" spans="1:14" s="2" customFormat="1" ht="12.75" customHeight="1" x14ac:dyDescent="0.2">
      <c r="D6" s="15" t="s">
        <v>8</v>
      </c>
      <c r="E6" s="16">
        <f>SUM(E5:E5)</f>
        <v>670047.23000000045</v>
      </c>
      <c r="F6" s="16">
        <f>F5</f>
        <v>0</v>
      </c>
      <c r="G6" s="1"/>
      <c r="H6" s="1"/>
      <c r="I6" s="13" t="s">
        <v>1582</v>
      </c>
      <c r="J6" s="13" t="s">
        <v>1583</v>
      </c>
    </row>
    <row r="7" spans="1:14" s="2" customFormat="1" ht="12.75" customHeight="1" x14ac:dyDescent="0.2">
      <c r="A7" s="17"/>
      <c r="B7" s="18"/>
      <c r="C7" s="19" t="s">
        <v>9</v>
      </c>
      <c r="D7" s="20"/>
      <c r="E7" s="21">
        <f>+E6-F6</f>
        <v>670047.23000000045</v>
      </c>
      <c r="F7" s="22"/>
      <c r="G7" s="23"/>
      <c r="H7" s="23"/>
      <c r="I7" s="2">
        <v>0</v>
      </c>
      <c r="K7" s="176">
        <f>I7-J7</f>
        <v>0</v>
      </c>
    </row>
    <row r="8" spans="1:14" ht="12.75" customHeight="1" x14ac:dyDescent="0.4">
      <c r="I8" s="112"/>
      <c r="J8" s="112"/>
    </row>
    <row r="9" spans="1:14" ht="18" customHeight="1" x14ac:dyDescent="0.4">
      <c r="A9" s="213" t="s">
        <v>1037</v>
      </c>
      <c r="B9" s="213"/>
      <c r="C9" s="213"/>
      <c r="D9" s="213"/>
      <c r="E9" s="213"/>
      <c r="F9" s="213"/>
      <c r="I9" s="112"/>
      <c r="J9" s="169">
        <f>90000000-60000000</f>
        <v>30000000</v>
      </c>
      <c r="K9" s="169" t="s">
        <v>1508</v>
      </c>
    </row>
    <row r="10" spans="1:14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I10" s="112"/>
      <c r="J10" s="169">
        <v>29246448.219999999</v>
      </c>
      <c r="K10" s="169" t="s">
        <v>1509</v>
      </c>
      <c r="L10" s="124"/>
    </row>
    <row r="11" spans="1:14" s="2" customFormat="1" ht="14.25" customHeight="1" x14ac:dyDescent="0.2">
      <c r="A11" s="89">
        <v>45295</v>
      </c>
      <c r="B11" s="9" t="s">
        <v>6</v>
      </c>
      <c r="C11" s="10" t="s">
        <v>7</v>
      </c>
      <c r="D11" s="11"/>
      <c r="F11" s="12">
        <v>29718188.220000003</v>
      </c>
      <c r="G11" s="1"/>
      <c r="H11" s="1"/>
      <c r="I11" s="130" t="s">
        <v>396</v>
      </c>
      <c r="J11" s="169">
        <f>+J9-J10</f>
        <v>753551.78000000119</v>
      </c>
      <c r="K11" s="169" t="s">
        <v>712</v>
      </c>
      <c r="L11" s="165" t="s">
        <v>1512</v>
      </c>
    </row>
    <row r="12" spans="1:14" s="2" customFormat="1" ht="14.25" customHeight="1" x14ac:dyDescent="0.2">
      <c r="A12" s="89">
        <v>45295</v>
      </c>
      <c r="B12" s="9" t="s">
        <v>6</v>
      </c>
      <c r="C12" s="10" t="s">
        <v>158</v>
      </c>
      <c r="D12" s="11" t="s">
        <v>13</v>
      </c>
      <c r="E12" s="2">
        <v>71740</v>
      </c>
      <c r="F12" s="12"/>
      <c r="G12" s="1"/>
      <c r="H12" s="1"/>
      <c r="I12" s="130"/>
      <c r="J12" s="169"/>
      <c r="K12" s="169"/>
      <c r="L12" s="165"/>
    </row>
    <row r="13" spans="1:14" s="2" customFormat="1" ht="14.25" customHeight="1" x14ac:dyDescent="0.2">
      <c r="A13" s="89">
        <v>45295</v>
      </c>
      <c r="B13" s="128" t="s">
        <v>6</v>
      </c>
      <c r="C13" s="76" t="s">
        <v>21</v>
      </c>
      <c r="D13" s="11" t="s">
        <v>13</v>
      </c>
      <c r="E13" s="31">
        <v>400000</v>
      </c>
      <c r="F13" s="31"/>
      <c r="G13" s="1"/>
      <c r="H13" s="1"/>
      <c r="I13" s="130"/>
      <c r="J13" s="169"/>
      <c r="K13" s="169"/>
      <c r="L13" s="165"/>
    </row>
    <row r="14" spans="1:14" s="2" customFormat="1" ht="14.25" customHeight="1" x14ac:dyDescent="0.2">
      <c r="D14" s="11" t="s">
        <v>8</v>
      </c>
      <c r="E14" s="16">
        <f>SUM(E12:E13)</f>
        <v>471740</v>
      </c>
      <c r="F14" s="16">
        <f>SUM(F11:F13)</f>
        <v>29718188.220000003</v>
      </c>
      <c r="G14" s="1"/>
      <c r="H14" s="1"/>
      <c r="I14" s="143"/>
      <c r="J14" s="130"/>
      <c r="K14" s="143"/>
      <c r="L14" s="143"/>
      <c r="M14" s="143"/>
      <c r="N14" s="143"/>
    </row>
    <row r="15" spans="1:14" s="2" customFormat="1" ht="14.25" customHeight="1" x14ac:dyDescent="0.4">
      <c r="A15" s="17"/>
      <c r="B15" s="18"/>
      <c r="C15" s="96" t="s">
        <v>9</v>
      </c>
      <c r="D15" s="20"/>
      <c r="E15" s="21">
        <f>+F14-E14</f>
        <v>29246448.220000003</v>
      </c>
      <c r="G15" s="1"/>
      <c r="H15" s="1"/>
      <c r="J15" s="112"/>
      <c r="K15" s="153" t="s">
        <v>779</v>
      </c>
    </row>
    <row r="16" spans="1:14" s="2" customFormat="1" ht="14.25" customHeight="1" x14ac:dyDescent="0.2">
      <c r="A16" s="36"/>
      <c r="B16" s="28" t="s">
        <v>66</v>
      </c>
      <c r="C16" s="43" t="s">
        <v>1458</v>
      </c>
      <c r="D16" s="43"/>
      <c r="E16" s="12">
        <f>30000000+60000000</f>
        <v>90000000</v>
      </c>
      <c r="F16" s="22"/>
      <c r="G16" s="1"/>
      <c r="H16" s="1"/>
      <c r="J16" s="40">
        <v>29246448.219999999</v>
      </c>
      <c r="K16" s="154">
        <f>J16-E15</f>
        <v>0</v>
      </c>
    </row>
    <row r="17" spans="1:15" s="2" customFormat="1" ht="14.25" customHeight="1" x14ac:dyDescent="0.25">
      <c r="A17" s="36"/>
      <c r="B17" s="28"/>
      <c r="C17" s="44" t="s">
        <v>1541</v>
      </c>
      <c r="D17" s="43"/>
      <c r="E17" s="7">
        <f>+E15+E16</f>
        <v>119246448.22</v>
      </c>
      <c r="F17" s="22"/>
      <c r="G17" s="1"/>
      <c r="H17" s="1"/>
      <c r="I17" s="13" t="s">
        <v>1582</v>
      </c>
      <c r="J17" s="13" t="s">
        <v>1583</v>
      </c>
    </row>
    <row r="18" spans="1:15" s="2" customFormat="1" ht="14.25" customHeight="1" x14ac:dyDescent="0.25">
      <c r="A18" s="36"/>
      <c r="B18" s="28"/>
      <c r="C18" s="44" t="s">
        <v>1511</v>
      </c>
      <c r="D18" s="43"/>
      <c r="E18" s="38">
        <f>+J11+I7-J7</f>
        <v>753551.78000000119</v>
      </c>
      <c r="F18" s="22"/>
      <c r="G18" s="1"/>
      <c r="H18" s="1"/>
      <c r="I18" s="2">
        <v>1991119</v>
      </c>
      <c r="J18" s="2">
        <v>1364129</v>
      </c>
      <c r="K18" s="176">
        <f>I18-J18</f>
        <v>626990</v>
      </c>
    </row>
    <row r="19" spans="1:15" s="2" customFormat="1" ht="14.25" customHeight="1" x14ac:dyDescent="0.2">
      <c r="A19" s="24"/>
      <c r="B19" s="1"/>
      <c r="C19" s="14"/>
      <c r="D19" s="25"/>
      <c r="G19" s="1"/>
      <c r="H19" s="1"/>
      <c r="J19" s="130"/>
      <c r="K19" s="130"/>
    </row>
    <row r="20" spans="1:15" s="2" customFormat="1" x14ac:dyDescent="0.2">
      <c r="A20" s="214" t="s">
        <v>10</v>
      </c>
      <c r="B20" s="214"/>
      <c r="C20" s="214"/>
      <c r="D20" s="214"/>
      <c r="E20" s="214"/>
      <c r="F20" s="214"/>
      <c r="G20" s="1"/>
      <c r="H20" s="1"/>
      <c r="I20" s="159"/>
      <c r="J20" s="160">
        <v>150000000</v>
      </c>
      <c r="K20" s="160" t="s">
        <v>1506</v>
      </c>
      <c r="L20" s="70"/>
    </row>
    <row r="21" spans="1:15" s="2" customFormat="1" x14ac:dyDescent="0.2">
      <c r="A21" s="26" t="s">
        <v>1</v>
      </c>
      <c r="B21" s="27" t="s">
        <v>2</v>
      </c>
      <c r="C21" s="5"/>
      <c r="D21" s="6" t="s">
        <v>3</v>
      </c>
      <c r="E21" s="7" t="s">
        <v>4</v>
      </c>
      <c r="F21" s="7" t="s">
        <v>5</v>
      </c>
      <c r="G21" s="1"/>
      <c r="H21" s="1"/>
      <c r="I21" s="159"/>
      <c r="J21" s="160">
        <v>134561757.41</v>
      </c>
      <c r="K21" s="160" t="s">
        <v>1507</v>
      </c>
      <c r="L21" s="70" t="s">
        <v>1512</v>
      </c>
    </row>
    <row r="22" spans="1:15" s="2" customFormat="1" x14ac:dyDescent="0.2">
      <c r="A22" s="89">
        <v>45295</v>
      </c>
      <c r="B22" s="128" t="s">
        <v>11</v>
      </c>
      <c r="C22" s="29" t="s">
        <v>7</v>
      </c>
      <c r="D22" s="25"/>
      <c r="E22" s="31"/>
      <c r="F22" s="2">
        <v>156730331.48999998</v>
      </c>
      <c r="G22" s="23"/>
      <c r="H22" s="23"/>
      <c r="I22" s="159" t="s">
        <v>1505</v>
      </c>
      <c r="J22" s="160">
        <f>+J20-J21</f>
        <v>15438242.590000004</v>
      </c>
      <c r="K22" s="160"/>
      <c r="L22" s="70"/>
    </row>
    <row r="23" spans="1:15" s="2" customFormat="1" x14ac:dyDescent="0.2">
      <c r="A23" s="89">
        <v>45295</v>
      </c>
      <c r="B23" s="128" t="s">
        <v>6</v>
      </c>
      <c r="C23" s="76" t="s">
        <v>120</v>
      </c>
      <c r="D23" s="11" t="s">
        <v>13</v>
      </c>
      <c r="E23" s="31">
        <v>925771.5</v>
      </c>
      <c r="F23" s="70"/>
      <c r="G23" s="1"/>
      <c r="H23" s="1"/>
      <c r="O23" s="1"/>
    </row>
    <row r="24" spans="1:15" s="2" customFormat="1" x14ac:dyDescent="0.2">
      <c r="A24" s="89">
        <v>45295</v>
      </c>
      <c r="B24" s="128" t="s">
        <v>6</v>
      </c>
      <c r="C24" s="76" t="s">
        <v>311</v>
      </c>
      <c r="D24" s="11" t="s">
        <v>13</v>
      </c>
      <c r="E24" s="31">
        <v>28350</v>
      </c>
      <c r="F24" s="70"/>
      <c r="G24" s="1"/>
      <c r="H24" s="1"/>
      <c r="O24" s="1"/>
    </row>
    <row r="25" spans="1:15" s="2" customFormat="1" x14ac:dyDescent="0.2">
      <c r="A25" s="89">
        <v>45295</v>
      </c>
      <c r="B25" s="128" t="s">
        <v>6</v>
      </c>
      <c r="C25" s="76" t="s">
        <v>17</v>
      </c>
      <c r="D25" s="11" t="s">
        <v>13</v>
      </c>
      <c r="E25" s="31">
        <v>2937</v>
      </c>
      <c r="F25" s="70"/>
      <c r="G25" s="1"/>
      <c r="H25" s="1"/>
      <c r="O25" s="1"/>
    </row>
    <row r="26" spans="1:15" s="2" customFormat="1" x14ac:dyDescent="0.2">
      <c r="A26" s="89">
        <v>45295</v>
      </c>
      <c r="B26" s="128" t="s">
        <v>6</v>
      </c>
      <c r="C26" s="76" t="s">
        <v>1021</v>
      </c>
      <c r="D26" s="11" t="s">
        <v>13</v>
      </c>
      <c r="E26" s="31">
        <v>75600</v>
      </c>
      <c r="F26" s="70"/>
      <c r="G26" s="1"/>
      <c r="H26" s="1"/>
      <c r="O26" s="1"/>
    </row>
    <row r="27" spans="1:15" s="2" customFormat="1" x14ac:dyDescent="0.2">
      <c r="A27" s="89">
        <v>45295</v>
      </c>
      <c r="B27" s="128" t="s">
        <v>6</v>
      </c>
      <c r="C27" s="76" t="s">
        <v>24</v>
      </c>
      <c r="D27" s="11" t="s">
        <v>13</v>
      </c>
      <c r="E27" s="31">
        <v>1744605</v>
      </c>
      <c r="F27" s="70"/>
      <c r="G27" s="1"/>
      <c r="H27" s="1"/>
      <c r="O27" s="1"/>
    </row>
    <row r="28" spans="1:15" s="2" customFormat="1" x14ac:dyDescent="0.2">
      <c r="A28" s="89">
        <v>45295</v>
      </c>
      <c r="B28" s="128" t="s">
        <v>6</v>
      </c>
      <c r="C28" s="76" t="s">
        <v>19</v>
      </c>
      <c r="D28" s="11" t="s">
        <v>13</v>
      </c>
      <c r="E28" s="31">
        <v>4720</v>
      </c>
      <c r="F28" s="70"/>
      <c r="G28" s="1"/>
      <c r="H28" s="1"/>
      <c r="O28" s="1"/>
    </row>
    <row r="29" spans="1:15" s="2" customFormat="1" x14ac:dyDescent="0.2">
      <c r="A29" s="89">
        <v>45295</v>
      </c>
      <c r="B29" s="128" t="s">
        <v>6</v>
      </c>
      <c r="C29" s="76" t="s">
        <v>15</v>
      </c>
      <c r="D29" s="11" t="s">
        <v>13</v>
      </c>
      <c r="E29" s="31">
        <v>223196.86000000002</v>
      </c>
      <c r="F29" s="70"/>
      <c r="G29" s="1"/>
      <c r="H29" s="1"/>
      <c r="O29" s="1"/>
    </row>
    <row r="30" spans="1:15" s="2" customFormat="1" x14ac:dyDescent="0.2">
      <c r="A30" s="89">
        <v>45295</v>
      </c>
      <c r="B30" s="128" t="s">
        <v>6</v>
      </c>
      <c r="C30" s="76" t="s">
        <v>332</v>
      </c>
      <c r="D30" s="11" t="s">
        <v>13</v>
      </c>
      <c r="E30" s="31">
        <v>58219</v>
      </c>
      <c r="F30" s="70"/>
      <c r="G30" s="1"/>
      <c r="H30" s="1"/>
      <c r="O30" s="1"/>
    </row>
    <row r="31" spans="1:15" s="2" customFormat="1" x14ac:dyDescent="0.2">
      <c r="A31" s="89">
        <v>45295</v>
      </c>
      <c r="B31" s="128" t="s">
        <v>6</v>
      </c>
      <c r="C31" s="76" t="s">
        <v>93</v>
      </c>
      <c r="D31" s="11" t="s">
        <v>13</v>
      </c>
      <c r="E31" s="31">
        <v>1991119</v>
      </c>
      <c r="F31" s="70"/>
      <c r="G31" s="1"/>
      <c r="H31" s="1"/>
      <c r="O31" s="1"/>
    </row>
    <row r="32" spans="1:15" s="2" customFormat="1" x14ac:dyDescent="0.2">
      <c r="A32" s="89">
        <v>45295</v>
      </c>
      <c r="B32" s="128" t="s">
        <v>6</v>
      </c>
      <c r="C32" s="76" t="s">
        <v>749</v>
      </c>
      <c r="D32" s="11" t="s">
        <v>13</v>
      </c>
      <c r="E32" s="31">
        <v>211354.1</v>
      </c>
      <c r="F32" s="70"/>
      <c r="G32" s="1"/>
      <c r="H32" s="1"/>
      <c r="O32" s="1"/>
    </row>
    <row r="33" spans="1:15" s="2" customFormat="1" x14ac:dyDescent="0.2">
      <c r="A33" s="89">
        <v>45295</v>
      </c>
      <c r="B33" s="128" t="s">
        <v>6</v>
      </c>
      <c r="C33" s="76" t="s">
        <v>765</v>
      </c>
      <c r="D33" s="11" t="s">
        <v>13</v>
      </c>
      <c r="E33" s="31">
        <v>2065457</v>
      </c>
      <c r="F33" s="70"/>
      <c r="G33" s="1"/>
      <c r="H33" s="1"/>
      <c r="O33" s="1"/>
    </row>
    <row r="34" spans="1:15" s="2" customFormat="1" x14ac:dyDescent="0.2">
      <c r="A34" s="89">
        <v>45295</v>
      </c>
      <c r="B34" s="128" t="s">
        <v>6</v>
      </c>
      <c r="C34" s="76" t="s">
        <v>755</v>
      </c>
      <c r="D34" s="11" t="s">
        <v>13</v>
      </c>
      <c r="E34" s="31">
        <v>124988</v>
      </c>
      <c r="F34" s="70"/>
      <c r="G34" s="1"/>
      <c r="H34" s="1"/>
      <c r="O34" s="1"/>
    </row>
    <row r="35" spans="1:15" s="2" customFormat="1" x14ac:dyDescent="0.2">
      <c r="A35" s="89">
        <v>45295</v>
      </c>
      <c r="B35" s="128" t="s">
        <v>6</v>
      </c>
      <c r="C35" s="76" t="s">
        <v>1928</v>
      </c>
      <c r="D35" s="11" t="s">
        <v>13</v>
      </c>
      <c r="E35" s="31">
        <v>4935</v>
      </c>
      <c r="F35" s="70"/>
      <c r="G35" s="1"/>
      <c r="H35" s="1"/>
      <c r="O35" s="1"/>
    </row>
    <row r="36" spans="1:15" s="2" customFormat="1" x14ac:dyDescent="0.2">
      <c r="A36" s="89">
        <v>45295</v>
      </c>
      <c r="B36" s="128" t="s">
        <v>6</v>
      </c>
      <c r="C36" s="76" t="s">
        <v>149</v>
      </c>
      <c r="D36" s="11" t="s">
        <v>13</v>
      </c>
      <c r="E36" s="31">
        <v>410</v>
      </c>
      <c r="F36" s="70"/>
      <c r="G36" s="1"/>
      <c r="H36" s="1"/>
      <c r="O36" s="1"/>
    </row>
    <row r="37" spans="1:15" s="2" customFormat="1" x14ac:dyDescent="0.2">
      <c r="A37" s="89">
        <v>45295</v>
      </c>
      <c r="B37" s="128" t="s">
        <v>6</v>
      </c>
      <c r="C37" s="76" t="s">
        <v>1338</v>
      </c>
      <c r="D37" s="11" t="s">
        <v>13</v>
      </c>
      <c r="E37" s="31">
        <v>59172</v>
      </c>
      <c r="F37" s="70"/>
      <c r="G37" s="1"/>
      <c r="H37" s="1"/>
      <c r="O37" s="1"/>
    </row>
    <row r="38" spans="1:15" s="2" customFormat="1" x14ac:dyDescent="0.2">
      <c r="A38" s="89">
        <v>45295</v>
      </c>
      <c r="B38" s="128" t="s">
        <v>6</v>
      </c>
      <c r="C38" s="76" t="s">
        <v>1942</v>
      </c>
      <c r="D38" s="11" t="s">
        <v>13</v>
      </c>
      <c r="E38" s="31">
        <v>11025</v>
      </c>
      <c r="F38" s="70"/>
      <c r="G38" s="1"/>
      <c r="H38" s="1"/>
      <c r="O38" s="1"/>
    </row>
    <row r="39" spans="1:15" s="2" customFormat="1" x14ac:dyDescent="0.2">
      <c r="A39" s="89">
        <v>45295</v>
      </c>
      <c r="B39" s="128" t="s">
        <v>6</v>
      </c>
      <c r="C39" s="76" t="s">
        <v>240</v>
      </c>
      <c r="D39" s="11" t="s">
        <v>13</v>
      </c>
      <c r="E39" s="31">
        <v>4467</v>
      </c>
      <c r="F39" s="70"/>
      <c r="G39" s="1"/>
      <c r="H39" s="1"/>
      <c r="O39" s="1"/>
    </row>
    <row r="40" spans="1:15" s="2" customFormat="1" x14ac:dyDescent="0.2">
      <c r="A40" s="89">
        <v>45295</v>
      </c>
      <c r="B40" s="128" t="s">
        <v>6</v>
      </c>
      <c r="C40" s="76" t="s">
        <v>1155</v>
      </c>
      <c r="D40" s="11" t="s">
        <v>13</v>
      </c>
      <c r="E40" s="31">
        <v>75000000</v>
      </c>
      <c r="F40" s="70"/>
      <c r="G40" s="1"/>
      <c r="H40" s="1"/>
      <c r="O40" s="1"/>
    </row>
    <row r="41" spans="1:15" s="2" customFormat="1" x14ac:dyDescent="0.2">
      <c r="A41" s="89">
        <v>45295</v>
      </c>
      <c r="B41" s="128" t="s">
        <v>6</v>
      </c>
      <c r="C41" s="76" t="s">
        <v>1396</v>
      </c>
      <c r="D41" s="11" t="s">
        <v>13</v>
      </c>
      <c r="E41" s="31">
        <v>917923</v>
      </c>
      <c r="F41" s="70"/>
      <c r="G41" s="1"/>
      <c r="H41" s="1"/>
      <c r="O41" s="1"/>
    </row>
    <row r="42" spans="1:15" s="2" customFormat="1" x14ac:dyDescent="0.2">
      <c r="A42" s="89">
        <v>45295</v>
      </c>
      <c r="B42" s="128" t="s">
        <v>11</v>
      </c>
      <c r="C42" s="76" t="s">
        <v>64</v>
      </c>
      <c r="D42" s="11" t="s">
        <v>29</v>
      </c>
      <c r="E42" s="31"/>
      <c r="F42" s="70">
        <v>20.060000000000002</v>
      </c>
      <c r="G42" s="1"/>
      <c r="H42" s="1"/>
      <c r="O42" s="1"/>
    </row>
    <row r="43" spans="1:15" s="2" customFormat="1" x14ac:dyDescent="0.2">
      <c r="A43" s="89">
        <v>45295</v>
      </c>
      <c r="B43" s="128" t="s">
        <v>11</v>
      </c>
      <c r="C43" s="76" t="s">
        <v>1155</v>
      </c>
      <c r="D43" s="11" t="s">
        <v>29</v>
      </c>
      <c r="E43" s="31"/>
      <c r="F43" s="70">
        <v>50036680.32</v>
      </c>
      <c r="G43" s="1"/>
      <c r="H43" s="1"/>
      <c r="O43" s="1"/>
    </row>
    <row r="44" spans="1:15" s="2" customFormat="1" x14ac:dyDescent="0.2">
      <c r="A44" s="89">
        <v>45295</v>
      </c>
      <c r="B44" s="128" t="s">
        <v>11</v>
      </c>
      <c r="C44" s="76" t="s">
        <v>184</v>
      </c>
      <c r="D44" s="11" t="s">
        <v>29</v>
      </c>
      <c r="E44" s="31"/>
      <c r="F44" s="70">
        <v>53856</v>
      </c>
      <c r="G44" s="1"/>
      <c r="H44" s="1"/>
      <c r="O44" s="1"/>
    </row>
    <row r="45" spans="1:15" s="2" customFormat="1" x14ac:dyDescent="0.2">
      <c r="A45" s="89">
        <v>45295</v>
      </c>
      <c r="B45" s="128" t="s">
        <v>11</v>
      </c>
      <c r="C45" s="76" t="s">
        <v>185</v>
      </c>
      <c r="D45" s="11" t="s">
        <v>29</v>
      </c>
      <c r="E45" s="31"/>
      <c r="F45" s="70">
        <v>1087502</v>
      </c>
      <c r="G45" s="1"/>
      <c r="H45" s="1"/>
      <c r="O45" s="1"/>
    </row>
    <row r="46" spans="1:15" s="2" customFormat="1" x14ac:dyDescent="0.2">
      <c r="A46" s="89">
        <v>45295</v>
      </c>
      <c r="B46" s="128" t="s">
        <v>11</v>
      </c>
      <c r="C46" s="76" t="s">
        <v>186</v>
      </c>
      <c r="D46" s="11" t="s">
        <v>29</v>
      </c>
      <c r="E46" s="31"/>
      <c r="F46" s="70">
        <v>658062</v>
      </c>
      <c r="G46" s="1"/>
      <c r="H46" s="1"/>
      <c r="O46" s="1"/>
    </row>
    <row r="47" spans="1:15" s="2" customFormat="1" x14ac:dyDescent="0.2">
      <c r="A47" s="89">
        <v>45295</v>
      </c>
      <c r="B47" s="128" t="s">
        <v>11</v>
      </c>
      <c r="C47" s="76" t="s">
        <v>187</v>
      </c>
      <c r="D47" s="11" t="s">
        <v>29</v>
      </c>
      <c r="E47" s="31"/>
      <c r="F47" s="70">
        <v>1345838</v>
      </c>
      <c r="G47" s="1"/>
      <c r="H47" s="1"/>
      <c r="O47" s="1"/>
    </row>
    <row r="48" spans="1:15" s="2" customFormat="1" x14ac:dyDescent="0.2">
      <c r="A48" s="89">
        <v>45295</v>
      </c>
      <c r="B48" s="128" t="s">
        <v>11</v>
      </c>
      <c r="C48" s="76" t="s">
        <v>188</v>
      </c>
      <c r="D48" s="11" t="s">
        <v>29</v>
      </c>
      <c r="E48" s="31"/>
      <c r="F48" s="70">
        <v>155348</v>
      </c>
      <c r="G48" s="1"/>
      <c r="H48" s="1"/>
      <c r="O48" s="1"/>
    </row>
    <row r="49" spans="1:15" s="2" customFormat="1" x14ac:dyDescent="0.2">
      <c r="A49" s="89">
        <v>45295</v>
      </c>
      <c r="B49" s="128" t="s">
        <v>11</v>
      </c>
      <c r="C49" s="76" t="s">
        <v>630</v>
      </c>
      <c r="D49" s="11" t="s">
        <v>29</v>
      </c>
      <c r="E49" s="31"/>
      <c r="F49" s="70">
        <v>22500</v>
      </c>
      <c r="G49" s="1"/>
      <c r="H49" s="1"/>
      <c r="O49" s="1"/>
    </row>
    <row r="50" spans="1:15" s="2" customFormat="1" x14ac:dyDescent="0.2">
      <c r="A50" s="89">
        <v>45295</v>
      </c>
      <c r="B50" s="128" t="s">
        <v>11</v>
      </c>
      <c r="C50" s="76" t="s">
        <v>190</v>
      </c>
      <c r="D50" s="11" t="s">
        <v>29</v>
      </c>
      <c r="E50" s="31"/>
      <c r="F50" s="70">
        <v>1640717</v>
      </c>
      <c r="G50" s="1"/>
      <c r="H50" s="1"/>
      <c r="O50" s="1"/>
    </row>
    <row r="51" spans="1:15" s="2" customFormat="1" x14ac:dyDescent="0.2">
      <c r="A51" s="89">
        <v>45295</v>
      </c>
      <c r="B51" s="128" t="s">
        <v>11</v>
      </c>
      <c r="C51" s="76" t="s">
        <v>191</v>
      </c>
      <c r="D51" s="11" t="s">
        <v>29</v>
      </c>
      <c r="E51" s="31"/>
      <c r="F51" s="70">
        <v>322565</v>
      </c>
      <c r="G51" s="1"/>
      <c r="H51" s="1"/>
      <c r="O51" s="1"/>
    </row>
    <row r="52" spans="1:15" s="2" customFormat="1" x14ac:dyDescent="0.2">
      <c r="A52" s="89">
        <v>45295</v>
      </c>
      <c r="B52" s="128" t="s">
        <v>11</v>
      </c>
      <c r="C52" s="76" t="s">
        <v>206</v>
      </c>
      <c r="D52" s="11" t="s">
        <v>29</v>
      </c>
      <c r="E52" s="31"/>
      <c r="F52" s="70">
        <v>820223</v>
      </c>
      <c r="G52" s="1"/>
      <c r="H52" s="1"/>
      <c r="O52" s="1"/>
    </row>
    <row r="53" spans="1:15" s="2" customFormat="1" x14ac:dyDescent="0.2">
      <c r="A53" s="89">
        <v>45295</v>
      </c>
      <c r="B53" s="128" t="s">
        <v>11</v>
      </c>
      <c r="C53" s="76" t="s">
        <v>192</v>
      </c>
      <c r="D53" s="11" t="s">
        <v>29</v>
      </c>
      <c r="E53" s="31"/>
      <c r="F53" s="70">
        <v>756008</v>
      </c>
      <c r="G53" s="1"/>
      <c r="H53" s="1"/>
      <c r="O53" s="1"/>
    </row>
    <row r="54" spans="1:15" s="2" customFormat="1" x14ac:dyDescent="0.2">
      <c r="A54" s="89">
        <v>45295</v>
      </c>
      <c r="B54" s="128" t="s">
        <v>11</v>
      </c>
      <c r="C54" s="76" t="s">
        <v>804</v>
      </c>
      <c r="D54" s="11" t="s">
        <v>29</v>
      </c>
      <c r="E54" s="31"/>
      <c r="F54" s="70">
        <v>488814</v>
      </c>
      <c r="G54" s="1"/>
      <c r="H54" s="1"/>
      <c r="O54" s="1"/>
    </row>
    <row r="55" spans="1:15" s="2" customFormat="1" x14ac:dyDescent="0.2">
      <c r="A55" s="89">
        <v>45295</v>
      </c>
      <c r="B55" s="128" t="s">
        <v>11</v>
      </c>
      <c r="C55" s="76" t="s">
        <v>207</v>
      </c>
      <c r="D55" s="11" t="s">
        <v>29</v>
      </c>
      <c r="E55" s="31"/>
      <c r="F55" s="70">
        <v>220678</v>
      </c>
      <c r="G55" s="1"/>
      <c r="H55" s="1"/>
      <c r="O55" s="1"/>
    </row>
    <row r="56" spans="1:15" s="2" customFormat="1" x14ac:dyDescent="0.2">
      <c r="A56" s="89">
        <v>45295</v>
      </c>
      <c r="B56" s="128" t="s">
        <v>11</v>
      </c>
      <c r="C56" s="76" t="s">
        <v>664</v>
      </c>
      <c r="D56" s="11" t="s">
        <v>29</v>
      </c>
      <c r="E56" s="31"/>
      <c r="F56" s="70">
        <v>50025</v>
      </c>
      <c r="G56" s="1"/>
      <c r="H56" s="1"/>
      <c r="O56" s="1"/>
    </row>
    <row r="57" spans="1:15" s="2" customFormat="1" x14ac:dyDescent="0.2">
      <c r="A57" s="89">
        <v>45295</v>
      </c>
      <c r="B57" s="128" t="s">
        <v>11</v>
      </c>
      <c r="C57" s="76" t="s">
        <v>189</v>
      </c>
      <c r="D57" s="11" t="s">
        <v>29</v>
      </c>
      <c r="E57" s="31"/>
      <c r="F57" s="70">
        <v>403455</v>
      </c>
      <c r="G57" s="1"/>
      <c r="H57" s="1"/>
      <c r="O57" s="1"/>
    </row>
    <row r="58" spans="1:15" s="2" customFormat="1" x14ac:dyDescent="0.2">
      <c r="A58" s="89">
        <v>45295</v>
      </c>
      <c r="B58" s="128" t="s">
        <v>11</v>
      </c>
      <c r="C58" s="76" t="s">
        <v>387</v>
      </c>
      <c r="D58" s="11" t="s">
        <v>29</v>
      </c>
      <c r="E58" s="31"/>
      <c r="F58" s="70">
        <v>44807</v>
      </c>
      <c r="G58" s="1"/>
      <c r="H58" s="1"/>
      <c r="O58" s="1"/>
    </row>
    <row r="59" spans="1:15" s="2" customFormat="1" x14ac:dyDescent="0.2">
      <c r="A59" s="89">
        <v>45295</v>
      </c>
      <c r="B59" s="128" t="s">
        <v>11</v>
      </c>
      <c r="C59" s="76" t="s">
        <v>789</v>
      </c>
      <c r="D59" s="11" t="s">
        <v>29</v>
      </c>
      <c r="E59" s="31"/>
      <c r="F59" s="70">
        <v>636434</v>
      </c>
      <c r="G59" s="1"/>
      <c r="H59" s="1"/>
      <c r="O59" s="1"/>
    </row>
    <row r="60" spans="1:15" s="2" customFormat="1" x14ac:dyDescent="0.2">
      <c r="A60" s="89">
        <v>45295</v>
      </c>
      <c r="B60" s="128" t="s">
        <v>11</v>
      </c>
      <c r="C60" s="76" t="s">
        <v>181</v>
      </c>
      <c r="D60" s="11" t="s">
        <v>29</v>
      </c>
      <c r="E60" s="31"/>
      <c r="F60" s="70">
        <v>48600</v>
      </c>
      <c r="G60" s="1"/>
      <c r="H60" s="1"/>
      <c r="O60" s="1"/>
    </row>
    <row r="61" spans="1:15" s="2" customFormat="1" x14ac:dyDescent="0.2">
      <c r="A61" s="89">
        <v>45295</v>
      </c>
      <c r="B61" s="128" t="s">
        <v>11</v>
      </c>
      <c r="C61" s="76" t="s">
        <v>588</v>
      </c>
      <c r="D61" s="11" t="s">
        <v>29</v>
      </c>
      <c r="E61" s="31"/>
      <c r="F61" s="70">
        <v>122839</v>
      </c>
      <c r="G61" s="1"/>
      <c r="H61" s="1"/>
      <c r="O61" s="1"/>
    </row>
    <row r="62" spans="1:15" s="2" customFormat="1" x14ac:dyDescent="0.2">
      <c r="A62" s="89">
        <v>45295</v>
      </c>
      <c r="B62" s="128" t="s">
        <v>11</v>
      </c>
      <c r="C62" s="76" t="s">
        <v>349</v>
      </c>
      <c r="D62" s="11" t="s">
        <v>29</v>
      </c>
      <c r="E62" s="31"/>
      <c r="F62" s="70">
        <v>9855</v>
      </c>
      <c r="G62" s="1"/>
      <c r="H62" s="1"/>
      <c r="O62" s="1"/>
    </row>
    <row r="63" spans="1:15" s="2" customFormat="1" x14ac:dyDescent="0.2">
      <c r="A63" s="89">
        <v>45295</v>
      </c>
      <c r="B63" s="128" t="s">
        <v>11</v>
      </c>
      <c r="C63" s="76" t="s">
        <v>1943</v>
      </c>
      <c r="D63" s="11" t="s">
        <v>29</v>
      </c>
      <c r="E63" s="31"/>
      <c r="F63" s="70">
        <v>20000</v>
      </c>
      <c r="G63" s="1"/>
      <c r="H63" s="1"/>
      <c r="O63" s="1"/>
    </row>
    <row r="64" spans="1:15" s="2" customFormat="1" x14ac:dyDescent="0.2">
      <c r="A64" s="89">
        <v>45295</v>
      </c>
      <c r="B64" s="128" t="s">
        <v>11</v>
      </c>
      <c r="C64" s="76" t="s">
        <v>500</v>
      </c>
      <c r="D64" s="11" t="s">
        <v>29</v>
      </c>
      <c r="E64" s="31"/>
      <c r="F64" s="70">
        <v>1713859</v>
      </c>
      <c r="G64" s="1"/>
      <c r="H64" s="1"/>
      <c r="O64" s="1"/>
    </row>
    <row r="65" spans="1:15" s="2" customFormat="1" x14ac:dyDescent="0.2">
      <c r="A65" s="32"/>
      <c r="B65" s="33"/>
      <c r="C65" s="14"/>
      <c r="D65" s="34"/>
      <c r="E65" s="16">
        <f>SUM(E22:E64)</f>
        <v>83454249.459999993</v>
      </c>
      <c r="F65" s="16">
        <f>SUM(F22:F64)</f>
        <v>217389016.86999997</v>
      </c>
      <c r="G65" s="1"/>
      <c r="H65" s="1"/>
      <c r="I65" s="1"/>
      <c r="J65" s="38">
        <v>133934767.41</v>
      </c>
      <c r="L65" s="92">
        <f>E66-J65</f>
        <v>0</v>
      </c>
      <c r="O65" s="1"/>
    </row>
    <row r="66" spans="1:15" s="2" customFormat="1" x14ac:dyDescent="0.2">
      <c r="A66" s="36"/>
      <c r="B66" s="28" t="s">
        <v>11</v>
      </c>
      <c r="C66" s="19" t="s">
        <v>65</v>
      </c>
      <c r="D66" s="37"/>
      <c r="E66" s="38">
        <f>F65-E65</f>
        <v>133934767.40999998</v>
      </c>
      <c r="F66" s="22"/>
      <c r="G66" s="1"/>
      <c r="H66" s="1"/>
      <c r="I66" s="1"/>
      <c r="J66" s="70"/>
      <c r="K66" s="70"/>
      <c r="L66" s="70"/>
      <c r="O66" s="1"/>
    </row>
    <row r="67" spans="1:15" s="2" customFormat="1" x14ac:dyDescent="0.2">
      <c r="A67" s="36"/>
      <c r="B67" s="28" t="s">
        <v>66</v>
      </c>
      <c r="C67" s="19" t="s">
        <v>67</v>
      </c>
      <c r="D67" s="37"/>
      <c r="E67" s="38">
        <v>0</v>
      </c>
      <c r="F67" s="22"/>
      <c r="G67" s="1"/>
      <c r="H67" s="1"/>
      <c r="I67" s="70"/>
      <c r="J67" s="70"/>
      <c r="K67" s="70"/>
      <c r="L67" s="70"/>
      <c r="O67" s="1"/>
    </row>
    <row r="68" spans="1:15" s="2" customFormat="1" x14ac:dyDescent="0.2">
      <c r="A68" s="36"/>
      <c r="B68" s="28" t="s">
        <v>66</v>
      </c>
      <c r="C68" s="43" t="s">
        <v>1457</v>
      </c>
      <c r="D68" s="43"/>
      <c r="E68" s="12">
        <v>350000000</v>
      </c>
      <c r="F68" s="22"/>
      <c r="G68" s="1"/>
      <c r="H68" s="1"/>
      <c r="I68" s="70"/>
      <c r="J68" s="45">
        <v>160</v>
      </c>
      <c r="K68" s="46"/>
      <c r="L68" s="46"/>
      <c r="O68" s="1"/>
    </row>
    <row r="69" spans="1:15" s="2" customFormat="1" ht="15" x14ac:dyDescent="0.25">
      <c r="A69" s="36"/>
      <c r="B69" s="28"/>
      <c r="C69" s="44" t="s">
        <v>1541</v>
      </c>
      <c r="D69" s="43"/>
      <c r="E69" s="7">
        <f>+E68+E66+E67</f>
        <v>483934767.40999997</v>
      </c>
      <c r="F69" s="22"/>
      <c r="G69" s="1"/>
      <c r="H69" s="1"/>
      <c r="I69" s="103" t="s">
        <v>69</v>
      </c>
      <c r="J69" s="45">
        <v>-11.44</v>
      </c>
      <c r="K69" s="46"/>
      <c r="L69" s="46"/>
      <c r="O69" s="1"/>
    </row>
    <row r="70" spans="1:15" s="2" customFormat="1" ht="15" x14ac:dyDescent="0.25">
      <c r="A70" s="24"/>
      <c r="B70" s="1"/>
      <c r="C70" s="44" t="s">
        <v>1510</v>
      </c>
      <c r="D70" s="25"/>
      <c r="E70" s="156">
        <f>+J22-E67+I18-J18</f>
        <v>16065232.590000004</v>
      </c>
      <c r="G70" s="1"/>
      <c r="H70" s="1"/>
      <c r="I70" s="35">
        <v>1</v>
      </c>
      <c r="J70" s="45">
        <v>0</v>
      </c>
      <c r="K70" s="46">
        <f>+J71-D73</f>
        <v>0</v>
      </c>
      <c r="O70" s="1"/>
    </row>
    <row r="71" spans="1:15" s="124" customFormat="1" ht="12.75" customHeight="1" x14ac:dyDescent="0.2">
      <c r="A71" s="24"/>
      <c r="B71" s="1"/>
      <c r="C71" s="56"/>
      <c r="D71" s="56"/>
      <c r="E71" s="104"/>
      <c r="F71" s="2"/>
      <c r="G71" s="166"/>
      <c r="H71" s="166"/>
      <c r="I71" s="70"/>
      <c r="J71" s="49">
        <f>SUM(J68:J70)</f>
        <v>148.56</v>
      </c>
      <c r="K71" s="46"/>
      <c r="L71" s="46"/>
    </row>
    <row r="72" spans="1:15" s="124" customFormat="1" ht="12.75" customHeight="1" x14ac:dyDescent="0.2">
      <c r="A72" s="24"/>
      <c r="B72" s="1"/>
      <c r="C72" s="78" t="s">
        <v>575</v>
      </c>
      <c r="D72" s="48" t="s">
        <v>576</v>
      </c>
      <c r="E72" s="104"/>
      <c r="F72" s="2"/>
      <c r="G72" s="168"/>
      <c r="H72" s="168"/>
      <c r="I72" s="167"/>
      <c r="J72" s="167"/>
      <c r="K72" s="168"/>
    </row>
    <row r="73" spans="1:15" s="124" customFormat="1" ht="12.75" customHeight="1" x14ac:dyDescent="0.2">
      <c r="A73" s="24"/>
      <c r="B73" s="1"/>
      <c r="C73" s="47" t="s">
        <v>570</v>
      </c>
      <c r="D73" s="111">
        <v>148.56</v>
      </c>
      <c r="E73" s="104"/>
      <c r="F73" s="2"/>
      <c r="G73" s="168"/>
      <c r="H73" s="168"/>
      <c r="I73" s="110" t="s">
        <v>581</v>
      </c>
      <c r="J73" s="167"/>
      <c r="K73" s="168"/>
    </row>
    <row r="74" spans="1:15" s="124" customFormat="1" ht="12.75" customHeight="1" x14ac:dyDescent="0.2">
      <c r="A74" s="24"/>
      <c r="B74" s="1"/>
      <c r="C74" s="47" t="s">
        <v>931</v>
      </c>
      <c r="D74" s="111">
        <v>54.06</v>
      </c>
      <c r="E74" s="104"/>
      <c r="F74" s="2"/>
      <c r="G74" s="168"/>
      <c r="H74" s="168"/>
      <c r="I74" s="110" t="s">
        <v>580</v>
      </c>
      <c r="J74" s="167"/>
      <c r="K74" s="168"/>
    </row>
    <row r="75" spans="1:15" s="124" customFormat="1" ht="12.75" customHeight="1" x14ac:dyDescent="0.2">
      <c r="A75" s="24"/>
      <c r="B75" s="1"/>
      <c r="C75" s="47" t="s">
        <v>572</v>
      </c>
      <c r="D75" s="111">
        <f>+D97/100000</f>
        <v>111.7670334</v>
      </c>
      <c r="E75" s="104"/>
      <c r="F75" s="2"/>
      <c r="G75" s="166"/>
      <c r="H75" s="166"/>
      <c r="I75" s="90" t="s">
        <v>587</v>
      </c>
      <c r="J75" s="167"/>
      <c r="K75" s="168"/>
    </row>
    <row r="76" spans="1:15" s="2" customFormat="1" x14ac:dyDescent="0.2">
      <c r="A76" s="24"/>
      <c r="B76" s="1"/>
      <c r="C76" s="108" t="s">
        <v>578</v>
      </c>
      <c r="D76" s="48">
        <f>SUM(D73:D75)</f>
        <v>314.38703340000001</v>
      </c>
      <c r="E76" s="104"/>
      <c r="G76" s="30"/>
      <c r="H76" s="30"/>
      <c r="J76" s="13"/>
      <c r="K76" s="13"/>
    </row>
    <row r="77" spans="1:15" s="70" customFormat="1" x14ac:dyDescent="0.2">
      <c r="A77" s="24"/>
      <c r="B77" s="1"/>
      <c r="C77" s="47"/>
      <c r="D77" s="107"/>
      <c r="E77" s="104"/>
      <c r="F77" s="2"/>
      <c r="G77" s="30"/>
      <c r="H77" s="30"/>
      <c r="I77" s="2"/>
    </row>
    <row r="78" spans="1:15" s="70" customFormat="1" x14ac:dyDescent="0.2">
      <c r="A78" s="24"/>
      <c r="B78" s="1"/>
      <c r="C78" s="47" t="s">
        <v>932</v>
      </c>
      <c r="D78" s="111">
        <v>0</v>
      </c>
      <c r="E78" s="104"/>
      <c r="F78" s="2"/>
      <c r="G78" s="30"/>
      <c r="H78" s="30"/>
      <c r="I78" s="110" t="s">
        <v>581</v>
      </c>
    </row>
    <row r="79" spans="1:15" s="70" customFormat="1" x14ac:dyDescent="0.2">
      <c r="A79" s="24"/>
      <c r="B79" s="1"/>
      <c r="C79" s="136" t="s">
        <v>1142</v>
      </c>
      <c r="D79" s="111">
        <v>215.38</v>
      </c>
      <c r="E79" s="104"/>
      <c r="F79" s="2"/>
      <c r="G79" s="30"/>
      <c r="H79" s="30"/>
      <c r="I79" s="110" t="s">
        <v>581</v>
      </c>
    </row>
    <row r="80" spans="1:15" s="70" customFormat="1" x14ac:dyDescent="0.2">
      <c r="A80" s="24"/>
      <c r="B80" s="1"/>
      <c r="C80" s="78" t="s">
        <v>579</v>
      </c>
      <c r="D80" s="109">
        <f>D78+D79</f>
        <v>215.38</v>
      </c>
      <c r="E80" s="104"/>
      <c r="F80" s="2"/>
      <c r="G80" s="30"/>
      <c r="H80" s="30"/>
    </row>
    <row r="81" spans="1:15" s="70" customFormat="1" x14ac:dyDescent="0.2">
      <c r="A81" s="24"/>
      <c r="B81" s="1"/>
      <c r="C81" s="105"/>
      <c r="D81" s="106"/>
      <c r="E81" s="104"/>
      <c r="F81" s="2"/>
      <c r="G81" s="30"/>
      <c r="H81" s="30"/>
      <c r="J81" s="2"/>
      <c r="K81" s="221" t="str">
        <f>"FROM ( 01-01-2024 to "&amp;TEXT(A5,"dd-mm-yyyy")&amp;" )"</f>
        <v>FROM ( 01-01-2024 to 04-01-2024 )</v>
      </c>
      <c r="L81" s="221"/>
      <c r="M81" s="2"/>
      <c r="N81" s="2"/>
    </row>
    <row r="82" spans="1:15" s="70" customFormat="1" x14ac:dyDescent="0.2">
      <c r="A82" s="24"/>
      <c r="B82" s="1"/>
      <c r="C82" s="78" t="s">
        <v>577</v>
      </c>
      <c r="D82" s="109">
        <f>D73+D80</f>
        <v>363.94</v>
      </c>
      <c r="E82" s="104"/>
      <c r="F82" s="2"/>
      <c r="G82" s="30"/>
      <c r="H82" s="30"/>
      <c r="J82" s="113"/>
      <c r="K82" s="113" t="s">
        <v>709</v>
      </c>
      <c r="L82" s="113" t="s">
        <v>710</v>
      </c>
      <c r="M82" s="113" t="s">
        <v>711</v>
      </c>
      <c r="N82" s="113" t="s">
        <v>712</v>
      </c>
    </row>
    <row r="83" spans="1:15" s="70" customFormat="1" x14ac:dyDescent="0.2">
      <c r="A83" s="24"/>
      <c r="B83" s="1"/>
      <c r="C83" s="56"/>
      <c r="D83" s="56"/>
      <c r="E83" s="104"/>
      <c r="F83" s="2"/>
      <c r="G83" s="30"/>
      <c r="H83" s="30"/>
      <c r="J83" s="113" t="s">
        <v>1860</v>
      </c>
      <c r="K83" s="115">
        <v>189.89</v>
      </c>
      <c r="L83" s="115">
        <v>56.31</v>
      </c>
      <c r="M83" s="115">
        <v>58.41</v>
      </c>
      <c r="N83" s="113">
        <f>+K83+M83-L83</f>
        <v>191.98999999999998</v>
      </c>
    </row>
    <row r="84" spans="1:15" s="70" customFormat="1" ht="38.25" x14ac:dyDescent="0.2">
      <c r="A84" s="24"/>
      <c r="B84" s="1"/>
      <c r="C84" s="79" t="str">
        <f>"Particulars ( 01-01-2024 to "&amp;TEXT(A5,"dd-mm-yyyy")&amp;" )"</f>
        <v>Particulars ( 01-01-2024 to 04-01-2024 )</v>
      </c>
      <c r="D84" s="79" t="s">
        <v>7</v>
      </c>
      <c r="E84" s="80" t="s">
        <v>73</v>
      </c>
      <c r="F84" s="80" t="s">
        <v>74</v>
      </c>
      <c r="G84" s="81" t="s">
        <v>75</v>
      </c>
      <c r="H84" s="80" t="s">
        <v>76</v>
      </c>
      <c r="J84" s="113" t="s">
        <v>1861</v>
      </c>
      <c r="K84" s="115">
        <v>1669.19</v>
      </c>
      <c r="L84" s="115">
        <v>111.77</v>
      </c>
      <c r="M84" s="115">
        <v>213.28</v>
      </c>
      <c r="N84" s="113">
        <f>+K84+M84-L84</f>
        <v>1770.7</v>
      </c>
    </row>
    <row r="85" spans="1:15" s="70" customFormat="1" x14ac:dyDescent="0.2">
      <c r="A85" s="24"/>
      <c r="B85" s="1"/>
      <c r="C85" s="50" t="s">
        <v>444</v>
      </c>
      <c r="D85" s="55">
        <f>+K85</f>
        <v>140.88</v>
      </c>
      <c r="E85" s="55">
        <f>+M85</f>
        <v>0</v>
      </c>
      <c r="F85" s="55">
        <f>+L85</f>
        <v>54.06</v>
      </c>
      <c r="G85" s="55">
        <f>+D85+E85-F85</f>
        <v>86.82</v>
      </c>
      <c r="H85" s="55">
        <f>1500-G85</f>
        <v>1413.18</v>
      </c>
      <c r="J85" s="113" t="s">
        <v>707</v>
      </c>
      <c r="K85" s="115">
        <v>140.88</v>
      </c>
      <c r="L85" s="115">
        <v>54.06</v>
      </c>
      <c r="M85" s="115">
        <v>0</v>
      </c>
      <c r="N85" s="113">
        <f>+K85+M85-L85</f>
        <v>86.82</v>
      </c>
    </row>
    <row r="86" spans="1:15" s="70" customFormat="1" ht="12.75" customHeight="1" x14ac:dyDescent="0.2">
      <c r="A86" s="24"/>
      <c r="B86" s="1"/>
      <c r="C86" s="50" t="s">
        <v>71</v>
      </c>
      <c r="D86" s="55">
        <f>+K83+K84</f>
        <v>1859.08</v>
      </c>
      <c r="E86" s="55">
        <f>+M83+M84</f>
        <v>271.69</v>
      </c>
      <c r="F86" s="55">
        <f>+L83+L84</f>
        <v>168.07999999999998</v>
      </c>
      <c r="G86" s="55">
        <f>+D86+E86-F86</f>
        <v>1962.69</v>
      </c>
      <c r="H86" s="55">
        <f>1500+700-G86</f>
        <v>237.30999999999995</v>
      </c>
      <c r="J86" s="2"/>
      <c r="K86" s="118">
        <f>SUM(K83:K85)</f>
        <v>1999.96</v>
      </c>
      <c r="L86" s="118">
        <f>SUM(L83:L85)</f>
        <v>222.14</v>
      </c>
      <c r="M86" s="118">
        <f>SUM(M83:M85)</f>
        <v>271.69</v>
      </c>
      <c r="N86" s="118">
        <f>SUM(N83:N85)</f>
        <v>2049.5100000000002</v>
      </c>
    </row>
    <row r="87" spans="1:15" s="70" customFormat="1" ht="12.75" customHeight="1" x14ac:dyDescent="0.2">
      <c r="A87" s="24"/>
      <c r="B87" s="1"/>
      <c r="C87" s="14"/>
      <c r="D87" s="56"/>
      <c r="E87" s="13"/>
      <c r="F87" s="2"/>
      <c r="G87" s="30"/>
      <c r="H87" s="30"/>
    </row>
    <row r="88" spans="1:15" s="70" customFormat="1" ht="12.75" customHeight="1" x14ac:dyDescent="0.2">
      <c r="A88" s="215" t="s">
        <v>80</v>
      </c>
      <c r="B88" s="216"/>
      <c r="C88" s="216"/>
      <c r="D88" s="217"/>
      <c r="E88" s="69"/>
      <c r="G88" s="30"/>
      <c r="H88" s="30"/>
    </row>
    <row r="89" spans="1:15" s="70" customFormat="1" ht="12.75" customHeight="1" x14ac:dyDescent="0.2">
      <c r="A89" s="71" t="s">
        <v>81</v>
      </c>
      <c r="B89" s="71"/>
      <c r="C89" s="72" t="s">
        <v>82</v>
      </c>
      <c r="D89" s="73" t="s">
        <v>83</v>
      </c>
      <c r="E89" s="69"/>
      <c r="G89" s="30"/>
      <c r="H89" s="30"/>
    </row>
    <row r="90" spans="1:15" s="70" customFormat="1" ht="12.75" customHeight="1" x14ac:dyDescent="0.2">
      <c r="A90" s="87">
        <v>45292</v>
      </c>
      <c r="B90" s="120" t="s">
        <v>6</v>
      </c>
      <c r="C90" s="75" t="s">
        <v>1933</v>
      </c>
      <c r="D90" s="88">
        <v>7583470</v>
      </c>
      <c r="E90" s="2"/>
      <c r="F90" s="2"/>
      <c r="G90" s="30"/>
      <c r="H90" s="30"/>
      <c r="I90" s="2"/>
      <c r="J90" s="2"/>
      <c r="K90" s="2"/>
      <c r="L90" s="2"/>
      <c r="M90" s="41"/>
      <c r="N90" s="42"/>
      <c r="O90" s="2"/>
    </row>
    <row r="91" spans="1:15" s="70" customFormat="1" ht="12.75" customHeight="1" x14ac:dyDescent="0.2">
      <c r="A91" s="87">
        <v>44928</v>
      </c>
      <c r="B91" s="120" t="s">
        <v>6</v>
      </c>
      <c r="C91" s="75" t="s">
        <v>1934</v>
      </c>
      <c r="D91" s="88">
        <v>124988</v>
      </c>
      <c r="E91" s="2"/>
      <c r="F91" s="2"/>
      <c r="G91" s="30"/>
      <c r="H91" s="30"/>
      <c r="I91" s="2"/>
      <c r="J91" s="2"/>
      <c r="K91" s="2"/>
      <c r="L91" s="2"/>
      <c r="M91" s="41"/>
      <c r="N91" s="42"/>
      <c r="O91" s="2"/>
    </row>
    <row r="92" spans="1:15" s="70" customFormat="1" ht="12.75" customHeight="1" x14ac:dyDescent="0.2">
      <c r="A92" s="87">
        <v>44929</v>
      </c>
      <c r="B92" s="120" t="s">
        <v>6</v>
      </c>
      <c r="C92" s="75" t="s">
        <v>606</v>
      </c>
      <c r="D92" s="88">
        <v>260191</v>
      </c>
      <c r="E92" s="2"/>
      <c r="F92" s="2"/>
      <c r="G92" s="30"/>
      <c r="H92" s="30"/>
      <c r="I92" s="2"/>
      <c r="J92" s="2"/>
      <c r="K92" s="2"/>
      <c r="L92" s="2"/>
      <c r="M92" s="41"/>
      <c r="N92" s="42"/>
      <c r="O92" s="2"/>
    </row>
    <row r="93" spans="1:15" s="70" customFormat="1" ht="12.75" customHeight="1" x14ac:dyDescent="0.2">
      <c r="A93" s="87">
        <v>44929</v>
      </c>
      <c r="B93" s="120" t="s">
        <v>6</v>
      </c>
      <c r="C93" s="75" t="s">
        <v>888</v>
      </c>
      <c r="D93" s="88">
        <v>2431991.34</v>
      </c>
      <c r="E93" s="2"/>
      <c r="F93" s="2"/>
      <c r="G93" s="30"/>
      <c r="H93" s="30"/>
      <c r="I93" s="2"/>
      <c r="J93" s="2"/>
      <c r="K93" s="2"/>
      <c r="L93" s="2"/>
      <c r="M93" s="41"/>
      <c r="N93" s="42"/>
      <c r="O93" s="2"/>
    </row>
    <row r="94" spans="1:15" s="70" customFormat="1" ht="12.75" customHeight="1" x14ac:dyDescent="0.2">
      <c r="A94" s="87">
        <v>44930</v>
      </c>
      <c r="B94" s="120" t="s">
        <v>6</v>
      </c>
      <c r="C94" s="75" t="s">
        <v>1944</v>
      </c>
      <c r="D94" s="88">
        <v>23655</v>
      </c>
      <c r="E94" s="2"/>
      <c r="F94" s="2"/>
      <c r="G94" s="30"/>
      <c r="H94" s="30"/>
      <c r="I94" s="2"/>
      <c r="J94" s="2"/>
      <c r="K94" s="2"/>
      <c r="L94" s="2"/>
      <c r="M94" s="41"/>
      <c r="N94" s="42"/>
      <c r="O94" s="2"/>
    </row>
    <row r="95" spans="1:15" s="70" customFormat="1" ht="12.75" customHeight="1" x14ac:dyDescent="0.2">
      <c r="A95" s="87">
        <v>44930</v>
      </c>
      <c r="B95" s="120" t="s">
        <v>6</v>
      </c>
      <c r="C95" s="75" t="s">
        <v>1944</v>
      </c>
      <c r="D95" s="88">
        <v>321576</v>
      </c>
      <c r="E95" s="2"/>
      <c r="F95" s="2"/>
      <c r="G95" s="30"/>
      <c r="H95" s="30"/>
      <c r="I95" s="2"/>
      <c r="J95" s="2"/>
      <c r="K95" s="2"/>
      <c r="L95" s="2"/>
      <c r="M95" s="41"/>
      <c r="N95" s="42"/>
      <c r="O95" s="2"/>
    </row>
    <row r="96" spans="1:15" s="70" customFormat="1" ht="12.75" customHeight="1" x14ac:dyDescent="0.2">
      <c r="A96" s="87">
        <v>44930</v>
      </c>
      <c r="B96" s="120" t="s">
        <v>6</v>
      </c>
      <c r="C96" s="75" t="s">
        <v>1944</v>
      </c>
      <c r="D96" s="88">
        <v>430832</v>
      </c>
      <c r="E96" s="2"/>
      <c r="F96" s="2"/>
      <c r="G96" s="30"/>
      <c r="H96" s="30"/>
      <c r="I96" s="2"/>
      <c r="J96" s="2"/>
      <c r="K96" s="2"/>
      <c r="L96" s="2"/>
      <c r="M96" s="41"/>
      <c r="N96" s="42"/>
      <c r="O96" s="2"/>
    </row>
    <row r="97" spans="1:14" s="2" customFormat="1" x14ac:dyDescent="0.2">
      <c r="A97" s="87"/>
      <c r="B97" s="74"/>
      <c r="C97" s="75"/>
      <c r="D97" s="51">
        <f>SUM(D90:D96)</f>
        <v>11176703.34</v>
      </c>
      <c r="F97" s="2" t="s">
        <v>396</v>
      </c>
      <c r="G97" s="1"/>
      <c r="H97" s="1"/>
    </row>
    <row r="98" spans="1:14" s="2" customFormat="1" x14ac:dyDescent="0.2">
      <c r="A98" s="24"/>
      <c r="B98" s="1"/>
      <c r="C98" s="14"/>
      <c r="D98" s="56"/>
      <c r="E98" s="13"/>
      <c r="G98" s="1"/>
      <c r="H98" s="1"/>
    </row>
    <row r="99" spans="1:14" s="2" customFormat="1" x14ac:dyDescent="0.2">
      <c r="A99" s="24"/>
      <c r="B99" s="1"/>
      <c r="C99" s="218" t="s">
        <v>77</v>
      </c>
      <c r="D99" s="219"/>
      <c r="E99" s="219"/>
      <c r="F99" s="220"/>
      <c r="I99" s="2" t="s">
        <v>396</v>
      </c>
    </row>
    <row r="100" spans="1:14" s="2" customFormat="1" x14ac:dyDescent="0.2">
      <c r="A100" s="24"/>
      <c r="B100" s="1"/>
      <c r="C100" s="50"/>
      <c r="D100" s="57" t="s">
        <v>78</v>
      </c>
      <c r="E100" s="58" t="s">
        <v>79</v>
      </c>
      <c r="F100" s="57" t="s">
        <v>72</v>
      </c>
      <c r="I100" s="2" t="s">
        <v>396</v>
      </c>
    </row>
    <row r="101" spans="1:14" s="2" customFormat="1" x14ac:dyDescent="0.2">
      <c r="A101" s="24"/>
      <c r="B101" s="1"/>
      <c r="C101" s="59" t="str">
        <f>"01-01-2024 to "&amp;TEXT(A5-2,"dd-mm-yyyy")</f>
        <v>01-01-2024 to 02-01-2024</v>
      </c>
      <c r="D101" s="60">
        <v>5.45</v>
      </c>
      <c r="E101" s="60">
        <v>9.2200000000000006</v>
      </c>
      <c r="F101" s="61">
        <f>SUM(D101:E101)</f>
        <v>14.670000000000002</v>
      </c>
    </row>
    <row r="102" spans="1:14" s="2" customFormat="1" x14ac:dyDescent="0.2">
      <c r="A102" s="24"/>
      <c r="B102" s="1"/>
      <c r="C102" s="62" t="str">
        <f>TEXT(A5-1,"dd-mm-yyyy")</f>
        <v>03-01-2024</v>
      </c>
      <c r="D102" s="60">
        <v>5.45</v>
      </c>
      <c r="E102" s="60">
        <v>65.58</v>
      </c>
      <c r="F102" s="61">
        <f>SUM(D102:E102)</f>
        <v>71.03</v>
      </c>
      <c r="G102" s="1"/>
      <c r="H102" s="1"/>
      <c r="I102" s="53"/>
    </row>
    <row r="103" spans="1:14" s="2" customFormat="1" ht="13.5" thickBot="1" x14ac:dyDescent="0.25">
      <c r="A103" s="24"/>
      <c r="B103" s="1"/>
      <c r="C103" s="63" t="str">
        <f>"01-01-2024 to "&amp;TEXT(A5-1,"dd-mm-yyyy")</f>
        <v>01-01-2024 to 03-01-2024</v>
      </c>
      <c r="D103" s="64">
        <f>SUM(D101:D102)</f>
        <v>10.9</v>
      </c>
      <c r="E103" s="64">
        <f>SUM(E101:E102)</f>
        <v>74.8</v>
      </c>
      <c r="F103" s="64">
        <f>SUM(F101:F102)</f>
        <v>85.7</v>
      </c>
      <c r="G103" s="1"/>
      <c r="H103" s="1"/>
      <c r="I103" s="53"/>
    </row>
    <row r="104" spans="1:14" s="2" customFormat="1" ht="13.5" thickTop="1" x14ac:dyDescent="0.2">
      <c r="A104" s="24"/>
      <c r="B104" s="1"/>
      <c r="C104" s="62"/>
      <c r="D104" s="65"/>
      <c r="E104" s="66"/>
      <c r="F104" s="67"/>
      <c r="M104" s="1"/>
      <c r="N104" s="1"/>
    </row>
    <row r="105" spans="1:14" s="2" customFormat="1" x14ac:dyDescent="0.2">
      <c r="A105" s="24"/>
      <c r="B105" s="1"/>
      <c r="C105" s="62" t="str">
        <f>"01-04-2023 to " &amp;C102</f>
        <v>01-04-2023 to 03-01-2024</v>
      </c>
      <c r="D105" s="68">
        <f>+D103+34576.72</f>
        <v>34587.620000000003</v>
      </c>
      <c r="E105" s="68">
        <f>+E103+3831.86</f>
        <v>3906.6600000000003</v>
      </c>
      <c r="F105" s="68">
        <f>+F103+38408.58</f>
        <v>38494.28</v>
      </c>
      <c r="G105" s="1"/>
      <c r="H105" s="1"/>
      <c r="M105" s="1"/>
      <c r="N105" s="1"/>
    </row>
    <row r="106" spans="1:14" s="2" customFormat="1" x14ac:dyDescent="0.2">
      <c r="A106" s="24"/>
      <c r="B106" s="1"/>
      <c r="C106" s="52"/>
      <c r="D106" s="85"/>
      <c r="E106" s="53"/>
      <c r="F106" s="53"/>
      <c r="G106" s="1"/>
      <c r="H106" s="1"/>
      <c r="M106" s="1"/>
      <c r="N106" s="1"/>
    </row>
    <row r="107" spans="1:14" s="2" customFormat="1" x14ac:dyDescent="0.2">
      <c r="A107" s="24"/>
      <c r="B107" s="1"/>
      <c r="C107" s="52"/>
      <c r="D107" s="85"/>
      <c r="E107" s="53"/>
      <c r="F107" s="53"/>
      <c r="G107" s="1"/>
      <c r="H107" s="1"/>
      <c r="M107" s="1"/>
      <c r="N107" s="1"/>
    </row>
    <row r="108" spans="1:14" s="2" customFormat="1" x14ac:dyDescent="0.2">
      <c r="A108" s="24"/>
      <c r="B108" s="1"/>
      <c r="C108" s="52"/>
      <c r="D108" s="85"/>
      <c r="E108" s="53"/>
      <c r="F108" s="53"/>
      <c r="G108" s="1"/>
      <c r="H108" s="1"/>
      <c r="M108" s="1"/>
      <c r="N108" s="1"/>
    </row>
    <row r="109" spans="1:14" s="2" customFormat="1" x14ac:dyDescent="0.2">
      <c r="A109" s="24"/>
      <c r="B109" s="1"/>
      <c r="C109" s="52"/>
      <c r="D109" s="85"/>
      <c r="E109" s="53"/>
      <c r="F109" s="53"/>
      <c r="G109" s="1"/>
      <c r="H109" s="1"/>
      <c r="M109" s="1"/>
      <c r="N109" s="1"/>
    </row>
    <row r="110" spans="1:14" s="2" customFormat="1" x14ac:dyDescent="0.2">
      <c r="A110" s="24"/>
      <c r="B110" s="1"/>
      <c r="C110" s="14"/>
      <c r="D110" s="25">
        <f>SUM(D107:D109)</f>
        <v>0</v>
      </c>
      <c r="E110" s="2">
        <f>SUM(E107:E109)</f>
        <v>0</v>
      </c>
      <c r="G110" s="1"/>
      <c r="H110" s="1"/>
      <c r="M110" s="1"/>
      <c r="N110" s="1"/>
    </row>
    <row r="111" spans="1:14" s="2" customFormat="1" x14ac:dyDescent="0.2">
      <c r="A111" s="24"/>
      <c r="B111" s="1"/>
      <c r="C111" s="14"/>
      <c r="D111" s="25"/>
      <c r="G111" s="1"/>
      <c r="H111" s="1"/>
      <c r="M111" s="1"/>
      <c r="N111" s="1"/>
    </row>
    <row r="112" spans="1:14" s="2" customFormat="1" x14ac:dyDescent="0.2">
      <c r="A112" s="24"/>
      <c r="B112" s="1"/>
      <c r="C112" s="14"/>
      <c r="D112" s="25"/>
      <c r="G112" s="1"/>
      <c r="H112" s="1"/>
      <c r="M112" s="1"/>
      <c r="N112" s="1"/>
    </row>
    <row r="113" spans="1:14" s="2" customFormat="1" x14ac:dyDescent="0.2">
      <c r="A113" s="24"/>
      <c r="B113" s="1"/>
      <c r="C113" s="14"/>
      <c r="D113" s="25"/>
      <c r="G113" s="1"/>
      <c r="H113" s="1"/>
      <c r="M113" s="1"/>
      <c r="N113" s="1"/>
    </row>
    <row r="114" spans="1:14" s="2" customFormat="1" x14ac:dyDescent="0.2">
      <c r="A114" s="24"/>
      <c r="B114" s="1"/>
      <c r="C114" s="14"/>
      <c r="D114" s="25"/>
      <c r="G114" s="1"/>
      <c r="H114" s="1"/>
      <c r="M114" s="1"/>
      <c r="N114" s="1"/>
    </row>
    <row r="115" spans="1:14" s="2" customFormat="1" x14ac:dyDescent="0.2">
      <c r="A115" s="24"/>
      <c r="B115" s="1"/>
      <c r="C115" s="14"/>
      <c r="D115" s="25"/>
      <c r="G115" s="1"/>
      <c r="H115" s="1"/>
      <c r="M115" s="1"/>
      <c r="N115" s="1"/>
    </row>
    <row r="116" spans="1:14" s="2" customFormat="1" x14ac:dyDescent="0.2">
      <c r="A116" s="24"/>
      <c r="B116" s="1"/>
      <c r="C116" s="14"/>
      <c r="D116" s="25"/>
      <c r="G116" s="1"/>
      <c r="H116" s="1"/>
      <c r="M116" s="1"/>
      <c r="N116" s="1"/>
    </row>
    <row r="117" spans="1:14" s="2" customFormat="1" x14ac:dyDescent="0.2">
      <c r="A117" s="24"/>
      <c r="B117" s="1"/>
      <c r="C117" s="14"/>
      <c r="D117" s="25"/>
      <c r="G117" s="1"/>
      <c r="H117" s="1"/>
      <c r="M117" s="1"/>
      <c r="N117" s="1"/>
    </row>
    <row r="118" spans="1:14" s="2" customFormat="1" x14ac:dyDescent="0.2">
      <c r="A118" s="24"/>
      <c r="B118" s="1"/>
      <c r="C118" s="14"/>
      <c r="D118" s="25"/>
      <c r="G118" s="1"/>
      <c r="H118" s="1"/>
      <c r="M118" s="1"/>
      <c r="N118" s="1"/>
    </row>
    <row r="119" spans="1:14" s="2" customFormat="1" x14ac:dyDescent="0.2">
      <c r="A119" s="24"/>
      <c r="B119" s="1"/>
      <c r="C119" s="14"/>
      <c r="D119" s="25"/>
      <c r="G119" s="1"/>
      <c r="H119" s="1"/>
      <c r="M119" s="1"/>
      <c r="N119" s="1"/>
    </row>
    <row r="120" spans="1:14" s="2" customFormat="1" x14ac:dyDescent="0.2">
      <c r="A120" s="24"/>
      <c r="B120" s="1"/>
      <c r="C120" s="14"/>
      <c r="D120" s="25"/>
      <c r="G120" s="1"/>
      <c r="H120" s="1"/>
      <c r="M120" s="1"/>
      <c r="N120" s="1"/>
    </row>
    <row r="121" spans="1:14" s="2" customFormat="1" x14ac:dyDescent="0.2">
      <c r="A121" s="24"/>
      <c r="B121" s="1"/>
      <c r="C121" s="14"/>
      <c r="D121" s="25"/>
      <c r="G121" s="1"/>
      <c r="H121" s="1"/>
      <c r="M121" s="1"/>
      <c r="N121" s="1"/>
    </row>
    <row r="122" spans="1:14" s="2" customFormat="1" x14ac:dyDescent="0.2">
      <c r="A122" s="24"/>
      <c r="B122" s="1"/>
      <c r="C122" s="14"/>
      <c r="D122" s="25"/>
      <c r="G122" s="1"/>
      <c r="H122" s="1"/>
      <c r="M122" s="1"/>
      <c r="N122" s="1"/>
    </row>
    <row r="123" spans="1:14" s="2" customFormat="1" x14ac:dyDescent="0.2">
      <c r="A123" s="24"/>
      <c r="B123" s="1"/>
      <c r="C123" s="14"/>
      <c r="D123" s="25"/>
      <c r="G123" s="1"/>
      <c r="H123" s="1"/>
      <c r="M123" s="1"/>
      <c r="N123" s="1"/>
    </row>
    <row r="124" spans="1:14" s="2" customFormat="1" x14ac:dyDescent="0.2">
      <c r="A124" s="24"/>
      <c r="B124" s="1"/>
      <c r="C124" s="14"/>
      <c r="D124" s="25"/>
      <c r="G124" s="1"/>
      <c r="H124" s="1"/>
      <c r="J124" s="1"/>
      <c r="K124" s="1"/>
      <c r="L124" s="1"/>
      <c r="M124" s="1"/>
      <c r="N124" s="1"/>
    </row>
    <row r="125" spans="1:14" s="2" customFormat="1" x14ac:dyDescent="0.2">
      <c r="A125" s="24"/>
      <c r="B125" s="1"/>
      <c r="C125" s="14"/>
      <c r="D125" s="25"/>
      <c r="G125" s="1"/>
      <c r="H125" s="1"/>
    </row>
    <row r="126" spans="1:14" s="2" customFormat="1" x14ac:dyDescent="0.2">
      <c r="A126" s="24"/>
      <c r="B126" s="1"/>
      <c r="C126" s="14"/>
      <c r="D126" s="25"/>
      <c r="G126" s="1"/>
      <c r="H126" s="1"/>
      <c r="J126" s="1"/>
      <c r="K126" s="1"/>
      <c r="L126" s="1"/>
      <c r="M126" s="1"/>
      <c r="N126" s="1"/>
    </row>
    <row r="127" spans="1:14" s="2" customFormat="1" x14ac:dyDescent="0.2">
      <c r="A127" s="24"/>
      <c r="B127" s="1"/>
      <c r="C127" s="14"/>
      <c r="D127" s="25"/>
      <c r="G127" s="54"/>
      <c r="H127" s="54"/>
      <c r="J127" s="1"/>
      <c r="K127" s="1"/>
      <c r="L127" s="1"/>
      <c r="M127" s="1"/>
      <c r="N127" s="1"/>
    </row>
    <row r="128" spans="1:14" s="2" customFormat="1" x14ac:dyDescent="0.2">
      <c r="A128" s="24"/>
      <c r="B128" s="1"/>
      <c r="C128" s="14"/>
      <c r="D128" s="25"/>
      <c r="G128" s="54"/>
      <c r="H128" s="54"/>
      <c r="J128" s="1"/>
      <c r="K128" s="1"/>
      <c r="L128" s="1"/>
      <c r="M128" s="1"/>
      <c r="N128" s="1"/>
    </row>
    <row r="129" spans="1:15" s="2" customFormat="1" x14ac:dyDescent="0.2">
      <c r="A129" s="24"/>
      <c r="B129" s="1"/>
      <c r="C129" s="14"/>
      <c r="D129" s="25"/>
      <c r="G129" s="54"/>
      <c r="H129" s="54"/>
      <c r="J129" s="1"/>
      <c r="K129" s="1"/>
      <c r="L129" s="1"/>
      <c r="M129" s="1"/>
      <c r="N129" s="1"/>
    </row>
    <row r="130" spans="1:15" s="2" customFormat="1" x14ac:dyDescent="0.2">
      <c r="A130" s="24"/>
      <c r="B130" s="1"/>
      <c r="C130" s="14"/>
      <c r="D130" s="25"/>
      <c r="G130" s="54"/>
      <c r="H130" s="54"/>
      <c r="I130" s="2" t="s">
        <v>396</v>
      </c>
      <c r="J130" s="1"/>
      <c r="K130" s="1"/>
      <c r="L130" s="1"/>
      <c r="M130" s="1"/>
      <c r="N130" s="1"/>
      <c r="O130" s="1"/>
    </row>
    <row r="131" spans="1:15" s="2" customFormat="1" x14ac:dyDescent="0.2">
      <c r="A131" s="24"/>
      <c r="B131" s="1"/>
      <c r="C131" s="14"/>
      <c r="D131" s="25"/>
      <c r="G131" s="54"/>
      <c r="H131" s="54"/>
      <c r="I131" s="53"/>
    </row>
    <row r="132" spans="1:15" s="2" customFormat="1" x14ac:dyDescent="0.2">
      <c r="A132" s="24"/>
      <c r="B132" s="1"/>
      <c r="C132" s="14"/>
      <c r="D132" s="25"/>
      <c r="G132" s="54"/>
      <c r="H132" s="54"/>
      <c r="I132" s="53" t="s">
        <v>396</v>
      </c>
      <c r="J132" s="1"/>
      <c r="K132" s="1"/>
      <c r="L132" s="1"/>
      <c r="M132" s="1"/>
      <c r="N132" s="1"/>
      <c r="O132" s="1"/>
    </row>
    <row r="133" spans="1:15" x14ac:dyDescent="0.2">
      <c r="G133" s="54"/>
      <c r="H133" s="54"/>
      <c r="I133" s="53" t="s">
        <v>396</v>
      </c>
      <c r="K133" s="42"/>
    </row>
    <row r="134" spans="1:15" s="2" customFormat="1" x14ac:dyDescent="0.2">
      <c r="A134" s="24"/>
      <c r="B134" s="1"/>
      <c r="C134" s="14"/>
      <c r="D134" s="25"/>
      <c r="G134" s="54"/>
      <c r="H134" s="54"/>
      <c r="I134" s="53"/>
      <c r="J134" s="101"/>
      <c r="K134" s="1"/>
      <c r="L134" s="1"/>
      <c r="M134" s="1"/>
      <c r="N134" s="1"/>
      <c r="O134" s="1"/>
    </row>
    <row r="135" spans="1:15" x14ac:dyDescent="0.2">
      <c r="G135" s="54"/>
      <c r="H135" s="54"/>
      <c r="I135" s="53"/>
    </row>
    <row r="136" spans="1:15" x14ac:dyDescent="0.2">
      <c r="G136" s="54"/>
      <c r="H136" s="54"/>
      <c r="I136" s="53"/>
    </row>
    <row r="137" spans="1:15" x14ac:dyDescent="0.2">
      <c r="G137" s="54"/>
      <c r="H137" s="54"/>
      <c r="I137" s="53"/>
    </row>
  </sheetData>
  <sheetProtection insertRows="0"/>
  <mergeCells count="7">
    <mergeCell ref="K81:L81"/>
    <mergeCell ref="A88:D88"/>
    <mergeCell ref="C99:F99"/>
    <mergeCell ref="A1:H1"/>
    <mergeCell ref="A3:F3"/>
    <mergeCell ref="A9:F9"/>
    <mergeCell ref="A20:F20"/>
  </mergeCells>
  <conditionalFormatting sqref="H85:H86">
    <cfRule type="cellIs" dxfId="143" priority="1" operator="lessThan">
      <formula>0</formula>
    </cfRule>
  </conditionalFormatting>
  <conditionalFormatting sqref="C22">
    <cfRule type="duplicateValues" dxfId="142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B00-000000000000}">
  <sheetPr codeName="Sheet515">
    <pageSetUpPr fitToPage="1"/>
  </sheetPr>
  <dimension ref="A1:O132"/>
  <sheetViews>
    <sheetView topLeftCell="A22" zoomScaleNormal="100" workbookViewId="0">
      <selection activeCell="E39" sqref="E39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12.85546875" style="1" customWidth="1"/>
    <col min="9" max="9" width="24.85546875" style="2" bestFit="1" customWidth="1"/>
    <col min="10" max="10" width="21.5703125" style="1" bestFit="1" customWidth="1"/>
    <col min="11" max="11" width="16.85546875" style="1" bestFit="1" customWidth="1"/>
    <col min="12" max="12" width="17.28515625" style="1" bestFit="1" customWidth="1"/>
    <col min="13" max="13" width="13.5703125" style="1" bestFit="1" customWidth="1"/>
    <col min="14" max="14" width="17.42578125" style="1" bestFit="1" customWidth="1"/>
    <col min="15" max="15" width="12.85546875" style="1" bestFit="1" customWidth="1"/>
    <col min="16" max="17" width="9.140625" style="1"/>
    <col min="18" max="18" width="15.5703125" style="1" bestFit="1" customWidth="1"/>
    <col min="19" max="16384" width="9.140625" style="1"/>
  </cols>
  <sheetData>
    <row r="1" spans="1:14" ht="20.25" customHeight="1" x14ac:dyDescent="0.4">
      <c r="A1" s="212" t="s">
        <v>1945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4" ht="12.75" customHeight="1" x14ac:dyDescent="0.4">
      <c r="I2" s="112"/>
      <c r="J2" s="112"/>
    </row>
    <row r="3" spans="1:14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4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4" s="2" customFormat="1" ht="14.25" customHeight="1" x14ac:dyDescent="0.4">
      <c r="A5" s="89">
        <v>45296</v>
      </c>
      <c r="B5" s="9" t="s">
        <v>6</v>
      </c>
      <c r="C5" s="10" t="s">
        <v>7</v>
      </c>
      <c r="D5" s="11"/>
      <c r="E5" s="12">
        <v>670047.23000000045</v>
      </c>
      <c r="F5" s="12"/>
      <c r="G5" s="1"/>
      <c r="H5" s="1"/>
      <c r="I5" s="112"/>
      <c r="J5" s="112"/>
    </row>
    <row r="6" spans="1:14" s="2" customFormat="1" ht="14.25" customHeight="1" x14ac:dyDescent="0.4">
      <c r="A6" s="89">
        <v>45296</v>
      </c>
      <c r="B6" s="9" t="s">
        <v>6</v>
      </c>
      <c r="C6" s="10" t="s">
        <v>1067</v>
      </c>
      <c r="D6" s="11" t="s">
        <v>13</v>
      </c>
      <c r="E6" s="12">
        <v>3000000</v>
      </c>
      <c r="F6" s="12"/>
      <c r="G6" s="1"/>
      <c r="H6" s="1"/>
      <c r="I6" s="112"/>
      <c r="J6" s="112"/>
    </row>
    <row r="7" spans="1:14" s="2" customFormat="1" ht="12.75" customHeight="1" x14ac:dyDescent="0.2">
      <c r="D7" s="15" t="s">
        <v>8</v>
      </c>
      <c r="E7" s="16">
        <f>SUM(E5:E6)</f>
        <v>3670047.2300000004</v>
      </c>
      <c r="F7" s="16">
        <f>F5</f>
        <v>0</v>
      </c>
      <c r="G7" s="1"/>
      <c r="H7" s="1"/>
      <c r="I7" s="13" t="s">
        <v>1582</v>
      </c>
      <c r="J7" s="13" t="s">
        <v>1583</v>
      </c>
    </row>
    <row r="8" spans="1:14" s="2" customFormat="1" ht="12.75" customHeight="1" x14ac:dyDescent="0.2">
      <c r="A8" s="17"/>
      <c r="B8" s="18"/>
      <c r="C8" s="19" t="s">
        <v>9</v>
      </c>
      <c r="D8" s="20"/>
      <c r="E8" s="21">
        <f>+E7-F7</f>
        <v>3670047.2300000004</v>
      </c>
      <c r="F8" s="22"/>
      <c r="G8" s="23"/>
      <c r="H8" s="23"/>
      <c r="I8" s="2">
        <v>0</v>
      </c>
      <c r="K8" s="176">
        <f>I8-J8</f>
        <v>0</v>
      </c>
    </row>
    <row r="9" spans="1:14" ht="12.75" customHeight="1" x14ac:dyDescent="0.4">
      <c r="I9" s="112"/>
      <c r="J9" s="112"/>
    </row>
    <row r="10" spans="1:14" ht="18" customHeight="1" x14ac:dyDescent="0.4">
      <c r="A10" s="213" t="s">
        <v>1037</v>
      </c>
      <c r="B10" s="213"/>
      <c r="C10" s="213"/>
      <c r="D10" s="213"/>
      <c r="E10" s="213"/>
      <c r="F10" s="213"/>
      <c r="I10" s="112"/>
      <c r="J10" s="169">
        <f>90000000-60000000</f>
        <v>30000000</v>
      </c>
      <c r="K10" s="169" t="s">
        <v>1508</v>
      </c>
    </row>
    <row r="11" spans="1:14" ht="12.75" customHeight="1" x14ac:dyDescent="0.4">
      <c r="A11" s="3" t="s">
        <v>1</v>
      </c>
      <c r="B11" s="4" t="s">
        <v>2</v>
      </c>
      <c r="C11" s="5"/>
      <c r="D11" s="6" t="s">
        <v>3</v>
      </c>
      <c r="E11" s="7" t="s">
        <v>4</v>
      </c>
      <c r="F11" s="7" t="s">
        <v>5</v>
      </c>
      <c r="I11" s="112"/>
      <c r="J11" s="169">
        <v>25457849.030000001</v>
      </c>
      <c r="K11" s="169" t="s">
        <v>1509</v>
      </c>
      <c r="L11" s="124"/>
    </row>
    <row r="12" spans="1:14" s="2" customFormat="1" ht="14.25" customHeight="1" x14ac:dyDescent="0.2">
      <c r="A12" s="89">
        <v>45296</v>
      </c>
      <c r="B12" s="9" t="s">
        <v>6</v>
      </c>
      <c r="C12" s="10" t="s">
        <v>7</v>
      </c>
      <c r="D12" s="11"/>
      <c r="F12" s="12">
        <v>29246448.220000003</v>
      </c>
      <c r="G12" s="1"/>
      <c r="H12" s="1"/>
      <c r="I12" s="130" t="s">
        <v>396</v>
      </c>
      <c r="J12" s="169">
        <f>+J10-J11</f>
        <v>4542150.9699999988</v>
      </c>
      <c r="K12" s="169" t="s">
        <v>712</v>
      </c>
      <c r="L12" s="165" t="s">
        <v>1512</v>
      </c>
    </row>
    <row r="13" spans="1:14" s="2" customFormat="1" ht="14.25" customHeight="1" x14ac:dyDescent="0.2">
      <c r="A13" s="89">
        <v>45296</v>
      </c>
      <c r="B13" s="9" t="s">
        <v>6</v>
      </c>
      <c r="C13" s="10" t="s">
        <v>1002</v>
      </c>
      <c r="D13" s="11" t="s">
        <v>13</v>
      </c>
      <c r="E13" s="2">
        <v>3800904.21</v>
      </c>
      <c r="F13" s="12"/>
      <c r="G13" s="1"/>
      <c r="H13" s="1"/>
      <c r="I13" s="130"/>
      <c r="J13" s="169"/>
      <c r="K13" s="169"/>
      <c r="L13" s="165"/>
    </row>
    <row r="14" spans="1:14" s="2" customFormat="1" ht="14.25" customHeight="1" x14ac:dyDescent="0.2">
      <c r="A14" s="89">
        <v>45296</v>
      </c>
      <c r="B14" s="128" t="s">
        <v>11</v>
      </c>
      <c r="C14" s="76" t="s">
        <v>1137</v>
      </c>
      <c r="D14" s="11" t="s">
        <v>29</v>
      </c>
      <c r="E14" s="31"/>
      <c r="F14" s="31">
        <v>12305.02</v>
      </c>
      <c r="G14" s="1"/>
      <c r="H14" s="1"/>
      <c r="I14" s="130"/>
      <c r="J14" s="169"/>
      <c r="K14" s="169"/>
      <c r="L14" s="165"/>
    </row>
    <row r="15" spans="1:14" s="2" customFormat="1" ht="14.25" customHeight="1" x14ac:dyDescent="0.2">
      <c r="D15" s="11" t="s">
        <v>8</v>
      </c>
      <c r="E15" s="16">
        <f>SUM(E13:E14)</f>
        <v>3800904.21</v>
      </c>
      <c r="F15" s="16">
        <f>SUM(F12:F14)</f>
        <v>29258753.240000002</v>
      </c>
      <c r="G15" s="1"/>
      <c r="H15" s="1"/>
      <c r="I15" s="143"/>
      <c r="J15" s="130"/>
      <c r="K15" s="143"/>
      <c r="L15" s="143"/>
      <c r="M15" s="143"/>
      <c r="N15" s="143"/>
    </row>
    <row r="16" spans="1:14" s="2" customFormat="1" ht="14.25" customHeight="1" x14ac:dyDescent="0.4">
      <c r="A16" s="17"/>
      <c r="B16" s="18"/>
      <c r="C16" s="96" t="s">
        <v>9</v>
      </c>
      <c r="D16" s="20"/>
      <c r="E16" s="21">
        <f>+F15-E15</f>
        <v>25457849.030000001</v>
      </c>
      <c r="G16" s="1"/>
      <c r="H16" s="1"/>
      <c r="J16" s="112"/>
      <c r="K16" s="153" t="s">
        <v>779</v>
      </c>
    </row>
    <row r="17" spans="1:15" s="2" customFormat="1" ht="14.25" customHeight="1" x14ac:dyDescent="0.2">
      <c r="A17" s="36"/>
      <c r="B17" s="28" t="s">
        <v>66</v>
      </c>
      <c r="C17" s="43" t="s">
        <v>1458</v>
      </c>
      <c r="D17" s="43"/>
      <c r="E17" s="12">
        <f>30000000+60000000</f>
        <v>90000000</v>
      </c>
      <c r="F17" s="22"/>
      <c r="G17" s="1"/>
      <c r="H17" s="1"/>
      <c r="J17" s="40">
        <v>25457849.030000001</v>
      </c>
      <c r="K17" s="154">
        <f>J17-E16</f>
        <v>0</v>
      </c>
    </row>
    <row r="18" spans="1:15" s="2" customFormat="1" ht="14.25" customHeight="1" x14ac:dyDescent="0.25">
      <c r="A18" s="36"/>
      <c r="B18" s="28"/>
      <c r="C18" s="44" t="s">
        <v>1541</v>
      </c>
      <c r="D18" s="43"/>
      <c r="E18" s="7">
        <f>+E16+E17</f>
        <v>115457849.03</v>
      </c>
      <c r="F18" s="22"/>
      <c r="G18" s="1"/>
      <c r="H18" s="1"/>
      <c r="I18" s="13" t="s">
        <v>1582</v>
      </c>
      <c r="J18" s="13" t="s">
        <v>1583</v>
      </c>
    </row>
    <row r="19" spans="1:15" s="2" customFormat="1" ht="14.25" customHeight="1" x14ac:dyDescent="0.25">
      <c r="A19" s="36"/>
      <c r="B19" s="28"/>
      <c r="C19" s="44" t="s">
        <v>1511</v>
      </c>
      <c r="D19" s="43"/>
      <c r="E19" s="38">
        <f>+J12+I8-J8</f>
        <v>4542150.9699999988</v>
      </c>
      <c r="F19" s="22"/>
      <c r="G19" s="1"/>
      <c r="H19" s="1"/>
      <c r="I19" s="2">
        <v>1259539</v>
      </c>
      <c r="J19" s="2">
        <v>3872757</v>
      </c>
      <c r="K19" s="176">
        <f>I19-J19</f>
        <v>-2613218</v>
      </c>
    </row>
    <row r="20" spans="1:15" s="2" customFormat="1" ht="14.25" customHeight="1" x14ac:dyDescent="0.2">
      <c r="A20" s="24"/>
      <c r="B20" s="1"/>
      <c r="C20" s="14"/>
      <c r="D20" s="25"/>
      <c r="G20" s="1"/>
      <c r="H20" s="1"/>
      <c r="J20" s="130"/>
      <c r="K20" s="130"/>
    </row>
    <row r="21" spans="1:15" s="2" customFormat="1" x14ac:dyDescent="0.2">
      <c r="A21" s="214" t="s">
        <v>10</v>
      </c>
      <c r="B21" s="214"/>
      <c r="C21" s="214"/>
      <c r="D21" s="214"/>
      <c r="E21" s="214"/>
      <c r="F21" s="214"/>
      <c r="G21" s="1"/>
      <c r="H21" s="1"/>
      <c r="I21" s="159"/>
      <c r="J21" s="160">
        <v>100000000</v>
      </c>
      <c r="K21" s="160" t="s">
        <v>1506</v>
      </c>
      <c r="L21" s="70"/>
    </row>
    <row r="22" spans="1:15" s="2" customFormat="1" x14ac:dyDescent="0.2">
      <c r="A22" s="26" t="s">
        <v>1</v>
      </c>
      <c r="B22" s="27" t="s">
        <v>2</v>
      </c>
      <c r="C22" s="5"/>
      <c r="D22" s="6" t="s">
        <v>3</v>
      </c>
      <c r="E22" s="7" t="s">
        <v>4</v>
      </c>
      <c r="F22" s="7" t="s">
        <v>5</v>
      </c>
      <c r="G22" s="1"/>
      <c r="H22" s="1"/>
      <c r="I22" s="159"/>
      <c r="J22" s="160">
        <v>95700632.409999996</v>
      </c>
      <c r="K22" s="160" t="s">
        <v>1507</v>
      </c>
      <c r="L22" s="70" t="s">
        <v>1512</v>
      </c>
    </row>
    <row r="23" spans="1:15" s="2" customFormat="1" x14ac:dyDescent="0.2">
      <c r="A23" s="89">
        <v>45296</v>
      </c>
      <c r="B23" s="128" t="s">
        <v>11</v>
      </c>
      <c r="C23" s="29" t="s">
        <v>7</v>
      </c>
      <c r="D23" s="25"/>
      <c r="E23" s="31"/>
      <c r="F23" s="2">
        <v>133934767.40999998</v>
      </c>
      <c r="G23" s="23"/>
      <c r="H23" s="23"/>
      <c r="I23" s="159" t="s">
        <v>1505</v>
      </c>
      <c r="J23" s="160">
        <f>+J21-J22</f>
        <v>4299367.5900000036</v>
      </c>
      <c r="K23" s="160"/>
      <c r="L23" s="70"/>
    </row>
    <row r="24" spans="1:15" s="2" customFormat="1" x14ac:dyDescent="0.2">
      <c r="A24" s="89">
        <v>45296</v>
      </c>
      <c r="B24" s="128" t="s">
        <v>6</v>
      </c>
      <c r="C24" s="76" t="s">
        <v>1922</v>
      </c>
      <c r="D24" s="11" t="s">
        <v>13</v>
      </c>
      <c r="E24" s="31">
        <v>4725</v>
      </c>
      <c r="F24" s="70"/>
      <c r="G24" s="1"/>
      <c r="H24" s="1"/>
      <c r="O24" s="1"/>
    </row>
    <row r="25" spans="1:15" s="2" customFormat="1" x14ac:dyDescent="0.2">
      <c r="A25" s="89">
        <v>45296</v>
      </c>
      <c r="B25" s="128" t="s">
        <v>6</v>
      </c>
      <c r="C25" s="76" t="s">
        <v>299</v>
      </c>
      <c r="D25" s="11" t="s">
        <v>13</v>
      </c>
      <c r="E25" s="31">
        <v>80943</v>
      </c>
      <c r="F25" s="70"/>
      <c r="G25" s="1"/>
      <c r="H25" s="1"/>
      <c r="O25" s="1"/>
    </row>
    <row r="26" spans="1:15" s="2" customFormat="1" x14ac:dyDescent="0.2">
      <c r="A26" s="89">
        <v>45296</v>
      </c>
      <c r="B26" s="128" t="s">
        <v>6</v>
      </c>
      <c r="C26" s="76" t="s">
        <v>1946</v>
      </c>
      <c r="D26" s="11" t="s">
        <v>13</v>
      </c>
      <c r="E26" s="31">
        <v>30975</v>
      </c>
      <c r="F26" s="70"/>
      <c r="G26" s="1"/>
      <c r="H26" s="1"/>
      <c r="O26" s="1"/>
    </row>
    <row r="27" spans="1:15" s="2" customFormat="1" x14ac:dyDescent="0.2">
      <c r="A27" s="89">
        <v>45296</v>
      </c>
      <c r="B27" s="128" t="s">
        <v>6</v>
      </c>
      <c r="C27" s="76" t="s">
        <v>694</v>
      </c>
      <c r="D27" s="11" t="s">
        <v>13</v>
      </c>
      <c r="E27" s="31">
        <v>1000000</v>
      </c>
      <c r="F27" s="70"/>
      <c r="G27" s="1"/>
      <c r="H27" s="1"/>
      <c r="O27" s="1"/>
    </row>
    <row r="28" spans="1:15" s="2" customFormat="1" x14ac:dyDescent="0.2">
      <c r="A28" s="89">
        <v>45296</v>
      </c>
      <c r="B28" s="128" t="s">
        <v>6</v>
      </c>
      <c r="C28" s="76" t="s">
        <v>430</v>
      </c>
      <c r="D28" s="11" t="s">
        <v>13</v>
      </c>
      <c r="E28" s="31">
        <v>66396</v>
      </c>
      <c r="F28" s="70"/>
      <c r="G28" s="1"/>
      <c r="H28" s="1"/>
      <c r="O28" s="1"/>
    </row>
    <row r="29" spans="1:15" s="2" customFormat="1" x14ac:dyDescent="0.2">
      <c r="A29" s="89">
        <v>45296</v>
      </c>
      <c r="B29" s="128" t="s">
        <v>6</v>
      </c>
      <c r="C29" s="76" t="s">
        <v>969</v>
      </c>
      <c r="D29" s="11" t="s">
        <v>13</v>
      </c>
      <c r="E29" s="31">
        <v>5513</v>
      </c>
      <c r="F29" s="70"/>
      <c r="G29" s="1"/>
      <c r="H29" s="1"/>
      <c r="O29" s="1"/>
    </row>
    <row r="30" spans="1:15" s="2" customFormat="1" x14ac:dyDescent="0.2">
      <c r="A30" s="89">
        <v>45296</v>
      </c>
      <c r="B30" s="128" t="s">
        <v>6</v>
      </c>
      <c r="C30" s="76" t="s">
        <v>1940</v>
      </c>
      <c r="D30" s="11" t="s">
        <v>13</v>
      </c>
      <c r="E30" s="31">
        <v>73870</v>
      </c>
      <c r="F30" s="70"/>
      <c r="G30" s="1"/>
      <c r="H30" s="1"/>
      <c r="O30" s="1"/>
    </row>
    <row r="31" spans="1:15" s="2" customFormat="1" x14ac:dyDescent="0.2">
      <c r="A31" s="89">
        <v>45296</v>
      </c>
      <c r="B31" s="128" t="s">
        <v>6</v>
      </c>
      <c r="C31" s="76" t="s">
        <v>316</v>
      </c>
      <c r="D31" s="11" t="s">
        <v>13</v>
      </c>
      <c r="E31" s="31">
        <v>66518</v>
      </c>
      <c r="F31" s="70"/>
      <c r="G31" s="1"/>
      <c r="H31" s="1"/>
      <c r="O31" s="1"/>
    </row>
    <row r="32" spans="1:15" s="2" customFormat="1" x14ac:dyDescent="0.2">
      <c r="A32" s="89">
        <v>45296</v>
      </c>
      <c r="B32" s="128" t="s">
        <v>6</v>
      </c>
      <c r="C32" s="76" t="s">
        <v>1155</v>
      </c>
      <c r="D32" s="11" t="s">
        <v>13</v>
      </c>
      <c r="E32" s="31">
        <v>50000000</v>
      </c>
      <c r="F32" s="70"/>
      <c r="G32" s="1"/>
      <c r="H32" s="1"/>
      <c r="O32" s="1"/>
    </row>
    <row r="33" spans="1:15" s="2" customFormat="1" x14ac:dyDescent="0.2">
      <c r="A33" s="89">
        <v>45296</v>
      </c>
      <c r="B33" s="128" t="s">
        <v>6</v>
      </c>
      <c r="C33" s="76" t="s">
        <v>163</v>
      </c>
      <c r="D33" s="11" t="s">
        <v>13</v>
      </c>
      <c r="E33" s="31">
        <v>51420</v>
      </c>
      <c r="F33" s="70"/>
      <c r="G33" s="1"/>
      <c r="H33" s="1"/>
      <c r="O33" s="1"/>
    </row>
    <row r="34" spans="1:15" s="2" customFormat="1" x14ac:dyDescent="0.2">
      <c r="A34" s="89">
        <v>45296</v>
      </c>
      <c r="B34" s="128" t="s">
        <v>6</v>
      </c>
      <c r="C34" s="76" t="s">
        <v>177</v>
      </c>
      <c r="D34" s="11" t="s">
        <v>13</v>
      </c>
      <c r="E34" s="31">
        <v>116204</v>
      </c>
      <c r="F34" s="70"/>
      <c r="G34" s="1"/>
      <c r="H34" s="1"/>
      <c r="O34" s="1"/>
    </row>
    <row r="35" spans="1:15" s="2" customFormat="1" x14ac:dyDescent="0.2">
      <c r="A35" s="89">
        <v>45296</v>
      </c>
      <c r="B35" s="128" t="s">
        <v>6</v>
      </c>
      <c r="C35" s="76" t="s">
        <v>607</v>
      </c>
      <c r="D35" s="11" t="s">
        <v>13</v>
      </c>
      <c r="E35" s="31">
        <v>8400</v>
      </c>
      <c r="F35" s="70"/>
      <c r="G35" s="1"/>
      <c r="H35" s="1"/>
      <c r="O35" s="1"/>
    </row>
    <row r="36" spans="1:15" s="2" customFormat="1" x14ac:dyDescent="0.2">
      <c r="A36" s="89">
        <v>45296</v>
      </c>
      <c r="B36" s="128" t="s">
        <v>6</v>
      </c>
      <c r="C36" s="76" t="s">
        <v>1750</v>
      </c>
      <c r="D36" s="11" t="s">
        <v>13</v>
      </c>
      <c r="E36" s="31">
        <v>9450</v>
      </c>
      <c r="F36" s="70"/>
      <c r="G36" s="1"/>
      <c r="H36" s="1"/>
      <c r="O36" s="1"/>
    </row>
    <row r="37" spans="1:15" s="2" customFormat="1" x14ac:dyDescent="0.2">
      <c r="A37" s="89">
        <v>45296</v>
      </c>
      <c r="B37" s="128" t="s">
        <v>6</v>
      </c>
      <c r="C37" s="76" t="s">
        <v>16</v>
      </c>
      <c r="D37" s="11" t="s">
        <v>13</v>
      </c>
      <c r="E37" s="31">
        <v>735</v>
      </c>
      <c r="F37" s="70"/>
      <c r="G37" s="1"/>
      <c r="H37" s="1"/>
      <c r="O37" s="1"/>
    </row>
    <row r="38" spans="1:15" s="2" customFormat="1" x14ac:dyDescent="0.2">
      <c r="A38" s="89">
        <v>45296</v>
      </c>
      <c r="B38" s="128" t="s">
        <v>6</v>
      </c>
      <c r="C38" s="76" t="s">
        <v>276</v>
      </c>
      <c r="D38" s="11" t="s">
        <v>13</v>
      </c>
      <c r="E38" s="31">
        <v>68238</v>
      </c>
      <c r="F38" s="70"/>
      <c r="G38" s="1"/>
      <c r="H38" s="1"/>
      <c r="O38" s="1"/>
    </row>
    <row r="39" spans="1:15" s="2" customFormat="1" x14ac:dyDescent="0.2">
      <c r="A39" s="89">
        <v>45296</v>
      </c>
      <c r="B39" s="128" t="s">
        <v>6</v>
      </c>
      <c r="C39" s="76" t="s">
        <v>149</v>
      </c>
      <c r="D39" s="11" t="s">
        <v>13</v>
      </c>
      <c r="E39" s="31">
        <v>11417</v>
      </c>
      <c r="F39" s="70"/>
      <c r="G39" s="1"/>
      <c r="H39" s="1"/>
      <c r="O39" s="1"/>
    </row>
    <row r="40" spans="1:15" s="2" customFormat="1" x14ac:dyDescent="0.2">
      <c r="A40" s="89">
        <v>45296</v>
      </c>
      <c r="B40" s="128" t="s">
        <v>11</v>
      </c>
      <c r="C40" s="76" t="s">
        <v>64</v>
      </c>
      <c r="D40" s="11" t="s">
        <v>29</v>
      </c>
      <c r="E40" s="31"/>
      <c r="F40" s="70">
        <v>3540</v>
      </c>
      <c r="G40" s="1"/>
      <c r="H40" s="1"/>
      <c r="O40" s="1"/>
    </row>
    <row r="41" spans="1:15" s="2" customFormat="1" x14ac:dyDescent="0.2">
      <c r="A41" s="89">
        <v>45296</v>
      </c>
      <c r="B41" s="128" t="s">
        <v>11</v>
      </c>
      <c r="C41" s="76" t="s">
        <v>183</v>
      </c>
      <c r="D41" s="11" t="s">
        <v>29</v>
      </c>
      <c r="E41" s="31"/>
      <c r="F41" s="70">
        <v>20623</v>
      </c>
      <c r="G41" s="1"/>
      <c r="H41" s="1"/>
      <c r="O41" s="1"/>
    </row>
    <row r="42" spans="1:15" s="2" customFormat="1" x14ac:dyDescent="0.2">
      <c r="A42" s="89">
        <v>45296</v>
      </c>
      <c r="B42" s="128" t="s">
        <v>11</v>
      </c>
      <c r="C42" s="76" t="s">
        <v>687</v>
      </c>
      <c r="D42" s="11" t="s">
        <v>29</v>
      </c>
      <c r="E42" s="31"/>
      <c r="F42" s="70">
        <v>629824</v>
      </c>
      <c r="G42" s="1"/>
      <c r="H42" s="1"/>
      <c r="O42" s="1"/>
    </row>
    <row r="43" spans="1:15" s="2" customFormat="1" x14ac:dyDescent="0.2">
      <c r="A43" s="89">
        <v>45296</v>
      </c>
      <c r="B43" s="128" t="s">
        <v>11</v>
      </c>
      <c r="C43" s="76" t="s">
        <v>109</v>
      </c>
      <c r="D43" s="11" t="s">
        <v>29</v>
      </c>
      <c r="E43" s="31"/>
      <c r="F43" s="70">
        <v>1528519</v>
      </c>
      <c r="G43" s="1"/>
      <c r="H43" s="1"/>
      <c r="O43" s="1"/>
    </row>
    <row r="44" spans="1:15" s="2" customFormat="1" x14ac:dyDescent="0.2">
      <c r="A44" s="89">
        <v>45296</v>
      </c>
      <c r="B44" s="128" t="s">
        <v>11</v>
      </c>
      <c r="C44" s="76" t="s">
        <v>126</v>
      </c>
      <c r="D44" s="11" t="s">
        <v>29</v>
      </c>
      <c r="E44" s="31"/>
      <c r="F44" s="70">
        <v>1155499</v>
      </c>
      <c r="G44" s="1"/>
      <c r="H44" s="1"/>
      <c r="O44" s="1"/>
    </row>
    <row r="45" spans="1:15" s="2" customFormat="1" x14ac:dyDescent="0.2">
      <c r="A45" s="89">
        <v>45296</v>
      </c>
      <c r="B45" s="128" t="s">
        <v>11</v>
      </c>
      <c r="C45" s="76" t="s">
        <v>123</v>
      </c>
      <c r="D45" s="11" t="s">
        <v>29</v>
      </c>
      <c r="E45" s="31"/>
      <c r="F45" s="70">
        <v>3256831</v>
      </c>
      <c r="G45" s="1"/>
      <c r="H45" s="1"/>
      <c r="O45" s="1"/>
    </row>
    <row r="46" spans="1:15" s="2" customFormat="1" x14ac:dyDescent="0.2">
      <c r="A46" s="89">
        <v>45296</v>
      </c>
      <c r="B46" s="128" t="s">
        <v>11</v>
      </c>
      <c r="C46" s="76" t="s">
        <v>118</v>
      </c>
      <c r="D46" s="11" t="s">
        <v>29</v>
      </c>
      <c r="E46" s="31"/>
      <c r="F46" s="70">
        <v>400000</v>
      </c>
      <c r="G46" s="1"/>
      <c r="H46" s="1"/>
      <c r="O46" s="1"/>
    </row>
    <row r="47" spans="1:15" s="2" customFormat="1" x14ac:dyDescent="0.2">
      <c r="A47" s="89">
        <v>45296</v>
      </c>
      <c r="B47" s="128" t="s">
        <v>11</v>
      </c>
      <c r="C47" s="76" t="s">
        <v>1947</v>
      </c>
      <c r="D47" s="11" t="s">
        <v>29</v>
      </c>
      <c r="E47" s="31"/>
      <c r="F47" s="70">
        <v>33500</v>
      </c>
      <c r="G47" s="1"/>
      <c r="H47" s="1"/>
      <c r="O47" s="1"/>
    </row>
    <row r="48" spans="1:15" s="2" customFormat="1" x14ac:dyDescent="0.2">
      <c r="A48" s="89">
        <v>45296</v>
      </c>
      <c r="B48" s="128" t="s">
        <v>11</v>
      </c>
      <c r="C48" s="76" t="s">
        <v>45</v>
      </c>
      <c r="D48" s="11" t="s">
        <v>29</v>
      </c>
      <c r="E48" s="31"/>
      <c r="F48" s="70">
        <v>715884</v>
      </c>
      <c r="G48" s="1"/>
      <c r="H48" s="1"/>
      <c r="O48" s="1"/>
    </row>
    <row r="49" spans="1:15" s="2" customFormat="1" x14ac:dyDescent="0.2">
      <c r="A49" s="89">
        <v>45296</v>
      </c>
      <c r="B49" s="128" t="s">
        <v>11</v>
      </c>
      <c r="C49" s="76" t="s">
        <v>452</v>
      </c>
      <c r="D49" s="11" t="s">
        <v>29</v>
      </c>
      <c r="E49" s="31"/>
      <c r="F49" s="70">
        <v>163514</v>
      </c>
      <c r="G49" s="1"/>
      <c r="H49" s="1"/>
      <c r="O49" s="1"/>
    </row>
    <row r="50" spans="1:15" s="2" customFormat="1" x14ac:dyDescent="0.2">
      <c r="A50" s="89">
        <v>45296</v>
      </c>
      <c r="B50" s="128" t="s">
        <v>11</v>
      </c>
      <c r="C50" s="76" t="s">
        <v>561</v>
      </c>
      <c r="D50" s="11" t="s">
        <v>29</v>
      </c>
      <c r="E50" s="31"/>
      <c r="F50" s="70">
        <v>760842</v>
      </c>
      <c r="G50" s="1"/>
      <c r="H50" s="1"/>
      <c r="O50" s="1"/>
    </row>
    <row r="51" spans="1:15" s="2" customFormat="1" x14ac:dyDescent="0.2">
      <c r="A51" s="89">
        <v>45296</v>
      </c>
      <c r="B51" s="128" t="s">
        <v>11</v>
      </c>
      <c r="C51" s="76" t="s">
        <v>57</v>
      </c>
      <c r="D51" s="11" t="s">
        <v>29</v>
      </c>
      <c r="E51" s="31"/>
      <c r="F51" s="70">
        <v>1500000</v>
      </c>
      <c r="G51" s="1"/>
      <c r="H51" s="1"/>
      <c r="O51" s="1"/>
    </row>
    <row r="52" spans="1:15" s="2" customFormat="1" x14ac:dyDescent="0.2">
      <c r="A52" s="89">
        <v>45296</v>
      </c>
      <c r="B52" s="128" t="s">
        <v>11</v>
      </c>
      <c r="C52" s="76" t="s">
        <v>735</v>
      </c>
      <c r="D52" s="11" t="s">
        <v>29</v>
      </c>
      <c r="E52" s="31"/>
      <c r="F52" s="70">
        <v>1821016</v>
      </c>
      <c r="G52" s="1"/>
      <c r="H52" s="1"/>
      <c r="O52" s="1"/>
    </row>
    <row r="53" spans="1:15" s="2" customFormat="1" x14ac:dyDescent="0.2">
      <c r="A53" s="89">
        <v>45296</v>
      </c>
      <c r="B53" s="128" t="s">
        <v>11</v>
      </c>
      <c r="C53" s="76" t="s">
        <v>194</v>
      </c>
      <c r="D53" s="11" t="s">
        <v>29</v>
      </c>
      <c r="E53" s="31"/>
      <c r="F53" s="70">
        <v>621635</v>
      </c>
      <c r="G53" s="1"/>
      <c r="H53" s="1"/>
      <c r="O53" s="1"/>
    </row>
    <row r="54" spans="1:15" s="2" customFormat="1" x14ac:dyDescent="0.2">
      <c r="A54" s="89">
        <v>45296</v>
      </c>
      <c r="B54" s="128" t="s">
        <v>11</v>
      </c>
      <c r="C54" s="76" t="s">
        <v>790</v>
      </c>
      <c r="D54" s="11" t="s">
        <v>29</v>
      </c>
      <c r="E54" s="31"/>
      <c r="F54" s="70">
        <v>1816858</v>
      </c>
      <c r="G54" s="1"/>
      <c r="H54" s="1"/>
      <c r="O54" s="1"/>
    </row>
    <row r="55" spans="1:15" s="2" customFormat="1" x14ac:dyDescent="0.2">
      <c r="A55" s="89">
        <v>45296</v>
      </c>
      <c r="B55" s="128" t="s">
        <v>11</v>
      </c>
      <c r="C55" s="76" t="s">
        <v>849</v>
      </c>
      <c r="D55" s="11" t="s">
        <v>29</v>
      </c>
      <c r="E55" s="31"/>
      <c r="F55" s="70">
        <v>190702</v>
      </c>
      <c r="G55" s="1"/>
      <c r="H55" s="1"/>
      <c r="O55" s="1"/>
    </row>
    <row r="56" spans="1:15" s="2" customFormat="1" x14ac:dyDescent="0.2">
      <c r="A56" s="89">
        <v>45296</v>
      </c>
      <c r="B56" s="128" t="s">
        <v>11</v>
      </c>
      <c r="C56" s="76" t="s">
        <v>745</v>
      </c>
      <c r="D56" s="11" t="s">
        <v>29</v>
      </c>
      <c r="E56" s="31"/>
      <c r="F56" s="70">
        <v>654276</v>
      </c>
      <c r="G56" s="1"/>
      <c r="H56" s="1"/>
      <c r="O56" s="1"/>
    </row>
    <row r="57" spans="1:15" s="2" customFormat="1" x14ac:dyDescent="0.2">
      <c r="A57" s="89">
        <v>45296</v>
      </c>
      <c r="B57" s="128" t="s">
        <v>11</v>
      </c>
      <c r="C57" s="76" t="s">
        <v>193</v>
      </c>
      <c r="D57" s="11" t="s">
        <v>29</v>
      </c>
      <c r="E57" s="31"/>
      <c r="F57" s="70">
        <v>567328</v>
      </c>
      <c r="G57" s="1"/>
      <c r="H57" s="1"/>
      <c r="O57" s="1"/>
    </row>
    <row r="58" spans="1:15" s="2" customFormat="1" x14ac:dyDescent="0.2">
      <c r="A58" s="89">
        <v>45296</v>
      </c>
      <c r="B58" s="128" t="s">
        <v>11</v>
      </c>
      <c r="C58" s="76" t="s">
        <v>300</v>
      </c>
      <c r="D58" s="11" t="s">
        <v>29</v>
      </c>
      <c r="E58" s="31"/>
      <c r="F58" s="70">
        <v>133496</v>
      </c>
      <c r="G58" s="1"/>
      <c r="H58" s="1"/>
      <c r="O58" s="1"/>
    </row>
    <row r="59" spans="1:15" s="2" customFormat="1" x14ac:dyDescent="0.2">
      <c r="A59" s="32"/>
      <c r="B59" s="33"/>
      <c r="C59" s="14"/>
      <c r="D59" s="34"/>
      <c r="E59" s="16">
        <f>SUM(E23:E58)</f>
        <v>51594804</v>
      </c>
      <c r="F59" s="16">
        <f>SUM(F23:F58)</f>
        <v>149908654.40999997</v>
      </c>
      <c r="G59" s="1"/>
      <c r="H59" s="1"/>
      <c r="I59" s="1"/>
      <c r="J59" s="38">
        <v>98313850.409999996</v>
      </c>
      <c r="L59" s="92">
        <f>E60-J59</f>
        <v>0</v>
      </c>
      <c r="O59" s="1"/>
    </row>
    <row r="60" spans="1:15" s="2" customFormat="1" x14ac:dyDescent="0.2">
      <c r="A60" s="36"/>
      <c r="B60" s="28" t="s">
        <v>11</v>
      </c>
      <c r="C60" s="19" t="s">
        <v>65</v>
      </c>
      <c r="D60" s="37"/>
      <c r="E60" s="38">
        <f>F59-E59</f>
        <v>98313850.409999967</v>
      </c>
      <c r="F60" s="22"/>
      <c r="G60" s="1"/>
      <c r="H60" s="1"/>
      <c r="I60" s="1"/>
      <c r="J60" s="70"/>
      <c r="K60" s="70"/>
      <c r="L60" s="70"/>
      <c r="O60" s="1"/>
    </row>
    <row r="61" spans="1:15" s="2" customFormat="1" x14ac:dyDescent="0.2">
      <c r="A61" s="36"/>
      <c r="B61" s="28" t="s">
        <v>66</v>
      </c>
      <c r="C61" s="19" t="s">
        <v>67</v>
      </c>
      <c r="D61" s="37"/>
      <c r="E61" s="38">
        <v>0</v>
      </c>
      <c r="F61" s="22"/>
      <c r="G61" s="1"/>
      <c r="H61" s="1"/>
      <c r="I61" s="70"/>
      <c r="J61" s="70"/>
      <c r="K61" s="70"/>
      <c r="L61" s="70"/>
      <c r="O61" s="1"/>
    </row>
    <row r="62" spans="1:15" s="2" customFormat="1" x14ac:dyDescent="0.2">
      <c r="A62" s="36"/>
      <c r="B62" s="28" t="s">
        <v>66</v>
      </c>
      <c r="C62" s="43" t="s">
        <v>1457</v>
      </c>
      <c r="D62" s="43"/>
      <c r="E62" s="12">
        <v>400000000</v>
      </c>
      <c r="F62" s="22"/>
      <c r="G62" s="1"/>
      <c r="H62" s="1"/>
      <c r="I62" s="70"/>
      <c r="J62" s="45">
        <v>213.18</v>
      </c>
      <c r="K62" s="46"/>
      <c r="L62" s="46"/>
      <c r="O62" s="1"/>
    </row>
    <row r="63" spans="1:15" s="2" customFormat="1" ht="15" x14ac:dyDescent="0.25">
      <c r="A63" s="36"/>
      <c r="B63" s="28"/>
      <c r="C63" s="44" t="s">
        <v>1541</v>
      </c>
      <c r="D63" s="43"/>
      <c r="E63" s="7">
        <f>+E62+E60+E61</f>
        <v>498313850.40999997</v>
      </c>
      <c r="F63" s="22"/>
      <c r="G63" s="1"/>
      <c r="H63" s="1"/>
      <c r="I63" s="103" t="s">
        <v>69</v>
      </c>
      <c r="J63" s="45">
        <v>-11.44</v>
      </c>
      <c r="K63" s="46"/>
      <c r="L63" s="46"/>
      <c r="O63" s="1"/>
    </row>
    <row r="64" spans="1:15" s="2" customFormat="1" ht="15" x14ac:dyDescent="0.25">
      <c r="A64" s="24"/>
      <c r="B64" s="1"/>
      <c r="C64" s="44" t="s">
        <v>1510</v>
      </c>
      <c r="D64" s="25"/>
      <c r="E64" s="156">
        <f>+J23-E61+I19-J19</f>
        <v>1686149.5900000036</v>
      </c>
      <c r="G64" s="1"/>
      <c r="H64" s="1"/>
      <c r="I64" s="35">
        <v>1</v>
      </c>
      <c r="J64" s="45">
        <v>0</v>
      </c>
      <c r="K64" s="46">
        <f>+J65-D67</f>
        <v>0</v>
      </c>
      <c r="O64" s="1"/>
    </row>
    <row r="65" spans="1:14" s="124" customFormat="1" ht="12.75" customHeight="1" x14ac:dyDescent="0.2">
      <c r="A65" s="24"/>
      <c r="B65" s="1"/>
      <c r="C65" s="56"/>
      <c r="D65" s="56"/>
      <c r="E65" s="104"/>
      <c r="F65" s="2"/>
      <c r="G65" s="166"/>
      <c r="H65" s="166"/>
      <c r="I65" s="70"/>
      <c r="J65" s="49">
        <f>SUM(J62:J64)</f>
        <v>201.74</v>
      </c>
      <c r="K65" s="46"/>
      <c r="L65" s="46"/>
    </row>
    <row r="66" spans="1:14" s="124" customFormat="1" ht="12.75" customHeight="1" x14ac:dyDescent="0.2">
      <c r="A66" s="24"/>
      <c r="B66" s="1"/>
      <c r="C66" s="78" t="s">
        <v>575</v>
      </c>
      <c r="D66" s="48" t="s">
        <v>576</v>
      </c>
      <c r="E66" s="104"/>
      <c r="F66" s="2"/>
      <c r="G66" s="168"/>
      <c r="H66" s="168"/>
      <c r="I66" s="167"/>
      <c r="J66" s="167"/>
      <c r="K66" s="168"/>
    </row>
    <row r="67" spans="1:14" s="124" customFormat="1" ht="12.75" customHeight="1" x14ac:dyDescent="0.2">
      <c r="A67" s="24"/>
      <c r="B67" s="1"/>
      <c r="C67" s="47" t="s">
        <v>570</v>
      </c>
      <c r="D67" s="111">
        <v>201.74</v>
      </c>
      <c r="E67" s="104"/>
      <c r="F67" s="2"/>
      <c r="G67" s="168"/>
      <c r="H67" s="168"/>
      <c r="I67" s="110" t="s">
        <v>581</v>
      </c>
      <c r="J67" s="167"/>
      <c r="K67" s="168"/>
    </row>
    <row r="68" spans="1:14" s="124" customFormat="1" ht="12.75" customHeight="1" x14ac:dyDescent="0.2">
      <c r="A68" s="24"/>
      <c r="B68" s="1"/>
      <c r="C68" s="47" t="s">
        <v>931</v>
      </c>
      <c r="D68" s="111">
        <v>54.06</v>
      </c>
      <c r="E68" s="104"/>
      <c r="F68" s="2"/>
      <c r="G68" s="168"/>
      <c r="H68" s="168"/>
      <c r="I68" s="110" t="s">
        <v>580</v>
      </c>
      <c r="J68" s="167"/>
      <c r="K68" s="168"/>
    </row>
    <row r="69" spans="1:14" s="124" customFormat="1" ht="12.75" customHeight="1" x14ac:dyDescent="0.2">
      <c r="A69" s="24"/>
      <c r="B69" s="1"/>
      <c r="C69" s="47" t="s">
        <v>572</v>
      </c>
      <c r="D69" s="111">
        <f>+D92/100000</f>
        <v>120.6929234</v>
      </c>
      <c r="E69" s="104"/>
      <c r="F69" s="2"/>
      <c r="G69" s="166"/>
      <c r="H69" s="166"/>
      <c r="I69" s="90" t="s">
        <v>587</v>
      </c>
      <c r="J69" s="167"/>
      <c r="K69" s="168"/>
    </row>
    <row r="70" spans="1:14" s="2" customFormat="1" x14ac:dyDescent="0.2">
      <c r="A70" s="24"/>
      <c r="B70" s="1"/>
      <c r="C70" s="108" t="s">
        <v>578</v>
      </c>
      <c r="D70" s="48">
        <f>SUM(D67:D69)</f>
        <v>376.4929234</v>
      </c>
      <c r="E70" s="104"/>
      <c r="G70" s="30"/>
      <c r="H70" s="30"/>
      <c r="J70" s="13"/>
      <c r="K70" s="13"/>
    </row>
    <row r="71" spans="1:14" s="70" customFormat="1" x14ac:dyDescent="0.2">
      <c r="A71" s="24"/>
      <c r="B71" s="1"/>
      <c r="C71" s="47"/>
      <c r="D71" s="107"/>
      <c r="E71" s="104"/>
      <c r="F71" s="2"/>
      <c r="G71" s="30"/>
      <c r="H71" s="30"/>
      <c r="I71" s="2"/>
    </row>
    <row r="72" spans="1:14" s="70" customFormat="1" x14ac:dyDescent="0.2">
      <c r="A72" s="24"/>
      <c r="B72" s="1"/>
      <c r="C72" s="47" t="s">
        <v>932</v>
      </c>
      <c r="D72" s="111">
        <v>0</v>
      </c>
      <c r="E72" s="104"/>
      <c r="F72" s="2"/>
      <c r="G72" s="30"/>
      <c r="H72" s="30"/>
      <c r="I72" s="110" t="s">
        <v>581</v>
      </c>
    </row>
    <row r="73" spans="1:14" s="70" customFormat="1" x14ac:dyDescent="0.2">
      <c r="A73" s="24"/>
      <c r="B73" s="1"/>
      <c r="C73" s="136" t="s">
        <v>1142</v>
      </c>
      <c r="D73" s="111">
        <v>215.38</v>
      </c>
      <c r="E73" s="104"/>
      <c r="F73" s="2"/>
      <c r="G73" s="30"/>
      <c r="H73" s="30"/>
      <c r="I73" s="110" t="s">
        <v>581</v>
      </c>
    </row>
    <row r="74" spans="1:14" s="70" customFormat="1" x14ac:dyDescent="0.2">
      <c r="A74" s="24"/>
      <c r="B74" s="1"/>
      <c r="C74" s="78" t="s">
        <v>579</v>
      </c>
      <c r="D74" s="109">
        <f>D72+D73</f>
        <v>215.38</v>
      </c>
      <c r="E74" s="104"/>
      <c r="F74" s="2"/>
      <c r="G74" s="30"/>
      <c r="H74" s="30"/>
    </row>
    <row r="75" spans="1:14" s="70" customFormat="1" x14ac:dyDescent="0.2">
      <c r="A75" s="24"/>
      <c r="B75" s="1"/>
      <c r="C75" s="105"/>
      <c r="D75" s="106"/>
      <c r="E75" s="104"/>
      <c r="F75" s="2"/>
      <c r="G75" s="30"/>
      <c r="H75" s="30"/>
      <c r="J75" s="2"/>
      <c r="K75" s="221" t="str">
        <f>"FROM ( 01-01-2024 to "&amp;TEXT(A5,"dd-mm-yyyy")&amp;" )"</f>
        <v>FROM ( 01-01-2024 to 05-01-2024 )</v>
      </c>
      <c r="L75" s="221"/>
      <c r="M75" s="2"/>
      <c r="N75" s="2"/>
    </row>
    <row r="76" spans="1:14" s="70" customFormat="1" x14ac:dyDescent="0.2">
      <c r="A76" s="24"/>
      <c r="B76" s="1"/>
      <c r="C76" s="78" t="s">
        <v>577</v>
      </c>
      <c r="D76" s="109">
        <f>D67+D74</f>
        <v>417.12</v>
      </c>
      <c r="E76" s="104"/>
      <c r="F76" s="2"/>
      <c r="G76" s="30"/>
      <c r="H76" s="30"/>
      <c r="J76" s="113"/>
      <c r="K76" s="113" t="s">
        <v>709</v>
      </c>
      <c r="L76" s="113" t="s">
        <v>710</v>
      </c>
      <c r="M76" s="113" t="s">
        <v>711</v>
      </c>
      <c r="N76" s="113" t="s">
        <v>712</v>
      </c>
    </row>
    <row r="77" spans="1:14" s="70" customFormat="1" x14ac:dyDescent="0.2">
      <c r="A77" s="24"/>
      <c r="B77" s="1"/>
      <c r="C77" s="56"/>
      <c r="D77" s="56"/>
      <c r="E77" s="104"/>
      <c r="F77" s="2"/>
      <c r="G77" s="30"/>
      <c r="H77" s="30"/>
      <c r="J77" s="113" t="s">
        <v>1860</v>
      </c>
      <c r="K77" s="115">
        <v>189.89</v>
      </c>
      <c r="L77" s="115">
        <v>56.31</v>
      </c>
      <c r="M77" s="115">
        <v>58.41</v>
      </c>
      <c r="N77" s="113">
        <f>+K77+M77-L77</f>
        <v>191.98999999999998</v>
      </c>
    </row>
    <row r="78" spans="1:14" s="70" customFormat="1" ht="38.25" x14ac:dyDescent="0.2">
      <c r="A78" s="24"/>
      <c r="B78" s="1"/>
      <c r="C78" s="79" t="str">
        <f>"Particulars ( 01-01-2024 to "&amp;TEXT(A5,"dd-mm-yyyy")&amp;" )"</f>
        <v>Particulars ( 01-01-2024 to 05-01-2024 )</v>
      </c>
      <c r="D78" s="79" t="s">
        <v>7</v>
      </c>
      <c r="E78" s="80" t="s">
        <v>73</v>
      </c>
      <c r="F78" s="80" t="s">
        <v>74</v>
      </c>
      <c r="G78" s="81" t="s">
        <v>75</v>
      </c>
      <c r="H78" s="80" t="s">
        <v>76</v>
      </c>
      <c r="J78" s="113" t="s">
        <v>1861</v>
      </c>
      <c r="K78" s="115">
        <v>1669.19</v>
      </c>
      <c r="L78" s="115">
        <v>120.69</v>
      </c>
      <c r="M78" s="115">
        <v>213.28</v>
      </c>
      <c r="N78" s="113">
        <f>+K78+M78-L78</f>
        <v>1761.78</v>
      </c>
    </row>
    <row r="79" spans="1:14" s="70" customFormat="1" x14ac:dyDescent="0.2">
      <c r="A79" s="24"/>
      <c r="B79" s="1"/>
      <c r="C79" s="50" t="s">
        <v>444</v>
      </c>
      <c r="D79" s="55">
        <f>+K79</f>
        <v>140.88</v>
      </c>
      <c r="E79" s="55">
        <f>+M79</f>
        <v>0</v>
      </c>
      <c r="F79" s="55">
        <f>+L79</f>
        <v>54.06</v>
      </c>
      <c r="G79" s="55">
        <f>+D79+E79-F79</f>
        <v>86.82</v>
      </c>
      <c r="H79" s="55">
        <f>1500-G79</f>
        <v>1413.18</v>
      </c>
      <c r="J79" s="113" t="s">
        <v>707</v>
      </c>
      <c r="K79" s="115">
        <v>140.88</v>
      </c>
      <c r="L79" s="115">
        <v>54.06</v>
      </c>
      <c r="M79" s="115">
        <v>0</v>
      </c>
      <c r="N79" s="113">
        <f>+K79+M79-L79</f>
        <v>86.82</v>
      </c>
    </row>
    <row r="80" spans="1:14" s="70" customFormat="1" ht="12.75" customHeight="1" x14ac:dyDescent="0.2">
      <c r="A80" s="24"/>
      <c r="B80" s="1"/>
      <c r="C80" s="50" t="s">
        <v>71</v>
      </c>
      <c r="D80" s="55">
        <f>+K77+K78</f>
        <v>1859.08</v>
      </c>
      <c r="E80" s="55">
        <f>+M77+M78</f>
        <v>271.69</v>
      </c>
      <c r="F80" s="55">
        <f>+L77+L78</f>
        <v>177</v>
      </c>
      <c r="G80" s="55">
        <f>+D80+E80-F80</f>
        <v>1953.77</v>
      </c>
      <c r="H80" s="55">
        <f>1500+700-G80</f>
        <v>246.23000000000002</v>
      </c>
      <c r="J80" s="2"/>
      <c r="K80" s="118">
        <f>SUM(K77:K79)</f>
        <v>1999.96</v>
      </c>
      <c r="L80" s="118">
        <f>SUM(L77:L79)</f>
        <v>231.06</v>
      </c>
      <c r="M80" s="118">
        <f>SUM(M77:M79)</f>
        <v>271.69</v>
      </c>
      <c r="N80" s="118">
        <f>SUM(N77:N79)</f>
        <v>2040.59</v>
      </c>
    </row>
    <row r="81" spans="1:15" s="70" customFormat="1" ht="12.75" customHeight="1" x14ac:dyDescent="0.2">
      <c r="A81" s="24"/>
      <c r="B81" s="1"/>
      <c r="C81" s="14"/>
      <c r="D81" s="56"/>
      <c r="E81" s="13"/>
      <c r="F81" s="2"/>
      <c r="G81" s="30"/>
      <c r="H81" s="30"/>
    </row>
    <row r="82" spans="1:15" s="70" customFormat="1" ht="12.75" customHeight="1" x14ac:dyDescent="0.2">
      <c r="A82" s="215" t="s">
        <v>80</v>
      </c>
      <c r="B82" s="216"/>
      <c r="C82" s="216"/>
      <c r="D82" s="217"/>
      <c r="E82" s="69"/>
      <c r="G82" s="30"/>
      <c r="H82" s="30"/>
    </row>
    <row r="83" spans="1:15" s="70" customFormat="1" ht="12.75" customHeight="1" x14ac:dyDescent="0.2">
      <c r="A83" s="71" t="s">
        <v>81</v>
      </c>
      <c r="B83" s="71"/>
      <c r="C83" s="72" t="s">
        <v>82</v>
      </c>
      <c r="D83" s="73" t="s">
        <v>83</v>
      </c>
      <c r="E83" s="69"/>
      <c r="G83" s="30"/>
      <c r="H83" s="30"/>
    </row>
    <row r="84" spans="1:15" s="70" customFormat="1" ht="12.75" customHeight="1" x14ac:dyDescent="0.2">
      <c r="A84" s="87">
        <v>45292</v>
      </c>
      <c r="B84" s="120" t="s">
        <v>6</v>
      </c>
      <c r="C84" s="75" t="s">
        <v>1933</v>
      </c>
      <c r="D84" s="88">
        <v>7583470</v>
      </c>
      <c r="E84" s="2"/>
      <c r="F84" s="2"/>
      <c r="G84" s="30"/>
      <c r="H84" s="30"/>
      <c r="I84" s="2"/>
      <c r="J84" s="2"/>
      <c r="K84" s="2"/>
      <c r="L84" s="2"/>
      <c r="M84" s="41"/>
      <c r="N84" s="42"/>
      <c r="O84" s="2"/>
    </row>
    <row r="85" spans="1:15" s="70" customFormat="1" ht="12.75" customHeight="1" x14ac:dyDescent="0.2">
      <c r="A85" s="87">
        <v>45293</v>
      </c>
      <c r="B85" s="120" t="s">
        <v>6</v>
      </c>
      <c r="C85" s="75" t="s">
        <v>1934</v>
      </c>
      <c r="D85" s="88">
        <v>124988</v>
      </c>
      <c r="E85" s="2"/>
      <c r="F85" s="2"/>
      <c r="G85" s="30"/>
      <c r="H85" s="30"/>
      <c r="I85" s="2"/>
      <c r="J85" s="2"/>
      <c r="K85" s="2"/>
      <c r="L85" s="2"/>
      <c r="M85" s="41"/>
      <c r="N85" s="42"/>
      <c r="O85" s="2"/>
    </row>
    <row r="86" spans="1:15" s="70" customFormat="1" ht="12.75" customHeight="1" x14ac:dyDescent="0.2">
      <c r="A86" s="87">
        <v>45294</v>
      </c>
      <c r="B86" s="120" t="s">
        <v>6</v>
      </c>
      <c r="C86" s="75" t="s">
        <v>606</v>
      </c>
      <c r="D86" s="88">
        <v>260191</v>
      </c>
      <c r="E86" s="2"/>
      <c r="F86" s="2"/>
      <c r="G86" s="30"/>
      <c r="H86" s="30"/>
      <c r="I86" s="2"/>
      <c r="J86" s="2"/>
      <c r="K86" s="2"/>
      <c r="L86" s="2"/>
      <c r="M86" s="41"/>
      <c r="N86" s="42"/>
      <c r="O86" s="2"/>
    </row>
    <row r="87" spans="1:15" s="70" customFormat="1" ht="12.75" customHeight="1" x14ac:dyDescent="0.2">
      <c r="A87" s="87">
        <v>45294</v>
      </c>
      <c r="B87" s="120" t="s">
        <v>6</v>
      </c>
      <c r="C87" s="75" t="s">
        <v>888</v>
      </c>
      <c r="D87" s="88">
        <v>2431991.34</v>
      </c>
      <c r="E87" s="2"/>
      <c r="F87" s="2"/>
      <c r="G87" s="30"/>
      <c r="H87" s="30"/>
      <c r="I87" s="2"/>
      <c r="J87" s="2"/>
      <c r="K87" s="2"/>
      <c r="L87" s="2"/>
      <c r="M87" s="41"/>
      <c r="N87" s="42"/>
      <c r="O87" s="2"/>
    </row>
    <row r="88" spans="1:15" s="70" customFormat="1" ht="12.75" customHeight="1" x14ac:dyDescent="0.2">
      <c r="A88" s="87">
        <v>45295</v>
      </c>
      <c r="B88" s="120" t="s">
        <v>6</v>
      </c>
      <c r="C88" s="75" t="s">
        <v>1944</v>
      </c>
      <c r="D88" s="88">
        <v>23655</v>
      </c>
      <c r="E88" s="2"/>
      <c r="F88" s="2"/>
      <c r="G88" s="30"/>
      <c r="H88" s="30"/>
      <c r="I88" s="2"/>
      <c r="J88" s="2"/>
      <c r="K88" s="2"/>
      <c r="L88" s="2"/>
      <c r="M88" s="41"/>
      <c r="N88" s="42"/>
      <c r="O88" s="2"/>
    </row>
    <row r="89" spans="1:15" s="70" customFormat="1" ht="12.75" customHeight="1" x14ac:dyDescent="0.2">
      <c r="A89" s="87">
        <v>45295</v>
      </c>
      <c r="B89" s="120" t="s">
        <v>6</v>
      </c>
      <c r="C89" s="75" t="s">
        <v>1944</v>
      </c>
      <c r="D89" s="88">
        <v>321576</v>
      </c>
      <c r="E89" s="2"/>
      <c r="F89" s="2"/>
      <c r="G89" s="30"/>
      <c r="H89" s="30"/>
      <c r="I89" s="2"/>
      <c r="J89" s="2"/>
      <c r="K89" s="2"/>
      <c r="L89" s="2"/>
      <c r="M89" s="41"/>
      <c r="N89" s="42"/>
      <c r="O89" s="2"/>
    </row>
    <row r="90" spans="1:15" s="70" customFormat="1" ht="12.75" customHeight="1" x14ac:dyDescent="0.2">
      <c r="A90" s="87">
        <v>45295</v>
      </c>
      <c r="B90" s="120" t="s">
        <v>6</v>
      </c>
      <c r="C90" s="75" t="s">
        <v>1944</v>
      </c>
      <c r="D90" s="88">
        <v>430832</v>
      </c>
      <c r="E90" s="2"/>
      <c r="F90" s="2"/>
      <c r="G90" s="30"/>
      <c r="H90" s="30"/>
      <c r="I90" s="2"/>
      <c r="J90" s="2"/>
      <c r="K90" s="2"/>
      <c r="L90" s="2"/>
      <c r="M90" s="41"/>
      <c r="N90" s="42"/>
      <c r="O90" s="2"/>
    </row>
    <row r="91" spans="1:15" s="70" customFormat="1" ht="12.75" customHeight="1" x14ac:dyDescent="0.2">
      <c r="A91" s="87">
        <v>45295</v>
      </c>
      <c r="B91" s="120" t="s">
        <v>6</v>
      </c>
      <c r="C91" s="75" t="s">
        <v>1934</v>
      </c>
      <c r="D91" s="88">
        <v>892589</v>
      </c>
      <c r="E91" s="2"/>
      <c r="F91" s="2"/>
      <c r="G91" s="30"/>
      <c r="H91" s="30"/>
      <c r="I91" s="2"/>
      <c r="J91" s="2"/>
      <c r="K91" s="2"/>
      <c r="L91" s="2"/>
      <c r="M91" s="41"/>
      <c r="N91" s="42"/>
      <c r="O91" s="2"/>
    </row>
    <row r="92" spans="1:15" s="2" customFormat="1" x14ac:dyDescent="0.2">
      <c r="A92" s="87"/>
      <c r="B92" s="74"/>
      <c r="C92" s="75"/>
      <c r="D92" s="51">
        <f>SUM(D84:D91)</f>
        <v>12069292.34</v>
      </c>
      <c r="F92" s="2" t="s">
        <v>396</v>
      </c>
      <c r="G92" s="1"/>
      <c r="H92" s="1"/>
    </row>
    <row r="93" spans="1:15" s="2" customFormat="1" x14ac:dyDescent="0.2">
      <c r="A93" s="24"/>
      <c r="B93" s="1"/>
      <c r="C93" s="14"/>
      <c r="D93" s="56"/>
      <c r="E93" s="13"/>
      <c r="G93" s="1"/>
      <c r="H93" s="1"/>
    </row>
    <row r="94" spans="1:15" s="2" customFormat="1" x14ac:dyDescent="0.2">
      <c r="A94" s="24"/>
      <c r="B94" s="1"/>
      <c r="C94" s="218" t="s">
        <v>77</v>
      </c>
      <c r="D94" s="219"/>
      <c r="E94" s="219"/>
      <c r="F94" s="220"/>
      <c r="I94" s="2" t="s">
        <v>396</v>
      </c>
    </row>
    <row r="95" spans="1:15" s="2" customFormat="1" x14ac:dyDescent="0.2">
      <c r="A95" s="24"/>
      <c r="B95" s="1"/>
      <c r="C95" s="50"/>
      <c r="D95" s="57" t="s">
        <v>78</v>
      </c>
      <c r="E95" s="58" t="s">
        <v>79</v>
      </c>
      <c r="F95" s="57" t="s">
        <v>72</v>
      </c>
      <c r="I95" s="2" t="s">
        <v>396</v>
      </c>
    </row>
    <row r="96" spans="1:15" s="2" customFormat="1" x14ac:dyDescent="0.2">
      <c r="A96" s="24"/>
      <c r="B96" s="1"/>
      <c r="C96" s="59" t="str">
        <f>"01-01-2024 to "&amp;TEXT(A5-2,"dd-mm-yyyy")</f>
        <v>01-01-2024 to 03-01-2024</v>
      </c>
      <c r="D96" s="60">
        <v>119.72</v>
      </c>
      <c r="E96" s="60">
        <v>77.7</v>
      </c>
      <c r="F96" s="61">
        <f>SUM(D96:E96)</f>
        <v>197.42000000000002</v>
      </c>
    </row>
    <row r="97" spans="1:14" s="2" customFormat="1" x14ac:dyDescent="0.2">
      <c r="A97" s="24"/>
      <c r="B97" s="1"/>
      <c r="C97" s="62" t="str">
        <f>TEXT(A5-1,"dd-mm-yyyy")</f>
        <v>04-01-2024</v>
      </c>
      <c r="D97" s="60">
        <v>129.57</v>
      </c>
      <c r="E97" s="60">
        <v>27.71</v>
      </c>
      <c r="F97" s="61">
        <f>SUM(D97:E97)</f>
        <v>157.28</v>
      </c>
      <c r="G97" s="1"/>
      <c r="H97" s="1"/>
      <c r="I97" s="53"/>
    </row>
    <row r="98" spans="1:14" s="2" customFormat="1" ht="13.5" thickBot="1" x14ac:dyDescent="0.25">
      <c r="A98" s="24"/>
      <c r="B98" s="1"/>
      <c r="C98" s="63" t="str">
        <f>"01-01-2024 to "&amp;TEXT(A5-1,"dd-mm-yyyy")</f>
        <v>01-01-2024 to 04-01-2024</v>
      </c>
      <c r="D98" s="64">
        <f>SUM(D96:D97)</f>
        <v>249.29</v>
      </c>
      <c r="E98" s="64">
        <f>SUM(E96:E97)</f>
        <v>105.41</v>
      </c>
      <c r="F98" s="64">
        <f>SUM(F96:F97)</f>
        <v>354.70000000000005</v>
      </c>
      <c r="G98" s="1"/>
      <c r="H98" s="1"/>
      <c r="I98" s="53"/>
    </row>
    <row r="99" spans="1:14" s="2" customFormat="1" ht="13.5" thickTop="1" x14ac:dyDescent="0.2">
      <c r="A99" s="24"/>
      <c r="B99" s="1"/>
      <c r="C99" s="62"/>
      <c r="D99" s="65"/>
      <c r="E99" s="66"/>
      <c r="F99" s="67"/>
      <c r="M99" s="1"/>
      <c r="N99" s="1"/>
    </row>
    <row r="100" spans="1:14" s="2" customFormat="1" x14ac:dyDescent="0.2">
      <c r="A100" s="24"/>
      <c r="B100" s="1"/>
      <c r="C100" s="62" t="str">
        <f>"01-04-2023 to " &amp;C97</f>
        <v>01-04-2023 to 04-01-2024</v>
      </c>
      <c r="D100" s="68">
        <f>+D98+34576.72</f>
        <v>34826.01</v>
      </c>
      <c r="E100" s="68">
        <f>+E98+3831.86</f>
        <v>3937.27</v>
      </c>
      <c r="F100" s="68">
        <f>+F98+38408.58</f>
        <v>38763.279999999999</v>
      </c>
      <c r="G100" s="1"/>
      <c r="H100" s="1"/>
      <c r="M100" s="1"/>
      <c r="N100" s="1"/>
    </row>
    <row r="101" spans="1:14" s="2" customFormat="1" x14ac:dyDescent="0.2">
      <c r="A101" s="24"/>
      <c r="B101" s="1"/>
      <c r="C101" s="52"/>
      <c r="D101" s="85"/>
      <c r="E101" s="53"/>
      <c r="F101" s="53"/>
      <c r="G101" s="1"/>
      <c r="H101" s="1"/>
      <c r="M101" s="1"/>
      <c r="N101" s="1"/>
    </row>
    <row r="102" spans="1:14" s="2" customFormat="1" x14ac:dyDescent="0.2">
      <c r="A102" s="24"/>
      <c r="B102" s="1"/>
      <c r="C102" s="52"/>
      <c r="D102" s="85"/>
      <c r="E102" s="53"/>
      <c r="F102" s="53"/>
      <c r="G102" s="1"/>
      <c r="H102" s="1"/>
      <c r="M102" s="1"/>
      <c r="N102" s="1"/>
    </row>
    <row r="103" spans="1:14" s="2" customFormat="1" x14ac:dyDescent="0.2">
      <c r="A103" s="24"/>
      <c r="B103" s="1"/>
      <c r="C103" s="52"/>
      <c r="D103" s="85"/>
      <c r="E103" s="53"/>
      <c r="F103" s="53"/>
      <c r="G103" s="1"/>
      <c r="H103" s="1"/>
      <c r="M103" s="1"/>
      <c r="N103" s="1"/>
    </row>
    <row r="104" spans="1:14" s="2" customFormat="1" x14ac:dyDescent="0.2">
      <c r="A104" s="24"/>
      <c r="B104" s="1"/>
      <c r="C104" s="52"/>
      <c r="D104" s="85"/>
      <c r="E104" s="53"/>
      <c r="F104" s="53"/>
      <c r="G104" s="1"/>
      <c r="H104" s="1"/>
      <c r="M104" s="1"/>
      <c r="N104" s="1"/>
    </row>
    <row r="105" spans="1:14" s="2" customFormat="1" x14ac:dyDescent="0.2">
      <c r="A105" s="24"/>
      <c r="B105" s="1"/>
      <c r="C105" s="14"/>
      <c r="D105" s="25">
        <f>SUM(D102:D104)</f>
        <v>0</v>
      </c>
      <c r="E105" s="2">
        <f>SUM(E102:E104)</f>
        <v>0</v>
      </c>
      <c r="G105" s="1"/>
      <c r="H105" s="1"/>
      <c r="M105" s="1"/>
      <c r="N105" s="1"/>
    </row>
    <row r="106" spans="1:14" s="2" customFormat="1" x14ac:dyDescent="0.2">
      <c r="A106" s="24"/>
      <c r="B106" s="1"/>
      <c r="C106" s="14"/>
      <c r="D106" s="25"/>
      <c r="G106" s="1"/>
      <c r="H106" s="1"/>
      <c r="M106" s="1"/>
      <c r="N106" s="1"/>
    </row>
    <row r="107" spans="1:14" s="2" customFormat="1" x14ac:dyDescent="0.2">
      <c r="A107" s="24"/>
      <c r="B107" s="1"/>
      <c r="C107" s="14"/>
      <c r="D107" s="25"/>
      <c r="G107" s="1"/>
      <c r="H107" s="1"/>
      <c r="M107" s="1"/>
      <c r="N107" s="1"/>
    </row>
    <row r="108" spans="1:14" s="2" customFormat="1" x14ac:dyDescent="0.2">
      <c r="A108" s="24"/>
      <c r="B108" s="1"/>
      <c r="C108" s="14"/>
      <c r="D108" s="25"/>
      <c r="G108" s="1"/>
      <c r="H108" s="1"/>
      <c r="M108" s="1"/>
      <c r="N108" s="1"/>
    </row>
    <row r="109" spans="1:14" s="2" customFormat="1" x14ac:dyDescent="0.2">
      <c r="A109" s="24"/>
      <c r="B109" s="1"/>
      <c r="C109" s="14"/>
      <c r="D109" s="25"/>
      <c r="G109" s="1"/>
      <c r="H109" s="1"/>
      <c r="M109" s="1"/>
      <c r="N109" s="1"/>
    </row>
    <row r="110" spans="1:14" s="2" customFormat="1" x14ac:dyDescent="0.2">
      <c r="A110" s="24"/>
      <c r="B110" s="1"/>
      <c r="C110" s="14"/>
      <c r="D110" s="25"/>
      <c r="G110" s="1"/>
      <c r="H110" s="1"/>
      <c r="M110" s="1"/>
      <c r="N110" s="1"/>
    </row>
    <row r="111" spans="1:14" s="2" customFormat="1" x14ac:dyDescent="0.2">
      <c r="A111" s="24"/>
      <c r="B111" s="1"/>
      <c r="C111" s="14"/>
      <c r="D111" s="25"/>
      <c r="G111" s="1"/>
      <c r="H111" s="1"/>
      <c r="M111" s="1"/>
      <c r="N111" s="1"/>
    </row>
    <row r="112" spans="1:14" s="2" customFormat="1" x14ac:dyDescent="0.2">
      <c r="A112" s="24"/>
      <c r="B112" s="1"/>
      <c r="C112" s="14"/>
      <c r="D112" s="25"/>
      <c r="G112" s="1"/>
      <c r="H112" s="1"/>
      <c r="M112" s="1"/>
      <c r="N112" s="1"/>
    </row>
    <row r="113" spans="1:15" s="2" customFormat="1" x14ac:dyDescent="0.2">
      <c r="A113" s="24"/>
      <c r="B113" s="1"/>
      <c r="C113" s="14"/>
      <c r="D113" s="25"/>
      <c r="G113" s="1"/>
      <c r="H113" s="1"/>
      <c r="M113" s="1"/>
      <c r="N113" s="1"/>
    </row>
    <row r="114" spans="1:15" s="2" customFormat="1" x14ac:dyDescent="0.2">
      <c r="A114" s="24"/>
      <c r="B114" s="1"/>
      <c r="C114" s="14"/>
      <c r="D114" s="25"/>
      <c r="G114" s="1"/>
      <c r="H114" s="1"/>
      <c r="M114" s="1"/>
      <c r="N114" s="1"/>
    </row>
    <row r="115" spans="1:15" s="2" customFormat="1" x14ac:dyDescent="0.2">
      <c r="A115" s="24"/>
      <c r="B115" s="1"/>
      <c r="C115" s="14"/>
      <c r="D115" s="25"/>
      <c r="G115" s="1"/>
      <c r="H115" s="1"/>
      <c r="M115" s="1"/>
      <c r="N115" s="1"/>
    </row>
    <row r="116" spans="1:15" s="2" customFormat="1" x14ac:dyDescent="0.2">
      <c r="A116" s="24"/>
      <c r="B116" s="1"/>
      <c r="C116" s="14"/>
      <c r="D116" s="25"/>
      <c r="G116" s="1"/>
      <c r="H116" s="1"/>
      <c r="M116" s="1"/>
      <c r="N116" s="1"/>
    </row>
    <row r="117" spans="1:15" s="2" customFormat="1" x14ac:dyDescent="0.2">
      <c r="A117" s="24"/>
      <c r="B117" s="1"/>
      <c r="C117" s="14"/>
      <c r="D117" s="25"/>
      <c r="G117" s="1"/>
      <c r="H117" s="1"/>
      <c r="M117" s="1"/>
      <c r="N117" s="1"/>
    </row>
    <row r="118" spans="1:15" s="2" customFormat="1" x14ac:dyDescent="0.2">
      <c r="A118" s="24"/>
      <c r="B118" s="1"/>
      <c r="C118" s="14"/>
      <c r="D118" s="25"/>
      <c r="G118" s="1"/>
      <c r="H118" s="1"/>
      <c r="M118" s="1"/>
      <c r="N118" s="1"/>
    </row>
    <row r="119" spans="1:15" s="2" customFormat="1" x14ac:dyDescent="0.2">
      <c r="A119" s="24"/>
      <c r="B119" s="1"/>
      <c r="C119" s="14"/>
      <c r="D119" s="25"/>
      <c r="G119" s="1"/>
      <c r="H119" s="1"/>
      <c r="J119" s="1"/>
      <c r="K119" s="1"/>
      <c r="L119" s="1"/>
      <c r="M119" s="1"/>
      <c r="N119" s="1"/>
    </row>
    <row r="120" spans="1:15" s="2" customFormat="1" x14ac:dyDescent="0.2">
      <c r="A120" s="24"/>
      <c r="B120" s="1"/>
      <c r="C120" s="14"/>
      <c r="D120" s="25"/>
      <c r="G120" s="1"/>
      <c r="H120" s="1"/>
    </row>
    <row r="121" spans="1:15" s="2" customFormat="1" x14ac:dyDescent="0.2">
      <c r="A121" s="24"/>
      <c r="B121" s="1"/>
      <c r="C121" s="14"/>
      <c r="D121" s="25"/>
      <c r="G121" s="1"/>
      <c r="H121" s="1"/>
      <c r="J121" s="1"/>
      <c r="K121" s="1"/>
      <c r="L121" s="1"/>
      <c r="M121" s="1"/>
      <c r="N121" s="1"/>
    </row>
    <row r="122" spans="1:15" s="2" customFormat="1" x14ac:dyDescent="0.2">
      <c r="A122" s="24"/>
      <c r="B122" s="1"/>
      <c r="C122" s="14"/>
      <c r="D122" s="25"/>
      <c r="G122" s="54"/>
      <c r="H122" s="54"/>
      <c r="J122" s="1"/>
      <c r="K122" s="1"/>
      <c r="L122" s="1"/>
      <c r="M122" s="1"/>
      <c r="N122" s="1"/>
    </row>
    <row r="123" spans="1:15" s="2" customFormat="1" x14ac:dyDescent="0.2">
      <c r="A123" s="24"/>
      <c r="B123" s="1"/>
      <c r="C123" s="14"/>
      <c r="D123" s="25"/>
      <c r="G123" s="54"/>
      <c r="H123" s="54"/>
      <c r="J123" s="1"/>
      <c r="K123" s="1"/>
      <c r="L123" s="1"/>
      <c r="M123" s="1"/>
      <c r="N123" s="1"/>
    </row>
    <row r="124" spans="1:15" s="2" customFormat="1" x14ac:dyDescent="0.2">
      <c r="A124" s="24"/>
      <c r="B124" s="1"/>
      <c r="C124" s="14"/>
      <c r="D124" s="25"/>
      <c r="G124" s="54"/>
      <c r="H124" s="54"/>
      <c r="J124" s="1"/>
      <c r="K124" s="1"/>
      <c r="L124" s="1"/>
      <c r="M124" s="1"/>
      <c r="N124" s="1"/>
    </row>
    <row r="125" spans="1:15" s="2" customFormat="1" x14ac:dyDescent="0.2">
      <c r="A125" s="24"/>
      <c r="B125" s="1"/>
      <c r="C125" s="14"/>
      <c r="D125" s="25"/>
      <c r="G125" s="54"/>
      <c r="H125" s="54"/>
      <c r="I125" s="2" t="s">
        <v>396</v>
      </c>
      <c r="J125" s="1"/>
      <c r="K125" s="1"/>
      <c r="L125" s="1"/>
      <c r="M125" s="1"/>
      <c r="N125" s="1"/>
      <c r="O125" s="1"/>
    </row>
    <row r="126" spans="1:15" s="2" customFormat="1" x14ac:dyDescent="0.2">
      <c r="A126" s="24"/>
      <c r="B126" s="1"/>
      <c r="C126" s="14"/>
      <c r="D126" s="25"/>
      <c r="G126" s="54"/>
      <c r="H126" s="54"/>
      <c r="I126" s="53"/>
    </row>
    <row r="127" spans="1:15" s="2" customFormat="1" x14ac:dyDescent="0.2">
      <c r="A127" s="24"/>
      <c r="B127" s="1"/>
      <c r="C127" s="14"/>
      <c r="D127" s="25"/>
      <c r="G127" s="54"/>
      <c r="H127" s="54"/>
      <c r="I127" s="53" t="s">
        <v>396</v>
      </c>
      <c r="J127" s="1"/>
      <c r="K127" s="1"/>
      <c r="L127" s="1"/>
      <c r="M127" s="1"/>
      <c r="N127" s="1"/>
      <c r="O127" s="1"/>
    </row>
    <row r="128" spans="1:15" x14ac:dyDescent="0.2">
      <c r="G128" s="54"/>
      <c r="H128" s="54"/>
      <c r="I128" s="53" t="s">
        <v>396</v>
      </c>
      <c r="K128" s="42"/>
    </row>
    <row r="129" spans="1:15" s="2" customFormat="1" x14ac:dyDescent="0.2">
      <c r="A129" s="24"/>
      <c r="B129" s="1"/>
      <c r="C129" s="14"/>
      <c r="D129" s="25"/>
      <c r="G129" s="54"/>
      <c r="H129" s="54"/>
      <c r="I129" s="53"/>
      <c r="J129" s="101"/>
      <c r="K129" s="1"/>
      <c r="L129" s="1"/>
      <c r="M129" s="1"/>
      <c r="N129" s="1"/>
      <c r="O129" s="1"/>
    </row>
    <row r="130" spans="1:15" x14ac:dyDescent="0.2">
      <c r="G130" s="54"/>
      <c r="H130" s="54"/>
      <c r="I130" s="53"/>
    </row>
    <row r="131" spans="1:15" x14ac:dyDescent="0.2">
      <c r="G131" s="54"/>
      <c r="H131" s="54"/>
      <c r="I131" s="53"/>
    </row>
    <row r="132" spans="1:15" x14ac:dyDescent="0.2">
      <c r="G132" s="54"/>
      <c r="H132" s="54"/>
      <c r="I132" s="53"/>
    </row>
  </sheetData>
  <sheetProtection insertRows="0"/>
  <mergeCells count="7">
    <mergeCell ref="K75:L75"/>
    <mergeCell ref="A82:D82"/>
    <mergeCell ref="C94:F94"/>
    <mergeCell ref="A1:H1"/>
    <mergeCell ref="A3:F3"/>
    <mergeCell ref="A10:F10"/>
    <mergeCell ref="A21:F21"/>
  </mergeCells>
  <conditionalFormatting sqref="H79:H80">
    <cfRule type="cellIs" dxfId="141" priority="1" operator="lessThan">
      <formula>0</formula>
    </cfRule>
  </conditionalFormatting>
  <conditionalFormatting sqref="C23">
    <cfRule type="duplicateValues" dxfId="140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C00-000000000000}">
  <sheetPr codeName="Sheet516">
    <pageSetUpPr fitToPage="1"/>
  </sheetPr>
  <dimension ref="A1:O143"/>
  <sheetViews>
    <sheetView topLeftCell="A50" zoomScaleNormal="100" workbookViewId="0">
      <selection activeCell="E66" sqref="E66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12.85546875" style="1" customWidth="1"/>
    <col min="9" max="9" width="24.85546875" style="2" bestFit="1" customWidth="1"/>
    <col min="10" max="10" width="21.5703125" style="1" bestFit="1" customWidth="1"/>
    <col min="11" max="11" width="16.85546875" style="1" bestFit="1" customWidth="1"/>
    <col min="12" max="12" width="17.28515625" style="1" bestFit="1" customWidth="1"/>
    <col min="13" max="13" width="13.5703125" style="1" bestFit="1" customWidth="1"/>
    <col min="14" max="14" width="17.42578125" style="1" bestFit="1" customWidth="1"/>
    <col min="15" max="15" width="12.85546875" style="1" bestFit="1" customWidth="1"/>
    <col min="16" max="17" width="9.140625" style="1"/>
    <col min="18" max="18" width="15.5703125" style="1" bestFit="1" customWidth="1"/>
    <col min="19" max="16384" width="9.140625" style="1"/>
  </cols>
  <sheetData>
    <row r="1" spans="1:12" ht="20.25" customHeight="1" x14ac:dyDescent="0.4">
      <c r="A1" s="212" t="s">
        <v>1948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2" ht="12.75" customHeight="1" x14ac:dyDescent="0.4">
      <c r="I2" s="112"/>
      <c r="J2" s="112"/>
    </row>
    <row r="3" spans="1:12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2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2" s="2" customFormat="1" ht="14.25" customHeight="1" x14ac:dyDescent="0.4">
      <c r="A5" s="89">
        <v>45297</v>
      </c>
      <c r="B5" s="9" t="s">
        <v>6</v>
      </c>
      <c r="C5" s="10" t="s">
        <v>7</v>
      </c>
      <c r="D5" s="11"/>
      <c r="E5" s="12">
        <v>3670047.2300000004</v>
      </c>
      <c r="F5" s="12"/>
      <c r="G5" s="1"/>
      <c r="H5" s="1"/>
      <c r="I5" s="112"/>
      <c r="J5" s="112"/>
    </row>
    <row r="6" spans="1:12" s="2" customFormat="1" ht="14.25" customHeight="1" x14ac:dyDescent="0.4">
      <c r="A6" s="89">
        <v>45297</v>
      </c>
      <c r="B6" s="9" t="s">
        <v>11</v>
      </c>
      <c r="C6" s="10" t="s">
        <v>380</v>
      </c>
      <c r="D6" s="11" t="s">
        <v>29</v>
      </c>
      <c r="E6" s="12"/>
      <c r="F6" s="12">
        <v>3083806</v>
      </c>
      <c r="G6" s="1"/>
      <c r="H6" s="1"/>
      <c r="I6" s="112"/>
      <c r="J6" s="112"/>
    </row>
    <row r="7" spans="1:12" s="2" customFormat="1" ht="12.75" customHeight="1" x14ac:dyDescent="0.2">
      <c r="D7" s="15" t="s">
        <v>8</v>
      </c>
      <c r="E7" s="16">
        <f>SUM(E5:E6)</f>
        <v>3670047.2300000004</v>
      </c>
      <c r="F7" s="16">
        <f>SUM(F6)</f>
        <v>3083806</v>
      </c>
      <c r="G7" s="1"/>
      <c r="H7" s="1"/>
      <c r="I7" s="13" t="s">
        <v>1582</v>
      </c>
      <c r="J7" s="13" t="s">
        <v>1583</v>
      </c>
    </row>
    <row r="8" spans="1:12" s="2" customFormat="1" ht="12.75" customHeight="1" x14ac:dyDescent="0.2">
      <c r="A8" s="17"/>
      <c r="B8" s="18"/>
      <c r="C8" s="19" t="s">
        <v>9</v>
      </c>
      <c r="D8" s="20"/>
      <c r="E8" s="21">
        <f>+E7-F7</f>
        <v>586241.23000000045</v>
      </c>
      <c r="F8" s="22"/>
      <c r="G8" s="23"/>
      <c r="H8" s="23"/>
      <c r="I8" s="2">
        <v>0</v>
      </c>
      <c r="K8" s="176">
        <f>I8-J8</f>
        <v>0</v>
      </c>
    </row>
    <row r="9" spans="1:12" ht="12.75" customHeight="1" x14ac:dyDescent="0.4">
      <c r="I9" s="112"/>
      <c r="J9" s="112"/>
    </row>
    <row r="10" spans="1:12" ht="18" customHeight="1" x14ac:dyDescent="0.4">
      <c r="A10" s="213" t="s">
        <v>1037</v>
      </c>
      <c r="B10" s="213"/>
      <c r="C10" s="213"/>
      <c r="D10" s="213"/>
      <c r="E10" s="213"/>
      <c r="F10" s="213"/>
      <c r="I10" s="112"/>
      <c r="J10" s="169">
        <f>90000000-60000000</f>
        <v>30000000</v>
      </c>
      <c r="K10" s="169" t="s">
        <v>1508</v>
      </c>
    </row>
    <row r="11" spans="1:12" ht="12.75" customHeight="1" x14ac:dyDescent="0.4">
      <c r="A11" s="3" t="s">
        <v>1</v>
      </c>
      <c r="B11" s="4" t="s">
        <v>2</v>
      </c>
      <c r="C11" s="5"/>
      <c r="D11" s="6" t="s">
        <v>3</v>
      </c>
      <c r="E11" s="7" t="s">
        <v>4</v>
      </c>
      <c r="F11" s="7" t="s">
        <v>5</v>
      </c>
      <c r="I11" s="112"/>
      <c r="J11" s="169">
        <v>29467611.52</v>
      </c>
      <c r="K11" s="169" t="s">
        <v>1509</v>
      </c>
      <c r="L11" s="124"/>
    </row>
    <row r="12" spans="1:12" s="2" customFormat="1" ht="14.25" customHeight="1" x14ac:dyDescent="0.2">
      <c r="A12" s="89">
        <v>45297</v>
      </c>
      <c r="B12" s="9" t="s">
        <v>6</v>
      </c>
      <c r="C12" s="10" t="s">
        <v>7</v>
      </c>
      <c r="D12" s="11"/>
      <c r="F12" s="12">
        <v>25457849.030000001</v>
      </c>
      <c r="G12" s="1"/>
      <c r="H12" s="1"/>
      <c r="I12" s="130" t="s">
        <v>396</v>
      </c>
      <c r="J12" s="169">
        <f>+J10-J11</f>
        <v>532388.48000000045</v>
      </c>
      <c r="K12" s="169" t="s">
        <v>712</v>
      </c>
      <c r="L12" s="165" t="s">
        <v>1512</v>
      </c>
    </row>
    <row r="13" spans="1:12" s="2" customFormat="1" ht="14.25" customHeight="1" x14ac:dyDescent="0.2">
      <c r="A13" s="89">
        <v>45297</v>
      </c>
      <c r="B13" s="9" t="s">
        <v>11</v>
      </c>
      <c r="C13" s="76" t="s">
        <v>1002</v>
      </c>
      <c r="D13" s="11" t="s">
        <v>29</v>
      </c>
      <c r="F13" s="31">
        <v>605286</v>
      </c>
      <c r="G13" s="1"/>
      <c r="H13" s="1"/>
      <c r="I13" s="130"/>
      <c r="J13" s="169"/>
      <c r="K13" s="169"/>
      <c r="L13" s="165"/>
    </row>
    <row r="14" spans="1:12" s="2" customFormat="1" ht="14.25" customHeight="1" x14ac:dyDescent="0.2">
      <c r="A14" s="89">
        <v>45297</v>
      </c>
      <c r="B14" s="9" t="s">
        <v>11</v>
      </c>
      <c r="C14" s="76" t="s">
        <v>156</v>
      </c>
      <c r="D14" s="11" t="s">
        <v>29</v>
      </c>
      <c r="F14" s="31">
        <v>634.75</v>
      </c>
      <c r="G14" s="1"/>
      <c r="H14" s="1"/>
      <c r="I14" s="130"/>
      <c r="J14" s="169"/>
      <c r="K14" s="169"/>
      <c r="L14" s="165"/>
    </row>
    <row r="15" spans="1:12" s="2" customFormat="1" ht="14.25" customHeight="1" x14ac:dyDescent="0.2">
      <c r="A15" s="89">
        <v>45297</v>
      </c>
      <c r="B15" s="9" t="s">
        <v>11</v>
      </c>
      <c r="C15" s="76" t="s">
        <v>284</v>
      </c>
      <c r="D15" s="11" t="s">
        <v>29</v>
      </c>
      <c r="F15" s="31">
        <v>1953336</v>
      </c>
      <c r="G15" s="1"/>
      <c r="H15" s="1"/>
      <c r="I15" s="130"/>
      <c r="J15" s="169"/>
      <c r="K15" s="169"/>
      <c r="L15" s="165"/>
    </row>
    <row r="16" spans="1:12" s="2" customFormat="1" ht="14.25" customHeight="1" x14ac:dyDescent="0.2">
      <c r="A16" s="89">
        <v>45297</v>
      </c>
      <c r="B16" s="9" t="s">
        <v>11</v>
      </c>
      <c r="C16" s="76" t="s">
        <v>223</v>
      </c>
      <c r="D16" s="11" t="s">
        <v>29</v>
      </c>
      <c r="F16" s="31">
        <v>20669</v>
      </c>
      <c r="G16" s="1"/>
      <c r="H16" s="1"/>
      <c r="I16" s="130"/>
      <c r="J16" s="169"/>
      <c r="K16" s="169"/>
      <c r="L16" s="165"/>
    </row>
    <row r="17" spans="1:14" s="2" customFormat="1" ht="14.25" customHeight="1" x14ac:dyDescent="0.2">
      <c r="A17" s="89">
        <v>45297</v>
      </c>
      <c r="B17" s="9" t="s">
        <v>11</v>
      </c>
      <c r="C17" s="76" t="s">
        <v>98</v>
      </c>
      <c r="D17" s="11" t="s">
        <v>29</v>
      </c>
      <c r="F17" s="31">
        <v>8782.74</v>
      </c>
      <c r="G17" s="1"/>
      <c r="H17" s="1"/>
      <c r="I17" s="130"/>
      <c r="J17" s="169"/>
      <c r="K17" s="169"/>
      <c r="L17" s="165"/>
    </row>
    <row r="18" spans="1:14" s="2" customFormat="1" ht="14.25" customHeight="1" x14ac:dyDescent="0.2">
      <c r="A18" s="89">
        <v>45297</v>
      </c>
      <c r="B18" s="9" t="s">
        <v>11</v>
      </c>
      <c r="C18" s="76" t="s">
        <v>718</v>
      </c>
      <c r="D18" s="11" t="s">
        <v>29</v>
      </c>
      <c r="F18" s="31">
        <v>1574</v>
      </c>
      <c r="G18" s="1"/>
      <c r="H18" s="1"/>
      <c r="I18" s="130"/>
      <c r="J18" s="169"/>
      <c r="K18" s="169"/>
      <c r="L18" s="165"/>
    </row>
    <row r="19" spans="1:14" s="2" customFormat="1" ht="14.25" customHeight="1" x14ac:dyDescent="0.2">
      <c r="A19" s="89">
        <v>45297</v>
      </c>
      <c r="B19" s="9" t="s">
        <v>11</v>
      </c>
      <c r="C19" s="76" t="s">
        <v>131</v>
      </c>
      <c r="D19" s="11" t="s">
        <v>29</v>
      </c>
      <c r="F19" s="31">
        <v>17037</v>
      </c>
      <c r="G19" s="1"/>
      <c r="H19" s="1"/>
      <c r="I19" s="130"/>
      <c r="J19" s="169"/>
      <c r="K19" s="169"/>
      <c r="L19" s="165"/>
    </row>
    <row r="20" spans="1:14" s="2" customFormat="1" ht="14.25" customHeight="1" x14ac:dyDescent="0.2">
      <c r="A20" s="89">
        <v>45297</v>
      </c>
      <c r="B20" s="9" t="s">
        <v>11</v>
      </c>
      <c r="C20" s="76" t="s">
        <v>330</v>
      </c>
      <c r="D20" s="11" t="s">
        <v>29</v>
      </c>
      <c r="F20" s="31">
        <v>1000000</v>
      </c>
      <c r="G20" s="1"/>
      <c r="H20" s="1"/>
      <c r="I20" s="130"/>
      <c r="J20" s="169"/>
      <c r="K20" s="169"/>
      <c r="L20" s="165"/>
    </row>
    <row r="21" spans="1:14" s="2" customFormat="1" ht="14.25" customHeight="1" x14ac:dyDescent="0.2">
      <c r="A21" s="89">
        <v>45297</v>
      </c>
      <c r="B21" s="9" t="s">
        <v>11</v>
      </c>
      <c r="C21" s="76" t="s">
        <v>1590</v>
      </c>
      <c r="D21" s="11" t="s">
        <v>29</v>
      </c>
      <c r="F21" s="31">
        <v>37500</v>
      </c>
      <c r="G21" s="1"/>
      <c r="H21" s="1"/>
      <c r="I21" s="130"/>
      <c r="J21" s="169"/>
      <c r="K21" s="169"/>
      <c r="L21" s="165"/>
    </row>
    <row r="22" spans="1:14" s="2" customFormat="1" ht="14.25" customHeight="1" x14ac:dyDescent="0.2">
      <c r="A22" s="89">
        <v>45297</v>
      </c>
      <c r="B22" s="9" t="s">
        <v>11</v>
      </c>
      <c r="C22" s="76" t="s">
        <v>302</v>
      </c>
      <c r="D22" s="11" t="s">
        <v>29</v>
      </c>
      <c r="F22" s="31">
        <v>38028</v>
      </c>
      <c r="G22" s="1"/>
      <c r="H22" s="1"/>
      <c r="I22" s="130"/>
      <c r="J22" s="169"/>
      <c r="K22" s="169"/>
      <c r="L22" s="165"/>
    </row>
    <row r="23" spans="1:14" s="2" customFormat="1" ht="14.25" customHeight="1" x14ac:dyDescent="0.2">
      <c r="A23" s="89">
        <v>45297</v>
      </c>
      <c r="B23" s="9" t="s">
        <v>11</v>
      </c>
      <c r="C23" s="76" t="s">
        <v>1949</v>
      </c>
      <c r="D23" s="11" t="s">
        <v>29</v>
      </c>
      <c r="F23" s="31">
        <v>25100</v>
      </c>
      <c r="G23" s="1"/>
      <c r="H23" s="1"/>
      <c r="I23" s="130"/>
      <c r="J23" s="169"/>
      <c r="K23" s="169"/>
      <c r="L23" s="165"/>
    </row>
    <row r="24" spans="1:14" s="2" customFormat="1" ht="14.25" customHeight="1" x14ac:dyDescent="0.2">
      <c r="A24" s="89">
        <v>45297</v>
      </c>
      <c r="B24" s="9" t="s">
        <v>11</v>
      </c>
      <c r="C24" s="76" t="s">
        <v>96</v>
      </c>
      <c r="D24" s="11" t="s">
        <v>29</v>
      </c>
      <c r="F24" s="31">
        <v>7260</v>
      </c>
      <c r="G24" s="1"/>
      <c r="H24" s="1"/>
      <c r="I24" s="130"/>
      <c r="J24" s="169"/>
      <c r="K24" s="169"/>
      <c r="L24" s="165"/>
    </row>
    <row r="25" spans="1:14" s="2" customFormat="1" ht="14.25" customHeight="1" x14ac:dyDescent="0.2">
      <c r="A25" s="89">
        <v>45297</v>
      </c>
      <c r="B25" s="9" t="s">
        <v>11</v>
      </c>
      <c r="C25" s="76" t="s">
        <v>937</v>
      </c>
      <c r="D25" s="11" t="s">
        <v>29</v>
      </c>
      <c r="F25" s="31">
        <v>4846</v>
      </c>
      <c r="G25" s="1"/>
      <c r="H25" s="1"/>
      <c r="I25" s="130"/>
      <c r="J25" s="169"/>
      <c r="K25" s="169"/>
      <c r="L25" s="165"/>
    </row>
    <row r="26" spans="1:14" s="2" customFormat="1" ht="14.25" customHeight="1" x14ac:dyDescent="0.2">
      <c r="A26" s="89">
        <v>45297</v>
      </c>
      <c r="B26" s="9" t="s">
        <v>11</v>
      </c>
      <c r="C26" s="76" t="s">
        <v>171</v>
      </c>
      <c r="D26" s="11" t="s">
        <v>29</v>
      </c>
      <c r="F26" s="31">
        <v>5752</v>
      </c>
      <c r="G26" s="1"/>
      <c r="H26" s="1"/>
      <c r="I26" s="130"/>
      <c r="J26" s="169"/>
      <c r="K26" s="169"/>
      <c r="L26" s="165"/>
    </row>
    <row r="27" spans="1:14" s="2" customFormat="1" ht="14.25" customHeight="1" x14ac:dyDescent="0.2">
      <c r="A27" s="89">
        <v>45297</v>
      </c>
      <c r="B27" s="9" t="s">
        <v>11</v>
      </c>
      <c r="C27" s="76" t="s">
        <v>1950</v>
      </c>
      <c r="D27" s="11" t="s">
        <v>29</v>
      </c>
      <c r="F27" s="31">
        <v>85811</v>
      </c>
      <c r="G27" s="1"/>
      <c r="H27" s="1"/>
      <c r="I27" s="130"/>
      <c r="J27" s="169"/>
      <c r="K27" s="169"/>
      <c r="L27" s="165"/>
    </row>
    <row r="28" spans="1:14" s="2" customFormat="1" ht="14.25" customHeight="1" x14ac:dyDescent="0.2">
      <c r="A28" s="89">
        <v>45297</v>
      </c>
      <c r="B28" s="9" t="s">
        <v>11</v>
      </c>
      <c r="C28" s="76" t="s">
        <v>828</v>
      </c>
      <c r="D28" s="11" t="s">
        <v>29</v>
      </c>
      <c r="F28" s="31">
        <v>16992</v>
      </c>
      <c r="G28" s="1"/>
      <c r="H28" s="1"/>
      <c r="I28" s="130"/>
      <c r="J28" s="169"/>
      <c r="K28" s="169"/>
      <c r="L28" s="165"/>
    </row>
    <row r="29" spans="1:14" s="2" customFormat="1" ht="14.25" customHeight="1" x14ac:dyDescent="0.2">
      <c r="A29" s="89">
        <v>45297</v>
      </c>
      <c r="B29" s="9" t="s">
        <v>11</v>
      </c>
      <c r="C29" s="76" t="s">
        <v>828</v>
      </c>
      <c r="D29" s="11" t="s">
        <v>29</v>
      </c>
      <c r="F29" s="31">
        <v>17464</v>
      </c>
      <c r="G29" s="1"/>
      <c r="H29" s="1"/>
      <c r="I29" s="130"/>
      <c r="J29" s="169"/>
      <c r="K29" s="169"/>
      <c r="L29" s="165"/>
    </row>
    <row r="30" spans="1:14" s="2" customFormat="1" ht="14.25" customHeight="1" x14ac:dyDescent="0.2">
      <c r="A30" s="89">
        <v>45297</v>
      </c>
      <c r="B30" s="9" t="s">
        <v>11</v>
      </c>
      <c r="C30" s="76" t="s">
        <v>1938</v>
      </c>
      <c r="D30" s="11" t="s">
        <v>29</v>
      </c>
      <c r="F30" s="31">
        <v>163690</v>
      </c>
      <c r="G30" s="1"/>
      <c r="H30" s="1"/>
      <c r="I30" s="130"/>
      <c r="J30" s="169"/>
      <c r="K30" s="169"/>
      <c r="L30" s="165"/>
    </row>
    <row r="31" spans="1:14" s="2" customFormat="1" ht="14.25" customHeight="1" x14ac:dyDescent="0.2">
      <c r="D31" s="11" t="s">
        <v>8</v>
      </c>
      <c r="E31" s="16">
        <f>SUM(E13:E30)</f>
        <v>0</v>
      </c>
      <c r="F31" s="16">
        <f>SUM(F12:F30)</f>
        <v>29467611.52</v>
      </c>
      <c r="G31" s="1"/>
      <c r="H31" s="1"/>
      <c r="I31" s="143"/>
      <c r="J31" s="130"/>
      <c r="K31" s="143"/>
      <c r="L31" s="143"/>
      <c r="M31" s="143"/>
      <c r="N31" s="143"/>
    </row>
    <row r="32" spans="1:14" s="2" customFormat="1" ht="14.25" customHeight="1" x14ac:dyDescent="0.4">
      <c r="A32" s="17"/>
      <c r="B32" s="18"/>
      <c r="C32" s="96" t="s">
        <v>9</v>
      </c>
      <c r="D32" s="20"/>
      <c r="E32" s="21">
        <f>+F31-E31</f>
        <v>29467611.52</v>
      </c>
      <c r="G32" s="1"/>
      <c r="H32" s="1"/>
      <c r="J32" s="112"/>
      <c r="K32" s="153" t="s">
        <v>779</v>
      </c>
    </row>
    <row r="33" spans="1:15" s="2" customFormat="1" ht="14.25" customHeight="1" x14ac:dyDescent="0.2">
      <c r="A33" s="36"/>
      <c r="B33" s="28" t="s">
        <v>66</v>
      </c>
      <c r="C33" s="43" t="s">
        <v>1458</v>
      </c>
      <c r="D33" s="43"/>
      <c r="E33" s="12">
        <f>30000000+60000000</f>
        <v>90000000</v>
      </c>
      <c r="F33" s="22"/>
      <c r="G33" s="1"/>
      <c r="H33" s="1"/>
      <c r="J33" s="40">
        <v>29467611.52</v>
      </c>
      <c r="K33" s="154">
        <f>J33-E32</f>
        <v>0</v>
      </c>
    </row>
    <row r="34" spans="1:15" s="2" customFormat="1" ht="14.25" customHeight="1" x14ac:dyDescent="0.25">
      <c r="A34" s="36"/>
      <c r="B34" s="28"/>
      <c r="C34" s="44" t="s">
        <v>1541</v>
      </c>
      <c r="D34" s="43"/>
      <c r="E34" s="7">
        <f>+E32+E33</f>
        <v>119467611.52</v>
      </c>
      <c r="F34" s="22"/>
      <c r="G34" s="1"/>
      <c r="H34" s="1"/>
      <c r="I34" s="13" t="s">
        <v>1582</v>
      </c>
      <c r="J34" s="13" t="s">
        <v>1583</v>
      </c>
    </row>
    <row r="35" spans="1:15" s="2" customFormat="1" ht="14.25" customHeight="1" x14ac:dyDescent="0.25">
      <c r="A35" s="36"/>
      <c r="B35" s="28"/>
      <c r="C35" s="44" t="s">
        <v>1511</v>
      </c>
      <c r="D35" s="43"/>
      <c r="E35" s="38">
        <f>+J12+I8-J8</f>
        <v>532388.48000000045</v>
      </c>
      <c r="F35" s="22"/>
      <c r="G35" s="1"/>
      <c r="H35" s="1"/>
      <c r="I35" s="2">
        <v>1307682</v>
      </c>
      <c r="J35" s="2">
        <v>12973966</v>
      </c>
      <c r="K35" s="176">
        <f>I35-J35</f>
        <v>-11666284</v>
      </c>
    </row>
    <row r="36" spans="1:15" s="2" customFormat="1" ht="14.25" customHeight="1" x14ac:dyDescent="0.2">
      <c r="A36" s="24"/>
      <c r="B36" s="1"/>
      <c r="C36" s="14"/>
      <c r="D36" s="25"/>
      <c r="G36" s="1"/>
      <c r="H36" s="1"/>
      <c r="J36" s="130"/>
      <c r="K36" s="130"/>
    </row>
    <row r="37" spans="1:15" s="2" customFormat="1" x14ac:dyDescent="0.2">
      <c r="A37" s="214" t="s">
        <v>10</v>
      </c>
      <c r="B37" s="214"/>
      <c r="C37" s="214"/>
      <c r="D37" s="214"/>
      <c r="E37" s="214"/>
      <c r="F37" s="214"/>
      <c r="G37" s="1"/>
      <c r="H37" s="1"/>
      <c r="I37" s="159"/>
      <c r="J37" s="160">
        <v>100000000</v>
      </c>
      <c r="K37" s="160" t="s">
        <v>1506</v>
      </c>
      <c r="L37" s="70"/>
    </row>
    <row r="38" spans="1:15" s="2" customFormat="1" ht="15" x14ac:dyDescent="0.35">
      <c r="A38" s="26" t="s">
        <v>1</v>
      </c>
      <c r="B38" s="27" t="s">
        <v>2</v>
      </c>
      <c r="C38" s="5"/>
      <c r="D38" s="6" t="s">
        <v>3</v>
      </c>
      <c r="E38" s="7" t="s">
        <v>4</v>
      </c>
      <c r="F38" s="7" t="s">
        <v>5</v>
      </c>
      <c r="G38" s="1"/>
      <c r="H38" s="1"/>
      <c r="I38" s="159"/>
      <c r="J38" s="179">
        <v>56946735.560000002</v>
      </c>
      <c r="K38" s="160" t="s">
        <v>1507</v>
      </c>
      <c r="L38" s="70" t="s">
        <v>1512</v>
      </c>
    </row>
    <row r="39" spans="1:15" s="2" customFormat="1" x14ac:dyDescent="0.2">
      <c r="A39" s="89">
        <v>45297</v>
      </c>
      <c r="B39" s="128" t="s">
        <v>11</v>
      </c>
      <c r="C39" s="29" t="s">
        <v>7</v>
      </c>
      <c r="D39" s="25"/>
      <c r="E39" s="31"/>
      <c r="F39" s="2">
        <v>98313850.409999967</v>
      </c>
      <c r="G39" s="23"/>
      <c r="H39" s="23"/>
      <c r="I39" s="159" t="s">
        <v>1505</v>
      </c>
      <c r="J39" s="160">
        <f>+J37-J38</f>
        <v>43053264.439999998</v>
      </c>
      <c r="K39" s="160"/>
      <c r="L39" s="70"/>
    </row>
    <row r="40" spans="1:15" s="2" customFormat="1" x14ac:dyDescent="0.2">
      <c r="A40" s="89">
        <v>45297</v>
      </c>
      <c r="B40" s="128" t="s">
        <v>6</v>
      </c>
      <c r="C40" s="76" t="s">
        <v>1814</v>
      </c>
      <c r="D40" s="11" t="s">
        <v>13</v>
      </c>
      <c r="E40" s="31">
        <v>35000</v>
      </c>
      <c r="G40" s="23"/>
      <c r="H40" s="23"/>
      <c r="I40" s="159"/>
      <c r="J40" s="160"/>
      <c r="K40" s="160"/>
      <c r="L40" s="70"/>
    </row>
    <row r="41" spans="1:15" s="2" customFormat="1" x14ac:dyDescent="0.2">
      <c r="A41" s="89">
        <v>45297</v>
      </c>
      <c r="B41" s="128" t="s">
        <v>6</v>
      </c>
      <c r="C41" s="76" t="s">
        <v>120</v>
      </c>
      <c r="D41" s="11" t="s">
        <v>13</v>
      </c>
      <c r="E41" s="31">
        <v>986113</v>
      </c>
      <c r="F41" s="70"/>
      <c r="G41" s="1"/>
      <c r="H41" s="1"/>
      <c r="O41" s="1"/>
    </row>
    <row r="42" spans="1:15" s="2" customFormat="1" x14ac:dyDescent="0.2">
      <c r="A42" s="89">
        <v>45297</v>
      </c>
      <c r="B42" s="128" t="s">
        <v>6</v>
      </c>
      <c r="C42" s="76" t="s">
        <v>19</v>
      </c>
      <c r="D42" s="11" t="s">
        <v>13</v>
      </c>
      <c r="E42" s="31">
        <v>10490</v>
      </c>
      <c r="F42" s="70"/>
      <c r="G42" s="1"/>
      <c r="H42" s="1"/>
      <c r="O42" s="1"/>
    </row>
    <row r="43" spans="1:15" s="2" customFormat="1" x14ac:dyDescent="0.2">
      <c r="A43" s="89">
        <v>45297</v>
      </c>
      <c r="B43" s="128" t="s">
        <v>6</v>
      </c>
      <c r="C43" s="76" t="s">
        <v>316</v>
      </c>
      <c r="D43" s="11" t="s">
        <v>13</v>
      </c>
      <c r="E43" s="31">
        <v>119051</v>
      </c>
      <c r="F43" s="70"/>
      <c r="G43" s="1"/>
      <c r="H43" s="1"/>
      <c r="O43" s="1"/>
    </row>
    <row r="44" spans="1:15" s="2" customFormat="1" x14ac:dyDescent="0.2">
      <c r="A44" s="89">
        <v>45297</v>
      </c>
      <c r="B44" s="128" t="s">
        <v>6</v>
      </c>
      <c r="C44" s="76" t="s">
        <v>364</v>
      </c>
      <c r="D44" s="11" t="s">
        <v>13</v>
      </c>
      <c r="E44" s="31">
        <v>41060</v>
      </c>
      <c r="F44" s="70"/>
      <c r="G44" s="1"/>
      <c r="H44" s="1"/>
      <c r="O44" s="1"/>
    </row>
    <row r="45" spans="1:15" s="2" customFormat="1" x14ac:dyDescent="0.2">
      <c r="A45" s="89">
        <v>45297</v>
      </c>
      <c r="B45" s="128" t="s">
        <v>6</v>
      </c>
      <c r="C45" s="76" t="s">
        <v>639</v>
      </c>
      <c r="D45" s="11" t="s">
        <v>13</v>
      </c>
      <c r="E45" s="31">
        <v>12116.45</v>
      </c>
      <c r="F45" s="70"/>
      <c r="G45" s="1"/>
      <c r="H45" s="1"/>
      <c r="O45" s="1"/>
    </row>
    <row r="46" spans="1:15" s="2" customFormat="1" x14ac:dyDescent="0.2">
      <c r="A46" s="89">
        <v>45297</v>
      </c>
      <c r="B46" s="128" t="s">
        <v>6</v>
      </c>
      <c r="C46" s="76" t="s">
        <v>748</v>
      </c>
      <c r="D46" s="11" t="s">
        <v>13</v>
      </c>
      <c r="E46" s="31">
        <v>4836389.6100000003</v>
      </c>
      <c r="F46" s="70"/>
      <c r="G46" s="1"/>
      <c r="H46" s="1"/>
      <c r="O46" s="1"/>
    </row>
    <row r="47" spans="1:15" s="2" customFormat="1" x14ac:dyDescent="0.2">
      <c r="A47" s="89">
        <v>45297</v>
      </c>
      <c r="B47" s="128" t="s">
        <v>6</v>
      </c>
      <c r="C47" s="76" t="s">
        <v>760</v>
      </c>
      <c r="D47" s="11" t="s">
        <v>13</v>
      </c>
      <c r="E47" s="31">
        <v>1056356.97</v>
      </c>
      <c r="F47" s="70"/>
      <c r="G47" s="1"/>
      <c r="H47" s="1"/>
      <c r="O47" s="1"/>
    </row>
    <row r="48" spans="1:15" s="2" customFormat="1" x14ac:dyDescent="0.2">
      <c r="A48" s="89">
        <v>45297</v>
      </c>
      <c r="B48" s="128" t="s">
        <v>6</v>
      </c>
      <c r="C48" s="76" t="s">
        <v>764</v>
      </c>
      <c r="D48" s="11" t="s">
        <v>13</v>
      </c>
      <c r="E48" s="31">
        <v>3033346.97</v>
      </c>
      <c r="F48" s="70"/>
      <c r="G48" s="1"/>
      <c r="H48" s="1"/>
      <c r="O48" s="1"/>
    </row>
    <row r="49" spans="1:15" s="2" customFormat="1" x14ac:dyDescent="0.2">
      <c r="A49" s="89">
        <v>45297</v>
      </c>
      <c r="B49" s="128" t="s">
        <v>6</v>
      </c>
      <c r="C49" s="76" t="s">
        <v>749</v>
      </c>
      <c r="D49" s="11" t="s">
        <v>13</v>
      </c>
      <c r="E49" s="31">
        <v>1922540.39</v>
      </c>
      <c r="F49" s="70"/>
      <c r="G49" s="1"/>
      <c r="H49" s="1"/>
      <c r="O49" s="1"/>
    </row>
    <row r="50" spans="1:15" s="2" customFormat="1" x14ac:dyDescent="0.2">
      <c r="A50" s="89">
        <v>45297</v>
      </c>
      <c r="B50" s="128" t="s">
        <v>6</v>
      </c>
      <c r="C50" s="76" t="s">
        <v>1925</v>
      </c>
      <c r="D50" s="11" t="s">
        <v>13</v>
      </c>
      <c r="E50" s="31">
        <v>1045075.22</v>
      </c>
      <c r="F50" s="70"/>
      <c r="G50" s="1"/>
      <c r="H50" s="1"/>
      <c r="O50" s="1"/>
    </row>
    <row r="51" spans="1:15" s="2" customFormat="1" x14ac:dyDescent="0.2">
      <c r="A51" s="89">
        <v>45297</v>
      </c>
      <c r="B51" s="128" t="s">
        <v>6</v>
      </c>
      <c r="C51" s="76" t="s">
        <v>560</v>
      </c>
      <c r="D51" s="11" t="s">
        <v>13</v>
      </c>
      <c r="E51" s="31">
        <v>10909.42</v>
      </c>
      <c r="F51" s="70"/>
      <c r="G51" s="1"/>
      <c r="H51" s="1"/>
      <c r="O51" s="1"/>
    </row>
    <row r="52" spans="1:15" s="2" customFormat="1" x14ac:dyDescent="0.2">
      <c r="A52" s="89">
        <v>45297</v>
      </c>
      <c r="B52" s="128" t="s">
        <v>6</v>
      </c>
      <c r="C52" s="76" t="s">
        <v>547</v>
      </c>
      <c r="D52" s="11" t="s">
        <v>13</v>
      </c>
      <c r="E52" s="31">
        <v>200071</v>
      </c>
      <c r="F52" s="70"/>
      <c r="G52" s="1"/>
      <c r="H52" s="1"/>
      <c r="O52" s="1"/>
    </row>
    <row r="53" spans="1:15" s="2" customFormat="1" x14ac:dyDescent="0.2">
      <c r="A53" s="89">
        <v>45297</v>
      </c>
      <c r="B53" s="128" t="s">
        <v>6</v>
      </c>
      <c r="C53" s="76" t="s">
        <v>993</v>
      </c>
      <c r="D53" s="11" t="s">
        <v>13</v>
      </c>
      <c r="E53" s="31">
        <v>48143</v>
      </c>
      <c r="F53" s="70"/>
      <c r="G53" s="1"/>
      <c r="H53" s="1"/>
      <c r="O53" s="1"/>
    </row>
    <row r="54" spans="1:15" s="2" customFormat="1" x14ac:dyDescent="0.2">
      <c r="A54" s="89">
        <v>45297</v>
      </c>
      <c r="B54" s="128" t="s">
        <v>6</v>
      </c>
      <c r="C54" s="76" t="s">
        <v>366</v>
      </c>
      <c r="D54" s="11" t="s">
        <v>13</v>
      </c>
      <c r="E54" s="31">
        <v>500000</v>
      </c>
      <c r="F54" s="70"/>
      <c r="G54" s="1"/>
      <c r="H54" s="1"/>
      <c r="O54" s="1"/>
    </row>
    <row r="55" spans="1:15" s="2" customFormat="1" x14ac:dyDescent="0.2">
      <c r="A55" s="89">
        <v>45297</v>
      </c>
      <c r="B55" s="128" t="s">
        <v>6</v>
      </c>
      <c r="C55" s="76" t="s">
        <v>960</v>
      </c>
      <c r="D55" s="11" t="s">
        <v>13</v>
      </c>
      <c r="E55" s="31">
        <v>11500000</v>
      </c>
      <c r="F55" s="70"/>
      <c r="G55" s="1"/>
      <c r="H55" s="1"/>
      <c r="O55" s="1"/>
    </row>
    <row r="56" spans="1:15" s="2" customFormat="1" x14ac:dyDescent="0.2">
      <c r="A56" s="89">
        <v>45297</v>
      </c>
      <c r="B56" s="128" t="s">
        <v>6</v>
      </c>
      <c r="C56" s="76" t="s">
        <v>283</v>
      </c>
      <c r="D56" s="11" t="s">
        <v>13</v>
      </c>
      <c r="E56" s="31">
        <v>20660006</v>
      </c>
      <c r="F56" s="70"/>
      <c r="G56" s="1"/>
      <c r="H56" s="1"/>
      <c r="O56" s="1"/>
    </row>
    <row r="57" spans="1:15" s="2" customFormat="1" x14ac:dyDescent="0.2">
      <c r="A57" s="89">
        <v>45297</v>
      </c>
      <c r="B57" s="128" t="s">
        <v>6</v>
      </c>
      <c r="C57" s="76" t="s">
        <v>14</v>
      </c>
      <c r="D57" s="11" t="s">
        <v>13</v>
      </c>
      <c r="E57" s="31">
        <v>7134</v>
      </c>
      <c r="F57" s="70"/>
      <c r="G57" s="1"/>
      <c r="H57" s="1"/>
      <c r="O57" s="1"/>
    </row>
    <row r="58" spans="1:15" s="2" customFormat="1" x14ac:dyDescent="0.2">
      <c r="A58" s="89">
        <v>45297</v>
      </c>
      <c r="B58" s="128" t="s">
        <v>6</v>
      </c>
      <c r="C58" s="76" t="s">
        <v>1898</v>
      </c>
      <c r="D58" s="11" t="s">
        <v>13</v>
      </c>
      <c r="E58" s="31">
        <v>582524.53</v>
      </c>
      <c r="F58" s="70"/>
      <c r="G58" s="1"/>
      <c r="H58" s="1"/>
      <c r="O58" s="1"/>
    </row>
    <row r="59" spans="1:15" s="2" customFormat="1" x14ac:dyDescent="0.2">
      <c r="A59" s="89">
        <v>45297</v>
      </c>
      <c r="B59" s="128" t="s">
        <v>6</v>
      </c>
      <c r="C59" s="76" t="s">
        <v>1831</v>
      </c>
      <c r="D59" s="11" t="s">
        <v>13</v>
      </c>
      <c r="E59" s="31">
        <v>500000</v>
      </c>
      <c r="F59" s="70"/>
      <c r="G59" s="1"/>
      <c r="H59" s="1"/>
      <c r="O59" s="1"/>
    </row>
    <row r="60" spans="1:15" s="2" customFormat="1" x14ac:dyDescent="0.2">
      <c r="A60" s="89">
        <v>45297</v>
      </c>
      <c r="B60" s="128" t="s">
        <v>6</v>
      </c>
      <c r="C60" s="76" t="s">
        <v>1951</v>
      </c>
      <c r="D60" s="11" t="s">
        <v>13</v>
      </c>
      <c r="E60" s="31">
        <v>26613</v>
      </c>
      <c r="F60" s="70"/>
      <c r="G60" s="1"/>
      <c r="H60" s="1"/>
      <c r="O60" s="1"/>
    </row>
    <row r="61" spans="1:15" s="2" customFormat="1" x14ac:dyDescent="0.2">
      <c r="A61" s="89">
        <v>45297</v>
      </c>
      <c r="B61" s="128" t="s">
        <v>6</v>
      </c>
      <c r="C61" s="76" t="s">
        <v>15</v>
      </c>
      <c r="D61" s="11" t="s">
        <v>13</v>
      </c>
      <c r="E61" s="31">
        <v>3181.05</v>
      </c>
      <c r="F61" s="70"/>
      <c r="G61" s="1"/>
      <c r="H61" s="1"/>
      <c r="O61" s="1"/>
    </row>
    <row r="62" spans="1:15" s="2" customFormat="1" x14ac:dyDescent="0.2">
      <c r="A62" s="89">
        <v>45297</v>
      </c>
      <c r="B62" s="128" t="s">
        <v>11</v>
      </c>
      <c r="C62" s="76" t="s">
        <v>64</v>
      </c>
      <c r="D62" s="11" t="s">
        <v>29</v>
      </c>
      <c r="E62" s="31"/>
      <c r="F62" s="70">
        <v>18761.61</v>
      </c>
      <c r="G62" s="1"/>
      <c r="H62" s="1"/>
      <c r="O62" s="1"/>
    </row>
    <row r="63" spans="1:15" s="2" customFormat="1" x14ac:dyDescent="0.2">
      <c r="A63" s="89">
        <v>45297</v>
      </c>
      <c r="B63" s="128" t="s">
        <v>11</v>
      </c>
      <c r="C63" s="76" t="s">
        <v>127</v>
      </c>
      <c r="D63" s="11" t="s">
        <v>29</v>
      </c>
      <c r="E63" s="31"/>
      <c r="F63" s="70">
        <v>9339349</v>
      </c>
      <c r="G63" s="1"/>
      <c r="H63" s="1"/>
      <c r="O63" s="1"/>
    </row>
    <row r="64" spans="1:15" s="2" customFormat="1" x14ac:dyDescent="0.2">
      <c r="A64" s="89">
        <v>45297</v>
      </c>
      <c r="B64" s="128" t="s">
        <v>11</v>
      </c>
      <c r="C64" s="76" t="s">
        <v>284</v>
      </c>
      <c r="D64" s="11" t="s">
        <v>29</v>
      </c>
      <c r="E64" s="31"/>
      <c r="F64" s="70">
        <v>746200</v>
      </c>
      <c r="G64" s="1"/>
      <c r="H64" s="1"/>
      <c r="O64" s="1"/>
    </row>
    <row r="65" spans="1:15" s="2" customFormat="1" x14ac:dyDescent="0.2">
      <c r="A65" s="89">
        <v>45297</v>
      </c>
      <c r="B65" s="128" t="s">
        <v>11</v>
      </c>
      <c r="C65" s="76" t="s">
        <v>1810</v>
      </c>
      <c r="D65" s="11" t="s">
        <v>29</v>
      </c>
      <c r="E65" s="31"/>
      <c r="F65" s="70">
        <v>1032601</v>
      </c>
      <c r="G65" s="1"/>
      <c r="H65" s="1"/>
      <c r="O65" s="1"/>
    </row>
    <row r="66" spans="1:15" s="2" customFormat="1" x14ac:dyDescent="0.2">
      <c r="A66" s="89">
        <v>45297</v>
      </c>
      <c r="B66" s="128" t="s">
        <v>11</v>
      </c>
      <c r="C66" s="76" t="s">
        <v>223</v>
      </c>
      <c r="D66" s="11" t="s">
        <v>29</v>
      </c>
      <c r="E66" s="31"/>
      <c r="F66" s="70">
        <v>6058937</v>
      </c>
      <c r="G66" s="1"/>
      <c r="H66" s="1"/>
      <c r="O66" s="1"/>
    </row>
    <row r="67" spans="1:15" s="2" customFormat="1" x14ac:dyDescent="0.2">
      <c r="A67" s="89">
        <v>45297</v>
      </c>
      <c r="B67" s="128" t="s">
        <v>11</v>
      </c>
      <c r="C67" s="76" t="s">
        <v>156</v>
      </c>
      <c r="D67" s="11" t="s">
        <v>29</v>
      </c>
      <c r="E67" s="31"/>
      <c r="F67" s="70">
        <v>8</v>
      </c>
      <c r="G67" s="1"/>
      <c r="H67" s="1"/>
      <c r="O67" s="1"/>
    </row>
    <row r="68" spans="1:15" s="2" customFormat="1" x14ac:dyDescent="0.2">
      <c r="A68" s="89">
        <v>45297</v>
      </c>
      <c r="B68" s="128" t="s">
        <v>11</v>
      </c>
      <c r="C68" s="76" t="s">
        <v>1886</v>
      </c>
      <c r="D68" s="11" t="s">
        <v>29</v>
      </c>
      <c r="E68" s="31"/>
      <c r="F68" s="70">
        <v>10974.95</v>
      </c>
      <c r="G68" s="1"/>
      <c r="H68" s="1"/>
      <c r="O68" s="1"/>
    </row>
    <row r="69" spans="1:15" s="2" customFormat="1" x14ac:dyDescent="0.2">
      <c r="A69" s="89">
        <v>45297</v>
      </c>
      <c r="B69" s="128" t="s">
        <v>11</v>
      </c>
      <c r="C69" s="76" t="s">
        <v>15</v>
      </c>
      <c r="D69" s="11" t="s">
        <v>29</v>
      </c>
      <c r="E69" s="31"/>
      <c r="F69" s="70">
        <v>228459.19999999998</v>
      </c>
      <c r="G69" s="1"/>
      <c r="H69" s="1"/>
      <c r="O69" s="1"/>
    </row>
    <row r="70" spans="1:15" s="2" customFormat="1" x14ac:dyDescent="0.2">
      <c r="A70" s="32"/>
      <c r="B70" s="33"/>
      <c r="C70" s="14"/>
      <c r="D70" s="34"/>
      <c r="E70" s="16">
        <f>SUM(E39:E69)</f>
        <v>47136121.609999999</v>
      </c>
      <c r="F70" s="16">
        <f>SUM(F39:F69)</f>
        <v>115749141.16999997</v>
      </c>
      <c r="G70" s="1"/>
      <c r="H70" s="1"/>
      <c r="I70" s="1"/>
      <c r="J70" s="38">
        <v>68613019.560000002</v>
      </c>
      <c r="L70" s="92">
        <f>E71-J70</f>
        <v>0</v>
      </c>
      <c r="O70" s="1"/>
    </row>
    <row r="71" spans="1:15" s="2" customFormat="1" x14ac:dyDescent="0.2">
      <c r="A71" s="36"/>
      <c r="B71" s="28" t="s">
        <v>11</v>
      </c>
      <c r="C71" s="19" t="s">
        <v>65</v>
      </c>
      <c r="D71" s="37"/>
      <c r="E71" s="38">
        <f>F70-E70</f>
        <v>68613019.559999973</v>
      </c>
      <c r="F71" s="22"/>
      <c r="G71" s="1"/>
      <c r="H71" s="1"/>
      <c r="I71" s="1"/>
      <c r="J71" s="70"/>
      <c r="K71" s="70"/>
      <c r="L71" s="70"/>
      <c r="O71" s="1"/>
    </row>
    <row r="72" spans="1:15" s="2" customFormat="1" x14ac:dyDescent="0.2">
      <c r="A72" s="36"/>
      <c r="B72" s="28" t="s">
        <v>66</v>
      </c>
      <c r="C72" s="19" t="s">
        <v>67</v>
      </c>
      <c r="D72" s="37"/>
      <c r="E72" s="38">
        <v>11150000</v>
      </c>
      <c r="F72" s="22"/>
      <c r="G72" s="1"/>
      <c r="H72" s="1"/>
      <c r="I72" s="70"/>
      <c r="J72" s="70"/>
      <c r="K72" s="70"/>
      <c r="L72" s="70"/>
      <c r="O72" s="1"/>
    </row>
    <row r="73" spans="1:15" s="2" customFormat="1" x14ac:dyDescent="0.2">
      <c r="A73" s="36"/>
      <c r="B73" s="28" t="s">
        <v>66</v>
      </c>
      <c r="C73" s="43" t="s">
        <v>1457</v>
      </c>
      <c r="D73" s="43"/>
      <c r="E73" s="12">
        <v>400000000</v>
      </c>
      <c r="F73" s="22"/>
      <c r="G73" s="1"/>
      <c r="H73" s="1"/>
      <c r="I73" s="70"/>
      <c r="J73" s="45">
        <v>245.21</v>
      </c>
      <c r="K73" s="46"/>
      <c r="L73" s="46"/>
      <c r="O73" s="1"/>
    </row>
    <row r="74" spans="1:15" s="2" customFormat="1" ht="15" x14ac:dyDescent="0.25">
      <c r="A74" s="36"/>
      <c r="B74" s="28"/>
      <c r="C74" s="44" t="s">
        <v>1541</v>
      </c>
      <c r="D74" s="43"/>
      <c r="E74" s="7">
        <f>+E73+E71+E72</f>
        <v>479763019.55999994</v>
      </c>
      <c r="F74" s="22"/>
      <c r="G74" s="1"/>
      <c r="H74" s="1"/>
      <c r="I74" s="103" t="s">
        <v>69</v>
      </c>
      <c r="J74" s="45">
        <v>-19.260000000000002</v>
      </c>
      <c r="K74" s="46"/>
      <c r="L74" s="46"/>
      <c r="O74" s="1"/>
    </row>
    <row r="75" spans="1:15" s="2" customFormat="1" ht="15" x14ac:dyDescent="0.25">
      <c r="A75" s="24"/>
      <c r="B75" s="1"/>
      <c r="C75" s="44" t="s">
        <v>1510</v>
      </c>
      <c r="D75" s="25"/>
      <c r="E75" s="156">
        <f>+J39-E72+I35-J35</f>
        <v>20236980.439999998</v>
      </c>
      <c r="G75" s="1"/>
      <c r="H75" s="1"/>
      <c r="I75" s="35">
        <v>1</v>
      </c>
      <c r="J75" s="45">
        <v>0</v>
      </c>
      <c r="K75" s="46">
        <f>+J76-D78</f>
        <v>0</v>
      </c>
      <c r="O75" s="1"/>
    </row>
    <row r="76" spans="1:15" s="124" customFormat="1" ht="12.75" customHeight="1" x14ac:dyDescent="0.2">
      <c r="A76" s="24"/>
      <c r="B76" s="1"/>
      <c r="C76" s="56"/>
      <c r="D76" s="56"/>
      <c r="E76" s="104"/>
      <c r="F76" s="2"/>
      <c r="G76" s="166"/>
      <c r="H76" s="166"/>
      <c r="I76" s="70"/>
      <c r="J76" s="49">
        <f>SUM(J73:J75)</f>
        <v>225.95000000000002</v>
      </c>
      <c r="K76" s="46"/>
      <c r="L76" s="46"/>
    </row>
    <row r="77" spans="1:15" s="124" customFormat="1" ht="12.75" customHeight="1" x14ac:dyDescent="0.2">
      <c r="A77" s="24"/>
      <c r="B77" s="1"/>
      <c r="C77" s="78" t="s">
        <v>575</v>
      </c>
      <c r="D77" s="48" t="s">
        <v>576</v>
      </c>
      <c r="E77" s="104"/>
      <c r="F77" s="2"/>
      <c r="G77" s="168"/>
      <c r="H77" s="168"/>
      <c r="I77" s="167"/>
      <c r="J77" s="167"/>
      <c r="K77" s="168"/>
    </row>
    <row r="78" spans="1:15" s="124" customFormat="1" ht="12.75" customHeight="1" x14ac:dyDescent="0.2">
      <c r="A78" s="24"/>
      <c r="B78" s="1"/>
      <c r="C78" s="47" t="s">
        <v>570</v>
      </c>
      <c r="D78" s="111">
        <v>225.95</v>
      </c>
      <c r="E78" s="104"/>
      <c r="F78" s="2"/>
      <c r="G78" s="168"/>
      <c r="H78" s="168"/>
      <c r="I78" s="110" t="s">
        <v>581</v>
      </c>
      <c r="J78" s="167"/>
      <c r="K78" s="168"/>
    </row>
    <row r="79" spans="1:15" s="124" customFormat="1" ht="12.75" customHeight="1" x14ac:dyDescent="0.2">
      <c r="A79" s="24"/>
      <c r="B79" s="1"/>
      <c r="C79" s="47" t="s">
        <v>931</v>
      </c>
      <c r="D79" s="111">
        <v>54.06</v>
      </c>
      <c r="E79" s="104"/>
      <c r="F79" s="2"/>
      <c r="G79" s="168"/>
      <c r="H79" s="168"/>
      <c r="I79" s="110" t="s">
        <v>580</v>
      </c>
      <c r="J79" s="167"/>
      <c r="K79" s="168"/>
    </row>
    <row r="80" spans="1:15" s="124" customFormat="1" ht="12.75" customHeight="1" x14ac:dyDescent="0.2">
      <c r="A80" s="24"/>
      <c r="B80" s="1"/>
      <c r="C80" s="47" t="s">
        <v>572</v>
      </c>
      <c r="D80" s="111">
        <f>+D103/100000</f>
        <v>120.6929234</v>
      </c>
      <c r="E80" s="104"/>
      <c r="F80" s="2"/>
      <c r="G80" s="166"/>
      <c r="H80" s="166"/>
      <c r="I80" s="90" t="s">
        <v>587</v>
      </c>
      <c r="J80" s="167"/>
      <c r="K80" s="168"/>
    </row>
    <row r="81" spans="1:15" s="2" customFormat="1" x14ac:dyDescent="0.2">
      <c r="A81" s="24"/>
      <c r="B81" s="1"/>
      <c r="C81" s="108" t="s">
        <v>578</v>
      </c>
      <c r="D81" s="48">
        <f>SUM(D78:D80)</f>
        <v>400.70292339999997</v>
      </c>
      <c r="E81" s="104"/>
      <c r="G81" s="30"/>
      <c r="H81" s="30"/>
      <c r="J81" s="13"/>
      <c r="K81" s="13"/>
    </row>
    <row r="82" spans="1:15" s="70" customFormat="1" x14ac:dyDescent="0.2">
      <c r="A82" s="24"/>
      <c r="B82" s="1"/>
      <c r="C82" s="47"/>
      <c r="D82" s="107"/>
      <c r="E82" s="104"/>
      <c r="F82" s="2"/>
      <c r="G82" s="30"/>
      <c r="H82" s="30"/>
      <c r="I82" s="2"/>
    </row>
    <row r="83" spans="1:15" s="70" customFormat="1" x14ac:dyDescent="0.2">
      <c r="A83" s="24"/>
      <c r="B83" s="1"/>
      <c r="C83" s="47" t="s">
        <v>932</v>
      </c>
      <c r="D83" s="111">
        <v>206.6</v>
      </c>
      <c r="E83" s="104"/>
      <c r="F83" s="2"/>
      <c r="G83" s="30"/>
      <c r="H83" s="30"/>
      <c r="I83" s="110" t="s">
        <v>581</v>
      </c>
    </row>
    <row r="84" spans="1:15" s="70" customFormat="1" x14ac:dyDescent="0.2">
      <c r="A84" s="24"/>
      <c r="B84" s="1"/>
      <c r="C84" s="136" t="s">
        <v>1142</v>
      </c>
      <c r="D84" s="111">
        <v>337.12</v>
      </c>
      <c r="E84" s="104"/>
      <c r="F84" s="2"/>
      <c r="G84" s="30"/>
      <c r="H84" s="30"/>
      <c r="I84" s="110" t="s">
        <v>581</v>
      </c>
    </row>
    <row r="85" spans="1:15" s="70" customFormat="1" x14ac:dyDescent="0.2">
      <c r="A85" s="24"/>
      <c r="B85" s="1"/>
      <c r="C85" s="78" t="s">
        <v>579</v>
      </c>
      <c r="D85" s="109">
        <f>D83+D84</f>
        <v>543.72</v>
      </c>
      <c r="E85" s="104"/>
      <c r="F85" s="2"/>
      <c r="G85" s="30"/>
      <c r="H85" s="30"/>
    </row>
    <row r="86" spans="1:15" s="70" customFormat="1" x14ac:dyDescent="0.2">
      <c r="A86" s="24"/>
      <c r="B86" s="1"/>
      <c r="C86" s="105"/>
      <c r="D86" s="106"/>
      <c r="E86" s="104"/>
      <c r="F86" s="2"/>
      <c r="G86" s="30"/>
      <c r="H86" s="30"/>
      <c r="J86" s="2"/>
      <c r="K86" s="221" t="str">
        <f>"FROM ( 01-01-2024 to "&amp;TEXT(A5,"dd-mm-yyyy")&amp;" )"</f>
        <v>FROM ( 01-01-2024 to 06-01-2024 )</v>
      </c>
      <c r="L86" s="221"/>
      <c r="M86" s="2"/>
      <c r="N86" s="2"/>
    </row>
    <row r="87" spans="1:15" s="70" customFormat="1" x14ac:dyDescent="0.2">
      <c r="A87" s="24"/>
      <c r="B87" s="1"/>
      <c r="C87" s="78" t="s">
        <v>577</v>
      </c>
      <c r="D87" s="109">
        <f>D78+D85</f>
        <v>769.67000000000007</v>
      </c>
      <c r="E87" s="104"/>
      <c r="F87" s="2"/>
      <c r="G87" s="30"/>
      <c r="H87" s="30"/>
      <c r="J87" s="113"/>
      <c r="K87" s="113" t="s">
        <v>709</v>
      </c>
      <c r="L87" s="113" t="s">
        <v>710</v>
      </c>
      <c r="M87" s="113" t="s">
        <v>711</v>
      </c>
      <c r="N87" s="113" t="s">
        <v>712</v>
      </c>
    </row>
    <row r="88" spans="1:15" s="70" customFormat="1" x14ac:dyDescent="0.2">
      <c r="A88" s="24"/>
      <c r="B88" s="1"/>
      <c r="C88" s="56"/>
      <c r="D88" s="56"/>
      <c r="E88" s="104"/>
      <c r="F88" s="2"/>
      <c r="G88" s="30"/>
      <c r="H88" s="30"/>
      <c r="J88" s="113" t="s">
        <v>1860</v>
      </c>
      <c r="K88" s="115">
        <v>189.89</v>
      </c>
      <c r="L88" s="115">
        <v>56.31</v>
      </c>
      <c r="M88" s="115">
        <v>58.41</v>
      </c>
      <c r="N88" s="113">
        <f>+K88+M88-L88</f>
        <v>191.98999999999998</v>
      </c>
    </row>
    <row r="89" spans="1:15" s="70" customFormat="1" ht="38.25" x14ac:dyDescent="0.2">
      <c r="A89" s="24"/>
      <c r="B89" s="1"/>
      <c r="C89" s="79" t="str">
        <f>"Particulars ( 01-01-2024 to "&amp;TEXT(A5,"dd-mm-yyyy")&amp;" )"</f>
        <v>Particulars ( 01-01-2024 to 06-01-2024 )</v>
      </c>
      <c r="D89" s="79" t="s">
        <v>7</v>
      </c>
      <c r="E89" s="80" t="s">
        <v>73</v>
      </c>
      <c r="F89" s="80" t="s">
        <v>74</v>
      </c>
      <c r="G89" s="81" t="s">
        <v>75</v>
      </c>
      <c r="H89" s="80" t="s">
        <v>76</v>
      </c>
      <c r="J89" s="113" t="s">
        <v>1861</v>
      </c>
      <c r="K89" s="115">
        <v>1669.19</v>
      </c>
      <c r="L89" s="115">
        <v>120.69</v>
      </c>
      <c r="M89" s="115">
        <v>335.02</v>
      </c>
      <c r="N89" s="113">
        <f>+K89+M89-L89</f>
        <v>1883.52</v>
      </c>
    </row>
    <row r="90" spans="1:15" s="70" customFormat="1" x14ac:dyDescent="0.2">
      <c r="A90" s="24"/>
      <c r="B90" s="1"/>
      <c r="C90" s="50" t="s">
        <v>444</v>
      </c>
      <c r="D90" s="55">
        <f>+K90</f>
        <v>140.88</v>
      </c>
      <c r="E90" s="55">
        <f>+M90</f>
        <v>206.6</v>
      </c>
      <c r="F90" s="55">
        <f>+L90</f>
        <v>54.06</v>
      </c>
      <c r="G90" s="55">
        <f>+D90+E90-F90</f>
        <v>293.42</v>
      </c>
      <c r="H90" s="55">
        <f>1500-G90</f>
        <v>1206.58</v>
      </c>
      <c r="J90" s="113" t="s">
        <v>707</v>
      </c>
      <c r="K90" s="115">
        <v>140.88</v>
      </c>
      <c r="L90" s="115">
        <v>54.06</v>
      </c>
      <c r="M90" s="115">
        <v>206.6</v>
      </c>
      <c r="N90" s="113">
        <f>+K90+M90-L90</f>
        <v>293.42</v>
      </c>
    </row>
    <row r="91" spans="1:15" s="70" customFormat="1" ht="12.75" customHeight="1" x14ac:dyDescent="0.2">
      <c r="A91" s="24"/>
      <c r="B91" s="1"/>
      <c r="C91" s="50" t="s">
        <v>71</v>
      </c>
      <c r="D91" s="55">
        <f>+K88+K89</f>
        <v>1859.08</v>
      </c>
      <c r="E91" s="55">
        <f>+M88+M89</f>
        <v>393.42999999999995</v>
      </c>
      <c r="F91" s="55">
        <f>+L88+L89</f>
        <v>177</v>
      </c>
      <c r="G91" s="55">
        <f>+D91+E91-F91</f>
        <v>2075.5099999999998</v>
      </c>
      <c r="H91" s="55">
        <f>1500+700-G91</f>
        <v>124.49000000000024</v>
      </c>
      <c r="J91" s="2"/>
      <c r="K91" s="118">
        <f>SUM(K88:K90)</f>
        <v>1999.96</v>
      </c>
      <c r="L91" s="118">
        <f>SUM(L88:L90)</f>
        <v>231.06</v>
      </c>
      <c r="M91" s="118">
        <f>SUM(M88:M90)</f>
        <v>600.03</v>
      </c>
      <c r="N91" s="118">
        <f>SUM(N88:N90)</f>
        <v>2368.9299999999998</v>
      </c>
    </row>
    <row r="92" spans="1:15" s="70" customFormat="1" ht="12.75" customHeight="1" x14ac:dyDescent="0.2">
      <c r="A92" s="24"/>
      <c r="B92" s="1"/>
      <c r="C92" s="14"/>
      <c r="D92" s="56"/>
      <c r="E92" s="13"/>
      <c r="F92" s="2"/>
      <c r="G92" s="30"/>
      <c r="H92" s="30"/>
    </row>
    <row r="93" spans="1:15" s="70" customFormat="1" ht="12.75" customHeight="1" x14ac:dyDescent="0.2">
      <c r="A93" s="215" t="s">
        <v>80</v>
      </c>
      <c r="B93" s="216"/>
      <c r="C93" s="216"/>
      <c r="D93" s="217"/>
      <c r="E93" s="69"/>
      <c r="G93" s="30"/>
      <c r="H93" s="30"/>
    </row>
    <row r="94" spans="1:15" s="70" customFormat="1" ht="12.75" customHeight="1" x14ac:dyDescent="0.2">
      <c r="A94" s="71" t="s">
        <v>81</v>
      </c>
      <c r="B94" s="71"/>
      <c r="C94" s="72" t="s">
        <v>82</v>
      </c>
      <c r="D94" s="73" t="s">
        <v>83</v>
      </c>
      <c r="E94" s="69"/>
      <c r="G94" s="30"/>
      <c r="H94" s="30"/>
    </row>
    <row r="95" spans="1:15" s="70" customFormat="1" ht="12.75" customHeight="1" x14ac:dyDescent="0.2">
      <c r="A95" s="87">
        <v>45292</v>
      </c>
      <c r="B95" s="120" t="s">
        <v>6</v>
      </c>
      <c r="C95" s="75" t="s">
        <v>1933</v>
      </c>
      <c r="D95" s="88">
        <v>7583470</v>
      </c>
      <c r="E95" s="2"/>
      <c r="F95" s="2"/>
      <c r="G95" s="30"/>
      <c r="H95" s="30"/>
      <c r="I95" s="2"/>
      <c r="J95" s="2"/>
      <c r="K95" s="2"/>
      <c r="L95" s="2"/>
      <c r="M95" s="41"/>
      <c r="N95" s="42"/>
      <c r="O95" s="2"/>
    </row>
    <row r="96" spans="1:15" s="70" customFormat="1" ht="12.75" customHeight="1" x14ac:dyDescent="0.2">
      <c r="A96" s="87">
        <v>45293</v>
      </c>
      <c r="B96" s="120" t="s">
        <v>6</v>
      </c>
      <c r="C96" s="75" t="s">
        <v>1934</v>
      </c>
      <c r="D96" s="88">
        <v>124988</v>
      </c>
      <c r="E96" s="2"/>
      <c r="F96" s="2"/>
      <c r="G96" s="30"/>
      <c r="H96" s="30"/>
      <c r="I96" s="2"/>
      <c r="J96" s="2"/>
      <c r="K96" s="2"/>
      <c r="L96" s="2"/>
      <c r="M96" s="41"/>
      <c r="N96" s="42"/>
      <c r="O96" s="2"/>
    </row>
    <row r="97" spans="1:15" s="70" customFormat="1" ht="12.75" customHeight="1" x14ac:dyDescent="0.2">
      <c r="A97" s="87">
        <v>45294</v>
      </c>
      <c r="B97" s="120" t="s">
        <v>6</v>
      </c>
      <c r="C97" s="75" t="s">
        <v>606</v>
      </c>
      <c r="D97" s="88">
        <v>260191</v>
      </c>
      <c r="E97" s="2"/>
      <c r="F97" s="2"/>
      <c r="G97" s="30"/>
      <c r="H97" s="30"/>
      <c r="I97" s="2"/>
      <c r="J97" s="2"/>
      <c r="K97" s="2"/>
      <c r="L97" s="2"/>
      <c r="M97" s="41"/>
      <c r="N97" s="42"/>
      <c r="O97" s="2"/>
    </row>
    <row r="98" spans="1:15" s="70" customFormat="1" ht="12.75" customHeight="1" x14ac:dyDescent="0.2">
      <c r="A98" s="87">
        <v>45294</v>
      </c>
      <c r="B98" s="120" t="s">
        <v>6</v>
      </c>
      <c r="C98" s="75" t="s">
        <v>888</v>
      </c>
      <c r="D98" s="88">
        <v>2431991.34</v>
      </c>
      <c r="E98" s="2"/>
      <c r="F98" s="2"/>
      <c r="G98" s="30"/>
      <c r="H98" s="30"/>
      <c r="I98" s="2"/>
      <c r="J98" s="2"/>
      <c r="K98" s="2"/>
      <c r="L98" s="2"/>
      <c r="M98" s="41"/>
      <c r="N98" s="42"/>
      <c r="O98" s="2"/>
    </row>
    <row r="99" spans="1:15" s="70" customFormat="1" ht="12.75" customHeight="1" x14ac:dyDescent="0.2">
      <c r="A99" s="87">
        <v>45295</v>
      </c>
      <c r="B99" s="120" t="s">
        <v>6</v>
      </c>
      <c r="C99" s="75" t="s">
        <v>1944</v>
      </c>
      <c r="D99" s="88">
        <v>23655</v>
      </c>
      <c r="E99" s="2"/>
      <c r="F99" s="2"/>
      <c r="G99" s="30"/>
      <c r="H99" s="30"/>
      <c r="I99" s="2"/>
      <c r="J99" s="2"/>
      <c r="K99" s="2"/>
      <c r="L99" s="2"/>
      <c r="M99" s="41"/>
      <c r="N99" s="42"/>
      <c r="O99" s="2"/>
    </row>
    <row r="100" spans="1:15" s="70" customFormat="1" ht="12.75" customHeight="1" x14ac:dyDescent="0.2">
      <c r="A100" s="87">
        <v>45295</v>
      </c>
      <c r="B100" s="120" t="s">
        <v>6</v>
      </c>
      <c r="C100" s="75" t="s">
        <v>1944</v>
      </c>
      <c r="D100" s="88">
        <v>321576</v>
      </c>
      <c r="E100" s="2"/>
      <c r="F100" s="2"/>
      <c r="G100" s="30"/>
      <c r="H100" s="30"/>
      <c r="I100" s="2"/>
      <c r="J100" s="2"/>
      <c r="K100" s="2"/>
      <c r="L100" s="2"/>
      <c r="M100" s="41"/>
      <c r="N100" s="42"/>
      <c r="O100" s="2"/>
    </row>
    <row r="101" spans="1:15" s="70" customFormat="1" ht="12.75" customHeight="1" x14ac:dyDescent="0.2">
      <c r="A101" s="87">
        <v>45295</v>
      </c>
      <c r="B101" s="120" t="s">
        <v>6</v>
      </c>
      <c r="C101" s="75" t="s">
        <v>1944</v>
      </c>
      <c r="D101" s="88">
        <v>430832</v>
      </c>
      <c r="E101" s="2"/>
      <c r="F101" s="2"/>
      <c r="G101" s="30"/>
      <c r="H101" s="30"/>
      <c r="I101" s="2"/>
      <c r="J101" s="2"/>
      <c r="K101" s="2"/>
      <c r="L101" s="2"/>
      <c r="M101" s="41"/>
      <c r="N101" s="42"/>
      <c r="O101" s="2"/>
    </row>
    <row r="102" spans="1:15" s="70" customFormat="1" ht="12.75" customHeight="1" x14ac:dyDescent="0.2">
      <c r="A102" s="87">
        <v>45295</v>
      </c>
      <c r="B102" s="120" t="s">
        <v>6</v>
      </c>
      <c r="C102" s="75" t="s">
        <v>1934</v>
      </c>
      <c r="D102" s="88">
        <v>892589</v>
      </c>
      <c r="E102" s="2"/>
      <c r="F102" s="2"/>
      <c r="G102" s="30"/>
      <c r="H102" s="30"/>
      <c r="I102" s="2"/>
      <c r="J102" s="2"/>
      <c r="K102" s="2"/>
      <c r="L102" s="2"/>
      <c r="M102" s="41"/>
      <c r="N102" s="42"/>
      <c r="O102" s="2"/>
    </row>
    <row r="103" spans="1:15" s="2" customFormat="1" x14ac:dyDescent="0.2">
      <c r="A103" s="87"/>
      <c r="B103" s="74"/>
      <c r="C103" s="75"/>
      <c r="D103" s="51">
        <f>SUM(D95:D102)</f>
        <v>12069292.34</v>
      </c>
      <c r="F103" s="2" t="s">
        <v>396</v>
      </c>
      <c r="G103" s="1"/>
      <c r="H103" s="1"/>
    </row>
    <row r="104" spans="1:15" s="2" customFormat="1" x14ac:dyDescent="0.2">
      <c r="A104" s="24"/>
      <c r="B104" s="1"/>
      <c r="C104" s="14"/>
      <c r="D104" s="56"/>
      <c r="E104" s="13"/>
      <c r="G104" s="1"/>
      <c r="H104" s="1"/>
    </row>
    <row r="105" spans="1:15" s="2" customFormat="1" x14ac:dyDescent="0.2">
      <c r="A105" s="24"/>
      <c r="B105" s="1"/>
      <c r="C105" s="218" t="s">
        <v>77</v>
      </c>
      <c r="D105" s="219"/>
      <c r="E105" s="219"/>
      <c r="F105" s="220"/>
      <c r="I105" s="2" t="s">
        <v>396</v>
      </c>
    </row>
    <row r="106" spans="1:15" s="2" customFormat="1" x14ac:dyDescent="0.2">
      <c r="A106" s="24"/>
      <c r="B106" s="1"/>
      <c r="C106" s="50"/>
      <c r="D106" s="57" t="s">
        <v>78</v>
      </c>
      <c r="E106" s="58" t="s">
        <v>79</v>
      </c>
      <c r="F106" s="57" t="s">
        <v>72</v>
      </c>
      <c r="I106" s="2" t="s">
        <v>396</v>
      </c>
    </row>
    <row r="107" spans="1:15" s="2" customFormat="1" x14ac:dyDescent="0.2">
      <c r="A107" s="24"/>
      <c r="B107" s="1"/>
      <c r="C107" s="59" t="str">
        <f>"01-01-2024 to "&amp;TEXT(A5-2,"dd-mm-yyyy")</f>
        <v>01-01-2024 to 04-01-2024</v>
      </c>
      <c r="D107" s="60">
        <v>249.29</v>
      </c>
      <c r="E107" s="60">
        <v>105.48</v>
      </c>
      <c r="F107" s="61">
        <f>SUM(D107:E107)</f>
        <v>354.77</v>
      </c>
    </row>
    <row r="108" spans="1:15" s="2" customFormat="1" x14ac:dyDescent="0.2">
      <c r="A108" s="24"/>
      <c r="B108" s="1"/>
      <c r="C108" s="62" t="str">
        <f>TEXT(A5-1,"dd-mm-yyyy")</f>
        <v>05-01-2024</v>
      </c>
      <c r="D108" s="60">
        <v>54.25</v>
      </c>
      <c r="E108" s="60">
        <v>54.95</v>
      </c>
      <c r="F108" s="61">
        <f>SUM(D108:E108)</f>
        <v>109.2</v>
      </c>
      <c r="G108" s="1"/>
      <c r="H108" s="1"/>
      <c r="I108" s="53"/>
    </row>
    <row r="109" spans="1:15" s="2" customFormat="1" ht="13.5" thickBot="1" x14ac:dyDescent="0.25">
      <c r="A109" s="24"/>
      <c r="B109" s="1"/>
      <c r="C109" s="63" t="str">
        <f>"01-01-2024 to "&amp;TEXT(A5-1,"dd-mm-yyyy")</f>
        <v>01-01-2024 to 05-01-2024</v>
      </c>
      <c r="D109" s="64">
        <f>SUM(D107:D108)</f>
        <v>303.53999999999996</v>
      </c>
      <c r="E109" s="64">
        <f>SUM(E107:E108)</f>
        <v>160.43</v>
      </c>
      <c r="F109" s="64">
        <f>SUM(F107:F108)</f>
        <v>463.96999999999997</v>
      </c>
      <c r="G109" s="1"/>
      <c r="H109" s="1"/>
      <c r="I109" s="53"/>
    </row>
    <row r="110" spans="1:15" s="2" customFormat="1" ht="13.5" thickTop="1" x14ac:dyDescent="0.2">
      <c r="A110" s="24"/>
      <c r="B110" s="1"/>
      <c r="C110" s="62"/>
      <c r="D110" s="65"/>
      <c r="E110" s="66"/>
      <c r="F110" s="67"/>
      <c r="M110" s="1"/>
      <c r="N110" s="1"/>
    </row>
    <row r="111" spans="1:15" s="2" customFormat="1" x14ac:dyDescent="0.2">
      <c r="A111" s="24"/>
      <c r="B111" s="1"/>
      <c r="C111" s="62" t="str">
        <f>"01-04-2023 to " &amp;C108</f>
        <v>01-04-2023 to 05-01-2024</v>
      </c>
      <c r="D111" s="68">
        <f>+D109+34576.72</f>
        <v>34880.26</v>
      </c>
      <c r="E111" s="68">
        <f>+E109+3831.86</f>
        <v>3992.29</v>
      </c>
      <c r="F111" s="68">
        <f>+F109+38408.58</f>
        <v>38872.550000000003</v>
      </c>
      <c r="G111" s="1"/>
      <c r="H111" s="1"/>
      <c r="M111" s="1"/>
      <c r="N111" s="1"/>
    </row>
    <row r="112" spans="1:15" s="2" customFormat="1" x14ac:dyDescent="0.2">
      <c r="A112" s="24"/>
      <c r="B112" s="1"/>
      <c r="C112" s="52"/>
      <c r="D112" s="85"/>
      <c r="E112" s="53"/>
      <c r="F112" s="53"/>
      <c r="G112" s="1"/>
      <c r="H112" s="1"/>
      <c r="M112" s="1"/>
      <c r="N112" s="1"/>
    </row>
    <row r="113" spans="1:14" s="2" customFormat="1" x14ac:dyDescent="0.2">
      <c r="A113" s="24"/>
      <c r="B113" s="1"/>
      <c r="C113" s="52"/>
      <c r="D113" s="85"/>
      <c r="E113" s="53"/>
      <c r="F113" s="53"/>
      <c r="G113" s="1"/>
      <c r="H113" s="1"/>
      <c r="M113" s="1"/>
      <c r="N113" s="1"/>
    </row>
    <row r="114" spans="1:14" s="2" customFormat="1" x14ac:dyDescent="0.2">
      <c r="A114" s="24"/>
      <c r="B114" s="1"/>
      <c r="C114" s="52"/>
      <c r="D114" s="85"/>
      <c r="E114" s="53"/>
      <c r="F114" s="53"/>
      <c r="G114" s="1"/>
      <c r="H114" s="1"/>
      <c r="M114" s="1"/>
      <c r="N114" s="1"/>
    </row>
    <row r="115" spans="1:14" s="2" customFormat="1" x14ac:dyDescent="0.2">
      <c r="A115" s="24"/>
      <c r="B115" s="1"/>
      <c r="C115" s="52"/>
      <c r="D115" s="85"/>
      <c r="E115" s="53"/>
      <c r="F115" s="53"/>
      <c r="G115" s="1"/>
      <c r="H115" s="1"/>
      <c r="M115" s="1"/>
      <c r="N115" s="1"/>
    </row>
    <row r="116" spans="1:14" s="2" customFormat="1" x14ac:dyDescent="0.2">
      <c r="A116" s="24"/>
      <c r="B116" s="1"/>
      <c r="C116" s="14"/>
      <c r="D116" s="25">
        <f>SUM(D113:D115)</f>
        <v>0</v>
      </c>
      <c r="E116" s="2">
        <f>SUM(E113:E115)</f>
        <v>0</v>
      </c>
      <c r="G116" s="1"/>
      <c r="H116" s="1"/>
      <c r="M116" s="1"/>
      <c r="N116" s="1"/>
    </row>
    <row r="117" spans="1:14" s="2" customFormat="1" x14ac:dyDescent="0.2">
      <c r="A117" s="24"/>
      <c r="B117" s="1"/>
      <c r="C117" s="14"/>
      <c r="D117" s="25"/>
      <c r="G117" s="1"/>
      <c r="H117" s="1"/>
      <c r="M117" s="1"/>
      <c r="N117" s="1"/>
    </row>
    <row r="118" spans="1:14" s="2" customFormat="1" x14ac:dyDescent="0.2">
      <c r="A118" s="24"/>
      <c r="B118" s="1"/>
      <c r="C118" s="14"/>
      <c r="D118" s="25"/>
      <c r="G118" s="1"/>
      <c r="H118" s="1"/>
      <c r="M118" s="1"/>
      <c r="N118" s="1"/>
    </row>
    <row r="119" spans="1:14" s="2" customFormat="1" x14ac:dyDescent="0.2">
      <c r="A119" s="24"/>
      <c r="B119" s="1"/>
      <c r="C119" s="14"/>
      <c r="D119" s="25"/>
      <c r="G119" s="1"/>
      <c r="H119" s="1"/>
      <c r="M119" s="1"/>
      <c r="N119" s="1"/>
    </row>
    <row r="120" spans="1:14" s="2" customFormat="1" x14ac:dyDescent="0.2">
      <c r="A120" s="24"/>
      <c r="B120" s="1"/>
      <c r="C120" s="14"/>
      <c r="D120" s="25"/>
      <c r="G120" s="1"/>
      <c r="H120" s="1"/>
      <c r="M120" s="1"/>
      <c r="N120" s="1"/>
    </row>
    <row r="121" spans="1:14" s="2" customFormat="1" x14ac:dyDescent="0.2">
      <c r="A121" s="24"/>
      <c r="B121" s="1"/>
      <c r="C121" s="14"/>
      <c r="D121" s="25"/>
      <c r="G121" s="1"/>
      <c r="H121" s="1"/>
      <c r="M121" s="1"/>
      <c r="N121" s="1"/>
    </row>
    <row r="122" spans="1:14" s="2" customFormat="1" x14ac:dyDescent="0.2">
      <c r="A122" s="24"/>
      <c r="B122" s="1"/>
      <c r="C122" s="14"/>
      <c r="D122" s="25"/>
      <c r="G122" s="1"/>
      <c r="H122" s="1"/>
      <c r="M122" s="1"/>
      <c r="N122" s="1"/>
    </row>
    <row r="123" spans="1:14" s="2" customFormat="1" x14ac:dyDescent="0.2">
      <c r="A123" s="24"/>
      <c r="B123" s="1"/>
      <c r="C123" s="14"/>
      <c r="D123" s="25"/>
      <c r="G123" s="1"/>
      <c r="H123" s="1"/>
      <c r="M123" s="1"/>
      <c r="N123" s="1"/>
    </row>
    <row r="124" spans="1:14" s="2" customFormat="1" x14ac:dyDescent="0.2">
      <c r="A124" s="24"/>
      <c r="B124" s="1"/>
      <c r="C124" s="14"/>
      <c r="D124" s="25"/>
      <c r="G124" s="1"/>
      <c r="H124" s="1"/>
      <c r="M124" s="1"/>
      <c r="N124" s="1"/>
    </row>
    <row r="125" spans="1:14" s="2" customFormat="1" x14ac:dyDescent="0.2">
      <c r="A125" s="24"/>
      <c r="B125" s="1"/>
      <c r="C125" s="14"/>
      <c r="D125" s="25"/>
      <c r="G125" s="1"/>
      <c r="H125" s="1"/>
      <c r="M125" s="1"/>
      <c r="N125" s="1"/>
    </row>
    <row r="126" spans="1:14" s="2" customFormat="1" x14ac:dyDescent="0.2">
      <c r="A126" s="24"/>
      <c r="B126" s="1"/>
      <c r="C126" s="14"/>
      <c r="D126" s="25"/>
      <c r="G126" s="1"/>
      <c r="H126" s="1"/>
      <c r="M126" s="1"/>
      <c r="N126" s="1"/>
    </row>
    <row r="127" spans="1:14" s="2" customFormat="1" x14ac:dyDescent="0.2">
      <c r="A127" s="24"/>
      <c r="B127" s="1"/>
      <c r="C127" s="14"/>
      <c r="D127" s="25"/>
      <c r="G127" s="1"/>
      <c r="H127" s="1"/>
      <c r="M127" s="1"/>
      <c r="N127" s="1"/>
    </row>
    <row r="128" spans="1:14" s="2" customFormat="1" x14ac:dyDescent="0.2">
      <c r="A128" s="24"/>
      <c r="B128" s="1"/>
      <c r="C128" s="14"/>
      <c r="D128" s="25"/>
      <c r="G128" s="1"/>
      <c r="H128" s="1"/>
      <c r="M128" s="1"/>
      <c r="N128" s="1"/>
    </row>
    <row r="129" spans="1:15" s="2" customFormat="1" x14ac:dyDescent="0.2">
      <c r="A129" s="24"/>
      <c r="B129" s="1"/>
      <c r="C129" s="14"/>
      <c r="D129" s="25"/>
      <c r="G129" s="1"/>
      <c r="H129" s="1"/>
      <c r="M129" s="1"/>
      <c r="N129" s="1"/>
    </row>
    <row r="130" spans="1:15" s="2" customFormat="1" x14ac:dyDescent="0.2">
      <c r="A130" s="24"/>
      <c r="B130" s="1"/>
      <c r="C130" s="14"/>
      <c r="D130" s="25"/>
      <c r="G130" s="1"/>
      <c r="H130" s="1"/>
      <c r="J130" s="1"/>
      <c r="K130" s="1"/>
      <c r="L130" s="1"/>
      <c r="M130" s="1"/>
      <c r="N130" s="1"/>
    </row>
    <row r="131" spans="1:15" s="2" customFormat="1" x14ac:dyDescent="0.2">
      <c r="A131" s="24"/>
      <c r="B131" s="1"/>
      <c r="C131" s="14"/>
      <c r="D131" s="25"/>
      <c r="G131" s="1"/>
      <c r="H131" s="1"/>
    </row>
    <row r="132" spans="1:15" s="2" customFormat="1" x14ac:dyDescent="0.2">
      <c r="A132" s="24"/>
      <c r="B132" s="1"/>
      <c r="C132" s="14"/>
      <c r="D132" s="25"/>
      <c r="G132" s="1"/>
      <c r="H132" s="1"/>
      <c r="J132" s="1"/>
      <c r="K132" s="1"/>
      <c r="L132" s="1"/>
      <c r="M132" s="1"/>
      <c r="N132" s="1"/>
    </row>
    <row r="133" spans="1:15" s="2" customFormat="1" x14ac:dyDescent="0.2">
      <c r="A133" s="24"/>
      <c r="B133" s="1"/>
      <c r="C133" s="14"/>
      <c r="D133" s="25"/>
      <c r="G133" s="54"/>
      <c r="H133" s="54"/>
      <c r="J133" s="1"/>
      <c r="K133" s="1"/>
      <c r="L133" s="1"/>
      <c r="M133" s="1"/>
      <c r="N133" s="1"/>
    </row>
    <row r="134" spans="1:15" s="2" customFormat="1" x14ac:dyDescent="0.2">
      <c r="A134" s="24"/>
      <c r="B134" s="1"/>
      <c r="C134" s="14"/>
      <c r="D134" s="25"/>
      <c r="G134" s="54"/>
      <c r="H134" s="54"/>
      <c r="J134" s="1"/>
      <c r="K134" s="1"/>
      <c r="L134" s="1"/>
      <c r="M134" s="1"/>
      <c r="N134" s="1"/>
    </row>
    <row r="135" spans="1:15" s="2" customFormat="1" x14ac:dyDescent="0.2">
      <c r="A135" s="24"/>
      <c r="B135" s="1"/>
      <c r="C135" s="14"/>
      <c r="D135" s="25"/>
      <c r="G135" s="54"/>
      <c r="H135" s="54"/>
      <c r="J135" s="1"/>
      <c r="K135" s="1"/>
      <c r="L135" s="1"/>
      <c r="M135" s="1"/>
      <c r="N135" s="1"/>
    </row>
    <row r="136" spans="1:15" s="2" customFormat="1" x14ac:dyDescent="0.2">
      <c r="A136" s="24"/>
      <c r="B136" s="1"/>
      <c r="C136" s="14"/>
      <c r="D136" s="25"/>
      <c r="G136" s="54"/>
      <c r="H136" s="54"/>
      <c r="I136" s="2" t="s">
        <v>396</v>
      </c>
      <c r="J136" s="1"/>
      <c r="K136" s="1"/>
      <c r="L136" s="1"/>
      <c r="M136" s="1"/>
      <c r="N136" s="1"/>
      <c r="O136" s="1"/>
    </row>
    <row r="137" spans="1:15" s="2" customFormat="1" x14ac:dyDescent="0.2">
      <c r="A137" s="24"/>
      <c r="B137" s="1"/>
      <c r="C137" s="14"/>
      <c r="D137" s="25"/>
      <c r="G137" s="54"/>
      <c r="H137" s="54"/>
      <c r="I137" s="53"/>
    </row>
    <row r="138" spans="1:15" s="2" customFormat="1" x14ac:dyDescent="0.2">
      <c r="A138" s="24"/>
      <c r="B138" s="1"/>
      <c r="C138" s="14"/>
      <c r="D138" s="25"/>
      <c r="G138" s="54"/>
      <c r="H138" s="54"/>
      <c r="I138" s="53" t="s">
        <v>396</v>
      </c>
      <c r="J138" s="1"/>
      <c r="K138" s="1"/>
      <c r="L138" s="1"/>
      <c r="M138" s="1"/>
      <c r="N138" s="1"/>
      <c r="O138" s="1"/>
    </row>
    <row r="139" spans="1:15" x14ac:dyDescent="0.2">
      <c r="G139" s="54"/>
      <c r="H139" s="54"/>
      <c r="I139" s="53" t="s">
        <v>396</v>
      </c>
      <c r="K139" s="42"/>
    </row>
    <row r="140" spans="1:15" s="2" customFormat="1" x14ac:dyDescent="0.2">
      <c r="A140" s="24"/>
      <c r="B140" s="1"/>
      <c r="C140" s="14"/>
      <c r="D140" s="25"/>
      <c r="G140" s="54"/>
      <c r="H140" s="54"/>
      <c r="I140" s="53"/>
      <c r="J140" s="101"/>
      <c r="K140" s="1"/>
      <c r="L140" s="1"/>
      <c r="M140" s="1"/>
      <c r="N140" s="1"/>
      <c r="O140" s="1"/>
    </row>
    <row r="141" spans="1:15" x14ac:dyDescent="0.2">
      <c r="G141" s="54"/>
      <c r="H141" s="54"/>
      <c r="I141" s="53"/>
    </row>
    <row r="142" spans="1:15" x14ac:dyDescent="0.2">
      <c r="G142" s="54"/>
      <c r="H142" s="54"/>
      <c r="I142" s="53"/>
    </row>
    <row r="143" spans="1:15" x14ac:dyDescent="0.2">
      <c r="G143" s="54"/>
      <c r="H143" s="54"/>
      <c r="I143" s="53"/>
    </row>
  </sheetData>
  <sheetProtection insertRows="0"/>
  <mergeCells count="7">
    <mergeCell ref="K86:L86"/>
    <mergeCell ref="A93:D93"/>
    <mergeCell ref="C105:F105"/>
    <mergeCell ref="A1:H1"/>
    <mergeCell ref="A3:F3"/>
    <mergeCell ref="A10:F10"/>
    <mergeCell ref="A37:F37"/>
  </mergeCells>
  <conditionalFormatting sqref="H90:H91">
    <cfRule type="cellIs" dxfId="139" priority="1" operator="lessThan">
      <formula>0</formula>
    </cfRule>
  </conditionalFormatting>
  <conditionalFormatting sqref="C39">
    <cfRule type="duplicateValues" dxfId="138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D00-000000000000}">
  <sheetPr codeName="Sheet517">
    <pageSetUpPr fitToPage="1"/>
  </sheetPr>
  <dimension ref="A1:O130"/>
  <sheetViews>
    <sheetView topLeftCell="A4" zoomScaleNormal="100" workbookViewId="0">
      <selection activeCell="H12" sqref="H12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12.85546875" style="1" customWidth="1"/>
    <col min="9" max="9" width="24.85546875" style="2" bestFit="1" customWidth="1"/>
    <col min="10" max="10" width="21.5703125" style="1" bestFit="1" customWidth="1"/>
    <col min="11" max="11" width="16.85546875" style="1" bestFit="1" customWidth="1"/>
    <col min="12" max="12" width="17.28515625" style="1" bestFit="1" customWidth="1"/>
    <col min="13" max="13" width="13.5703125" style="1" bestFit="1" customWidth="1"/>
    <col min="14" max="14" width="17.42578125" style="1" bestFit="1" customWidth="1"/>
    <col min="15" max="15" width="12.85546875" style="1" bestFit="1" customWidth="1"/>
    <col min="16" max="17" width="9.140625" style="1"/>
    <col min="18" max="18" width="15.5703125" style="1" bestFit="1" customWidth="1"/>
    <col min="19" max="16384" width="9.140625" style="1"/>
  </cols>
  <sheetData>
    <row r="1" spans="1:12" ht="20.25" customHeight="1" x14ac:dyDescent="0.4">
      <c r="A1" s="212" t="s">
        <v>1952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2" ht="12.75" customHeight="1" x14ac:dyDescent="0.4">
      <c r="I2" s="112"/>
      <c r="J2" s="112"/>
    </row>
    <row r="3" spans="1:12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2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2" s="2" customFormat="1" ht="14.25" customHeight="1" x14ac:dyDescent="0.4">
      <c r="A5" s="89">
        <v>45299</v>
      </c>
      <c r="B5" s="9" t="s">
        <v>6</v>
      </c>
      <c r="C5" s="10" t="s">
        <v>7</v>
      </c>
      <c r="D5" s="11"/>
      <c r="E5" s="12">
        <v>586241.23000000045</v>
      </c>
      <c r="F5" s="12"/>
      <c r="G5" s="1"/>
      <c r="H5" s="1"/>
      <c r="I5" s="112"/>
      <c r="J5" s="112"/>
    </row>
    <row r="6" spans="1:12" s="2" customFormat="1" ht="12.75" customHeight="1" x14ac:dyDescent="0.2">
      <c r="D6" s="15" t="s">
        <v>8</v>
      </c>
      <c r="E6" s="16">
        <f>SUM(E5:E5)</f>
        <v>586241.23000000045</v>
      </c>
      <c r="F6" s="16">
        <f>SUM(E6)</f>
        <v>586241.23000000045</v>
      </c>
      <c r="G6" s="1"/>
      <c r="H6" s="1"/>
      <c r="I6" s="13" t="s">
        <v>1582</v>
      </c>
      <c r="J6" s="13" t="s">
        <v>1583</v>
      </c>
    </row>
    <row r="7" spans="1:12" s="2" customFormat="1" ht="12.75" customHeight="1" x14ac:dyDescent="0.2">
      <c r="A7" s="17"/>
      <c r="B7" s="18"/>
      <c r="C7" s="19" t="s">
        <v>9</v>
      </c>
      <c r="D7" s="20"/>
      <c r="E7" s="21">
        <f>+E6-F6</f>
        <v>0</v>
      </c>
      <c r="F7" s="22"/>
      <c r="G7" s="23"/>
      <c r="H7" s="23"/>
      <c r="I7" s="2">
        <v>0</v>
      </c>
      <c r="K7" s="176">
        <f>I7-J7</f>
        <v>0</v>
      </c>
    </row>
    <row r="8" spans="1:12" ht="12.75" customHeight="1" x14ac:dyDescent="0.4">
      <c r="I8" s="112"/>
      <c r="J8" s="112"/>
    </row>
    <row r="9" spans="1:12" ht="18" customHeight="1" x14ac:dyDescent="0.4">
      <c r="A9" s="213" t="s">
        <v>1037</v>
      </c>
      <c r="B9" s="213"/>
      <c r="C9" s="213"/>
      <c r="D9" s="213"/>
      <c r="E9" s="213"/>
      <c r="F9" s="213"/>
      <c r="I9" s="112"/>
      <c r="J9" s="169">
        <f>90000000-60000000</f>
        <v>30000000</v>
      </c>
      <c r="K9" s="169" t="s">
        <v>1508</v>
      </c>
    </row>
    <row r="10" spans="1:12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I10" s="112"/>
      <c r="J10" s="169">
        <v>27269334.52</v>
      </c>
      <c r="K10" s="169" t="s">
        <v>1509</v>
      </c>
      <c r="L10" s="124"/>
    </row>
    <row r="11" spans="1:12" s="2" customFormat="1" ht="14.25" customHeight="1" x14ac:dyDescent="0.2">
      <c r="A11" s="89">
        <v>45299</v>
      </c>
      <c r="B11" s="9" t="s">
        <v>6</v>
      </c>
      <c r="C11" s="10" t="s">
        <v>7</v>
      </c>
      <c r="D11" s="11"/>
      <c r="F11" s="12">
        <v>29467611.52</v>
      </c>
      <c r="G11" s="1"/>
      <c r="H11" s="1"/>
      <c r="I11" s="130" t="s">
        <v>396</v>
      </c>
      <c r="J11" s="169">
        <f>+J9-J10</f>
        <v>2730665.4800000004</v>
      </c>
      <c r="K11" s="169" t="s">
        <v>712</v>
      </c>
      <c r="L11" s="165" t="s">
        <v>1512</v>
      </c>
    </row>
    <row r="12" spans="1:12" s="2" customFormat="1" ht="14.25" customHeight="1" x14ac:dyDescent="0.2">
      <c r="A12" s="89">
        <v>45299</v>
      </c>
      <c r="B12" s="9" t="s">
        <v>11</v>
      </c>
      <c r="C12" s="76" t="s">
        <v>21</v>
      </c>
      <c r="D12" s="11" t="s">
        <v>29</v>
      </c>
      <c r="E12" s="2">
        <v>500000</v>
      </c>
      <c r="F12" s="31"/>
      <c r="G12" s="1"/>
      <c r="H12" s="1"/>
      <c r="I12" s="130"/>
      <c r="J12" s="169"/>
      <c r="K12" s="169"/>
      <c r="L12" s="165"/>
    </row>
    <row r="13" spans="1:12" s="2" customFormat="1" ht="14.25" customHeight="1" x14ac:dyDescent="0.2">
      <c r="A13" s="89">
        <v>45299</v>
      </c>
      <c r="B13" s="9" t="s">
        <v>11</v>
      </c>
      <c r="C13" s="76" t="s">
        <v>1647</v>
      </c>
      <c r="D13" s="11" t="s">
        <v>29</v>
      </c>
      <c r="E13" s="31">
        <v>406839</v>
      </c>
      <c r="F13" s="31"/>
      <c r="G13" s="1"/>
      <c r="H13" s="1"/>
      <c r="I13" s="130"/>
      <c r="J13" s="169"/>
      <c r="K13" s="169"/>
      <c r="L13" s="165"/>
    </row>
    <row r="14" spans="1:12" s="2" customFormat="1" ht="14.25" customHeight="1" x14ac:dyDescent="0.2">
      <c r="A14" s="89">
        <v>45299</v>
      </c>
      <c r="B14" s="9" t="s">
        <v>11</v>
      </c>
      <c r="C14" s="76" t="s">
        <v>234</v>
      </c>
      <c r="D14" s="11" t="s">
        <v>29</v>
      </c>
      <c r="E14" s="31">
        <v>35666</v>
      </c>
      <c r="F14" s="31"/>
      <c r="G14" s="1"/>
      <c r="H14" s="1"/>
      <c r="I14" s="130"/>
      <c r="J14" s="169"/>
      <c r="K14" s="169"/>
      <c r="L14" s="165"/>
    </row>
    <row r="15" spans="1:12" s="2" customFormat="1" ht="14.25" customHeight="1" x14ac:dyDescent="0.2">
      <c r="A15" s="89">
        <v>45299</v>
      </c>
      <c r="B15" s="9" t="s">
        <v>11</v>
      </c>
      <c r="C15" s="76" t="s">
        <v>234</v>
      </c>
      <c r="D15" s="11" t="s">
        <v>29</v>
      </c>
      <c r="E15" s="31">
        <v>1560550</v>
      </c>
      <c r="F15" s="31"/>
      <c r="G15" s="1"/>
      <c r="H15" s="1"/>
      <c r="I15" s="130"/>
      <c r="J15" s="169"/>
      <c r="K15" s="169"/>
      <c r="L15" s="165"/>
    </row>
    <row r="16" spans="1:12" s="2" customFormat="1" ht="14.25" customHeight="1" x14ac:dyDescent="0.2">
      <c r="A16" s="89">
        <v>45299</v>
      </c>
      <c r="B16" s="9" t="s">
        <v>11</v>
      </c>
      <c r="C16" s="76" t="s">
        <v>786</v>
      </c>
      <c r="D16" s="11" t="s">
        <v>29</v>
      </c>
      <c r="F16" s="31">
        <v>149367</v>
      </c>
      <c r="G16" s="1"/>
      <c r="H16" s="1"/>
      <c r="I16" s="130"/>
      <c r="J16" s="169"/>
      <c r="K16" s="169"/>
      <c r="L16" s="165"/>
    </row>
    <row r="17" spans="1:15" s="2" customFormat="1" ht="14.25" customHeight="1" x14ac:dyDescent="0.2">
      <c r="A17" s="89">
        <v>45299</v>
      </c>
      <c r="B17" s="9" t="s">
        <v>11</v>
      </c>
      <c r="C17" s="76" t="s">
        <v>1400</v>
      </c>
      <c r="D17" s="11" t="s">
        <v>29</v>
      </c>
      <c r="F17" s="31">
        <v>102894</v>
      </c>
      <c r="G17" s="1"/>
      <c r="H17" s="1"/>
      <c r="I17" s="130"/>
      <c r="J17" s="169"/>
      <c r="K17" s="169"/>
      <c r="L17" s="165"/>
    </row>
    <row r="18" spans="1:15" s="2" customFormat="1" ht="14.25" customHeight="1" x14ac:dyDescent="0.2">
      <c r="A18" s="89">
        <v>45299</v>
      </c>
      <c r="B18" s="9" t="s">
        <v>11</v>
      </c>
      <c r="C18" s="76" t="s">
        <v>132</v>
      </c>
      <c r="D18" s="11" t="s">
        <v>29</v>
      </c>
      <c r="F18" s="31">
        <v>21957</v>
      </c>
      <c r="G18" s="1"/>
      <c r="H18" s="1"/>
      <c r="I18" s="130"/>
      <c r="J18" s="169"/>
      <c r="K18" s="169"/>
      <c r="L18" s="165"/>
    </row>
    <row r="19" spans="1:15" s="2" customFormat="1" ht="14.25" customHeight="1" x14ac:dyDescent="0.2">
      <c r="A19" s="89">
        <v>45299</v>
      </c>
      <c r="B19" s="9" t="s">
        <v>11</v>
      </c>
      <c r="C19" s="76" t="s">
        <v>124</v>
      </c>
      <c r="D19" s="11" t="s">
        <v>29</v>
      </c>
      <c r="F19" s="31">
        <v>30560</v>
      </c>
      <c r="G19" s="1"/>
      <c r="H19" s="1"/>
      <c r="I19" s="130"/>
      <c r="J19" s="169"/>
      <c r="K19" s="169"/>
      <c r="L19" s="165"/>
    </row>
    <row r="20" spans="1:15" s="2" customFormat="1" ht="14.25" customHeight="1" x14ac:dyDescent="0.2">
      <c r="D20" s="11" t="s">
        <v>8</v>
      </c>
      <c r="E20" s="16">
        <f>SUM(E12:E19)</f>
        <v>2503055</v>
      </c>
      <c r="F20" s="16">
        <f>SUM(F11:F19)</f>
        <v>29772389.52</v>
      </c>
      <c r="G20" s="1"/>
      <c r="H20" s="1"/>
      <c r="I20" s="143"/>
      <c r="J20" s="130"/>
      <c r="K20" s="143"/>
      <c r="L20" s="143"/>
      <c r="M20" s="143"/>
      <c r="N20" s="143"/>
    </row>
    <row r="21" spans="1:15" s="2" customFormat="1" ht="14.25" customHeight="1" x14ac:dyDescent="0.4">
      <c r="A21" s="17"/>
      <c r="B21" s="18"/>
      <c r="C21" s="96" t="s">
        <v>9</v>
      </c>
      <c r="D21" s="20"/>
      <c r="E21" s="21">
        <f>+F20-E20</f>
        <v>27269334.52</v>
      </c>
      <c r="G21" s="1"/>
      <c r="H21" s="1"/>
      <c r="J21" s="112"/>
      <c r="K21" s="153" t="s">
        <v>779</v>
      </c>
    </row>
    <row r="22" spans="1:15" s="2" customFormat="1" ht="14.25" customHeight="1" x14ac:dyDescent="0.2">
      <c r="A22" s="36"/>
      <c r="B22" s="28" t="s">
        <v>66</v>
      </c>
      <c r="C22" s="43" t="s">
        <v>1458</v>
      </c>
      <c r="D22" s="43"/>
      <c r="E22" s="12">
        <f>30000000+60000000</f>
        <v>90000000</v>
      </c>
      <c r="F22" s="22"/>
      <c r="G22" s="1"/>
      <c r="H22" s="1"/>
      <c r="J22" s="40">
        <v>27269334.52</v>
      </c>
      <c r="K22" s="154">
        <f>J22-E21</f>
        <v>0</v>
      </c>
    </row>
    <row r="23" spans="1:15" s="2" customFormat="1" ht="14.25" customHeight="1" x14ac:dyDescent="0.25">
      <c r="A23" s="36"/>
      <c r="B23" s="28"/>
      <c r="C23" s="44" t="s">
        <v>1541</v>
      </c>
      <c r="D23" s="43"/>
      <c r="E23" s="7">
        <f>+E21+E22</f>
        <v>117269334.52</v>
      </c>
      <c r="F23" s="22"/>
      <c r="G23" s="1"/>
      <c r="H23" s="1"/>
      <c r="I23" s="13" t="s">
        <v>1582</v>
      </c>
      <c r="J23" s="13" t="s">
        <v>1583</v>
      </c>
    </row>
    <row r="24" spans="1:15" s="2" customFormat="1" ht="14.25" customHeight="1" x14ac:dyDescent="0.25">
      <c r="A24" s="36"/>
      <c r="B24" s="28"/>
      <c r="C24" s="44" t="s">
        <v>1511</v>
      </c>
      <c r="D24" s="43"/>
      <c r="E24" s="38">
        <f>+J11+I7-J7</f>
        <v>2730665.4800000004</v>
      </c>
      <c r="F24" s="22"/>
      <c r="G24" s="1"/>
      <c r="H24" s="1"/>
      <c r="I24" s="2">
        <v>1282382</v>
      </c>
      <c r="J24" s="2">
        <v>11748479</v>
      </c>
      <c r="K24" s="176">
        <f>I24-J24</f>
        <v>-10466097</v>
      </c>
    </row>
    <row r="25" spans="1:15" s="2" customFormat="1" ht="14.25" customHeight="1" x14ac:dyDescent="0.2">
      <c r="A25" s="24"/>
      <c r="B25" s="1"/>
      <c r="C25" s="14"/>
      <c r="D25" s="25"/>
      <c r="G25" s="1"/>
      <c r="H25" s="1"/>
      <c r="J25" s="130"/>
      <c r="K25" s="130"/>
    </row>
    <row r="26" spans="1:15" s="2" customFormat="1" x14ac:dyDescent="0.2">
      <c r="A26" s="214" t="s">
        <v>10</v>
      </c>
      <c r="B26" s="214"/>
      <c r="C26" s="214"/>
      <c r="D26" s="214"/>
      <c r="E26" s="214"/>
      <c r="F26" s="214"/>
      <c r="G26" s="1"/>
      <c r="H26" s="1"/>
      <c r="I26" s="159"/>
      <c r="J26" s="160">
        <v>100000000</v>
      </c>
      <c r="K26" s="160" t="s">
        <v>1506</v>
      </c>
      <c r="L26" s="70"/>
    </row>
    <row r="27" spans="1:15" s="2" customFormat="1" ht="15" x14ac:dyDescent="0.35">
      <c r="A27" s="26" t="s">
        <v>1</v>
      </c>
      <c r="B27" s="27" t="s">
        <v>2</v>
      </c>
      <c r="C27" s="5"/>
      <c r="D27" s="6" t="s">
        <v>3</v>
      </c>
      <c r="E27" s="7" t="s">
        <v>4</v>
      </c>
      <c r="F27" s="7" t="s">
        <v>5</v>
      </c>
      <c r="G27" s="1"/>
      <c r="H27" s="1"/>
      <c r="I27" s="159"/>
      <c r="J27" s="179">
        <v>75287443.459999993</v>
      </c>
      <c r="K27" s="160" t="s">
        <v>1507</v>
      </c>
      <c r="L27" s="70" t="s">
        <v>1512</v>
      </c>
    </row>
    <row r="28" spans="1:15" s="2" customFormat="1" x14ac:dyDescent="0.2">
      <c r="A28" s="89">
        <v>45299</v>
      </c>
      <c r="B28" s="128" t="s">
        <v>11</v>
      </c>
      <c r="C28" s="29" t="s">
        <v>7</v>
      </c>
      <c r="D28" s="25"/>
      <c r="E28" s="31"/>
      <c r="F28" s="2">
        <v>68613019.559999973</v>
      </c>
      <c r="G28" s="23"/>
      <c r="H28" s="23"/>
      <c r="I28" s="159" t="s">
        <v>1505</v>
      </c>
      <c r="J28" s="160">
        <f>+J26-J27</f>
        <v>24712556.540000007</v>
      </c>
      <c r="K28" s="160"/>
      <c r="L28" s="70"/>
    </row>
    <row r="29" spans="1:15" s="2" customFormat="1" x14ac:dyDescent="0.2">
      <c r="A29" s="89">
        <v>45299</v>
      </c>
      <c r="B29" s="128" t="s">
        <v>6</v>
      </c>
      <c r="C29" s="76" t="s">
        <v>264</v>
      </c>
      <c r="D29" s="11" t="s">
        <v>13</v>
      </c>
      <c r="E29" s="31">
        <v>1649040</v>
      </c>
      <c r="G29" s="23"/>
      <c r="H29" s="23"/>
      <c r="I29" s="159"/>
      <c r="J29" s="160"/>
      <c r="K29" s="160"/>
      <c r="L29" s="70"/>
    </row>
    <row r="30" spans="1:15" s="2" customFormat="1" x14ac:dyDescent="0.2">
      <c r="A30" s="89">
        <v>45299</v>
      </c>
      <c r="B30" s="128" t="s">
        <v>6</v>
      </c>
      <c r="C30" s="76" t="s">
        <v>149</v>
      </c>
      <c r="D30" s="11" t="s">
        <v>13</v>
      </c>
      <c r="E30" s="31">
        <v>42368</v>
      </c>
      <c r="F30" s="70"/>
      <c r="G30" s="1"/>
      <c r="H30" s="1"/>
      <c r="O30" s="1"/>
    </row>
    <row r="31" spans="1:15" s="2" customFormat="1" x14ac:dyDescent="0.2">
      <c r="A31" s="89">
        <v>45299</v>
      </c>
      <c r="B31" s="128" t="s">
        <v>6</v>
      </c>
      <c r="C31" s="76" t="s">
        <v>1953</v>
      </c>
      <c r="D31" s="11" t="s">
        <v>13</v>
      </c>
      <c r="E31" s="31">
        <v>293909</v>
      </c>
      <c r="F31" s="70"/>
      <c r="G31" s="1"/>
      <c r="H31" s="1"/>
      <c r="O31" s="1"/>
    </row>
    <row r="32" spans="1:15" s="2" customFormat="1" x14ac:dyDescent="0.2">
      <c r="A32" s="89">
        <v>45299</v>
      </c>
      <c r="B32" s="128" t="s">
        <v>6</v>
      </c>
      <c r="C32" s="76" t="s">
        <v>381</v>
      </c>
      <c r="D32" s="11" t="s">
        <v>13</v>
      </c>
      <c r="E32" s="31">
        <v>46410</v>
      </c>
      <c r="F32" s="70"/>
      <c r="G32" s="1"/>
      <c r="H32" s="1"/>
      <c r="O32" s="1"/>
    </row>
    <row r="33" spans="1:15" s="2" customFormat="1" x14ac:dyDescent="0.2">
      <c r="A33" s="89">
        <v>45299</v>
      </c>
      <c r="B33" s="128" t="s">
        <v>6</v>
      </c>
      <c r="C33" s="76" t="s">
        <v>993</v>
      </c>
      <c r="D33" s="11" t="s">
        <v>13</v>
      </c>
      <c r="E33" s="31">
        <v>66203</v>
      </c>
      <c r="F33" s="70"/>
      <c r="G33" s="1"/>
      <c r="H33" s="1"/>
      <c r="O33" s="1"/>
    </row>
    <row r="34" spans="1:15" s="2" customFormat="1" x14ac:dyDescent="0.2">
      <c r="A34" s="89">
        <v>45299</v>
      </c>
      <c r="B34" s="128" t="s">
        <v>6</v>
      </c>
      <c r="C34" s="76" t="s">
        <v>843</v>
      </c>
      <c r="D34" s="11" t="s">
        <v>13</v>
      </c>
      <c r="E34" s="31">
        <v>8400</v>
      </c>
      <c r="F34" s="70"/>
      <c r="G34" s="1"/>
      <c r="H34" s="1"/>
      <c r="O34" s="1"/>
    </row>
    <row r="35" spans="1:15" s="2" customFormat="1" x14ac:dyDescent="0.2">
      <c r="A35" s="89">
        <v>45299</v>
      </c>
      <c r="B35" s="128" t="s">
        <v>6</v>
      </c>
      <c r="C35" s="76" t="s">
        <v>538</v>
      </c>
      <c r="D35" s="11" t="s">
        <v>13</v>
      </c>
      <c r="E35" s="31">
        <v>12015</v>
      </c>
      <c r="F35" s="70"/>
      <c r="G35" s="1"/>
      <c r="H35" s="1"/>
      <c r="O35" s="1"/>
    </row>
    <row r="36" spans="1:15" s="2" customFormat="1" x14ac:dyDescent="0.2">
      <c r="A36" s="89">
        <v>45299</v>
      </c>
      <c r="B36" s="128" t="s">
        <v>6</v>
      </c>
      <c r="C36" s="76" t="s">
        <v>62</v>
      </c>
      <c r="D36" s="11" t="s">
        <v>13</v>
      </c>
      <c r="E36" s="31">
        <v>8000</v>
      </c>
      <c r="F36" s="70"/>
      <c r="G36" s="1"/>
      <c r="H36" s="1"/>
      <c r="O36" s="1"/>
    </row>
    <row r="37" spans="1:15" s="2" customFormat="1" x14ac:dyDescent="0.2">
      <c r="A37" s="89">
        <v>45299</v>
      </c>
      <c r="B37" s="128" t="s">
        <v>6</v>
      </c>
      <c r="C37" s="76" t="s">
        <v>1954</v>
      </c>
      <c r="D37" s="11" t="s">
        <v>13</v>
      </c>
      <c r="E37" s="31">
        <v>40000</v>
      </c>
      <c r="F37" s="70"/>
      <c r="G37" s="1"/>
      <c r="H37" s="1"/>
      <c r="O37" s="1"/>
    </row>
    <row r="38" spans="1:15" s="2" customFormat="1" x14ac:dyDescent="0.2">
      <c r="A38" s="89">
        <v>45299</v>
      </c>
      <c r="B38" s="128" t="s">
        <v>6</v>
      </c>
      <c r="C38" s="76" t="s">
        <v>434</v>
      </c>
      <c r="D38" s="11" t="s">
        <v>13</v>
      </c>
      <c r="E38" s="31">
        <v>311012</v>
      </c>
      <c r="F38" s="70"/>
      <c r="G38" s="1"/>
      <c r="H38" s="1"/>
      <c r="O38" s="1"/>
    </row>
    <row r="39" spans="1:15" s="2" customFormat="1" x14ac:dyDescent="0.2">
      <c r="A39" s="89">
        <v>45299</v>
      </c>
      <c r="B39" s="128" t="s">
        <v>6</v>
      </c>
      <c r="C39" s="76" t="s">
        <v>788</v>
      </c>
      <c r="D39" s="11" t="s">
        <v>13</v>
      </c>
      <c r="E39" s="31">
        <v>46218</v>
      </c>
      <c r="F39" s="70"/>
      <c r="G39" s="1"/>
      <c r="H39" s="1"/>
      <c r="O39" s="1"/>
    </row>
    <row r="40" spans="1:15" s="2" customFormat="1" x14ac:dyDescent="0.2">
      <c r="A40" s="89">
        <v>45299</v>
      </c>
      <c r="B40" s="128" t="s">
        <v>11</v>
      </c>
      <c r="C40" s="76" t="s">
        <v>64</v>
      </c>
      <c r="D40" s="11" t="s">
        <v>29</v>
      </c>
      <c r="E40" s="31"/>
      <c r="F40" s="70">
        <v>2065</v>
      </c>
      <c r="G40" s="1"/>
      <c r="H40" s="1"/>
      <c r="O40" s="1"/>
    </row>
    <row r="41" spans="1:15" s="2" customFormat="1" x14ac:dyDescent="0.2">
      <c r="A41" s="89">
        <v>45299</v>
      </c>
      <c r="B41" s="128" t="s">
        <v>11</v>
      </c>
      <c r="C41" s="76" t="s">
        <v>1893</v>
      </c>
      <c r="D41" s="11" t="s">
        <v>29</v>
      </c>
      <c r="E41" s="31"/>
      <c r="F41" s="70">
        <v>1360153</v>
      </c>
      <c r="G41" s="1"/>
      <c r="H41" s="1"/>
      <c r="O41" s="1"/>
    </row>
    <row r="42" spans="1:15" s="2" customFormat="1" x14ac:dyDescent="0.2">
      <c r="A42" s="89">
        <v>45299</v>
      </c>
      <c r="B42" s="128" t="s">
        <v>11</v>
      </c>
      <c r="C42" s="76" t="s">
        <v>1936</v>
      </c>
      <c r="D42" s="11" t="s">
        <v>29</v>
      </c>
      <c r="E42" s="31"/>
      <c r="F42" s="70">
        <v>8925400</v>
      </c>
      <c r="G42" s="1"/>
      <c r="H42" s="1"/>
      <c r="O42" s="1"/>
    </row>
    <row r="43" spans="1:15" s="2" customFormat="1" x14ac:dyDescent="0.2">
      <c r="A43" s="89">
        <v>45299</v>
      </c>
      <c r="B43" s="128" t="s">
        <v>11</v>
      </c>
      <c r="C43" s="76" t="s">
        <v>284</v>
      </c>
      <c r="D43" s="11" t="s">
        <v>29</v>
      </c>
      <c r="E43" s="31"/>
      <c r="F43" s="70">
        <v>1376562</v>
      </c>
      <c r="G43" s="1"/>
      <c r="H43" s="1"/>
      <c r="O43" s="1"/>
    </row>
    <row r="44" spans="1:15" s="2" customFormat="1" x14ac:dyDescent="0.2">
      <c r="A44" s="89">
        <v>45299</v>
      </c>
      <c r="B44" s="128" t="s">
        <v>11</v>
      </c>
      <c r="C44" s="76" t="s">
        <v>211</v>
      </c>
      <c r="D44" s="11" t="s">
        <v>29</v>
      </c>
      <c r="E44" s="31"/>
      <c r="F44" s="70">
        <v>16957.89</v>
      </c>
      <c r="G44" s="1"/>
      <c r="H44" s="1"/>
      <c r="O44" s="1"/>
    </row>
    <row r="45" spans="1:15" s="2" customFormat="1" x14ac:dyDescent="0.2">
      <c r="A45" s="89">
        <v>45299</v>
      </c>
      <c r="B45" s="128" t="s">
        <v>11</v>
      </c>
      <c r="C45" s="76" t="s">
        <v>925</v>
      </c>
      <c r="D45" s="11" t="s">
        <v>29</v>
      </c>
      <c r="E45" s="31"/>
      <c r="F45" s="70">
        <v>495000</v>
      </c>
      <c r="G45" s="1"/>
      <c r="H45" s="1"/>
      <c r="O45" s="1"/>
    </row>
    <row r="46" spans="1:15" s="2" customFormat="1" x14ac:dyDescent="0.2">
      <c r="A46" s="89">
        <v>45299</v>
      </c>
      <c r="B46" s="128" t="s">
        <v>11</v>
      </c>
      <c r="C46" s="76" t="s">
        <v>858</v>
      </c>
      <c r="D46" s="11" t="s">
        <v>29</v>
      </c>
      <c r="E46" s="31"/>
      <c r="F46" s="70">
        <v>52321</v>
      </c>
      <c r="G46" s="1"/>
      <c r="H46" s="1"/>
      <c r="O46" s="1"/>
    </row>
    <row r="47" spans="1:15" s="2" customFormat="1" x14ac:dyDescent="0.2">
      <c r="A47" s="89">
        <v>45299</v>
      </c>
      <c r="B47" s="128" t="s">
        <v>11</v>
      </c>
      <c r="C47" s="76" t="s">
        <v>110</v>
      </c>
      <c r="D47" s="11" t="s">
        <v>29</v>
      </c>
      <c r="E47" s="31"/>
      <c r="F47" s="70">
        <v>1202600.54</v>
      </c>
      <c r="G47" s="1"/>
      <c r="H47" s="1"/>
      <c r="O47" s="1"/>
    </row>
    <row r="48" spans="1:15" s="2" customFormat="1" x14ac:dyDescent="0.2">
      <c r="A48" s="89">
        <v>45299</v>
      </c>
      <c r="B48" s="128" t="s">
        <v>11</v>
      </c>
      <c r="C48" s="76" t="s">
        <v>649</v>
      </c>
      <c r="D48" s="11" t="s">
        <v>29</v>
      </c>
      <c r="E48" s="31"/>
      <c r="F48" s="70">
        <v>394775.14</v>
      </c>
      <c r="G48" s="1"/>
      <c r="H48" s="1"/>
      <c r="O48" s="1"/>
    </row>
    <row r="49" spans="1:15" s="2" customFormat="1" x14ac:dyDescent="0.2">
      <c r="A49" s="89">
        <v>45299</v>
      </c>
      <c r="B49" s="128" t="s">
        <v>11</v>
      </c>
      <c r="C49" s="76" t="s">
        <v>57</v>
      </c>
      <c r="D49" s="11" t="s">
        <v>29</v>
      </c>
      <c r="E49" s="31"/>
      <c r="F49" s="70">
        <v>2500000</v>
      </c>
      <c r="G49" s="1"/>
      <c r="H49" s="1"/>
      <c r="O49" s="1"/>
    </row>
    <row r="50" spans="1:15" s="2" customFormat="1" x14ac:dyDescent="0.2">
      <c r="A50" s="89">
        <v>45299</v>
      </c>
      <c r="B50" s="128" t="s">
        <v>11</v>
      </c>
      <c r="C50" s="76" t="s">
        <v>63</v>
      </c>
      <c r="D50" s="11" t="s">
        <v>29</v>
      </c>
      <c r="E50" s="31"/>
      <c r="F50" s="70">
        <v>600000</v>
      </c>
      <c r="G50" s="1"/>
      <c r="H50" s="1"/>
      <c r="O50" s="1"/>
    </row>
    <row r="51" spans="1:15" s="2" customFormat="1" x14ac:dyDescent="0.2">
      <c r="A51" s="89">
        <v>45299</v>
      </c>
      <c r="B51" s="128" t="s">
        <v>11</v>
      </c>
      <c r="C51" s="76" t="s">
        <v>327</v>
      </c>
      <c r="D51" s="11" t="s">
        <v>29</v>
      </c>
      <c r="E51" s="31"/>
      <c r="F51" s="70">
        <v>7375</v>
      </c>
      <c r="G51" s="1"/>
      <c r="H51" s="1"/>
      <c r="O51" s="1"/>
    </row>
    <row r="52" spans="1:15" s="2" customFormat="1" x14ac:dyDescent="0.2">
      <c r="A52" s="89">
        <v>45299</v>
      </c>
      <c r="B52" s="128" t="s">
        <v>11</v>
      </c>
      <c r="C52" s="76" t="s">
        <v>98</v>
      </c>
      <c r="D52" s="11" t="s">
        <v>29</v>
      </c>
      <c r="E52" s="31"/>
      <c r="F52" s="70">
        <v>5410</v>
      </c>
      <c r="G52" s="1"/>
      <c r="H52" s="1"/>
      <c r="O52" s="1"/>
    </row>
    <row r="53" spans="1:15" s="2" customFormat="1" x14ac:dyDescent="0.2">
      <c r="A53" s="89">
        <v>45299</v>
      </c>
      <c r="B53" s="128" t="s">
        <v>11</v>
      </c>
      <c r="C53" s="76" t="s">
        <v>147</v>
      </c>
      <c r="D53" s="11" t="s">
        <v>29</v>
      </c>
      <c r="E53" s="31"/>
      <c r="F53" s="70">
        <v>1965025</v>
      </c>
      <c r="G53" s="1"/>
      <c r="H53" s="1"/>
      <c r="O53" s="1"/>
    </row>
    <row r="54" spans="1:15" s="2" customFormat="1" x14ac:dyDescent="0.2">
      <c r="A54" s="89">
        <v>45299</v>
      </c>
      <c r="B54" s="128" t="s">
        <v>11</v>
      </c>
      <c r="C54" s="76" t="s">
        <v>500</v>
      </c>
      <c r="D54" s="11" t="s">
        <v>29</v>
      </c>
      <c r="E54" s="31"/>
      <c r="F54" s="70">
        <v>598248</v>
      </c>
      <c r="G54" s="1"/>
      <c r="H54" s="1"/>
      <c r="O54" s="1"/>
    </row>
    <row r="55" spans="1:15" s="2" customFormat="1" x14ac:dyDescent="0.2">
      <c r="A55" s="89">
        <v>45299</v>
      </c>
      <c r="B55" s="128" t="s">
        <v>11</v>
      </c>
      <c r="C55" s="76" t="s">
        <v>1955</v>
      </c>
      <c r="D55" s="11" t="s">
        <v>29</v>
      </c>
      <c r="E55" s="31"/>
      <c r="F55" s="70">
        <v>162203.33000000002</v>
      </c>
      <c r="G55" s="1"/>
      <c r="H55" s="1"/>
      <c r="O55" s="1"/>
    </row>
    <row r="56" spans="1:15" s="2" customFormat="1" x14ac:dyDescent="0.2">
      <c r="A56" s="32"/>
      <c r="B56" s="33"/>
      <c r="C56" s="14"/>
      <c r="D56" s="34"/>
      <c r="E56" s="16">
        <f>SUM(E28:E55)</f>
        <v>2523575</v>
      </c>
      <c r="F56" s="16">
        <f>SUM(F28:F55)</f>
        <v>88277115.459999979</v>
      </c>
      <c r="G56" s="1"/>
      <c r="H56" s="1"/>
      <c r="I56" s="1"/>
      <c r="J56" s="38">
        <v>85753540.459999993</v>
      </c>
      <c r="L56" s="92">
        <f>E57-J56</f>
        <v>0</v>
      </c>
      <c r="O56" s="1"/>
    </row>
    <row r="57" spans="1:15" s="2" customFormat="1" x14ac:dyDescent="0.2">
      <c r="A57" s="36"/>
      <c r="B57" s="28" t="s">
        <v>11</v>
      </c>
      <c r="C57" s="19" t="s">
        <v>65</v>
      </c>
      <c r="D57" s="37"/>
      <c r="E57" s="38">
        <f>F56-E56</f>
        <v>85753540.459999979</v>
      </c>
      <c r="F57" s="22"/>
      <c r="G57" s="1"/>
      <c r="H57" s="1"/>
      <c r="I57" s="1"/>
      <c r="J57" s="70"/>
      <c r="K57" s="70"/>
      <c r="L57" s="70"/>
      <c r="O57" s="1"/>
    </row>
    <row r="58" spans="1:15" s="2" customFormat="1" x14ac:dyDescent="0.2">
      <c r="A58" s="36"/>
      <c r="B58" s="28" t="s">
        <v>66</v>
      </c>
      <c r="C58" s="19" t="s">
        <v>67</v>
      </c>
      <c r="D58" s="37"/>
      <c r="E58" s="38">
        <v>11150000</v>
      </c>
      <c r="F58" s="22"/>
      <c r="G58" s="1"/>
      <c r="H58" s="1"/>
      <c r="I58" s="70"/>
      <c r="J58" s="70"/>
      <c r="K58" s="70"/>
      <c r="L58" s="70"/>
      <c r="O58" s="1"/>
    </row>
    <row r="59" spans="1:15" s="2" customFormat="1" x14ac:dyDescent="0.2">
      <c r="A59" s="36"/>
      <c r="B59" s="28" t="s">
        <v>66</v>
      </c>
      <c r="C59" s="43" t="s">
        <v>1457</v>
      </c>
      <c r="D59" s="43"/>
      <c r="E59" s="12">
        <v>400000000</v>
      </c>
      <c r="F59" s="22"/>
      <c r="G59" s="1"/>
      <c r="H59" s="1"/>
      <c r="I59" s="70"/>
      <c r="J59" s="45">
        <v>312.79000000000002</v>
      </c>
      <c r="K59" s="46"/>
      <c r="L59" s="46"/>
      <c r="O59" s="1"/>
    </row>
    <row r="60" spans="1:15" s="2" customFormat="1" ht="15" x14ac:dyDescent="0.25">
      <c r="A60" s="36"/>
      <c r="B60" s="28"/>
      <c r="C60" s="44" t="s">
        <v>1541</v>
      </c>
      <c r="D60" s="43"/>
      <c r="E60" s="7">
        <f>+E59+E57+E58</f>
        <v>496903540.45999998</v>
      </c>
      <c r="F60" s="22"/>
      <c r="G60" s="1"/>
      <c r="H60" s="1"/>
      <c r="I60" s="103" t="s">
        <v>69</v>
      </c>
      <c r="J60" s="45">
        <v>-40.53</v>
      </c>
      <c r="K60" s="46"/>
      <c r="L60" s="46"/>
      <c r="O60" s="1"/>
    </row>
    <row r="61" spans="1:15" s="2" customFormat="1" ht="15" x14ac:dyDescent="0.25">
      <c r="A61" s="24"/>
      <c r="B61" s="1"/>
      <c r="C61" s="44" t="s">
        <v>1510</v>
      </c>
      <c r="D61" s="25"/>
      <c r="E61" s="156">
        <f>+J28-E58+I24-J24</f>
        <v>3096459.5400000066</v>
      </c>
      <c r="G61" s="1"/>
      <c r="H61" s="1"/>
      <c r="I61" s="35">
        <v>1</v>
      </c>
      <c r="J61" s="45">
        <v>31.29</v>
      </c>
      <c r="K61" s="46">
        <f>+J62-D64</f>
        <v>0</v>
      </c>
      <c r="O61" s="1"/>
    </row>
    <row r="62" spans="1:15" s="124" customFormat="1" ht="12.75" customHeight="1" x14ac:dyDescent="0.2">
      <c r="A62" s="24"/>
      <c r="B62" s="1"/>
      <c r="C62" s="56"/>
      <c r="D62" s="56"/>
      <c r="E62" s="104"/>
      <c r="F62" s="2"/>
      <c r="G62" s="166"/>
      <c r="H62" s="166"/>
      <c r="I62" s="70"/>
      <c r="J62" s="49">
        <f>SUM(J59:J61)</f>
        <v>303.55</v>
      </c>
      <c r="K62" s="46"/>
      <c r="L62" s="46"/>
    </row>
    <row r="63" spans="1:15" s="124" customFormat="1" ht="12.75" customHeight="1" x14ac:dyDescent="0.2">
      <c r="A63" s="24"/>
      <c r="B63" s="1"/>
      <c r="C63" s="78" t="s">
        <v>575</v>
      </c>
      <c r="D63" s="48" t="s">
        <v>576</v>
      </c>
      <c r="E63" s="104"/>
      <c r="F63" s="2"/>
      <c r="G63" s="168"/>
      <c r="H63" s="168"/>
      <c r="I63" s="167"/>
      <c r="J63" s="167"/>
      <c r="K63" s="168"/>
    </row>
    <row r="64" spans="1:15" s="124" customFormat="1" ht="12.75" customHeight="1" x14ac:dyDescent="0.2">
      <c r="A64" s="24"/>
      <c r="B64" s="1"/>
      <c r="C64" s="47" t="s">
        <v>570</v>
      </c>
      <c r="D64" s="111">
        <v>303.55</v>
      </c>
      <c r="E64" s="104"/>
      <c r="F64" s="2"/>
      <c r="G64" s="168"/>
      <c r="H64" s="168"/>
      <c r="I64" s="110" t="s">
        <v>581</v>
      </c>
      <c r="J64" s="167"/>
      <c r="K64" s="168"/>
    </row>
    <row r="65" spans="1:14" s="124" customFormat="1" ht="12.75" customHeight="1" x14ac:dyDescent="0.2">
      <c r="A65" s="24"/>
      <c r="B65" s="1"/>
      <c r="C65" s="47" t="s">
        <v>931</v>
      </c>
      <c r="D65" s="111">
        <v>54.06</v>
      </c>
      <c r="E65" s="104"/>
      <c r="F65" s="2"/>
      <c r="G65" s="168"/>
      <c r="H65" s="168"/>
      <c r="I65" s="110" t="s">
        <v>580</v>
      </c>
      <c r="J65" s="167"/>
      <c r="K65" s="168"/>
    </row>
    <row r="66" spans="1:14" s="124" customFormat="1" ht="12.75" customHeight="1" x14ac:dyDescent="0.2">
      <c r="A66" s="24"/>
      <c r="B66" s="1"/>
      <c r="C66" s="47" t="s">
        <v>572</v>
      </c>
      <c r="D66" s="111">
        <f>+D90/100000</f>
        <v>202.1277934</v>
      </c>
      <c r="E66" s="104"/>
      <c r="F66" s="2"/>
      <c r="G66" s="166"/>
      <c r="H66" s="166"/>
      <c r="I66" s="90" t="s">
        <v>587</v>
      </c>
      <c r="J66" s="167"/>
      <c r="K66" s="168"/>
    </row>
    <row r="67" spans="1:14" s="2" customFormat="1" x14ac:dyDescent="0.2">
      <c r="A67" s="24"/>
      <c r="B67" s="1"/>
      <c r="C67" s="108" t="s">
        <v>578</v>
      </c>
      <c r="D67" s="48">
        <f>SUM(D64:D66)</f>
        <v>559.73779339999999</v>
      </c>
      <c r="E67" s="104"/>
      <c r="G67" s="30"/>
      <c r="H67" s="30"/>
      <c r="J67" s="13"/>
      <c r="K67" s="13"/>
    </row>
    <row r="68" spans="1:14" s="70" customFormat="1" x14ac:dyDescent="0.2">
      <c r="A68" s="24"/>
      <c r="B68" s="1"/>
      <c r="C68" s="47"/>
      <c r="D68" s="107"/>
      <c r="E68" s="104"/>
      <c r="F68" s="2"/>
      <c r="G68" s="30"/>
      <c r="H68" s="30"/>
      <c r="I68" s="2"/>
    </row>
    <row r="69" spans="1:14" s="70" customFormat="1" x14ac:dyDescent="0.2">
      <c r="A69" s="24"/>
      <c r="B69" s="1"/>
      <c r="C69" s="47" t="s">
        <v>932</v>
      </c>
      <c r="D69" s="111">
        <v>206.6</v>
      </c>
      <c r="E69" s="104"/>
      <c r="F69" s="2"/>
      <c r="G69" s="30"/>
      <c r="H69" s="30"/>
      <c r="I69" s="110" t="s">
        <v>581</v>
      </c>
    </row>
    <row r="70" spans="1:14" s="70" customFormat="1" x14ac:dyDescent="0.2">
      <c r="A70" s="24"/>
      <c r="B70" s="1"/>
      <c r="C70" s="136" t="s">
        <v>1142</v>
      </c>
      <c r="D70" s="111">
        <v>337.12</v>
      </c>
      <c r="E70" s="104"/>
      <c r="F70" s="2"/>
      <c r="G70" s="30"/>
      <c r="H70" s="30"/>
      <c r="I70" s="110" t="s">
        <v>581</v>
      </c>
    </row>
    <row r="71" spans="1:14" s="70" customFormat="1" x14ac:dyDescent="0.2">
      <c r="A71" s="24"/>
      <c r="B71" s="1"/>
      <c r="C71" s="78" t="s">
        <v>579</v>
      </c>
      <c r="D71" s="109">
        <f>D69+D70</f>
        <v>543.72</v>
      </c>
      <c r="E71" s="104"/>
      <c r="F71" s="2"/>
      <c r="G71" s="30"/>
      <c r="H71" s="30"/>
    </row>
    <row r="72" spans="1:14" s="70" customFormat="1" x14ac:dyDescent="0.2">
      <c r="A72" s="24"/>
      <c r="B72" s="1"/>
      <c r="C72" s="105"/>
      <c r="D72" s="106"/>
      <c r="E72" s="104"/>
      <c r="F72" s="2"/>
      <c r="G72" s="30"/>
      <c r="H72" s="30"/>
      <c r="J72" s="2"/>
      <c r="K72" s="221" t="str">
        <f>"FROM ( 01-01-2024 to "&amp;TEXT(A5,"dd-mm-yyyy")&amp;" )"</f>
        <v>FROM ( 01-01-2024 to 08-01-2024 )</v>
      </c>
      <c r="L72" s="221"/>
      <c r="M72" s="2"/>
      <c r="N72" s="2"/>
    </row>
    <row r="73" spans="1:14" s="70" customFormat="1" x14ac:dyDescent="0.2">
      <c r="A73" s="24"/>
      <c r="B73" s="1"/>
      <c r="C73" s="78" t="s">
        <v>577</v>
      </c>
      <c r="D73" s="109">
        <f>D64+D71</f>
        <v>847.27</v>
      </c>
      <c r="E73" s="104"/>
      <c r="F73" s="2"/>
      <c r="G73" s="30"/>
      <c r="H73" s="30"/>
      <c r="J73" s="113"/>
      <c r="K73" s="113" t="s">
        <v>709</v>
      </c>
      <c r="L73" s="113" t="s">
        <v>710</v>
      </c>
      <c r="M73" s="113" t="s">
        <v>711</v>
      </c>
      <c r="N73" s="113" t="s">
        <v>712</v>
      </c>
    </row>
    <row r="74" spans="1:14" s="70" customFormat="1" x14ac:dyDescent="0.2">
      <c r="A74" s="24"/>
      <c r="B74" s="1"/>
      <c r="C74" s="56"/>
      <c r="D74" s="56"/>
      <c r="E74" s="104"/>
      <c r="F74" s="2"/>
      <c r="G74" s="30"/>
      <c r="H74" s="30"/>
      <c r="J74" s="113" t="s">
        <v>1860</v>
      </c>
      <c r="K74" s="115">
        <v>189.89</v>
      </c>
      <c r="L74" s="115">
        <v>56.31</v>
      </c>
      <c r="M74" s="115">
        <v>58.41</v>
      </c>
      <c r="N74" s="113">
        <f>+K74+M74-L74</f>
        <v>191.98999999999998</v>
      </c>
    </row>
    <row r="75" spans="1:14" s="70" customFormat="1" ht="38.25" x14ac:dyDescent="0.2">
      <c r="A75" s="24"/>
      <c r="B75" s="1"/>
      <c r="C75" s="79" t="str">
        <f>"Particulars ( 01-01-2024 to "&amp;TEXT(A5,"dd-mm-yyyy")&amp;" )"</f>
        <v>Particulars ( 01-01-2024 to 08-01-2024 )</v>
      </c>
      <c r="D75" s="79" t="s">
        <v>7</v>
      </c>
      <c r="E75" s="80" t="s">
        <v>73</v>
      </c>
      <c r="F75" s="80" t="s">
        <v>74</v>
      </c>
      <c r="G75" s="81" t="s">
        <v>75</v>
      </c>
      <c r="H75" s="80" t="s">
        <v>76</v>
      </c>
      <c r="J75" s="113" t="s">
        <v>1861</v>
      </c>
      <c r="K75" s="115">
        <v>1669.19</v>
      </c>
      <c r="L75" s="115">
        <v>202.13</v>
      </c>
      <c r="M75" s="115">
        <v>335.02</v>
      </c>
      <c r="N75" s="113">
        <f>+K75+M75-L75</f>
        <v>1802.08</v>
      </c>
    </row>
    <row r="76" spans="1:14" s="70" customFormat="1" x14ac:dyDescent="0.2">
      <c r="A76" s="24"/>
      <c r="B76" s="1"/>
      <c r="C76" s="50" t="s">
        <v>444</v>
      </c>
      <c r="D76" s="55">
        <f>+K76</f>
        <v>140.88</v>
      </c>
      <c r="E76" s="55">
        <f>+M76</f>
        <v>206.6</v>
      </c>
      <c r="F76" s="55">
        <f>+L76</f>
        <v>54.06</v>
      </c>
      <c r="G76" s="55">
        <f>+D76+E76-F76</f>
        <v>293.42</v>
      </c>
      <c r="H76" s="55">
        <f>1500-G76</f>
        <v>1206.58</v>
      </c>
      <c r="J76" s="113" t="s">
        <v>707</v>
      </c>
      <c r="K76" s="115">
        <v>140.88</v>
      </c>
      <c r="L76" s="115">
        <v>54.06</v>
      </c>
      <c r="M76" s="115">
        <v>206.6</v>
      </c>
      <c r="N76" s="113">
        <f>+K76+M76-L76</f>
        <v>293.42</v>
      </c>
    </row>
    <row r="77" spans="1:14" s="70" customFormat="1" ht="12.75" customHeight="1" x14ac:dyDescent="0.2">
      <c r="A77" s="24"/>
      <c r="B77" s="1"/>
      <c r="C77" s="50" t="s">
        <v>71</v>
      </c>
      <c r="D77" s="55">
        <f>+K74+K75</f>
        <v>1859.08</v>
      </c>
      <c r="E77" s="55">
        <f>+M74+M75</f>
        <v>393.42999999999995</v>
      </c>
      <c r="F77" s="55">
        <f>+L74+L75</f>
        <v>258.44</v>
      </c>
      <c r="G77" s="55">
        <f>+D77+E77-F77</f>
        <v>1994.0699999999997</v>
      </c>
      <c r="H77" s="55">
        <f>1500+700-G77</f>
        <v>205.93000000000029</v>
      </c>
      <c r="J77" s="2"/>
      <c r="K77" s="118">
        <f>SUM(K74:K76)</f>
        <v>1999.96</v>
      </c>
      <c r="L77" s="118">
        <f>SUM(L74:L76)</f>
        <v>312.5</v>
      </c>
      <c r="M77" s="118">
        <f>SUM(M74:M76)</f>
        <v>600.03</v>
      </c>
      <c r="N77" s="118">
        <f>SUM(N74:N76)</f>
        <v>2287.4899999999998</v>
      </c>
    </row>
    <row r="78" spans="1:14" s="70" customFormat="1" ht="12.75" customHeight="1" x14ac:dyDescent="0.2">
      <c r="A78" s="24"/>
      <c r="B78" s="1"/>
      <c r="C78" s="14"/>
      <c r="D78" s="56"/>
      <c r="E78" s="13"/>
      <c r="F78" s="2"/>
      <c r="G78" s="30"/>
      <c r="H78" s="30"/>
    </row>
    <row r="79" spans="1:14" s="70" customFormat="1" ht="12.75" customHeight="1" x14ac:dyDescent="0.2">
      <c r="A79" s="215" t="s">
        <v>80</v>
      </c>
      <c r="B79" s="216"/>
      <c r="C79" s="216"/>
      <c r="D79" s="217"/>
      <c r="E79" s="69"/>
      <c r="G79" s="30"/>
      <c r="H79" s="30"/>
    </row>
    <row r="80" spans="1:14" s="70" customFormat="1" ht="12.75" customHeight="1" x14ac:dyDescent="0.2">
      <c r="A80" s="71" t="s">
        <v>81</v>
      </c>
      <c r="B80" s="71"/>
      <c r="C80" s="72" t="s">
        <v>82</v>
      </c>
      <c r="D80" s="73" t="s">
        <v>83</v>
      </c>
      <c r="E80" s="69"/>
      <c r="G80" s="30"/>
      <c r="H80" s="30"/>
    </row>
    <row r="81" spans="1:15" s="70" customFormat="1" ht="12.75" customHeight="1" x14ac:dyDescent="0.2">
      <c r="A81" s="87">
        <v>45292</v>
      </c>
      <c r="B81" s="120" t="s">
        <v>6</v>
      </c>
      <c r="C81" s="75" t="s">
        <v>1933</v>
      </c>
      <c r="D81" s="88">
        <v>7583470</v>
      </c>
      <c r="E81" s="2"/>
      <c r="F81" s="2"/>
      <c r="G81" s="30"/>
      <c r="H81" s="30"/>
      <c r="I81" s="2"/>
      <c r="J81" s="2"/>
      <c r="K81" s="2"/>
      <c r="L81" s="2"/>
      <c r="M81" s="41"/>
      <c r="N81" s="42"/>
      <c r="O81" s="2"/>
    </row>
    <row r="82" spans="1:15" s="70" customFormat="1" ht="12.75" customHeight="1" x14ac:dyDescent="0.2">
      <c r="A82" s="87">
        <v>45293</v>
      </c>
      <c r="B82" s="120" t="s">
        <v>6</v>
      </c>
      <c r="C82" s="75" t="s">
        <v>1934</v>
      </c>
      <c r="D82" s="88">
        <v>124988</v>
      </c>
      <c r="E82" s="2"/>
      <c r="F82" s="2"/>
      <c r="G82" s="30"/>
      <c r="H82" s="30"/>
      <c r="I82" s="2"/>
      <c r="J82" s="2"/>
      <c r="K82" s="2"/>
      <c r="L82" s="2"/>
      <c r="M82" s="41"/>
      <c r="N82" s="42"/>
      <c r="O82" s="2"/>
    </row>
    <row r="83" spans="1:15" s="70" customFormat="1" ht="12.75" customHeight="1" x14ac:dyDescent="0.2">
      <c r="A83" s="87">
        <v>45294</v>
      </c>
      <c r="B83" s="120" t="s">
        <v>6</v>
      </c>
      <c r="C83" s="75" t="s">
        <v>606</v>
      </c>
      <c r="D83" s="88">
        <v>260191</v>
      </c>
      <c r="E83" s="2"/>
      <c r="F83" s="2"/>
      <c r="G83" s="30"/>
      <c r="H83" s="30"/>
      <c r="I83" s="2"/>
      <c r="J83" s="2"/>
      <c r="K83" s="2"/>
      <c r="L83" s="2"/>
      <c r="M83" s="41"/>
      <c r="N83" s="42"/>
      <c r="O83" s="2"/>
    </row>
    <row r="84" spans="1:15" s="70" customFormat="1" ht="12.75" customHeight="1" x14ac:dyDescent="0.2">
      <c r="A84" s="87">
        <v>45294</v>
      </c>
      <c r="B84" s="120" t="s">
        <v>6</v>
      </c>
      <c r="C84" s="75" t="s">
        <v>888</v>
      </c>
      <c r="D84" s="88">
        <v>2431991.34</v>
      </c>
      <c r="E84" s="2"/>
      <c r="F84" s="2"/>
      <c r="G84" s="30"/>
      <c r="H84" s="30"/>
      <c r="I84" s="2"/>
      <c r="J84" s="2"/>
      <c r="K84" s="2"/>
      <c r="L84" s="2"/>
      <c r="M84" s="41"/>
      <c r="N84" s="42"/>
      <c r="O84" s="2"/>
    </row>
    <row r="85" spans="1:15" s="70" customFormat="1" ht="12.75" customHeight="1" x14ac:dyDescent="0.2">
      <c r="A85" s="87">
        <v>45295</v>
      </c>
      <c r="B85" s="120" t="s">
        <v>6</v>
      </c>
      <c r="C85" s="75" t="s">
        <v>1944</v>
      </c>
      <c r="D85" s="88">
        <v>23655</v>
      </c>
      <c r="E85" s="2"/>
      <c r="F85" s="2"/>
      <c r="G85" s="30"/>
      <c r="H85" s="30"/>
      <c r="I85" s="2"/>
      <c r="J85" s="2"/>
      <c r="K85" s="2"/>
      <c r="L85" s="2"/>
      <c r="M85" s="41"/>
      <c r="N85" s="42"/>
      <c r="O85" s="2"/>
    </row>
    <row r="86" spans="1:15" s="70" customFormat="1" ht="12.75" customHeight="1" x14ac:dyDescent="0.2">
      <c r="A86" s="87">
        <v>45295</v>
      </c>
      <c r="B86" s="120" t="s">
        <v>6</v>
      </c>
      <c r="C86" s="75" t="s">
        <v>1944</v>
      </c>
      <c r="D86" s="88">
        <v>321576</v>
      </c>
      <c r="E86" s="2"/>
      <c r="F86" s="2"/>
      <c r="G86" s="30"/>
      <c r="H86" s="30"/>
      <c r="I86" s="2"/>
      <c r="J86" s="2"/>
      <c r="K86" s="2"/>
      <c r="L86" s="2"/>
      <c r="M86" s="41"/>
      <c r="N86" s="42"/>
      <c r="O86" s="2"/>
    </row>
    <row r="87" spans="1:15" s="70" customFormat="1" ht="12.75" customHeight="1" x14ac:dyDescent="0.2">
      <c r="A87" s="87">
        <v>45295</v>
      </c>
      <c r="B87" s="120" t="s">
        <v>6</v>
      </c>
      <c r="C87" s="75" t="s">
        <v>1944</v>
      </c>
      <c r="D87" s="88">
        <v>430832</v>
      </c>
      <c r="E87" s="2"/>
      <c r="F87" s="2"/>
      <c r="G87" s="30"/>
      <c r="H87" s="30"/>
      <c r="I87" s="2"/>
      <c r="J87" s="2"/>
      <c r="K87" s="2"/>
      <c r="L87" s="2"/>
      <c r="M87" s="41"/>
      <c r="N87" s="42"/>
      <c r="O87" s="2"/>
    </row>
    <row r="88" spans="1:15" s="70" customFormat="1" ht="12.75" customHeight="1" x14ac:dyDescent="0.2">
      <c r="A88" s="87">
        <v>45295</v>
      </c>
      <c r="B88" s="120" t="s">
        <v>6</v>
      </c>
      <c r="C88" s="75" t="s">
        <v>1934</v>
      </c>
      <c r="D88" s="88">
        <v>892589</v>
      </c>
      <c r="E88" s="2"/>
      <c r="F88" s="2"/>
      <c r="G88" s="30"/>
      <c r="H88" s="30"/>
      <c r="I88" s="2"/>
      <c r="J88" s="2"/>
      <c r="K88" s="2"/>
      <c r="L88" s="2"/>
      <c r="M88" s="41"/>
      <c r="N88" s="42"/>
      <c r="O88" s="2"/>
    </row>
    <row r="89" spans="1:15" s="70" customFormat="1" ht="12.75" customHeight="1" x14ac:dyDescent="0.2">
      <c r="A89" s="87">
        <v>45299</v>
      </c>
      <c r="B89" s="120" t="s">
        <v>6</v>
      </c>
      <c r="C89" s="75" t="s">
        <v>1933</v>
      </c>
      <c r="D89" s="88">
        <v>8143487</v>
      </c>
      <c r="E89" s="2"/>
      <c r="F89" s="2"/>
      <c r="G89" s="30"/>
      <c r="H89" s="30"/>
      <c r="I89" s="2"/>
      <c r="J89" s="2"/>
      <c r="K89" s="2"/>
      <c r="L89" s="2"/>
      <c r="M89" s="41"/>
      <c r="N89" s="42"/>
      <c r="O89" s="2"/>
    </row>
    <row r="90" spans="1:15" s="2" customFormat="1" x14ac:dyDescent="0.2">
      <c r="A90" s="87"/>
      <c r="B90" s="74"/>
      <c r="C90" s="75"/>
      <c r="D90" s="51">
        <f>SUM(D81:D89)</f>
        <v>20212779.34</v>
      </c>
      <c r="F90" s="2" t="s">
        <v>396</v>
      </c>
      <c r="G90" s="1"/>
      <c r="H90" s="1"/>
    </row>
    <row r="91" spans="1:15" s="2" customFormat="1" x14ac:dyDescent="0.2">
      <c r="A91" s="24"/>
      <c r="B91" s="1"/>
      <c r="C91" s="14"/>
      <c r="D91" s="56"/>
      <c r="E91" s="13"/>
      <c r="G91" s="1"/>
      <c r="H91" s="1"/>
    </row>
    <row r="92" spans="1:15" s="2" customFormat="1" x14ac:dyDescent="0.2">
      <c r="A92" s="24"/>
      <c r="B92" s="1"/>
      <c r="C92" s="218" t="s">
        <v>77</v>
      </c>
      <c r="D92" s="219"/>
      <c r="E92" s="219"/>
      <c r="F92" s="220"/>
      <c r="I92" s="2" t="s">
        <v>396</v>
      </c>
    </row>
    <row r="93" spans="1:15" s="2" customFormat="1" x14ac:dyDescent="0.2">
      <c r="A93" s="24"/>
      <c r="B93" s="1"/>
      <c r="C93" s="50"/>
      <c r="D93" s="57" t="s">
        <v>78</v>
      </c>
      <c r="E93" s="58" t="s">
        <v>79</v>
      </c>
      <c r="F93" s="57" t="s">
        <v>72</v>
      </c>
      <c r="I93" s="2" t="s">
        <v>396</v>
      </c>
    </row>
    <row r="94" spans="1:15" s="2" customFormat="1" x14ac:dyDescent="0.2">
      <c r="A94" s="24"/>
      <c r="B94" s="1"/>
      <c r="C94" s="59" t="str">
        <f>"01-01-2024 to "&amp;TEXT(A5-2,"dd-mm-yyyy")</f>
        <v>01-01-2024 to 06-01-2024</v>
      </c>
      <c r="D94" s="60">
        <v>481.06</v>
      </c>
      <c r="E94" s="60">
        <v>173.52</v>
      </c>
      <c r="F94" s="61">
        <f>SUM(D94:E94)</f>
        <v>654.58000000000004</v>
      </c>
    </row>
    <row r="95" spans="1:15" s="2" customFormat="1" x14ac:dyDescent="0.2">
      <c r="A95" s="24"/>
      <c r="B95" s="1"/>
      <c r="C95" s="62" t="str">
        <f>TEXT(A5-1,"dd-mm-yyyy")</f>
        <v>07-01-2024</v>
      </c>
      <c r="D95" s="60">
        <v>12.75</v>
      </c>
      <c r="E95" s="60">
        <v>0</v>
      </c>
      <c r="F95" s="61">
        <f>SUM(D95:E95)</f>
        <v>12.75</v>
      </c>
      <c r="G95" s="1"/>
      <c r="H95" s="1"/>
      <c r="I95" s="53"/>
    </row>
    <row r="96" spans="1:15" s="2" customFormat="1" ht="13.5" thickBot="1" x14ac:dyDescent="0.25">
      <c r="A96" s="24"/>
      <c r="B96" s="1"/>
      <c r="C96" s="63" t="str">
        <f>"01-01-2024 to "&amp;TEXT(A5-1,"dd-mm-yyyy")</f>
        <v>01-01-2024 to 07-01-2024</v>
      </c>
      <c r="D96" s="64">
        <f>SUM(D94:D95)</f>
        <v>493.81</v>
      </c>
      <c r="E96" s="64">
        <f>SUM(E94:E95)</f>
        <v>173.52</v>
      </c>
      <c r="F96" s="64">
        <f>SUM(F94:F95)</f>
        <v>667.33</v>
      </c>
      <c r="G96" s="1"/>
      <c r="H96" s="1"/>
      <c r="I96" s="53"/>
    </row>
    <row r="97" spans="1:14" s="2" customFormat="1" ht="13.5" thickTop="1" x14ac:dyDescent="0.2">
      <c r="A97" s="24"/>
      <c r="B97" s="1"/>
      <c r="C97" s="62"/>
      <c r="D97" s="65"/>
      <c r="E97" s="66"/>
      <c r="F97" s="67"/>
      <c r="M97" s="1"/>
      <c r="N97" s="1"/>
    </row>
    <row r="98" spans="1:14" s="2" customFormat="1" x14ac:dyDescent="0.2">
      <c r="A98" s="24"/>
      <c r="B98" s="1"/>
      <c r="C98" s="62" t="str">
        <f>"01-04-2023 to " &amp;C95</f>
        <v>01-04-2023 to 07-01-2024</v>
      </c>
      <c r="D98" s="68">
        <f>+D96+34576.72</f>
        <v>35070.53</v>
      </c>
      <c r="E98" s="68">
        <f>+E96+3831.86</f>
        <v>4005.38</v>
      </c>
      <c r="F98" s="68">
        <f>+F96+38408.58</f>
        <v>39075.910000000003</v>
      </c>
      <c r="G98" s="1"/>
      <c r="H98" s="1"/>
      <c r="M98" s="1"/>
      <c r="N98" s="1"/>
    </row>
    <row r="99" spans="1:14" s="2" customFormat="1" x14ac:dyDescent="0.2">
      <c r="A99" s="24"/>
      <c r="B99" s="1"/>
      <c r="C99" s="52"/>
      <c r="D99" s="85"/>
      <c r="E99" s="53"/>
      <c r="F99" s="53"/>
      <c r="G99" s="1"/>
      <c r="H99" s="1"/>
      <c r="M99" s="1"/>
      <c r="N99" s="1"/>
    </row>
    <row r="100" spans="1:14" s="2" customFormat="1" x14ac:dyDescent="0.2">
      <c r="A100" s="24"/>
      <c r="B100" s="1"/>
      <c r="C100" s="52"/>
      <c r="D100" s="85"/>
      <c r="E100" s="53"/>
      <c r="F100" s="53"/>
      <c r="G100" s="1"/>
      <c r="H100" s="1"/>
      <c r="M100" s="1"/>
      <c r="N100" s="1"/>
    </row>
    <row r="101" spans="1:14" s="2" customFormat="1" x14ac:dyDescent="0.2">
      <c r="A101" s="24"/>
      <c r="B101" s="1"/>
      <c r="C101" s="52"/>
      <c r="D101" s="85"/>
      <c r="E101" s="53"/>
      <c r="F101" s="53"/>
      <c r="G101" s="1"/>
      <c r="H101" s="1"/>
      <c r="M101" s="1"/>
      <c r="N101" s="1"/>
    </row>
    <row r="102" spans="1:14" s="2" customFormat="1" x14ac:dyDescent="0.2">
      <c r="A102" s="24"/>
      <c r="B102" s="1"/>
      <c r="C102" s="52"/>
      <c r="D102" s="85"/>
      <c r="E102" s="53"/>
      <c r="F102" s="53"/>
      <c r="G102" s="1"/>
      <c r="H102" s="1"/>
      <c r="M102" s="1"/>
      <c r="N102" s="1"/>
    </row>
    <row r="103" spans="1:14" s="2" customFormat="1" x14ac:dyDescent="0.2">
      <c r="A103" s="24"/>
      <c r="B103" s="1"/>
      <c r="C103" s="14"/>
      <c r="D103" s="25">
        <f>SUM(D100:D102)</f>
        <v>0</v>
      </c>
      <c r="E103" s="2">
        <f>SUM(E100:E102)</f>
        <v>0</v>
      </c>
      <c r="G103" s="1"/>
      <c r="H103" s="1"/>
      <c r="M103" s="1"/>
      <c r="N103" s="1"/>
    </row>
    <row r="104" spans="1:14" s="2" customFormat="1" x14ac:dyDescent="0.2">
      <c r="A104" s="24"/>
      <c r="B104" s="1"/>
      <c r="C104" s="14"/>
      <c r="D104" s="25"/>
      <c r="G104" s="1"/>
      <c r="H104" s="1"/>
      <c r="M104" s="1"/>
      <c r="N104" s="1"/>
    </row>
    <row r="105" spans="1:14" s="2" customFormat="1" x14ac:dyDescent="0.2">
      <c r="A105" s="24"/>
      <c r="B105" s="1"/>
      <c r="C105" s="14"/>
      <c r="D105" s="25"/>
      <c r="G105" s="1"/>
      <c r="H105" s="1"/>
      <c r="M105" s="1"/>
      <c r="N105" s="1"/>
    </row>
    <row r="106" spans="1:14" s="2" customFormat="1" x14ac:dyDescent="0.2">
      <c r="A106" s="24"/>
      <c r="B106" s="1"/>
      <c r="C106" s="14"/>
      <c r="D106" s="25"/>
      <c r="G106" s="1"/>
      <c r="H106" s="1"/>
      <c r="M106" s="1"/>
      <c r="N106" s="1"/>
    </row>
    <row r="107" spans="1:14" s="2" customFormat="1" x14ac:dyDescent="0.2">
      <c r="A107" s="24"/>
      <c r="B107" s="1"/>
      <c r="C107" s="14"/>
      <c r="D107" s="25"/>
      <c r="G107" s="1"/>
      <c r="H107" s="1"/>
      <c r="M107" s="1"/>
      <c r="N107" s="1"/>
    </row>
    <row r="108" spans="1:14" s="2" customFormat="1" x14ac:dyDescent="0.2">
      <c r="A108" s="24"/>
      <c r="B108" s="1"/>
      <c r="C108" s="14"/>
      <c r="D108" s="25"/>
      <c r="G108" s="1"/>
      <c r="H108" s="1"/>
      <c r="M108" s="1"/>
      <c r="N108" s="1"/>
    </row>
    <row r="109" spans="1:14" s="2" customFormat="1" x14ac:dyDescent="0.2">
      <c r="A109" s="24"/>
      <c r="B109" s="1"/>
      <c r="C109" s="14"/>
      <c r="D109" s="25"/>
      <c r="G109" s="1"/>
      <c r="H109" s="1"/>
      <c r="M109" s="1"/>
      <c r="N109" s="1"/>
    </row>
    <row r="110" spans="1:14" s="2" customFormat="1" x14ac:dyDescent="0.2">
      <c r="A110" s="24"/>
      <c r="B110" s="1"/>
      <c r="C110" s="14"/>
      <c r="D110" s="25"/>
      <c r="G110" s="1"/>
      <c r="H110" s="1"/>
      <c r="M110" s="1"/>
      <c r="N110" s="1"/>
    </row>
    <row r="111" spans="1:14" s="2" customFormat="1" x14ac:dyDescent="0.2">
      <c r="A111" s="24"/>
      <c r="B111" s="1"/>
      <c r="C111" s="14"/>
      <c r="D111" s="25"/>
      <c r="G111" s="1"/>
      <c r="H111" s="1"/>
      <c r="M111" s="1"/>
      <c r="N111" s="1"/>
    </row>
    <row r="112" spans="1:14" s="2" customFormat="1" x14ac:dyDescent="0.2">
      <c r="A112" s="24"/>
      <c r="B112" s="1"/>
      <c r="C112" s="14"/>
      <c r="D112" s="25"/>
      <c r="G112" s="1"/>
      <c r="H112" s="1"/>
      <c r="M112" s="1"/>
      <c r="N112" s="1"/>
    </row>
    <row r="113" spans="1:15" s="2" customFormat="1" x14ac:dyDescent="0.2">
      <c r="A113" s="24"/>
      <c r="B113" s="1"/>
      <c r="C113" s="14"/>
      <c r="D113" s="25"/>
      <c r="G113" s="1"/>
      <c r="H113" s="1"/>
      <c r="M113" s="1"/>
      <c r="N113" s="1"/>
    </row>
    <row r="114" spans="1:15" s="2" customFormat="1" x14ac:dyDescent="0.2">
      <c r="A114" s="24"/>
      <c r="B114" s="1"/>
      <c r="C114" s="14"/>
      <c r="D114" s="25"/>
      <c r="G114" s="1"/>
      <c r="H114" s="1"/>
      <c r="M114" s="1"/>
      <c r="N114" s="1"/>
    </row>
    <row r="115" spans="1:15" s="2" customFormat="1" x14ac:dyDescent="0.2">
      <c r="A115" s="24"/>
      <c r="B115" s="1"/>
      <c r="C115" s="14"/>
      <c r="D115" s="25"/>
      <c r="G115" s="1"/>
      <c r="H115" s="1"/>
      <c r="M115" s="1"/>
      <c r="N115" s="1"/>
    </row>
    <row r="116" spans="1:15" s="2" customFormat="1" x14ac:dyDescent="0.2">
      <c r="A116" s="24"/>
      <c r="B116" s="1"/>
      <c r="C116" s="14"/>
      <c r="D116" s="25"/>
      <c r="G116" s="1"/>
      <c r="H116" s="1"/>
      <c r="M116" s="1"/>
      <c r="N116" s="1"/>
    </row>
    <row r="117" spans="1:15" s="2" customFormat="1" x14ac:dyDescent="0.2">
      <c r="A117" s="24"/>
      <c r="B117" s="1"/>
      <c r="C117" s="14"/>
      <c r="D117" s="25"/>
      <c r="G117" s="1"/>
      <c r="H117" s="1"/>
      <c r="J117" s="1"/>
      <c r="K117" s="1"/>
      <c r="L117" s="1"/>
      <c r="M117" s="1"/>
      <c r="N117" s="1"/>
    </row>
    <row r="118" spans="1:15" s="2" customFormat="1" x14ac:dyDescent="0.2">
      <c r="A118" s="24"/>
      <c r="B118" s="1"/>
      <c r="C118" s="14"/>
      <c r="D118" s="25"/>
      <c r="G118" s="1"/>
      <c r="H118" s="1"/>
    </row>
    <row r="119" spans="1:15" s="2" customFormat="1" x14ac:dyDescent="0.2">
      <c r="A119" s="24"/>
      <c r="B119" s="1"/>
      <c r="C119" s="14"/>
      <c r="D119" s="25"/>
      <c r="G119" s="1"/>
      <c r="H119" s="1"/>
      <c r="J119" s="1"/>
      <c r="K119" s="1"/>
      <c r="L119" s="1"/>
      <c r="M119" s="1"/>
      <c r="N119" s="1"/>
    </row>
    <row r="120" spans="1:15" s="2" customFormat="1" x14ac:dyDescent="0.2">
      <c r="A120" s="24"/>
      <c r="B120" s="1"/>
      <c r="C120" s="14"/>
      <c r="D120" s="25"/>
      <c r="G120" s="54"/>
      <c r="H120" s="54"/>
      <c r="J120" s="1"/>
      <c r="K120" s="1"/>
      <c r="L120" s="1"/>
      <c r="M120" s="1"/>
      <c r="N120" s="1"/>
    </row>
    <row r="121" spans="1:15" s="2" customFormat="1" x14ac:dyDescent="0.2">
      <c r="A121" s="24"/>
      <c r="B121" s="1"/>
      <c r="C121" s="14"/>
      <c r="D121" s="25"/>
      <c r="G121" s="54"/>
      <c r="H121" s="54"/>
      <c r="J121" s="1"/>
      <c r="K121" s="1"/>
      <c r="L121" s="1"/>
      <c r="M121" s="1"/>
      <c r="N121" s="1"/>
    </row>
    <row r="122" spans="1:15" s="2" customFormat="1" x14ac:dyDescent="0.2">
      <c r="A122" s="24"/>
      <c r="B122" s="1"/>
      <c r="C122" s="14"/>
      <c r="D122" s="25"/>
      <c r="G122" s="54"/>
      <c r="H122" s="54"/>
      <c r="J122" s="1"/>
      <c r="K122" s="1"/>
      <c r="L122" s="1"/>
      <c r="M122" s="1"/>
      <c r="N122" s="1"/>
    </row>
    <row r="123" spans="1:15" s="2" customFormat="1" x14ac:dyDescent="0.2">
      <c r="A123" s="24"/>
      <c r="B123" s="1"/>
      <c r="C123" s="14"/>
      <c r="D123" s="25"/>
      <c r="G123" s="54"/>
      <c r="H123" s="54"/>
      <c r="I123" s="2" t="s">
        <v>396</v>
      </c>
      <c r="J123" s="1"/>
      <c r="K123" s="1"/>
      <c r="L123" s="1"/>
      <c r="M123" s="1"/>
      <c r="N123" s="1"/>
      <c r="O123" s="1"/>
    </row>
    <row r="124" spans="1:15" s="2" customFormat="1" x14ac:dyDescent="0.2">
      <c r="A124" s="24"/>
      <c r="B124" s="1"/>
      <c r="C124" s="14"/>
      <c r="D124" s="25"/>
      <c r="G124" s="54"/>
      <c r="H124" s="54"/>
      <c r="I124" s="53"/>
    </row>
    <row r="125" spans="1:15" s="2" customFormat="1" x14ac:dyDescent="0.2">
      <c r="A125" s="24"/>
      <c r="B125" s="1"/>
      <c r="C125" s="14"/>
      <c r="D125" s="25"/>
      <c r="G125" s="54"/>
      <c r="H125" s="54"/>
      <c r="I125" s="53" t="s">
        <v>396</v>
      </c>
      <c r="J125" s="1"/>
      <c r="K125" s="1"/>
      <c r="L125" s="1"/>
      <c r="M125" s="1"/>
      <c r="N125" s="1"/>
      <c r="O125" s="1"/>
    </row>
    <row r="126" spans="1:15" x14ac:dyDescent="0.2">
      <c r="G126" s="54"/>
      <c r="H126" s="54"/>
      <c r="I126" s="53" t="s">
        <v>396</v>
      </c>
      <c r="K126" s="42"/>
    </row>
    <row r="127" spans="1:15" s="2" customFormat="1" x14ac:dyDescent="0.2">
      <c r="A127" s="24"/>
      <c r="B127" s="1"/>
      <c r="C127" s="14"/>
      <c r="D127" s="25"/>
      <c r="G127" s="54"/>
      <c r="H127" s="54"/>
      <c r="I127" s="53"/>
      <c r="J127" s="101"/>
      <c r="K127" s="1"/>
      <c r="L127" s="1"/>
      <c r="M127" s="1"/>
      <c r="N127" s="1"/>
      <c r="O127" s="1"/>
    </row>
    <row r="128" spans="1:15" x14ac:dyDescent="0.2">
      <c r="G128" s="54"/>
      <c r="H128" s="54"/>
      <c r="I128" s="53"/>
    </row>
    <row r="129" spans="7:9" x14ac:dyDescent="0.2">
      <c r="G129" s="54"/>
      <c r="H129" s="54"/>
      <c r="I129" s="53"/>
    </row>
    <row r="130" spans="7:9" x14ac:dyDescent="0.2">
      <c r="G130" s="54"/>
      <c r="H130" s="54"/>
      <c r="I130" s="53"/>
    </row>
  </sheetData>
  <sheetProtection insertRows="0"/>
  <mergeCells count="7">
    <mergeCell ref="K72:L72"/>
    <mergeCell ref="A79:D79"/>
    <mergeCell ref="C92:F92"/>
    <mergeCell ref="A1:H1"/>
    <mergeCell ref="A3:F3"/>
    <mergeCell ref="A9:F9"/>
    <mergeCell ref="A26:F26"/>
  </mergeCells>
  <conditionalFormatting sqref="H76:H77">
    <cfRule type="cellIs" dxfId="137" priority="1" operator="lessThan">
      <formula>0</formula>
    </cfRule>
  </conditionalFormatting>
  <conditionalFormatting sqref="C28">
    <cfRule type="duplicateValues" dxfId="136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E00-000000000000}">
  <sheetPr codeName="Sheet518">
    <pageSetUpPr fitToPage="1"/>
  </sheetPr>
  <dimension ref="A1:O138"/>
  <sheetViews>
    <sheetView topLeftCell="A34" zoomScaleNormal="100" workbookViewId="0">
      <selection activeCell="E44" sqref="E44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12.85546875" style="1" customWidth="1"/>
    <col min="9" max="9" width="24.85546875" style="2" bestFit="1" customWidth="1"/>
    <col min="10" max="10" width="21.5703125" style="1" bestFit="1" customWidth="1"/>
    <col min="11" max="11" width="16.85546875" style="1" bestFit="1" customWidth="1"/>
    <col min="12" max="12" width="17.28515625" style="1" bestFit="1" customWidth="1"/>
    <col min="13" max="13" width="13.5703125" style="1" bestFit="1" customWidth="1"/>
    <col min="14" max="14" width="17.42578125" style="1" bestFit="1" customWidth="1"/>
    <col min="15" max="15" width="12.85546875" style="1" bestFit="1" customWidth="1"/>
    <col min="16" max="17" width="9.140625" style="1"/>
    <col min="18" max="18" width="15.5703125" style="1" bestFit="1" customWidth="1"/>
    <col min="19" max="16384" width="9.140625" style="1"/>
  </cols>
  <sheetData>
    <row r="1" spans="1:12" ht="20.25" customHeight="1" x14ac:dyDescent="0.4">
      <c r="A1" s="212" t="s">
        <v>1956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2" ht="12.75" customHeight="1" x14ac:dyDescent="0.4">
      <c r="I2" s="112"/>
      <c r="J2" s="112"/>
    </row>
    <row r="3" spans="1:12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2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2" s="2" customFormat="1" ht="14.25" customHeight="1" x14ac:dyDescent="0.4">
      <c r="A5" s="89">
        <v>45300</v>
      </c>
      <c r="B5" s="9" t="s">
        <v>6</v>
      </c>
      <c r="C5" s="10" t="s">
        <v>7</v>
      </c>
      <c r="D5" s="11"/>
      <c r="E5" s="12">
        <v>586241.23000000045</v>
      </c>
      <c r="F5" s="12"/>
      <c r="G5" s="1"/>
      <c r="H5" s="1"/>
      <c r="I5" s="112"/>
      <c r="J5" s="112"/>
    </row>
    <row r="6" spans="1:12" s="2" customFormat="1" ht="12.75" customHeight="1" x14ac:dyDescent="0.2">
      <c r="D6" s="15" t="s">
        <v>8</v>
      </c>
      <c r="E6" s="16">
        <f>SUM(E5:E5)</f>
        <v>586241.23000000045</v>
      </c>
      <c r="F6" s="16">
        <f>SUM(E6)</f>
        <v>586241.23000000045</v>
      </c>
      <c r="G6" s="1"/>
      <c r="H6" s="1"/>
      <c r="I6" s="13" t="s">
        <v>1582</v>
      </c>
      <c r="J6" s="13" t="s">
        <v>1583</v>
      </c>
    </row>
    <row r="7" spans="1:12" s="2" customFormat="1" ht="12.75" customHeight="1" x14ac:dyDescent="0.2">
      <c r="A7" s="17"/>
      <c r="B7" s="18"/>
      <c r="C7" s="19" t="s">
        <v>9</v>
      </c>
      <c r="D7" s="20"/>
      <c r="E7" s="21">
        <f>+E6-F6</f>
        <v>0</v>
      </c>
      <c r="F7" s="22"/>
      <c r="G7" s="23"/>
      <c r="H7" s="23"/>
      <c r="I7" s="2">
        <v>0</v>
      </c>
      <c r="K7" s="176">
        <f>I7-J7</f>
        <v>0</v>
      </c>
    </row>
    <row r="8" spans="1:12" ht="12.75" customHeight="1" x14ac:dyDescent="0.4">
      <c r="I8" s="112"/>
      <c r="J8" s="112"/>
    </row>
    <row r="9" spans="1:12" ht="18" customHeight="1" x14ac:dyDescent="0.4">
      <c r="A9" s="213" t="s">
        <v>1037</v>
      </c>
      <c r="B9" s="213"/>
      <c r="C9" s="213"/>
      <c r="D9" s="213"/>
      <c r="E9" s="213"/>
      <c r="F9" s="213"/>
      <c r="I9" s="112"/>
      <c r="J9" s="169">
        <f>90000000-60000000</f>
        <v>30000000</v>
      </c>
      <c r="K9" s="169" t="s">
        <v>1508</v>
      </c>
    </row>
    <row r="10" spans="1:12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I10" s="112"/>
      <c r="J10" s="169">
        <v>26951638.02</v>
      </c>
      <c r="K10" s="169" t="s">
        <v>1509</v>
      </c>
      <c r="L10" s="124"/>
    </row>
    <row r="11" spans="1:12" s="2" customFormat="1" ht="14.25" customHeight="1" x14ac:dyDescent="0.2">
      <c r="A11" s="89">
        <v>45300</v>
      </c>
      <c r="B11" s="9" t="s">
        <v>6</v>
      </c>
      <c r="C11" s="10" t="s">
        <v>7</v>
      </c>
      <c r="D11" s="11"/>
      <c r="F11" s="12">
        <v>27269334.52</v>
      </c>
      <c r="G11" s="1"/>
      <c r="H11" s="1"/>
      <c r="I11" s="130" t="s">
        <v>396</v>
      </c>
      <c r="J11" s="169">
        <f>+J9-J10</f>
        <v>3048361.9800000004</v>
      </c>
      <c r="K11" s="169" t="s">
        <v>712</v>
      </c>
      <c r="L11" s="165" t="s">
        <v>1512</v>
      </c>
    </row>
    <row r="12" spans="1:12" s="2" customFormat="1" ht="14.25" customHeight="1" x14ac:dyDescent="0.2">
      <c r="A12" s="89">
        <v>45300</v>
      </c>
      <c r="B12" s="9" t="s">
        <v>6</v>
      </c>
      <c r="C12" s="76" t="s">
        <v>234</v>
      </c>
      <c r="D12" s="11" t="s">
        <v>13</v>
      </c>
      <c r="E12" s="31">
        <v>560974</v>
      </c>
      <c r="F12" s="31"/>
      <c r="G12" s="1"/>
      <c r="H12" s="1"/>
      <c r="I12" s="130"/>
      <c r="J12" s="169"/>
      <c r="K12" s="169"/>
      <c r="L12" s="165"/>
    </row>
    <row r="13" spans="1:12" s="2" customFormat="1" ht="14.25" customHeight="1" x14ac:dyDescent="0.2">
      <c r="A13" s="89">
        <v>45300</v>
      </c>
      <c r="B13" s="9" t="s">
        <v>6</v>
      </c>
      <c r="C13" s="76" t="s">
        <v>1647</v>
      </c>
      <c r="D13" s="11" t="s">
        <v>13</v>
      </c>
      <c r="E13" s="31">
        <v>742542</v>
      </c>
      <c r="F13" s="31"/>
      <c r="G13" s="1"/>
      <c r="H13" s="1"/>
      <c r="I13" s="130"/>
      <c r="J13" s="169"/>
      <c r="K13" s="169"/>
      <c r="L13" s="165"/>
    </row>
    <row r="14" spans="1:12" s="2" customFormat="1" ht="14.25" customHeight="1" x14ac:dyDescent="0.2">
      <c r="A14" s="89">
        <v>45300</v>
      </c>
      <c r="B14" s="9" t="s">
        <v>11</v>
      </c>
      <c r="C14" s="76" t="s">
        <v>235</v>
      </c>
      <c r="D14" s="11" t="s">
        <v>29</v>
      </c>
      <c r="E14" s="31"/>
      <c r="F14" s="31">
        <v>5766</v>
      </c>
      <c r="G14" s="1"/>
      <c r="H14" s="1"/>
      <c r="I14" s="130"/>
      <c r="J14" s="169"/>
      <c r="K14" s="169"/>
      <c r="L14" s="165"/>
    </row>
    <row r="15" spans="1:12" s="2" customFormat="1" ht="14.25" customHeight="1" x14ac:dyDescent="0.2">
      <c r="A15" s="89">
        <v>45300</v>
      </c>
      <c r="B15" s="9" t="s">
        <v>11</v>
      </c>
      <c r="C15" s="76" t="s">
        <v>1957</v>
      </c>
      <c r="D15" s="11" t="s">
        <v>29</v>
      </c>
      <c r="E15" s="31"/>
      <c r="F15" s="31">
        <v>2865</v>
      </c>
      <c r="G15" s="1"/>
      <c r="H15" s="1"/>
      <c r="I15" s="130"/>
      <c r="J15" s="169"/>
      <c r="K15" s="169"/>
      <c r="L15" s="165"/>
    </row>
    <row r="16" spans="1:12" s="2" customFormat="1" ht="14.25" customHeight="1" x14ac:dyDescent="0.2">
      <c r="A16" s="89">
        <v>45300</v>
      </c>
      <c r="B16" s="9" t="s">
        <v>11</v>
      </c>
      <c r="C16" s="76" t="s">
        <v>1892</v>
      </c>
      <c r="D16" s="11" t="s">
        <v>29</v>
      </c>
      <c r="E16" s="31"/>
      <c r="F16" s="31">
        <v>145800</v>
      </c>
      <c r="G16" s="1"/>
      <c r="H16" s="1"/>
      <c r="I16" s="130"/>
      <c r="J16" s="169"/>
      <c r="K16" s="169"/>
      <c r="L16" s="165"/>
    </row>
    <row r="17" spans="1:14" s="2" customFormat="1" ht="14.25" customHeight="1" x14ac:dyDescent="0.2">
      <c r="A17" s="89">
        <v>45300</v>
      </c>
      <c r="B17" s="9" t="s">
        <v>11</v>
      </c>
      <c r="C17" s="76" t="s">
        <v>1111</v>
      </c>
      <c r="D17" s="11" t="s">
        <v>29</v>
      </c>
      <c r="E17" s="31"/>
      <c r="F17" s="31">
        <v>31185</v>
      </c>
      <c r="G17" s="1"/>
      <c r="H17" s="1"/>
      <c r="I17" s="130"/>
      <c r="J17" s="169"/>
      <c r="K17" s="169"/>
      <c r="L17" s="165"/>
    </row>
    <row r="18" spans="1:14" s="2" customFormat="1" ht="14.25" customHeight="1" x14ac:dyDescent="0.2">
      <c r="A18" s="89">
        <v>45300</v>
      </c>
      <c r="B18" s="9" t="s">
        <v>11</v>
      </c>
      <c r="C18" s="76" t="s">
        <v>273</v>
      </c>
      <c r="D18" s="11" t="s">
        <v>29</v>
      </c>
      <c r="E18" s="31"/>
      <c r="F18" s="31">
        <v>17024.759999999998</v>
      </c>
      <c r="G18" s="1"/>
      <c r="H18" s="1"/>
      <c r="I18" s="130"/>
      <c r="J18" s="169"/>
      <c r="K18" s="169"/>
      <c r="L18" s="165"/>
    </row>
    <row r="19" spans="1:14" s="2" customFormat="1" ht="14.25" customHeight="1" x14ac:dyDescent="0.2">
      <c r="A19" s="89">
        <v>45300</v>
      </c>
      <c r="B19" s="9" t="s">
        <v>11</v>
      </c>
      <c r="C19" s="76" t="s">
        <v>1349</v>
      </c>
      <c r="D19" s="11" t="s">
        <v>29</v>
      </c>
      <c r="E19" s="31"/>
      <c r="F19" s="31">
        <v>155114</v>
      </c>
      <c r="G19" s="1"/>
      <c r="H19" s="1"/>
      <c r="I19" s="130"/>
      <c r="J19" s="169"/>
      <c r="K19" s="169"/>
      <c r="L19" s="165"/>
    </row>
    <row r="20" spans="1:14" s="2" customFormat="1" ht="14.25" customHeight="1" x14ac:dyDescent="0.2">
      <c r="A20" s="89">
        <v>45300</v>
      </c>
      <c r="B20" s="9" t="s">
        <v>11</v>
      </c>
      <c r="C20" s="76" t="s">
        <v>196</v>
      </c>
      <c r="D20" s="11" t="s">
        <v>29</v>
      </c>
      <c r="E20" s="31"/>
      <c r="F20" s="31">
        <v>54287</v>
      </c>
      <c r="G20" s="1"/>
      <c r="H20" s="1"/>
      <c r="I20" s="130"/>
      <c r="J20" s="169"/>
      <c r="K20" s="169"/>
      <c r="L20" s="165"/>
    </row>
    <row r="21" spans="1:14" s="2" customFormat="1" ht="14.25" customHeight="1" x14ac:dyDescent="0.2">
      <c r="A21" s="89">
        <v>45300</v>
      </c>
      <c r="B21" s="9" t="s">
        <v>11</v>
      </c>
      <c r="C21" s="76" t="s">
        <v>1279</v>
      </c>
      <c r="D21" s="11" t="s">
        <v>29</v>
      </c>
      <c r="F21" s="31">
        <v>6400</v>
      </c>
      <c r="G21" s="1"/>
      <c r="H21" s="1"/>
      <c r="I21" s="130"/>
      <c r="J21" s="169"/>
      <c r="K21" s="169"/>
      <c r="L21" s="165"/>
    </row>
    <row r="22" spans="1:14" s="2" customFormat="1" ht="14.25" customHeight="1" x14ac:dyDescent="0.2">
      <c r="A22" s="89">
        <v>45300</v>
      </c>
      <c r="B22" s="9" t="s">
        <v>11</v>
      </c>
      <c r="C22" s="76" t="s">
        <v>63</v>
      </c>
      <c r="D22" s="11" t="s">
        <v>29</v>
      </c>
      <c r="F22" s="31">
        <v>500000</v>
      </c>
      <c r="G22" s="1"/>
      <c r="H22" s="1"/>
      <c r="I22" s="130"/>
      <c r="J22" s="169"/>
      <c r="K22" s="169"/>
      <c r="L22" s="165"/>
    </row>
    <row r="23" spans="1:14" s="2" customFormat="1" ht="14.25" customHeight="1" x14ac:dyDescent="0.2">
      <c r="A23" s="89">
        <v>45300</v>
      </c>
      <c r="B23" s="9" t="s">
        <v>11</v>
      </c>
      <c r="C23" s="76" t="s">
        <v>1315</v>
      </c>
      <c r="D23" s="11" t="s">
        <v>29</v>
      </c>
      <c r="F23" s="31">
        <v>63669</v>
      </c>
      <c r="G23" s="1"/>
      <c r="H23" s="1"/>
      <c r="I23" s="130"/>
      <c r="J23" s="169"/>
      <c r="K23" s="169"/>
      <c r="L23" s="165"/>
    </row>
    <row r="24" spans="1:14" s="2" customFormat="1" ht="14.25" customHeight="1" x14ac:dyDescent="0.2">
      <c r="A24" s="89">
        <v>45300</v>
      </c>
      <c r="B24" s="9" t="s">
        <v>11</v>
      </c>
      <c r="C24" s="76" t="s">
        <v>243</v>
      </c>
      <c r="D24" s="11" t="s">
        <v>29</v>
      </c>
      <c r="F24" s="31">
        <v>3708.74</v>
      </c>
      <c r="G24" s="1"/>
      <c r="H24" s="1"/>
      <c r="I24" s="130"/>
      <c r="J24" s="169"/>
      <c r="K24" s="169"/>
      <c r="L24" s="165"/>
    </row>
    <row r="25" spans="1:14" s="2" customFormat="1" ht="14.25" customHeight="1" x14ac:dyDescent="0.2">
      <c r="D25" s="11" t="s">
        <v>8</v>
      </c>
      <c r="E25" s="16">
        <f>SUM(E12:E24)</f>
        <v>1303516</v>
      </c>
      <c r="F25" s="16">
        <f>SUM(F11:F24)</f>
        <v>28255154.02</v>
      </c>
      <c r="G25" s="1"/>
      <c r="H25" s="1"/>
      <c r="I25" s="143"/>
      <c r="J25" s="130"/>
      <c r="K25" s="143"/>
      <c r="L25" s="143"/>
      <c r="M25" s="143"/>
      <c r="N25" s="143"/>
    </row>
    <row r="26" spans="1:14" s="2" customFormat="1" ht="14.25" customHeight="1" x14ac:dyDescent="0.4">
      <c r="A26" s="17"/>
      <c r="B26" s="18"/>
      <c r="C26" s="96" t="s">
        <v>9</v>
      </c>
      <c r="D26" s="20"/>
      <c r="E26" s="21">
        <f>+F25-E25</f>
        <v>26951638.02</v>
      </c>
      <c r="G26" s="1"/>
      <c r="H26" s="1"/>
      <c r="J26" s="112"/>
      <c r="K26" s="153" t="s">
        <v>779</v>
      </c>
    </row>
    <row r="27" spans="1:14" s="2" customFormat="1" ht="14.25" customHeight="1" x14ac:dyDescent="0.2">
      <c r="A27" s="36"/>
      <c r="B27" s="28" t="s">
        <v>66</v>
      </c>
      <c r="C27" s="43" t="s">
        <v>1458</v>
      </c>
      <c r="D27" s="43"/>
      <c r="E27" s="12">
        <f>30000000+60000000</f>
        <v>90000000</v>
      </c>
      <c r="F27" s="22"/>
      <c r="G27" s="1"/>
      <c r="H27" s="1"/>
      <c r="J27" s="40">
        <v>26951638.02</v>
      </c>
      <c r="K27" s="154">
        <f>J27-E26</f>
        <v>0</v>
      </c>
    </row>
    <row r="28" spans="1:14" s="2" customFormat="1" ht="14.25" customHeight="1" x14ac:dyDescent="0.25">
      <c r="A28" s="36"/>
      <c r="B28" s="28"/>
      <c r="C28" s="44" t="s">
        <v>1541</v>
      </c>
      <c r="D28" s="43"/>
      <c r="E28" s="7">
        <f>+E26+E27</f>
        <v>116951638.02</v>
      </c>
      <c r="F28" s="22"/>
      <c r="G28" s="1"/>
      <c r="H28" s="1"/>
      <c r="I28" s="13" t="s">
        <v>1582</v>
      </c>
      <c r="J28" s="13" t="s">
        <v>1583</v>
      </c>
    </row>
    <row r="29" spans="1:14" s="2" customFormat="1" ht="14.25" customHeight="1" x14ac:dyDescent="0.25">
      <c r="A29" s="36"/>
      <c r="B29" s="28"/>
      <c r="C29" s="44" t="s">
        <v>1511</v>
      </c>
      <c r="D29" s="43"/>
      <c r="E29" s="38">
        <f>+J11+I7-J7</f>
        <v>3048361.9800000004</v>
      </c>
      <c r="F29" s="22"/>
      <c r="G29" s="1"/>
      <c r="H29" s="1"/>
      <c r="I29" s="2">
        <v>1880587</v>
      </c>
      <c r="J29" s="2">
        <v>3838777</v>
      </c>
      <c r="K29" s="176">
        <f>I29-J29</f>
        <v>-1958190</v>
      </c>
    </row>
    <row r="30" spans="1:14" s="2" customFormat="1" ht="14.25" customHeight="1" x14ac:dyDescent="0.2">
      <c r="A30" s="24"/>
      <c r="B30" s="1"/>
      <c r="C30" s="14"/>
      <c r="D30" s="25"/>
      <c r="G30" s="1"/>
      <c r="H30" s="1"/>
      <c r="J30" s="130"/>
      <c r="K30" s="130"/>
    </row>
    <row r="31" spans="1:14" s="2" customFormat="1" x14ac:dyDescent="0.2">
      <c r="A31" s="214" t="s">
        <v>10</v>
      </c>
      <c r="B31" s="214"/>
      <c r="C31" s="214"/>
      <c r="D31" s="214"/>
      <c r="E31" s="214"/>
      <c r="F31" s="214"/>
      <c r="G31" s="1"/>
      <c r="H31" s="1"/>
      <c r="I31" s="159"/>
      <c r="J31" s="160">
        <v>100000000</v>
      </c>
      <c r="K31" s="160" t="s">
        <v>1506</v>
      </c>
      <c r="L31" s="70"/>
    </row>
    <row r="32" spans="1:14" s="2" customFormat="1" ht="15" x14ac:dyDescent="0.35">
      <c r="A32" s="26" t="s">
        <v>1</v>
      </c>
      <c r="B32" s="27" t="s">
        <v>2</v>
      </c>
      <c r="C32" s="5"/>
      <c r="D32" s="6" t="s">
        <v>3</v>
      </c>
      <c r="E32" s="7" t="s">
        <v>4</v>
      </c>
      <c r="F32" s="7" t="s">
        <v>5</v>
      </c>
      <c r="G32" s="1"/>
      <c r="H32" s="1"/>
      <c r="I32" s="159"/>
      <c r="J32" s="179">
        <v>81920499.150000006</v>
      </c>
      <c r="K32" s="160" t="s">
        <v>1507</v>
      </c>
      <c r="L32" s="70" t="s">
        <v>1512</v>
      </c>
    </row>
    <row r="33" spans="1:15" s="2" customFormat="1" x14ac:dyDescent="0.2">
      <c r="A33" s="89">
        <v>45300</v>
      </c>
      <c r="B33" s="128" t="s">
        <v>11</v>
      </c>
      <c r="C33" s="29" t="s">
        <v>7</v>
      </c>
      <c r="D33" s="25"/>
      <c r="E33" s="31"/>
      <c r="F33" s="2">
        <v>85753540.459999979</v>
      </c>
      <c r="G33" s="23"/>
      <c r="H33" s="23"/>
      <c r="I33" s="159" t="s">
        <v>1505</v>
      </c>
      <c r="J33" s="160">
        <f>+J31-J32</f>
        <v>18079500.849999994</v>
      </c>
      <c r="K33" s="160"/>
      <c r="L33" s="70"/>
    </row>
    <row r="34" spans="1:15" s="2" customFormat="1" x14ac:dyDescent="0.2">
      <c r="A34" s="89">
        <v>45300</v>
      </c>
      <c r="B34" s="128" t="s">
        <v>6</v>
      </c>
      <c r="C34" s="76" t="s">
        <v>1270</v>
      </c>
      <c r="D34" s="11" t="s">
        <v>13</v>
      </c>
      <c r="E34" s="31">
        <v>923317</v>
      </c>
      <c r="G34" s="23"/>
      <c r="H34" s="23"/>
      <c r="I34" s="159"/>
      <c r="J34" s="160"/>
      <c r="K34" s="160"/>
      <c r="L34" s="70"/>
    </row>
    <row r="35" spans="1:15" s="2" customFormat="1" x14ac:dyDescent="0.2">
      <c r="A35" s="89">
        <v>45300</v>
      </c>
      <c r="B35" s="128" t="s">
        <v>6</v>
      </c>
      <c r="C35" s="76" t="s">
        <v>1729</v>
      </c>
      <c r="D35" s="11" t="s">
        <v>13</v>
      </c>
      <c r="E35" s="31">
        <v>5179017</v>
      </c>
      <c r="F35" s="70"/>
      <c r="G35" s="1"/>
      <c r="H35" s="1"/>
      <c r="O35" s="1"/>
    </row>
    <row r="36" spans="1:15" s="2" customFormat="1" x14ac:dyDescent="0.2">
      <c r="A36" s="89">
        <v>45300</v>
      </c>
      <c r="B36" s="128" t="s">
        <v>6</v>
      </c>
      <c r="C36" s="76" t="s">
        <v>24</v>
      </c>
      <c r="D36" s="11" t="s">
        <v>13</v>
      </c>
      <c r="E36" s="31">
        <v>1474083</v>
      </c>
      <c r="F36" s="70"/>
      <c r="G36" s="1"/>
      <c r="H36" s="1"/>
      <c r="O36" s="1"/>
    </row>
    <row r="37" spans="1:15" s="2" customFormat="1" x14ac:dyDescent="0.2">
      <c r="A37" s="89">
        <v>45300</v>
      </c>
      <c r="B37" s="128" t="s">
        <v>6</v>
      </c>
      <c r="C37" s="76" t="s">
        <v>120</v>
      </c>
      <c r="D37" s="11" t="s">
        <v>13</v>
      </c>
      <c r="E37" s="31">
        <v>721469</v>
      </c>
      <c r="F37" s="70"/>
      <c r="G37" s="1"/>
      <c r="H37" s="1"/>
      <c r="O37" s="1"/>
    </row>
    <row r="38" spans="1:15" s="2" customFormat="1" x14ac:dyDescent="0.2">
      <c r="A38" s="89">
        <v>45300</v>
      </c>
      <c r="B38" s="128" t="s">
        <v>6</v>
      </c>
      <c r="C38" s="76" t="s">
        <v>386</v>
      </c>
      <c r="D38" s="11" t="s">
        <v>13</v>
      </c>
      <c r="E38" s="31">
        <v>200000</v>
      </c>
      <c r="F38" s="70"/>
      <c r="G38" s="1"/>
      <c r="H38" s="1"/>
      <c r="O38" s="1"/>
    </row>
    <row r="39" spans="1:15" s="2" customFormat="1" x14ac:dyDescent="0.2">
      <c r="A39" s="89">
        <v>45300</v>
      </c>
      <c r="B39" s="128" t="s">
        <v>6</v>
      </c>
      <c r="C39" s="76" t="s">
        <v>752</v>
      </c>
      <c r="D39" s="11" t="s">
        <v>13</v>
      </c>
      <c r="E39" s="31">
        <v>598596</v>
      </c>
      <c r="F39" s="70"/>
      <c r="G39" s="1"/>
      <c r="H39" s="1"/>
      <c r="O39" s="1"/>
    </row>
    <row r="40" spans="1:15" s="2" customFormat="1" x14ac:dyDescent="0.2">
      <c r="A40" s="89">
        <v>45300</v>
      </c>
      <c r="B40" s="128" t="s">
        <v>6</v>
      </c>
      <c r="C40" s="76" t="s">
        <v>320</v>
      </c>
      <c r="D40" s="11" t="s">
        <v>13</v>
      </c>
      <c r="E40" s="31">
        <v>1880587</v>
      </c>
      <c r="F40" s="70"/>
      <c r="G40" s="1"/>
      <c r="H40" s="1"/>
      <c r="O40" s="1"/>
    </row>
    <row r="41" spans="1:15" s="2" customFormat="1" x14ac:dyDescent="0.2">
      <c r="A41" s="89">
        <v>45300</v>
      </c>
      <c r="B41" s="128" t="s">
        <v>6</v>
      </c>
      <c r="C41" s="76" t="s">
        <v>62</v>
      </c>
      <c r="D41" s="11" t="s">
        <v>13</v>
      </c>
      <c r="E41" s="31">
        <v>10000</v>
      </c>
      <c r="F41" s="70"/>
      <c r="G41" s="1"/>
      <c r="H41" s="1"/>
      <c r="O41" s="1"/>
    </row>
    <row r="42" spans="1:15" s="2" customFormat="1" x14ac:dyDescent="0.2">
      <c r="A42" s="89">
        <v>45300</v>
      </c>
      <c r="B42" s="128" t="s">
        <v>6</v>
      </c>
      <c r="C42" s="76" t="s">
        <v>1958</v>
      </c>
      <c r="D42" s="11" t="s">
        <v>13</v>
      </c>
      <c r="E42" s="31">
        <v>18900</v>
      </c>
      <c r="F42" s="70"/>
      <c r="G42" s="1"/>
      <c r="H42" s="1"/>
      <c r="O42" s="1"/>
    </row>
    <row r="43" spans="1:15" s="2" customFormat="1" x14ac:dyDescent="0.2">
      <c r="A43" s="89">
        <v>45300</v>
      </c>
      <c r="B43" s="128" t="s">
        <v>6</v>
      </c>
      <c r="C43" s="76" t="s">
        <v>1959</v>
      </c>
      <c r="D43" s="11" t="s">
        <v>13</v>
      </c>
      <c r="E43" s="31">
        <v>15017</v>
      </c>
      <c r="F43" s="70"/>
      <c r="G43" s="1"/>
      <c r="H43" s="1"/>
      <c r="O43" s="1"/>
    </row>
    <row r="44" spans="1:15" s="2" customFormat="1" x14ac:dyDescent="0.2">
      <c r="A44" s="89">
        <v>45300</v>
      </c>
      <c r="B44" s="128" t="s">
        <v>6</v>
      </c>
      <c r="C44" s="76" t="s">
        <v>311</v>
      </c>
      <c r="D44" s="11" t="s">
        <v>13</v>
      </c>
      <c r="E44" s="31">
        <v>14123</v>
      </c>
      <c r="F44" s="70"/>
      <c r="G44" s="1"/>
      <c r="H44" s="1"/>
      <c r="O44" s="1"/>
    </row>
    <row r="45" spans="1:15" s="2" customFormat="1" x14ac:dyDescent="0.2">
      <c r="A45" s="89">
        <v>45300</v>
      </c>
      <c r="B45" s="128" t="s">
        <v>11</v>
      </c>
      <c r="C45" s="76" t="s">
        <v>284</v>
      </c>
      <c r="D45" s="11" t="s">
        <v>29</v>
      </c>
      <c r="E45" s="31"/>
      <c r="F45" s="70">
        <v>2203243</v>
      </c>
      <c r="G45" s="1"/>
      <c r="H45" s="1"/>
      <c r="O45" s="1"/>
    </row>
    <row r="46" spans="1:15" s="2" customFormat="1" x14ac:dyDescent="0.2">
      <c r="A46" s="89">
        <v>45300</v>
      </c>
      <c r="B46" s="128" t="s">
        <v>11</v>
      </c>
      <c r="C46" s="76" t="s">
        <v>1810</v>
      </c>
      <c r="D46" s="11" t="s">
        <v>29</v>
      </c>
      <c r="E46" s="31"/>
      <c r="F46" s="70">
        <v>935217</v>
      </c>
      <c r="G46" s="1"/>
      <c r="H46" s="1"/>
      <c r="O46" s="1"/>
    </row>
    <row r="47" spans="1:15" s="2" customFormat="1" x14ac:dyDescent="0.2">
      <c r="A47" s="89">
        <v>45300</v>
      </c>
      <c r="B47" s="128" t="s">
        <v>11</v>
      </c>
      <c r="C47" s="76" t="s">
        <v>441</v>
      </c>
      <c r="D47" s="11" t="s">
        <v>29</v>
      </c>
      <c r="E47" s="31"/>
      <c r="F47" s="70">
        <v>2371.89</v>
      </c>
      <c r="G47" s="1"/>
      <c r="H47" s="1"/>
      <c r="O47" s="1"/>
    </row>
    <row r="48" spans="1:15" s="2" customFormat="1" x14ac:dyDescent="0.2">
      <c r="A48" s="89">
        <v>45300</v>
      </c>
      <c r="B48" s="128" t="s">
        <v>11</v>
      </c>
      <c r="C48" s="76" t="s">
        <v>525</v>
      </c>
      <c r="D48" s="11" t="s">
        <v>29</v>
      </c>
      <c r="E48" s="31"/>
      <c r="F48" s="70">
        <v>1500000</v>
      </c>
      <c r="G48" s="1"/>
      <c r="H48" s="1"/>
      <c r="O48" s="1"/>
    </row>
    <row r="49" spans="1:15" s="2" customFormat="1" x14ac:dyDescent="0.2">
      <c r="A49" s="89">
        <v>45300</v>
      </c>
      <c r="B49" s="128" t="s">
        <v>11</v>
      </c>
      <c r="C49" s="76" t="s">
        <v>25</v>
      </c>
      <c r="D49" s="11" t="s">
        <v>29</v>
      </c>
      <c r="E49" s="31"/>
      <c r="F49" s="70">
        <v>1200000</v>
      </c>
      <c r="G49" s="1"/>
      <c r="H49" s="1"/>
      <c r="O49" s="1"/>
    </row>
    <row r="50" spans="1:15" s="2" customFormat="1" x14ac:dyDescent="0.2">
      <c r="A50" s="89">
        <v>45300</v>
      </c>
      <c r="B50" s="128" t="s">
        <v>11</v>
      </c>
      <c r="C50" s="76" t="s">
        <v>64</v>
      </c>
      <c r="D50" s="11" t="s">
        <v>29</v>
      </c>
      <c r="E50" s="31"/>
      <c r="F50" s="70">
        <v>11.8</v>
      </c>
      <c r="G50" s="1"/>
      <c r="H50" s="1"/>
      <c r="O50" s="1"/>
    </row>
    <row r="51" spans="1:15" s="2" customFormat="1" x14ac:dyDescent="0.2">
      <c r="A51" s="89">
        <v>45300</v>
      </c>
      <c r="B51" s="128" t="s">
        <v>11</v>
      </c>
      <c r="C51" s="76" t="s">
        <v>134</v>
      </c>
      <c r="D51" s="11" t="s">
        <v>29</v>
      </c>
      <c r="E51" s="31"/>
      <c r="F51" s="70">
        <v>2000000</v>
      </c>
      <c r="G51" s="1"/>
      <c r="H51" s="1"/>
      <c r="O51" s="1"/>
    </row>
    <row r="52" spans="1:15" s="2" customFormat="1" x14ac:dyDescent="0.2">
      <c r="A52" s="89">
        <v>45300</v>
      </c>
      <c r="B52" s="128" t="s">
        <v>11</v>
      </c>
      <c r="C52" s="76" t="s">
        <v>561</v>
      </c>
      <c r="D52" s="11" t="s">
        <v>29</v>
      </c>
      <c r="E52" s="31"/>
      <c r="F52" s="70">
        <v>44841</v>
      </c>
      <c r="G52" s="1"/>
      <c r="H52" s="1"/>
      <c r="O52" s="1"/>
    </row>
    <row r="53" spans="1:15" s="2" customFormat="1" x14ac:dyDescent="0.2">
      <c r="A53" s="89">
        <v>45300</v>
      </c>
      <c r="B53" s="128" t="s">
        <v>11</v>
      </c>
      <c r="C53" s="76" t="s">
        <v>197</v>
      </c>
      <c r="D53" s="11" t="s">
        <v>29</v>
      </c>
      <c r="E53" s="31"/>
      <c r="F53" s="70">
        <v>29028</v>
      </c>
      <c r="G53" s="1"/>
      <c r="H53" s="1"/>
      <c r="O53" s="1"/>
    </row>
    <row r="54" spans="1:15" s="2" customFormat="1" x14ac:dyDescent="0.2">
      <c r="A54" s="89">
        <v>45300</v>
      </c>
      <c r="B54" s="128" t="s">
        <v>11</v>
      </c>
      <c r="C54" s="76" t="s">
        <v>314</v>
      </c>
      <c r="D54" s="11" t="s">
        <v>29</v>
      </c>
      <c r="E54" s="31"/>
      <c r="F54" s="70">
        <v>76977.2</v>
      </c>
      <c r="G54" s="1"/>
      <c r="H54" s="1"/>
      <c r="O54" s="1"/>
    </row>
    <row r="55" spans="1:15" s="2" customFormat="1" x14ac:dyDescent="0.2">
      <c r="A55" s="89">
        <v>45300</v>
      </c>
      <c r="B55" s="128" t="s">
        <v>11</v>
      </c>
      <c r="C55" s="76" t="s">
        <v>210</v>
      </c>
      <c r="D55" s="11" t="s">
        <v>29</v>
      </c>
      <c r="E55" s="31"/>
      <c r="F55" s="70">
        <v>73750</v>
      </c>
      <c r="G55" s="1"/>
      <c r="H55" s="1"/>
      <c r="O55" s="1"/>
    </row>
    <row r="56" spans="1:15" s="2" customFormat="1" x14ac:dyDescent="0.2">
      <c r="A56" s="89">
        <v>45300</v>
      </c>
      <c r="B56" s="128" t="s">
        <v>11</v>
      </c>
      <c r="C56" s="76" t="s">
        <v>248</v>
      </c>
      <c r="D56" s="11" t="s">
        <v>29</v>
      </c>
      <c r="E56" s="31"/>
      <c r="F56" s="70">
        <v>89347</v>
      </c>
      <c r="G56" s="1"/>
      <c r="H56" s="1"/>
      <c r="O56" s="1"/>
    </row>
    <row r="57" spans="1:15" s="2" customFormat="1" x14ac:dyDescent="0.2">
      <c r="A57" s="89">
        <v>45300</v>
      </c>
      <c r="B57" s="128" t="s">
        <v>11</v>
      </c>
      <c r="C57" s="76" t="s">
        <v>42</v>
      </c>
      <c r="D57" s="11" t="s">
        <v>29</v>
      </c>
      <c r="E57" s="31"/>
      <c r="F57" s="70">
        <v>88345.8</v>
      </c>
      <c r="G57" s="1"/>
      <c r="H57" s="1"/>
      <c r="O57" s="1"/>
    </row>
    <row r="58" spans="1:15" s="2" customFormat="1" x14ac:dyDescent="0.2">
      <c r="A58" s="89">
        <v>45300</v>
      </c>
      <c r="B58" s="128" t="s">
        <v>11</v>
      </c>
      <c r="C58" s="76" t="s">
        <v>1533</v>
      </c>
      <c r="D58" s="11" t="s">
        <v>29</v>
      </c>
      <c r="E58" s="31"/>
      <c r="F58" s="70">
        <v>664336</v>
      </c>
      <c r="G58" s="1"/>
      <c r="H58" s="1"/>
      <c r="O58" s="1"/>
    </row>
    <row r="59" spans="1:15" s="2" customFormat="1" x14ac:dyDescent="0.2">
      <c r="A59" s="89">
        <v>45300</v>
      </c>
      <c r="B59" s="128" t="s">
        <v>11</v>
      </c>
      <c r="C59" s="76" t="s">
        <v>362</v>
      </c>
      <c r="D59" s="11" t="s">
        <v>29</v>
      </c>
      <c r="E59" s="31"/>
      <c r="F59" s="70">
        <v>98000</v>
      </c>
      <c r="G59" s="1"/>
      <c r="H59" s="1"/>
      <c r="O59" s="1"/>
    </row>
    <row r="60" spans="1:15" s="2" customFormat="1" x14ac:dyDescent="0.2">
      <c r="A60" s="89">
        <v>45300</v>
      </c>
      <c r="B60" s="128" t="s">
        <v>11</v>
      </c>
      <c r="C60" s="76" t="s">
        <v>1960</v>
      </c>
      <c r="D60" s="11" t="s">
        <v>29</v>
      </c>
      <c r="E60" s="31"/>
      <c r="F60" s="70">
        <v>10067</v>
      </c>
      <c r="G60" s="1"/>
      <c r="H60" s="1"/>
      <c r="O60" s="1"/>
    </row>
    <row r="61" spans="1:15" s="2" customFormat="1" x14ac:dyDescent="0.2">
      <c r="A61" s="89">
        <v>45300</v>
      </c>
      <c r="B61" s="128" t="s">
        <v>11</v>
      </c>
      <c r="C61" s="76" t="s">
        <v>130</v>
      </c>
      <c r="D61" s="11" t="s">
        <v>29</v>
      </c>
      <c r="E61" s="31"/>
      <c r="F61" s="70">
        <v>126182</v>
      </c>
      <c r="G61" s="1"/>
      <c r="H61" s="1"/>
      <c r="O61" s="1"/>
    </row>
    <row r="62" spans="1:15" s="2" customFormat="1" x14ac:dyDescent="0.2">
      <c r="A62" s="89">
        <v>45300</v>
      </c>
      <c r="B62" s="128" t="s">
        <v>11</v>
      </c>
      <c r="C62" s="76" t="s">
        <v>823</v>
      </c>
      <c r="D62" s="11" t="s">
        <v>29</v>
      </c>
      <c r="E62" s="31"/>
      <c r="F62" s="70">
        <v>18540</v>
      </c>
      <c r="G62" s="1"/>
      <c r="H62" s="1"/>
      <c r="O62" s="1"/>
    </row>
    <row r="63" spans="1:15" s="2" customFormat="1" x14ac:dyDescent="0.2">
      <c r="A63" s="32"/>
      <c r="B63" s="33"/>
      <c r="C63" s="14"/>
      <c r="D63" s="34"/>
      <c r="E63" s="16">
        <f>SUM(E33:E62)</f>
        <v>11035109</v>
      </c>
      <c r="F63" s="16">
        <f>SUM(F33:F62)</f>
        <v>94913798.149999976</v>
      </c>
      <c r="G63" s="1"/>
      <c r="H63" s="1"/>
      <c r="I63" s="1"/>
      <c r="J63" s="38">
        <v>83878689.150000006</v>
      </c>
      <c r="L63" s="92">
        <f>E64-J63</f>
        <v>0</v>
      </c>
      <c r="O63" s="1"/>
    </row>
    <row r="64" spans="1:15" s="2" customFormat="1" x14ac:dyDescent="0.2">
      <c r="A64" s="36"/>
      <c r="B64" s="28" t="s">
        <v>11</v>
      </c>
      <c r="C64" s="19" t="s">
        <v>65</v>
      </c>
      <c r="D64" s="37"/>
      <c r="E64" s="38">
        <f>F63-E63</f>
        <v>83878689.149999976</v>
      </c>
      <c r="F64" s="22"/>
      <c r="G64" s="1"/>
      <c r="H64" s="1"/>
      <c r="I64" s="1"/>
      <c r="J64" s="70"/>
      <c r="K64" s="70"/>
      <c r="L64" s="70"/>
      <c r="O64" s="1"/>
    </row>
    <row r="65" spans="1:15" s="2" customFormat="1" x14ac:dyDescent="0.2">
      <c r="A65" s="36"/>
      <c r="B65" s="28" t="s">
        <v>66</v>
      </c>
      <c r="C65" s="19" t="s">
        <v>67</v>
      </c>
      <c r="D65" s="37"/>
      <c r="E65" s="38">
        <v>11500000</v>
      </c>
      <c r="F65" s="22"/>
      <c r="G65" s="1"/>
      <c r="H65" s="1"/>
      <c r="I65" s="70"/>
      <c r="J65" s="70"/>
      <c r="K65" s="70"/>
      <c r="L65" s="70"/>
      <c r="O65" s="1"/>
    </row>
    <row r="66" spans="1:15" s="2" customFormat="1" x14ac:dyDescent="0.2">
      <c r="A66" s="36"/>
      <c r="B66" s="28" t="s">
        <v>66</v>
      </c>
      <c r="C66" s="43" t="s">
        <v>1457</v>
      </c>
      <c r="D66" s="43"/>
      <c r="E66" s="12">
        <v>400000000</v>
      </c>
      <c r="F66" s="22"/>
      <c r="G66" s="1"/>
      <c r="H66" s="1"/>
      <c r="I66" s="70"/>
      <c r="J66" s="45">
        <v>402.32</v>
      </c>
      <c r="K66" s="46"/>
      <c r="L66" s="46"/>
      <c r="O66" s="1"/>
    </row>
    <row r="67" spans="1:15" s="2" customFormat="1" ht="15" x14ac:dyDescent="0.25">
      <c r="A67" s="36"/>
      <c r="B67" s="28"/>
      <c r="C67" s="44" t="s">
        <v>1541</v>
      </c>
      <c r="D67" s="43"/>
      <c r="E67" s="7">
        <f>+E66+E64+E65</f>
        <v>495378689.14999998</v>
      </c>
      <c r="F67" s="22"/>
      <c r="G67" s="1"/>
      <c r="H67" s="1"/>
      <c r="I67" s="103" t="s">
        <v>69</v>
      </c>
      <c r="J67" s="45">
        <v>-47.18</v>
      </c>
      <c r="K67" s="46"/>
      <c r="L67" s="46"/>
      <c r="O67" s="1"/>
    </row>
    <row r="68" spans="1:15" s="2" customFormat="1" ht="15" x14ac:dyDescent="0.25">
      <c r="A68" s="24"/>
      <c r="B68" s="1"/>
      <c r="C68" s="44" t="s">
        <v>1510</v>
      </c>
      <c r="D68" s="25"/>
      <c r="E68" s="156">
        <f>+J33-E65+I29-J29</f>
        <v>4621310.849999994</v>
      </c>
      <c r="G68" s="1"/>
      <c r="H68" s="1"/>
      <c r="I68" s="35">
        <v>1</v>
      </c>
      <c r="J68" s="45">
        <v>31.29</v>
      </c>
      <c r="K68" s="46">
        <f>+J69-D71</f>
        <v>0</v>
      </c>
      <c r="O68" s="1"/>
    </row>
    <row r="69" spans="1:15" s="124" customFormat="1" ht="12.75" customHeight="1" x14ac:dyDescent="0.2">
      <c r="A69" s="24"/>
      <c r="B69" s="1"/>
      <c r="C69" s="56"/>
      <c r="D69" s="56"/>
      <c r="E69" s="104"/>
      <c r="F69" s="2"/>
      <c r="G69" s="166"/>
      <c r="H69" s="166"/>
      <c r="I69" s="70"/>
      <c r="J69" s="49">
        <f>SUM(J66:J68)</f>
        <v>386.43</v>
      </c>
      <c r="K69" s="46"/>
      <c r="L69" s="46"/>
    </row>
    <row r="70" spans="1:15" s="124" customFormat="1" ht="12.75" customHeight="1" x14ac:dyDescent="0.2">
      <c r="A70" s="24"/>
      <c r="B70" s="1"/>
      <c r="C70" s="78" t="s">
        <v>575</v>
      </c>
      <c r="D70" s="48" t="s">
        <v>576</v>
      </c>
      <c r="E70" s="104"/>
      <c r="F70" s="2"/>
      <c r="G70" s="168"/>
      <c r="H70" s="168"/>
      <c r="I70" s="167"/>
      <c r="J70" s="167"/>
      <c r="K70" s="168"/>
    </row>
    <row r="71" spans="1:15" s="124" customFormat="1" ht="12.75" customHeight="1" x14ac:dyDescent="0.2">
      <c r="A71" s="24"/>
      <c r="B71" s="1"/>
      <c r="C71" s="47" t="s">
        <v>570</v>
      </c>
      <c r="D71" s="111">
        <v>386.43</v>
      </c>
      <c r="E71" s="104"/>
      <c r="F71" s="2"/>
      <c r="G71" s="168"/>
      <c r="H71" s="168"/>
      <c r="I71" s="110" t="s">
        <v>581</v>
      </c>
      <c r="J71" s="167"/>
      <c r="K71" s="168"/>
    </row>
    <row r="72" spans="1:15" s="124" customFormat="1" ht="12.75" customHeight="1" x14ac:dyDescent="0.2">
      <c r="A72" s="24"/>
      <c r="B72" s="1"/>
      <c r="C72" s="47" t="s">
        <v>931</v>
      </c>
      <c r="D72" s="111">
        <v>101.54</v>
      </c>
      <c r="E72" s="104"/>
      <c r="F72" s="2"/>
      <c r="G72" s="168"/>
      <c r="H72" s="168"/>
      <c r="I72" s="110" t="s">
        <v>580</v>
      </c>
      <c r="J72" s="167"/>
      <c r="K72" s="168"/>
    </row>
    <row r="73" spans="1:15" s="124" customFormat="1" ht="12.75" customHeight="1" x14ac:dyDescent="0.2">
      <c r="A73" s="24"/>
      <c r="B73" s="1"/>
      <c r="C73" s="47" t="s">
        <v>572</v>
      </c>
      <c r="D73" s="111">
        <f>+D98/100000</f>
        <v>207.00095339999999</v>
      </c>
      <c r="E73" s="104"/>
      <c r="F73" s="2"/>
      <c r="G73" s="166"/>
      <c r="H73" s="166"/>
      <c r="I73" s="90" t="s">
        <v>587</v>
      </c>
      <c r="J73" s="167"/>
      <c r="K73" s="168"/>
    </row>
    <row r="74" spans="1:15" s="2" customFormat="1" x14ac:dyDescent="0.2">
      <c r="A74" s="24"/>
      <c r="B74" s="1"/>
      <c r="C74" s="108" t="s">
        <v>578</v>
      </c>
      <c r="D74" s="48">
        <f>SUM(D71:D73)</f>
        <v>694.97095339999998</v>
      </c>
      <c r="E74" s="104"/>
      <c r="G74" s="30"/>
      <c r="H74" s="30"/>
      <c r="J74" s="13"/>
      <c r="K74" s="13"/>
    </row>
    <row r="75" spans="1:15" s="70" customFormat="1" x14ac:dyDescent="0.2">
      <c r="A75" s="24"/>
      <c r="B75" s="1"/>
      <c r="C75" s="47"/>
      <c r="D75" s="107"/>
      <c r="E75" s="104"/>
      <c r="F75" s="2"/>
      <c r="G75" s="30"/>
      <c r="H75" s="30"/>
      <c r="I75" s="2"/>
    </row>
    <row r="76" spans="1:15" s="70" customFormat="1" x14ac:dyDescent="0.2">
      <c r="A76" s="24"/>
      <c r="B76" s="1"/>
      <c r="C76" s="47" t="s">
        <v>932</v>
      </c>
      <c r="D76" s="111">
        <v>206.6</v>
      </c>
      <c r="E76" s="104"/>
      <c r="F76" s="2"/>
      <c r="G76" s="30"/>
      <c r="H76" s="30"/>
      <c r="I76" s="110" t="s">
        <v>581</v>
      </c>
    </row>
    <row r="77" spans="1:15" s="70" customFormat="1" x14ac:dyDescent="0.2">
      <c r="A77" s="24"/>
      <c r="B77" s="1"/>
      <c r="C77" s="136" t="s">
        <v>1142</v>
      </c>
      <c r="D77" s="111">
        <v>337.12</v>
      </c>
      <c r="E77" s="104"/>
      <c r="F77" s="2"/>
      <c r="G77" s="30"/>
      <c r="H77" s="30"/>
      <c r="I77" s="110" t="s">
        <v>581</v>
      </c>
    </row>
    <row r="78" spans="1:15" s="70" customFormat="1" x14ac:dyDescent="0.2">
      <c r="A78" s="24"/>
      <c r="B78" s="1"/>
      <c r="C78" s="78" t="s">
        <v>579</v>
      </c>
      <c r="D78" s="109">
        <f>D76+D77</f>
        <v>543.72</v>
      </c>
      <c r="E78" s="104"/>
      <c r="F78" s="2"/>
      <c r="G78" s="30"/>
      <c r="H78" s="30"/>
    </row>
    <row r="79" spans="1:15" s="70" customFormat="1" x14ac:dyDescent="0.2">
      <c r="A79" s="24"/>
      <c r="B79" s="1"/>
      <c r="C79" s="105"/>
      <c r="D79" s="106"/>
      <c r="E79" s="104"/>
      <c r="F79" s="2"/>
      <c r="G79" s="30"/>
      <c r="H79" s="30"/>
      <c r="J79" s="2"/>
      <c r="K79" s="221" t="str">
        <f>"FROM ( 01-01-2024 to "&amp;TEXT(A5,"dd-mm-yyyy")&amp;" )"</f>
        <v>FROM ( 01-01-2024 to 09-01-2024 )</v>
      </c>
      <c r="L79" s="221"/>
      <c r="M79" s="2"/>
      <c r="N79" s="2"/>
    </row>
    <row r="80" spans="1:15" s="70" customFormat="1" x14ac:dyDescent="0.2">
      <c r="A80" s="24"/>
      <c r="B80" s="1"/>
      <c r="C80" s="78" t="s">
        <v>577</v>
      </c>
      <c r="D80" s="109">
        <f>D71+D78</f>
        <v>930.15000000000009</v>
      </c>
      <c r="E80" s="104"/>
      <c r="F80" s="2"/>
      <c r="G80" s="30"/>
      <c r="H80" s="30"/>
      <c r="J80" s="113"/>
      <c r="K80" s="113" t="s">
        <v>709</v>
      </c>
      <c r="L80" s="113" t="s">
        <v>710</v>
      </c>
      <c r="M80" s="113" t="s">
        <v>711</v>
      </c>
      <c r="N80" s="113" t="s">
        <v>712</v>
      </c>
    </row>
    <row r="81" spans="1:15" s="70" customFormat="1" x14ac:dyDescent="0.2">
      <c r="A81" s="24"/>
      <c r="B81" s="1"/>
      <c r="C81" s="56"/>
      <c r="D81" s="56"/>
      <c r="E81" s="104"/>
      <c r="F81" s="2"/>
      <c r="G81" s="30"/>
      <c r="H81" s="30"/>
      <c r="J81" s="113" t="s">
        <v>1860</v>
      </c>
      <c r="K81" s="115">
        <v>189.89</v>
      </c>
      <c r="L81" s="115">
        <v>56.31</v>
      </c>
      <c r="M81" s="115">
        <v>58.41</v>
      </c>
      <c r="N81" s="113">
        <f>+K81+M81-L81</f>
        <v>191.98999999999998</v>
      </c>
    </row>
    <row r="82" spans="1:15" s="70" customFormat="1" ht="38.25" x14ac:dyDescent="0.2">
      <c r="A82" s="24"/>
      <c r="B82" s="1"/>
      <c r="C82" s="79" t="str">
        <f>"Particulars ( 01-01-2024 to "&amp;TEXT(A5,"dd-mm-yyyy")&amp;" )"</f>
        <v>Particulars ( 01-01-2024 to 09-01-2024 )</v>
      </c>
      <c r="D82" s="79" t="s">
        <v>7</v>
      </c>
      <c r="E82" s="80" t="s">
        <v>73</v>
      </c>
      <c r="F82" s="80" t="s">
        <v>74</v>
      </c>
      <c r="G82" s="81" t="s">
        <v>75</v>
      </c>
      <c r="H82" s="80" t="s">
        <v>76</v>
      </c>
      <c r="J82" s="113" t="s">
        <v>1861</v>
      </c>
      <c r="K82" s="115">
        <v>1669.19</v>
      </c>
      <c r="L82" s="115">
        <v>207</v>
      </c>
      <c r="M82" s="115">
        <v>335.02</v>
      </c>
      <c r="N82" s="113">
        <f>+K82+M82-L82</f>
        <v>1797.21</v>
      </c>
    </row>
    <row r="83" spans="1:15" s="70" customFormat="1" x14ac:dyDescent="0.2">
      <c r="A83" s="24"/>
      <c r="B83" s="1"/>
      <c r="C83" s="50" t="s">
        <v>444</v>
      </c>
      <c r="D83" s="55">
        <f>+K83</f>
        <v>140.88</v>
      </c>
      <c r="E83" s="55">
        <f>+M83</f>
        <v>206.6</v>
      </c>
      <c r="F83" s="55">
        <f>+L83</f>
        <v>101.54</v>
      </c>
      <c r="G83" s="55">
        <f>+D83+E83-F83</f>
        <v>245.94</v>
      </c>
      <c r="H83" s="55">
        <f>1500-G83</f>
        <v>1254.06</v>
      </c>
      <c r="J83" s="113" t="s">
        <v>707</v>
      </c>
      <c r="K83" s="115">
        <v>140.88</v>
      </c>
      <c r="L83" s="115">
        <v>101.54</v>
      </c>
      <c r="M83" s="115">
        <v>206.6</v>
      </c>
      <c r="N83" s="113">
        <f>+K83+M83-L83</f>
        <v>245.94</v>
      </c>
    </row>
    <row r="84" spans="1:15" s="70" customFormat="1" ht="12.75" customHeight="1" x14ac:dyDescent="0.2">
      <c r="A84" s="24"/>
      <c r="B84" s="1"/>
      <c r="C84" s="50" t="s">
        <v>71</v>
      </c>
      <c r="D84" s="55">
        <f>+K81+K82</f>
        <v>1859.08</v>
      </c>
      <c r="E84" s="55">
        <f>+M81+M82</f>
        <v>393.42999999999995</v>
      </c>
      <c r="F84" s="55">
        <f>+L81+L82</f>
        <v>263.31</v>
      </c>
      <c r="G84" s="55">
        <f>+D84+E84-F84</f>
        <v>1989.1999999999998</v>
      </c>
      <c r="H84" s="55">
        <f>1500+700-G84</f>
        <v>210.80000000000018</v>
      </c>
      <c r="J84" s="2"/>
      <c r="K84" s="118">
        <f>SUM(K81:K83)</f>
        <v>1999.96</v>
      </c>
      <c r="L84" s="118">
        <f>SUM(L81:L83)</f>
        <v>364.85</v>
      </c>
      <c r="M84" s="118">
        <f>SUM(M81:M83)</f>
        <v>600.03</v>
      </c>
      <c r="N84" s="118">
        <f>SUM(N81:N83)</f>
        <v>2235.14</v>
      </c>
    </row>
    <row r="85" spans="1:15" s="70" customFormat="1" ht="12.75" customHeight="1" x14ac:dyDescent="0.2">
      <c r="A85" s="24"/>
      <c r="B85" s="1"/>
      <c r="C85" s="14"/>
      <c r="D85" s="56"/>
      <c r="E85" s="13"/>
      <c r="F85" s="2"/>
      <c r="G85" s="30"/>
      <c r="H85" s="30"/>
    </row>
    <row r="86" spans="1:15" s="70" customFormat="1" ht="12.75" customHeight="1" x14ac:dyDescent="0.2">
      <c r="A86" s="215" t="s">
        <v>80</v>
      </c>
      <c r="B86" s="216"/>
      <c r="C86" s="216"/>
      <c r="D86" s="217"/>
      <c r="E86" s="69"/>
      <c r="G86" s="30"/>
      <c r="H86" s="30"/>
    </row>
    <row r="87" spans="1:15" s="70" customFormat="1" ht="12.75" customHeight="1" x14ac:dyDescent="0.2">
      <c r="A87" s="71" t="s">
        <v>81</v>
      </c>
      <c r="B87" s="71"/>
      <c r="C87" s="72" t="s">
        <v>82</v>
      </c>
      <c r="D87" s="73" t="s">
        <v>83</v>
      </c>
      <c r="E87" s="69"/>
      <c r="G87" s="30"/>
      <c r="H87" s="30"/>
    </row>
    <row r="88" spans="1:15" s="70" customFormat="1" ht="12.75" customHeight="1" x14ac:dyDescent="0.2">
      <c r="A88" s="87">
        <v>45292</v>
      </c>
      <c r="B88" s="120" t="s">
        <v>6</v>
      </c>
      <c r="C88" s="75" t="s">
        <v>1933</v>
      </c>
      <c r="D88" s="88">
        <v>7583470</v>
      </c>
      <c r="E88" s="2"/>
      <c r="F88" s="2"/>
      <c r="G88" s="30"/>
      <c r="H88" s="30"/>
      <c r="I88" s="2"/>
      <c r="J88" s="2"/>
      <c r="K88" s="2"/>
      <c r="L88" s="2"/>
      <c r="M88" s="41"/>
      <c r="N88" s="42"/>
      <c r="O88" s="2"/>
    </row>
    <row r="89" spans="1:15" s="70" customFormat="1" ht="12.75" customHeight="1" x14ac:dyDescent="0.2">
      <c r="A89" s="87">
        <v>45293</v>
      </c>
      <c r="B89" s="120" t="s">
        <v>6</v>
      </c>
      <c r="C89" s="75" t="s">
        <v>1934</v>
      </c>
      <c r="D89" s="88">
        <v>124988</v>
      </c>
      <c r="E89" s="2"/>
      <c r="F89" s="2"/>
      <c r="G89" s="30"/>
      <c r="H89" s="30"/>
      <c r="I89" s="2"/>
      <c r="J89" s="2"/>
      <c r="K89" s="2"/>
      <c r="L89" s="2"/>
      <c r="M89" s="41"/>
      <c r="N89" s="42"/>
      <c r="O89" s="2"/>
    </row>
    <row r="90" spans="1:15" s="70" customFormat="1" ht="12.75" customHeight="1" x14ac:dyDescent="0.2">
      <c r="A90" s="87">
        <v>45294</v>
      </c>
      <c r="B90" s="120" t="s">
        <v>6</v>
      </c>
      <c r="C90" s="75" t="s">
        <v>606</v>
      </c>
      <c r="D90" s="88">
        <v>260191</v>
      </c>
      <c r="E90" s="2"/>
      <c r="F90" s="2"/>
      <c r="G90" s="30"/>
      <c r="H90" s="30"/>
      <c r="I90" s="2"/>
      <c r="J90" s="2"/>
      <c r="K90" s="2"/>
      <c r="L90" s="2"/>
      <c r="M90" s="41"/>
      <c r="N90" s="42"/>
      <c r="O90" s="2"/>
    </row>
    <row r="91" spans="1:15" s="70" customFormat="1" ht="12.75" customHeight="1" x14ac:dyDescent="0.2">
      <c r="A91" s="87">
        <v>45294</v>
      </c>
      <c r="B91" s="120" t="s">
        <v>6</v>
      </c>
      <c r="C91" s="75" t="s">
        <v>888</v>
      </c>
      <c r="D91" s="88">
        <v>2431991.34</v>
      </c>
      <c r="E91" s="2"/>
      <c r="F91" s="2"/>
      <c r="G91" s="30"/>
      <c r="H91" s="30"/>
      <c r="I91" s="2"/>
      <c r="J91" s="2"/>
      <c r="K91" s="2"/>
      <c r="L91" s="2"/>
      <c r="M91" s="41"/>
      <c r="N91" s="42"/>
      <c r="O91" s="2"/>
    </row>
    <row r="92" spans="1:15" s="70" customFormat="1" ht="12.75" customHeight="1" x14ac:dyDescent="0.2">
      <c r="A92" s="87">
        <v>45295</v>
      </c>
      <c r="B92" s="120" t="s">
        <v>6</v>
      </c>
      <c r="C92" s="75" t="s">
        <v>1944</v>
      </c>
      <c r="D92" s="88">
        <v>23655</v>
      </c>
      <c r="E92" s="2"/>
      <c r="F92" s="2"/>
      <c r="G92" s="30"/>
      <c r="H92" s="30"/>
      <c r="I92" s="2"/>
      <c r="J92" s="2"/>
      <c r="K92" s="2"/>
      <c r="L92" s="2"/>
      <c r="M92" s="41"/>
      <c r="N92" s="42"/>
      <c r="O92" s="2"/>
    </row>
    <row r="93" spans="1:15" s="70" customFormat="1" ht="12.75" customHeight="1" x14ac:dyDescent="0.2">
      <c r="A93" s="87">
        <v>45295</v>
      </c>
      <c r="B93" s="120" t="s">
        <v>6</v>
      </c>
      <c r="C93" s="75" t="s">
        <v>1944</v>
      </c>
      <c r="D93" s="88">
        <v>321576</v>
      </c>
      <c r="E93" s="2"/>
      <c r="F93" s="2"/>
      <c r="G93" s="30"/>
      <c r="H93" s="30"/>
      <c r="I93" s="2"/>
      <c r="J93" s="2"/>
      <c r="K93" s="2"/>
      <c r="L93" s="2"/>
      <c r="M93" s="41"/>
      <c r="N93" s="42"/>
      <c r="O93" s="2"/>
    </row>
    <row r="94" spans="1:15" s="70" customFormat="1" ht="12.75" customHeight="1" x14ac:dyDescent="0.2">
      <c r="A94" s="87">
        <v>45295</v>
      </c>
      <c r="B94" s="120" t="s">
        <v>6</v>
      </c>
      <c r="C94" s="75" t="s">
        <v>1944</v>
      </c>
      <c r="D94" s="88">
        <v>430832</v>
      </c>
      <c r="E94" s="2"/>
      <c r="F94" s="2"/>
      <c r="G94" s="30"/>
      <c r="H94" s="30"/>
      <c r="I94" s="2"/>
      <c r="J94" s="2"/>
      <c r="K94" s="2"/>
      <c r="L94" s="2"/>
      <c r="M94" s="41"/>
      <c r="N94" s="42"/>
      <c r="O94" s="2"/>
    </row>
    <row r="95" spans="1:15" s="70" customFormat="1" ht="12.75" customHeight="1" x14ac:dyDescent="0.2">
      <c r="A95" s="87">
        <v>45295</v>
      </c>
      <c r="B95" s="120" t="s">
        <v>6</v>
      </c>
      <c r="C95" s="75" t="s">
        <v>1934</v>
      </c>
      <c r="D95" s="88">
        <v>892589</v>
      </c>
      <c r="E95" s="2"/>
      <c r="F95" s="2"/>
      <c r="G95" s="30"/>
      <c r="H95" s="30"/>
      <c r="I95" s="2"/>
      <c r="J95" s="2"/>
      <c r="K95" s="2"/>
      <c r="L95" s="2"/>
      <c r="M95" s="41"/>
      <c r="N95" s="42"/>
      <c r="O95" s="2"/>
    </row>
    <row r="96" spans="1:15" s="70" customFormat="1" ht="12.75" customHeight="1" x14ac:dyDescent="0.2">
      <c r="A96" s="87">
        <v>45299</v>
      </c>
      <c r="B96" s="120" t="s">
        <v>6</v>
      </c>
      <c r="C96" s="75" t="s">
        <v>1933</v>
      </c>
      <c r="D96" s="88">
        <v>8143487</v>
      </c>
      <c r="E96" s="2"/>
      <c r="F96" s="2"/>
      <c r="G96" s="30"/>
      <c r="H96" s="30"/>
      <c r="I96" s="2"/>
      <c r="J96" s="2"/>
      <c r="K96" s="2"/>
      <c r="L96" s="2"/>
      <c r="M96" s="41"/>
      <c r="N96" s="42"/>
      <c r="O96" s="2"/>
    </row>
    <row r="97" spans="1:15" s="70" customFormat="1" ht="12.75" customHeight="1" x14ac:dyDescent="0.2">
      <c r="A97" s="87">
        <v>45299</v>
      </c>
      <c r="B97" s="120" t="s">
        <v>6</v>
      </c>
      <c r="C97" s="75" t="s">
        <v>606</v>
      </c>
      <c r="D97" s="88">
        <v>487316</v>
      </c>
      <c r="E97" s="2"/>
      <c r="F97" s="2"/>
      <c r="G97" s="30"/>
      <c r="H97" s="30"/>
      <c r="I97" s="2"/>
      <c r="J97" s="2"/>
      <c r="K97" s="2"/>
      <c r="L97" s="2"/>
      <c r="M97" s="41"/>
      <c r="N97" s="42"/>
      <c r="O97" s="2"/>
    </row>
    <row r="98" spans="1:15" s="2" customFormat="1" x14ac:dyDescent="0.2">
      <c r="A98" s="87"/>
      <c r="B98" s="74"/>
      <c r="C98" s="75"/>
      <c r="D98" s="51">
        <f>SUM(D88:D97)</f>
        <v>20700095.34</v>
      </c>
      <c r="F98" s="2" t="s">
        <v>396</v>
      </c>
      <c r="G98" s="1"/>
      <c r="H98" s="1"/>
    </row>
    <row r="99" spans="1:15" s="2" customFormat="1" x14ac:dyDescent="0.2">
      <c r="A99" s="24"/>
      <c r="B99" s="1"/>
      <c r="C99" s="14"/>
      <c r="D99" s="56"/>
      <c r="E99" s="13"/>
      <c r="G99" s="1"/>
      <c r="H99" s="1"/>
    </row>
    <row r="100" spans="1:15" s="2" customFormat="1" x14ac:dyDescent="0.2">
      <c r="A100" s="24"/>
      <c r="B100" s="1"/>
      <c r="C100" s="218" t="s">
        <v>77</v>
      </c>
      <c r="D100" s="219"/>
      <c r="E100" s="219"/>
      <c r="F100" s="220"/>
      <c r="I100" s="2" t="s">
        <v>396</v>
      </c>
    </row>
    <row r="101" spans="1:15" s="2" customFormat="1" x14ac:dyDescent="0.2">
      <c r="A101" s="24"/>
      <c r="B101" s="1"/>
      <c r="C101" s="50"/>
      <c r="D101" s="57" t="s">
        <v>78</v>
      </c>
      <c r="E101" s="58" t="s">
        <v>79</v>
      </c>
      <c r="F101" s="57" t="s">
        <v>72</v>
      </c>
      <c r="I101" s="2" t="s">
        <v>396</v>
      </c>
    </row>
    <row r="102" spans="1:15" s="2" customFormat="1" x14ac:dyDescent="0.2">
      <c r="A102" s="24"/>
      <c r="B102" s="1"/>
      <c r="C102" s="59" t="str">
        <f>"01-01-2024 to "&amp;TEXT(A5-2,"dd-mm-yyyy")</f>
        <v>01-01-2024 to 07-01-2024</v>
      </c>
      <c r="D102" s="60">
        <v>493.82</v>
      </c>
      <c r="E102" s="60">
        <v>173.52</v>
      </c>
      <c r="F102" s="61">
        <f>SUM(D102:E102)</f>
        <v>667.34</v>
      </c>
    </row>
    <row r="103" spans="1:15" s="2" customFormat="1" x14ac:dyDescent="0.2">
      <c r="A103" s="24"/>
      <c r="B103" s="1"/>
      <c r="C103" s="62" t="str">
        <f>TEXT(A5-1,"dd-mm-yyyy")</f>
        <v>08-01-2024</v>
      </c>
      <c r="D103" s="60">
        <v>109.65</v>
      </c>
      <c r="E103" s="60">
        <v>28.59</v>
      </c>
      <c r="F103" s="61">
        <f>SUM(D103:E103)</f>
        <v>138.24</v>
      </c>
      <c r="G103" s="1"/>
      <c r="H103" s="1"/>
      <c r="I103" s="53"/>
    </row>
    <row r="104" spans="1:15" s="2" customFormat="1" ht="13.5" thickBot="1" x14ac:dyDescent="0.25">
      <c r="A104" s="24"/>
      <c r="B104" s="1"/>
      <c r="C104" s="63" t="str">
        <f>"01-01-2024 to "&amp;TEXT(A5-1,"dd-mm-yyyy")</f>
        <v>01-01-2024 to 08-01-2024</v>
      </c>
      <c r="D104" s="64">
        <f>SUM(D102:D103)</f>
        <v>603.47</v>
      </c>
      <c r="E104" s="64">
        <f>SUM(E102:E103)</f>
        <v>202.11</v>
      </c>
      <c r="F104" s="64">
        <f>SUM(F102:F103)</f>
        <v>805.58</v>
      </c>
      <c r="G104" s="1"/>
      <c r="H104" s="1"/>
      <c r="I104" s="53"/>
    </row>
    <row r="105" spans="1:15" s="2" customFormat="1" ht="13.5" thickTop="1" x14ac:dyDescent="0.2">
      <c r="A105" s="24"/>
      <c r="B105" s="1"/>
      <c r="C105" s="62"/>
      <c r="D105" s="65"/>
      <c r="E105" s="66"/>
      <c r="F105" s="67"/>
      <c r="M105" s="1"/>
      <c r="N105" s="1"/>
    </row>
    <row r="106" spans="1:15" s="2" customFormat="1" x14ac:dyDescent="0.2">
      <c r="A106" s="24"/>
      <c r="B106" s="1"/>
      <c r="C106" s="62" t="str">
        <f>"01-04-2023 to " &amp;C103</f>
        <v>01-04-2023 to 08-01-2024</v>
      </c>
      <c r="D106" s="68">
        <f>+D104+34576.72</f>
        <v>35180.19</v>
      </c>
      <c r="E106" s="68">
        <f>+E104+3831.86</f>
        <v>4033.9700000000003</v>
      </c>
      <c r="F106" s="68">
        <f>+F104+38408.58</f>
        <v>39214.160000000003</v>
      </c>
      <c r="G106" s="1"/>
      <c r="H106" s="1"/>
      <c r="M106" s="1"/>
      <c r="N106" s="1"/>
    </row>
    <row r="107" spans="1:15" s="2" customFormat="1" x14ac:dyDescent="0.2">
      <c r="A107" s="24"/>
      <c r="B107" s="1"/>
      <c r="C107" s="52"/>
      <c r="D107" s="85"/>
      <c r="E107" s="53"/>
      <c r="F107" s="53"/>
      <c r="G107" s="1"/>
      <c r="H107" s="1"/>
      <c r="M107" s="1"/>
      <c r="N107" s="1"/>
    </row>
    <row r="108" spans="1:15" s="2" customFormat="1" x14ac:dyDescent="0.2">
      <c r="A108" s="24"/>
      <c r="B108" s="1"/>
      <c r="C108" s="52"/>
      <c r="D108" s="85"/>
      <c r="E108" s="53"/>
      <c r="F108" s="53"/>
      <c r="G108" s="1"/>
      <c r="H108" s="1"/>
      <c r="M108" s="1"/>
      <c r="N108" s="1"/>
    </row>
    <row r="109" spans="1:15" s="2" customFormat="1" x14ac:dyDescent="0.2">
      <c r="A109" s="24"/>
      <c r="B109" s="1"/>
      <c r="C109" s="52"/>
      <c r="D109" s="85"/>
      <c r="E109" s="53"/>
      <c r="F109" s="53"/>
      <c r="G109" s="1"/>
      <c r="H109" s="1"/>
      <c r="M109" s="1"/>
      <c r="N109" s="1"/>
    </row>
    <row r="110" spans="1:15" s="2" customFormat="1" x14ac:dyDescent="0.2">
      <c r="A110" s="24"/>
      <c r="B110" s="1"/>
      <c r="C110" s="52"/>
      <c r="D110" s="85"/>
      <c r="E110" s="53"/>
      <c r="F110" s="53"/>
      <c r="G110" s="1"/>
      <c r="H110" s="1"/>
      <c r="M110" s="1"/>
      <c r="N110" s="1"/>
    </row>
    <row r="111" spans="1:15" s="2" customFormat="1" x14ac:dyDescent="0.2">
      <c r="A111" s="24"/>
      <c r="B111" s="1"/>
      <c r="C111" s="14"/>
      <c r="D111" s="25">
        <f>SUM(D108:D110)</f>
        <v>0</v>
      </c>
      <c r="E111" s="2">
        <f>SUM(E108:E110)</f>
        <v>0</v>
      </c>
      <c r="G111" s="1"/>
      <c r="H111" s="1"/>
      <c r="M111" s="1"/>
      <c r="N111" s="1"/>
    </row>
    <row r="112" spans="1:15" s="2" customFormat="1" x14ac:dyDescent="0.2">
      <c r="A112" s="24"/>
      <c r="B112" s="1"/>
      <c r="C112" s="14"/>
      <c r="D112" s="25"/>
      <c r="G112" s="1"/>
      <c r="H112" s="1"/>
      <c r="M112" s="1"/>
      <c r="N112" s="1"/>
    </row>
    <row r="113" spans="1:14" s="2" customFormat="1" x14ac:dyDescent="0.2">
      <c r="A113" s="24"/>
      <c r="B113" s="1"/>
      <c r="C113" s="14"/>
      <c r="D113" s="25"/>
      <c r="G113" s="1"/>
      <c r="H113" s="1"/>
      <c r="M113" s="1"/>
      <c r="N113" s="1"/>
    </row>
    <row r="114" spans="1:14" s="2" customFormat="1" x14ac:dyDescent="0.2">
      <c r="A114" s="24"/>
      <c r="B114" s="1"/>
      <c r="C114" s="14"/>
      <c r="D114" s="25"/>
      <c r="G114" s="1"/>
      <c r="H114" s="1"/>
      <c r="M114" s="1"/>
      <c r="N114" s="1"/>
    </row>
    <row r="115" spans="1:14" s="2" customFormat="1" x14ac:dyDescent="0.2">
      <c r="A115" s="24"/>
      <c r="B115" s="1"/>
      <c r="C115" s="14"/>
      <c r="D115" s="25"/>
      <c r="G115" s="1"/>
      <c r="H115" s="1"/>
      <c r="M115" s="1"/>
      <c r="N115" s="1"/>
    </row>
    <row r="116" spans="1:14" s="2" customFormat="1" x14ac:dyDescent="0.2">
      <c r="A116" s="24"/>
      <c r="B116" s="1"/>
      <c r="C116" s="14"/>
      <c r="D116" s="25"/>
      <c r="G116" s="1"/>
      <c r="H116" s="1"/>
      <c r="M116" s="1"/>
      <c r="N116" s="1"/>
    </row>
    <row r="117" spans="1:14" s="2" customFormat="1" x14ac:dyDescent="0.2">
      <c r="A117" s="24"/>
      <c r="B117" s="1"/>
      <c r="C117" s="14"/>
      <c r="D117" s="25"/>
      <c r="G117" s="1"/>
      <c r="H117" s="1"/>
      <c r="M117" s="1"/>
      <c r="N117" s="1"/>
    </row>
    <row r="118" spans="1:14" s="2" customFormat="1" x14ac:dyDescent="0.2">
      <c r="A118" s="24"/>
      <c r="B118" s="1"/>
      <c r="C118" s="14"/>
      <c r="D118" s="25"/>
      <c r="G118" s="1"/>
      <c r="H118" s="1"/>
      <c r="M118" s="1"/>
      <c r="N118" s="1"/>
    </row>
    <row r="119" spans="1:14" s="2" customFormat="1" x14ac:dyDescent="0.2">
      <c r="A119" s="24"/>
      <c r="B119" s="1"/>
      <c r="C119" s="14"/>
      <c r="D119" s="25"/>
      <c r="G119" s="1"/>
      <c r="H119" s="1"/>
      <c r="M119" s="1"/>
      <c r="N119" s="1"/>
    </row>
    <row r="120" spans="1:14" s="2" customFormat="1" x14ac:dyDescent="0.2">
      <c r="A120" s="24"/>
      <c r="B120" s="1"/>
      <c r="C120" s="14"/>
      <c r="D120" s="25"/>
      <c r="G120" s="1"/>
      <c r="H120" s="1"/>
      <c r="M120" s="1"/>
      <c r="N120" s="1"/>
    </row>
    <row r="121" spans="1:14" s="2" customFormat="1" x14ac:dyDescent="0.2">
      <c r="A121" s="24"/>
      <c r="B121" s="1"/>
      <c r="C121" s="14"/>
      <c r="D121" s="25"/>
      <c r="G121" s="1"/>
      <c r="H121" s="1"/>
      <c r="M121" s="1"/>
      <c r="N121" s="1"/>
    </row>
    <row r="122" spans="1:14" s="2" customFormat="1" x14ac:dyDescent="0.2">
      <c r="A122" s="24"/>
      <c r="B122" s="1"/>
      <c r="C122" s="14"/>
      <c r="D122" s="25"/>
      <c r="G122" s="1"/>
      <c r="H122" s="1"/>
      <c r="M122" s="1"/>
      <c r="N122" s="1"/>
    </row>
    <row r="123" spans="1:14" s="2" customFormat="1" x14ac:dyDescent="0.2">
      <c r="A123" s="24"/>
      <c r="B123" s="1"/>
      <c r="C123" s="14"/>
      <c r="D123" s="25"/>
      <c r="G123" s="1"/>
      <c r="H123" s="1"/>
      <c r="M123" s="1"/>
      <c r="N123" s="1"/>
    </row>
    <row r="124" spans="1:14" s="2" customFormat="1" x14ac:dyDescent="0.2">
      <c r="A124" s="24"/>
      <c r="B124" s="1"/>
      <c r="C124" s="14"/>
      <c r="D124" s="25"/>
      <c r="G124" s="1"/>
      <c r="H124" s="1"/>
      <c r="M124" s="1"/>
      <c r="N124" s="1"/>
    </row>
    <row r="125" spans="1:14" s="2" customFormat="1" x14ac:dyDescent="0.2">
      <c r="A125" s="24"/>
      <c r="B125" s="1"/>
      <c r="C125" s="14"/>
      <c r="D125" s="25"/>
      <c r="G125" s="1"/>
      <c r="H125" s="1"/>
      <c r="J125" s="1"/>
      <c r="K125" s="1"/>
      <c r="L125" s="1"/>
      <c r="M125" s="1"/>
      <c r="N125" s="1"/>
    </row>
    <row r="126" spans="1:14" s="2" customFormat="1" x14ac:dyDescent="0.2">
      <c r="A126" s="24"/>
      <c r="B126" s="1"/>
      <c r="C126" s="14"/>
      <c r="D126" s="25"/>
      <c r="G126" s="1"/>
      <c r="H126" s="1"/>
    </row>
    <row r="127" spans="1:14" s="2" customFormat="1" x14ac:dyDescent="0.2">
      <c r="A127" s="24"/>
      <c r="B127" s="1"/>
      <c r="C127" s="14"/>
      <c r="D127" s="25"/>
      <c r="G127" s="1"/>
      <c r="H127" s="1"/>
      <c r="J127" s="1"/>
      <c r="K127" s="1"/>
      <c r="L127" s="1"/>
      <c r="M127" s="1"/>
      <c r="N127" s="1"/>
    </row>
    <row r="128" spans="1:14" s="2" customFormat="1" x14ac:dyDescent="0.2">
      <c r="A128" s="24"/>
      <c r="B128" s="1"/>
      <c r="C128" s="14"/>
      <c r="D128" s="25"/>
      <c r="G128" s="54"/>
      <c r="H128" s="54"/>
      <c r="J128" s="1"/>
      <c r="K128" s="1"/>
      <c r="L128" s="1"/>
      <c r="M128" s="1"/>
      <c r="N128" s="1"/>
    </row>
    <row r="129" spans="1:15" s="2" customFormat="1" x14ac:dyDescent="0.2">
      <c r="A129" s="24"/>
      <c r="B129" s="1"/>
      <c r="C129" s="14"/>
      <c r="D129" s="25"/>
      <c r="G129" s="54"/>
      <c r="H129" s="54"/>
      <c r="J129" s="1"/>
      <c r="K129" s="1"/>
      <c r="L129" s="1"/>
      <c r="M129" s="1"/>
      <c r="N129" s="1"/>
    </row>
    <row r="130" spans="1:15" s="2" customFormat="1" x14ac:dyDescent="0.2">
      <c r="A130" s="24"/>
      <c r="B130" s="1"/>
      <c r="C130" s="14"/>
      <c r="D130" s="25"/>
      <c r="G130" s="54"/>
      <c r="H130" s="54"/>
      <c r="J130" s="1"/>
      <c r="K130" s="1"/>
      <c r="L130" s="1"/>
      <c r="M130" s="1"/>
      <c r="N130" s="1"/>
    </row>
    <row r="131" spans="1:15" s="2" customFormat="1" x14ac:dyDescent="0.2">
      <c r="A131" s="24"/>
      <c r="B131" s="1"/>
      <c r="C131" s="14"/>
      <c r="D131" s="25"/>
      <c r="G131" s="54"/>
      <c r="H131" s="54"/>
      <c r="I131" s="2" t="s">
        <v>396</v>
      </c>
      <c r="J131" s="1"/>
      <c r="K131" s="1"/>
      <c r="L131" s="1"/>
      <c r="M131" s="1"/>
      <c r="N131" s="1"/>
      <c r="O131" s="1"/>
    </row>
    <row r="132" spans="1:15" s="2" customFormat="1" x14ac:dyDescent="0.2">
      <c r="A132" s="24"/>
      <c r="B132" s="1"/>
      <c r="C132" s="14"/>
      <c r="D132" s="25"/>
      <c r="G132" s="54"/>
      <c r="H132" s="54"/>
      <c r="I132" s="53"/>
    </row>
    <row r="133" spans="1:15" s="2" customFormat="1" x14ac:dyDescent="0.2">
      <c r="A133" s="24"/>
      <c r="B133" s="1"/>
      <c r="C133" s="14"/>
      <c r="D133" s="25"/>
      <c r="G133" s="54"/>
      <c r="H133" s="54"/>
      <c r="I133" s="53" t="s">
        <v>396</v>
      </c>
      <c r="J133" s="1"/>
      <c r="K133" s="1"/>
      <c r="L133" s="1"/>
      <c r="M133" s="1"/>
      <c r="N133" s="1"/>
      <c r="O133" s="1"/>
    </row>
    <row r="134" spans="1:15" x14ac:dyDescent="0.2">
      <c r="G134" s="54"/>
      <c r="H134" s="54"/>
      <c r="I134" s="53" t="s">
        <v>396</v>
      </c>
      <c r="K134" s="42"/>
    </row>
    <row r="135" spans="1:15" s="2" customFormat="1" x14ac:dyDescent="0.2">
      <c r="A135" s="24"/>
      <c r="B135" s="1"/>
      <c r="C135" s="14"/>
      <c r="D135" s="25"/>
      <c r="G135" s="54"/>
      <c r="H135" s="54"/>
      <c r="I135" s="53"/>
      <c r="J135" s="101"/>
      <c r="K135" s="1"/>
      <c r="L135" s="1"/>
      <c r="M135" s="1"/>
      <c r="N135" s="1"/>
      <c r="O135" s="1"/>
    </row>
    <row r="136" spans="1:15" x14ac:dyDescent="0.2">
      <c r="G136" s="54"/>
      <c r="H136" s="54"/>
      <c r="I136" s="53"/>
    </row>
    <row r="137" spans="1:15" x14ac:dyDescent="0.2">
      <c r="G137" s="54"/>
      <c r="H137" s="54"/>
      <c r="I137" s="53"/>
    </row>
    <row r="138" spans="1:15" x14ac:dyDescent="0.2">
      <c r="G138" s="54"/>
      <c r="H138" s="54"/>
      <c r="I138" s="53"/>
    </row>
  </sheetData>
  <sheetProtection insertRows="0"/>
  <mergeCells count="7">
    <mergeCell ref="K79:L79"/>
    <mergeCell ref="A86:D86"/>
    <mergeCell ref="C100:F100"/>
    <mergeCell ref="A1:H1"/>
    <mergeCell ref="A3:F3"/>
    <mergeCell ref="A9:F9"/>
    <mergeCell ref="A31:F31"/>
  </mergeCells>
  <conditionalFormatting sqref="H83:H84">
    <cfRule type="cellIs" dxfId="135" priority="1" operator="lessThan">
      <formula>0</formula>
    </cfRule>
  </conditionalFormatting>
  <conditionalFormatting sqref="C33">
    <cfRule type="duplicateValues" dxfId="134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F00-000000000000}">
  <sheetPr codeName="Sheet519">
    <pageSetUpPr fitToPage="1"/>
  </sheetPr>
  <dimension ref="A1:O148"/>
  <sheetViews>
    <sheetView topLeftCell="A23" zoomScaleNormal="100" workbookViewId="0">
      <selection activeCell="E43" sqref="E43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12.85546875" style="1" customWidth="1"/>
    <col min="9" max="9" width="24.85546875" style="2" bestFit="1" customWidth="1"/>
    <col min="10" max="10" width="21.5703125" style="1" bestFit="1" customWidth="1"/>
    <col min="11" max="11" width="16.85546875" style="1" bestFit="1" customWidth="1"/>
    <col min="12" max="12" width="17.28515625" style="1" bestFit="1" customWidth="1"/>
    <col min="13" max="13" width="13.5703125" style="1" bestFit="1" customWidth="1"/>
    <col min="14" max="14" width="17.42578125" style="1" bestFit="1" customWidth="1"/>
    <col min="15" max="15" width="12.85546875" style="1" bestFit="1" customWidth="1"/>
    <col min="16" max="17" width="9.140625" style="1"/>
    <col min="18" max="18" width="15.5703125" style="1" bestFit="1" customWidth="1"/>
    <col min="19" max="16384" width="9.140625" style="1"/>
  </cols>
  <sheetData>
    <row r="1" spans="1:14" ht="20.25" customHeight="1" x14ac:dyDescent="0.4">
      <c r="A1" s="212" t="s">
        <v>1961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4" ht="12.75" customHeight="1" x14ac:dyDescent="0.4">
      <c r="I2" s="112"/>
      <c r="J2" s="112"/>
    </row>
    <row r="3" spans="1:14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4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4" s="2" customFormat="1" ht="14.25" customHeight="1" x14ac:dyDescent="0.4">
      <c r="A5" s="89">
        <v>45301</v>
      </c>
      <c r="B5" s="9" t="s">
        <v>6</v>
      </c>
      <c r="C5" s="10" t="s">
        <v>7</v>
      </c>
      <c r="D5" s="11"/>
      <c r="E5" s="12">
        <v>586241.23000000045</v>
      </c>
      <c r="F5" s="12"/>
      <c r="G5" s="1"/>
      <c r="H5" s="1"/>
      <c r="I5" s="112"/>
      <c r="J5" s="112"/>
    </row>
    <row r="6" spans="1:14" s="2" customFormat="1" ht="12.75" customHeight="1" x14ac:dyDescent="0.2">
      <c r="D6" s="15" t="s">
        <v>8</v>
      </c>
      <c r="E6" s="16">
        <f>SUM(E5:E5)</f>
        <v>586241.23000000045</v>
      </c>
      <c r="F6" s="16">
        <f>SUM(E6)</f>
        <v>586241.23000000045</v>
      </c>
      <c r="G6" s="1"/>
      <c r="H6" s="1"/>
      <c r="I6" s="13" t="s">
        <v>1582</v>
      </c>
      <c r="J6" s="13" t="s">
        <v>1583</v>
      </c>
    </row>
    <row r="7" spans="1:14" s="2" customFormat="1" ht="12.75" customHeight="1" x14ac:dyDescent="0.2">
      <c r="A7" s="17"/>
      <c r="B7" s="18"/>
      <c r="C7" s="19" t="s">
        <v>9</v>
      </c>
      <c r="D7" s="20"/>
      <c r="E7" s="21">
        <f>+E6-F6</f>
        <v>0</v>
      </c>
      <c r="F7" s="22"/>
      <c r="G7" s="23"/>
      <c r="H7" s="23"/>
      <c r="I7" s="2">
        <v>0</v>
      </c>
      <c r="K7" s="176">
        <f>I7-J7</f>
        <v>0</v>
      </c>
    </row>
    <row r="8" spans="1:14" ht="12.75" customHeight="1" x14ac:dyDescent="0.4">
      <c r="I8" s="112"/>
      <c r="J8" s="112"/>
    </row>
    <row r="9" spans="1:14" ht="18" customHeight="1" x14ac:dyDescent="0.4">
      <c r="A9" s="213" t="s">
        <v>1037</v>
      </c>
      <c r="B9" s="213"/>
      <c r="C9" s="213"/>
      <c r="D9" s="213"/>
      <c r="E9" s="213"/>
      <c r="F9" s="213"/>
      <c r="I9" s="112"/>
      <c r="J9" s="169">
        <f>90000000-60000000</f>
        <v>30000000</v>
      </c>
      <c r="K9" s="169" t="s">
        <v>1508</v>
      </c>
    </row>
    <row r="10" spans="1:14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I10" s="112"/>
      <c r="J10" s="169">
        <v>29774111.02</v>
      </c>
      <c r="K10" s="169" t="s">
        <v>1509</v>
      </c>
      <c r="L10" s="124"/>
    </row>
    <row r="11" spans="1:14" s="2" customFormat="1" ht="14.25" customHeight="1" x14ac:dyDescent="0.2">
      <c r="A11" s="89">
        <v>45301</v>
      </c>
      <c r="B11" s="9" t="s">
        <v>6</v>
      </c>
      <c r="C11" s="10" t="s">
        <v>7</v>
      </c>
      <c r="D11" s="11"/>
      <c r="F11" s="12">
        <v>26951638.02</v>
      </c>
      <c r="G11" s="1"/>
      <c r="H11" s="1"/>
      <c r="I11" s="130" t="s">
        <v>396</v>
      </c>
      <c r="J11" s="169">
        <f>+J9-J10</f>
        <v>225888.98000000045</v>
      </c>
      <c r="K11" s="169" t="s">
        <v>712</v>
      </c>
      <c r="L11" s="165" t="s">
        <v>1512</v>
      </c>
    </row>
    <row r="12" spans="1:14" s="2" customFormat="1" ht="14.25" customHeight="1" x14ac:dyDescent="0.2">
      <c r="A12" s="89">
        <v>45301</v>
      </c>
      <c r="B12" s="9" t="s">
        <v>11</v>
      </c>
      <c r="C12" s="76" t="s">
        <v>279</v>
      </c>
      <c r="D12" s="11" t="s">
        <v>29</v>
      </c>
      <c r="E12" s="31"/>
      <c r="F12" s="31">
        <v>1811401</v>
      </c>
      <c r="G12" s="1"/>
      <c r="H12" s="1"/>
      <c r="I12" s="130"/>
      <c r="J12" s="169"/>
      <c r="K12" s="169"/>
      <c r="L12" s="165"/>
    </row>
    <row r="13" spans="1:14" s="2" customFormat="1" ht="14.25" customHeight="1" x14ac:dyDescent="0.2">
      <c r="A13" s="89">
        <v>45301</v>
      </c>
      <c r="B13" s="9" t="s">
        <v>11</v>
      </c>
      <c r="C13" s="76" t="s">
        <v>63</v>
      </c>
      <c r="D13" s="11" t="s">
        <v>29</v>
      </c>
      <c r="E13" s="31"/>
      <c r="F13" s="31">
        <v>1000000</v>
      </c>
      <c r="G13" s="1"/>
      <c r="H13" s="1"/>
      <c r="I13" s="130"/>
      <c r="J13" s="169"/>
      <c r="K13" s="169"/>
      <c r="L13" s="165"/>
    </row>
    <row r="14" spans="1:14" s="2" customFormat="1" ht="14.25" customHeight="1" x14ac:dyDescent="0.2">
      <c r="A14" s="89">
        <v>45301</v>
      </c>
      <c r="B14" s="9" t="s">
        <v>11</v>
      </c>
      <c r="C14" s="76" t="s">
        <v>626</v>
      </c>
      <c r="D14" s="11" t="s">
        <v>29</v>
      </c>
      <c r="E14" s="31"/>
      <c r="F14" s="31">
        <v>11072</v>
      </c>
      <c r="G14" s="1"/>
      <c r="H14" s="1"/>
      <c r="I14" s="130"/>
      <c r="J14" s="169"/>
      <c r="K14" s="169"/>
      <c r="L14" s="165"/>
    </row>
    <row r="15" spans="1:14" s="2" customFormat="1" ht="14.25" customHeight="1" x14ac:dyDescent="0.2">
      <c r="D15" s="11" t="s">
        <v>8</v>
      </c>
      <c r="E15" s="16">
        <f>SUM(E12:E14)</f>
        <v>0</v>
      </c>
      <c r="F15" s="16">
        <f>SUM(F11:F14)</f>
        <v>29774111.02</v>
      </c>
      <c r="G15" s="1"/>
      <c r="H15" s="1"/>
      <c r="I15" s="143"/>
      <c r="J15" s="130"/>
      <c r="K15" s="143"/>
      <c r="L15" s="143"/>
      <c r="M15" s="143"/>
      <c r="N15" s="143"/>
    </row>
    <row r="16" spans="1:14" s="2" customFormat="1" ht="14.25" customHeight="1" x14ac:dyDescent="0.4">
      <c r="A16" s="17"/>
      <c r="B16" s="18"/>
      <c r="C16" s="96" t="s">
        <v>9</v>
      </c>
      <c r="D16" s="20"/>
      <c r="E16" s="21">
        <f>+F15-E15</f>
        <v>29774111.02</v>
      </c>
      <c r="G16" s="1"/>
      <c r="H16" s="1"/>
      <c r="J16" s="112"/>
      <c r="K16" s="153" t="s">
        <v>779</v>
      </c>
    </row>
    <row r="17" spans="1:15" s="2" customFormat="1" ht="14.25" customHeight="1" x14ac:dyDescent="0.2">
      <c r="A17" s="36"/>
      <c r="B17" s="28" t="s">
        <v>66</v>
      </c>
      <c r="C17" s="43" t="s">
        <v>1458</v>
      </c>
      <c r="D17" s="43"/>
      <c r="E17" s="12">
        <f>30000000+60000000</f>
        <v>90000000</v>
      </c>
      <c r="F17" s="22"/>
      <c r="G17" s="1"/>
      <c r="H17" s="1"/>
      <c r="J17" s="40">
        <v>29774111.02</v>
      </c>
      <c r="K17" s="154">
        <f>J17-E16</f>
        <v>0</v>
      </c>
    </row>
    <row r="18" spans="1:15" s="2" customFormat="1" ht="14.25" customHeight="1" x14ac:dyDescent="0.25">
      <c r="A18" s="36"/>
      <c r="B18" s="28"/>
      <c r="C18" s="44" t="s">
        <v>1541</v>
      </c>
      <c r="D18" s="43"/>
      <c r="E18" s="7">
        <f>+E16+E17</f>
        <v>119774111.02</v>
      </c>
      <c r="F18" s="22"/>
      <c r="G18" s="1"/>
      <c r="H18" s="1"/>
      <c r="I18" s="13" t="s">
        <v>1582</v>
      </c>
      <c r="J18" s="13" t="s">
        <v>1583</v>
      </c>
    </row>
    <row r="19" spans="1:15" s="2" customFormat="1" ht="14.25" customHeight="1" x14ac:dyDescent="0.25">
      <c r="A19" s="36"/>
      <c r="B19" s="28"/>
      <c r="C19" s="44" t="s">
        <v>1511</v>
      </c>
      <c r="D19" s="43"/>
      <c r="E19" s="38">
        <f>+J11+I7-J7</f>
        <v>225888.98000000045</v>
      </c>
      <c r="F19" s="22"/>
      <c r="G19" s="1"/>
      <c r="H19" s="1"/>
      <c r="I19" s="2">
        <v>18375</v>
      </c>
      <c r="J19" s="2">
        <v>1810990</v>
      </c>
      <c r="K19" s="176">
        <f>I19-J19</f>
        <v>-1792615</v>
      </c>
    </row>
    <row r="20" spans="1:15" s="2" customFormat="1" ht="14.25" customHeight="1" x14ac:dyDescent="0.2">
      <c r="A20" s="24"/>
      <c r="B20" s="1"/>
      <c r="C20" s="14"/>
      <c r="D20" s="25"/>
      <c r="G20" s="1"/>
      <c r="H20" s="1"/>
      <c r="J20" s="130"/>
      <c r="K20" s="130"/>
    </row>
    <row r="21" spans="1:15" s="2" customFormat="1" x14ac:dyDescent="0.2">
      <c r="A21" s="214" t="s">
        <v>10</v>
      </c>
      <c r="B21" s="214"/>
      <c r="C21" s="214"/>
      <c r="D21" s="214"/>
      <c r="E21" s="214"/>
      <c r="F21" s="214"/>
      <c r="G21" s="1"/>
      <c r="H21" s="1"/>
      <c r="I21" s="159"/>
      <c r="J21" s="160">
        <v>100000000</v>
      </c>
      <c r="K21" s="160" t="s">
        <v>1506</v>
      </c>
      <c r="L21" s="70"/>
    </row>
    <row r="22" spans="1:15" s="2" customFormat="1" ht="15" x14ac:dyDescent="0.35">
      <c r="A22" s="26" t="s">
        <v>1</v>
      </c>
      <c r="B22" s="27" t="s">
        <v>2</v>
      </c>
      <c r="C22" s="5"/>
      <c r="D22" s="6" t="s">
        <v>3</v>
      </c>
      <c r="E22" s="7" t="s">
        <v>4</v>
      </c>
      <c r="F22" s="7" t="s">
        <v>5</v>
      </c>
      <c r="G22" s="1"/>
      <c r="H22" s="1"/>
      <c r="I22" s="159"/>
      <c r="J22" s="179">
        <v>77890964.969999999</v>
      </c>
      <c r="K22" s="160" t="s">
        <v>1507</v>
      </c>
      <c r="L22" s="70" t="s">
        <v>1512</v>
      </c>
    </row>
    <row r="23" spans="1:15" s="2" customFormat="1" x14ac:dyDescent="0.2">
      <c r="A23" s="89">
        <v>45301</v>
      </c>
      <c r="B23" s="128" t="s">
        <v>11</v>
      </c>
      <c r="C23" s="29" t="s">
        <v>7</v>
      </c>
      <c r="D23" s="25"/>
      <c r="E23" s="31"/>
      <c r="F23" s="2">
        <v>83878689.149999976</v>
      </c>
      <c r="G23" s="23"/>
      <c r="H23" s="23"/>
      <c r="I23" s="159" t="s">
        <v>1505</v>
      </c>
      <c r="J23" s="160">
        <f>+J21-J22</f>
        <v>22109035.030000001</v>
      </c>
      <c r="K23" s="160"/>
      <c r="L23" s="70"/>
    </row>
    <row r="24" spans="1:15" s="2" customFormat="1" x14ac:dyDescent="0.2">
      <c r="A24" s="89">
        <v>45301</v>
      </c>
      <c r="B24" s="128" t="s">
        <v>6</v>
      </c>
      <c r="C24" s="76" t="s">
        <v>15</v>
      </c>
      <c r="D24" s="11" t="s">
        <v>13</v>
      </c>
      <c r="E24" s="31">
        <v>5838.7699999999995</v>
      </c>
      <c r="G24" s="23"/>
      <c r="H24" s="23"/>
      <c r="I24" s="159"/>
      <c r="J24" s="160"/>
      <c r="K24" s="160"/>
      <c r="L24" s="70"/>
    </row>
    <row r="25" spans="1:15" s="2" customFormat="1" x14ac:dyDescent="0.2">
      <c r="A25" s="89">
        <v>45301</v>
      </c>
      <c r="B25" s="128" t="s">
        <v>6</v>
      </c>
      <c r="C25" s="76" t="s">
        <v>1962</v>
      </c>
      <c r="D25" s="11" t="s">
        <v>13</v>
      </c>
      <c r="E25" s="31">
        <v>394</v>
      </c>
      <c r="F25" s="70"/>
      <c r="G25" s="1"/>
      <c r="H25" s="1"/>
      <c r="O25" s="1"/>
    </row>
    <row r="26" spans="1:15" s="2" customFormat="1" x14ac:dyDescent="0.2">
      <c r="A26" s="89">
        <v>45301</v>
      </c>
      <c r="B26" s="128" t="s">
        <v>6</v>
      </c>
      <c r="C26" s="76" t="s">
        <v>149</v>
      </c>
      <c r="D26" s="11" t="s">
        <v>13</v>
      </c>
      <c r="E26" s="31">
        <v>56275</v>
      </c>
      <c r="F26" s="70"/>
      <c r="G26" s="1"/>
      <c r="H26" s="1"/>
      <c r="O26" s="1"/>
    </row>
    <row r="27" spans="1:15" s="2" customFormat="1" x14ac:dyDescent="0.2">
      <c r="A27" s="89">
        <v>45301</v>
      </c>
      <c r="B27" s="128" t="s">
        <v>6</v>
      </c>
      <c r="C27" s="76" t="s">
        <v>765</v>
      </c>
      <c r="D27" s="11" t="s">
        <v>13</v>
      </c>
      <c r="E27" s="31">
        <v>5963643.3700000001</v>
      </c>
      <c r="F27" s="70"/>
      <c r="G27" s="1"/>
      <c r="H27" s="1"/>
      <c r="O27" s="1"/>
    </row>
    <row r="28" spans="1:15" s="2" customFormat="1" x14ac:dyDescent="0.2">
      <c r="A28" s="89">
        <v>45301</v>
      </c>
      <c r="B28" s="128" t="s">
        <v>6</v>
      </c>
      <c r="C28" s="76" t="s">
        <v>764</v>
      </c>
      <c r="D28" s="11" t="s">
        <v>13</v>
      </c>
      <c r="E28" s="31">
        <v>6139862.3300000001</v>
      </c>
      <c r="F28" s="70"/>
      <c r="G28" s="1"/>
      <c r="H28" s="1"/>
      <c r="O28" s="1"/>
    </row>
    <row r="29" spans="1:15" s="2" customFormat="1" x14ac:dyDescent="0.2">
      <c r="A29" s="89">
        <v>45301</v>
      </c>
      <c r="B29" s="128" t="s">
        <v>6</v>
      </c>
      <c r="C29" s="76" t="s">
        <v>749</v>
      </c>
      <c r="D29" s="11" t="s">
        <v>13</v>
      </c>
      <c r="E29" s="31">
        <v>1616804.9</v>
      </c>
      <c r="F29" s="70"/>
      <c r="G29" s="1"/>
      <c r="H29" s="1"/>
      <c r="O29" s="1"/>
    </row>
    <row r="30" spans="1:15" s="2" customFormat="1" x14ac:dyDescent="0.2">
      <c r="A30" s="89">
        <v>45301</v>
      </c>
      <c r="B30" s="128" t="s">
        <v>6</v>
      </c>
      <c r="C30" s="76" t="s">
        <v>748</v>
      </c>
      <c r="D30" s="11" t="s">
        <v>13</v>
      </c>
      <c r="E30" s="31">
        <v>1177569.3999999999</v>
      </c>
      <c r="F30" s="70"/>
      <c r="G30" s="1"/>
      <c r="H30" s="1"/>
      <c r="O30" s="1"/>
    </row>
    <row r="31" spans="1:15" s="2" customFormat="1" x14ac:dyDescent="0.2">
      <c r="A31" s="89">
        <v>45301</v>
      </c>
      <c r="B31" s="128" t="s">
        <v>6</v>
      </c>
      <c r="C31" s="76" t="s">
        <v>760</v>
      </c>
      <c r="D31" s="11" t="s">
        <v>13</v>
      </c>
      <c r="E31" s="31">
        <v>3411224.81</v>
      </c>
      <c r="F31" s="70"/>
      <c r="G31" s="1"/>
      <c r="H31" s="1"/>
      <c r="O31" s="1"/>
    </row>
    <row r="32" spans="1:15" s="2" customFormat="1" x14ac:dyDescent="0.2">
      <c r="A32" s="89">
        <v>45301</v>
      </c>
      <c r="B32" s="128" t="s">
        <v>6</v>
      </c>
      <c r="C32" s="76" t="s">
        <v>759</v>
      </c>
      <c r="D32" s="11" t="s">
        <v>13</v>
      </c>
      <c r="E32" s="31">
        <v>736004.03</v>
      </c>
      <c r="F32" s="70"/>
      <c r="G32" s="1"/>
      <c r="H32" s="1"/>
      <c r="O32" s="1"/>
    </row>
    <row r="33" spans="1:15" s="2" customFormat="1" x14ac:dyDescent="0.2">
      <c r="A33" s="89">
        <v>45301</v>
      </c>
      <c r="B33" s="128" t="s">
        <v>6</v>
      </c>
      <c r="C33" s="76" t="s">
        <v>1925</v>
      </c>
      <c r="D33" s="11" t="s">
        <v>13</v>
      </c>
      <c r="E33" s="31">
        <v>2368997.4900000002</v>
      </c>
      <c r="F33" s="70"/>
      <c r="G33" s="1"/>
      <c r="H33" s="1"/>
      <c r="O33" s="1"/>
    </row>
    <row r="34" spans="1:15" s="2" customFormat="1" x14ac:dyDescent="0.2">
      <c r="A34" s="89">
        <v>45301</v>
      </c>
      <c r="B34" s="128" t="s">
        <v>6</v>
      </c>
      <c r="C34" s="76" t="s">
        <v>17</v>
      </c>
      <c r="D34" s="11" t="s">
        <v>13</v>
      </c>
      <c r="E34" s="31">
        <v>21504</v>
      </c>
      <c r="F34" s="70"/>
      <c r="G34" s="1"/>
      <c r="H34" s="1"/>
      <c r="O34" s="1"/>
    </row>
    <row r="35" spans="1:15" s="2" customFormat="1" x14ac:dyDescent="0.2">
      <c r="A35" s="89">
        <v>45301</v>
      </c>
      <c r="B35" s="128" t="s">
        <v>6</v>
      </c>
      <c r="C35" s="76" t="s">
        <v>843</v>
      </c>
      <c r="D35" s="11" t="s">
        <v>13</v>
      </c>
      <c r="E35" s="31">
        <v>541439</v>
      </c>
      <c r="F35" s="70"/>
      <c r="G35" s="1"/>
      <c r="H35" s="1"/>
      <c r="O35" s="1"/>
    </row>
    <row r="36" spans="1:15" s="2" customFormat="1" x14ac:dyDescent="0.2">
      <c r="A36" s="89">
        <v>45301</v>
      </c>
      <c r="B36" s="128" t="s">
        <v>6</v>
      </c>
      <c r="C36" s="76" t="s">
        <v>1963</v>
      </c>
      <c r="D36" s="11" t="s">
        <v>13</v>
      </c>
      <c r="E36" s="31">
        <v>4620</v>
      </c>
      <c r="F36" s="70"/>
      <c r="G36" s="1"/>
      <c r="H36" s="1"/>
      <c r="O36" s="1"/>
    </row>
    <row r="37" spans="1:15" s="2" customFormat="1" x14ac:dyDescent="0.2">
      <c r="A37" s="89">
        <v>45301</v>
      </c>
      <c r="B37" s="128" t="s">
        <v>6</v>
      </c>
      <c r="C37" s="76" t="s">
        <v>332</v>
      </c>
      <c r="D37" s="11" t="s">
        <v>13</v>
      </c>
      <c r="E37" s="31">
        <v>23078</v>
      </c>
      <c r="F37" s="70"/>
      <c r="G37" s="1"/>
      <c r="H37" s="1"/>
      <c r="O37" s="1"/>
    </row>
    <row r="38" spans="1:15" s="2" customFormat="1" x14ac:dyDescent="0.2">
      <c r="A38" s="89">
        <v>45301</v>
      </c>
      <c r="B38" s="128" t="s">
        <v>6</v>
      </c>
      <c r="C38" s="76" t="s">
        <v>916</v>
      </c>
      <c r="D38" s="11" t="s">
        <v>13</v>
      </c>
      <c r="E38" s="31">
        <v>18375</v>
      </c>
      <c r="F38" s="70"/>
      <c r="G38" s="1"/>
      <c r="H38" s="1"/>
      <c r="O38" s="1"/>
    </row>
    <row r="39" spans="1:15" s="2" customFormat="1" x14ac:dyDescent="0.2">
      <c r="A39" s="89">
        <v>45301</v>
      </c>
      <c r="B39" s="128" t="s">
        <v>6</v>
      </c>
      <c r="C39" s="76" t="s">
        <v>316</v>
      </c>
      <c r="D39" s="11" t="s">
        <v>13</v>
      </c>
      <c r="E39" s="31">
        <v>140766</v>
      </c>
      <c r="F39" s="70"/>
      <c r="G39" s="1"/>
      <c r="H39" s="1"/>
      <c r="O39" s="1"/>
    </row>
    <row r="40" spans="1:15" s="2" customFormat="1" x14ac:dyDescent="0.2">
      <c r="A40" s="89">
        <v>45301</v>
      </c>
      <c r="B40" s="128" t="s">
        <v>6</v>
      </c>
      <c r="C40" s="76" t="s">
        <v>607</v>
      </c>
      <c r="D40" s="11" t="s">
        <v>13</v>
      </c>
      <c r="E40" s="31">
        <v>6300</v>
      </c>
      <c r="F40" s="70"/>
      <c r="G40" s="1"/>
      <c r="H40" s="1"/>
      <c r="O40" s="1"/>
    </row>
    <row r="41" spans="1:15" s="2" customFormat="1" x14ac:dyDescent="0.2">
      <c r="A41" s="89">
        <v>45301</v>
      </c>
      <c r="B41" s="128" t="s">
        <v>6</v>
      </c>
      <c r="C41" s="76" t="s">
        <v>1898</v>
      </c>
      <c r="D41" s="11" t="s">
        <v>13</v>
      </c>
      <c r="E41" s="31">
        <v>4770907.83</v>
      </c>
      <c r="F41" s="70"/>
      <c r="G41" s="1"/>
      <c r="H41" s="1"/>
      <c r="O41" s="1"/>
    </row>
    <row r="42" spans="1:15" s="2" customFormat="1" x14ac:dyDescent="0.2">
      <c r="A42" s="89">
        <v>45301</v>
      </c>
      <c r="B42" s="128" t="s">
        <v>6</v>
      </c>
      <c r="C42" s="76" t="s">
        <v>1964</v>
      </c>
      <c r="D42" s="11" t="s">
        <v>13</v>
      </c>
      <c r="E42" s="31">
        <v>50652</v>
      </c>
      <c r="F42" s="70"/>
      <c r="G42" s="1"/>
      <c r="H42" s="1"/>
      <c r="O42" s="1"/>
    </row>
    <row r="43" spans="1:15" s="2" customFormat="1" x14ac:dyDescent="0.2">
      <c r="A43" s="89">
        <v>45301</v>
      </c>
      <c r="B43" s="128" t="s">
        <v>6</v>
      </c>
      <c r="C43" s="76" t="s">
        <v>1839</v>
      </c>
      <c r="D43" s="11" t="s">
        <v>322</v>
      </c>
      <c r="E43" s="31">
        <v>29500</v>
      </c>
      <c r="F43" s="70"/>
      <c r="G43" s="1"/>
      <c r="H43" s="1"/>
      <c r="O43" s="1"/>
    </row>
    <row r="44" spans="1:15" s="2" customFormat="1" x14ac:dyDescent="0.2">
      <c r="A44" s="89">
        <v>45301</v>
      </c>
      <c r="B44" s="128" t="s">
        <v>11</v>
      </c>
      <c r="C44" s="76" t="s">
        <v>64</v>
      </c>
      <c r="D44" s="11" t="s">
        <v>29</v>
      </c>
      <c r="E44" s="31"/>
      <c r="F44" s="70">
        <v>21257.31</v>
      </c>
      <c r="G44" s="1"/>
      <c r="H44" s="1"/>
      <c r="O44" s="1"/>
    </row>
    <row r="45" spans="1:15" s="2" customFormat="1" x14ac:dyDescent="0.2">
      <c r="A45" s="89">
        <v>45301</v>
      </c>
      <c r="B45" s="128" t="s">
        <v>11</v>
      </c>
      <c r="C45" s="76" t="s">
        <v>1403</v>
      </c>
      <c r="D45" s="11" t="s">
        <v>29</v>
      </c>
      <c r="E45" s="31"/>
      <c r="F45" s="70">
        <v>7642568.1500000004</v>
      </c>
      <c r="G45" s="1"/>
      <c r="H45" s="1"/>
      <c r="O45" s="1"/>
    </row>
    <row r="46" spans="1:15" s="2" customFormat="1" x14ac:dyDescent="0.2">
      <c r="A46" s="89">
        <v>45301</v>
      </c>
      <c r="B46" s="128" t="s">
        <v>11</v>
      </c>
      <c r="C46" s="76" t="s">
        <v>735</v>
      </c>
      <c r="D46" s="11" t="s">
        <v>29</v>
      </c>
      <c r="E46" s="31"/>
      <c r="F46" s="70">
        <v>1848360</v>
      </c>
      <c r="G46" s="1"/>
      <c r="H46" s="1"/>
      <c r="O46" s="1"/>
    </row>
    <row r="47" spans="1:15" s="2" customFormat="1" x14ac:dyDescent="0.2">
      <c r="A47" s="89">
        <v>45301</v>
      </c>
      <c r="B47" s="128" t="s">
        <v>11</v>
      </c>
      <c r="C47" s="76" t="s">
        <v>216</v>
      </c>
      <c r="D47" s="11" t="s">
        <v>29</v>
      </c>
      <c r="E47" s="31"/>
      <c r="F47" s="70">
        <v>201889</v>
      </c>
      <c r="G47" s="1"/>
      <c r="H47" s="1"/>
      <c r="O47" s="1"/>
    </row>
    <row r="48" spans="1:15" s="2" customFormat="1" x14ac:dyDescent="0.2">
      <c r="A48" s="89">
        <v>45301</v>
      </c>
      <c r="B48" s="128" t="s">
        <v>11</v>
      </c>
      <c r="C48" s="76" t="s">
        <v>218</v>
      </c>
      <c r="D48" s="11" t="s">
        <v>29</v>
      </c>
      <c r="E48" s="31"/>
      <c r="F48" s="70">
        <v>53355</v>
      </c>
      <c r="G48" s="1"/>
      <c r="H48" s="1"/>
      <c r="O48" s="1"/>
    </row>
    <row r="49" spans="1:15" s="2" customFormat="1" x14ac:dyDescent="0.2">
      <c r="A49" s="89">
        <v>45301</v>
      </c>
      <c r="B49" s="128" t="s">
        <v>11</v>
      </c>
      <c r="C49" s="76" t="s">
        <v>217</v>
      </c>
      <c r="D49" s="11" t="s">
        <v>29</v>
      </c>
      <c r="E49" s="31"/>
      <c r="F49" s="70">
        <v>51995</v>
      </c>
      <c r="G49" s="1"/>
      <c r="H49" s="1"/>
      <c r="O49" s="1"/>
    </row>
    <row r="50" spans="1:15" s="2" customFormat="1" x14ac:dyDescent="0.2">
      <c r="A50" s="89">
        <v>45301</v>
      </c>
      <c r="B50" s="128" t="s">
        <v>11</v>
      </c>
      <c r="C50" s="76" t="s">
        <v>687</v>
      </c>
      <c r="D50" s="11" t="s">
        <v>29</v>
      </c>
      <c r="E50" s="31"/>
      <c r="F50" s="70">
        <v>1769997</v>
      </c>
      <c r="G50" s="1"/>
      <c r="H50" s="1"/>
      <c r="O50" s="1"/>
    </row>
    <row r="51" spans="1:15" s="2" customFormat="1" x14ac:dyDescent="0.2">
      <c r="A51" s="89">
        <v>45301</v>
      </c>
      <c r="B51" s="128" t="s">
        <v>11</v>
      </c>
      <c r="C51" s="76" t="s">
        <v>1181</v>
      </c>
      <c r="D51" s="11" t="s">
        <v>29</v>
      </c>
      <c r="E51" s="31"/>
      <c r="F51" s="70">
        <v>55480</v>
      </c>
      <c r="G51" s="1"/>
      <c r="H51" s="1"/>
      <c r="O51" s="1"/>
    </row>
    <row r="52" spans="1:15" s="2" customFormat="1" x14ac:dyDescent="0.2">
      <c r="A52" s="89">
        <v>45301</v>
      </c>
      <c r="B52" s="128" t="s">
        <v>11</v>
      </c>
      <c r="C52" s="76" t="s">
        <v>39</v>
      </c>
      <c r="D52" s="11" t="s">
        <v>29</v>
      </c>
      <c r="E52" s="31"/>
      <c r="F52" s="70">
        <v>186298</v>
      </c>
      <c r="G52" s="1"/>
      <c r="H52" s="1"/>
      <c r="O52" s="1"/>
    </row>
    <row r="53" spans="1:15" s="2" customFormat="1" x14ac:dyDescent="0.2">
      <c r="A53" s="89">
        <v>45301</v>
      </c>
      <c r="B53" s="128" t="s">
        <v>11</v>
      </c>
      <c r="C53" s="76" t="s">
        <v>1856</v>
      </c>
      <c r="D53" s="11" t="s">
        <v>29</v>
      </c>
      <c r="E53" s="31"/>
      <c r="F53" s="70">
        <v>75826.899999999994</v>
      </c>
      <c r="G53" s="1"/>
      <c r="H53" s="1"/>
      <c r="O53" s="1"/>
    </row>
    <row r="54" spans="1:15" s="2" customFormat="1" x14ac:dyDescent="0.2">
      <c r="A54" s="89">
        <v>45301</v>
      </c>
      <c r="B54" s="128" t="s">
        <v>11</v>
      </c>
      <c r="C54" s="76" t="s">
        <v>616</v>
      </c>
      <c r="D54" s="11" t="s">
        <v>29</v>
      </c>
      <c r="E54" s="31"/>
      <c r="F54" s="70">
        <v>92625</v>
      </c>
      <c r="G54" s="1"/>
      <c r="H54" s="1"/>
      <c r="O54" s="1"/>
    </row>
    <row r="55" spans="1:15" s="2" customFormat="1" x14ac:dyDescent="0.2">
      <c r="A55" s="89">
        <v>45301</v>
      </c>
      <c r="B55" s="128" t="s">
        <v>11</v>
      </c>
      <c r="C55" s="76" t="s">
        <v>33</v>
      </c>
      <c r="D55" s="11" t="s">
        <v>29</v>
      </c>
      <c r="E55" s="31"/>
      <c r="F55" s="70">
        <v>625860</v>
      </c>
      <c r="G55" s="1"/>
      <c r="H55" s="1"/>
      <c r="O55" s="1"/>
    </row>
    <row r="56" spans="1:15" s="2" customFormat="1" x14ac:dyDescent="0.2">
      <c r="A56" s="89">
        <v>45301</v>
      </c>
      <c r="B56" s="128" t="s">
        <v>11</v>
      </c>
      <c r="C56" s="76" t="s">
        <v>156</v>
      </c>
      <c r="D56" s="11" t="s">
        <v>29</v>
      </c>
      <c r="E56" s="31"/>
      <c r="F56" s="70">
        <v>1.98</v>
      </c>
      <c r="G56" s="1"/>
      <c r="H56" s="1"/>
      <c r="O56" s="1"/>
    </row>
    <row r="57" spans="1:15" s="2" customFormat="1" x14ac:dyDescent="0.2">
      <c r="A57" s="89">
        <v>45301</v>
      </c>
      <c r="B57" s="128" t="s">
        <v>11</v>
      </c>
      <c r="C57" s="76" t="s">
        <v>107</v>
      </c>
      <c r="D57" s="11" t="s">
        <v>29</v>
      </c>
      <c r="E57" s="31"/>
      <c r="F57" s="70">
        <v>210632.49</v>
      </c>
      <c r="G57" s="1"/>
      <c r="H57" s="1"/>
      <c r="O57" s="1"/>
    </row>
    <row r="58" spans="1:15" s="2" customFormat="1" x14ac:dyDescent="0.2">
      <c r="A58" s="89">
        <v>45301</v>
      </c>
      <c r="B58" s="128" t="s">
        <v>11</v>
      </c>
      <c r="C58" s="76" t="s">
        <v>723</v>
      </c>
      <c r="D58" s="11" t="s">
        <v>29</v>
      </c>
      <c r="E58" s="31"/>
      <c r="F58" s="70">
        <v>3067865.22</v>
      </c>
      <c r="G58" s="1"/>
      <c r="H58" s="1"/>
      <c r="O58" s="1"/>
    </row>
    <row r="59" spans="1:15" s="2" customFormat="1" x14ac:dyDescent="0.2">
      <c r="A59" s="89">
        <v>45301</v>
      </c>
      <c r="B59" s="128" t="s">
        <v>11</v>
      </c>
      <c r="C59" s="76" t="s">
        <v>1498</v>
      </c>
      <c r="D59" s="11" t="s">
        <v>29</v>
      </c>
      <c r="E59" s="31"/>
      <c r="F59" s="70">
        <v>6000</v>
      </c>
      <c r="G59" s="1"/>
      <c r="H59" s="1"/>
      <c r="O59" s="1"/>
    </row>
    <row r="60" spans="1:15" s="2" customFormat="1" x14ac:dyDescent="0.2">
      <c r="A60" s="89">
        <v>45301</v>
      </c>
      <c r="B60" s="128" t="s">
        <v>11</v>
      </c>
      <c r="C60" s="76" t="s">
        <v>698</v>
      </c>
      <c r="D60" s="11" t="s">
        <v>29</v>
      </c>
      <c r="E60" s="31"/>
      <c r="F60" s="70">
        <v>6270</v>
      </c>
      <c r="G60" s="1"/>
      <c r="H60" s="1"/>
      <c r="O60" s="1"/>
    </row>
    <row r="61" spans="1:15" s="2" customFormat="1" x14ac:dyDescent="0.2">
      <c r="A61" s="89">
        <v>45301</v>
      </c>
      <c r="B61" s="128" t="s">
        <v>11</v>
      </c>
      <c r="C61" s="76" t="s">
        <v>1965</v>
      </c>
      <c r="D61" s="11" t="s">
        <v>29</v>
      </c>
      <c r="E61" s="31"/>
      <c r="F61" s="70">
        <v>3835</v>
      </c>
      <c r="G61" s="1"/>
      <c r="H61" s="1"/>
      <c r="O61" s="1"/>
    </row>
    <row r="62" spans="1:15" s="2" customFormat="1" x14ac:dyDescent="0.2">
      <c r="A62" s="89">
        <v>45301</v>
      </c>
      <c r="B62" s="128" t="s">
        <v>11</v>
      </c>
      <c r="C62" s="76" t="s">
        <v>787</v>
      </c>
      <c r="D62" s="11" t="s">
        <v>29</v>
      </c>
      <c r="E62" s="31"/>
      <c r="F62" s="70">
        <v>2832</v>
      </c>
      <c r="G62" s="1"/>
      <c r="H62" s="1"/>
      <c r="O62" s="1"/>
    </row>
    <row r="63" spans="1:15" s="2" customFormat="1" x14ac:dyDescent="0.2">
      <c r="A63" s="89">
        <v>45301</v>
      </c>
      <c r="B63" s="128" t="s">
        <v>11</v>
      </c>
      <c r="C63" s="76" t="s">
        <v>57</v>
      </c>
      <c r="D63" s="11" t="s">
        <v>29</v>
      </c>
      <c r="E63" s="31"/>
      <c r="F63" s="70">
        <v>5500000</v>
      </c>
      <c r="G63" s="1"/>
      <c r="H63" s="1"/>
      <c r="O63" s="1"/>
    </row>
    <row r="64" spans="1:15" s="2" customFormat="1" x14ac:dyDescent="0.2">
      <c r="A64" s="89">
        <v>45301</v>
      </c>
      <c r="B64" s="128" t="s">
        <v>11</v>
      </c>
      <c r="C64" s="76" t="s">
        <v>1966</v>
      </c>
      <c r="D64" s="11" t="s">
        <v>29</v>
      </c>
      <c r="E64" s="31"/>
      <c r="F64" s="70">
        <v>22774</v>
      </c>
      <c r="G64" s="1"/>
      <c r="H64" s="1"/>
      <c r="O64" s="1"/>
    </row>
    <row r="65" spans="1:15" s="2" customFormat="1" x14ac:dyDescent="0.2">
      <c r="A65" s="89">
        <v>45301</v>
      </c>
      <c r="B65" s="128" t="s">
        <v>11</v>
      </c>
      <c r="C65" s="76" t="s">
        <v>242</v>
      </c>
      <c r="D65" s="11" t="s">
        <v>29</v>
      </c>
      <c r="E65" s="31"/>
      <c r="F65" s="70">
        <v>257201.96</v>
      </c>
      <c r="G65" s="1"/>
      <c r="H65" s="1"/>
      <c r="O65" s="1"/>
    </row>
    <row r="66" spans="1:15" s="2" customFormat="1" x14ac:dyDescent="0.2">
      <c r="A66" s="89">
        <v>45301</v>
      </c>
      <c r="B66" s="128" t="s">
        <v>11</v>
      </c>
      <c r="C66" s="76" t="s">
        <v>370</v>
      </c>
      <c r="D66" s="11" t="s">
        <v>29</v>
      </c>
      <c r="E66" s="31"/>
      <c r="F66" s="70">
        <v>28182</v>
      </c>
      <c r="G66" s="1"/>
      <c r="H66" s="1"/>
      <c r="O66" s="1"/>
    </row>
    <row r="67" spans="1:15" s="2" customFormat="1" x14ac:dyDescent="0.2">
      <c r="A67" s="89">
        <v>45301</v>
      </c>
      <c r="B67" s="128" t="s">
        <v>11</v>
      </c>
      <c r="C67" s="76" t="s">
        <v>382</v>
      </c>
      <c r="D67" s="11" t="s">
        <v>29</v>
      </c>
      <c r="E67" s="31"/>
      <c r="F67" s="70">
        <v>83557</v>
      </c>
      <c r="G67" s="1"/>
      <c r="H67" s="1"/>
      <c r="O67" s="1"/>
    </row>
    <row r="68" spans="1:15" s="2" customFormat="1" x14ac:dyDescent="0.2">
      <c r="A68" s="89">
        <v>45301</v>
      </c>
      <c r="B68" s="128" t="s">
        <v>11</v>
      </c>
      <c r="C68" s="76" t="s">
        <v>209</v>
      </c>
      <c r="D68" s="11" t="s">
        <v>29</v>
      </c>
      <c r="E68" s="31"/>
      <c r="F68" s="70">
        <v>50000</v>
      </c>
      <c r="G68" s="1"/>
      <c r="H68" s="1"/>
      <c r="O68" s="1"/>
    </row>
    <row r="69" spans="1:15" s="2" customFormat="1" x14ac:dyDescent="0.2">
      <c r="A69" s="89">
        <v>45301</v>
      </c>
      <c r="B69" s="128" t="s">
        <v>11</v>
      </c>
      <c r="C69" s="76" t="s">
        <v>109</v>
      </c>
      <c r="D69" s="11" t="s">
        <v>29</v>
      </c>
      <c r="E69" s="31"/>
      <c r="F69" s="70">
        <v>1012390</v>
      </c>
      <c r="G69" s="1"/>
      <c r="H69" s="1"/>
      <c r="O69" s="1"/>
    </row>
    <row r="70" spans="1:15" s="2" customFormat="1" x14ac:dyDescent="0.2">
      <c r="A70" s="89">
        <v>45301</v>
      </c>
      <c r="B70" s="128" t="s">
        <v>11</v>
      </c>
      <c r="C70" s="76" t="s">
        <v>1917</v>
      </c>
      <c r="D70" s="11" t="s">
        <v>29</v>
      </c>
      <c r="E70" s="31"/>
      <c r="F70" s="70">
        <v>11593.74</v>
      </c>
      <c r="G70" s="1"/>
      <c r="H70" s="1"/>
      <c r="O70" s="1"/>
    </row>
    <row r="71" spans="1:15" s="2" customFormat="1" x14ac:dyDescent="0.2">
      <c r="A71" s="32"/>
      <c r="B71" s="33"/>
      <c r="C71" s="14"/>
      <c r="D71" s="34"/>
      <c r="E71" s="16">
        <f>SUM(E23:E70)</f>
        <v>27083755.93</v>
      </c>
      <c r="F71" s="16">
        <f>SUM(F23:F70)</f>
        <v>106767335.89999998</v>
      </c>
      <c r="G71" s="1"/>
      <c r="H71" s="1"/>
      <c r="I71" s="1"/>
      <c r="J71" s="38">
        <v>79683579.969999999</v>
      </c>
      <c r="L71" s="92">
        <f>E72-J71</f>
        <v>0</v>
      </c>
      <c r="O71" s="1"/>
    </row>
    <row r="72" spans="1:15" s="2" customFormat="1" x14ac:dyDescent="0.2">
      <c r="A72" s="36"/>
      <c r="B72" s="28" t="s">
        <v>11</v>
      </c>
      <c r="C72" s="19" t="s">
        <v>65</v>
      </c>
      <c r="D72" s="37"/>
      <c r="E72" s="38">
        <f>F71-E71</f>
        <v>79683579.969999969</v>
      </c>
      <c r="F72" s="22"/>
      <c r="G72" s="1"/>
      <c r="H72" s="1"/>
      <c r="I72" s="1"/>
      <c r="J72" s="70"/>
      <c r="K72" s="70"/>
      <c r="L72" s="70"/>
      <c r="O72" s="1"/>
    </row>
    <row r="73" spans="1:15" s="2" customFormat="1" x14ac:dyDescent="0.2">
      <c r="A73" s="36"/>
      <c r="B73" s="28" t="s">
        <v>66</v>
      </c>
      <c r="C73" s="19" t="s">
        <v>67</v>
      </c>
      <c r="D73" s="37"/>
      <c r="E73" s="38">
        <v>11500000</v>
      </c>
      <c r="F73" s="22"/>
      <c r="G73" s="1"/>
      <c r="H73" s="1"/>
      <c r="I73" s="70"/>
      <c r="J73" s="70"/>
      <c r="K73" s="70"/>
      <c r="L73" s="70"/>
      <c r="O73" s="1"/>
    </row>
    <row r="74" spans="1:15" s="2" customFormat="1" x14ac:dyDescent="0.2">
      <c r="A74" s="36"/>
      <c r="B74" s="28" t="s">
        <v>66</v>
      </c>
      <c r="C74" s="43" t="s">
        <v>1457</v>
      </c>
      <c r="D74" s="43"/>
      <c r="E74" s="12">
        <v>400000000</v>
      </c>
      <c r="F74" s="22"/>
      <c r="G74" s="1"/>
      <c r="H74" s="1"/>
      <c r="I74" s="70"/>
      <c r="J74" s="45">
        <v>490.74</v>
      </c>
      <c r="K74" s="46"/>
      <c r="L74" s="46"/>
      <c r="O74" s="1"/>
    </row>
    <row r="75" spans="1:15" s="2" customFormat="1" ht="15" x14ac:dyDescent="0.25">
      <c r="A75" s="36"/>
      <c r="B75" s="28"/>
      <c r="C75" s="44" t="s">
        <v>1541</v>
      </c>
      <c r="D75" s="43"/>
      <c r="E75" s="7">
        <f>+E74+E72+E73</f>
        <v>491183579.96999997</v>
      </c>
      <c r="F75" s="22"/>
      <c r="G75" s="1"/>
      <c r="H75" s="1"/>
      <c r="I75" s="103" t="s">
        <v>69</v>
      </c>
      <c r="J75" s="45">
        <v>-47.29</v>
      </c>
      <c r="K75" s="46"/>
      <c r="L75" s="46"/>
      <c r="O75" s="1"/>
    </row>
    <row r="76" spans="1:15" s="2" customFormat="1" ht="15" x14ac:dyDescent="0.25">
      <c r="A76" s="24"/>
      <c r="B76" s="1"/>
      <c r="C76" s="44" t="s">
        <v>1510</v>
      </c>
      <c r="D76" s="25"/>
      <c r="E76" s="156">
        <f>+J23-E73+I19-J19</f>
        <v>8816420.0300000012</v>
      </c>
      <c r="G76" s="1"/>
      <c r="H76" s="1"/>
      <c r="I76" s="35">
        <v>1</v>
      </c>
      <c r="J76" s="45">
        <v>31.29</v>
      </c>
      <c r="K76" s="46">
        <f>+J77-D79</f>
        <v>0</v>
      </c>
      <c r="O76" s="1"/>
    </row>
    <row r="77" spans="1:15" s="124" customFormat="1" ht="12.75" customHeight="1" x14ac:dyDescent="0.2">
      <c r="A77" s="24"/>
      <c r="B77" s="1"/>
      <c r="C77" s="56"/>
      <c r="D77" s="56"/>
      <c r="E77" s="104"/>
      <c r="F77" s="2"/>
      <c r="G77" s="166"/>
      <c r="H77" s="166"/>
      <c r="I77" s="70"/>
      <c r="J77" s="49">
        <f>SUM(J74:J76)</f>
        <v>474.74</v>
      </c>
      <c r="K77" s="46"/>
      <c r="L77" s="46"/>
    </row>
    <row r="78" spans="1:15" s="124" customFormat="1" ht="12.75" customHeight="1" x14ac:dyDescent="0.2">
      <c r="A78" s="24"/>
      <c r="B78" s="1"/>
      <c r="C78" s="78" t="s">
        <v>575</v>
      </c>
      <c r="D78" s="48" t="s">
        <v>576</v>
      </c>
      <c r="E78" s="104"/>
      <c r="F78" s="2"/>
      <c r="G78" s="168"/>
      <c r="H78" s="168"/>
      <c r="I78" s="167"/>
      <c r="J78" s="167"/>
      <c r="K78" s="168"/>
    </row>
    <row r="79" spans="1:15" s="124" customFormat="1" ht="12.75" customHeight="1" x14ac:dyDescent="0.2">
      <c r="A79" s="24"/>
      <c r="B79" s="1"/>
      <c r="C79" s="47" t="s">
        <v>570</v>
      </c>
      <c r="D79" s="111">
        <v>474.74</v>
      </c>
      <c r="E79" s="104"/>
      <c r="F79" s="2"/>
      <c r="G79" s="168"/>
      <c r="H79" s="168"/>
      <c r="I79" s="110" t="s">
        <v>581</v>
      </c>
      <c r="J79" s="167"/>
      <c r="K79" s="168"/>
    </row>
    <row r="80" spans="1:15" s="124" customFormat="1" ht="12.75" customHeight="1" x14ac:dyDescent="0.2">
      <c r="A80" s="24"/>
      <c r="B80" s="1"/>
      <c r="C80" s="47" t="s">
        <v>931</v>
      </c>
      <c r="D80" s="111">
        <v>109.46</v>
      </c>
      <c r="E80" s="104"/>
      <c r="F80" s="2"/>
      <c r="G80" s="168"/>
      <c r="H80" s="168"/>
      <c r="I80" s="110" t="s">
        <v>580</v>
      </c>
      <c r="J80" s="167"/>
      <c r="K80" s="168"/>
    </row>
    <row r="81" spans="1:15" s="124" customFormat="1" ht="12.75" customHeight="1" x14ac:dyDescent="0.2">
      <c r="A81" s="24"/>
      <c r="B81" s="1"/>
      <c r="C81" s="47" t="s">
        <v>572</v>
      </c>
      <c r="D81" s="111">
        <f>+D108/100000</f>
        <v>228.3630134</v>
      </c>
      <c r="E81" s="104"/>
      <c r="F81" s="2"/>
      <c r="G81" s="166"/>
      <c r="H81" s="166"/>
      <c r="I81" s="90" t="s">
        <v>587</v>
      </c>
      <c r="J81" s="167"/>
      <c r="K81" s="168"/>
    </row>
    <row r="82" spans="1:15" s="2" customFormat="1" x14ac:dyDescent="0.2">
      <c r="A82" s="24"/>
      <c r="B82" s="1"/>
      <c r="C82" s="108" t="s">
        <v>578</v>
      </c>
      <c r="D82" s="48">
        <f>SUM(D79:D81)</f>
        <v>812.56301340000005</v>
      </c>
      <c r="E82" s="104"/>
      <c r="G82" s="30"/>
      <c r="H82" s="30"/>
      <c r="J82" s="13"/>
      <c r="K82" s="13"/>
    </row>
    <row r="83" spans="1:15" s="70" customFormat="1" x14ac:dyDescent="0.2">
      <c r="A83" s="24"/>
      <c r="B83" s="1"/>
      <c r="C83" s="47"/>
      <c r="D83" s="107"/>
      <c r="E83" s="104"/>
      <c r="F83" s="2"/>
      <c r="G83" s="30"/>
      <c r="H83" s="30"/>
      <c r="I83" s="2"/>
    </row>
    <row r="84" spans="1:15" s="70" customFormat="1" x14ac:dyDescent="0.2">
      <c r="A84" s="24"/>
      <c r="B84" s="1"/>
      <c r="C84" s="47" t="s">
        <v>932</v>
      </c>
      <c r="D84" s="111">
        <v>206.6</v>
      </c>
      <c r="E84" s="104"/>
      <c r="F84" s="2"/>
      <c r="G84" s="30"/>
      <c r="H84" s="30"/>
      <c r="I84" s="110" t="s">
        <v>581</v>
      </c>
    </row>
    <row r="85" spans="1:15" s="70" customFormat="1" x14ac:dyDescent="0.2">
      <c r="A85" s="24"/>
      <c r="B85" s="1"/>
      <c r="C85" s="136" t="s">
        <v>1142</v>
      </c>
      <c r="D85" s="111">
        <v>556.23</v>
      </c>
      <c r="E85" s="104"/>
      <c r="F85" s="2"/>
      <c r="G85" s="30"/>
      <c r="H85" s="30"/>
      <c r="I85" s="110" t="s">
        <v>581</v>
      </c>
    </row>
    <row r="86" spans="1:15" s="70" customFormat="1" x14ac:dyDescent="0.2">
      <c r="A86" s="24"/>
      <c r="B86" s="1"/>
      <c r="C86" s="78" t="s">
        <v>579</v>
      </c>
      <c r="D86" s="109">
        <f>D84+D85</f>
        <v>762.83</v>
      </c>
      <c r="E86" s="104"/>
      <c r="F86" s="2"/>
      <c r="G86" s="30"/>
      <c r="H86" s="30"/>
    </row>
    <row r="87" spans="1:15" s="70" customFormat="1" x14ac:dyDescent="0.2">
      <c r="A87" s="24"/>
      <c r="B87" s="1"/>
      <c r="C87" s="105"/>
      <c r="D87" s="106"/>
      <c r="E87" s="104"/>
      <c r="F87" s="2"/>
      <c r="G87" s="30"/>
      <c r="H87" s="30"/>
      <c r="J87" s="2"/>
      <c r="K87" s="221" t="str">
        <f>"FROM ( 01-01-2024 to "&amp;TEXT(A5,"dd-mm-yyyy")&amp;" )"</f>
        <v>FROM ( 01-01-2024 to 10-01-2024 )</v>
      </c>
      <c r="L87" s="221"/>
      <c r="M87" s="2"/>
      <c r="N87" s="2"/>
    </row>
    <row r="88" spans="1:15" s="70" customFormat="1" x14ac:dyDescent="0.2">
      <c r="A88" s="24"/>
      <c r="B88" s="1"/>
      <c r="C88" s="78" t="s">
        <v>577</v>
      </c>
      <c r="D88" s="109">
        <f>D79+D86</f>
        <v>1237.5700000000002</v>
      </c>
      <c r="E88" s="104"/>
      <c r="F88" s="2"/>
      <c r="G88" s="30"/>
      <c r="H88" s="30"/>
      <c r="J88" s="113"/>
      <c r="K88" s="113" t="s">
        <v>709</v>
      </c>
      <c r="L88" s="113" t="s">
        <v>710</v>
      </c>
      <c r="M88" s="113" t="s">
        <v>711</v>
      </c>
      <c r="N88" s="113" t="s">
        <v>712</v>
      </c>
    </row>
    <row r="89" spans="1:15" s="70" customFormat="1" x14ac:dyDescent="0.2">
      <c r="A89" s="24"/>
      <c r="B89" s="1"/>
      <c r="C89" s="56"/>
      <c r="D89" s="56"/>
      <c r="E89" s="104"/>
      <c r="F89" s="2"/>
      <c r="G89" s="30"/>
      <c r="H89" s="30"/>
      <c r="J89" s="113" t="s">
        <v>1860</v>
      </c>
      <c r="K89" s="115">
        <v>189.89</v>
      </c>
      <c r="L89" s="115">
        <v>56.31</v>
      </c>
      <c r="M89" s="115">
        <v>58.41</v>
      </c>
      <c r="N89" s="113">
        <f>+K89+M89-L89</f>
        <v>191.98999999999998</v>
      </c>
    </row>
    <row r="90" spans="1:15" s="70" customFormat="1" ht="38.25" x14ac:dyDescent="0.2">
      <c r="A90" s="24"/>
      <c r="B90" s="1"/>
      <c r="C90" s="79" t="str">
        <f>"Particulars ( 01-01-2024 to "&amp;TEXT(A5,"dd-mm-yyyy")&amp;" )"</f>
        <v>Particulars ( 01-01-2024 to 10-01-2024 )</v>
      </c>
      <c r="D90" s="79" t="s">
        <v>7</v>
      </c>
      <c r="E90" s="80" t="s">
        <v>73</v>
      </c>
      <c r="F90" s="80" t="s">
        <v>74</v>
      </c>
      <c r="G90" s="81" t="s">
        <v>75</v>
      </c>
      <c r="H90" s="80" t="s">
        <v>76</v>
      </c>
      <c r="J90" s="113" t="s">
        <v>1861</v>
      </c>
      <c r="K90" s="115">
        <v>1669.07</v>
      </c>
      <c r="L90" s="115">
        <v>228.36</v>
      </c>
      <c r="M90" s="115">
        <v>554.13</v>
      </c>
      <c r="N90" s="113">
        <f>+K90+M90-L90</f>
        <v>1994.8399999999997</v>
      </c>
    </row>
    <row r="91" spans="1:15" s="70" customFormat="1" x14ac:dyDescent="0.2">
      <c r="A91" s="24"/>
      <c r="B91" s="1"/>
      <c r="C91" s="50" t="s">
        <v>444</v>
      </c>
      <c r="D91" s="55">
        <f>+K91</f>
        <v>140.88</v>
      </c>
      <c r="E91" s="55">
        <f>+M91</f>
        <v>206.6</v>
      </c>
      <c r="F91" s="55">
        <f>+L91</f>
        <v>109.46</v>
      </c>
      <c r="G91" s="55">
        <f>+D91+E91-F91</f>
        <v>238.02000000000004</v>
      </c>
      <c r="H91" s="55">
        <f>1500-G91</f>
        <v>1261.98</v>
      </c>
      <c r="J91" s="113" t="s">
        <v>707</v>
      </c>
      <c r="K91" s="115">
        <v>140.88</v>
      </c>
      <c r="L91" s="115">
        <v>109.46</v>
      </c>
      <c r="M91" s="115">
        <v>206.6</v>
      </c>
      <c r="N91" s="113">
        <f>+K91+M91-L91</f>
        <v>238.02000000000004</v>
      </c>
    </row>
    <row r="92" spans="1:15" s="70" customFormat="1" ht="12.75" customHeight="1" x14ac:dyDescent="0.2">
      <c r="A92" s="24"/>
      <c r="B92" s="1"/>
      <c r="C92" s="50" t="s">
        <v>71</v>
      </c>
      <c r="D92" s="55">
        <f>+K89+K90</f>
        <v>1858.96</v>
      </c>
      <c r="E92" s="55">
        <f>+M89+M90</f>
        <v>612.54</v>
      </c>
      <c r="F92" s="55">
        <f>+L89+L90</f>
        <v>284.67</v>
      </c>
      <c r="G92" s="55">
        <f>+D92+E92-F92</f>
        <v>2186.83</v>
      </c>
      <c r="H92" s="55">
        <f>1500+700-G92</f>
        <v>13.170000000000073</v>
      </c>
      <c r="J92" s="2"/>
      <c r="K92" s="118">
        <f>SUM(K89:K91)</f>
        <v>1999.8400000000001</v>
      </c>
      <c r="L92" s="118">
        <f>SUM(L89:L91)</f>
        <v>394.13</v>
      </c>
      <c r="M92" s="118">
        <f>SUM(M89:M91)</f>
        <v>819.14</v>
      </c>
      <c r="N92" s="118">
        <f>SUM(N89:N91)</f>
        <v>2424.8499999999995</v>
      </c>
    </row>
    <row r="93" spans="1:15" s="70" customFormat="1" ht="12.75" customHeight="1" x14ac:dyDescent="0.2">
      <c r="A93" s="24"/>
      <c r="B93" s="1"/>
      <c r="C93" s="14"/>
      <c r="D93" s="56"/>
      <c r="E93" s="13"/>
      <c r="F93" s="2"/>
      <c r="G93" s="30"/>
      <c r="H93" s="30"/>
    </row>
    <row r="94" spans="1:15" s="70" customFormat="1" ht="12.75" customHeight="1" x14ac:dyDescent="0.2">
      <c r="A94" s="215" t="s">
        <v>80</v>
      </c>
      <c r="B94" s="216"/>
      <c r="C94" s="216"/>
      <c r="D94" s="217"/>
      <c r="E94" s="69"/>
      <c r="G94" s="30"/>
      <c r="H94" s="30"/>
    </row>
    <row r="95" spans="1:15" s="70" customFormat="1" ht="12.75" customHeight="1" x14ac:dyDescent="0.2">
      <c r="A95" s="71" t="s">
        <v>81</v>
      </c>
      <c r="B95" s="71"/>
      <c r="C95" s="72" t="s">
        <v>82</v>
      </c>
      <c r="D95" s="73" t="s">
        <v>83</v>
      </c>
      <c r="E95" s="69"/>
      <c r="G95" s="30"/>
      <c r="H95" s="30"/>
    </row>
    <row r="96" spans="1:15" s="70" customFormat="1" ht="12.75" customHeight="1" x14ac:dyDescent="0.2">
      <c r="A96" s="87">
        <v>45292</v>
      </c>
      <c r="B96" s="120" t="s">
        <v>6</v>
      </c>
      <c r="C96" s="75" t="s">
        <v>1933</v>
      </c>
      <c r="D96" s="88">
        <v>7583470</v>
      </c>
      <c r="E96" s="2"/>
      <c r="F96" s="2"/>
      <c r="G96" s="30"/>
      <c r="H96" s="30"/>
      <c r="I96" s="2"/>
      <c r="J96" s="2"/>
      <c r="K96" s="2"/>
      <c r="L96" s="2"/>
      <c r="M96" s="41"/>
      <c r="N96" s="42"/>
      <c r="O96" s="2"/>
    </row>
    <row r="97" spans="1:15" s="70" customFormat="1" ht="12.75" customHeight="1" x14ac:dyDescent="0.2">
      <c r="A97" s="87">
        <v>45293</v>
      </c>
      <c r="B97" s="120" t="s">
        <v>6</v>
      </c>
      <c r="C97" s="75" t="s">
        <v>1934</v>
      </c>
      <c r="D97" s="88">
        <v>124988</v>
      </c>
      <c r="E97" s="2"/>
      <c r="F97" s="2"/>
      <c r="G97" s="30"/>
      <c r="H97" s="30"/>
      <c r="I97" s="2"/>
      <c r="J97" s="2"/>
      <c r="K97" s="2"/>
      <c r="L97" s="2"/>
      <c r="M97" s="41"/>
      <c r="N97" s="42"/>
      <c r="O97" s="2"/>
    </row>
    <row r="98" spans="1:15" s="70" customFormat="1" ht="12.75" customHeight="1" x14ac:dyDescent="0.2">
      <c r="A98" s="87">
        <v>45294</v>
      </c>
      <c r="B98" s="120" t="s">
        <v>6</v>
      </c>
      <c r="C98" s="75" t="s">
        <v>606</v>
      </c>
      <c r="D98" s="88">
        <v>260191</v>
      </c>
      <c r="E98" s="2"/>
      <c r="F98" s="2"/>
      <c r="G98" s="30"/>
      <c r="H98" s="30"/>
      <c r="I98" s="2"/>
      <c r="J98" s="2"/>
      <c r="K98" s="2"/>
      <c r="L98" s="2"/>
      <c r="M98" s="41"/>
      <c r="N98" s="42"/>
      <c r="O98" s="2"/>
    </row>
    <row r="99" spans="1:15" s="70" customFormat="1" ht="12.75" customHeight="1" x14ac:dyDescent="0.2">
      <c r="A99" s="87">
        <v>45294</v>
      </c>
      <c r="B99" s="120" t="s">
        <v>6</v>
      </c>
      <c r="C99" s="75" t="s">
        <v>888</v>
      </c>
      <c r="D99" s="88">
        <v>2431991.34</v>
      </c>
      <c r="E99" s="2"/>
      <c r="F99" s="2"/>
      <c r="G99" s="30"/>
      <c r="H99" s="30"/>
      <c r="I99" s="2"/>
      <c r="J99" s="2"/>
      <c r="K99" s="2"/>
      <c r="L99" s="2"/>
      <c r="M99" s="41"/>
      <c r="N99" s="42"/>
      <c r="O99" s="2"/>
    </row>
    <row r="100" spans="1:15" s="70" customFormat="1" ht="12.75" customHeight="1" x14ac:dyDescent="0.2">
      <c r="A100" s="87">
        <v>45295</v>
      </c>
      <c r="B100" s="120" t="s">
        <v>6</v>
      </c>
      <c r="C100" s="75" t="s">
        <v>1944</v>
      </c>
      <c r="D100" s="88">
        <v>23655</v>
      </c>
      <c r="E100" s="2"/>
      <c r="F100" s="2"/>
      <c r="G100" s="30"/>
      <c r="H100" s="30"/>
      <c r="I100" s="2"/>
      <c r="J100" s="2"/>
      <c r="K100" s="2"/>
      <c r="L100" s="2"/>
      <c r="M100" s="41"/>
      <c r="N100" s="42"/>
      <c r="O100" s="2"/>
    </row>
    <row r="101" spans="1:15" s="70" customFormat="1" ht="12.75" customHeight="1" x14ac:dyDescent="0.2">
      <c r="A101" s="87">
        <v>45295</v>
      </c>
      <c r="B101" s="120" t="s">
        <v>6</v>
      </c>
      <c r="C101" s="75" t="s">
        <v>1944</v>
      </c>
      <c r="D101" s="88">
        <v>321576</v>
      </c>
      <c r="E101" s="2"/>
      <c r="F101" s="2"/>
      <c r="G101" s="30"/>
      <c r="H101" s="30"/>
      <c r="I101" s="2"/>
      <c r="J101" s="2"/>
      <c r="K101" s="2"/>
      <c r="L101" s="2"/>
      <c r="M101" s="41"/>
      <c r="N101" s="42"/>
      <c r="O101" s="2"/>
    </row>
    <row r="102" spans="1:15" s="70" customFormat="1" ht="12.75" customHeight="1" x14ac:dyDescent="0.2">
      <c r="A102" s="87">
        <v>45295</v>
      </c>
      <c r="B102" s="120" t="s">
        <v>6</v>
      </c>
      <c r="C102" s="75" t="s">
        <v>1944</v>
      </c>
      <c r="D102" s="88">
        <v>430832</v>
      </c>
      <c r="E102" s="2"/>
      <c r="F102" s="2"/>
      <c r="G102" s="30"/>
      <c r="H102" s="30"/>
      <c r="I102" s="2"/>
      <c r="J102" s="2"/>
      <c r="K102" s="2"/>
      <c r="L102" s="2"/>
      <c r="M102" s="41"/>
      <c r="N102" s="42"/>
      <c r="O102" s="2"/>
    </row>
    <row r="103" spans="1:15" s="70" customFormat="1" ht="12.75" customHeight="1" x14ac:dyDescent="0.2">
      <c r="A103" s="87">
        <v>45295</v>
      </c>
      <c r="B103" s="120" t="s">
        <v>6</v>
      </c>
      <c r="C103" s="75" t="s">
        <v>1934</v>
      </c>
      <c r="D103" s="88">
        <v>892589</v>
      </c>
      <c r="E103" s="2"/>
      <c r="F103" s="2"/>
      <c r="G103" s="30"/>
      <c r="H103" s="30"/>
      <c r="I103" s="2"/>
      <c r="J103" s="2"/>
      <c r="K103" s="2"/>
      <c r="L103" s="2"/>
      <c r="M103" s="41"/>
      <c r="N103" s="42"/>
      <c r="O103" s="2"/>
    </row>
    <row r="104" spans="1:15" s="70" customFormat="1" ht="12.75" customHeight="1" x14ac:dyDescent="0.2">
      <c r="A104" s="87">
        <v>45299</v>
      </c>
      <c r="B104" s="120" t="s">
        <v>6</v>
      </c>
      <c r="C104" s="75" t="s">
        <v>1933</v>
      </c>
      <c r="D104" s="88">
        <v>8143487</v>
      </c>
      <c r="E104" s="2"/>
      <c r="F104" s="2"/>
      <c r="G104" s="30"/>
      <c r="H104" s="30"/>
      <c r="I104" s="2"/>
      <c r="J104" s="2"/>
      <c r="K104" s="2"/>
      <c r="L104" s="2"/>
      <c r="M104" s="41"/>
      <c r="N104" s="42"/>
      <c r="O104" s="2"/>
    </row>
    <row r="105" spans="1:15" s="70" customFormat="1" ht="12.75" customHeight="1" x14ac:dyDescent="0.2">
      <c r="A105" s="87">
        <v>45299</v>
      </c>
      <c r="B105" s="120" t="s">
        <v>6</v>
      </c>
      <c r="C105" s="75" t="s">
        <v>606</v>
      </c>
      <c r="D105" s="88">
        <v>487316</v>
      </c>
      <c r="E105" s="2"/>
      <c r="F105" s="2"/>
      <c r="G105" s="30"/>
      <c r="H105" s="30"/>
      <c r="I105" s="2"/>
      <c r="J105" s="2"/>
      <c r="K105" s="2"/>
      <c r="L105" s="2"/>
      <c r="M105" s="41"/>
      <c r="N105" s="42"/>
      <c r="O105" s="2"/>
    </row>
    <row r="106" spans="1:15" s="70" customFormat="1" ht="12.75" customHeight="1" x14ac:dyDescent="0.2">
      <c r="A106" s="87">
        <v>45301</v>
      </c>
      <c r="B106" s="120" t="s">
        <v>6</v>
      </c>
      <c r="C106" s="75" t="s">
        <v>1933</v>
      </c>
      <c r="D106" s="88">
        <v>2690</v>
      </c>
      <c r="E106" s="2"/>
      <c r="F106" s="2"/>
      <c r="G106" s="30"/>
      <c r="H106" s="30"/>
      <c r="I106" s="2"/>
      <c r="J106" s="2"/>
      <c r="K106" s="2"/>
      <c r="L106" s="2"/>
      <c r="M106" s="41"/>
      <c r="N106" s="42"/>
      <c r="O106" s="2"/>
    </row>
    <row r="107" spans="1:15" s="70" customFormat="1" ht="12.75" customHeight="1" x14ac:dyDescent="0.2">
      <c r="A107" s="87">
        <v>45301</v>
      </c>
      <c r="B107" s="120" t="s">
        <v>6</v>
      </c>
      <c r="C107" s="75" t="s">
        <v>1933</v>
      </c>
      <c r="D107" s="88">
        <v>2133516</v>
      </c>
      <c r="E107" s="2"/>
      <c r="F107" s="2"/>
      <c r="G107" s="30"/>
      <c r="H107" s="30"/>
      <c r="I107" s="2"/>
      <c r="J107" s="2"/>
      <c r="K107" s="2"/>
      <c r="L107" s="2"/>
      <c r="M107" s="41"/>
      <c r="N107" s="42"/>
      <c r="O107" s="2"/>
    </row>
    <row r="108" spans="1:15" s="2" customFormat="1" x14ac:dyDescent="0.2">
      <c r="A108" s="87"/>
      <c r="B108" s="74"/>
      <c r="C108" s="75"/>
      <c r="D108" s="51">
        <f>SUM(D96:D107)</f>
        <v>22836301.34</v>
      </c>
      <c r="F108" s="2" t="s">
        <v>396</v>
      </c>
      <c r="G108" s="1"/>
      <c r="H108" s="1"/>
    </row>
    <row r="109" spans="1:15" s="2" customFormat="1" x14ac:dyDescent="0.2">
      <c r="A109" s="24"/>
      <c r="B109" s="1"/>
      <c r="C109" s="14"/>
      <c r="D109" s="56"/>
      <c r="E109" s="13"/>
      <c r="G109" s="1"/>
      <c r="H109" s="1"/>
    </row>
    <row r="110" spans="1:15" s="2" customFormat="1" x14ac:dyDescent="0.2">
      <c r="A110" s="24"/>
      <c r="B110" s="1"/>
      <c r="C110" s="218" t="s">
        <v>77</v>
      </c>
      <c r="D110" s="219"/>
      <c r="E110" s="219"/>
      <c r="F110" s="220"/>
      <c r="I110" s="2" t="s">
        <v>396</v>
      </c>
    </row>
    <row r="111" spans="1:15" s="2" customFormat="1" x14ac:dyDescent="0.2">
      <c r="A111" s="24"/>
      <c r="B111" s="1"/>
      <c r="C111" s="50"/>
      <c r="D111" s="57" t="s">
        <v>78</v>
      </c>
      <c r="E111" s="58" t="s">
        <v>79</v>
      </c>
      <c r="F111" s="57" t="s">
        <v>72</v>
      </c>
      <c r="I111" s="2" t="s">
        <v>396</v>
      </c>
    </row>
    <row r="112" spans="1:15" s="2" customFormat="1" x14ac:dyDescent="0.2">
      <c r="A112" s="24"/>
      <c r="B112" s="1"/>
      <c r="C112" s="59" t="str">
        <f>"01-01-2024 to "&amp;TEXT(A5-2,"dd-mm-yyyy")</f>
        <v>01-01-2024 to 08-01-2024</v>
      </c>
      <c r="D112" s="60">
        <v>603.07000000000005</v>
      </c>
      <c r="E112" s="60">
        <v>202.11</v>
      </c>
      <c r="F112" s="61">
        <f>SUM(D112:E112)</f>
        <v>805.18000000000006</v>
      </c>
    </row>
    <row r="113" spans="1:14" s="2" customFormat="1" x14ac:dyDescent="0.2">
      <c r="A113" s="24"/>
      <c r="B113" s="1"/>
      <c r="C113" s="62" t="str">
        <f>TEXT(A5-1,"dd-mm-yyyy")</f>
        <v>09-01-2024</v>
      </c>
      <c r="D113" s="60">
        <v>128.30000000000001</v>
      </c>
      <c r="E113" s="60">
        <v>9.0399999999999991</v>
      </c>
      <c r="F113" s="61">
        <f>SUM(D113:E113)</f>
        <v>137.34</v>
      </c>
      <c r="G113" s="1"/>
      <c r="H113" s="1"/>
      <c r="I113" s="53"/>
    </row>
    <row r="114" spans="1:14" s="2" customFormat="1" ht="13.5" thickBot="1" x14ac:dyDescent="0.25">
      <c r="A114" s="24"/>
      <c r="B114" s="1"/>
      <c r="C114" s="63" t="str">
        <f>"01-01-2024 to "&amp;TEXT(A5-1,"dd-mm-yyyy")</f>
        <v>01-01-2024 to 09-01-2024</v>
      </c>
      <c r="D114" s="64">
        <f>SUM(D112:D113)</f>
        <v>731.37000000000012</v>
      </c>
      <c r="E114" s="64">
        <f>SUM(E112:E113)</f>
        <v>211.15</v>
      </c>
      <c r="F114" s="64">
        <f>SUM(F112:F113)</f>
        <v>942.5200000000001</v>
      </c>
      <c r="G114" s="1"/>
      <c r="H114" s="1"/>
      <c r="I114" s="53"/>
    </row>
    <row r="115" spans="1:14" s="2" customFormat="1" ht="13.5" thickTop="1" x14ac:dyDescent="0.2">
      <c r="A115" s="24"/>
      <c r="B115" s="1"/>
      <c r="C115" s="62"/>
      <c r="D115" s="65"/>
      <c r="E115" s="66"/>
      <c r="F115" s="67"/>
      <c r="M115" s="1"/>
      <c r="N115" s="1"/>
    </row>
    <row r="116" spans="1:14" s="2" customFormat="1" x14ac:dyDescent="0.2">
      <c r="A116" s="24"/>
      <c r="B116" s="1"/>
      <c r="C116" s="62" t="str">
        <f>"01-04-2023 to " &amp;C113</f>
        <v>01-04-2023 to 09-01-2024</v>
      </c>
      <c r="D116" s="68">
        <f>+D114+34576.72</f>
        <v>35308.090000000004</v>
      </c>
      <c r="E116" s="68">
        <f>+E114+3831.86</f>
        <v>4043.01</v>
      </c>
      <c r="F116" s="68">
        <f>+F114+38408.58</f>
        <v>39351.1</v>
      </c>
      <c r="G116" s="1"/>
      <c r="H116" s="1"/>
      <c r="M116" s="1"/>
      <c r="N116" s="1"/>
    </row>
    <row r="117" spans="1:14" s="2" customFormat="1" x14ac:dyDescent="0.2">
      <c r="A117" s="24"/>
      <c r="B117" s="1"/>
      <c r="C117" s="52"/>
      <c r="D117" s="85"/>
      <c r="E117" s="53"/>
      <c r="F117" s="53"/>
      <c r="G117" s="1"/>
      <c r="H117" s="1"/>
      <c r="M117" s="1"/>
      <c r="N117" s="1"/>
    </row>
    <row r="118" spans="1:14" s="2" customFormat="1" x14ac:dyDescent="0.2">
      <c r="A118" s="24"/>
      <c r="B118" s="1"/>
      <c r="C118" s="52"/>
      <c r="D118" s="85"/>
      <c r="E118" s="53"/>
      <c r="F118" s="53"/>
      <c r="G118" s="1"/>
      <c r="H118" s="1"/>
      <c r="M118" s="1"/>
      <c r="N118" s="1"/>
    </row>
    <row r="119" spans="1:14" s="2" customFormat="1" x14ac:dyDescent="0.2">
      <c r="A119" s="24"/>
      <c r="B119" s="1"/>
      <c r="C119" s="52"/>
      <c r="D119" s="85"/>
      <c r="E119" s="53"/>
      <c r="F119" s="53"/>
      <c r="G119" s="1"/>
      <c r="H119" s="1"/>
      <c r="M119" s="1"/>
      <c r="N119" s="1"/>
    </row>
    <row r="120" spans="1:14" s="2" customFormat="1" x14ac:dyDescent="0.2">
      <c r="A120" s="24"/>
      <c r="B120" s="1"/>
      <c r="C120" s="52"/>
      <c r="D120" s="85"/>
      <c r="E120" s="53"/>
      <c r="F120" s="53"/>
      <c r="G120" s="1"/>
      <c r="H120" s="1"/>
      <c r="M120" s="1"/>
      <c r="N120" s="1"/>
    </row>
    <row r="121" spans="1:14" s="2" customFormat="1" x14ac:dyDescent="0.2">
      <c r="A121" s="24"/>
      <c r="B121" s="1"/>
      <c r="C121" s="14"/>
      <c r="D121" s="25">
        <f>SUM(D118:D120)</f>
        <v>0</v>
      </c>
      <c r="E121" s="2">
        <f>SUM(E118:E120)</f>
        <v>0</v>
      </c>
      <c r="G121" s="1"/>
      <c r="H121" s="1"/>
      <c r="M121" s="1"/>
      <c r="N121" s="1"/>
    </row>
    <row r="122" spans="1:14" s="2" customFormat="1" x14ac:dyDescent="0.2">
      <c r="A122" s="24"/>
      <c r="B122" s="1"/>
      <c r="C122" s="14"/>
      <c r="D122" s="25"/>
      <c r="G122" s="1"/>
      <c r="H122" s="1"/>
      <c r="M122" s="1"/>
      <c r="N122" s="1"/>
    </row>
    <row r="123" spans="1:14" s="2" customFormat="1" x14ac:dyDescent="0.2">
      <c r="A123" s="24"/>
      <c r="B123" s="1"/>
      <c r="C123" s="14"/>
      <c r="D123" s="25"/>
      <c r="G123" s="1"/>
      <c r="H123" s="1"/>
      <c r="M123" s="1"/>
      <c r="N123" s="1"/>
    </row>
    <row r="124" spans="1:14" s="2" customFormat="1" x14ac:dyDescent="0.2">
      <c r="A124" s="24"/>
      <c r="B124" s="1"/>
      <c r="C124" s="14"/>
      <c r="D124" s="25"/>
      <c r="G124" s="1"/>
      <c r="H124" s="1"/>
      <c r="M124" s="1"/>
      <c r="N124" s="1"/>
    </row>
    <row r="125" spans="1:14" s="2" customFormat="1" x14ac:dyDescent="0.2">
      <c r="A125" s="24"/>
      <c r="B125" s="1"/>
      <c r="C125" s="14"/>
      <c r="D125" s="25"/>
      <c r="G125" s="1"/>
      <c r="H125" s="1"/>
      <c r="M125" s="1"/>
      <c r="N125" s="1"/>
    </row>
    <row r="126" spans="1:14" s="2" customFormat="1" x14ac:dyDescent="0.2">
      <c r="A126" s="24"/>
      <c r="B126" s="1"/>
      <c r="C126" s="14"/>
      <c r="D126" s="25"/>
      <c r="G126" s="1"/>
      <c r="H126" s="1"/>
      <c r="M126" s="1"/>
      <c r="N126" s="1"/>
    </row>
    <row r="127" spans="1:14" s="2" customFormat="1" x14ac:dyDescent="0.2">
      <c r="A127" s="24"/>
      <c r="B127" s="1"/>
      <c r="C127" s="14"/>
      <c r="D127" s="25"/>
      <c r="G127" s="1"/>
      <c r="H127" s="1"/>
      <c r="M127" s="1"/>
      <c r="N127" s="1"/>
    </row>
    <row r="128" spans="1:14" s="2" customFormat="1" x14ac:dyDescent="0.2">
      <c r="A128" s="24"/>
      <c r="B128" s="1"/>
      <c r="C128" s="14"/>
      <c r="D128" s="25"/>
      <c r="G128" s="1"/>
      <c r="H128" s="1"/>
      <c r="M128" s="1"/>
      <c r="N128" s="1"/>
    </row>
    <row r="129" spans="1:15" s="2" customFormat="1" x14ac:dyDescent="0.2">
      <c r="A129" s="24"/>
      <c r="B129" s="1"/>
      <c r="C129" s="14"/>
      <c r="D129" s="25"/>
      <c r="G129" s="1"/>
      <c r="H129" s="1"/>
      <c r="M129" s="1"/>
      <c r="N129" s="1"/>
    </row>
    <row r="130" spans="1:15" s="2" customFormat="1" x14ac:dyDescent="0.2">
      <c r="A130" s="24"/>
      <c r="B130" s="1"/>
      <c r="C130" s="14"/>
      <c r="D130" s="25"/>
      <c r="G130" s="1"/>
      <c r="H130" s="1"/>
      <c r="M130" s="1"/>
      <c r="N130" s="1"/>
    </row>
    <row r="131" spans="1:15" s="2" customFormat="1" x14ac:dyDescent="0.2">
      <c r="A131" s="24"/>
      <c r="B131" s="1"/>
      <c r="C131" s="14"/>
      <c r="D131" s="25"/>
      <c r="G131" s="1"/>
      <c r="H131" s="1"/>
      <c r="M131" s="1"/>
      <c r="N131" s="1"/>
    </row>
    <row r="132" spans="1:15" s="2" customFormat="1" x14ac:dyDescent="0.2">
      <c r="A132" s="24"/>
      <c r="B132" s="1"/>
      <c r="C132" s="14"/>
      <c r="D132" s="25"/>
      <c r="G132" s="1"/>
      <c r="H132" s="1"/>
      <c r="M132" s="1"/>
      <c r="N132" s="1"/>
    </row>
    <row r="133" spans="1:15" s="2" customFormat="1" x14ac:dyDescent="0.2">
      <c r="A133" s="24"/>
      <c r="B133" s="1"/>
      <c r="C133" s="14"/>
      <c r="D133" s="25"/>
      <c r="G133" s="1"/>
      <c r="H133" s="1"/>
      <c r="M133" s="1"/>
      <c r="N133" s="1"/>
    </row>
    <row r="134" spans="1:15" s="2" customFormat="1" x14ac:dyDescent="0.2">
      <c r="A134" s="24"/>
      <c r="B134" s="1"/>
      <c r="C134" s="14"/>
      <c r="D134" s="25"/>
      <c r="G134" s="1"/>
      <c r="H134" s="1"/>
      <c r="M134" s="1"/>
      <c r="N134" s="1"/>
    </row>
    <row r="135" spans="1:15" s="2" customFormat="1" x14ac:dyDescent="0.2">
      <c r="A135" s="24"/>
      <c r="B135" s="1"/>
      <c r="C135" s="14"/>
      <c r="D135" s="25"/>
      <c r="G135" s="1"/>
      <c r="H135" s="1"/>
      <c r="J135" s="1"/>
      <c r="K135" s="1"/>
      <c r="L135" s="1"/>
      <c r="M135" s="1"/>
      <c r="N135" s="1"/>
    </row>
    <row r="136" spans="1:15" s="2" customFormat="1" x14ac:dyDescent="0.2">
      <c r="A136" s="24"/>
      <c r="B136" s="1"/>
      <c r="C136" s="14"/>
      <c r="D136" s="25"/>
      <c r="G136" s="1"/>
      <c r="H136" s="1"/>
    </row>
    <row r="137" spans="1:15" s="2" customFormat="1" x14ac:dyDescent="0.2">
      <c r="A137" s="24"/>
      <c r="B137" s="1"/>
      <c r="C137" s="14"/>
      <c r="D137" s="25"/>
      <c r="G137" s="1"/>
      <c r="H137" s="1"/>
      <c r="J137" s="1"/>
      <c r="K137" s="1"/>
      <c r="L137" s="1"/>
      <c r="M137" s="1"/>
      <c r="N137" s="1"/>
    </row>
    <row r="138" spans="1:15" s="2" customFormat="1" x14ac:dyDescent="0.2">
      <c r="A138" s="24"/>
      <c r="B138" s="1"/>
      <c r="C138" s="14"/>
      <c r="D138" s="25"/>
      <c r="G138" s="54"/>
      <c r="H138" s="54"/>
      <c r="J138" s="1"/>
      <c r="K138" s="1"/>
      <c r="L138" s="1"/>
      <c r="M138" s="1"/>
      <c r="N138" s="1"/>
    </row>
    <row r="139" spans="1:15" s="2" customFormat="1" x14ac:dyDescent="0.2">
      <c r="A139" s="24"/>
      <c r="B139" s="1"/>
      <c r="C139" s="14"/>
      <c r="D139" s="25"/>
      <c r="G139" s="54"/>
      <c r="H139" s="54"/>
      <c r="J139" s="1"/>
      <c r="K139" s="1"/>
      <c r="L139" s="1"/>
      <c r="M139" s="1"/>
      <c r="N139" s="1"/>
    </row>
    <row r="140" spans="1:15" s="2" customFormat="1" x14ac:dyDescent="0.2">
      <c r="A140" s="24"/>
      <c r="B140" s="1"/>
      <c r="C140" s="14"/>
      <c r="D140" s="25"/>
      <c r="G140" s="54"/>
      <c r="H140" s="54"/>
      <c r="J140" s="1"/>
      <c r="K140" s="1"/>
      <c r="L140" s="1"/>
      <c r="M140" s="1"/>
      <c r="N140" s="1"/>
    </row>
    <row r="141" spans="1:15" s="2" customFormat="1" x14ac:dyDescent="0.2">
      <c r="A141" s="24"/>
      <c r="B141" s="1"/>
      <c r="C141" s="14"/>
      <c r="D141" s="25"/>
      <c r="G141" s="54"/>
      <c r="H141" s="54"/>
      <c r="I141" s="2" t="s">
        <v>396</v>
      </c>
      <c r="J141" s="1"/>
      <c r="K141" s="1"/>
      <c r="L141" s="1"/>
      <c r="M141" s="1"/>
      <c r="N141" s="1"/>
      <c r="O141" s="1"/>
    </row>
    <row r="142" spans="1:15" s="2" customFormat="1" x14ac:dyDescent="0.2">
      <c r="A142" s="24"/>
      <c r="B142" s="1"/>
      <c r="C142" s="14"/>
      <c r="D142" s="25"/>
      <c r="G142" s="54"/>
      <c r="H142" s="54"/>
      <c r="I142" s="53"/>
    </row>
    <row r="143" spans="1:15" s="2" customFormat="1" x14ac:dyDescent="0.2">
      <c r="A143" s="24"/>
      <c r="B143" s="1"/>
      <c r="C143" s="14"/>
      <c r="D143" s="25"/>
      <c r="G143" s="54"/>
      <c r="H143" s="54"/>
      <c r="I143" s="53" t="s">
        <v>396</v>
      </c>
      <c r="J143" s="1"/>
      <c r="K143" s="1"/>
      <c r="L143" s="1"/>
      <c r="M143" s="1"/>
      <c r="N143" s="1"/>
      <c r="O143" s="1"/>
    </row>
    <row r="144" spans="1:15" x14ac:dyDescent="0.2">
      <c r="G144" s="54"/>
      <c r="H144" s="54"/>
      <c r="I144" s="53" t="s">
        <v>396</v>
      </c>
      <c r="K144" s="42"/>
    </row>
    <row r="145" spans="1:15" s="2" customFormat="1" x14ac:dyDescent="0.2">
      <c r="A145" s="24"/>
      <c r="B145" s="1"/>
      <c r="C145" s="14"/>
      <c r="D145" s="25"/>
      <c r="G145" s="54"/>
      <c r="H145" s="54"/>
      <c r="I145" s="53"/>
      <c r="J145" s="101"/>
      <c r="K145" s="1"/>
      <c r="L145" s="1"/>
      <c r="M145" s="1"/>
      <c r="N145" s="1"/>
      <c r="O145" s="1"/>
    </row>
    <row r="146" spans="1:15" x14ac:dyDescent="0.2">
      <c r="G146" s="54"/>
      <c r="H146" s="54"/>
      <c r="I146" s="53"/>
    </row>
    <row r="147" spans="1:15" x14ac:dyDescent="0.2">
      <c r="G147" s="54"/>
      <c r="H147" s="54"/>
      <c r="I147" s="53"/>
    </row>
    <row r="148" spans="1:15" x14ac:dyDescent="0.2">
      <c r="G148" s="54"/>
      <c r="H148" s="54"/>
      <c r="I148" s="53"/>
    </row>
  </sheetData>
  <sheetProtection insertRows="0"/>
  <mergeCells count="7">
    <mergeCell ref="K87:L87"/>
    <mergeCell ref="A94:D94"/>
    <mergeCell ref="C110:F110"/>
    <mergeCell ref="A1:H1"/>
    <mergeCell ref="A3:F3"/>
    <mergeCell ref="A9:F9"/>
    <mergeCell ref="A21:F21"/>
  </mergeCells>
  <conditionalFormatting sqref="H91:H92">
    <cfRule type="cellIs" dxfId="133" priority="1" operator="lessThan">
      <formula>0</formula>
    </cfRule>
  </conditionalFormatting>
  <conditionalFormatting sqref="C23">
    <cfRule type="duplicateValues" dxfId="132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000-000000000000}">
  <sheetPr codeName="Sheet520">
    <pageSetUpPr fitToPage="1"/>
  </sheetPr>
  <dimension ref="A1:O128"/>
  <sheetViews>
    <sheetView topLeftCell="A27" zoomScaleNormal="100" workbookViewId="0">
      <selection activeCell="E38" sqref="E38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12.85546875" style="1" customWidth="1"/>
    <col min="9" max="9" width="24.85546875" style="2" bestFit="1" customWidth="1"/>
    <col min="10" max="10" width="21.5703125" style="1" bestFit="1" customWidth="1"/>
    <col min="11" max="11" width="16.85546875" style="1" bestFit="1" customWidth="1"/>
    <col min="12" max="12" width="17.28515625" style="1" bestFit="1" customWidth="1"/>
    <col min="13" max="13" width="13.5703125" style="1" bestFit="1" customWidth="1"/>
    <col min="14" max="14" width="17.42578125" style="1" bestFit="1" customWidth="1"/>
    <col min="15" max="15" width="12.85546875" style="1" bestFit="1" customWidth="1"/>
    <col min="16" max="17" width="9.140625" style="1"/>
    <col min="18" max="18" width="15.5703125" style="1" bestFit="1" customWidth="1"/>
    <col min="19" max="16384" width="9.140625" style="1"/>
  </cols>
  <sheetData>
    <row r="1" spans="1:14" ht="20.25" customHeight="1" x14ac:dyDescent="0.4">
      <c r="A1" s="212" t="s">
        <v>1967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4" ht="12.75" customHeight="1" x14ac:dyDescent="0.4">
      <c r="I2" s="112"/>
      <c r="J2" s="112"/>
    </row>
    <row r="3" spans="1:14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4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4" s="2" customFormat="1" ht="14.25" customHeight="1" x14ac:dyDescent="0.4">
      <c r="A5" s="89">
        <v>45302</v>
      </c>
      <c r="B5" s="9" t="s">
        <v>6</v>
      </c>
      <c r="C5" s="10" t="s">
        <v>7</v>
      </c>
      <c r="D5" s="11"/>
      <c r="E5" s="12">
        <v>586241.23000000045</v>
      </c>
      <c r="F5" s="12"/>
      <c r="G5" s="1"/>
      <c r="H5" s="1"/>
      <c r="I5" s="112"/>
      <c r="J5" s="112"/>
    </row>
    <row r="6" spans="1:14" s="2" customFormat="1" ht="12.75" customHeight="1" x14ac:dyDescent="0.2">
      <c r="D6" s="15" t="s">
        <v>8</v>
      </c>
      <c r="E6" s="16">
        <f>SUM(E5:E5)</f>
        <v>586241.23000000045</v>
      </c>
      <c r="F6" s="16">
        <f>SUM(E6)</f>
        <v>586241.23000000045</v>
      </c>
      <c r="G6" s="1"/>
      <c r="H6" s="1"/>
      <c r="I6" s="13" t="s">
        <v>1582</v>
      </c>
      <c r="J6" s="13" t="s">
        <v>1583</v>
      </c>
    </row>
    <row r="7" spans="1:14" s="2" customFormat="1" ht="12.75" customHeight="1" x14ac:dyDescent="0.2">
      <c r="A7" s="17"/>
      <c r="B7" s="18"/>
      <c r="C7" s="19" t="s">
        <v>9</v>
      </c>
      <c r="D7" s="20"/>
      <c r="E7" s="21">
        <f>+E6-F6</f>
        <v>0</v>
      </c>
      <c r="F7" s="22"/>
      <c r="G7" s="23"/>
      <c r="H7" s="23"/>
      <c r="I7" s="2">
        <v>0</v>
      </c>
      <c r="K7" s="176">
        <f>I7-J7</f>
        <v>0</v>
      </c>
    </row>
    <row r="8" spans="1:14" ht="12.75" customHeight="1" x14ac:dyDescent="0.4">
      <c r="I8" s="112"/>
      <c r="J8" s="112"/>
    </row>
    <row r="9" spans="1:14" ht="18" customHeight="1" x14ac:dyDescent="0.4">
      <c r="A9" s="213" t="s">
        <v>1037</v>
      </c>
      <c r="B9" s="213"/>
      <c r="C9" s="213"/>
      <c r="D9" s="213"/>
      <c r="E9" s="213"/>
      <c r="F9" s="213"/>
      <c r="I9" s="112"/>
      <c r="J9" s="169">
        <f>90000000-60000000</f>
        <v>30000000</v>
      </c>
      <c r="K9" s="169" t="s">
        <v>1508</v>
      </c>
    </row>
    <row r="10" spans="1:14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I10" s="112"/>
      <c r="J10" s="169">
        <v>29874111.02</v>
      </c>
      <c r="K10" s="169" t="s">
        <v>1509</v>
      </c>
      <c r="L10" s="124"/>
    </row>
    <row r="11" spans="1:14" s="2" customFormat="1" ht="14.25" customHeight="1" x14ac:dyDescent="0.2">
      <c r="A11" s="89">
        <v>45302</v>
      </c>
      <c r="B11" s="9" t="s">
        <v>6</v>
      </c>
      <c r="C11" s="10" t="s">
        <v>7</v>
      </c>
      <c r="D11" s="11"/>
      <c r="F11" s="12">
        <v>29774111.02</v>
      </c>
      <c r="G11" s="1"/>
      <c r="H11" s="1"/>
      <c r="I11" s="130" t="s">
        <v>396</v>
      </c>
      <c r="J11" s="169">
        <f>+J9-J10</f>
        <v>125888.98000000045</v>
      </c>
      <c r="K11" s="169" t="s">
        <v>712</v>
      </c>
      <c r="L11" s="165" t="s">
        <v>1512</v>
      </c>
    </row>
    <row r="12" spans="1:14" s="2" customFormat="1" ht="14.25" customHeight="1" x14ac:dyDescent="0.2">
      <c r="A12" s="89">
        <v>45302</v>
      </c>
      <c r="B12" s="9" t="s">
        <v>11</v>
      </c>
      <c r="C12" s="76" t="s">
        <v>1968</v>
      </c>
      <c r="D12" s="11" t="s">
        <v>29</v>
      </c>
      <c r="E12" s="31"/>
      <c r="F12" s="31">
        <v>100000</v>
      </c>
      <c r="G12" s="1"/>
      <c r="H12" s="1"/>
      <c r="I12" s="130"/>
      <c r="J12" s="169"/>
      <c r="K12" s="169"/>
      <c r="L12" s="165"/>
    </row>
    <row r="13" spans="1:14" s="2" customFormat="1" ht="14.25" customHeight="1" x14ac:dyDescent="0.2">
      <c r="D13" s="11" t="s">
        <v>8</v>
      </c>
      <c r="E13" s="16">
        <f>SUM(E12:E12)</f>
        <v>0</v>
      </c>
      <c r="F13" s="16">
        <f>SUM(F11:F12)</f>
        <v>29874111.02</v>
      </c>
      <c r="G13" s="1"/>
      <c r="H13" s="1"/>
      <c r="I13" s="143"/>
      <c r="J13" s="130"/>
      <c r="K13" s="143"/>
      <c r="L13" s="143"/>
      <c r="M13" s="143"/>
      <c r="N13" s="143"/>
    </row>
    <row r="14" spans="1:14" s="2" customFormat="1" ht="14.25" customHeight="1" x14ac:dyDescent="0.4">
      <c r="A14" s="17"/>
      <c r="B14" s="18"/>
      <c r="C14" s="96" t="s">
        <v>9</v>
      </c>
      <c r="D14" s="20"/>
      <c r="E14" s="21">
        <f>+F13-E13</f>
        <v>29874111.02</v>
      </c>
      <c r="G14" s="1"/>
      <c r="H14" s="1"/>
      <c r="J14" s="112"/>
      <c r="K14" s="153" t="s">
        <v>779</v>
      </c>
    </row>
    <row r="15" spans="1:14" s="2" customFormat="1" ht="14.25" customHeight="1" x14ac:dyDescent="0.2">
      <c r="A15" s="36"/>
      <c r="B15" s="28" t="s">
        <v>66</v>
      </c>
      <c r="C15" s="43" t="s">
        <v>1458</v>
      </c>
      <c r="D15" s="43"/>
      <c r="E15" s="12">
        <f>30000000+60000000</f>
        <v>90000000</v>
      </c>
      <c r="F15" s="22"/>
      <c r="G15" s="1"/>
      <c r="H15" s="1"/>
      <c r="J15" s="40">
        <v>29874111.02</v>
      </c>
      <c r="K15" s="154">
        <f>J15-E14</f>
        <v>0</v>
      </c>
    </row>
    <row r="16" spans="1:14" s="2" customFormat="1" ht="14.25" customHeight="1" x14ac:dyDescent="0.25">
      <c r="A16" s="36"/>
      <c r="B16" s="28"/>
      <c r="C16" s="44" t="s">
        <v>1541</v>
      </c>
      <c r="D16" s="43"/>
      <c r="E16" s="7">
        <f>+E14+E15</f>
        <v>119874111.02</v>
      </c>
      <c r="F16" s="22"/>
      <c r="G16" s="1"/>
      <c r="H16" s="1"/>
      <c r="I16" s="13" t="s">
        <v>1582</v>
      </c>
      <c r="J16" s="13" t="s">
        <v>1583</v>
      </c>
    </row>
    <row r="17" spans="1:15" s="2" customFormat="1" ht="14.25" customHeight="1" x14ac:dyDescent="0.25">
      <c r="A17" s="36"/>
      <c r="B17" s="28"/>
      <c r="C17" s="44" t="s">
        <v>1511</v>
      </c>
      <c r="D17" s="43"/>
      <c r="E17" s="38">
        <f>+J11+I7-J7</f>
        <v>125888.98000000045</v>
      </c>
      <c r="F17" s="22"/>
      <c r="G17" s="1"/>
      <c r="H17" s="1"/>
      <c r="I17" s="2">
        <v>40598</v>
      </c>
      <c r="J17" s="2">
        <v>3715093</v>
      </c>
      <c r="K17" s="176">
        <f>I17-J17</f>
        <v>-3674495</v>
      </c>
    </row>
    <row r="18" spans="1:15" s="2" customFormat="1" ht="14.25" customHeight="1" x14ac:dyDescent="0.2">
      <c r="A18" s="24"/>
      <c r="B18" s="1"/>
      <c r="C18" s="14"/>
      <c r="D18" s="25"/>
      <c r="G18" s="1"/>
      <c r="H18" s="1"/>
      <c r="J18" s="130"/>
      <c r="K18" s="130"/>
    </row>
    <row r="19" spans="1:15" s="2" customFormat="1" x14ac:dyDescent="0.2">
      <c r="A19" s="214" t="s">
        <v>10</v>
      </c>
      <c r="B19" s="214"/>
      <c r="C19" s="214"/>
      <c r="D19" s="214"/>
      <c r="E19" s="214"/>
      <c r="F19" s="214"/>
      <c r="G19" s="1"/>
      <c r="H19" s="1"/>
      <c r="I19" s="159"/>
      <c r="J19" s="160">
        <v>100000000</v>
      </c>
      <c r="K19" s="160" t="s">
        <v>1506</v>
      </c>
      <c r="L19" s="70"/>
    </row>
    <row r="20" spans="1:15" s="2" customFormat="1" ht="15" x14ac:dyDescent="0.35">
      <c r="A20" s="26" t="s">
        <v>1</v>
      </c>
      <c r="B20" s="27" t="s">
        <v>2</v>
      </c>
      <c r="C20" s="5"/>
      <c r="D20" s="6" t="s">
        <v>3</v>
      </c>
      <c r="E20" s="7" t="s">
        <v>4</v>
      </c>
      <c r="F20" s="7" t="s">
        <v>5</v>
      </c>
      <c r="G20" s="1"/>
      <c r="H20" s="1"/>
      <c r="I20" s="159"/>
      <c r="J20" s="179">
        <v>84623700.390000001</v>
      </c>
      <c r="K20" s="160" t="s">
        <v>1507</v>
      </c>
      <c r="L20" s="70" t="s">
        <v>1512</v>
      </c>
    </row>
    <row r="21" spans="1:15" s="2" customFormat="1" x14ac:dyDescent="0.2">
      <c r="A21" s="89">
        <v>45302</v>
      </c>
      <c r="B21" s="128" t="s">
        <v>11</v>
      </c>
      <c r="C21" s="29" t="s">
        <v>7</v>
      </c>
      <c r="D21" s="25"/>
      <c r="E21" s="31"/>
      <c r="F21" s="2">
        <v>79683579.969999969</v>
      </c>
      <c r="G21" s="23"/>
      <c r="H21" s="23"/>
      <c r="I21" s="159" t="s">
        <v>1505</v>
      </c>
      <c r="J21" s="160">
        <f>+J19-J20</f>
        <v>15376299.609999999</v>
      </c>
      <c r="K21" s="160"/>
      <c r="L21" s="70"/>
    </row>
    <row r="22" spans="1:15" s="2" customFormat="1" x14ac:dyDescent="0.2">
      <c r="A22" s="89">
        <v>45302</v>
      </c>
      <c r="B22" s="128" t="s">
        <v>6</v>
      </c>
      <c r="C22" s="76" t="s">
        <v>667</v>
      </c>
      <c r="D22" s="11" t="s">
        <v>13</v>
      </c>
      <c r="E22" s="31">
        <v>24878</v>
      </c>
      <c r="G22" s="23"/>
      <c r="H22" s="23"/>
      <c r="I22" s="159"/>
      <c r="J22" s="160"/>
      <c r="K22" s="160"/>
      <c r="L22" s="70"/>
    </row>
    <row r="23" spans="1:15" s="2" customFormat="1" x14ac:dyDescent="0.2">
      <c r="A23" s="89">
        <v>45302</v>
      </c>
      <c r="B23" s="128" t="s">
        <v>6</v>
      </c>
      <c r="C23" s="76" t="s">
        <v>121</v>
      </c>
      <c r="D23" s="11" t="s">
        <v>13</v>
      </c>
      <c r="E23" s="31">
        <v>700000</v>
      </c>
      <c r="F23" s="70"/>
      <c r="G23" s="1"/>
      <c r="H23" s="1"/>
      <c r="O23" s="1"/>
    </row>
    <row r="24" spans="1:15" s="2" customFormat="1" x14ac:dyDescent="0.2">
      <c r="A24" s="89">
        <v>45302</v>
      </c>
      <c r="B24" s="128" t="s">
        <v>6</v>
      </c>
      <c r="C24" s="76" t="s">
        <v>1808</v>
      </c>
      <c r="D24" s="11" t="s">
        <v>13</v>
      </c>
      <c r="E24" s="31">
        <v>1117712</v>
      </c>
      <c r="F24" s="70"/>
      <c r="G24" s="1"/>
      <c r="H24" s="1"/>
      <c r="O24" s="1"/>
    </row>
    <row r="25" spans="1:15" s="2" customFormat="1" x14ac:dyDescent="0.2">
      <c r="A25" s="89">
        <v>45302</v>
      </c>
      <c r="B25" s="128" t="s">
        <v>6</v>
      </c>
      <c r="C25" s="76" t="s">
        <v>1969</v>
      </c>
      <c r="D25" s="11" t="s">
        <v>13</v>
      </c>
      <c r="E25" s="31">
        <v>1901900.79</v>
      </c>
      <c r="F25" s="70"/>
      <c r="G25" s="1"/>
      <c r="H25" s="1"/>
      <c r="O25" s="1"/>
    </row>
    <row r="26" spans="1:15" s="2" customFormat="1" x14ac:dyDescent="0.2">
      <c r="A26" s="89">
        <v>45302</v>
      </c>
      <c r="B26" s="128" t="s">
        <v>6</v>
      </c>
      <c r="C26" s="76" t="s">
        <v>26</v>
      </c>
      <c r="D26" s="11" t="s">
        <v>13</v>
      </c>
      <c r="E26" s="31">
        <v>1571783.49</v>
      </c>
      <c r="F26" s="70"/>
      <c r="G26" s="1"/>
      <c r="H26" s="1"/>
      <c r="O26" s="1"/>
    </row>
    <row r="27" spans="1:15" s="2" customFormat="1" x14ac:dyDescent="0.2">
      <c r="A27" s="89">
        <v>45302</v>
      </c>
      <c r="B27" s="128" t="s">
        <v>6</v>
      </c>
      <c r="C27" s="76" t="s">
        <v>480</v>
      </c>
      <c r="D27" s="11" t="s">
        <v>13</v>
      </c>
      <c r="E27" s="31">
        <v>444000</v>
      </c>
      <c r="F27" s="70"/>
      <c r="G27" s="1"/>
      <c r="H27" s="1"/>
      <c r="O27" s="1"/>
    </row>
    <row r="28" spans="1:15" s="2" customFormat="1" x14ac:dyDescent="0.2">
      <c r="A28" s="89">
        <v>45302</v>
      </c>
      <c r="B28" s="128" t="s">
        <v>6</v>
      </c>
      <c r="C28" s="76" t="s">
        <v>332</v>
      </c>
      <c r="D28" s="11" t="s">
        <v>13</v>
      </c>
      <c r="E28" s="31">
        <v>39652</v>
      </c>
      <c r="F28" s="70"/>
      <c r="G28" s="1"/>
      <c r="H28" s="1"/>
      <c r="O28" s="1"/>
    </row>
    <row r="29" spans="1:15" s="2" customFormat="1" x14ac:dyDescent="0.2">
      <c r="A29" s="89">
        <v>45302</v>
      </c>
      <c r="B29" s="128" t="s">
        <v>6</v>
      </c>
      <c r="C29" s="76" t="s">
        <v>771</v>
      </c>
      <c r="D29" s="11" t="s">
        <v>13</v>
      </c>
      <c r="E29" s="31">
        <v>639384</v>
      </c>
      <c r="F29" s="70"/>
      <c r="G29" s="1"/>
      <c r="H29" s="1"/>
      <c r="O29" s="1"/>
    </row>
    <row r="30" spans="1:15" s="2" customFormat="1" x14ac:dyDescent="0.2">
      <c r="A30" s="89">
        <v>45302</v>
      </c>
      <c r="B30" s="128" t="s">
        <v>6</v>
      </c>
      <c r="C30" s="76" t="s">
        <v>418</v>
      </c>
      <c r="D30" s="11" t="s">
        <v>13</v>
      </c>
      <c r="E30" s="31">
        <v>22223</v>
      </c>
      <c r="F30" s="70"/>
      <c r="G30" s="1"/>
      <c r="H30" s="1"/>
      <c r="O30" s="1"/>
    </row>
    <row r="31" spans="1:15" s="2" customFormat="1" x14ac:dyDescent="0.2">
      <c r="A31" s="89">
        <v>45302</v>
      </c>
      <c r="B31" s="128" t="s">
        <v>6</v>
      </c>
      <c r="C31" s="76" t="s">
        <v>103</v>
      </c>
      <c r="D31" s="11" t="s">
        <v>13</v>
      </c>
      <c r="E31" s="31">
        <v>131175</v>
      </c>
      <c r="F31" s="70"/>
      <c r="G31" s="1"/>
      <c r="H31" s="1"/>
      <c r="O31" s="1"/>
    </row>
    <row r="32" spans="1:15" s="2" customFormat="1" x14ac:dyDescent="0.2">
      <c r="A32" s="89">
        <v>45302</v>
      </c>
      <c r="B32" s="128" t="s">
        <v>6</v>
      </c>
      <c r="C32" s="76" t="s">
        <v>1970</v>
      </c>
      <c r="D32" s="11" t="s">
        <v>13</v>
      </c>
      <c r="E32" s="31">
        <v>24108</v>
      </c>
      <c r="F32" s="70"/>
      <c r="G32" s="1"/>
      <c r="H32" s="1"/>
      <c r="O32" s="1"/>
    </row>
    <row r="33" spans="1:15" s="2" customFormat="1" x14ac:dyDescent="0.2">
      <c r="A33" s="89">
        <v>45302</v>
      </c>
      <c r="B33" s="128" t="s">
        <v>6</v>
      </c>
      <c r="C33" s="76" t="s">
        <v>1959</v>
      </c>
      <c r="D33" s="11" t="s">
        <v>13</v>
      </c>
      <c r="E33" s="31">
        <v>26851</v>
      </c>
      <c r="F33" s="70"/>
      <c r="G33" s="1"/>
      <c r="H33" s="1"/>
      <c r="O33" s="1"/>
    </row>
    <row r="34" spans="1:15" s="2" customFormat="1" x14ac:dyDescent="0.2">
      <c r="A34" s="89">
        <v>45302</v>
      </c>
      <c r="B34" s="128" t="s">
        <v>6</v>
      </c>
      <c r="C34" s="76" t="s">
        <v>27</v>
      </c>
      <c r="D34" s="11" t="s">
        <v>13</v>
      </c>
      <c r="E34" s="31">
        <v>204566</v>
      </c>
      <c r="F34" s="70"/>
      <c r="G34" s="1"/>
      <c r="H34" s="1"/>
      <c r="O34" s="1"/>
    </row>
    <row r="35" spans="1:15" s="2" customFormat="1" x14ac:dyDescent="0.2">
      <c r="A35" s="89">
        <v>45302</v>
      </c>
      <c r="B35" s="128" t="s">
        <v>6</v>
      </c>
      <c r="C35" s="76" t="s">
        <v>611</v>
      </c>
      <c r="D35" s="11" t="s">
        <v>13</v>
      </c>
      <c r="E35" s="31">
        <v>52495</v>
      </c>
      <c r="F35" s="70"/>
      <c r="G35" s="1"/>
      <c r="H35" s="1"/>
      <c r="O35" s="1"/>
    </row>
    <row r="36" spans="1:15" s="2" customFormat="1" x14ac:dyDescent="0.2">
      <c r="A36" s="89">
        <v>45302</v>
      </c>
      <c r="B36" s="128" t="s">
        <v>6</v>
      </c>
      <c r="C36" s="76" t="s">
        <v>807</v>
      </c>
      <c r="D36" s="11" t="s">
        <v>13</v>
      </c>
      <c r="E36" s="31">
        <v>53585</v>
      </c>
      <c r="F36" s="70"/>
      <c r="G36" s="1"/>
      <c r="H36" s="1"/>
      <c r="O36" s="1"/>
    </row>
    <row r="37" spans="1:15" s="2" customFormat="1" x14ac:dyDescent="0.2">
      <c r="A37" s="89">
        <v>45302</v>
      </c>
      <c r="B37" s="128" t="s">
        <v>6</v>
      </c>
      <c r="C37" s="76" t="s">
        <v>15</v>
      </c>
      <c r="D37" s="11" t="s">
        <v>13</v>
      </c>
      <c r="E37" s="31">
        <v>37422.370000000003</v>
      </c>
      <c r="F37" s="70"/>
      <c r="G37" s="1"/>
      <c r="H37" s="1"/>
      <c r="O37" s="1"/>
    </row>
    <row r="38" spans="1:15" s="2" customFormat="1" x14ac:dyDescent="0.2">
      <c r="A38" s="89">
        <v>45302</v>
      </c>
      <c r="B38" s="128" t="s">
        <v>6</v>
      </c>
      <c r="C38" s="76" t="s">
        <v>16</v>
      </c>
      <c r="D38" s="11" t="s">
        <v>13</v>
      </c>
      <c r="E38" s="31">
        <v>99225</v>
      </c>
      <c r="F38" s="70"/>
      <c r="G38" s="1"/>
      <c r="H38" s="1"/>
      <c r="O38" s="1"/>
    </row>
    <row r="39" spans="1:15" s="2" customFormat="1" x14ac:dyDescent="0.2">
      <c r="A39" s="89">
        <v>45302</v>
      </c>
      <c r="B39" s="128" t="s">
        <v>11</v>
      </c>
      <c r="C39" s="76" t="s">
        <v>15</v>
      </c>
      <c r="D39" s="11" t="s">
        <v>29</v>
      </c>
      <c r="E39" s="31"/>
      <c r="F39" s="70">
        <v>3184.71</v>
      </c>
      <c r="G39" s="1"/>
      <c r="H39" s="1"/>
      <c r="O39" s="1"/>
    </row>
    <row r="40" spans="1:15" s="2" customFormat="1" x14ac:dyDescent="0.2">
      <c r="A40" s="89">
        <v>45302</v>
      </c>
      <c r="B40" s="128" t="s">
        <v>11</v>
      </c>
      <c r="C40" s="76" t="s">
        <v>64</v>
      </c>
      <c r="D40" s="11" t="s">
        <v>29</v>
      </c>
      <c r="E40" s="31"/>
      <c r="F40" s="70">
        <v>15904.299999999997</v>
      </c>
      <c r="G40" s="1"/>
      <c r="H40" s="1"/>
      <c r="O40" s="1"/>
    </row>
    <row r="41" spans="1:15" s="2" customFormat="1" x14ac:dyDescent="0.2">
      <c r="A41" s="89">
        <v>45302</v>
      </c>
      <c r="B41" s="128" t="s">
        <v>11</v>
      </c>
      <c r="C41" s="76" t="s">
        <v>16</v>
      </c>
      <c r="D41" s="11" t="s">
        <v>29</v>
      </c>
      <c r="E41" s="31"/>
      <c r="F41" s="70">
        <v>217762.06</v>
      </c>
      <c r="G41" s="1"/>
      <c r="H41" s="1"/>
      <c r="O41" s="1"/>
    </row>
    <row r="42" spans="1:15" s="2" customFormat="1" x14ac:dyDescent="0.2">
      <c r="A42" s="89">
        <v>45302</v>
      </c>
      <c r="B42" s="128" t="s">
        <v>11</v>
      </c>
      <c r="C42" s="76" t="s">
        <v>593</v>
      </c>
      <c r="D42" s="11" t="s">
        <v>29</v>
      </c>
      <c r="E42" s="31"/>
      <c r="F42" s="70">
        <v>600000</v>
      </c>
      <c r="G42" s="1"/>
      <c r="H42" s="1"/>
      <c r="O42" s="1"/>
    </row>
    <row r="43" spans="1:15" s="2" customFormat="1" x14ac:dyDescent="0.2">
      <c r="A43" s="89">
        <v>45302</v>
      </c>
      <c r="B43" s="128" t="s">
        <v>11</v>
      </c>
      <c r="C43" s="76" t="s">
        <v>284</v>
      </c>
      <c r="D43" s="11" t="s">
        <v>29</v>
      </c>
      <c r="E43" s="31"/>
      <c r="F43" s="70">
        <v>701320</v>
      </c>
      <c r="G43" s="1"/>
      <c r="H43" s="1"/>
      <c r="O43" s="1"/>
    </row>
    <row r="44" spans="1:15" s="2" customFormat="1" x14ac:dyDescent="0.2">
      <c r="A44" s="89">
        <v>45302</v>
      </c>
      <c r="B44" s="128" t="s">
        <v>11</v>
      </c>
      <c r="C44" s="76" t="s">
        <v>109</v>
      </c>
      <c r="D44" s="11" t="s">
        <v>29</v>
      </c>
      <c r="E44" s="31"/>
      <c r="F44" s="70">
        <v>1202783</v>
      </c>
      <c r="G44" s="1"/>
      <c r="H44" s="1"/>
      <c r="O44" s="1"/>
    </row>
    <row r="45" spans="1:15" s="2" customFormat="1" x14ac:dyDescent="0.2">
      <c r="A45" s="89">
        <v>45302</v>
      </c>
      <c r="B45" s="128" t="s">
        <v>11</v>
      </c>
      <c r="C45" s="76" t="s">
        <v>1491</v>
      </c>
      <c r="D45" s="11" t="s">
        <v>29</v>
      </c>
      <c r="E45" s="31"/>
      <c r="F45" s="70">
        <v>59356</v>
      </c>
      <c r="G45" s="1"/>
      <c r="H45" s="1"/>
      <c r="O45" s="1"/>
    </row>
    <row r="46" spans="1:15" s="2" customFormat="1" x14ac:dyDescent="0.2">
      <c r="A46" s="89">
        <v>45302</v>
      </c>
      <c r="B46" s="128" t="s">
        <v>11</v>
      </c>
      <c r="C46" s="76" t="s">
        <v>57</v>
      </c>
      <c r="D46" s="11" t="s">
        <v>29</v>
      </c>
      <c r="E46" s="31"/>
      <c r="F46" s="70">
        <v>5500000</v>
      </c>
      <c r="G46" s="1"/>
      <c r="H46" s="1"/>
      <c r="O46" s="1"/>
    </row>
    <row r="47" spans="1:15" s="2" customFormat="1" x14ac:dyDescent="0.2">
      <c r="A47" s="89">
        <v>45302</v>
      </c>
      <c r="B47" s="128" t="s">
        <v>11</v>
      </c>
      <c r="C47" s="76" t="s">
        <v>112</v>
      </c>
      <c r="D47" s="11" t="s">
        <v>29</v>
      </c>
      <c r="E47" s="31"/>
      <c r="F47" s="70">
        <v>1000178</v>
      </c>
      <c r="G47" s="1"/>
      <c r="H47" s="1"/>
      <c r="O47" s="1"/>
    </row>
    <row r="48" spans="1:15" s="2" customFormat="1" x14ac:dyDescent="0.2">
      <c r="A48" s="89">
        <v>45302</v>
      </c>
      <c r="B48" s="128" t="s">
        <v>11</v>
      </c>
      <c r="C48" s="76" t="s">
        <v>442</v>
      </c>
      <c r="D48" s="11" t="s">
        <v>29</v>
      </c>
      <c r="E48" s="31"/>
      <c r="F48" s="70">
        <v>2013018</v>
      </c>
      <c r="G48" s="1"/>
      <c r="H48" s="1"/>
      <c r="O48" s="1"/>
    </row>
    <row r="49" spans="1:15" s="2" customFormat="1" x14ac:dyDescent="0.2">
      <c r="A49" s="89">
        <v>45302</v>
      </c>
      <c r="B49" s="128" t="s">
        <v>11</v>
      </c>
      <c r="C49" s="76" t="s">
        <v>368</v>
      </c>
      <c r="D49" s="11" t="s">
        <v>29</v>
      </c>
      <c r="E49" s="31"/>
      <c r="F49" s="70">
        <v>1836984</v>
      </c>
      <c r="G49" s="1"/>
      <c r="H49" s="1"/>
      <c r="O49" s="1"/>
    </row>
    <row r="50" spans="1:15" s="2" customFormat="1" x14ac:dyDescent="0.2">
      <c r="A50" s="89">
        <v>45302</v>
      </c>
      <c r="B50" s="128" t="s">
        <v>11</v>
      </c>
      <c r="C50" s="76" t="s">
        <v>1472</v>
      </c>
      <c r="D50" s="11" t="s">
        <v>29</v>
      </c>
      <c r="E50" s="31"/>
      <c r="F50" s="70">
        <v>2555086</v>
      </c>
      <c r="G50" s="1"/>
      <c r="H50" s="1"/>
      <c r="O50" s="1"/>
    </row>
    <row r="51" spans="1:15" s="2" customFormat="1" x14ac:dyDescent="0.2">
      <c r="A51" s="32"/>
      <c r="B51" s="33"/>
      <c r="C51" s="14"/>
      <c r="D51" s="34"/>
      <c r="E51" s="16">
        <f>SUM(E21:E50)</f>
        <v>7090960.6500000004</v>
      </c>
      <c r="F51" s="16">
        <f>SUM(F21:F50)</f>
        <v>95389156.039999962</v>
      </c>
      <c r="G51" s="1"/>
      <c r="H51" s="1"/>
      <c r="I51" s="1"/>
      <c r="J51" s="38">
        <v>88298195.390000001</v>
      </c>
      <c r="L51" s="92">
        <f>E52-J51</f>
        <v>0</v>
      </c>
      <c r="O51" s="1"/>
    </row>
    <row r="52" spans="1:15" s="2" customFormat="1" x14ac:dyDescent="0.2">
      <c r="A52" s="36"/>
      <c r="B52" s="28" t="s">
        <v>11</v>
      </c>
      <c r="C52" s="19" t="s">
        <v>65</v>
      </c>
      <c r="D52" s="37"/>
      <c r="E52" s="38">
        <f>F51-E51</f>
        <v>88298195.389999956</v>
      </c>
      <c r="F52" s="22"/>
      <c r="G52" s="1"/>
      <c r="H52" s="1"/>
      <c r="I52" s="1"/>
      <c r="J52" s="70"/>
      <c r="K52" s="70"/>
      <c r="L52" s="70"/>
      <c r="O52" s="1"/>
    </row>
    <row r="53" spans="1:15" s="2" customFormat="1" x14ac:dyDescent="0.2">
      <c r="A53" s="36"/>
      <c r="B53" s="28" t="s">
        <v>66</v>
      </c>
      <c r="C53" s="19" t="s">
        <v>67</v>
      </c>
      <c r="D53" s="37"/>
      <c r="E53" s="38">
        <v>11500000</v>
      </c>
      <c r="F53" s="22"/>
      <c r="G53" s="1"/>
      <c r="H53" s="1"/>
      <c r="I53" s="70"/>
      <c r="J53" s="70"/>
      <c r="K53" s="70"/>
      <c r="L53" s="70"/>
      <c r="O53" s="1"/>
    </row>
    <row r="54" spans="1:15" s="2" customFormat="1" x14ac:dyDescent="0.2">
      <c r="A54" s="36"/>
      <c r="B54" s="28" t="s">
        <v>66</v>
      </c>
      <c r="C54" s="43" t="s">
        <v>1457</v>
      </c>
      <c r="D54" s="43"/>
      <c r="E54" s="12">
        <v>400000000</v>
      </c>
      <c r="F54" s="22"/>
      <c r="G54" s="1"/>
      <c r="H54" s="1"/>
      <c r="I54" s="70"/>
      <c r="J54" s="45">
        <v>562.28</v>
      </c>
      <c r="K54" s="46"/>
      <c r="L54" s="46"/>
      <c r="O54" s="1"/>
    </row>
    <row r="55" spans="1:15" s="2" customFormat="1" ht="15" x14ac:dyDescent="0.25">
      <c r="A55" s="36"/>
      <c r="B55" s="28"/>
      <c r="C55" s="44" t="s">
        <v>1541</v>
      </c>
      <c r="D55" s="43"/>
      <c r="E55" s="7">
        <f>+E54+E52+E53</f>
        <v>499798195.38999999</v>
      </c>
      <c r="F55" s="22"/>
      <c r="G55" s="1"/>
      <c r="H55" s="1"/>
      <c r="I55" s="103" t="s">
        <v>69</v>
      </c>
      <c r="J55" s="45">
        <v>-57.95</v>
      </c>
      <c r="K55" s="46"/>
      <c r="L55" s="46"/>
      <c r="O55" s="1"/>
    </row>
    <row r="56" spans="1:15" s="2" customFormat="1" ht="15" x14ac:dyDescent="0.25">
      <c r="A56" s="24"/>
      <c r="B56" s="1"/>
      <c r="C56" s="44" t="s">
        <v>1510</v>
      </c>
      <c r="D56" s="25"/>
      <c r="E56" s="156">
        <f>+J21-E53+I17-J17</f>
        <v>201804.6099999994</v>
      </c>
      <c r="G56" s="1"/>
      <c r="H56" s="1"/>
      <c r="I56" s="35">
        <v>1</v>
      </c>
      <c r="J56" s="45">
        <v>33.58</v>
      </c>
      <c r="K56" s="46">
        <f>+J57-D59</f>
        <v>0</v>
      </c>
      <c r="O56" s="1"/>
    </row>
    <row r="57" spans="1:15" s="124" customFormat="1" ht="12.75" customHeight="1" x14ac:dyDescent="0.2">
      <c r="A57" s="24"/>
      <c r="B57" s="1"/>
      <c r="C57" s="56"/>
      <c r="D57" s="56"/>
      <c r="E57" s="104"/>
      <c r="F57" s="2"/>
      <c r="G57" s="166"/>
      <c r="H57" s="166"/>
      <c r="I57" s="70"/>
      <c r="J57" s="49">
        <f>SUM(J54:J56)</f>
        <v>537.91</v>
      </c>
      <c r="K57" s="46"/>
      <c r="L57" s="46"/>
    </row>
    <row r="58" spans="1:15" s="124" customFormat="1" ht="12.75" customHeight="1" x14ac:dyDescent="0.2">
      <c r="A58" s="24"/>
      <c r="B58" s="1"/>
      <c r="C58" s="78" t="s">
        <v>575</v>
      </c>
      <c r="D58" s="48" t="s">
        <v>576</v>
      </c>
      <c r="E58" s="104"/>
      <c r="F58" s="2"/>
      <c r="G58" s="168"/>
      <c r="H58" s="168"/>
      <c r="I58" s="167"/>
      <c r="J58" s="167"/>
      <c r="K58" s="168"/>
    </row>
    <row r="59" spans="1:15" s="124" customFormat="1" ht="12.75" customHeight="1" x14ac:dyDescent="0.2">
      <c r="A59" s="24"/>
      <c r="B59" s="1"/>
      <c r="C59" s="47" t="s">
        <v>570</v>
      </c>
      <c r="D59" s="111">
        <v>537.91</v>
      </c>
      <c r="E59" s="104"/>
      <c r="F59" s="2"/>
      <c r="G59" s="168"/>
      <c r="H59" s="168"/>
      <c r="I59" s="110" t="s">
        <v>581</v>
      </c>
      <c r="J59" s="167"/>
      <c r="K59" s="168"/>
    </row>
    <row r="60" spans="1:15" s="124" customFormat="1" ht="12.75" customHeight="1" x14ac:dyDescent="0.2">
      <c r="A60" s="24"/>
      <c r="B60" s="1"/>
      <c r="C60" s="47" t="s">
        <v>931</v>
      </c>
      <c r="D60" s="111">
        <v>109.46</v>
      </c>
      <c r="E60" s="104"/>
      <c r="F60" s="2"/>
      <c r="G60" s="168"/>
      <c r="H60" s="168"/>
      <c r="I60" s="110" t="s">
        <v>580</v>
      </c>
      <c r="J60" s="167"/>
      <c r="K60" s="168"/>
    </row>
    <row r="61" spans="1:15" s="124" customFormat="1" ht="12.75" customHeight="1" x14ac:dyDescent="0.2">
      <c r="A61" s="24"/>
      <c r="B61" s="1"/>
      <c r="C61" s="47" t="s">
        <v>572</v>
      </c>
      <c r="D61" s="111">
        <f>+D88/100000</f>
        <v>228.3630134</v>
      </c>
      <c r="E61" s="104"/>
      <c r="F61" s="2"/>
      <c r="G61" s="166"/>
      <c r="H61" s="166"/>
      <c r="I61" s="90" t="s">
        <v>587</v>
      </c>
      <c r="J61" s="167"/>
      <c r="K61" s="168"/>
    </row>
    <row r="62" spans="1:15" s="2" customFormat="1" x14ac:dyDescent="0.2">
      <c r="A62" s="24"/>
      <c r="B62" s="1"/>
      <c r="C62" s="108" t="s">
        <v>578</v>
      </c>
      <c r="D62" s="48">
        <f>SUM(D59:D61)</f>
        <v>875.7330134</v>
      </c>
      <c r="E62" s="104"/>
      <c r="G62" s="30"/>
      <c r="H62" s="30"/>
      <c r="J62" s="13"/>
      <c r="K62" s="13"/>
    </row>
    <row r="63" spans="1:15" s="70" customFormat="1" x14ac:dyDescent="0.2">
      <c r="A63" s="24"/>
      <c r="B63" s="1"/>
      <c r="C63" s="47"/>
      <c r="D63" s="107"/>
      <c r="E63" s="104"/>
      <c r="F63" s="2"/>
      <c r="G63" s="30"/>
      <c r="H63" s="30"/>
      <c r="I63" s="2"/>
    </row>
    <row r="64" spans="1:15" s="70" customFormat="1" x14ac:dyDescent="0.2">
      <c r="A64" s="24"/>
      <c r="B64" s="1"/>
      <c r="C64" s="47" t="s">
        <v>932</v>
      </c>
      <c r="D64" s="111">
        <v>217.78</v>
      </c>
      <c r="E64" s="104"/>
      <c r="F64" s="2"/>
      <c r="G64" s="30"/>
      <c r="H64" s="30"/>
      <c r="I64" s="110" t="s">
        <v>581</v>
      </c>
    </row>
    <row r="65" spans="1:15" s="70" customFormat="1" x14ac:dyDescent="0.2">
      <c r="A65" s="24"/>
      <c r="B65" s="1"/>
      <c r="C65" s="136" t="s">
        <v>1142</v>
      </c>
      <c r="D65" s="111">
        <v>558.27</v>
      </c>
      <c r="E65" s="104"/>
      <c r="F65" s="2"/>
      <c r="G65" s="30"/>
      <c r="H65" s="30"/>
      <c r="I65" s="110" t="s">
        <v>581</v>
      </c>
    </row>
    <row r="66" spans="1:15" s="70" customFormat="1" x14ac:dyDescent="0.2">
      <c r="A66" s="24"/>
      <c r="B66" s="1"/>
      <c r="C66" s="78" t="s">
        <v>579</v>
      </c>
      <c r="D66" s="109">
        <f>D64+D65</f>
        <v>776.05</v>
      </c>
      <c r="E66" s="104"/>
      <c r="F66" s="2"/>
      <c r="G66" s="30"/>
      <c r="H66" s="30"/>
    </row>
    <row r="67" spans="1:15" s="70" customFormat="1" x14ac:dyDescent="0.2">
      <c r="A67" s="24"/>
      <c r="B67" s="1"/>
      <c r="C67" s="105"/>
      <c r="D67" s="106"/>
      <c r="E67" s="104"/>
      <c r="F67" s="2"/>
      <c r="G67" s="30"/>
      <c r="H67" s="30"/>
      <c r="J67" s="2"/>
      <c r="K67" s="221" t="str">
        <f>"FROM ( 01-01-2024 to "&amp;TEXT(A5,"dd-mm-yyyy")&amp;" )"</f>
        <v>FROM ( 01-01-2024 to 11-01-2024 )</v>
      </c>
      <c r="L67" s="221"/>
      <c r="M67" s="2"/>
      <c r="N67" s="2"/>
    </row>
    <row r="68" spans="1:15" s="70" customFormat="1" x14ac:dyDescent="0.2">
      <c r="A68" s="24"/>
      <c r="B68" s="1"/>
      <c r="C68" s="78" t="s">
        <v>577</v>
      </c>
      <c r="D68" s="109">
        <f>D59+D66</f>
        <v>1313.96</v>
      </c>
      <c r="E68" s="104"/>
      <c r="F68" s="2"/>
      <c r="G68" s="30"/>
      <c r="H68" s="30"/>
      <c r="J68" s="113"/>
      <c r="K68" s="113" t="s">
        <v>709</v>
      </c>
      <c r="L68" s="113" t="s">
        <v>710</v>
      </c>
      <c r="M68" s="113" t="s">
        <v>711</v>
      </c>
      <c r="N68" s="113" t="s">
        <v>712</v>
      </c>
    </row>
    <row r="69" spans="1:15" s="70" customFormat="1" x14ac:dyDescent="0.2">
      <c r="A69" s="24"/>
      <c r="B69" s="1"/>
      <c r="C69" s="56"/>
      <c r="D69" s="56"/>
      <c r="E69" s="104"/>
      <c r="F69" s="2"/>
      <c r="G69" s="30"/>
      <c r="H69" s="30"/>
      <c r="J69" s="113" t="s">
        <v>1860</v>
      </c>
      <c r="K69" s="115">
        <v>189.89</v>
      </c>
      <c r="L69" s="115">
        <v>56.31</v>
      </c>
      <c r="M69" s="115">
        <v>58.41</v>
      </c>
      <c r="N69" s="113">
        <f>+K69+M69-L69</f>
        <v>191.98999999999998</v>
      </c>
    </row>
    <row r="70" spans="1:15" s="70" customFormat="1" ht="38.25" x14ac:dyDescent="0.2">
      <c r="A70" s="24"/>
      <c r="B70" s="1"/>
      <c r="C70" s="79" t="str">
        <f>"Particulars ( 01-01-2024 to "&amp;TEXT(A5,"dd-mm-yyyy")&amp;" )"</f>
        <v>Particulars ( 01-01-2024 to 11-01-2024 )</v>
      </c>
      <c r="D70" s="79" t="s">
        <v>7</v>
      </c>
      <c r="E70" s="80" t="s">
        <v>73</v>
      </c>
      <c r="F70" s="80" t="s">
        <v>74</v>
      </c>
      <c r="G70" s="81" t="s">
        <v>75</v>
      </c>
      <c r="H70" s="80" t="s">
        <v>76</v>
      </c>
      <c r="J70" s="113" t="s">
        <v>1861</v>
      </c>
      <c r="K70" s="115">
        <v>1669.07</v>
      </c>
      <c r="L70" s="115">
        <v>228.36</v>
      </c>
      <c r="M70" s="115">
        <v>556.16999999999996</v>
      </c>
      <c r="N70" s="113">
        <f>+K70+M70-L70</f>
        <v>1996.8799999999997</v>
      </c>
    </row>
    <row r="71" spans="1:15" s="70" customFormat="1" x14ac:dyDescent="0.2">
      <c r="A71" s="24"/>
      <c r="B71" s="1"/>
      <c r="C71" s="50" t="s">
        <v>444</v>
      </c>
      <c r="D71" s="55">
        <f>+K71</f>
        <v>140.88</v>
      </c>
      <c r="E71" s="55">
        <f>+M71</f>
        <v>217.78</v>
      </c>
      <c r="F71" s="55">
        <f>+L71</f>
        <v>109.46</v>
      </c>
      <c r="G71" s="55">
        <f>+D71+E71-F71</f>
        <v>249.2</v>
      </c>
      <c r="H71" s="55">
        <f>1500-G71</f>
        <v>1250.8</v>
      </c>
      <c r="J71" s="113" t="s">
        <v>707</v>
      </c>
      <c r="K71" s="115">
        <v>140.88</v>
      </c>
      <c r="L71" s="115">
        <v>109.46</v>
      </c>
      <c r="M71" s="115">
        <v>217.78</v>
      </c>
      <c r="N71" s="113">
        <f>+K71+M71-L71</f>
        <v>249.2</v>
      </c>
    </row>
    <row r="72" spans="1:15" s="70" customFormat="1" ht="12.75" customHeight="1" x14ac:dyDescent="0.2">
      <c r="A72" s="24"/>
      <c r="B72" s="1"/>
      <c r="C72" s="50" t="s">
        <v>71</v>
      </c>
      <c r="D72" s="55">
        <f>+K69+K70</f>
        <v>1858.96</v>
      </c>
      <c r="E72" s="55">
        <f>+M69+M70</f>
        <v>614.57999999999993</v>
      </c>
      <c r="F72" s="55">
        <f>+L69+L70</f>
        <v>284.67</v>
      </c>
      <c r="G72" s="55">
        <f>+D72+E72-F72</f>
        <v>2188.87</v>
      </c>
      <c r="H72" s="55">
        <f>1500+700-G72</f>
        <v>11.130000000000109</v>
      </c>
      <c r="J72" s="2"/>
      <c r="K72" s="118">
        <f>SUM(K69:K71)</f>
        <v>1999.8400000000001</v>
      </c>
      <c r="L72" s="118">
        <f>SUM(L69:L71)</f>
        <v>394.13</v>
      </c>
      <c r="M72" s="118">
        <f>SUM(M69:M71)</f>
        <v>832.3599999999999</v>
      </c>
      <c r="N72" s="118">
        <f>SUM(N69:N71)</f>
        <v>2438.0699999999993</v>
      </c>
    </row>
    <row r="73" spans="1:15" s="70" customFormat="1" ht="12.75" customHeight="1" x14ac:dyDescent="0.2">
      <c r="A73" s="24"/>
      <c r="B73" s="1"/>
      <c r="C73" s="14"/>
      <c r="D73" s="56"/>
      <c r="E73" s="13"/>
      <c r="F73" s="2"/>
      <c r="G73" s="30"/>
      <c r="H73" s="30"/>
    </row>
    <row r="74" spans="1:15" s="70" customFormat="1" ht="12.75" customHeight="1" x14ac:dyDescent="0.2">
      <c r="A74" s="215" t="s">
        <v>80</v>
      </c>
      <c r="B74" s="216"/>
      <c r="C74" s="216"/>
      <c r="D74" s="217"/>
      <c r="E74" s="69"/>
      <c r="G74" s="30"/>
      <c r="H74" s="30"/>
    </row>
    <row r="75" spans="1:15" s="70" customFormat="1" ht="12.75" customHeight="1" x14ac:dyDescent="0.2">
      <c r="A75" s="71" t="s">
        <v>81</v>
      </c>
      <c r="B75" s="71"/>
      <c r="C75" s="72" t="s">
        <v>82</v>
      </c>
      <c r="D75" s="73" t="s">
        <v>83</v>
      </c>
      <c r="E75" s="69"/>
      <c r="G75" s="30"/>
      <c r="H75" s="30"/>
    </row>
    <row r="76" spans="1:15" s="70" customFormat="1" ht="12.75" customHeight="1" x14ac:dyDescent="0.2">
      <c r="A76" s="87">
        <v>45292</v>
      </c>
      <c r="B76" s="120" t="s">
        <v>6</v>
      </c>
      <c r="C76" s="75" t="s">
        <v>1933</v>
      </c>
      <c r="D76" s="88">
        <v>7583470</v>
      </c>
      <c r="E76" s="2"/>
      <c r="F76" s="2"/>
      <c r="G76" s="30"/>
      <c r="H76" s="30"/>
      <c r="I76" s="2"/>
      <c r="J76" s="2"/>
      <c r="K76" s="2"/>
      <c r="L76" s="2"/>
      <c r="M76" s="41"/>
      <c r="N76" s="42"/>
      <c r="O76" s="2"/>
    </row>
    <row r="77" spans="1:15" s="70" customFormat="1" ht="12.75" customHeight="1" x14ac:dyDescent="0.2">
      <c r="A77" s="87">
        <v>45293</v>
      </c>
      <c r="B77" s="120" t="s">
        <v>6</v>
      </c>
      <c r="C77" s="75" t="s">
        <v>1934</v>
      </c>
      <c r="D77" s="88">
        <v>124988</v>
      </c>
      <c r="E77" s="2"/>
      <c r="F77" s="2"/>
      <c r="G77" s="30"/>
      <c r="H77" s="30"/>
      <c r="I77" s="2"/>
      <c r="J77" s="2"/>
      <c r="K77" s="2"/>
      <c r="L77" s="2"/>
      <c r="M77" s="41"/>
      <c r="N77" s="42"/>
      <c r="O77" s="2"/>
    </row>
    <row r="78" spans="1:15" s="70" customFormat="1" ht="12.75" customHeight="1" x14ac:dyDescent="0.2">
      <c r="A78" s="87">
        <v>45294</v>
      </c>
      <c r="B78" s="120" t="s">
        <v>6</v>
      </c>
      <c r="C78" s="75" t="s">
        <v>606</v>
      </c>
      <c r="D78" s="88">
        <v>260191</v>
      </c>
      <c r="E78" s="2"/>
      <c r="F78" s="2"/>
      <c r="G78" s="30"/>
      <c r="H78" s="30"/>
      <c r="I78" s="2"/>
      <c r="J78" s="2"/>
      <c r="K78" s="2"/>
      <c r="L78" s="2"/>
      <c r="M78" s="41"/>
      <c r="N78" s="42"/>
      <c r="O78" s="2"/>
    </row>
    <row r="79" spans="1:15" s="70" customFormat="1" ht="12.75" customHeight="1" x14ac:dyDescent="0.2">
      <c r="A79" s="87">
        <v>45294</v>
      </c>
      <c r="B79" s="120" t="s">
        <v>6</v>
      </c>
      <c r="C79" s="75" t="s">
        <v>888</v>
      </c>
      <c r="D79" s="88">
        <v>2431991.34</v>
      </c>
      <c r="E79" s="2"/>
      <c r="F79" s="2"/>
      <c r="G79" s="30"/>
      <c r="H79" s="30"/>
      <c r="I79" s="2"/>
      <c r="J79" s="2"/>
      <c r="K79" s="2"/>
      <c r="L79" s="2"/>
      <c r="M79" s="41"/>
      <c r="N79" s="42"/>
      <c r="O79" s="2"/>
    </row>
    <row r="80" spans="1:15" s="70" customFormat="1" ht="12.75" customHeight="1" x14ac:dyDescent="0.2">
      <c r="A80" s="87">
        <v>45295</v>
      </c>
      <c r="B80" s="120" t="s">
        <v>6</v>
      </c>
      <c r="C80" s="75" t="s">
        <v>1944</v>
      </c>
      <c r="D80" s="88">
        <v>23655</v>
      </c>
      <c r="E80" s="2"/>
      <c r="F80" s="2"/>
      <c r="G80" s="30"/>
      <c r="H80" s="30"/>
      <c r="I80" s="2"/>
      <c r="J80" s="2"/>
      <c r="K80" s="2"/>
      <c r="L80" s="2"/>
      <c r="M80" s="41"/>
      <c r="N80" s="42"/>
      <c r="O80" s="2"/>
    </row>
    <row r="81" spans="1:15" s="70" customFormat="1" ht="12.75" customHeight="1" x14ac:dyDescent="0.2">
      <c r="A81" s="87">
        <v>45295</v>
      </c>
      <c r="B81" s="120" t="s">
        <v>6</v>
      </c>
      <c r="C81" s="75" t="s">
        <v>1944</v>
      </c>
      <c r="D81" s="88">
        <v>321576</v>
      </c>
      <c r="E81" s="2"/>
      <c r="F81" s="2"/>
      <c r="G81" s="30"/>
      <c r="H81" s="30"/>
      <c r="I81" s="2"/>
      <c r="J81" s="2"/>
      <c r="K81" s="2"/>
      <c r="L81" s="2"/>
      <c r="M81" s="41"/>
      <c r="N81" s="42"/>
      <c r="O81" s="2"/>
    </row>
    <row r="82" spans="1:15" s="70" customFormat="1" ht="12.75" customHeight="1" x14ac:dyDescent="0.2">
      <c r="A82" s="87">
        <v>45295</v>
      </c>
      <c r="B82" s="120" t="s">
        <v>6</v>
      </c>
      <c r="C82" s="75" t="s">
        <v>1944</v>
      </c>
      <c r="D82" s="88">
        <v>430832</v>
      </c>
      <c r="E82" s="2"/>
      <c r="F82" s="2"/>
      <c r="G82" s="30"/>
      <c r="H82" s="30"/>
      <c r="I82" s="2"/>
      <c r="J82" s="2"/>
      <c r="K82" s="2"/>
      <c r="L82" s="2"/>
      <c r="M82" s="41"/>
      <c r="N82" s="42"/>
      <c r="O82" s="2"/>
    </row>
    <row r="83" spans="1:15" s="70" customFormat="1" ht="12.75" customHeight="1" x14ac:dyDescent="0.2">
      <c r="A83" s="87">
        <v>45295</v>
      </c>
      <c r="B83" s="120" t="s">
        <v>6</v>
      </c>
      <c r="C83" s="75" t="s">
        <v>1934</v>
      </c>
      <c r="D83" s="88">
        <v>892589</v>
      </c>
      <c r="E83" s="2"/>
      <c r="F83" s="2"/>
      <c r="G83" s="30"/>
      <c r="H83" s="30"/>
      <c r="I83" s="2"/>
      <c r="J83" s="2"/>
      <c r="K83" s="2"/>
      <c r="L83" s="2"/>
      <c r="M83" s="41"/>
      <c r="N83" s="42"/>
      <c r="O83" s="2"/>
    </row>
    <row r="84" spans="1:15" s="70" customFormat="1" ht="12.75" customHeight="1" x14ac:dyDescent="0.2">
      <c r="A84" s="87">
        <v>45299</v>
      </c>
      <c r="B84" s="120" t="s">
        <v>6</v>
      </c>
      <c r="C84" s="75" t="s">
        <v>1933</v>
      </c>
      <c r="D84" s="88">
        <v>8143487</v>
      </c>
      <c r="E84" s="2"/>
      <c r="F84" s="2"/>
      <c r="G84" s="30"/>
      <c r="H84" s="30"/>
      <c r="I84" s="2"/>
      <c r="J84" s="2"/>
      <c r="K84" s="2"/>
      <c r="L84" s="2"/>
      <c r="M84" s="41"/>
      <c r="N84" s="42"/>
      <c r="O84" s="2"/>
    </row>
    <row r="85" spans="1:15" s="70" customFormat="1" ht="12.75" customHeight="1" x14ac:dyDescent="0.2">
      <c r="A85" s="87">
        <v>45299</v>
      </c>
      <c r="B85" s="120" t="s">
        <v>6</v>
      </c>
      <c r="C85" s="75" t="s">
        <v>606</v>
      </c>
      <c r="D85" s="88">
        <v>487316</v>
      </c>
      <c r="E85" s="2"/>
      <c r="F85" s="2"/>
      <c r="G85" s="30"/>
      <c r="H85" s="30"/>
      <c r="I85" s="2"/>
      <c r="J85" s="2"/>
      <c r="K85" s="2"/>
      <c r="L85" s="2"/>
      <c r="M85" s="41"/>
      <c r="N85" s="42"/>
      <c r="O85" s="2"/>
    </row>
    <row r="86" spans="1:15" s="70" customFormat="1" ht="12.75" customHeight="1" x14ac:dyDescent="0.2">
      <c r="A86" s="87">
        <v>45301</v>
      </c>
      <c r="B86" s="120" t="s">
        <v>6</v>
      </c>
      <c r="C86" s="75" t="s">
        <v>1933</v>
      </c>
      <c r="D86" s="88">
        <v>2690</v>
      </c>
      <c r="E86" s="2"/>
      <c r="F86" s="2"/>
      <c r="G86" s="30"/>
      <c r="H86" s="30"/>
      <c r="I86" s="2"/>
      <c r="J86" s="2"/>
      <c r="K86" s="2"/>
      <c r="L86" s="2"/>
      <c r="M86" s="41"/>
      <c r="N86" s="42"/>
      <c r="O86" s="2"/>
    </row>
    <row r="87" spans="1:15" s="70" customFormat="1" ht="12.75" customHeight="1" x14ac:dyDescent="0.2">
      <c r="A87" s="87">
        <v>45301</v>
      </c>
      <c r="B87" s="120" t="s">
        <v>6</v>
      </c>
      <c r="C87" s="75" t="s">
        <v>1933</v>
      </c>
      <c r="D87" s="88">
        <v>2133516</v>
      </c>
      <c r="E87" s="2"/>
      <c r="F87" s="2"/>
      <c r="G87" s="30"/>
      <c r="H87" s="30"/>
      <c r="I87" s="2"/>
      <c r="J87" s="2"/>
      <c r="K87" s="2"/>
      <c r="L87" s="2"/>
      <c r="M87" s="41"/>
      <c r="N87" s="42"/>
      <c r="O87" s="2"/>
    </row>
    <row r="88" spans="1:15" s="2" customFormat="1" x14ac:dyDescent="0.2">
      <c r="A88" s="87"/>
      <c r="B88" s="74"/>
      <c r="C88" s="75"/>
      <c r="D88" s="51">
        <f>SUM(D76:D87)</f>
        <v>22836301.34</v>
      </c>
      <c r="F88" s="2" t="s">
        <v>396</v>
      </c>
      <c r="G88" s="1"/>
      <c r="H88" s="1"/>
    </row>
    <row r="89" spans="1:15" s="2" customFormat="1" x14ac:dyDescent="0.2">
      <c r="A89" s="24"/>
      <c r="B89" s="1"/>
      <c r="C89" s="14"/>
      <c r="D89" s="56"/>
      <c r="E89" s="13"/>
      <c r="G89" s="1"/>
      <c r="H89" s="1"/>
    </row>
    <row r="90" spans="1:15" s="2" customFormat="1" x14ac:dyDescent="0.2">
      <c r="A90" s="24"/>
      <c r="B90" s="1"/>
      <c r="C90" s="218" t="s">
        <v>77</v>
      </c>
      <c r="D90" s="219"/>
      <c r="E90" s="219"/>
      <c r="F90" s="220"/>
      <c r="I90" s="2" t="s">
        <v>396</v>
      </c>
    </row>
    <row r="91" spans="1:15" s="2" customFormat="1" x14ac:dyDescent="0.2">
      <c r="A91" s="24"/>
      <c r="B91" s="1"/>
      <c r="C91" s="50"/>
      <c r="D91" s="57" t="s">
        <v>78</v>
      </c>
      <c r="E91" s="58" t="s">
        <v>79</v>
      </c>
      <c r="F91" s="57" t="s">
        <v>72</v>
      </c>
      <c r="I91" s="2" t="s">
        <v>396</v>
      </c>
    </row>
    <row r="92" spans="1:15" s="2" customFormat="1" x14ac:dyDescent="0.2">
      <c r="A92" s="24"/>
      <c r="B92" s="1"/>
      <c r="C92" s="59" t="str">
        <f>"01-01-2024 to "&amp;TEXT(A5-2,"dd-mm-yyyy")</f>
        <v>01-01-2024 to 09-01-2024</v>
      </c>
      <c r="D92" s="60">
        <v>762.89</v>
      </c>
      <c r="E92" s="60">
        <v>211.15</v>
      </c>
      <c r="F92" s="61">
        <f>SUM(D92:E92)</f>
        <v>974.04</v>
      </c>
    </row>
    <row r="93" spans="1:15" s="2" customFormat="1" x14ac:dyDescent="0.2">
      <c r="A93" s="24"/>
      <c r="B93" s="1"/>
      <c r="C93" s="62" t="str">
        <f>TEXT(A5-1,"dd-mm-yyyy")</f>
        <v>10-01-2024</v>
      </c>
      <c r="D93" s="60">
        <v>68.75</v>
      </c>
      <c r="E93" s="60">
        <v>23.45</v>
      </c>
      <c r="F93" s="61">
        <f>SUM(D93:E93)</f>
        <v>92.2</v>
      </c>
      <c r="G93" s="1"/>
      <c r="H93" s="1"/>
      <c r="I93" s="53"/>
    </row>
    <row r="94" spans="1:15" s="2" customFormat="1" ht="13.5" thickBot="1" x14ac:dyDescent="0.25">
      <c r="A94" s="24"/>
      <c r="B94" s="1"/>
      <c r="C94" s="63" t="str">
        <f>"01-01-2024 to "&amp;TEXT(A5-1,"dd-mm-yyyy")</f>
        <v>01-01-2024 to 10-01-2024</v>
      </c>
      <c r="D94" s="64">
        <f>SUM(D92:D93)</f>
        <v>831.64</v>
      </c>
      <c r="E94" s="64">
        <f>SUM(E92:E93)</f>
        <v>234.6</v>
      </c>
      <c r="F94" s="64">
        <f>SUM(F92:F93)</f>
        <v>1066.24</v>
      </c>
      <c r="G94" s="1"/>
      <c r="H94" s="1"/>
      <c r="I94" s="53"/>
    </row>
    <row r="95" spans="1:15" s="2" customFormat="1" ht="13.5" thickTop="1" x14ac:dyDescent="0.2">
      <c r="A95" s="24"/>
      <c r="B95" s="1"/>
      <c r="C95" s="62"/>
      <c r="D95" s="65"/>
      <c r="E95" s="66"/>
      <c r="F95" s="67"/>
      <c r="M95" s="1"/>
      <c r="N95" s="1"/>
    </row>
    <row r="96" spans="1:15" s="2" customFormat="1" x14ac:dyDescent="0.2">
      <c r="A96" s="24"/>
      <c r="B96" s="1"/>
      <c r="C96" s="62" t="str">
        <f>"01-04-2023 to " &amp;C93</f>
        <v>01-04-2023 to 10-01-2024</v>
      </c>
      <c r="D96" s="68">
        <f>+D94+34576.72</f>
        <v>35408.36</v>
      </c>
      <c r="E96" s="68">
        <f>+E94+3831.86</f>
        <v>4066.46</v>
      </c>
      <c r="F96" s="68">
        <f>+F94+38408.58</f>
        <v>39474.82</v>
      </c>
      <c r="G96" s="1"/>
      <c r="H96" s="1"/>
      <c r="M96" s="1"/>
      <c r="N96" s="1"/>
    </row>
    <row r="97" spans="1:14" s="2" customFormat="1" x14ac:dyDescent="0.2">
      <c r="A97" s="24"/>
      <c r="B97" s="1"/>
      <c r="C97" s="52"/>
      <c r="D97" s="85"/>
      <c r="E97" s="53"/>
      <c r="F97" s="53"/>
      <c r="G97" s="1"/>
      <c r="H97" s="1"/>
      <c r="M97" s="1"/>
      <c r="N97" s="1"/>
    </row>
    <row r="98" spans="1:14" s="2" customFormat="1" x14ac:dyDescent="0.2">
      <c r="A98" s="24"/>
      <c r="B98" s="1"/>
      <c r="C98" s="52"/>
      <c r="D98" s="85"/>
      <c r="E98" s="53"/>
      <c r="F98" s="53"/>
      <c r="G98" s="1"/>
      <c r="H98" s="1"/>
      <c r="M98" s="1"/>
      <c r="N98" s="1"/>
    </row>
    <row r="99" spans="1:14" s="2" customFormat="1" x14ac:dyDescent="0.2">
      <c r="A99" s="24"/>
      <c r="B99" s="1"/>
      <c r="C99" s="52"/>
      <c r="D99" s="85"/>
      <c r="E99" s="53"/>
      <c r="F99" s="53"/>
      <c r="G99" s="1"/>
      <c r="H99" s="1"/>
      <c r="M99" s="1"/>
      <c r="N99" s="1"/>
    </row>
    <row r="100" spans="1:14" s="2" customFormat="1" x14ac:dyDescent="0.2">
      <c r="A100" s="24"/>
      <c r="B100" s="1"/>
      <c r="C100" s="52"/>
      <c r="D100" s="85"/>
      <c r="E100" s="53"/>
      <c r="F100" s="53"/>
      <c r="G100" s="1"/>
      <c r="H100" s="1"/>
      <c r="M100" s="1"/>
      <c r="N100" s="1"/>
    </row>
    <row r="101" spans="1:14" s="2" customFormat="1" x14ac:dyDescent="0.2">
      <c r="A101" s="24"/>
      <c r="B101" s="1"/>
      <c r="C101" s="14"/>
      <c r="D101" s="25">
        <f>SUM(D98:D100)</f>
        <v>0</v>
      </c>
      <c r="E101" s="2">
        <f>SUM(E98:E100)</f>
        <v>0</v>
      </c>
      <c r="G101" s="1"/>
      <c r="H101" s="1"/>
      <c r="M101" s="1"/>
      <c r="N101" s="1"/>
    </row>
    <row r="102" spans="1:14" s="2" customFormat="1" x14ac:dyDescent="0.2">
      <c r="A102" s="24"/>
      <c r="B102" s="1"/>
      <c r="C102" s="14"/>
      <c r="D102" s="25"/>
      <c r="G102" s="1"/>
      <c r="H102" s="1"/>
      <c r="M102" s="1"/>
      <c r="N102" s="1"/>
    </row>
    <row r="103" spans="1:14" s="2" customFormat="1" x14ac:dyDescent="0.2">
      <c r="A103" s="24"/>
      <c r="B103" s="1"/>
      <c r="C103" s="14"/>
      <c r="D103" s="25"/>
      <c r="G103" s="1"/>
      <c r="H103" s="1"/>
      <c r="M103" s="1"/>
      <c r="N103" s="1"/>
    </row>
    <row r="104" spans="1:14" s="2" customFormat="1" x14ac:dyDescent="0.2">
      <c r="A104" s="24"/>
      <c r="B104" s="1"/>
      <c r="C104" s="14"/>
      <c r="D104" s="25"/>
      <c r="G104" s="1"/>
      <c r="H104" s="1"/>
      <c r="M104" s="1"/>
      <c r="N104" s="1"/>
    </row>
    <row r="105" spans="1:14" s="2" customFormat="1" x14ac:dyDescent="0.2">
      <c r="A105" s="24"/>
      <c r="B105" s="1"/>
      <c r="C105" s="14"/>
      <c r="D105" s="25"/>
      <c r="G105" s="1"/>
      <c r="H105" s="1"/>
      <c r="M105" s="1"/>
      <c r="N105" s="1"/>
    </row>
    <row r="106" spans="1:14" s="2" customFormat="1" x14ac:dyDescent="0.2">
      <c r="A106" s="24"/>
      <c r="B106" s="1"/>
      <c r="C106" s="14"/>
      <c r="D106" s="25"/>
      <c r="G106" s="1"/>
      <c r="H106" s="1"/>
      <c r="M106" s="1"/>
      <c r="N106" s="1"/>
    </row>
    <row r="107" spans="1:14" s="2" customFormat="1" x14ac:dyDescent="0.2">
      <c r="A107" s="24"/>
      <c r="B107" s="1"/>
      <c r="C107" s="14"/>
      <c r="D107" s="25"/>
      <c r="G107" s="1"/>
      <c r="H107" s="1"/>
      <c r="M107" s="1"/>
      <c r="N107" s="1"/>
    </row>
    <row r="108" spans="1:14" s="2" customFormat="1" x14ac:dyDescent="0.2">
      <c r="A108" s="24"/>
      <c r="B108" s="1"/>
      <c r="C108" s="14"/>
      <c r="D108" s="25"/>
      <c r="G108" s="1"/>
      <c r="H108" s="1"/>
      <c r="M108" s="1"/>
      <c r="N108" s="1"/>
    </row>
    <row r="109" spans="1:14" s="2" customFormat="1" x14ac:dyDescent="0.2">
      <c r="A109" s="24"/>
      <c r="B109" s="1"/>
      <c r="C109" s="14"/>
      <c r="D109" s="25"/>
      <c r="G109" s="1"/>
      <c r="H109" s="1"/>
      <c r="M109" s="1"/>
      <c r="N109" s="1"/>
    </row>
    <row r="110" spans="1:14" s="2" customFormat="1" x14ac:dyDescent="0.2">
      <c r="A110" s="24"/>
      <c r="B110" s="1"/>
      <c r="C110" s="14"/>
      <c r="D110" s="25"/>
      <c r="G110" s="1"/>
      <c r="H110" s="1"/>
      <c r="M110" s="1"/>
      <c r="N110" s="1"/>
    </row>
    <row r="111" spans="1:14" s="2" customFormat="1" x14ac:dyDescent="0.2">
      <c r="A111" s="24"/>
      <c r="B111" s="1"/>
      <c r="C111" s="14"/>
      <c r="D111" s="25"/>
      <c r="G111" s="1"/>
      <c r="H111" s="1"/>
      <c r="M111" s="1"/>
      <c r="N111" s="1"/>
    </row>
    <row r="112" spans="1:14" s="2" customFormat="1" x14ac:dyDescent="0.2">
      <c r="A112" s="24"/>
      <c r="B112" s="1"/>
      <c r="C112" s="14"/>
      <c r="D112" s="25"/>
      <c r="G112" s="1"/>
      <c r="H112" s="1"/>
      <c r="M112" s="1"/>
      <c r="N112" s="1"/>
    </row>
    <row r="113" spans="1:15" s="2" customFormat="1" x14ac:dyDescent="0.2">
      <c r="A113" s="24"/>
      <c r="B113" s="1"/>
      <c r="C113" s="14"/>
      <c r="D113" s="25"/>
      <c r="G113" s="1"/>
      <c r="H113" s="1"/>
      <c r="M113" s="1"/>
      <c r="N113" s="1"/>
    </row>
    <row r="114" spans="1:15" s="2" customFormat="1" x14ac:dyDescent="0.2">
      <c r="A114" s="24"/>
      <c r="B114" s="1"/>
      <c r="C114" s="14"/>
      <c r="D114" s="25"/>
      <c r="G114" s="1"/>
      <c r="H114" s="1"/>
      <c r="M114" s="1"/>
      <c r="N114" s="1"/>
    </row>
    <row r="115" spans="1:15" s="2" customFormat="1" x14ac:dyDescent="0.2">
      <c r="A115" s="24"/>
      <c r="B115" s="1"/>
      <c r="C115" s="14"/>
      <c r="D115" s="25"/>
      <c r="G115" s="1"/>
      <c r="H115" s="1"/>
      <c r="J115" s="1"/>
      <c r="K115" s="1"/>
      <c r="L115" s="1"/>
      <c r="M115" s="1"/>
      <c r="N115" s="1"/>
    </row>
    <row r="116" spans="1:15" s="2" customFormat="1" x14ac:dyDescent="0.2">
      <c r="A116" s="24"/>
      <c r="B116" s="1"/>
      <c r="C116" s="14"/>
      <c r="D116" s="25"/>
      <c r="G116" s="1"/>
      <c r="H116" s="1"/>
    </row>
    <row r="117" spans="1:15" s="2" customFormat="1" x14ac:dyDescent="0.2">
      <c r="A117" s="24"/>
      <c r="B117" s="1"/>
      <c r="C117" s="14"/>
      <c r="D117" s="25"/>
      <c r="G117" s="1"/>
      <c r="H117" s="1"/>
      <c r="J117" s="1"/>
      <c r="K117" s="1"/>
      <c r="L117" s="1"/>
      <c r="M117" s="1"/>
      <c r="N117" s="1"/>
    </row>
    <row r="118" spans="1:15" s="2" customFormat="1" x14ac:dyDescent="0.2">
      <c r="A118" s="24"/>
      <c r="B118" s="1"/>
      <c r="C118" s="14"/>
      <c r="D118" s="25"/>
      <c r="G118" s="54"/>
      <c r="H118" s="54"/>
      <c r="J118" s="1"/>
      <c r="K118" s="1"/>
      <c r="L118" s="1"/>
      <c r="M118" s="1"/>
      <c r="N118" s="1"/>
    </row>
    <row r="119" spans="1:15" s="2" customFormat="1" x14ac:dyDescent="0.2">
      <c r="A119" s="24"/>
      <c r="B119" s="1"/>
      <c r="C119" s="14"/>
      <c r="D119" s="25"/>
      <c r="G119" s="54"/>
      <c r="H119" s="54"/>
      <c r="J119" s="1"/>
      <c r="K119" s="1"/>
      <c r="L119" s="1"/>
      <c r="M119" s="1"/>
      <c r="N119" s="1"/>
    </row>
    <row r="120" spans="1:15" s="2" customFormat="1" x14ac:dyDescent="0.2">
      <c r="A120" s="24"/>
      <c r="B120" s="1"/>
      <c r="C120" s="14"/>
      <c r="D120" s="25"/>
      <c r="G120" s="54"/>
      <c r="H120" s="54"/>
      <c r="J120" s="1"/>
      <c r="K120" s="1"/>
      <c r="L120" s="1"/>
      <c r="M120" s="1"/>
      <c r="N120" s="1"/>
    </row>
    <row r="121" spans="1:15" s="2" customFormat="1" x14ac:dyDescent="0.2">
      <c r="A121" s="24"/>
      <c r="B121" s="1"/>
      <c r="C121" s="14"/>
      <c r="D121" s="25"/>
      <c r="G121" s="54"/>
      <c r="H121" s="54"/>
      <c r="I121" s="2" t="s">
        <v>396</v>
      </c>
      <c r="J121" s="1"/>
      <c r="K121" s="1"/>
      <c r="L121" s="1"/>
      <c r="M121" s="1"/>
      <c r="N121" s="1"/>
      <c r="O121" s="1"/>
    </row>
    <row r="122" spans="1:15" s="2" customFormat="1" x14ac:dyDescent="0.2">
      <c r="A122" s="24"/>
      <c r="B122" s="1"/>
      <c r="C122" s="14"/>
      <c r="D122" s="25"/>
      <c r="G122" s="54"/>
      <c r="H122" s="54"/>
      <c r="I122" s="53"/>
    </row>
    <row r="123" spans="1:15" s="2" customFormat="1" x14ac:dyDescent="0.2">
      <c r="A123" s="24"/>
      <c r="B123" s="1"/>
      <c r="C123" s="14"/>
      <c r="D123" s="25"/>
      <c r="G123" s="54"/>
      <c r="H123" s="54"/>
      <c r="I123" s="53" t="s">
        <v>396</v>
      </c>
      <c r="J123" s="1"/>
      <c r="K123" s="1"/>
      <c r="L123" s="1"/>
      <c r="M123" s="1"/>
      <c r="N123" s="1"/>
      <c r="O123" s="1"/>
    </row>
    <row r="124" spans="1:15" x14ac:dyDescent="0.2">
      <c r="G124" s="54"/>
      <c r="H124" s="54"/>
      <c r="I124" s="53" t="s">
        <v>396</v>
      </c>
      <c r="K124" s="42"/>
    </row>
    <row r="125" spans="1:15" s="2" customFormat="1" x14ac:dyDescent="0.2">
      <c r="A125" s="24"/>
      <c r="B125" s="1"/>
      <c r="C125" s="14"/>
      <c r="D125" s="25"/>
      <c r="G125" s="54"/>
      <c r="H125" s="54"/>
      <c r="I125" s="53"/>
      <c r="J125" s="101"/>
      <c r="K125" s="1"/>
      <c r="L125" s="1"/>
      <c r="M125" s="1"/>
      <c r="N125" s="1"/>
      <c r="O125" s="1"/>
    </row>
    <row r="126" spans="1:15" x14ac:dyDescent="0.2">
      <c r="G126" s="54"/>
      <c r="H126" s="54"/>
      <c r="I126" s="53"/>
    </row>
    <row r="127" spans="1:15" x14ac:dyDescent="0.2">
      <c r="G127" s="54"/>
      <c r="H127" s="54"/>
      <c r="I127" s="53"/>
    </row>
    <row r="128" spans="1:15" x14ac:dyDescent="0.2">
      <c r="G128" s="54"/>
      <c r="H128" s="54"/>
      <c r="I128" s="53"/>
    </row>
  </sheetData>
  <sheetProtection insertRows="0"/>
  <mergeCells count="7">
    <mergeCell ref="K67:L67"/>
    <mergeCell ref="A74:D74"/>
    <mergeCell ref="C90:F90"/>
    <mergeCell ref="A1:H1"/>
    <mergeCell ref="A3:F3"/>
    <mergeCell ref="A9:F9"/>
    <mergeCell ref="A19:F19"/>
  </mergeCells>
  <conditionalFormatting sqref="H71:H72">
    <cfRule type="cellIs" dxfId="131" priority="1" operator="lessThan">
      <formula>0</formula>
    </cfRule>
  </conditionalFormatting>
  <conditionalFormatting sqref="C21">
    <cfRule type="duplicateValues" dxfId="130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100-000000000000}">
  <sheetPr codeName="Sheet521">
    <pageSetUpPr fitToPage="1"/>
  </sheetPr>
  <dimension ref="A1:O110"/>
  <sheetViews>
    <sheetView topLeftCell="A73" zoomScaleNormal="100" workbookViewId="0">
      <selection activeCell="F77" sqref="F77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12.85546875" style="1" customWidth="1"/>
    <col min="9" max="9" width="24.85546875" style="2" bestFit="1" customWidth="1"/>
    <col min="10" max="10" width="21.5703125" style="1" bestFit="1" customWidth="1"/>
    <col min="11" max="11" width="16.85546875" style="1" bestFit="1" customWidth="1"/>
    <col min="12" max="12" width="17.28515625" style="1" bestFit="1" customWidth="1"/>
    <col min="13" max="13" width="13.5703125" style="1" bestFit="1" customWidth="1"/>
    <col min="14" max="14" width="17.42578125" style="1" bestFit="1" customWidth="1"/>
    <col min="15" max="15" width="12.85546875" style="1" bestFit="1" customWidth="1"/>
    <col min="16" max="17" width="9.140625" style="1"/>
    <col min="18" max="18" width="15.5703125" style="1" bestFit="1" customWidth="1"/>
    <col min="19" max="16384" width="9.140625" style="1"/>
  </cols>
  <sheetData>
    <row r="1" spans="1:14" ht="20.25" customHeight="1" x14ac:dyDescent="0.4">
      <c r="A1" s="212" t="s">
        <v>1971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4" ht="12.75" customHeight="1" x14ac:dyDescent="0.4">
      <c r="I2" s="112"/>
      <c r="J2" s="112"/>
    </row>
    <row r="3" spans="1:14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4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4" s="2" customFormat="1" ht="14.25" customHeight="1" x14ac:dyDescent="0.4">
      <c r="A5" s="89">
        <v>45303</v>
      </c>
      <c r="B5" s="9" t="s">
        <v>6</v>
      </c>
      <c r="C5" s="10" t="s">
        <v>7</v>
      </c>
      <c r="D5" s="11"/>
      <c r="E5" s="12">
        <v>586241.23000000045</v>
      </c>
      <c r="F5" s="12"/>
      <c r="G5" s="1"/>
      <c r="H5" s="1"/>
      <c r="I5" s="112"/>
      <c r="J5" s="112"/>
    </row>
    <row r="6" spans="1:14" s="2" customFormat="1" ht="12.75" customHeight="1" x14ac:dyDescent="0.2">
      <c r="D6" s="15" t="s">
        <v>8</v>
      </c>
      <c r="E6" s="16">
        <f>SUM(E5:E5)</f>
        <v>586241.23000000045</v>
      </c>
      <c r="F6" s="16">
        <f>SUM(E6)</f>
        <v>586241.23000000045</v>
      </c>
      <c r="G6" s="1"/>
      <c r="H6" s="1"/>
      <c r="I6" s="13" t="s">
        <v>1582</v>
      </c>
      <c r="J6" s="13" t="s">
        <v>1583</v>
      </c>
    </row>
    <row r="7" spans="1:14" s="2" customFormat="1" ht="12.75" customHeight="1" x14ac:dyDescent="0.2">
      <c r="A7" s="17"/>
      <c r="B7" s="18"/>
      <c r="C7" s="19" t="s">
        <v>9</v>
      </c>
      <c r="D7" s="20"/>
      <c r="E7" s="21">
        <f>+E6-F6</f>
        <v>0</v>
      </c>
      <c r="F7" s="22"/>
      <c r="G7" s="23"/>
      <c r="H7" s="23"/>
      <c r="I7" s="2">
        <v>0</v>
      </c>
      <c r="K7" s="176">
        <f>I7-J7</f>
        <v>0</v>
      </c>
    </row>
    <row r="8" spans="1:14" ht="12.75" customHeight="1" x14ac:dyDescent="0.4">
      <c r="I8" s="112"/>
      <c r="J8" s="112"/>
    </row>
    <row r="9" spans="1:14" ht="18" customHeight="1" x14ac:dyDescent="0.4">
      <c r="A9" s="213" t="s">
        <v>1037</v>
      </c>
      <c r="B9" s="213"/>
      <c r="C9" s="213"/>
      <c r="D9" s="213"/>
      <c r="E9" s="213"/>
      <c r="F9" s="213"/>
      <c r="I9" s="112"/>
      <c r="J9" s="169">
        <f>90000000-60000000</f>
        <v>30000000</v>
      </c>
      <c r="K9" s="169" t="s">
        <v>1508</v>
      </c>
    </row>
    <row r="10" spans="1:14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I10" s="112"/>
      <c r="J10" s="169">
        <v>29874111.02</v>
      </c>
      <c r="K10" s="169" t="s">
        <v>1509</v>
      </c>
      <c r="L10" s="124"/>
    </row>
    <row r="11" spans="1:14" s="2" customFormat="1" ht="14.25" customHeight="1" x14ac:dyDescent="0.2">
      <c r="A11" s="89">
        <v>45303</v>
      </c>
      <c r="B11" s="9" t="s">
        <v>6</v>
      </c>
      <c r="C11" s="10" t="s">
        <v>7</v>
      </c>
      <c r="D11" s="11"/>
      <c r="F11" s="12">
        <v>29874111.02</v>
      </c>
      <c r="G11" s="1"/>
      <c r="H11" s="1"/>
      <c r="I11" s="130" t="s">
        <v>396</v>
      </c>
      <c r="J11" s="169">
        <f>+J9-J10</f>
        <v>125888.98000000045</v>
      </c>
      <c r="K11" s="169" t="s">
        <v>712</v>
      </c>
      <c r="L11" s="165" t="s">
        <v>1512</v>
      </c>
    </row>
    <row r="12" spans="1:14" s="2" customFormat="1" ht="14.25" customHeight="1" x14ac:dyDescent="0.2">
      <c r="D12" s="11" t="s">
        <v>8</v>
      </c>
      <c r="E12" s="16">
        <f>E11</f>
        <v>0</v>
      </c>
      <c r="F12" s="16">
        <f>SUM(F11:F11)</f>
        <v>29874111.02</v>
      </c>
      <c r="G12" s="1"/>
      <c r="H12" s="1"/>
      <c r="I12" s="143"/>
      <c r="J12" s="130"/>
      <c r="K12" s="143"/>
      <c r="L12" s="143"/>
      <c r="M12" s="143"/>
      <c r="N12" s="143"/>
    </row>
    <row r="13" spans="1:14" s="2" customFormat="1" ht="14.25" customHeight="1" x14ac:dyDescent="0.4">
      <c r="A13" s="17"/>
      <c r="B13" s="18"/>
      <c r="C13" s="96" t="s">
        <v>9</v>
      </c>
      <c r="D13" s="20"/>
      <c r="E13" s="21">
        <f>+F12-E12</f>
        <v>29874111.02</v>
      </c>
      <c r="G13" s="1"/>
      <c r="H13" s="1"/>
      <c r="J13" s="112"/>
      <c r="K13" s="153" t="s">
        <v>779</v>
      </c>
    </row>
    <row r="14" spans="1:14" s="2" customFormat="1" ht="14.25" customHeight="1" x14ac:dyDescent="0.2">
      <c r="A14" s="36"/>
      <c r="B14" s="28" t="s">
        <v>66</v>
      </c>
      <c r="C14" s="43" t="s">
        <v>1458</v>
      </c>
      <c r="D14" s="43"/>
      <c r="E14" s="12">
        <f>30000000+60000000</f>
        <v>90000000</v>
      </c>
      <c r="F14" s="22"/>
      <c r="G14" s="1"/>
      <c r="H14" s="1"/>
      <c r="J14" s="40">
        <v>29874111.02</v>
      </c>
      <c r="K14" s="154">
        <f>J14-E13</f>
        <v>0</v>
      </c>
    </row>
    <row r="15" spans="1:14" s="2" customFormat="1" ht="14.25" customHeight="1" x14ac:dyDescent="0.25">
      <c r="A15" s="36"/>
      <c r="B15" s="28"/>
      <c r="C15" s="44" t="s">
        <v>1541</v>
      </c>
      <c r="D15" s="43"/>
      <c r="E15" s="7">
        <f>+E13+E14</f>
        <v>119874111.02</v>
      </c>
      <c r="F15" s="22"/>
      <c r="G15" s="1"/>
      <c r="H15" s="1"/>
      <c r="I15" s="13" t="s">
        <v>1582</v>
      </c>
      <c r="J15" s="13" t="s">
        <v>1583</v>
      </c>
    </row>
    <row r="16" spans="1:14" s="2" customFormat="1" ht="14.25" customHeight="1" x14ac:dyDescent="0.25">
      <c r="A16" s="36"/>
      <c r="B16" s="28"/>
      <c r="C16" s="44" t="s">
        <v>1511</v>
      </c>
      <c r="D16" s="43"/>
      <c r="E16" s="38">
        <f>+J11+I7-J7</f>
        <v>125888.98000000045</v>
      </c>
      <c r="F16" s="22"/>
      <c r="G16" s="1"/>
      <c r="H16" s="1"/>
      <c r="I16" s="2">
        <v>0</v>
      </c>
      <c r="J16" s="2">
        <v>40993</v>
      </c>
      <c r="K16" s="176">
        <f>I16-J16</f>
        <v>-40993</v>
      </c>
    </row>
    <row r="17" spans="1:15" s="2" customFormat="1" ht="14.25" customHeight="1" x14ac:dyDescent="0.2">
      <c r="A17" s="24"/>
      <c r="B17" s="1"/>
      <c r="C17" s="14"/>
      <c r="D17" s="25"/>
      <c r="G17" s="1"/>
      <c r="H17" s="1"/>
      <c r="J17" s="130"/>
      <c r="K17" s="130"/>
    </row>
    <row r="18" spans="1:15" s="2" customFormat="1" x14ac:dyDescent="0.2">
      <c r="A18" s="214" t="s">
        <v>10</v>
      </c>
      <c r="B18" s="214"/>
      <c r="C18" s="214"/>
      <c r="D18" s="214"/>
      <c r="E18" s="214"/>
      <c r="F18" s="214"/>
      <c r="G18" s="1"/>
      <c r="H18" s="1"/>
      <c r="I18" s="159"/>
      <c r="J18" s="160">
        <v>100000000</v>
      </c>
      <c r="K18" s="160" t="s">
        <v>1506</v>
      </c>
      <c r="L18" s="70"/>
    </row>
    <row r="19" spans="1:15" s="2" customFormat="1" ht="15" x14ac:dyDescent="0.35">
      <c r="A19" s="26" t="s">
        <v>1</v>
      </c>
      <c r="B19" s="27" t="s">
        <v>2</v>
      </c>
      <c r="C19" s="5"/>
      <c r="D19" s="6" t="s">
        <v>3</v>
      </c>
      <c r="E19" s="7" t="s">
        <v>4</v>
      </c>
      <c r="F19" s="7" t="s">
        <v>5</v>
      </c>
      <c r="G19" s="1"/>
      <c r="H19" s="1"/>
      <c r="I19" s="159"/>
      <c r="J19" s="179">
        <v>86619013.349999994</v>
      </c>
      <c r="K19" s="160" t="s">
        <v>1507</v>
      </c>
      <c r="L19" s="70" t="s">
        <v>1512</v>
      </c>
    </row>
    <row r="20" spans="1:15" s="2" customFormat="1" x14ac:dyDescent="0.2">
      <c r="A20" s="89">
        <v>45303</v>
      </c>
      <c r="B20" s="128" t="s">
        <v>11</v>
      </c>
      <c r="C20" s="29" t="s">
        <v>7</v>
      </c>
      <c r="D20" s="25"/>
      <c r="E20" s="31"/>
      <c r="F20" s="2">
        <v>88298195.389999956</v>
      </c>
      <c r="G20" s="23"/>
      <c r="H20" s="23"/>
      <c r="I20" s="159" t="s">
        <v>1505</v>
      </c>
      <c r="J20" s="160">
        <f>+J18-J19</f>
        <v>13380986.650000006</v>
      </c>
      <c r="K20" s="160"/>
      <c r="L20" s="70"/>
    </row>
    <row r="21" spans="1:15" s="2" customFormat="1" x14ac:dyDescent="0.2">
      <c r="A21" s="89">
        <v>45303</v>
      </c>
      <c r="B21" s="128" t="s">
        <v>6</v>
      </c>
      <c r="C21" s="76" t="s">
        <v>1954</v>
      </c>
      <c r="D21" s="11" t="s">
        <v>13</v>
      </c>
      <c r="E21" s="31">
        <v>20000</v>
      </c>
      <c r="G21" s="23"/>
      <c r="H21" s="23"/>
      <c r="I21" s="159"/>
      <c r="J21" s="160"/>
      <c r="K21" s="160"/>
      <c r="L21" s="70"/>
    </row>
    <row r="22" spans="1:15" s="2" customFormat="1" x14ac:dyDescent="0.2">
      <c r="A22" s="89">
        <v>45303</v>
      </c>
      <c r="B22" s="128" t="s">
        <v>6</v>
      </c>
      <c r="C22" s="76" t="s">
        <v>1750</v>
      </c>
      <c r="D22" s="11" t="s">
        <v>13</v>
      </c>
      <c r="E22" s="31">
        <v>6195</v>
      </c>
      <c r="F22" s="70"/>
      <c r="G22" s="1"/>
      <c r="H22" s="1"/>
      <c r="O22" s="1"/>
    </row>
    <row r="23" spans="1:15" s="2" customFormat="1" x14ac:dyDescent="0.2">
      <c r="A23" s="89">
        <v>45303</v>
      </c>
      <c r="B23" s="128" t="s">
        <v>6</v>
      </c>
      <c r="C23" s="76" t="s">
        <v>640</v>
      </c>
      <c r="D23" s="11" t="s">
        <v>13</v>
      </c>
      <c r="E23" s="31">
        <v>324167</v>
      </c>
      <c r="F23" s="70"/>
      <c r="G23" s="1"/>
      <c r="H23" s="1"/>
      <c r="O23" s="1"/>
    </row>
    <row r="24" spans="1:15" s="2" customFormat="1" x14ac:dyDescent="0.2">
      <c r="A24" s="89">
        <v>45303</v>
      </c>
      <c r="B24" s="128" t="s">
        <v>6</v>
      </c>
      <c r="C24" s="76" t="s">
        <v>120</v>
      </c>
      <c r="D24" s="11" t="s">
        <v>13</v>
      </c>
      <c r="E24" s="31">
        <v>157889</v>
      </c>
      <c r="F24" s="70"/>
      <c r="G24" s="1"/>
      <c r="H24" s="1"/>
      <c r="O24" s="1"/>
    </row>
    <row r="25" spans="1:15" s="2" customFormat="1" x14ac:dyDescent="0.2">
      <c r="A25" s="89">
        <v>45303</v>
      </c>
      <c r="B25" s="128" t="s">
        <v>6</v>
      </c>
      <c r="C25" s="76" t="s">
        <v>19</v>
      </c>
      <c r="D25" s="11" t="s">
        <v>13</v>
      </c>
      <c r="E25" s="31">
        <v>7080</v>
      </c>
      <c r="F25" s="70"/>
      <c r="G25" s="1"/>
      <c r="H25" s="1"/>
      <c r="O25" s="1"/>
    </row>
    <row r="26" spans="1:15" s="2" customFormat="1" x14ac:dyDescent="0.2">
      <c r="A26" s="89">
        <v>45303</v>
      </c>
      <c r="B26" s="128" t="s">
        <v>6</v>
      </c>
      <c r="C26" s="76" t="s">
        <v>583</v>
      </c>
      <c r="D26" s="11" t="s">
        <v>13</v>
      </c>
      <c r="E26" s="31">
        <v>500000</v>
      </c>
      <c r="F26" s="70"/>
      <c r="G26" s="1"/>
      <c r="H26" s="1"/>
      <c r="O26" s="1"/>
    </row>
    <row r="27" spans="1:15" s="2" customFormat="1" x14ac:dyDescent="0.2">
      <c r="A27" s="89">
        <v>45303</v>
      </c>
      <c r="B27" s="128" t="s">
        <v>6</v>
      </c>
      <c r="C27" s="76" t="s">
        <v>1396</v>
      </c>
      <c r="D27" s="11" t="s">
        <v>13</v>
      </c>
      <c r="E27" s="31">
        <v>747950</v>
      </c>
      <c r="F27" s="70"/>
      <c r="G27" s="1"/>
      <c r="H27" s="1"/>
      <c r="O27" s="1"/>
    </row>
    <row r="28" spans="1:15" s="2" customFormat="1" x14ac:dyDescent="0.2">
      <c r="A28" s="89">
        <v>45303</v>
      </c>
      <c r="B28" s="128" t="s">
        <v>6</v>
      </c>
      <c r="C28" s="76" t="s">
        <v>1959</v>
      </c>
      <c r="D28" s="11" t="s">
        <v>13</v>
      </c>
      <c r="E28" s="31">
        <v>26744</v>
      </c>
      <c r="F28" s="70"/>
      <c r="G28" s="1"/>
      <c r="H28" s="1"/>
      <c r="O28" s="1"/>
    </row>
    <row r="29" spans="1:15" s="2" customFormat="1" x14ac:dyDescent="0.2">
      <c r="A29" s="89">
        <v>45303</v>
      </c>
      <c r="B29" s="128" t="s">
        <v>11</v>
      </c>
      <c r="C29" s="76" t="s">
        <v>64</v>
      </c>
      <c r="D29" s="11" t="s">
        <v>29</v>
      </c>
      <c r="E29" s="31"/>
      <c r="F29" s="70">
        <v>1775.9</v>
      </c>
      <c r="G29" s="1"/>
      <c r="H29" s="1"/>
      <c r="O29" s="1"/>
    </row>
    <row r="30" spans="1:15" s="2" customFormat="1" x14ac:dyDescent="0.2">
      <c r="A30" s="89">
        <v>45303</v>
      </c>
      <c r="B30" s="128" t="s">
        <v>11</v>
      </c>
      <c r="C30" s="76" t="s">
        <v>1886</v>
      </c>
      <c r="D30" s="11" t="s">
        <v>29</v>
      </c>
      <c r="E30" s="31"/>
      <c r="F30" s="70">
        <v>150060.06</v>
      </c>
      <c r="G30" s="1"/>
      <c r="H30" s="1"/>
      <c r="O30" s="1"/>
    </row>
    <row r="31" spans="1:15" s="2" customFormat="1" x14ac:dyDescent="0.2">
      <c r="A31" s="32"/>
      <c r="B31" s="33"/>
      <c r="C31" s="14"/>
      <c r="D31" s="34"/>
      <c r="E31" s="16">
        <f>SUM(E20:E30)</f>
        <v>1790025</v>
      </c>
      <c r="F31" s="16">
        <f>SUM(F20:F30)</f>
        <v>88450031.349999964</v>
      </c>
      <c r="G31" s="1"/>
      <c r="H31" s="1"/>
      <c r="I31" s="1"/>
      <c r="J31" s="38">
        <v>86660006.349999994</v>
      </c>
      <c r="L31" s="92">
        <f>E32-J31</f>
        <v>0</v>
      </c>
      <c r="O31" s="1"/>
    </row>
    <row r="32" spans="1:15" s="2" customFormat="1" x14ac:dyDescent="0.2">
      <c r="A32" s="36"/>
      <c r="B32" s="28" t="s">
        <v>11</v>
      </c>
      <c r="C32" s="19" t="s">
        <v>65</v>
      </c>
      <c r="D32" s="37"/>
      <c r="E32" s="38">
        <f>F31-E31</f>
        <v>86660006.349999964</v>
      </c>
      <c r="F32" s="22"/>
      <c r="G32" s="1"/>
      <c r="H32" s="1"/>
      <c r="I32" s="1"/>
      <c r="J32" s="70"/>
      <c r="K32" s="70"/>
      <c r="L32" s="70"/>
      <c r="O32" s="1"/>
    </row>
    <row r="33" spans="1:15" s="2" customFormat="1" x14ac:dyDescent="0.2">
      <c r="A33" s="36"/>
      <c r="B33" s="28" t="s">
        <v>66</v>
      </c>
      <c r="C33" s="19" t="s">
        <v>67</v>
      </c>
      <c r="D33" s="37"/>
      <c r="E33" s="38">
        <v>11500000</v>
      </c>
      <c r="F33" s="22"/>
      <c r="G33" s="1"/>
      <c r="H33" s="1"/>
      <c r="I33" s="70"/>
      <c r="J33" s="70"/>
      <c r="K33" s="70"/>
      <c r="L33" s="70"/>
      <c r="O33" s="1"/>
    </row>
    <row r="34" spans="1:15" s="2" customFormat="1" x14ac:dyDescent="0.2">
      <c r="A34" s="36"/>
      <c r="B34" s="28" t="s">
        <v>66</v>
      </c>
      <c r="C34" s="43" t="s">
        <v>1457</v>
      </c>
      <c r="D34" s="43"/>
      <c r="E34" s="12">
        <v>400000000</v>
      </c>
      <c r="F34" s="22"/>
      <c r="G34" s="1"/>
      <c r="H34" s="1"/>
      <c r="I34" s="70"/>
      <c r="J34" s="45">
        <v>617.32000000000005</v>
      </c>
      <c r="K34" s="46"/>
      <c r="L34" s="46"/>
      <c r="O34" s="1"/>
    </row>
    <row r="35" spans="1:15" s="2" customFormat="1" ht="15" x14ac:dyDescent="0.25">
      <c r="A35" s="36"/>
      <c r="B35" s="28"/>
      <c r="C35" s="44" t="s">
        <v>1541</v>
      </c>
      <c r="D35" s="43"/>
      <c r="E35" s="7">
        <f>+E34+E32+E33</f>
        <v>498160006.34999996</v>
      </c>
      <c r="F35" s="22"/>
      <c r="G35" s="1"/>
      <c r="H35" s="1"/>
      <c r="I35" s="103" t="s">
        <v>69</v>
      </c>
      <c r="J35" s="45">
        <v>-59.45</v>
      </c>
      <c r="K35" s="46"/>
      <c r="L35" s="46"/>
      <c r="O35" s="1"/>
    </row>
    <row r="36" spans="1:15" s="2" customFormat="1" ht="15" x14ac:dyDescent="0.25">
      <c r="A36" s="24"/>
      <c r="B36" s="1"/>
      <c r="C36" s="44" t="s">
        <v>1510</v>
      </c>
      <c r="D36" s="25"/>
      <c r="E36" s="156">
        <f>+J20-E33+I16-J16</f>
        <v>1839993.650000006</v>
      </c>
      <c r="G36" s="1"/>
      <c r="H36" s="1"/>
      <c r="I36" s="35">
        <v>1</v>
      </c>
      <c r="J36" s="45">
        <v>33.58</v>
      </c>
      <c r="K36" s="46">
        <f>+J37-D39</f>
        <v>0</v>
      </c>
      <c r="O36" s="1"/>
    </row>
    <row r="37" spans="1:15" s="124" customFormat="1" ht="12.75" customHeight="1" x14ac:dyDescent="0.2">
      <c r="A37" s="24"/>
      <c r="B37" s="1"/>
      <c r="C37" s="56"/>
      <c r="D37" s="56"/>
      <c r="E37" s="104"/>
      <c r="F37" s="2"/>
      <c r="G37" s="166"/>
      <c r="H37" s="166"/>
      <c r="I37" s="70"/>
      <c r="J37" s="49">
        <f>SUM(J34:J36)</f>
        <v>591.45000000000005</v>
      </c>
      <c r="K37" s="46"/>
      <c r="L37" s="46"/>
    </row>
    <row r="38" spans="1:15" s="124" customFormat="1" ht="12.75" customHeight="1" x14ac:dyDescent="0.2">
      <c r="A38" s="24"/>
      <c r="B38" s="1"/>
      <c r="C38" s="78" t="s">
        <v>575</v>
      </c>
      <c r="D38" s="48" t="s">
        <v>576</v>
      </c>
      <c r="E38" s="104"/>
      <c r="F38" s="2"/>
      <c r="G38" s="168"/>
      <c r="H38" s="168"/>
      <c r="I38" s="167"/>
      <c r="J38" s="167"/>
      <c r="K38" s="168"/>
    </row>
    <row r="39" spans="1:15" s="124" customFormat="1" ht="12.75" customHeight="1" x14ac:dyDescent="0.2">
      <c r="A39" s="24"/>
      <c r="B39" s="1"/>
      <c r="C39" s="47" t="s">
        <v>570</v>
      </c>
      <c r="D39" s="111">
        <v>591.45000000000005</v>
      </c>
      <c r="E39" s="104"/>
      <c r="F39" s="2"/>
      <c r="G39" s="168"/>
      <c r="H39" s="168"/>
      <c r="I39" s="110" t="s">
        <v>581</v>
      </c>
      <c r="J39" s="167"/>
      <c r="K39" s="168"/>
    </row>
    <row r="40" spans="1:15" s="124" customFormat="1" ht="12.75" customHeight="1" x14ac:dyDescent="0.2">
      <c r="A40" s="24"/>
      <c r="B40" s="1"/>
      <c r="C40" s="47" t="s">
        <v>931</v>
      </c>
      <c r="D40" s="111">
        <v>109.46</v>
      </c>
      <c r="E40" s="104"/>
      <c r="F40" s="2"/>
      <c r="G40" s="168"/>
      <c r="H40" s="168"/>
      <c r="I40" s="110" t="s">
        <v>580</v>
      </c>
      <c r="J40" s="167"/>
      <c r="K40" s="168"/>
    </row>
    <row r="41" spans="1:15" s="124" customFormat="1" ht="12.75" customHeight="1" x14ac:dyDescent="0.2">
      <c r="A41" s="24"/>
      <c r="B41" s="1"/>
      <c r="C41" s="47" t="s">
        <v>572</v>
      </c>
      <c r="D41" s="111">
        <f>+D70/100000</f>
        <v>317.2939834</v>
      </c>
      <c r="E41" s="104"/>
      <c r="F41" s="2"/>
      <c r="G41" s="166"/>
      <c r="H41" s="166"/>
      <c r="I41" s="90" t="s">
        <v>587</v>
      </c>
      <c r="J41" s="167"/>
      <c r="K41" s="168"/>
    </row>
    <row r="42" spans="1:15" s="2" customFormat="1" x14ac:dyDescent="0.2">
      <c r="A42" s="24"/>
      <c r="B42" s="1"/>
      <c r="C42" s="108" t="s">
        <v>578</v>
      </c>
      <c r="D42" s="48">
        <f>SUM(D39:D41)</f>
        <v>1018.2039834000001</v>
      </c>
      <c r="E42" s="104"/>
      <c r="G42" s="30"/>
      <c r="H42" s="30"/>
      <c r="J42" s="13"/>
      <c r="K42" s="13"/>
    </row>
    <row r="43" spans="1:15" s="70" customFormat="1" x14ac:dyDescent="0.2">
      <c r="A43" s="24"/>
      <c r="B43" s="1"/>
      <c r="C43" s="47"/>
      <c r="D43" s="107"/>
      <c r="E43" s="104"/>
      <c r="F43" s="2"/>
      <c r="G43" s="30"/>
      <c r="H43" s="30"/>
      <c r="I43" s="2"/>
    </row>
    <row r="44" spans="1:15" s="70" customFormat="1" x14ac:dyDescent="0.2">
      <c r="A44" s="24"/>
      <c r="B44" s="1"/>
      <c r="C44" s="47" t="s">
        <v>932</v>
      </c>
      <c r="D44" s="111">
        <v>217.78</v>
      </c>
      <c r="E44" s="104"/>
      <c r="F44" s="2"/>
      <c r="G44" s="30"/>
      <c r="H44" s="30"/>
      <c r="I44" s="110" t="s">
        <v>581</v>
      </c>
    </row>
    <row r="45" spans="1:15" s="70" customFormat="1" x14ac:dyDescent="0.2">
      <c r="A45" s="24"/>
      <c r="B45" s="1"/>
      <c r="C45" s="136" t="s">
        <v>1142</v>
      </c>
      <c r="D45" s="111">
        <v>558.27</v>
      </c>
      <c r="E45" s="104"/>
      <c r="F45" s="2"/>
      <c r="G45" s="30"/>
      <c r="H45" s="30"/>
      <c r="I45" s="110" t="s">
        <v>581</v>
      </c>
    </row>
    <row r="46" spans="1:15" s="70" customFormat="1" x14ac:dyDescent="0.2">
      <c r="A46" s="24"/>
      <c r="B46" s="1"/>
      <c r="C46" s="78" t="s">
        <v>579</v>
      </c>
      <c r="D46" s="109">
        <f>D44+D45</f>
        <v>776.05</v>
      </c>
      <c r="E46" s="104"/>
      <c r="F46" s="2"/>
      <c r="G46" s="30"/>
      <c r="H46" s="30"/>
    </row>
    <row r="47" spans="1:15" s="70" customFormat="1" x14ac:dyDescent="0.2">
      <c r="A47" s="24"/>
      <c r="B47" s="1"/>
      <c r="C47" s="105"/>
      <c r="D47" s="106"/>
      <c r="E47" s="104"/>
      <c r="F47" s="2"/>
      <c r="G47" s="30"/>
      <c r="H47" s="30"/>
      <c r="J47" s="2"/>
      <c r="K47" s="221" t="str">
        <f>"FROM ( 01-01-2024 to "&amp;TEXT(A5,"dd-mm-yyyy")&amp;" )"</f>
        <v>FROM ( 01-01-2024 to 12-01-2024 )</v>
      </c>
      <c r="L47" s="221"/>
      <c r="M47" s="2"/>
      <c r="N47" s="2"/>
    </row>
    <row r="48" spans="1:15" s="70" customFormat="1" x14ac:dyDescent="0.2">
      <c r="A48" s="24"/>
      <c r="B48" s="1"/>
      <c r="C48" s="78" t="s">
        <v>577</v>
      </c>
      <c r="D48" s="109">
        <f>D39+D46</f>
        <v>1367.5</v>
      </c>
      <c r="E48" s="104"/>
      <c r="F48" s="2"/>
      <c r="G48" s="30"/>
      <c r="H48" s="30"/>
      <c r="J48" s="113"/>
      <c r="K48" s="113" t="s">
        <v>709</v>
      </c>
      <c r="L48" s="113" t="s">
        <v>710</v>
      </c>
      <c r="M48" s="113" t="s">
        <v>711</v>
      </c>
      <c r="N48" s="113" t="s">
        <v>712</v>
      </c>
    </row>
    <row r="49" spans="1:15" s="70" customFormat="1" x14ac:dyDescent="0.2">
      <c r="A49" s="24"/>
      <c r="B49" s="1"/>
      <c r="C49" s="56"/>
      <c r="D49" s="56"/>
      <c r="E49" s="104"/>
      <c r="F49" s="2"/>
      <c r="G49" s="30"/>
      <c r="H49" s="30"/>
      <c r="J49" s="113" t="s">
        <v>1860</v>
      </c>
      <c r="K49" s="115">
        <v>189.89</v>
      </c>
      <c r="L49" s="115">
        <v>56.31</v>
      </c>
      <c r="M49" s="115">
        <v>58.41</v>
      </c>
      <c r="N49" s="113">
        <f>+K49+M49-L49</f>
        <v>191.98999999999998</v>
      </c>
    </row>
    <row r="50" spans="1:15" s="70" customFormat="1" ht="38.25" x14ac:dyDescent="0.2">
      <c r="A50" s="24"/>
      <c r="B50" s="1"/>
      <c r="C50" s="79" t="str">
        <f>"Particulars ( 01-01-2024 to "&amp;TEXT(A5,"dd-mm-yyyy")&amp;" )"</f>
        <v>Particulars ( 01-01-2024 to 12-01-2024 )</v>
      </c>
      <c r="D50" s="79" t="s">
        <v>7</v>
      </c>
      <c r="E50" s="80" t="s">
        <v>73</v>
      </c>
      <c r="F50" s="80" t="s">
        <v>74</v>
      </c>
      <c r="G50" s="81" t="s">
        <v>75</v>
      </c>
      <c r="H50" s="80" t="s">
        <v>76</v>
      </c>
      <c r="J50" s="113" t="s">
        <v>1861</v>
      </c>
      <c r="K50" s="115">
        <v>1669.07</v>
      </c>
      <c r="L50" s="115">
        <v>317.29000000000002</v>
      </c>
      <c r="M50" s="115">
        <v>556.16999999999996</v>
      </c>
      <c r="N50" s="113">
        <f>+K50+M50-L50</f>
        <v>1907.9499999999998</v>
      </c>
    </row>
    <row r="51" spans="1:15" s="70" customFormat="1" x14ac:dyDescent="0.2">
      <c r="A51" s="24"/>
      <c r="B51" s="1"/>
      <c r="C51" s="50" t="s">
        <v>444</v>
      </c>
      <c r="D51" s="55">
        <f>+K51</f>
        <v>140.88</v>
      </c>
      <c r="E51" s="55">
        <f>+M51</f>
        <v>217.78</v>
      </c>
      <c r="F51" s="55">
        <f>+L51</f>
        <v>109.46</v>
      </c>
      <c r="G51" s="55">
        <f>+D51+E51-F51</f>
        <v>249.2</v>
      </c>
      <c r="H51" s="55">
        <f>1500-G51</f>
        <v>1250.8</v>
      </c>
      <c r="J51" s="113" t="s">
        <v>707</v>
      </c>
      <c r="K51" s="115">
        <v>140.88</v>
      </c>
      <c r="L51" s="115">
        <v>109.46</v>
      </c>
      <c r="M51" s="115">
        <v>217.78</v>
      </c>
      <c r="N51" s="113">
        <f>+K51+M51-L51</f>
        <v>249.2</v>
      </c>
    </row>
    <row r="52" spans="1:15" s="70" customFormat="1" ht="12.75" customHeight="1" x14ac:dyDescent="0.2">
      <c r="A52" s="24"/>
      <c r="B52" s="1"/>
      <c r="C52" s="50" t="s">
        <v>71</v>
      </c>
      <c r="D52" s="55">
        <f>+K49+K50</f>
        <v>1858.96</v>
      </c>
      <c r="E52" s="55">
        <f>+M49+M50</f>
        <v>614.57999999999993</v>
      </c>
      <c r="F52" s="55">
        <f>+L49+L50</f>
        <v>373.6</v>
      </c>
      <c r="G52" s="55">
        <f>+D52+E52-F52</f>
        <v>2099.94</v>
      </c>
      <c r="H52" s="55">
        <f>1500+700-G52</f>
        <v>100.05999999999995</v>
      </c>
      <c r="J52" s="2"/>
      <c r="K52" s="118">
        <f>SUM(K49:K51)</f>
        <v>1999.8400000000001</v>
      </c>
      <c r="L52" s="118">
        <f>SUM(L49:L51)</f>
        <v>483.06</v>
      </c>
      <c r="M52" s="118">
        <f>SUM(M49:M51)</f>
        <v>832.3599999999999</v>
      </c>
      <c r="N52" s="118">
        <f>SUM(N49:N51)</f>
        <v>2349.1399999999994</v>
      </c>
    </row>
    <row r="53" spans="1:15" s="70" customFormat="1" ht="12.75" customHeight="1" x14ac:dyDescent="0.2">
      <c r="A53" s="24"/>
      <c r="B53" s="1"/>
      <c r="C53" s="14"/>
      <c r="D53" s="56"/>
      <c r="E53" s="13"/>
      <c r="F53" s="2"/>
      <c r="G53" s="30"/>
      <c r="H53" s="30"/>
    </row>
    <row r="54" spans="1:15" s="70" customFormat="1" ht="12.75" customHeight="1" x14ac:dyDescent="0.2">
      <c r="A54" s="215" t="s">
        <v>80</v>
      </c>
      <c r="B54" s="216"/>
      <c r="C54" s="216"/>
      <c r="D54" s="217"/>
      <c r="E54" s="69"/>
      <c r="G54" s="30"/>
      <c r="H54" s="30"/>
    </row>
    <row r="55" spans="1:15" s="70" customFormat="1" ht="12.75" customHeight="1" x14ac:dyDescent="0.2">
      <c r="A55" s="71" t="s">
        <v>81</v>
      </c>
      <c r="B55" s="71"/>
      <c r="C55" s="72" t="s">
        <v>82</v>
      </c>
      <c r="D55" s="73" t="s">
        <v>83</v>
      </c>
      <c r="E55" s="69"/>
      <c r="G55" s="30"/>
      <c r="H55" s="30"/>
    </row>
    <row r="56" spans="1:15" s="70" customFormat="1" ht="12.75" customHeight="1" x14ac:dyDescent="0.2">
      <c r="A56" s="87">
        <v>45292</v>
      </c>
      <c r="B56" s="120" t="s">
        <v>6</v>
      </c>
      <c r="C56" s="75" t="s">
        <v>1933</v>
      </c>
      <c r="D56" s="88">
        <v>7583470</v>
      </c>
      <c r="E56" s="2"/>
      <c r="F56" s="2"/>
      <c r="G56" s="30"/>
      <c r="H56" s="30"/>
      <c r="I56" s="2"/>
      <c r="J56" s="2"/>
      <c r="K56" s="2"/>
      <c r="L56" s="2"/>
      <c r="M56" s="41"/>
      <c r="N56" s="42"/>
      <c r="O56" s="2"/>
    </row>
    <row r="57" spans="1:15" s="70" customFormat="1" ht="12.75" customHeight="1" x14ac:dyDescent="0.2">
      <c r="A57" s="87">
        <v>45293</v>
      </c>
      <c r="B57" s="120" t="s">
        <v>6</v>
      </c>
      <c r="C57" s="75" t="s">
        <v>1934</v>
      </c>
      <c r="D57" s="88">
        <v>124988</v>
      </c>
      <c r="E57" s="2"/>
      <c r="F57" s="2"/>
      <c r="G57" s="30"/>
      <c r="H57" s="30"/>
      <c r="I57" s="2"/>
      <c r="J57" s="2"/>
      <c r="K57" s="2"/>
      <c r="L57" s="2"/>
      <c r="M57" s="41"/>
      <c r="N57" s="42"/>
      <c r="O57" s="2"/>
    </row>
    <row r="58" spans="1:15" s="70" customFormat="1" ht="12.75" customHeight="1" x14ac:dyDescent="0.2">
      <c r="A58" s="87">
        <v>45294</v>
      </c>
      <c r="B58" s="120" t="s">
        <v>6</v>
      </c>
      <c r="C58" s="75" t="s">
        <v>606</v>
      </c>
      <c r="D58" s="88">
        <v>260191</v>
      </c>
      <c r="E58" s="2"/>
      <c r="F58" s="2"/>
      <c r="G58" s="30"/>
      <c r="H58" s="30"/>
      <c r="I58" s="2"/>
      <c r="J58" s="2"/>
      <c r="K58" s="2"/>
      <c r="L58" s="2"/>
      <c r="M58" s="41"/>
      <c r="N58" s="42"/>
      <c r="O58" s="2"/>
    </row>
    <row r="59" spans="1:15" s="70" customFormat="1" ht="12.75" customHeight="1" x14ac:dyDescent="0.2">
      <c r="A59" s="87">
        <v>45294</v>
      </c>
      <c r="B59" s="120" t="s">
        <v>6</v>
      </c>
      <c r="C59" s="75" t="s">
        <v>888</v>
      </c>
      <c r="D59" s="88">
        <v>2431991.34</v>
      </c>
      <c r="E59" s="2"/>
      <c r="F59" s="2"/>
      <c r="G59" s="30"/>
      <c r="H59" s="30"/>
      <c r="I59" s="2"/>
      <c r="J59" s="2"/>
      <c r="K59" s="2"/>
      <c r="L59" s="2"/>
      <c r="M59" s="41"/>
      <c r="N59" s="42"/>
      <c r="O59" s="2"/>
    </row>
    <row r="60" spans="1:15" s="70" customFormat="1" ht="12.75" customHeight="1" x14ac:dyDescent="0.2">
      <c r="A60" s="87">
        <v>45295</v>
      </c>
      <c r="B60" s="120" t="s">
        <v>6</v>
      </c>
      <c r="C60" s="75" t="s">
        <v>1944</v>
      </c>
      <c r="D60" s="88">
        <v>23655</v>
      </c>
      <c r="E60" s="2"/>
      <c r="F60" s="2"/>
      <c r="G60" s="30"/>
      <c r="H60" s="30"/>
      <c r="I60" s="2"/>
      <c r="J60" s="2"/>
      <c r="K60" s="2"/>
      <c r="L60" s="2"/>
      <c r="M60" s="41"/>
      <c r="N60" s="42"/>
      <c r="O60" s="2"/>
    </row>
    <row r="61" spans="1:15" s="70" customFormat="1" ht="12.75" customHeight="1" x14ac:dyDescent="0.2">
      <c r="A61" s="87">
        <v>45295</v>
      </c>
      <c r="B61" s="120" t="s">
        <v>6</v>
      </c>
      <c r="C61" s="75" t="s">
        <v>1944</v>
      </c>
      <c r="D61" s="88">
        <v>321576</v>
      </c>
      <c r="E61" s="2"/>
      <c r="F61" s="2"/>
      <c r="G61" s="30"/>
      <c r="H61" s="30"/>
      <c r="I61" s="2"/>
      <c r="J61" s="2"/>
      <c r="K61" s="2"/>
      <c r="L61" s="2"/>
      <c r="M61" s="41"/>
      <c r="N61" s="42"/>
      <c r="O61" s="2"/>
    </row>
    <row r="62" spans="1:15" s="70" customFormat="1" ht="12.75" customHeight="1" x14ac:dyDescent="0.2">
      <c r="A62" s="87">
        <v>45295</v>
      </c>
      <c r="B62" s="120" t="s">
        <v>6</v>
      </c>
      <c r="C62" s="75" t="s">
        <v>1944</v>
      </c>
      <c r="D62" s="88">
        <v>430832</v>
      </c>
      <c r="E62" s="2"/>
      <c r="F62" s="2"/>
      <c r="G62" s="30"/>
      <c r="H62" s="30"/>
      <c r="I62" s="2"/>
      <c r="J62" s="2"/>
      <c r="K62" s="2"/>
      <c r="L62" s="2"/>
      <c r="M62" s="41"/>
      <c r="N62" s="42"/>
      <c r="O62" s="2"/>
    </row>
    <row r="63" spans="1:15" s="70" customFormat="1" ht="12.75" customHeight="1" x14ac:dyDescent="0.2">
      <c r="A63" s="87">
        <v>45295</v>
      </c>
      <c r="B63" s="120" t="s">
        <v>6</v>
      </c>
      <c r="C63" s="75" t="s">
        <v>1934</v>
      </c>
      <c r="D63" s="88">
        <v>892589</v>
      </c>
      <c r="E63" s="2"/>
      <c r="F63" s="2"/>
      <c r="G63" s="30"/>
      <c r="H63" s="30"/>
      <c r="I63" s="2"/>
      <c r="J63" s="2"/>
      <c r="K63" s="2"/>
      <c r="L63" s="2"/>
      <c r="M63" s="41"/>
      <c r="N63" s="42"/>
      <c r="O63" s="2"/>
    </row>
    <row r="64" spans="1:15" s="70" customFormat="1" ht="12.75" customHeight="1" x14ac:dyDescent="0.2">
      <c r="A64" s="87">
        <v>45299</v>
      </c>
      <c r="B64" s="120" t="s">
        <v>6</v>
      </c>
      <c r="C64" s="75" t="s">
        <v>1933</v>
      </c>
      <c r="D64" s="88">
        <v>8143487</v>
      </c>
      <c r="E64" s="2"/>
      <c r="F64" s="2"/>
      <c r="G64" s="30"/>
      <c r="H64" s="30"/>
      <c r="I64" s="2"/>
      <c r="J64" s="2"/>
      <c r="K64" s="2"/>
      <c r="L64" s="2"/>
      <c r="M64" s="41"/>
      <c r="N64" s="42"/>
      <c r="O64" s="2"/>
    </row>
    <row r="65" spans="1:15" s="70" customFormat="1" ht="12.75" customHeight="1" x14ac:dyDescent="0.2">
      <c r="A65" s="87">
        <v>45299</v>
      </c>
      <c r="B65" s="120" t="s">
        <v>6</v>
      </c>
      <c r="C65" s="75" t="s">
        <v>606</v>
      </c>
      <c r="D65" s="88">
        <v>487316</v>
      </c>
      <c r="E65" s="2"/>
      <c r="F65" s="2"/>
      <c r="G65" s="30"/>
      <c r="H65" s="30"/>
      <c r="I65" s="2"/>
      <c r="J65" s="2"/>
      <c r="K65" s="2"/>
      <c r="L65" s="2"/>
      <c r="M65" s="41"/>
      <c r="N65" s="42"/>
      <c r="O65" s="2"/>
    </row>
    <row r="66" spans="1:15" s="70" customFormat="1" ht="12.75" customHeight="1" x14ac:dyDescent="0.2">
      <c r="A66" s="87">
        <v>45301</v>
      </c>
      <c r="B66" s="120" t="s">
        <v>6</v>
      </c>
      <c r="C66" s="75" t="s">
        <v>1933</v>
      </c>
      <c r="D66" s="88">
        <v>2690</v>
      </c>
      <c r="E66" s="2"/>
      <c r="F66" s="2"/>
      <c r="G66" s="30"/>
      <c r="H66" s="30"/>
      <c r="I66" s="2"/>
      <c r="J66" s="2"/>
      <c r="K66" s="2"/>
      <c r="L66" s="2"/>
      <c r="M66" s="41"/>
      <c r="N66" s="42"/>
      <c r="O66" s="2"/>
    </row>
    <row r="67" spans="1:15" s="70" customFormat="1" ht="12.75" customHeight="1" x14ac:dyDescent="0.2">
      <c r="A67" s="87">
        <v>45301</v>
      </c>
      <c r="B67" s="120" t="s">
        <v>6</v>
      </c>
      <c r="C67" s="75" t="s">
        <v>1933</v>
      </c>
      <c r="D67" s="88">
        <v>2133516</v>
      </c>
      <c r="E67" s="2"/>
      <c r="F67" s="2"/>
      <c r="G67" s="30"/>
      <c r="H67" s="30"/>
      <c r="I67" s="2"/>
      <c r="J67" s="2"/>
      <c r="K67" s="2"/>
      <c r="L67" s="2"/>
      <c r="M67" s="41"/>
      <c r="N67" s="42"/>
      <c r="O67" s="2"/>
    </row>
    <row r="68" spans="1:15" s="70" customFormat="1" ht="12.75" customHeight="1" x14ac:dyDescent="0.2">
      <c r="A68" s="87">
        <v>45302</v>
      </c>
      <c r="B68" s="120" t="s">
        <v>6</v>
      </c>
      <c r="C68" s="75" t="s">
        <v>1084</v>
      </c>
      <c r="D68" s="88">
        <v>3000000</v>
      </c>
      <c r="E68" s="2"/>
      <c r="F68" s="2"/>
      <c r="G68" s="30"/>
      <c r="H68" s="30"/>
      <c r="I68" s="2"/>
      <c r="J68" s="2"/>
      <c r="K68" s="2"/>
      <c r="L68" s="2"/>
      <c r="M68" s="41"/>
      <c r="N68" s="42"/>
      <c r="O68" s="2"/>
    </row>
    <row r="69" spans="1:15" s="70" customFormat="1" ht="12.75" customHeight="1" x14ac:dyDescent="0.2">
      <c r="A69" s="87">
        <v>45303</v>
      </c>
      <c r="B69" s="120" t="s">
        <v>6</v>
      </c>
      <c r="C69" s="75" t="s">
        <v>1933</v>
      </c>
      <c r="D69" s="88">
        <v>5893097</v>
      </c>
      <c r="E69" s="2"/>
      <c r="F69" s="2"/>
      <c r="G69" s="30"/>
      <c r="H69" s="30"/>
      <c r="I69" s="2"/>
      <c r="J69" s="2"/>
      <c r="K69" s="2"/>
      <c r="L69" s="2"/>
      <c r="M69" s="41"/>
      <c r="N69" s="42"/>
      <c r="O69" s="2"/>
    </row>
    <row r="70" spans="1:15" s="2" customFormat="1" x14ac:dyDescent="0.2">
      <c r="A70" s="87"/>
      <c r="B70" s="74"/>
      <c r="C70" s="75"/>
      <c r="D70" s="51">
        <f>SUM(D56:D69)</f>
        <v>31729398.34</v>
      </c>
      <c r="F70" s="2" t="s">
        <v>396</v>
      </c>
      <c r="G70" s="1"/>
      <c r="H70" s="1"/>
    </row>
    <row r="71" spans="1:15" s="2" customFormat="1" x14ac:dyDescent="0.2">
      <c r="A71" s="24"/>
      <c r="B71" s="1"/>
      <c r="C71" s="14"/>
      <c r="D71" s="56"/>
      <c r="E71" s="13"/>
      <c r="G71" s="1"/>
      <c r="H71" s="1"/>
    </row>
    <row r="72" spans="1:15" s="2" customFormat="1" x14ac:dyDescent="0.2">
      <c r="A72" s="24"/>
      <c r="B72" s="1"/>
      <c r="C72" s="218" t="s">
        <v>77</v>
      </c>
      <c r="D72" s="219"/>
      <c r="E72" s="219"/>
      <c r="F72" s="220"/>
      <c r="I72" s="2" t="s">
        <v>396</v>
      </c>
    </row>
    <row r="73" spans="1:15" s="2" customFormat="1" x14ac:dyDescent="0.2">
      <c r="A73" s="24"/>
      <c r="B73" s="1"/>
      <c r="C73" s="50"/>
      <c r="D73" s="57" t="s">
        <v>78</v>
      </c>
      <c r="E73" s="58" t="s">
        <v>79</v>
      </c>
      <c r="F73" s="57" t="s">
        <v>72</v>
      </c>
      <c r="I73" s="2" t="s">
        <v>396</v>
      </c>
    </row>
    <row r="74" spans="1:15" s="2" customFormat="1" x14ac:dyDescent="0.2">
      <c r="A74" s="24"/>
      <c r="B74" s="1"/>
      <c r="C74" s="59" t="str">
        <f>"01-01-2024 to "&amp;TEXT(A5-2,"dd-mm-yyyy")</f>
        <v>01-01-2024 to 10-01-2024</v>
      </c>
      <c r="D74" s="60">
        <v>831.64</v>
      </c>
      <c r="E74" s="60">
        <v>234.6</v>
      </c>
      <c r="F74" s="61">
        <f>SUM(D74:E74)</f>
        <v>1066.24</v>
      </c>
    </row>
    <row r="75" spans="1:15" s="2" customFormat="1" x14ac:dyDescent="0.2">
      <c r="A75" s="24"/>
      <c r="B75" s="1"/>
      <c r="C75" s="62" t="str">
        <f>TEXT(A5-1,"dd-mm-yyyy")</f>
        <v>11-01-2024</v>
      </c>
      <c r="D75" s="60">
        <v>92</v>
      </c>
      <c r="E75" s="60">
        <v>20.8</v>
      </c>
      <c r="F75" s="61">
        <f>SUM(D75:E75)</f>
        <v>112.8</v>
      </c>
      <c r="G75" s="1"/>
      <c r="H75" s="1"/>
      <c r="I75" s="53"/>
    </row>
    <row r="76" spans="1:15" s="2" customFormat="1" ht="13.5" thickBot="1" x14ac:dyDescent="0.25">
      <c r="A76" s="24"/>
      <c r="B76" s="1"/>
      <c r="C76" s="63" t="str">
        <f>"01-01-2024 to "&amp;TEXT(A5-1,"dd-mm-yyyy")</f>
        <v>01-01-2024 to 11-01-2024</v>
      </c>
      <c r="D76" s="64">
        <f>SUM(D74:D75)</f>
        <v>923.64</v>
      </c>
      <c r="E76" s="64">
        <f>SUM(E74:E75)</f>
        <v>255.4</v>
      </c>
      <c r="F76" s="64">
        <f>SUM(F74:F75)</f>
        <v>1179.04</v>
      </c>
      <c r="G76" s="1"/>
      <c r="H76" s="1"/>
      <c r="I76" s="53"/>
    </row>
    <row r="77" spans="1:15" s="2" customFormat="1" ht="13.5" thickTop="1" x14ac:dyDescent="0.2">
      <c r="A77" s="24"/>
      <c r="B77" s="1"/>
      <c r="C77" s="62"/>
      <c r="D77" s="65"/>
      <c r="E77" s="66"/>
      <c r="F77" s="67"/>
      <c r="M77" s="1"/>
      <c r="N77" s="1"/>
    </row>
    <row r="78" spans="1:15" s="2" customFormat="1" x14ac:dyDescent="0.2">
      <c r="A78" s="24"/>
      <c r="B78" s="1"/>
      <c r="C78" s="62" t="str">
        <f>"01-04-2023 to " &amp;C75</f>
        <v>01-04-2023 to 11-01-2024</v>
      </c>
      <c r="D78" s="68">
        <f>+D76+34576.72</f>
        <v>35500.36</v>
      </c>
      <c r="E78" s="68">
        <f>+E76+3831.86</f>
        <v>4087.26</v>
      </c>
      <c r="F78" s="68">
        <f>+F76+38408.58</f>
        <v>39587.620000000003</v>
      </c>
      <c r="G78" s="1"/>
      <c r="H78" s="1"/>
      <c r="M78" s="1"/>
      <c r="N78" s="1"/>
    </row>
    <row r="79" spans="1:15" s="2" customFormat="1" x14ac:dyDescent="0.2">
      <c r="A79" s="24"/>
      <c r="B79" s="1"/>
      <c r="C79" s="52"/>
      <c r="D79" s="85"/>
      <c r="E79" s="53"/>
      <c r="F79" s="53"/>
      <c r="G79" s="1"/>
      <c r="H79" s="1"/>
      <c r="M79" s="1"/>
      <c r="N79" s="1"/>
    </row>
    <row r="80" spans="1:15" s="2" customFormat="1" x14ac:dyDescent="0.2">
      <c r="A80" s="24"/>
      <c r="B80" s="1"/>
      <c r="C80" s="52"/>
      <c r="D80" s="85"/>
      <c r="E80" s="53"/>
      <c r="F80" s="53"/>
      <c r="G80" s="1"/>
      <c r="H80" s="1"/>
      <c r="M80" s="1"/>
      <c r="N80" s="1"/>
    </row>
    <row r="81" spans="1:14" s="2" customFormat="1" x14ac:dyDescent="0.2">
      <c r="A81" s="24"/>
      <c r="B81" s="1"/>
      <c r="C81" s="52"/>
      <c r="D81" s="85"/>
      <c r="E81" s="53"/>
      <c r="F81" s="53"/>
      <c r="G81" s="1"/>
      <c r="H81" s="1"/>
      <c r="M81" s="1"/>
      <c r="N81" s="1"/>
    </row>
    <row r="82" spans="1:14" s="2" customFormat="1" x14ac:dyDescent="0.2">
      <c r="A82" s="24"/>
      <c r="B82" s="1"/>
      <c r="C82" s="52"/>
      <c r="D82" s="85"/>
      <c r="E82" s="53"/>
      <c r="F82" s="53"/>
      <c r="G82" s="1"/>
      <c r="H82" s="1"/>
      <c r="M82" s="1"/>
      <c r="N82" s="1"/>
    </row>
    <row r="83" spans="1:14" s="2" customFormat="1" x14ac:dyDescent="0.2">
      <c r="A83" s="24"/>
      <c r="B83" s="1"/>
      <c r="C83" s="14"/>
      <c r="D83" s="25">
        <f>SUM(D80:D82)</f>
        <v>0</v>
      </c>
      <c r="E83" s="2">
        <f>SUM(E80:E82)</f>
        <v>0</v>
      </c>
      <c r="G83" s="1"/>
      <c r="H83" s="1"/>
      <c r="M83" s="1"/>
      <c r="N83" s="1"/>
    </row>
    <row r="84" spans="1:14" s="2" customFormat="1" x14ac:dyDescent="0.2">
      <c r="A84" s="24"/>
      <c r="B84" s="1"/>
      <c r="C84" s="14"/>
      <c r="D84" s="25"/>
      <c r="G84" s="1"/>
      <c r="H84" s="1"/>
      <c r="M84" s="1"/>
      <c r="N84" s="1"/>
    </row>
    <row r="85" spans="1:14" s="2" customFormat="1" x14ac:dyDescent="0.2">
      <c r="A85" s="24"/>
      <c r="B85" s="1"/>
      <c r="C85" s="14"/>
      <c r="D85" s="25"/>
      <c r="G85" s="1"/>
      <c r="H85" s="1"/>
      <c r="M85" s="1"/>
      <c r="N85" s="1"/>
    </row>
    <row r="86" spans="1:14" s="2" customFormat="1" x14ac:dyDescent="0.2">
      <c r="A86" s="24"/>
      <c r="B86" s="1"/>
      <c r="C86" s="14"/>
      <c r="D86" s="25"/>
      <c r="G86" s="1"/>
      <c r="H86" s="1"/>
      <c r="M86" s="1"/>
      <c r="N86" s="1"/>
    </row>
    <row r="87" spans="1:14" s="2" customFormat="1" x14ac:dyDescent="0.2">
      <c r="A87" s="24"/>
      <c r="B87" s="1"/>
      <c r="C87" s="14"/>
      <c r="D87" s="25"/>
      <c r="G87" s="1"/>
      <c r="H87" s="1"/>
      <c r="M87" s="1"/>
      <c r="N87" s="1"/>
    </row>
    <row r="88" spans="1:14" s="2" customFormat="1" x14ac:dyDescent="0.2">
      <c r="A88" s="24"/>
      <c r="B88" s="1"/>
      <c r="C88" s="14"/>
      <c r="D88" s="25"/>
      <c r="G88" s="1"/>
      <c r="H88" s="1"/>
      <c r="M88" s="1"/>
      <c r="N88" s="1"/>
    </row>
    <row r="89" spans="1:14" s="2" customFormat="1" x14ac:dyDescent="0.2">
      <c r="A89" s="24"/>
      <c r="B89" s="1"/>
      <c r="C89" s="14"/>
      <c r="D89" s="25"/>
      <c r="G89" s="1"/>
      <c r="H89" s="1"/>
      <c r="M89" s="1"/>
      <c r="N89" s="1"/>
    </row>
    <row r="90" spans="1:14" s="2" customFormat="1" x14ac:dyDescent="0.2">
      <c r="A90" s="24"/>
      <c r="B90" s="1"/>
      <c r="C90" s="14"/>
      <c r="D90" s="25"/>
      <c r="G90" s="1"/>
      <c r="H90" s="1"/>
      <c r="M90" s="1"/>
      <c r="N90" s="1"/>
    </row>
    <row r="91" spans="1:14" s="2" customFormat="1" x14ac:dyDescent="0.2">
      <c r="A91" s="24"/>
      <c r="B91" s="1"/>
      <c r="C91" s="14"/>
      <c r="D91" s="25"/>
      <c r="G91" s="1"/>
      <c r="H91" s="1"/>
      <c r="M91" s="1"/>
      <c r="N91" s="1"/>
    </row>
    <row r="92" spans="1:14" s="2" customFormat="1" x14ac:dyDescent="0.2">
      <c r="A92" s="24"/>
      <c r="B92" s="1"/>
      <c r="C92" s="14"/>
      <c r="D92" s="25"/>
      <c r="G92" s="1"/>
      <c r="H92" s="1"/>
      <c r="M92" s="1"/>
      <c r="N92" s="1"/>
    </row>
    <row r="93" spans="1:14" s="2" customFormat="1" x14ac:dyDescent="0.2">
      <c r="A93" s="24"/>
      <c r="B93" s="1"/>
      <c r="C93" s="14"/>
      <c r="D93" s="25"/>
      <c r="G93" s="1"/>
      <c r="H93" s="1"/>
      <c r="M93" s="1"/>
      <c r="N93" s="1"/>
    </row>
    <row r="94" spans="1:14" s="2" customFormat="1" x14ac:dyDescent="0.2">
      <c r="A94" s="24"/>
      <c r="B94" s="1"/>
      <c r="C94" s="14"/>
      <c r="D94" s="25"/>
      <c r="G94" s="1"/>
      <c r="H94" s="1"/>
      <c r="M94" s="1"/>
      <c r="N94" s="1"/>
    </row>
    <row r="95" spans="1:14" s="2" customFormat="1" x14ac:dyDescent="0.2">
      <c r="A95" s="24"/>
      <c r="B95" s="1"/>
      <c r="C95" s="14"/>
      <c r="D95" s="25"/>
      <c r="G95" s="1"/>
      <c r="H95" s="1"/>
      <c r="M95" s="1"/>
      <c r="N95" s="1"/>
    </row>
    <row r="96" spans="1:14" s="2" customFormat="1" x14ac:dyDescent="0.2">
      <c r="A96" s="24"/>
      <c r="B96" s="1"/>
      <c r="C96" s="14"/>
      <c r="D96" s="25"/>
      <c r="G96" s="1"/>
      <c r="H96" s="1"/>
      <c r="M96" s="1"/>
      <c r="N96" s="1"/>
    </row>
    <row r="97" spans="1:15" s="2" customFormat="1" x14ac:dyDescent="0.2">
      <c r="A97" s="24"/>
      <c r="B97" s="1"/>
      <c r="C97" s="14"/>
      <c r="D97" s="25"/>
      <c r="G97" s="1"/>
      <c r="H97" s="1"/>
      <c r="J97" s="1"/>
      <c r="K97" s="1"/>
      <c r="L97" s="1"/>
      <c r="M97" s="1"/>
      <c r="N97" s="1"/>
    </row>
    <row r="98" spans="1:15" s="2" customFormat="1" x14ac:dyDescent="0.2">
      <c r="A98" s="24"/>
      <c r="B98" s="1"/>
      <c r="C98" s="14"/>
      <c r="D98" s="25"/>
      <c r="G98" s="1"/>
      <c r="H98" s="1"/>
    </row>
    <row r="99" spans="1:15" s="2" customFormat="1" x14ac:dyDescent="0.2">
      <c r="A99" s="24"/>
      <c r="B99" s="1"/>
      <c r="C99" s="14"/>
      <c r="D99" s="25"/>
      <c r="G99" s="1"/>
      <c r="H99" s="1"/>
      <c r="J99" s="1"/>
      <c r="K99" s="1"/>
      <c r="L99" s="1"/>
      <c r="M99" s="1"/>
      <c r="N99" s="1"/>
    </row>
    <row r="100" spans="1:15" s="2" customFormat="1" x14ac:dyDescent="0.2">
      <c r="A100" s="24"/>
      <c r="B100" s="1"/>
      <c r="C100" s="14"/>
      <c r="D100" s="25"/>
      <c r="G100" s="54"/>
      <c r="H100" s="54"/>
      <c r="J100" s="1"/>
      <c r="K100" s="1"/>
      <c r="L100" s="1"/>
      <c r="M100" s="1"/>
      <c r="N100" s="1"/>
    </row>
    <row r="101" spans="1:15" s="2" customFormat="1" x14ac:dyDescent="0.2">
      <c r="A101" s="24"/>
      <c r="B101" s="1"/>
      <c r="C101" s="14"/>
      <c r="D101" s="25"/>
      <c r="G101" s="54"/>
      <c r="H101" s="54"/>
      <c r="J101" s="1"/>
      <c r="K101" s="1"/>
      <c r="L101" s="1"/>
      <c r="M101" s="1"/>
      <c r="N101" s="1"/>
    </row>
    <row r="102" spans="1:15" s="2" customFormat="1" x14ac:dyDescent="0.2">
      <c r="A102" s="24"/>
      <c r="B102" s="1"/>
      <c r="C102" s="14"/>
      <c r="D102" s="25"/>
      <c r="G102" s="54"/>
      <c r="H102" s="54"/>
      <c r="J102" s="1"/>
      <c r="K102" s="1"/>
      <c r="L102" s="1"/>
      <c r="M102" s="1"/>
      <c r="N102" s="1"/>
    </row>
    <row r="103" spans="1:15" s="2" customFormat="1" x14ac:dyDescent="0.2">
      <c r="A103" s="24"/>
      <c r="B103" s="1"/>
      <c r="C103" s="14"/>
      <c r="D103" s="25"/>
      <c r="G103" s="54"/>
      <c r="H103" s="54"/>
      <c r="I103" s="2" t="s">
        <v>396</v>
      </c>
      <c r="J103" s="1"/>
      <c r="K103" s="1"/>
      <c r="L103" s="1"/>
      <c r="M103" s="1"/>
      <c r="N103" s="1"/>
      <c r="O103" s="1"/>
    </row>
    <row r="104" spans="1:15" s="2" customFormat="1" x14ac:dyDescent="0.2">
      <c r="A104" s="24"/>
      <c r="B104" s="1"/>
      <c r="C104" s="14"/>
      <c r="D104" s="25"/>
      <c r="G104" s="54"/>
      <c r="H104" s="54"/>
      <c r="I104" s="53"/>
    </row>
    <row r="105" spans="1:15" s="2" customFormat="1" x14ac:dyDescent="0.2">
      <c r="A105" s="24"/>
      <c r="B105" s="1"/>
      <c r="C105" s="14"/>
      <c r="D105" s="25"/>
      <c r="G105" s="54"/>
      <c r="H105" s="54"/>
      <c r="I105" s="53" t="s">
        <v>396</v>
      </c>
      <c r="J105" s="1"/>
      <c r="K105" s="1"/>
      <c r="L105" s="1"/>
      <c r="M105" s="1"/>
      <c r="N105" s="1"/>
      <c r="O105" s="1"/>
    </row>
    <row r="106" spans="1:15" x14ac:dyDescent="0.2">
      <c r="G106" s="54"/>
      <c r="H106" s="54"/>
      <c r="I106" s="53" t="s">
        <v>396</v>
      </c>
      <c r="K106" s="42"/>
    </row>
    <row r="107" spans="1:15" s="2" customFormat="1" x14ac:dyDescent="0.2">
      <c r="A107" s="24"/>
      <c r="B107" s="1"/>
      <c r="C107" s="14"/>
      <c r="D107" s="25"/>
      <c r="G107" s="54"/>
      <c r="H107" s="54"/>
      <c r="I107" s="53"/>
      <c r="J107" s="101"/>
      <c r="K107" s="1"/>
      <c r="L107" s="1"/>
      <c r="M107" s="1"/>
      <c r="N107" s="1"/>
      <c r="O107" s="1"/>
    </row>
    <row r="108" spans="1:15" x14ac:dyDescent="0.2">
      <c r="G108" s="54"/>
      <c r="H108" s="54"/>
      <c r="I108" s="53"/>
    </row>
    <row r="109" spans="1:15" x14ac:dyDescent="0.2">
      <c r="G109" s="54"/>
      <c r="H109" s="54"/>
      <c r="I109" s="53"/>
    </row>
    <row r="110" spans="1:15" x14ac:dyDescent="0.2">
      <c r="G110" s="54"/>
      <c r="H110" s="54"/>
      <c r="I110" s="53"/>
    </row>
  </sheetData>
  <sheetProtection insertRows="0"/>
  <mergeCells count="7">
    <mergeCell ref="K47:L47"/>
    <mergeCell ref="A54:D54"/>
    <mergeCell ref="C72:F72"/>
    <mergeCell ref="A1:H1"/>
    <mergeCell ref="A3:F3"/>
    <mergeCell ref="A9:F9"/>
    <mergeCell ref="A18:F18"/>
  </mergeCells>
  <conditionalFormatting sqref="H51:H52">
    <cfRule type="cellIs" dxfId="129" priority="1" operator="lessThan">
      <formula>0</formula>
    </cfRule>
  </conditionalFormatting>
  <conditionalFormatting sqref="C20">
    <cfRule type="duplicateValues" dxfId="128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200-000000000000}">
  <sheetPr codeName="Sheet522">
    <pageSetUpPr fitToPage="1"/>
  </sheetPr>
  <dimension ref="A1:O138"/>
  <sheetViews>
    <sheetView topLeftCell="A37" zoomScaleNormal="100" workbookViewId="0">
      <selection activeCell="E43" sqref="E43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12.85546875" style="1" customWidth="1"/>
    <col min="9" max="9" width="24.85546875" style="2" bestFit="1" customWidth="1"/>
    <col min="10" max="10" width="21.5703125" style="1" bestFit="1" customWidth="1"/>
    <col min="11" max="11" width="16.85546875" style="1" bestFit="1" customWidth="1"/>
    <col min="12" max="12" width="17.28515625" style="1" bestFit="1" customWidth="1"/>
    <col min="13" max="13" width="13.5703125" style="1" bestFit="1" customWidth="1"/>
    <col min="14" max="14" width="17.42578125" style="1" bestFit="1" customWidth="1"/>
    <col min="15" max="15" width="12.85546875" style="1" bestFit="1" customWidth="1"/>
    <col min="16" max="17" width="9.140625" style="1"/>
    <col min="18" max="18" width="15.5703125" style="1" bestFit="1" customWidth="1"/>
    <col min="19" max="16384" width="9.140625" style="1"/>
  </cols>
  <sheetData>
    <row r="1" spans="1:14" ht="20.25" customHeight="1" x14ac:dyDescent="0.4">
      <c r="A1" s="212" t="s">
        <v>1972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4" ht="12.75" customHeight="1" x14ac:dyDescent="0.4">
      <c r="I2" s="112"/>
      <c r="J2" s="112"/>
    </row>
    <row r="3" spans="1:14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4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4" s="2" customFormat="1" ht="14.25" customHeight="1" x14ac:dyDescent="0.4">
      <c r="A5" s="89">
        <v>45304</v>
      </c>
      <c r="B5" s="9" t="s">
        <v>6</v>
      </c>
      <c r="C5" s="10" t="s">
        <v>7</v>
      </c>
      <c r="D5" s="11"/>
      <c r="E5" s="12">
        <v>586241.23000000045</v>
      </c>
      <c r="F5" s="12"/>
      <c r="G5" s="1"/>
      <c r="H5" s="1"/>
      <c r="I5" s="112"/>
      <c r="J5" s="112"/>
    </row>
    <row r="6" spans="1:14" s="2" customFormat="1" ht="12.75" customHeight="1" x14ac:dyDescent="0.2">
      <c r="D6" s="15" t="s">
        <v>8</v>
      </c>
      <c r="E6" s="16">
        <f>SUM(E5:E5)</f>
        <v>586241.23000000045</v>
      </c>
      <c r="F6" s="16">
        <f>SUM(E6)</f>
        <v>586241.23000000045</v>
      </c>
      <c r="G6" s="1"/>
      <c r="H6" s="1"/>
      <c r="I6" s="13" t="s">
        <v>1582</v>
      </c>
      <c r="J6" s="13" t="s">
        <v>1583</v>
      </c>
    </row>
    <row r="7" spans="1:14" s="2" customFormat="1" ht="12.75" customHeight="1" x14ac:dyDescent="0.2">
      <c r="A7" s="17"/>
      <c r="B7" s="18"/>
      <c r="C7" s="19" t="s">
        <v>9</v>
      </c>
      <c r="D7" s="20"/>
      <c r="E7" s="21">
        <f>+E6-F6</f>
        <v>0</v>
      </c>
      <c r="F7" s="22"/>
      <c r="G7" s="23"/>
      <c r="H7" s="23"/>
      <c r="I7" s="2">
        <v>0</v>
      </c>
      <c r="K7" s="176">
        <f>I7-J7</f>
        <v>0</v>
      </c>
    </row>
    <row r="8" spans="1:14" ht="12.75" customHeight="1" x14ac:dyDescent="0.4">
      <c r="I8" s="112"/>
      <c r="J8" s="112"/>
    </row>
    <row r="9" spans="1:14" ht="18" customHeight="1" x14ac:dyDescent="0.4">
      <c r="A9" s="213" t="s">
        <v>1037</v>
      </c>
      <c r="B9" s="213"/>
      <c r="C9" s="213"/>
      <c r="D9" s="213"/>
      <c r="E9" s="213"/>
      <c r="F9" s="213"/>
      <c r="I9" s="112"/>
      <c r="J9" s="169">
        <f>90000000-60000000</f>
        <v>30000000</v>
      </c>
      <c r="K9" s="169" t="s">
        <v>1508</v>
      </c>
    </row>
    <row r="10" spans="1:14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I10" s="112"/>
      <c r="J10" s="169">
        <v>29937219.02</v>
      </c>
      <c r="K10" s="169" t="s">
        <v>1509</v>
      </c>
      <c r="L10" s="124"/>
    </row>
    <row r="11" spans="1:14" s="2" customFormat="1" ht="14.25" customHeight="1" x14ac:dyDescent="0.2">
      <c r="A11" s="89">
        <v>45304</v>
      </c>
      <c r="B11" s="9" t="s">
        <v>6</v>
      </c>
      <c r="C11" s="10" t="s">
        <v>7</v>
      </c>
      <c r="D11" s="11"/>
      <c r="F11" s="12">
        <v>29874111.02</v>
      </c>
      <c r="G11" s="1"/>
      <c r="H11" s="1"/>
      <c r="I11" s="130" t="s">
        <v>396</v>
      </c>
      <c r="J11" s="169">
        <f>+J9-J10</f>
        <v>62780.980000000447</v>
      </c>
      <c r="K11" s="169" t="s">
        <v>712</v>
      </c>
      <c r="L11" s="165" t="s">
        <v>1512</v>
      </c>
    </row>
    <row r="12" spans="1:14" s="2" customFormat="1" ht="14.25" customHeight="1" x14ac:dyDescent="0.2">
      <c r="A12" s="89">
        <v>45304</v>
      </c>
      <c r="B12" s="9" t="s">
        <v>6</v>
      </c>
      <c r="C12" s="10" t="s">
        <v>1973</v>
      </c>
      <c r="D12" s="11" t="s">
        <v>13</v>
      </c>
      <c r="E12" s="2">
        <v>100000</v>
      </c>
      <c r="F12" s="12"/>
      <c r="G12" s="1"/>
      <c r="H12" s="1"/>
      <c r="I12" s="130"/>
      <c r="J12" s="169"/>
      <c r="K12" s="169"/>
      <c r="L12" s="165"/>
    </row>
    <row r="13" spans="1:14" s="2" customFormat="1" ht="14.25" customHeight="1" x14ac:dyDescent="0.2">
      <c r="A13" s="89">
        <v>45304</v>
      </c>
      <c r="B13" s="9" t="s">
        <v>6</v>
      </c>
      <c r="C13" s="10" t="s">
        <v>158</v>
      </c>
      <c r="D13" s="11" t="s">
        <v>13</v>
      </c>
      <c r="E13" s="2">
        <v>27084</v>
      </c>
      <c r="F13" s="12"/>
      <c r="G13" s="1"/>
      <c r="H13" s="1"/>
      <c r="I13" s="130"/>
      <c r="J13" s="169"/>
      <c r="K13" s="169"/>
      <c r="L13" s="165"/>
    </row>
    <row r="14" spans="1:14" s="2" customFormat="1" ht="14.25" customHeight="1" x14ac:dyDescent="0.2">
      <c r="A14" s="89">
        <v>45304</v>
      </c>
      <c r="B14" s="9" t="s">
        <v>11</v>
      </c>
      <c r="C14" s="10" t="s">
        <v>1974</v>
      </c>
      <c r="D14" s="11" t="s">
        <v>29</v>
      </c>
      <c r="F14" s="12">
        <v>190192</v>
      </c>
      <c r="G14" s="1"/>
      <c r="H14" s="1"/>
      <c r="I14" s="130"/>
      <c r="J14" s="169"/>
      <c r="K14" s="169"/>
      <c r="L14" s="165"/>
    </row>
    <row r="15" spans="1:14" s="2" customFormat="1" ht="14.25" customHeight="1" x14ac:dyDescent="0.2">
      <c r="D15" s="11" t="s">
        <v>8</v>
      </c>
      <c r="E15" s="16">
        <f>SUM(E12:E14)</f>
        <v>127084</v>
      </c>
      <c r="F15" s="16">
        <f>SUM(F11:F14)</f>
        <v>30064303.02</v>
      </c>
      <c r="G15" s="1"/>
      <c r="H15" s="1"/>
      <c r="I15" s="143"/>
      <c r="J15" s="130"/>
      <c r="K15" s="143"/>
      <c r="L15" s="143"/>
      <c r="M15" s="143"/>
      <c r="N15" s="143"/>
    </row>
    <row r="16" spans="1:14" s="2" customFormat="1" ht="14.25" customHeight="1" x14ac:dyDescent="0.4">
      <c r="A16" s="17"/>
      <c r="B16" s="18"/>
      <c r="C16" s="96" t="s">
        <v>9</v>
      </c>
      <c r="D16" s="20"/>
      <c r="E16" s="21">
        <f>+F15-E15</f>
        <v>29937219.02</v>
      </c>
      <c r="G16" s="1"/>
      <c r="H16" s="1"/>
      <c r="J16" s="112"/>
      <c r="K16" s="153" t="s">
        <v>779</v>
      </c>
    </row>
    <row r="17" spans="1:12" s="2" customFormat="1" ht="14.25" customHeight="1" x14ac:dyDescent="0.2">
      <c r="A17" s="36"/>
      <c r="B17" s="28" t="s">
        <v>66</v>
      </c>
      <c r="C17" s="43" t="s">
        <v>1458</v>
      </c>
      <c r="D17" s="43"/>
      <c r="E17" s="12">
        <f>30000000+60000000</f>
        <v>90000000</v>
      </c>
      <c r="F17" s="22"/>
      <c r="G17" s="1"/>
      <c r="H17" s="1"/>
      <c r="J17" s="40">
        <v>29937219.02</v>
      </c>
      <c r="K17" s="154">
        <f>J17-E16</f>
        <v>0</v>
      </c>
    </row>
    <row r="18" spans="1:12" s="2" customFormat="1" ht="14.25" customHeight="1" x14ac:dyDescent="0.25">
      <c r="A18" s="36"/>
      <c r="B18" s="28"/>
      <c r="C18" s="44" t="s">
        <v>1541</v>
      </c>
      <c r="D18" s="43"/>
      <c r="E18" s="7">
        <f>+E16+E17</f>
        <v>119937219.02</v>
      </c>
      <c r="F18" s="22"/>
      <c r="G18" s="1"/>
      <c r="H18" s="1"/>
      <c r="I18" s="13" t="s">
        <v>1582</v>
      </c>
      <c r="J18" s="13" t="s">
        <v>1583</v>
      </c>
    </row>
    <row r="19" spans="1:12" s="2" customFormat="1" ht="14.25" customHeight="1" x14ac:dyDescent="0.25">
      <c r="A19" s="36"/>
      <c r="B19" s="28"/>
      <c r="C19" s="44" t="s">
        <v>1511</v>
      </c>
      <c r="D19" s="43"/>
      <c r="E19" s="38">
        <f>+J11+I7-J7</f>
        <v>62780.980000000447</v>
      </c>
      <c r="F19" s="22"/>
      <c r="G19" s="1"/>
      <c r="H19" s="1"/>
      <c r="I19" s="2">
        <v>576287</v>
      </c>
      <c r="J19" s="2">
        <v>1835447</v>
      </c>
      <c r="K19" s="176">
        <f>I19-J19</f>
        <v>-1259160</v>
      </c>
    </row>
    <row r="20" spans="1:12" s="2" customFormat="1" ht="14.25" customHeight="1" x14ac:dyDescent="0.2">
      <c r="A20" s="24"/>
      <c r="B20" s="1"/>
      <c r="C20" s="14"/>
      <c r="D20" s="25"/>
      <c r="G20" s="1"/>
      <c r="H20" s="1"/>
      <c r="J20" s="130"/>
      <c r="K20" s="130"/>
    </row>
    <row r="21" spans="1:12" s="2" customFormat="1" x14ac:dyDescent="0.2">
      <c r="A21" s="214" t="s">
        <v>10</v>
      </c>
      <c r="B21" s="214"/>
      <c r="C21" s="214"/>
      <c r="D21" s="214"/>
      <c r="E21" s="214"/>
      <c r="F21" s="214"/>
      <c r="G21" s="1"/>
      <c r="H21" s="1"/>
      <c r="I21" s="159"/>
      <c r="J21" s="160">
        <v>100000000</v>
      </c>
      <c r="K21" s="160" t="s">
        <v>1506</v>
      </c>
      <c r="L21" s="70"/>
    </row>
    <row r="22" spans="1:12" s="2" customFormat="1" ht="15" x14ac:dyDescent="0.35">
      <c r="A22" s="26" t="s">
        <v>1</v>
      </c>
      <c r="B22" s="27" t="s">
        <v>2</v>
      </c>
      <c r="C22" s="5"/>
      <c r="D22" s="6" t="s">
        <v>3</v>
      </c>
      <c r="E22" s="7" t="s">
        <v>4</v>
      </c>
      <c r="F22" s="7" t="s">
        <v>5</v>
      </c>
      <c r="G22" s="1"/>
      <c r="H22" s="1"/>
      <c r="I22" s="159"/>
      <c r="J22" s="179">
        <v>78389216.450000003</v>
      </c>
      <c r="K22" s="160" t="s">
        <v>1507</v>
      </c>
      <c r="L22" s="70" t="s">
        <v>1512</v>
      </c>
    </row>
    <row r="23" spans="1:12" s="2" customFormat="1" x14ac:dyDescent="0.2">
      <c r="A23" s="89">
        <v>45304</v>
      </c>
      <c r="B23" s="128" t="s">
        <v>11</v>
      </c>
      <c r="C23" s="29" t="s">
        <v>7</v>
      </c>
      <c r="D23" s="25"/>
      <c r="E23" s="31"/>
      <c r="F23" s="2">
        <v>86660006.349999964</v>
      </c>
      <c r="G23" s="23"/>
      <c r="H23" s="23"/>
      <c r="I23" s="159" t="s">
        <v>1505</v>
      </c>
      <c r="J23" s="160">
        <f>+J21-J22</f>
        <v>21610783.549999997</v>
      </c>
      <c r="K23" s="160"/>
      <c r="L23" s="70"/>
    </row>
    <row r="24" spans="1:12" s="2" customFormat="1" x14ac:dyDescent="0.2">
      <c r="A24" s="89">
        <v>45304</v>
      </c>
      <c r="B24" s="128" t="s">
        <v>6</v>
      </c>
      <c r="C24" s="76" t="s">
        <v>1975</v>
      </c>
      <c r="D24" s="11" t="s">
        <v>13</v>
      </c>
      <c r="E24" s="31">
        <v>12075</v>
      </c>
      <c r="G24" s="23"/>
      <c r="H24" s="23"/>
      <c r="I24" s="159"/>
      <c r="J24" s="160"/>
      <c r="K24" s="160"/>
      <c r="L24" s="70"/>
    </row>
    <row r="25" spans="1:12" s="2" customFormat="1" x14ac:dyDescent="0.2">
      <c r="A25" s="89">
        <v>45304</v>
      </c>
      <c r="B25" s="128" t="s">
        <v>6</v>
      </c>
      <c r="C25" s="76" t="s">
        <v>1241</v>
      </c>
      <c r="D25" s="11" t="s">
        <v>13</v>
      </c>
      <c r="E25" s="31">
        <v>700000</v>
      </c>
      <c r="G25" s="23"/>
      <c r="H25" s="23"/>
      <c r="I25" s="159"/>
      <c r="J25" s="160"/>
      <c r="K25" s="160"/>
      <c r="L25" s="70"/>
    </row>
    <row r="26" spans="1:12" s="2" customFormat="1" x14ac:dyDescent="0.2">
      <c r="A26" s="89">
        <v>45304</v>
      </c>
      <c r="B26" s="128" t="s">
        <v>6</v>
      </c>
      <c r="C26" s="76" t="s">
        <v>1925</v>
      </c>
      <c r="D26" s="11" t="s">
        <v>13</v>
      </c>
      <c r="E26" s="31">
        <v>1250174.45</v>
      </c>
      <c r="G26" s="23"/>
      <c r="H26" s="23"/>
      <c r="I26" s="159"/>
      <c r="J26" s="160"/>
      <c r="K26" s="160"/>
      <c r="L26" s="70"/>
    </row>
    <row r="27" spans="1:12" s="2" customFormat="1" x14ac:dyDescent="0.2">
      <c r="A27" s="89">
        <v>45304</v>
      </c>
      <c r="B27" s="128" t="s">
        <v>6</v>
      </c>
      <c r="C27" s="76" t="s">
        <v>759</v>
      </c>
      <c r="D27" s="11" t="s">
        <v>13</v>
      </c>
      <c r="E27" s="31">
        <v>1436153.26</v>
      </c>
      <c r="G27" s="23"/>
      <c r="H27" s="23"/>
      <c r="I27" s="159"/>
      <c r="J27" s="160"/>
      <c r="K27" s="160"/>
      <c r="L27" s="70"/>
    </row>
    <row r="28" spans="1:12" s="2" customFormat="1" x14ac:dyDescent="0.2">
      <c r="A28" s="89">
        <v>45304</v>
      </c>
      <c r="B28" s="128" t="s">
        <v>6</v>
      </c>
      <c r="C28" s="76" t="s">
        <v>760</v>
      </c>
      <c r="D28" s="11" t="s">
        <v>13</v>
      </c>
      <c r="E28" s="31">
        <v>1121264.45</v>
      </c>
      <c r="G28" s="23"/>
      <c r="H28" s="23"/>
      <c r="I28" s="159"/>
      <c r="J28" s="160"/>
      <c r="K28" s="160"/>
      <c r="L28" s="70"/>
    </row>
    <row r="29" spans="1:12" s="2" customFormat="1" x14ac:dyDescent="0.2">
      <c r="A29" s="89">
        <v>45304</v>
      </c>
      <c r="B29" s="128" t="s">
        <v>6</v>
      </c>
      <c r="C29" s="76" t="s">
        <v>748</v>
      </c>
      <c r="D29" s="11" t="s">
        <v>13</v>
      </c>
      <c r="E29" s="31">
        <v>4736207.1399999997</v>
      </c>
      <c r="G29" s="23"/>
      <c r="H29" s="23"/>
      <c r="I29" s="159"/>
      <c r="J29" s="160"/>
      <c r="K29" s="160"/>
      <c r="L29" s="70"/>
    </row>
    <row r="30" spans="1:12" s="2" customFormat="1" x14ac:dyDescent="0.2">
      <c r="A30" s="89">
        <v>45304</v>
      </c>
      <c r="B30" s="128" t="s">
        <v>6</v>
      </c>
      <c r="C30" s="76" t="s">
        <v>765</v>
      </c>
      <c r="D30" s="11" t="s">
        <v>13</v>
      </c>
      <c r="E30" s="31">
        <v>1384599.63</v>
      </c>
      <c r="G30" s="23"/>
      <c r="H30" s="23"/>
      <c r="I30" s="159"/>
      <c r="J30" s="160"/>
      <c r="K30" s="160"/>
      <c r="L30" s="70"/>
    </row>
    <row r="31" spans="1:12" s="2" customFormat="1" x14ac:dyDescent="0.2">
      <c r="A31" s="89">
        <v>45304</v>
      </c>
      <c r="B31" s="128" t="s">
        <v>6</v>
      </c>
      <c r="C31" s="76" t="s">
        <v>764</v>
      </c>
      <c r="D31" s="11" t="s">
        <v>13</v>
      </c>
      <c r="E31" s="31">
        <v>3735376.08</v>
      </c>
      <c r="G31" s="23"/>
      <c r="H31" s="23"/>
      <c r="I31" s="159"/>
      <c r="J31" s="160"/>
      <c r="K31" s="160"/>
      <c r="L31" s="70"/>
    </row>
    <row r="32" spans="1:12" s="2" customFormat="1" x14ac:dyDescent="0.2">
      <c r="A32" s="89">
        <v>45304</v>
      </c>
      <c r="B32" s="128" t="s">
        <v>6</v>
      </c>
      <c r="C32" s="76" t="s">
        <v>749</v>
      </c>
      <c r="D32" s="11" t="s">
        <v>13</v>
      </c>
      <c r="E32" s="31">
        <v>1193014.75</v>
      </c>
      <c r="G32" s="23"/>
      <c r="H32" s="23"/>
      <c r="I32" s="159"/>
      <c r="J32" s="160"/>
      <c r="K32" s="160"/>
      <c r="L32" s="70"/>
    </row>
    <row r="33" spans="1:12" s="2" customFormat="1" x14ac:dyDescent="0.2">
      <c r="A33" s="89">
        <v>45304</v>
      </c>
      <c r="B33" s="128" t="s">
        <v>6</v>
      </c>
      <c r="C33" s="76" t="s">
        <v>1708</v>
      </c>
      <c r="D33" s="11" t="s">
        <v>13</v>
      </c>
      <c r="E33" s="31">
        <v>36750</v>
      </c>
      <c r="G33" s="23"/>
      <c r="H33" s="23"/>
      <c r="I33" s="159"/>
      <c r="J33" s="160"/>
      <c r="K33" s="160"/>
      <c r="L33" s="70"/>
    </row>
    <row r="34" spans="1:12" s="2" customFormat="1" x14ac:dyDescent="0.2">
      <c r="A34" s="89">
        <v>45304</v>
      </c>
      <c r="B34" s="128" t="s">
        <v>6</v>
      </c>
      <c r="C34" s="76" t="s">
        <v>1629</v>
      </c>
      <c r="D34" s="11" t="s">
        <v>13</v>
      </c>
      <c r="E34" s="31">
        <v>1856482</v>
      </c>
      <c r="G34" s="23"/>
      <c r="H34" s="23"/>
      <c r="I34" s="159"/>
      <c r="J34" s="160"/>
      <c r="K34" s="160"/>
      <c r="L34" s="70"/>
    </row>
    <row r="35" spans="1:12" s="2" customFormat="1" x14ac:dyDescent="0.2">
      <c r="A35" s="89">
        <v>45304</v>
      </c>
      <c r="B35" s="128" t="s">
        <v>6</v>
      </c>
      <c r="C35" s="76" t="s">
        <v>15</v>
      </c>
      <c r="D35" s="11" t="s">
        <v>13</v>
      </c>
      <c r="E35" s="31">
        <v>31934.14</v>
      </c>
      <c r="G35" s="23"/>
      <c r="H35" s="23"/>
      <c r="I35" s="159"/>
      <c r="J35" s="160"/>
      <c r="K35" s="160"/>
      <c r="L35" s="70"/>
    </row>
    <row r="36" spans="1:12" s="2" customFormat="1" x14ac:dyDescent="0.2">
      <c r="A36" s="89">
        <v>45304</v>
      </c>
      <c r="B36" s="128" t="s">
        <v>6</v>
      </c>
      <c r="C36" s="76" t="s">
        <v>358</v>
      </c>
      <c r="D36" s="11" t="s">
        <v>13</v>
      </c>
      <c r="E36" s="31">
        <v>174565</v>
      </c>
      <c r="G36" s="23"/>
      <c r="H36" s="23"/>
      <c r="I36" s="159"/>
      <c r="J36" s="160"/>
      <c r="K36" s="160"/>
      <c r="L36" s="70"/>
    </row>
    <row r="37" spans="1:12" s="2" customFormat="1" x14ac:dyDescent="0.2">
      <c r="A37" s="89">
        <v>45304</v>
      </c>
      <c r="B37" s="128" t="s">
        <v>6</v>
      </c>
      <c r="C37" s="76" t="s">
        <v>19</v>
      </c>
      <c r="D37" s="11" t="s">
        <v>13</v>
      </c>
      <c r="E37" s="31">
        <v>7553</v>
      </c>
      <c r="G37" s="23"/>
      <c r="H37" s="23"/>
      <c r="I37" s="159"/>
      <c r="J37" s="160"/>
      <c r="K37" s="160"/>
      <c r="L37" s="70"/>
    </row>
    <row r="38" spans="1:12" s="2" customFormat="1" x14ac:dyDescent="0.2">
      <c r="A38" s="89">
        <v>45304</v>
      </c>
      <c r="B38" s="128" t="s">
        <v>6</v>
      </c>
      <c r="C38" s="76" t="s">
        <v>385</v>
      </c>
      <c r="D38" s="11" t="s">
        <v>13</v>
      </c>
      <c r="E38" s="31">
        <v>576287</v>
      </c>
      <c r="G38" s="23"/>
      <c r="H38" s="23"/>
      <c r="I38" s="159"/>
      <c r="J38" s="160"/>
      <c r="K38" s="160"/>
      <c r="L38" s="70"/>
    </row>
    <row r="39" spans="1:12" s="2" customFormat="1" x14ac:dyDescent="0.2">
      <c r="A39" s="89">
        <v>45304</v>
      </c>
      <c r="B39" s="128" t="s">
        <v>6</v>
      </c>
      <c r="C39" s="76" t="s">
        <v>434</v>
      </c>
      <c r="D39" s="11" t="s">
        <v>13</v>
      </c>
      <c r="E39" s="31">
        <v>148879</v>
      </c>
      <c r="G39" s="23"/>
      <c r="H39" s="23"/>
      <c r="I39" s="159"/>
      <c r="J39" s="160"/>
      <c r="K39" s="160"/>
      <c r="L39" s="70"/>
    </row>
    <row r="40" spans="1:12" s="2" customFormat="1" x14ac:dyDescent="0.2">
      <c r="A40" s="89">
        <v>45304</v>
      </c>
      <c r="B40" s="128" t="s">
        <v>6</v>
      </c>
      <c r="C40" s="76" t="s">
        <v>1592</v>
      </c>
      <c r="D40" s="11" t="s">
        <v>13</v>
      </c>
      <c r="E40" s="31">
        <v>318006</v>
      </c>
      <c r="G40" s="23"/>
      <c r="H40" s="23"/>
      <c r="I40" s="159"/>
      <c r="J40" s="160"/>
      <c r="K40" s="160"/>
      <c r="L40" s="70"/>
    </row>
    <row r="41" spans="1:12" s="2" customFormat="1" x14ac:dyDescent="0.2">
      <c r="A41" s="89">
        <v>45304</v>
      </c>
      <c r="B41" s="128" t="s">
        <v>6</v>
      </c>
      <c r="C41" s="76" t="s">
        <v>671</v>
      </c>
      <c r="D41" s="11" t="s">
        <v>13</v>
      </c>
      <c r="E41" s="31">
        <v>61968</v>
      </c>
      <c r="G41" s="23"/>
      <c r="H41" s="23"/>
      <c r="I41" s="159"/>
      <c r="J41" s="160"/>
      <c r="K41" s="160"/>
      <c r="L41" s="70"/>
    </row>
    <row r="42" spans="1:12" s="2" customFormat="1" x14ac:dyDescent="0.2">
      <c r="A42" s="89">
        <v>45304</v>
      </c>
      <c r="B42" s="128" t="s">
        <v>6</v>
      </c>
      <c r="C42" s="76" t="s">
        <v>1831</v>
      </c>
      <c r="D42" s="11" t="s">
        <v>13</v>
      </c>
      <c r="E42" s="31">
        <v>500000</v>
      </c>
      <c r="G42" s="23"/>
      <c r="H42" s="23"/>
      <c r="I42" s="159"/>
      <c r="J42" s="160"/>
      <c r="K42" s="160"/>
      <c r="L42" s="70"/>
    </row>
    <row r="43" spans="1:12" s="2" customFormat="1" x14ac:dyDescent="0.2">
      <c r="A43" s="89">
        <v>45304</v>
      </c>
      <c r="B43" s="128" t="s">
        <v>11</v>
      </c>
      <c r="C43" s="76" t="s">
        <v>64</v>
      </c>
      <c r="D43" s="11" t="s">
        <v>29</v>
      </c>
      <c r="E43" s="31"/>
      <c r="F43" s="2">
        <v>12095</v>
      </c>
      <c r="G43" s="23"/>
      <c r="H43" s="23"/>
      <c r="I43" s="159"/>
      <c r="J43" s="160"/>
      <c r="K43" s="160"/>
      <c r="L43" s="70"/>
    </row>
    <row r="44" spans="1:12" s="2" customFormat="1" x14ac:dyDescent="0.2">
      <c r="A44" s="89">
        <v>45304</v>
      </c>
      <c r="B44" s="128" t="s">
        <v>11</v>
      </c>
      <c r="C44" s="76" t="s">
        <v>1976</v>
      </c>
      <c r="D44" s="11" t="s">
        <v>29</v>
      </c>
      <c r="E44" s="31"/>
      <c r="F44" s="2">
        <v>458986</v>
      </c>
      <c r="G44" s="23"/>
      <c r="H44" s="23"/>
      <c r="I44" s="159"/>
      <c r="J44" s="160"/>
      <c r="K44" s="160"/>
      <c r="L44" s="70"/>
    </row>
    <row r="45" spans="1:12" s="2" customFormat="1" x14ac:dyDescent="0.2">
      <c r="A45" s="89">
        <v>45304</v>
      </c>
      <c r="B45" s="128" t="s">
        <v>11</v>
      </c>
      <c r="C45" s="76" t="s">
        <v>687</v>
      </c>
      <c r="D45" s="11" t="s">
        <v>29</v>
      </c>
      <c r="E45" s="31"/>
      <c r="F45" s="2">
        <v>833077</v>
      </c>
      <c r="G45" s="23"/>
      <c r="H45" s="23"/>
      <c r="I45" s="159"/>
      <c r="J45" s="160"/>
      <c r="K45" s="160"/>
      <c r="L45" s="70"/>
    </row>
    <row r="46" spans="1:12" s="2" customFormat="1" x14ac:dyDescent="0.2">
      <c r="A46" s="89">
        <v>45304</v>
      </c>
      <c r="B46" s="128" t="s">
        <v>11</v>
      </c>
      <c r="C46" s="76" t="s">
        <v>1810</v>
      </c>
      <c r="D46" s="11" t="s">
        <v>29</v>
      </c>
      <c r="E46" s="31"/>
      <c r="F46" s="2">
        <v>961377</v>
      </c>
      <c r="G46" s="23"/>
      <c r="H46" s="23"/>
      <c r="I46" s="159"/>
      <c r="J46" s="160"/>
      <c r="K46" s="160"/>
      <c r="L46" s="70"/>
    </row>
    <row r="47" spans="1:12" s="2" customFormat="1" x14ac:dyDescent="0.2">
      <c r="A47" s="89">
        <v>45304</v>
      </c>
      <c r="B47" s="128" t="s">
        <v>11</v>
      </c>
      <c r="C47" s="76" t="s">
        <v>193</v>
      </c>
      <c r="D47" s="11" t="s">
        <v>29</v>
      </c>
      <c r="E47" s="31"/>
      <c r="F47" s="2">
        <v>1138348</v>
      </c>
      <c r="G47" s="23"/>
      <c r="H47" s="23"/>
      <c r="I47" s="159"/>
      <c r="J47" s="160"/>
      <c r="K47" s="160"/>
      <c r="L47" s="70"/>
    </row>
    <row r="48" spans="1:12" s="2" customFormat="1" x14ac:dyDescent="0.2">
      <c r="A48" s="89">
        <v>45304</v>
      </c>
      <c r="B48" s="128" t="s">
        <v>11</v>
      </c>
      <c r="C48" s="76" t="s">
        <v>194</v>
      </c>
      <c r="D48" s="11" t="s">
        <v>29</v>
      </c>
      <c r="E48" s="31"/>
      <c r="F48" s="2">
        <v>1082658</v>
      </c>
      <c r="G48" s="23"/>
      <c r="H48" s="23"/>
      <c r="I48" s="159"/>
      <c r="J48" s="160"/>
      <c r="K48" s="160"/>
      <c r="L48" s="70"/>
    </row>
    <row r="49" spans="1:15" s="2" customFormat="1" x14ac:dyDescent="0.2">
      <c r="A49" s="89">
        <v>45304</v>
      </c>
      <c r="B49" s="128" t="s">
        <v>11</v>
      </c>
      <c r="C49" s="76" t="s">
        <v>790</v>
      </c>
      <c r="D49" s="11" t="s">
        <v>29</v>
      </c>
      <c r="E49" s="31"/>
      <c r="F49" s="2">
        <v>1340791</v>
      </c>
      <c r="G49" s="23"/>
      <c r="H49" s="23"/>
      <c r="I49" s="159"/>
      <c r="J49" s="160"/>
      <c r="K49" s="160"/>
      <c r="L49" s="70"/>
    </row>
    <row r="50" spans="1:15" s="2" customFormat="1" x14ac:dyDescent="0.2">
      <c r="A50" s="89">
        <v>45304</v>
      </c>
      <c r="B50" s="128" t="s">
        <v>11</v>
      </c>
      <c r="C50" s="76" t="s">
        <v>849</v>
      </c>
      <c r="D50" s="11" t="s">
        <v>29</v>
      </c>
      <c r="E50" s="31"/>
      <c r="F50" s="2">
        <v>400992</v>
      </c>
      <c r="G50" s="23"/>
      <c r="H50" s="23"/>
      <c r="I50" s="159"/>
      <c r="J50" s="160"/>
      <c r="K50" s="160"/>
      <c r="L50" s="70"/>
    </row>
    <row r="51" spans="1:15" s="2" customFormat="1" x14ac:dyDescent="0.2">
      <c r="A51" s="89">
        <v>45304</v>
      </c>
      <c r="B51" s="128" t="s">
        <v>11</v>
      </c>
      <c r="C51" s="76" t="s">
        <v>745</v>
      </c>
      <c r="D51" s="11" t="s">
        <v>29</v>
      </c>
      <c r="E51" s="31"/>
      <c r="F51" s="2">
        <v>1161408</v>
      </c>
      <c r="G51" s="23"/>
      <c r="H51" s="23"/>
      <c r="I51" s="159"/>
      <c r="J51" s="160"/>
      <c r="K51" s="160"/>
      <c r="L51" s="70"/>
    </row>
    <row r="52" spans="1:15" s="2" customFormat="1" x14ac:dyDescent="0.2">
      <c r="A52" s="89">
        <v>45304</v>
      </c>
      <c r="B52" s="128" t="s">
        <v>11</v>
      </c>
      <c r="C52" s="76" t="s">
        <v>56</v>
      </c>
      <c r="D52" s="11" t="s">
        <v>29</v>
      </c>
      <c r="E52" s="31"/>
      <c r="F52" s="2">
        <v>159896</v>
      </c>
      <c r="G52" s="23"/>
      <c r="H52" s="23"/>
      <c r="I52" s="159"/>
      <c r="J52" s="160"/>
      <c r="K52" s="160"/>
      <c r="L52" s="70"/>
    </row>
    <row r="53" spans="1:15" s="2" customFormat="1" x14ac:dyDescent="0.2">
      <c r="A53" s="89">
        <v>45304</v>
      </c>
      <c r="B53" s="128" t="s">
        <v>11</v>
      </c>
      <c r="C53" s="76" t="s">
        <v>814</v>
      </c>
      <c r="D53" s="11" t="s">
        <v>29</v>
      </c>
      <c r="E53" s="31"/>
      <c r="F53" s="2">
        <v>558771</v>
      </c>
      <c r="G53" s="23"/>
      <c r="H53" s="23"/>
      <c r="I53" s="159"/>
      <c r="J53" s="160"/>
      <c r="K53" s="160"/>
      <c r="L53" s="70"/>
    </row>
    <row r="54" spans="1:15" s="2" customFormat="1" x14ac:dyDescent="0.2">
      <c r="A54" s="89">
        <v>45304</v>
      </c>
      <c r="B54" s="128" t="s">
        <v>11</v>
      </c>
      <c r="C54" s="76" t="s">
        <v>300</v>
      </c>
      <c r="D54" s="11" t="s">
        <v>29</v>
      </c>
      <c r="E54" s="31"/>
      <c r="F54" s="2">
        <v>282181</v>
      </c>
      <c r="G54" s="23"/>
      <c r="H54" s="23"/>
      <c r="I54" s="159"/>
      <c r="J54" s="160"/>
      <c r="K54" s="160"/>
      <c r="L54" s="70"/>
    </row>
    <row r="55" spans="1:15" s="2" customFormat="1" x14ac:dyDescent="0.2">
      <c r="A55" s="89">
        <v>45304</v>
      </c>
      <c r="B55" s="128" t="s">
        <v>11</v>
      </c>
      <c r="C55" s="76" t="s">
        <v>138</v>
      </c>
      <c r="D55" s="11" t="s">
        <v>29</v>
      </c>
      <c r="E55" s="31"/>
      <c r="F55" s="2">
        <v>1419284</v>
      </c>
      <c r="G55" s="23"/>
      <c r="H55" s="23"/>
      <c r="I55" s="159"/>
      <c r="J55" s="160"/>
      <c r="K55" s="160"/>
      <c r="L55" s="70"/>
    </row>
    <row r="56" spans="1:15" s="2" customFormat="1" x14ac:dyDescent="0.2">
      <c r="A56" s="89">
        <v>45304</v>
      </c>
      <c r="B56" s="128" t="s">
        <v>11</v>
      </c>
      <c r="C56" s="76" t="s">
        <v>44</v>
      </c>
      <c r="D56" s="11" t="s">
        <v>29</v>
      </c>
      <c r="E56" s="31"/>
      <c r="F56" s="2">
        <v>2111695</v>
      </c>
      <c r="G56" s="23"/>
      <c r="H56" s="23"/>
      <c r="I56" s="159"/>
      <c r="J56" s="160"/>
      <c r="K56" s="160"/>
      <c r="L56" s="70"/>
    </row>
    <row r="57" spans="1:15" s="2" customFormat="1" x14ac:dyDescent="0.2">
      <c r="A57" s="89">
        <v>45304</v>
      </c>
      <c r="B57" s="128" t="s">
        <v>11</v>
      </c>
      <c r="C57" s="76" t="s">
        <v>365</v>
      </c>
      <c r="D57" s="11" t="s">
        <v>29</v>
      </c>
      <c r="E57" s="31"/>
      <c r="F57" s="70">
        <v>348100</v>
      </c>
      <c r="G57" s="1"/>
      <c r="H57" s="1"/>
      <c r="O57" s="1"/>
    </row>
    <row r="58" spans="1:15" s="2" customFormat="1" x14ac:dyDescent="0.2">
      <c r="A58" s="32"/>
      <c r="B58" s="33"/>
      <c r="C58" s="14"/>
      <c r="D58" s="34"/>
      <c r="E58" s="16">
        <f>SUM(E23:E57)</f>
        <v>19281288.899999999</v>
      </c>
      <c r="F58" s="16">
        <f>SUM(F23:F57)</f>
        <v>98929665.349999964</v>
      </c>
      <c r="G58" s="1"/>
      <c r="H58" s="1"/>
      <c r="I58" s="1"/>
      <c r="J58" s="38">
        <v>79648376.450000003</v>
      </c>
      <c r="L58" s="92">
        <f>E59-J58</f>
        <v>0</v>
      </c>
      <c r="O58" s="1"/>
    </row>
    <row r="59" spans="1:15" s="2" customFormat="1" x14ac:dyDescent="0.2">
      <c r="A59" s="36"/>
      <c r="B59" s="28" t="s">
        <v>11</v>
      </c>
      <c r="C59" s="19" t="s">
        <v>65</v>
      </c>
      <c r="D59" s="37"/>
      <c r="E59" s="38">
        <f>F58-E58</f>
        <v>79648376.449999958</v>
      </c>
      <c r="F59" s="22"/>
      <c r="G59" s="1"/>
      <c r="H59" s="1"/>
      <c r="I59" s="1"/>
      <c r="J59" s="70"/>
      <c r="K59" s="70"/>
      <c r="L59" s="70"/>
      <c r="O59" s="1"/>
    </row>
    <row r="60" spans="1:15" s="2" customFormat="1" x14ac:dyDescent="0.2">
      <c r="A60" s="36"/>
      <c r="B60" s="28" t="s">
        <v>66</v>
      </c>
      <c r="C60" s="19" t="s">
        <v>67</v>
      </c>
      <c r="D60" s="37"/>
      <c r="E60" s="38">
        <v>11500000</v>
      </c>
      <c r="F60" s="22"/>
      <c r="G60" s="1"/>
      <c r="H60" s="1"/>
      <c r="I60" s="70"/>
      <c r="J60" s="70"/>
      <c r="K60" s="70"/>
      <c r="L60" s="70"/>
      <c r="O60" s="1"/>
    </row>
    <row r="61" spans="1:15" s="2" customFormat="1" x14ac:dyDescent="0.2">
      <c r="A61" s="36"/>
      <c r="B61" s="28" t="s">
        <v>66</v>
      </c>
      <c r="C61" s="43" t="s">
        <v>1457</v>
      </c>
      <c r="D61" s="43"/>
      <c r="E61" s="12">
        <v>400000000</v>
      </c>
      <c r="F61" s="22"/>
      <c r="G61" s="1"/>
      <c r="H61" s="1"/>
      <c r="I61" s="70"/>
      <c r="J61" s="45">
        <v>664.79</v>
      </c>
      <c r="K61" s="46"/>
      <c r="L61" s="46"/>
      <c r="O61" s="1"/>
    </row>
    <row r="62" spans="1:15" s="2" customFormat="1" ht="15" x14ac:dyDescent="0.25">
      <c r="A62" s="36"/>
      <c r="B62" s="28"/>
      <c r="C62" s="44" t="s">
        <v>1541</v>
      </c>
      <c r="D62" s="43"/>
      <c r="E62" s="7">
        <f>+E61+E59+E60</f>
        <v>491148376.44999993</v>
      </c>
      <c r="F62" s="22"/>
      <c r="G62" s="1"/>
      <c r="H62" s="1"/>
      <c r="I62" s="103" t="s">
        <v>69</v>
      </c>
      <c r="J62" s="45">
        <v>-61.35</v>
      </c>
      <c r="K62" s="46"/>
      <c r="L62" s="46"/>
      <c r="O62" s="1"/>
    </row>
    <row r="63" spans="1:15" s="2" customFormat="1" ht="15" x14ac:dyDescent="0.25">
      <c r="A63" s="24"/>
      <c r="B63" s="1"/>
      <c r="C63" s="44" t="s">
        <v>1510</v>
      </c>
      <c r="D63" s="25"/>
      <c r="E63" s="156">
        <f>+J23-E60+I19-J19</f>
        <v>8851623.549999997</v>
      </c>
      <c r="G63" s="1"/>
      <c r="H63" s="1"/>
      <c r="I63" s="35">
        <v>1</v>
      </c>
      <c r="J63" s="45">
        <v>33.58</v>
      </c>
      <c r="K63" s="46">
        <f>+J64-D66</f>
        <v>0</v>
      </c>
      <c r="O63" s="1"/>
    </row>
    <row r="64" spans="1:15" s="124" customFormat="1" ht="12.75" customHeight="1" x14ac:dyDescent="0.2">
      <c r="A64" s="24"/>
      <c r="B64" s="1"/>
      <c r="C64" s="56"/>
      <c r="D64" s="56"/>
      <c r="E64" s="104"/>
      <c r="F64" s="2"/>
      <c r="G64" s="166"/>
      <c r="H64" s="166"/>
      <c r="I64" s="70"/>
      <c r="J64" s="49">
        <f>SUM(J61:J63)</f>
        <v>637.02</v>
      </c>
      <c r="K64" s="46"/>
      <c r="L64" s="46"/>
    </row>
    <row r="65" spans="1:14" s="124" customFormat="1" ht="12.75" customHeight="1" x14ac:dyDescent="0.2">
      <c r="A65" s="24"/>
      <c r="B65" s="1"/>
      <c r="C65" s="78" t="s">
        <v>575</v>
      </c>
      <c r="D65" s="48" t="s">
        <v>576</v>
      </c>
      <c r="E65" s="104"/>
      <c r="F65" s="2"/>
      <c r="G65" s="168"/>
      <c r="H65" s="168"/>
      <c r="I65" s="167"/>
      <c r="J65" s="167"/>
      <c r="K65" s="168"/>
    </row>
    <row r="66" spans="1:14" s="124" customFormat="1" ht="12.75" customHeight="1" x14ac:dyDescent="0.2">
      <c r="A66" s="24"/>
      <c r="B66" s="1"/>
      <c r="C66" s="47" t="s">
        <v>570</v>
      </c>
      <c r="D66" s="111">
        <v>637.02</v>
      </c>
      <c r="E66" s="104"/>
      <c r="F66" s="2"/>
      <c r="G66" s="168"/>
      <c r="H66" s="168"/>
      <c r="I66" s="110" t="s">
        <v>581</v>
      </c>
      <c r="J66" s="167"/>
      <c r="K66" s="168"/>
    </row>
    <row r="67" spans="1:14" s="124" customFormat="1" ht="12.75" customHeight="1" x14ac:dyDescent="0.2">
      <c r="A67" s="24"/>
      <c r="B67" s="1"/>
      <c r="C67" s="47" t="s">
        <v>931</v>
      </c>
      <c r="D67" s="111">
        <v>109.46</v>
      </c>
      <c r="E67" s="104"/>
      <c r="F67" s="2"/>
      <c r="G67" s="168"/>
      <c r="H67" s="168"/>
      <c r="I67" s="110" t="s">
        <v>580</v>
      </c>
      <c r="J67" s="167"/>
      <c r="K67" s="168"/>
    </row>
    <row r="68" spans="1:14" s="124" customFormat="1" ht="12.75" customHeight="1" x14ac:dyDescent="0.2">
      <c r="A68" s="24"/>
      <c r="B68" s="1"/>
      <c r="C68" s="47" t="s">
        <v>572</v>
      </c>
      <c r="D68" s="111">
        <f>+D98/100000</f>
        <v>322.2939834</v>
      </c>
      <c r="E68" s="104"/>
      <c r="F68" s="2"/>
      <c r="G68" s="166"/>
      <c r="H68" s="166"/>
      <c r="I68" s="90" t="s">
        <v>587</v>
      </c>
      <c r="J68" s="167"/>
      <c r="K68" s="168"/>
    </row>
    <row r="69" spans="1:14" s="2" customFormat="1" x14ac:dyDescent="0.2">
      <c r="A69" s="24"/>
      <c r="B69" s="1"/>
      <c r="C69" s="108" t="s">
        <v>578</v>
      </c>
      <c r="D69" s="48">
        <f>SUM(D66:D68)</f>
        <v>1068.7739833999999</v>
      </c>
      <c r="E69" s="104"/>
      <c r="G69" s="30"/>
      <c r="H69" s="30"/>
      <c r="J69" s="13"/>
      <c r="K69" s="13"/>
    </row>
    <row r="70" spans="1:14" s="70" customFormat="1" x14ac:dyDescent="0.2">
      <c r="A70" s="24"/>
      <c r="B70" s="1"/>
      <c r="C70" s="47"/>
      <c r="D70" s="107"/>
      <c r="E70" s="104"/>
      <c r="F70" s="2"/>
      <c r="G70" s="30"/>
      <c r="H70" s="30"/>
      <c r="I70" s="2"/>
    </row>
    <row r="71" spans="1:14" s="70" customFormat="1" x14ac:dyDescent="0.2">
      <c r="A71" s="24"/>
      <c r="B71" s="1"/>
      <c r="C71" s="47" t="s">
        <v>932</v>
      </c>
      <c r="D71" s="111">
        <v>217.78</v>
      </c>
      <c r="E71" s="104"/>
      <c r="F71" s="2"/>
      <c r="G71" s="30"/>
      <c r="H71" s="30"/>
      <c r="I71" s="110" t="s">
        <v>581</v>
      </c>
    </row>
    <row r="72" spans="1:14" s="70" customFormat="1" x14ac:dyDescent="0.2">
      <c r="A72" s="24"/>
      <c r="B72" s="1"/>
      <c r="C72" s="136" t="s">
        <v>1142</v>
      </c>
      <c r="D72" s="111">
        <f>708.17+58.41-56.31</f>
        <v>710.27</v>
      </c>
      <c r="E72" s="104"/>
      <c r="F72" s="2"/>
      <c r="G72" s="30"/>
      <c r="H72" s="30"/>
      <c r="I72" s="110" t="s">
        <v>581</v>
      </c>
    </row>
    <row r="73" spans="1:14" s="70" customFormat="1" x14ac:dyDescent="0.2">
      <c r="A73" s="24"/>
      <c r="B73" s="1"/>
      <c r="C73" s="78" t="s">
        <v>579</v>
      </c>
      <c r="D73" s="109">
        <f>D71+D72</f>
        <v>928.05</v>
      </c>
      <c r="E73" s="104"/>
      <c r="F73" s="2"/>
      <c r="G73" s="30"/>
      <c r="H73" s="30"/>
    </row>
    <row r="74" spans="1:14" s="70" customFormat="1" x14ac:dyDescent="0.2">
      <c r="A74" s="24"/>
      <c r="B74" s="1"/>
      <c r="C74" s="105"/>
      <c r="D74" s="106"/>
      <c r="E74" s="104"/>
      <c r="F74" s="2"/>
      <c r="G74" s="30"/>
      <c r="H74" s="30"/>
      <c r="J74" s="2"/>
      <c r="K74" s="221" t="str">
        <f>"FROM ( 01-01-2024 to "&amp;TEXT(A5,"dd-mm-yyyy")&amp;" )"</f>
        <v>FROM ( 01-01-2024 to 13-01-2024 )</v>
      </c>
      <c r="L74" s="221"/>
      <c r="M74" s="2"/>
      <c r="N74" s="2"/>
    </row>
    <row r="75" spans="1:14" s="70" customFormat="1" x14ac:dyDescent="0.2">
      <c r="A75" s="24"/>
      <c r="B75" s="1"/>
      <c r="C75" s="78" t="s">
        <v>577</v>
      </c>
      <c r="D75" s="109">
        <f>D66+D73</f>
        <v>1565.07</v>
      </c>
      <c r="E75" s="104"/>
      <c r="F75" s="2"/>
      <c r="G75" s="30"/>
      <c r="H75" s="30"/>
      <c r="J75" s="113"/>
      <c r="K75" s="113" t="s">
        <v>709</v>
      </c>
      <c r="L75" s="113" t="s">
        <v>710</v>
      </c>
      <c r="M75" s="113" t="s">
        <v>711</v>
      </c>
      <c r="N75" s="113" t="s">
        <v>712</v>
      </c>
    </row>
    <row r="76" spans="1:14" s="70" customFormat="1" x14ac:dyDescent="0.2">
      <c r="A76" s="24"/>
      <c r="B76" s="1"/>
      <c r="C76" s="56"/>
      <c r="D76" s="56"/>
      <c r="E76" s="104"/>
      <c r="F76" s="2"/>
      <c r="G76" s="30"/>
      <c r="H76" s="30"/>
      <c r="J76" s="113" t="s">
        <v>1860</v>
      </c>
      <c r="K76" s="115">
        <v>189.89</v>
      </c>
      <c r="L76" s="115">
        <v>56.31</v>
      </c>
      <c r="M76" s="115">
        <v>58.41</v>
      </c>
      <c r="N76" s="113">
        <f>+K76+M76-L76</f>
        <v>191.98999999999998</v>
      </c>
    </row>
    <row r="77" spans="1:14" s="70" customFormat="1" ht="38.25" x14ac:dyDescent="0.2">
      <c r="A77" s="24"/>
      <c r="B77" s="1"/>
      <c r="C77" s="79" t="str">
        <f>"Particulars ( 01-01-2024 to "&amp;TEXT(A5,"dd-mm-yyyy")&amp;" )"</f>
        <v>Particulars ( 01-01-2024 to 13-01-2024 )</v>
      </c>
      <c r="D77" s="79" t="s">
        <v>7</v>
      </c>
      <c r="E77" s="80" t="s">
        <v>73</v>
      </c>
      <c r="F77" s="80" t="s">
        <v>74</v>
      </c>
      <c r="G77" s="81" t="s">
        <v>75</v>
      </c>
      <c r="H77" s="80" t="s">
        <v>76</v>
      </c>
      <c r="J77" s="113" t="s">
        <v>1861</v>
      </c>
      <c r="K77" s="115">
        <v>1669.07</v>
      </c>
      <c r="L77" s="115">
        <v>322.29000000000002</v>
      </c>
      <c r="M77" s="115">
        <v>708.17</v>
      </c>
      <c r="N77" s="113">
        <f>+K77+M77-L77</f>
        <v>2054.9499999999998</v>
      </c>
    </row>
    <row r="78" spans="1:14" s="70" customFormat="1" x14ac:dyDescent="0.2">
      <c r="A78" s="24"/>
      <c r="B78" s="1"/>
      <c r="C78" s="50" t="s">
        <v>444</v>
      </c>
      <c r="D78" s="55">
        <f>+K78</f>
        <v>140.88</v>
      </c>
      <c r="E78" s="55">
        <f>+M78</f>
        <v>217.78</v>
      </c>
      <c r="F78" s="55">
        <f>+L78</f>
        <v>109.46</v>
      </c>
      <c r="G78" s="55">
        <f>+D78+E78-F78</f>
        <v>249.2</v>
      </c>
      <c r="H78" s="55">
        <f>1500-G78</f>
        <v>1250.8</v>
      </c>
      <c r="J78" s="113" t="s">
        <v>707</v>
      </c>
      <c r="K78" s="115">
        <v>140.88</v>
      </c>
      <c r="L78" s="115">
        <v>109.46</v>
      </c>
      <c r="M78" s="115">
        <v>217.78</v>
      </c>
      <c r="N78" s="113">
        <f>+K78+M78-L78</f>
        <v>249.2</v>
      </c>
    </row>
    <row r="79" spans="1:14" s="70" customFormat="1" ht="12.75" customHeight="1" x14ac:dyDescent="0.2">
      <c r="A79" s="24"/>
      <c r="B79" s="1"/>
      <c r="C79" s="50" t="s">
        <v>71</v>
      </c>
      <c r="D79" s="55">
        <f>+K76+K77</f>
        <v>1858.96</v>
      </c>
      <c r="E79" s="55">
        <f>+M76+M77</f>
        <v>766.57999999999993</v>
      </c>
      <c r="F79" s="55">
        <f>+L76+L77</f>
        <v>378.6</v>
      </c>
      <c r="G79" s="55">
        <f>+D79+E79-F79</f>
        <v>2246.94</v>
      </c>
      <c r="H79" s="55">
        <f>1500+700+200-G79</f>
        <v>153.05999999999995</v>
      </c>
      <c r="J79" s="2"/>
      <c r="K79" s="118">
        <f>SUM(K76:K78)</f>
        <v>1999.8400000000001</v>
      </c>
      <c r="L79" s="118">
        <f>SUM(L76:L78)</f>
        <v>488.06</v>
      </c>
      <c r="M79" s="118">
        <f>SUM(M76:M78)</f>
        <v>984.3599999999999</v>
      </c>
      <c r="N79" s="118">
        <f>SUM(N76:N78)</f>
        <v>2496.1399999999994</v>
      </c>
    </row>
    <row r="80" spans="1:14" s="70" customFormat="1" ht="12.75" customHeight="1" x14ac:dyDescent="0.2">
      <c r="A80" s="24"/>
      <c r="B80" s="1"/>
      <c r="C80" s="14"/>
      <c r="D80" s="56"/>
      <c r="E80" s="13"/>
      <c r="F80" s="2"/>
      <c r="G80" s="30"/>
      <c r="H80" s="30"/>
    </row>
    <row r="81" spans="1:15" s="70" customFormat="1" ht="12.75" customHeight="1" x14ac:dyDescent="0.2">
      <c r="A81" s="215" t="s">
        <v>80</v>
      </c>
      <c r="B81" s="216"/>
      <c r="C81" s="216"/>
      <c r="D81" s="217"/>
      <c r="E81" s="69"/>
      <c r="G81" s="30"/>
      <c r="H81" s="30"/>
    </row>
    <row r="82" spans="1:15" s="70" customFormat="1" ht="12.75" customHeight="1" x14ac:dyDescent="0.2">
      <c r="A82" s="71" t="s">
        <v>81</v>
      </c>
      <c r="B82" s="71"/>
      <c r="C82" s="72" t="s">
        <v>82</v>
      </c>
      <c r="D82" s="73" t="s">
        <v>83</v>
      </c>
      <c r="E82" s="69"/>
      <c r="G82" s="30"/>
      <c r="H82" s="30"/>
    </row>
    <row r="83" spans="1:15" s="70" customFormat="1" ht="12.75" customHeight="1" x14ac:dyDescent="0.2">
      <c r="A83" s="87">
        <v>45292</v>
      </c>
      <c r="B83" s="120" t="s">
        <v>6</v>
      </c>
      <c r="C83" s="75" t="s">
        <v>1933</v>
      </c>
      <c r="D83" s="88">
        <v>7583470</v>
      </c>
      <c r="E83" s="2"/>
      <c r="F83" s="2"/>
      <c r="G83" s="30"/>
      <c r="H83" s="30"/>
      <c r="I83" s="2"/>
      <c r="J83" s="2"/>
      <c r="K83" s="2"/>
      <c r="L83" s="2"/>
      <c r="M83" s="41"/>
      <c r="N83" s="42"/>
      <c r="O83" s="2"/>
    </row>
    <row r="84" spans="1:15" s="70" customFormat="1" ht="12.75" customHeight="1" x14ac:dyDescent="0.2">
      <c r="A84" s="87">
        <v>45293</v>
      </c>
      <c r="B84" s="120" t="s">
        <v>6</v>
      </c>
      <c r="C84" s="75" t="s">
        <v>1934</v>
      </c>
      <c r="D84" s="88">
        <v>124988</v>
      </c>
      <c r="E84" s="2"/>
      <c r="F84" s="2"/>
      <c r="G84" s="30"/>
      <c r="H84" s="30"/>
      <c r="I84" s="2"/>
      <c r="J84" s="2"/>
      <c r="K84" s="2"/>
      <c r="L84" s="2"/>
      <c r="M84" s="41"/>
      <c r="N84" s="42"/>
      <c r="O84" s="2"/>
    </row>
    <row r="85" spans="1:15" s="70" customFormat="1" ht="12.75" customHeight="1" x14ac:dyDescent="0.2">
      <c r="A85" s="87">
        <v>45294</v>
      </c>
      <c r="B85" s="120" t="s">
        <v>6</v>
      </c>
      <c r="C85" s="75" t="s">
        <v>606</v>
      </c>
      <c r="D85" s="88">
        <v>260191</v>
      </c>
      <c r="E85" s="2"/>
      <c r="F85" s="2"/>
      <c r="G85" s="30"/>
      <c r="H85" s="30"/>
      <c r="I85" s="2"/>
      <c r="J85" s="2"/>
      <c r="K85" s="2"/>
      <c r="L85" s="2"/>
      <c r="M85" s="41"/>
      <c r="N85" s="42"/>
      <c r="O85" s="2"/>
    </row>
    <row r="86" spans="1:15" s="70" customFormat="1" ht="12.75" customHeight="1" x14ac:dyDescent="0.2">
      <c r="A86" s="87">
        <v>45294</v>
      </c>
      <c r="B86" s="120" t="s">
        <v>6</v>
      </c>
      <c r="C86" s="75" t="s">
        <v>888</v>
      </c>
      <c r="D86" s="88">
        <v>2431991.34</v>
      </c>
      <c r="E86" s="2"/>
      <c r="F86" s="2"/>
      <c r="G86" s="30"/>
      <c r="H86" s="30"/>
      <c r="I86" s="2"/>
      <c r="J86" s="2"/>
      <c r="K86" s="2"/>
      <c r="L86" s="2"/>
      <c r="M86" s="41"/>
      <c r="N86" s="42"/>
      <c r="O86" s="2"/>
    </row>
    <row r="87" spans="1:15" s="70" customFormat="1" ht="12.75" customHeight="1" x14ac:dyDescent="0.2">
      <c r="A87" s="87">
        <v>45295</v>
      </c>
      <c r="B87" s="120" t="s">
        <v>6</v>
      </c>
      <c r="C87" s="75" t="s">
        <v>1944</v>
      </c>
      <c r="D87" s="88">
        <v>23655</v>
      </c>
      <c r="E87" s="2"/>
      <c r="F87" s="2"/>
      <c r="G87" s="30"/>
      <c r="H87" s="30"/>
      <c r="I87" s="2"/>
      <c r="J87" s="2"/>
      <c r="K87" s="2"/>
      <c r="L87" s="2"/>
      <c r="M87" s="41"/>
      <c r="N87" s="42"/>
      <c r="O87" s="2"/>
    </row>
    <row r="88" spans="1:15" s="70" customFormat="1" ht="12.75" customHeight="1" x14ac:dyDescent="0.2">
      <c r="A88" s="87">
        <v>45295</v>
      </c>
      <c r="B88" s="120" t="s">
        <v>6</v>
      </c>
      <c r="C88" s="75" t="s">
        <v>1944</v>
      </c>
      <c r="D88" s="88">
        <v>321576</v>
      </c>
      <c r="E88" s="2"/>
      <c r="F88" s="2"/>
      <c r="G88" s="30"/>
      <c r="H88" s="30"/>
      <c r="I88" s="2"/>
      <c r="J88" s="2"/>
      <c r="K88" s="2"/>
      <c r="L88" s="2"/>
      <c r="M88" s="41"/>
      <c r="N88" s="42"/>
      <c r="O88" s="2"/>
    </row>
    <row r="89" spans="1:15" s="70" customFormat="1" ht="12.75" customHeight="1" x14ac:dyDescent="0.2">
      <c r="A89" s="87">
        <v>45295</v>
      </c>
      <c r="B89" s="120" t="s">
        <v>6</v>
      </c>
      <c r="C89" s="75" t="s">
        <v>1944</v>
      </c>
      <c r="D89" s="88">
        <v>430832</v>
      </c>
      <c r="E89" s="2"/>
      <c r="F89" s="2"/>
      <c r="G89" s="30"/>
      <c r="H89" s="30"/>
      <c r="I89" s="2"/>
      <c r="J89" s="2"/>
      <c r="K89" s="2"/>
      <c r="L89" s="2"/>
      <c r="M89" s="41"/>
      <c r="N89" s="42"/>
      <c r="O89" s="2"/>
    </row>
    <row r="90" spans="1:15" s="70" customFormat="1" ht="12.75" customHeight="1" x14ac:dyDescent="0.2">
      <c r="A90" s="87">
        <v>45295</v>
      </c>
      <c r="B90" s="120" t="s">
        <v>6</v>
      </c>
      <c r="C90" s="75" t="s">
        <v>1934</v>
      </c>
      <c r="D90" s="88">
        <v>892589</v>
      </c>
      <c r="E90" s="2"/>
      <c r="F90" s="2"/>
      <c r="G90" s="30"/>
      <c r="H90" s="30"/>
      <c r="I90" s="2"/>
      <c r="J90" s="2"/>
      <c r="K90" s="2"/>
      <c r="L90" s="2"/>
      <c r="M90" s="41"/>
      <c r="N90" s="42"/>
      <c r="O90" s="2"/>
    </row>
    <row r="91" spans="1:15" s="70" customFormat="1" ht="12.75" customHeight="1" x14ac:dyDescent="0.2">
      <c r="A91" s="87">
        <v>45299</v>
      </c>
      <c r="B91" s="120" t="s">
        <v>6</v>
      </c>
      <c r="C91" s="75" t="s">
        <v>1933</v>
      </c>
      <c r="D91" s="88">
        <v>8143487</v>
      </c>
      <c r="E91" s="2"/>
      <c r="F91" s="2"/>
      <c r="G91" s="30"/>
      <c r="H91" s="30"/>
      <c r="I91" s="2"/>
      <c r="J91" s="2"/>
      <c r="K91" s="2"/>
      <c r="L91" s="2"/>
      <c r="M91" s="41"/>
      <c r="N91" s="42"/>
      <c r="O91" s="2"/>
    </row>
    <row r="92" spans="1:15" s="70" customFormat="1" ht="12.75" customHeight="1" x14ac:dyDescent="0.2">
      <c r="A92" s="87">
        <v>45299</v>
      </c>
      <c r="B92" s="120" t="s">
        <v>6</v>
      </c>
      <c r="C92" s="75" t="s">
        <v>606</v>
      </c>
      <c r="D92" s="88">
        <v>487316</v>
      </c>
      <c r="E92" s="2"/>
      <c r="F92" s="2"/>
      <c r="G92" s="30"/>
      <c r="H92" s="30"/>
      <c r="I92" s="2"/>
      <c r="J92" s="2"/>
      <c r="K92" s="2"/>
      <c r="L92" s="2"/>
      <c r="M92" s="41"/>
      <c r="N92" s="42"/>
      <c r="O92" s="2"/>
    </row>
    <row r="93" spans="1:15" s="70" customFormat="1" ht="12.75" customHeight="1" x14ac:dyDescent="0.2">
      <c r="A93" s="87">
        <v>45301</v>
      </c>
      <c r="B93" s="120" t="s">
        <v>6</v>
      </c>
      <c r="C93" s="75" t="s">
        <v>1933</v>
      </c>
      <c r="D93" s="88">
        <v>2690</v>
      </c>
      <c r="E93" s="2"/>
      <c r="F93" s="2"/>
      <c r="G93" s="30"/>
      <c r="H93" s="30"/>
      <c r="I93" s="2"/>
      <c r="J93" s="2"/>
      <c r="K93" s="2"/>
      <c r="L93" s="2"/>
      <c r="M93" s="41"/>
      <c r="N93" s="42"/>
      <c r="O93" s="2"/>
    </row>
    <row r="94" spans="1:15" s="70" customFormat="1" ht="12.75" customHeight="1" x14ac:dyDescent="0.2">
      <c r="A94" s="87">
        <v>45301</v>
      </c>
      <c r="B94" s="120" t="s">
        <v>6</v>
      </c>
      <c r="C94" s="75" t="s">
        <v>1933</v>
      </c>
      <c r="D94" s="88">
        <v>2133516</v>
      </c>
      <c r="E94" s="2"/>
      <c r="F94" s="2"/>
      <c r="G94" s="30"/>
      <c r="H94" s="30"/>
      <c r="I94" s="2"/>
      <c r="J94" s="2"/>
      <c r="K94" s="2"/>
      <c r="L94" s="2"/>
      <c r="M94" s="41"/>
      <c r="N94" s="42"/>
      <c r="O94" s="2"/>
    </row>
    <row r="95" spans="1:15" s="70" customFormat="1" ht="12.75" customHeight="1" x14ac:dyDescent="0.2">
      <c r="A95" s="87">
        <v>45302</v>
      </c>
      <c r="B95" s="120" t="s">
        <v>6</v>
      </c>
      <c r="C95" s="75" t="s">
        <v>1084</v>
      </c>
      <c r="D95" s="88">
        <v>3000000</v>
      </c>
      <c r="E95" s="2"/>
      <c r="F95" s="2"/>
      <c r="G95" s="30"/>
      <c r="H95" s="30"/>
      <c r="I95" s="2"/>
      <c r="J95" s="2"/>
      <c r="K95" s="2"/>
      <c r="L95" s="2"/>
      <c r="M95" s="41"/>
      <c r="N95" s="42"/>
      <c r="O95" s="2"/>
    </row>
    <row r="96" spans="1:15" s="70" customFormat="1" ht="12.75" customHeight="1" x14ac:dyDescent="0.2">
      <c r="A96" s="87">
        <v>45303</v>
      </c>
      <c r="B96" s="120" t="s">
        <v>6</v>
      </c>
      <c r="C96" s="75" t="s">
        <v>1933</v>
      </c>
      <c r="D96" s="88">
        <v>5893097</v>
      </c>
      <c r="E96" s="2"/>
      <c r="F96" s="2"/>
      <c r="G96" s="30"/>
      <c r="H96" s="30"/>
      <c r="I96" s="2"/>
      <c r="J96" s="2"/>
      <c r="K96" s="2"/>
      <c r="L96" s="2"/>
      <c r="M96" s="41"/>
      <c r="N96" s="42"/>
      <c r="O96" s="2"/>
    </row>
    <row r="97" spans="1:15" s="70" customFormat="1" ht="12.75" customHeight="1" x14ac:dyDescent="0.2">
      <c r="A97" s="87">
        <v>45303</v>
      </c>
      <c r="B97" s="120" t="s">
        <v>6</v>
      </c>
      <c r="C97" s="75" t="s">
        <v>1977</v>
      </c>
      <c r="D97" s="88">
        <v>500000</v>
      </c>
      <c r="E97" s="2"/>
      <c r="F97" s="2"/>
      <c r="G97" s="30"/>
      <c r="H97" s="30"/>
      <c r="I97" s="2"/>
      <c r="J97" s="2"/>
      <c r="K97" s="2"/>
      <c r="L97" s="2"/>
      <c r="M97" s="41"/>
      <c r="N97" s="42"/>
      <c r="O97" s="2"/>
    </row>
    <row r="98" spans="1:15" s="2" customFormat="1" x14ac:dyDescent="0.2">
      <c r="A98" s="87"/>
      <c r="B98" s="74"/>
      <c r="C98" s="75"/>
      <c r="D98" s="51">
        <f>SUM(D83:D97)</f>
        <v>32229398.34</v>
      </c>
      <c r="F98" s="2" t="s">
        <v>396</v>
      </c>
      <c r="G98" s="1"/>
      <c r="H98" s="1"/>
    </row>
    <row r="99" spans="1:15" s="2" customFormat="1" x14ac:dyDescent="0.2">
      <c r="A99" s="24"/>
      <c r="B99" s="1"/>
      <c r="C99" s="14"/>
      <c r="D99" s="56"/>
      <c r="E99" s="13"/>
      <c r="G99" s="1"/>
      <c r="H99" s="1"/>
    </row>
    <row r="100" spans="1:15" s="2" customFormat="1" x14ac:dyDescent="0.2">
      <c r="A100" s="24"/>
      <c r="B100" s="1"/>
      <c r="C100" s="218" t="s">
        <v>77</v>
      </c>
      <c r="D100" s="219"/>
      <c r="E100" s="219"/>
      <c r="F100" s="220"/>
      <c r="I100" s="2" t="s">
        <v>396</v>
      </c>
    </row>
    <row r="101" spans="1:15" s="2" customFormat="1" x14ac:dyDescent="0.2">
      <c r="A101" s="24"/>
      <c r="B101" s="1"/>
      <c r="C101" s="50"/>
      <c r="D101" s="57" t="s">
        <v>78</v>
      </c>
      <c r="E101" s="58" t="s">
        <v>79</v>
      </c>
      <c r="F101" s="57" t="s">
        <v>72</v>
      </c>
      <c r="I101" s="2" t="s">
        <v>396</v>
      </c>
    </row>
    <row r="102" spans="1:15" s="2" customFormat="1" x14ac:dyDescent="0.2">
      <c r="A102" s="24"/>
      <c r="B102" s="1"/>
      <c r="C102" s="59" t="str">
        <f>"01-01-2024 to "&amp;TEXT(A5-2,"dd-mm-yyyy")</f>
        <v>01-01-2024 to 11-01-2024</v>
      </c>
      <c r="D102" s="60">
        <v>923.64</v>
      </c>
      <c r="E102" s="60">
        <v>255.4</v>
      </c>
      <c r="F102" s="61">
        <f>SUM(D102:E102)</f>
        <v>1179.04</v>
      </c>
    </row>
    <row r="103" spans="1:15" s="2" customFormat="1" x14ac:dyDescent="0.2">
      <c r="A103" s="24"/>
      <c r="B103" s="1"/>
      <c r="C103" s="62" t="str">
        <f>TEXT(A5-1,"dd-mm-yyyy")</f>
        <v>12-01-2024</v>
      </c>
      <c r="D103" s="60">
        <v>92.42</v>
      </c>
      <c r="E103" s="60">
        <v>21.72</v>
      </c>
      <c r="F103" s="61">
        <f>SUM(D103:E103)</f>
        <v>114.14</v>
      </c>
      <c r="G103" s="1"/>
      <c r="H103" s="1"/>
      <c r="I103" s="53"/>
    </row>
    <row r="104" spans="1:15" s="2" customFormat="1" ht="13.5" thickBot="1" x14ac:dyDescent="0.25">
      <c r="A104" s="24"/>
      <c r="B104" s="1"/>
      <c r="C104" s="63" t="str">
        <f>"01-01-2024 to "&amp;TEXT(A5-1,"dd-mm-yyyy")</f>
        <v>01-01-2024 to 12-01-2024</v>
      </c>
      <c r="D104" s="64">
        <f>SUM(D102:D103)</f>
        <v>1016.06</v>
      </c>
      <c r="E104" s="64">
        <f>SUM(E102:E103)</f>
        <v>277.12</v>
      </c>
      <c r="F104" s="64">
        <f>SUM(F102:F103)</f>
        <v>1293.18</v>
      </c>
      <c r="G104" s="1"/>
      <c r="H104" s="1"/>
      <c r="I104" s="53"/>
    </row>
    <row r="105" spans="1:15" s="2" customFormat="1" ht="13.5" thickTop="1" x14ac:dyDescent="0.2">
      <c r="A105" s="24"/>
      <c r="B105" s="1"/>
      <c r="C105" s="62"/>
      <c r="D105" s="65"/>
      <c r="E105" s="66"/>
      <c r="F105" s="67"/>
      <c r="M105" s="1"/>
      <c r="N105" s="1"/>
    </row>
    <row r="106" spans="1:15" s="2" customFormat="1" x14ac:dyDescent="0.2">
      <c r="A106" s="24"/>
      <c r="B106" s="1"/>
      <c r="C106" s="62" t="str">
        <f>"01-04-2023 to " &amp;C103</f>
        <v>01-04-2023 to 12-01-2024</v>
      </c>
      <c r="D106" s="68">
        <f>+D104+34570.27</f>
        <v>35586.329999999994</v>
      </c>
      <c r="E106" s="68">
        <f>+E104+3831.86</f>
        <v>4108.9800000000005</v>
      </c>
      <c r="F106" s="68">
        <f>+F104+38402.13</f>
        <v>39695.31</v>
      </c>
      <c r="G106" s="1"/>
      <c r="H106" s="1"/>
      <c r="M106" s="1"/>
      <c r="N106" s="1"/>
    </row>
    <row r="107" spans="1:15" s="2" customFormat="1" x14ac:dyDescent="0.2">
      <c r="A107" s="24"/>
      <c r="B107" s="1"/>
      <c r="C107" s="52"/>
      <c r="D107" s="85"/>
      <c r="E107" s="53"/>
      <c r="F107" s="53"/>
      <c r="G107" s="1"/>
      <c r="H107" s="1"/>
      <c r="M107" s="1"/>
      <c r="N107" s="1"/>
    </row>
    <row r="108" spans="1:15" s="2" customFormat="1" x14ac:dyDescent="0.2">
      <c r="A108" s="24"/>
      <c r="B108" s="1"/>
      <c r="C108" s="52"/>
      <c r="D108" s="85"/>
      <c r="E108" s="53"/>
      <c r="F108" s="53"/>
      <c r="G108" s="1"/>
      <c r="H108" s="1"/>
      <c r="M108" s="1"/>
      <c r="N108" s="1"/>
    </row>
    <row r="109" spans="1:15" s="2" customFormat="1" x14ac:dyDescent="0.2">
      <c r="A109" s="24"/>
      <c r="B109" s="1"/>
      <c r="C109" s="52"/>
      <c r="D109" s="85"/>
      <c r="E109" s="53"/>
      <c r="F109" s="53"/>
      <c r="G109" s="1"/>
      <c r="H109" s="1"/>
      <c r="M109" s="1"/>
      <c r="N109" s="1"/>
    </row>
    <row r="110" spans="1:15" s="2" customFormat="1" x14ac:dyDescent="0.2">
      <c r="A110" s="24"/>
      <c r="B110" s="1"/>
      <c r="C110" s="52"/>
      <c r="D110" s="85"/>
      <c r="E110" s="53"/>
      <c r="F110" s="53"/>
      <c r="G110" s="1"/>
      <c r="H110" s="1"/>
      <c r="M110" s="1"/>
      <c r="N110" s="1"/>
    </row>
    <row r="111" spans="1:15" s="2" customFormat="1" x14ac:dyDescent="0.2">
      <c r="A111" s="24"/>
      <c r="B111" s="1"/>
      <c r="C111" s="14"/>
      <c r="D111" s="25">
        <f>SUM(D108:D110)</f>
        <v>0</v>
      </c>
      <c r="E111" s="2">
        <f>SUM(E108:E110)</f>
        <v>0</v>
      </c>
      <c r="G111" s="1"/>
      <c r="H111" s="1"/>
      <c r="M111" s="1"/>
      <c r="N111" s="1"/>
    </row>
    <row r="112" spans="1:15" s="2" customFormat="1" x14ac:dyDescent="0.2">
      <c r="A112" s="24"/>
      <c r="B112" s="1"/>
      <c r="C112" s="14"/>
      <c r="D112" s="25"/>
      <c r="G112" s="1"/>
      <c r="H112" s="1"/>
      <c r="M112" s="1"/>
      <c r="N112" s="1"/>
    </row>
    <row r="113" spans="1:14" s="2" customFormat="1" x14ac:dyDescent="0.2">
      <c r="A113" s="24"/>
      <c r="B113" s="1"/>
      <c r="C113" s="14"/>
      <c r="D113" s="25"/>
      <c r="G113" s="1"/>
      <c r="H113" s="1"/>
      <c r="M113" s="1"/>
      <c r="N113" s="1"/>
    </row>
    <row r="114" spans="1:14" s="2" customFormat="1" x14ac:dyDescent="0.2">
      <c r="A114" s="24"/>
      <c r="B114" s="1"/>
      <c r="C114" s="14"/>
      <c r="D114" s="25"/>
      <c r="G114" s="1"/>
      <c r="H114" s="1"/>
      <c r="M114" s="1"/>
      <c r="N114" s="1"/>
    </row>
    <row r="115" spans="1:14" s="2" customFormat="1" x14ac:dyDescent="0.2">
      <c r="A115" s="24"/>
      <c r="B115" s="1"/>
      <c r="C115" s="14"/>
      <c r="D115" s="25"/>
      <c r="G115" s="1"/>
      <c r="H115" s="1"/>
      <c r="M115" s="1"/>
      <c r="N115" s="1"/>
    </row>
    <row r="116" spans="1:14" s="2" customFormat="1" x14ac:dyDescent="0.2">
      <c r="A116" s="24"/>
      <c r="B116" s="1"/>
      <c r="C116" s="14"/>
      <c r="D116" s="25"/>
      <c r="G116" s="1"/>
      <c r="H116" s="1"/>
      <c r="M116" s="1"/>
      <c r="N116" s="1"/>
    </row>
    <row r="117" spans="1:14" s="2" customFormat="1" x14ac:dyDescent="0.2">
      <c r="A117" s="24"/>
      <c r="B117" s="1"/>
      <c r="C117" s="14"/>
      <c r="D117" s="25"/>
      <c r="G117" s="1"/>
      <c r="H117" s="1"/>
      <c r="M117" s="1"/>
      <c r="N117" s="1"/>
    </row>
    <row r="118" spans="1:14" s="2" customFormat="1" x14ac:dyDescent="0.2">
      <c r="A118" s="24"/>
      <c r="B118" s="1"/>
      <c r="C118" s="14"/>
      <c r="D118" s="25"/>
      <c r="G118" s="1"/>
      <c r="H118" s="1"/>
      <c r="M118" s="1"/>
      <c r="N118" s="1"/>
    </row>
    <row r="119" spans="1:14" s="2" customFormat="1" x14ac:dyDescent="0.2">
      <c r="A119" s="24"/>
      <c r="B119" s="1"/>
      <c r="C119" s="14"/>
      <c r="D119" s="25"/>
      <c r="G119" s="1"/>
      <c r="H119" s="1"/>
      <c r="M119" s="1"/>
      <c r="N119" s="1"/>
    </row>
    <row r="120" spans="1:14" s="2" customFormat="1" x14ac:dyDescent="0.2">
      <c r="A120" s="24"/>
      <c r="B120" s="1"/>
      <c r="C120" s="14"/>
      <c r="D120" s="25"/>
      <c r="G120" s="1"/>
      <c r="H120" s="1"/>
      <c r="M120" s="1"/>
      <c r="N120" s="1"/>
    </row>
    <row r="121" spans="1:14" s="2" customFormat="1" x14ac:dyDescent="0.2">
      <c r="A121" s="24"/>
      <c r="B121" s="1"/>
      <c r="C121" s="14"/>
      <c r="D121" s="25"/>
      <c r="G121" s="1"/>
      <c r="H121" s="1"/>
      <c r="M121" s="1"/>
      <c r="N121" s="1"/>
    </row>
    <row r="122" spans="1:14" s="2" customFormat="1" x14ac:dyDescent="0.2">
      <c r="A122" s="24"/>
      <c r="B122" s="1"/>
      <c r="C122" s="14"/>
      <c r="D122" s="25"/>
      <c r="G122" s="1"/>
      <c r="H122" s="1"/>
      <c r="M122" s="1"/>
      <c r="N122" s="1"/>
    </row>
    <row r="123" spans="1:14" s="2" customFormat="1" x14ac:dyDescent="0.2">
      <c r="A123" s="24"/>
      <c r="B123" s="1"/>
      <c r="C123" s="14"/>
      <c r="D123" s="25"/>
      <c r="G123" s="1"/>
      <c r="H123" s="1"/>
      <c r="M123" s="1"/>
      <c r="N123" s="1"/>
    </row>
    <row r="124" spans="1:14" s="2" customFormat="1" x14ac:dyDescent="0.2">
      <c r="A124" s="24"/>
      <c r="B124" s="1"/>
      <c r="C124" s="14"/>
      <c r="D124" s="25"/>
      <c r="G124" s="1"/>
      <c r="H124" s="1"/>
      <c r="M124" s="1"/>
      <c r="N124" s="1"/>
    </row>
    <row r="125" spans="1:14" s="2" customFormat="1" x14ac:dyDescent="0.2">
      <c r="A125" s="24"/>
      <c r="B125" s="1"/>
      <c r="C125" s="14"/>
      <c r="D125" s="25"/>
      <c r="G125" s="1"/>
      <c r="H125" s="1"/>
      <c r="J125" s="1"/>
      <c r="K125" s="1"/>
      <c r="L125" s="1"/>
      <c r="M125" s="1"/>
      <c r="N125" s="1"/>
    </row>
    <row r="126" spans="1:14" s="2" customFormat="1" x14ac:dyDescent="0.2">
      <c r="A126" s="24"/>
      <c r="B126" s="1"/>
      <c r="C126" s="14"/>
      <c r="D126" s="25"/>
      <c r="G126" s="1"/>
      <c r="H126" s="1"/>
    </row>
    <row r="127" spans="1:14" s="2" customFormat="1" x14ac:dyDescent="0.2">
      <c r="A127" s="24"/>
      <c r="B127" s="1"/>
      <c r="C127" s="14"/>
      <c r="D127" s="25"/>
      <c r="G127" s="1"/>
      <c r="H127" s="1"/>
      <c r="J127" s="1"/>
      <c r="K127" s="1"/>
      <c r="L127" s="1"/>
      <c r="M127" s="1"/>
      <c r="N127" s="1"/>
    </row>
    <row r="128" spans="1:14" s="2" customFormat="1" x14ac:dyDescent="0.2">
      <c r="A128" s="24"/>
      <c r="B128" s="1"/>
      <c r="C128" s="14"/>
      <c r="D128" s="25"/>
      <c r="G128" s="54"/>
      <c r="H128" s="54"/>
      <c r="J128" s="1"/>
      <c r="K128" s="1"/>
      <c r="L128" s="1"/>
      <c r="M128" s="1"/>
      <c r="N128" s="1"/>
    </row>
    <row r="129" spans="1:15" s="2" customFormat="1" x14ac:dyDescent="0.2">
      <c r="A129" s="24"/>
      <c r="B129" s="1"/>
      <c r="C129" s="14"/>
      <c r="D129" s="25"/>
      <c r="G129" s="54"/>
      <c r="H129" s="54"/>
      <c r="J129" s="1"/>
      <c r="K129" s="1"/>
      <c r="L129" s="1"/>
      <c r="M129" s="1"/>
      <c r="N129" s="1"/>
    </row>
    <row r="130" spans="1:15" s="2" customFormat="1" x14ac:dyDescent="0.2">
      <c r="A130" s="24"/>
      <c r="B130" s="1"/>
      <c r="C130" s="14"/>
      <c r="D130" s="25"/>
      <c r="G130" s="54"/>
      <c r="H130" s="54"/>
      <c r="J130" s="1"/>
      <c r="K130" s="1"/>
      <c r="L130" s="1"/>
      <c r="M130" s="1"/>
      <c r="N130" s="1"/>
    </row>
    <row r="131" spans="1:15" s="2" customFormat="1" x14ac:dyDescent="0.2">
      <c r="A131" s="24"/>
      <c r="B131" s="1"/>
      <c r="C131" s="14"/>
      <c r="D131" s="25"/>
      <c r="G131" s="54"/>
      <c r="H131" s="54"/>
      <c r="I131" s="2" t="s">
        <v>396</v>
      </c>
      <c r="J131" s="1"/>
      <c r="K131" s="1"/>
      <c r="L131" s="1"/>
      <c r="M131" s="1"/>
      <c r="N131" s="1"/>
      <c r="O131" s="1"/>
    </row>
    <row r="132" spans="1:15" s="2" customFormat="1" x14ac:dyDescent="0.2">
      <c r="A132" s="24"/>
      <c r="B132" s="1"/>
      <c r="C132" s="14"/>
      <c r="D132" s="25"/>
      <c r="G132" s="54"/>
      <c r="H132" s="54"/>
      <c r="I132" s="53"/>
    </row>
    <row r="133" spans="1:15" s="2" customFormat="1" x14ac:dyDescent="0.2">
      <c r="A133" s="24"/>
      <c r="B133" s="1"/>
      <c r="C133" s="14"/>
      <c r="D133" s="25"/>
      <c r="G133" s="54"/>
      <c r="H133" s="54"/>
      <c r="I133" s="53" t="s">
        <v>396</v>
      </c>
      <c r="J133" s="1"/>
      <c r="K133" s="1"/>
      <c r="L133" s="1"/>
      <c r="M133" s="1"/>
      <c r="N133" s="1"/>
      <c r="O133" s="1"/>
    </row>
    <row r="134" spans="1:15" x14ac:dyDescent="0.2">
      <c r="G134" s="54"/>
      <c r="H134" s="54"/>
      <c r="I134" s="53" t="s">
        <v>396</v>
      </c>
      <c r="K134" s="42"/>
    </row>
    <row r="135" spans="1:15" s="2" customFormat="1" x14ac:dyDescent="0.2">
      <c r="A135" s="24"/>
      <c r="B135" s="1"/>
      <c r="C135" s="14"/>
      <c r="D135" s="25"/>
      <c r="G135" s="54"/>
      <c r="H135" s="54"/>
      <c r="I135" s="53"/>
      <c r="J135" s="101"/>
      <c r="K135" s="1"/>
      <c r="L135" s="1"/>
      <c r="M135" s="1"/>
      <c r="N135" s="1"/>
      <c r="O135" s="1"/>
    </row>
    <row r="136" spans="1:15" x14ac:dyDescent="0.2">
      <c r="G136" s="54"/>
      <c r="H136" s="54"/>
      <c r="I136" s="53"/>
    </row>
    <row r="137" spans="1:15" x14ac:dyDescent="0.2">
      <c r="G137" s="54"/>
      <c r="H137" s="54"/>
      <c r="I137" s="53"/>
    </row>
    <row r="138" spans="1:15" x14ac:dyDescent="0.2">
      <c r="G138" s="54"/>
      <c r="H138" s="54"/>
      <c r="I138" s="53"/>
    </row>
  </sheetData>
  <sheetProtection insertRows="0"/>
  <mergeCells count="7">
    <mergeCell ref="K74:L74"/>
    <mergeCell ref="A81:D81"/>
    <mergeCell ref="C100:F100"/>
    <mergeCell ref="A1:H1"/>
    <mergeCell ref="A3:F3"/>
    <mergeCell ref="A9:F9"/>
    <mergeCell ref="A21:F21"/>
  </mergeCells>
  <conditionalFormatting sqref="H78:H79">
    <cfRule type="cellIs" dxfId="127" priority="1" operator="lessThan">
      <formula>0</formula>
    </cfRule>
  </conditionalFormatting>
  <conditionalFormatting sqref="C23">
    <cfRule type="duplicateValues" dxfId="126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300-000000000000}">
  <sheetPr codeName="Sheet523">
    <pageSetUpPr fitToPage="1"/>
  </sheetPr>
  <dimension ref="A1:O121"/>
  <sheetViews>
    <sheetView topLeftCell="A13" zoomScaleNormal="100" workbookViewId="0">
      <selection activeCell="E33" sqref="E33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12.85546875" style="1" customWidth="1"/>
    <col min="9" max="9" width="24.85546875" style="2" bestFit="1" customWidth="1"/>
    <col min="10" max="10" width="21.5703125" style="1" bestFit="1" customWidth="1"/>
    <col min="11" max="11" width="16.85546875" style="1" bestFit="1" customWidth="1"/>
    <col min="12" max="12" width="17.28515625" style="1" bestFit="1" customWidth="1"/>
    <col min="13" max="13" width="13.5703125" style="1" bestFit="1" customWidth="1"/>
    <col min="14" max="14" width="17.42578125" style="1" bestFit="1" customWidth="1"/>
    <col min="15" max="15" width="12.85546875" style="1" bestFit="1" customWidth="1"/>
    <col min="16" max="17" width="9.140625" style="1"/>
    <col min="18" max="18" width="15.5703125" style="1" bestFit="1" customWidth="1"/>
    <col min="19" max="16384" width="9.140625" style="1"/>
  </cols>
  <sheetData>
    <row r="1" spans="1:14" ht="20.25" customHeight="1" x14ac:dyDescent="0.4">
      <c r="A1" s="212" t="s">
        <v>1978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4" ht="12.75" customHeight="1" x14ac:dyDescent="0.4">
      <c r="I2" s="112"/>
      <c r="J2" s="112"/>
    </row>
    <row r="3" spans="1:14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4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4" s="2" customFormat="1" ht="14.25" customHeight="1" x14ac:dyDescent="0.4">
      <c r="A5" s="89">
        <v>45306</v>
      </c>
      <c r="B5" s="9" t="s">
        <v>6</v>
      </c>
      <c r="C5" s="10" t="s">
        <v>7</v>
      </c>
      <c r="D5" s="11"/>
      <c r="E5" s="12">
        <v>586241.23000000045</v>
      </c>
      <c r="F5" s="12"/>
      <c r="G5" s="1"/>
      <c r="H5" s="1"/>
      <c r="I5" s="112"/>
      <c r="J5" s="112"/>
    </row>
    <row r="6" spans="1:14" s="2" customFormat="1" ht="12.75" customHeight="1" x14ac:dyDescent="0.2">
      <c r="D6" s="15" t="s">
        <v>8</v>
      </c>
      <c r="E6" s="16">
        <f>SUM(E5:E5)</f>
        <v>586241.23000000045</v>
      </c>
      <c r="F6" s="16">
        <f>SUM(E6)</f>
        <v>586241.23000000045</v>
      </c>
      <c r="G6" s="1"/>
      <c r="H6" s="1"/>
      <c r="I6" s="13" t="s">
        <v>1582</v>
      </c>
      <c r="J6" s="13" t="s">
        <v>1583</v>
      </c>
    </row>
    <row r="7" spans="1:14" s="2" customFormat="1" ht="12.75" customHeight="1" x14ac:dyDescent="0.2">
      <c r="A7" s="17"/>
      <c r="B7" s="18"/>
      <c r="C7" s="19" t="s">
        <v>9</v>
      </c>
      <c r="D7" s="20"/>
      <c r="E7" s="21">
        <f>+E6-F6</f>
        <v>0</v>
      </c>
      <c r="F7" s="22"/>
      <c r="G7" s="23"/>
      <c r="H7" s="23"/>
      <c r="I7" s="2">
        <v>0</v>
      </c>
      <c r="K7" s="176">
        <f>I7-J7</f>
        <v>0</v>
      </c>
    </row>
    <row r="8" spans="1:14" ht="12.75" customHeight="1" x14ac:dyDescent="0.4">
      <c r="I8" s="112"/>
      <c r="J8" s="112"/>
    </row>
    <row r="9" spans="1:14" ht="18" customHeight="1" x14ac:dyDescent="0.4">
      <c r="A9" s="213" t="s">
        <v>1037</v>
      </c>
      <c r="B9" s="213"/>
      <c r="C9" s="213"/>
      <c r="D9" s="213"/>
      <c r="E9" s="213"/>
      <c r="F9" s="213"/>
      <c r="I9" s="112"/>
      <c r="J9" s="169">
        <f>90000000-60000000</f>
        <v>30000000</v>
      </c>
      <c r="K9" s="169" t="s">
        <v>1508</v>
      </c>
    </row>
    <row r="10" spans="1:14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I10" s="112"/>
      <c r="J10" s="169">
        <v>29286996.02</v>
      </c>
      <c r="K10" s="169" t="s">
        <v>1509</v>
      </c>
      <c r="L10" s="124"/>
    </row>
    <row r="11" spans="1:14" s="2" customFormat="1" ht="14.25" customHeight="1" x14ac:dyDescent="0.2">
      <c r="A11" s="89">
        <v>45306</v>
      </c>
      <c r="B11" s="9" t="s">
        <v>6</v>
      </c>
      <c r="C11" s="10" t="s">
        <v>7</v>
      </c>
      <c r="D11" s="11"/>
      <c r="F11" s="12">
        <v>29937219.02</v>
      </c>
      <c r="G11" s="1"/>
      <c r="H11" s="1"/>
      <c r="I11" s="130" t="s">
        <v>396</v>
      </c>
      <c r="J11" s="169">
        <f>+J9-J10</f>
        <v>713003.98000000045</v>
      </c>
      <c r="K11" s="169" t="s">
        <v>712</v>
      </c>
      <c r="L11" s="165" t="s">
        <v>1512</v>
      </c>
    </row>
    <row r="12" spans="1:14" s="2" customFormat="1" ht="14.25" customHeight="1" x14ac:dyDescent="0.2">
      <c r="A12" s="89">
        <v>45306</v>
      </c>
      <c r="B12" s="9" t="s">
        <v>6</v>
      </c>
      <c r="C12" s="10" t="s">
        <v>1255</v>
      </c>
      <c r="D12" s="11" t="s">
        <v>13</v>
      </c>
      <c r="E12" s="2">
        <v>650223</v>
      </c>
      <c r="F12" s="12"/>
      <c r="G12" s="1"/>
      <c r="H12" s="1"/>
      <c r="I12" s="130"/>
      <c r="J12" s="169"/>
      <c r="K12" s="169"/>
      <c r="L12" s="165"/>
    </row>
    <row r="13" spans="1:14" s="2" customFormat="1" ht="14.25" customHeight="1" x14ac:dyDescent="0.2">
      <c r="D13" s="11" t="s">
        <v>8</v>
      </c>
      <c r="E13" s="16">
        <f>SUM(E12:E12)</f>
        <v>650223</v>
      </c>
      <c r="F13" s="16">
        <f>SUM(F11:F12)</f>
        <v>29937219.02</v>
      </c>
      <c r="G13" s="1"/>
      <c r="H13" s="1"/>
      <c r="I13" s="143"/>
      <c r="J13" s="130"/>
      <c r="K13" s="143"/>
      <c r="L13" s="143"/>
      <c r="M13" s="143"/>
      <c r="N13" s="143"/>
    </row>
    <row r="14" spans="1:14" s="2" customFormat="1" ht="14.25" customHeight="1" x14ac:dyDescent="0.4">
      <c r="A14" s="17"/>
      <c r="B14" s="18"/>
      <c r="C14" s="96" t="s">
        <v>9</v>
      </c>
      <c r="D14" s="20"/>
      <c r="E14" s="21">
        <f>+F13-E13</f>
        <v>29286996.02</v>
      </c>
      <c r="G14" s="1"/>
      <c r="H14" s="1"/>
      <c r="J14" s="112"/>
      <c r="K14" s="153" t="s">
        <v>779</v>
      </c>
    </row>
    <row r="15" spans="1:14" s="2" customFormat="1" ht="14.25" customHeight="1" x14ac:dyDescent="0.2">
      <c r="A15" s="17"/>
      <c r="B15" s="28" t="s">
        <v>66</v>
      </c>
      <c r="C15" s="43" t="s">
        <v>1458</v>
      </c>
      <c r="D15" s="43"/>
      <c r="E15" s="12">
        <f>30000000+60000000</f>
        <v>90000000</v>
      </c>
      <c r="F15" s="22"/>
      <c r="G15" s="1"/>
      <c r="H15" s="1"/>
      <c r="J15" s="40">
        <v>29286996.02</v>
      </c>
      <c r="K15" s="154">
        <f>J15-E14</f>
        <v>0</v>
      </c>
    </row>
    <row r="16" spans="1:14" s="2" customFormat="1" ht="14.25" customHeight="1" x14ac:dyDescent="0.25">
      <c r="A16" s="36"/>
      <c r="B16" s="28"/>
      <c r="C16" s="44" t="s">
        <v>1541</v>
      </c>
      <c r="D16" s="43"/>
      <c r="E16" s="7">
        <f>+E14+E15</f>
        <v>119286996.02</v>
      </c>
      <c r="F16" s="22"/>
      <c r="G16" s="1"/>
      <c r="H16" s="1"/>
      <c r="I16" s="13" t="s">
        <v>1582</v>
      </c>
      <c r="J16" s="13" t="s">
        <v>1583</v>
      </c>
    </row>
    <row r="17" spans="1:12" s="2" customFormat="1" ht="14.25" customHeight="1" x14ac:dyDescent="0.25">
      <c r="A17" s="36"/>
      <c r="B17" s="28"/>
      <c r="C17" s="44" t="s">
        <v>1511</v>
      </c>
      <c r="D17" s="43"/>
      <c r="E17" s="38">
        <f>+J11+I7-J7</f>
        <v>713003.98000000045</v>
      </c>
      <c r="F17" s="22"/>
      <c r="G17" s="1"/>
      <c r="H17" s="1"/>
      <c r="I17" s="2">
        <v>837158</v>
      </c>
      <c r="J17" s="2">
        <v>3690431.3</v>
      </c>
      <c r="K17" s="176">
        <f>I17-J17</f>
        <v>-2853273.3</v>
      </c>
    </row>
    <row r="18" spans="1:12" s="2" customFormat="1" ht="14.25" customHeight="1" x14ac:dyDescent="0.2">
      <c r="A18" s="24"/>
      <c r="B18" s="1"/>
      <c r="C18" s="14"/>
      <c r="D18" s="25"/>
      <c r="G18" s="1"/>
      <c r="H18" s="1"/>
      <c r="J18" s="130"/>
      <c r="K18" s="130"/>
    </row>
    <row r="19" spans="1:12" s="2" customFormat="1" x14ac:dyDescent="0.2">
      <c r="A19" s="214" t="s">
        <v>10</v>
      </c>
      <c r="B19" s="214"/>
      <c r="C19" s="214"/>
      <c r="D19" s="214"/>
      <c r="E19" s="214"/>
      <c r="F19" s="214"/>
      <c r="G19" s="1"/>
      <c r="H19" s="1"/>
      <c r="I19" s="159"/>
      <c r="J19" s="160">
        <v>100000000</v>
      </c>
      <c r="K19" s="160" t="s">
        <v>1506</v>
      </c>
      <c r="L19" s="70"/>
    </row>
    <row r="20" spans="1:12" s="2" customFormat="1" ht="15" x14ac:dyDescent="0.35">
      <c r="A20" s="26" t="s">
        <v>1</v>
      </c>
      <c r="B20" s="27" t="s">
        <v>2</v>
      </c>
      <c r="C20" s="5"/>
      <c r="D20" s="6" t="s">
        <v>3</v>
      </c>
      <c r="E20" s="7" t="s">
        <v>4</v>
      </c>
      <c r="F20" s="7" t="s">
        <v>5</v>
      </c>
      <c r="G20" s="1"/>
      <c r="H20" s="1"/>
      <c r="I20" s="159"/>
      <c r="J20" s="179">
        <v>80200023.269999996</v>
      </c>
      <c r="K20" s="160" t="s">
        <v>1507</v>
      </c>
      <c r="L20" s="70" t="s">
        <v>1512</v>
      </c>
    </row>
    <row r="21" spans="1:12" s="2" customFormat="1" x14ac:dyDescent="0.2">
      <c r="A21" s="89">
        <v>45306</v>
      </c>
      <c r="B21" s="128" t="s">
        <v>11</v>
      </c>
      <c r="C21" s="29" t="s">
        <v>7</v>
      </c>
      <c r="D21" s="25"/>
      <c r="E21" s="31"/>
      <c r="F21" s="2">
        <v>79648376.449999958</v>
      </c>
      <c r="G21" s="23"/>
      <c r="H21" s="23"/>
      <c r="I21" s="159" t="s">
        <v>1505</v>
      </c>
      <c r="J21" s="160">
        <f>+J19-J20</f>
        <v>19799976.730000004</v>
      </c>
      <c r="K21" s="160"/>
      <c r="L21" s="70"/>
    </row>
    <row r="22" spans="1:12" s="2" customFormat="1" x14ac:dyDescent="0.2">
      <c r="A22" s="89">
        <v>45306</v>
      </c>
      <c r="B22" s="128" t="s">
        <v>6</v>
      </c>
      <c r="C22" s="76" t="s">
        <v>329</v>
      </c>
      <c r="D22" s="11" t="s">
        <v>13</v>
      </c>
      <c r="E22" s="31">
        <v>564036</v>
      </c>
      <c r="G22" s="23"/>
      <c r="H22" s="23"/>
      <c r="I22" s="159"/>
      <c r="J22" s="160"/>
      <c r="K22" s="160"/>
      <c r="L22" s="70"/>
    </row>
    <row r="23" spans="1:12" s="2" customFormat="1" x14ac:dyDescent="0.2">
      <c r="A23" s="89">
        <v>45306</v>
      </c>
      <c r="B23" s="128" t="s">
        <v>6</v>
      </c>
      <c r="C23" s="76" t="s">
        <v>133</v>
      </c>
      <c r="D23" s="11" t="s">
        <v>13</v>
      </c>
      <c r="E23" s="31">
        <v>127800</v>
      </c>
      <c r="G23" s="23"/>
      <c r="H23" s="23"/>
      <c r="I23" s="159"/>
      <c r="J23" s="160"/>
      <c r="K23" s="160"/>
      <c r="L23" s="70"/>
    </row>
    <row r="24" spans="1:12" s="2" customFormat="1" x14ac:dyDescent="0.2">
      <c r="A24" s="89">
        <v>45306</v>
      </c>
      <c r="B24" s="128" t="s">
        <v>6</v>
      </c>
      <c r="C24" s="76" t="s">
        <v>1940</v>
      </c>
      <c r="D24" s="11" t="s">
        <v>13</v>
      </c>
      <c r="E24" s="31">
        <v>67294</v>
      </c>
      <c r="G24" s="23"/>
      <c r="H24" s="23"/>
      <c r="I24" s="159"/>
      <c r="J24" s="160"/>
      <c r="K24" s="160"/>
      <c r="L24" s="70"/>
    </row>
    <row r="25" spans="1:12" s="2" customFormat="1" x14ac:dyDescent="0.2">
      <c r="A25" s="89">
        <v>45306</v>
      </c>
      <c r="B25" s="128" t="s">
        <v>6</v>
      </c>
      <c r="C25" s="76" t="s">
        <v>969</v>
      </c>
      <c r="D25" s="11" t="s">
        <v>13</v>
      </c>
      <c r="E25" s="31">
        <v>4725</v>
      </c>
      <c r="G25" s="23"/>
      <c r="H25" s="23"/>
      <c r="I25" s="159"/>
      <c r="J25" s="160"/>
      <c r="K25" s="160"/>
      <c r="L25" s="70"/>
    </row>
    <row r="26" spans="1:12" s="2" customFormat="1" x14ac:dyDescent="0.2">
      <c r="A26" s="89">
        <v>45306</v>
      </c>
      <c r="B26" s="128" t="s">
        <v>6</v>
      </c>
      <c r="C26" s="76" t="s">
        <v>276</v>
      </c>
      <c r="D26" s="11" t="s">
        <v>13</v>
      </c>
      <c r="E26" s="31">
        <v>128346</v>
      </c>
      <c r="G26" s="23"/>
      <c r="H26" s="23"/>
      <c r="I26" s="159"/>
      <c r="J26" s="160"/>
      <c r="K26" s="160"/>
      <c r="L26" s="70"/>
    </row>
    <row r="27" spans="1:12" s="2" customFormat="1" x14ac:dyDescent="0.2">
      <c r="A27" s="89">
        <v>45306</v>
      </c>
      <c r="B27" s="128" t="s">
        <v>6</v>
      </c>
      <c r="C27" s="76" t="s">
        <v>639</v>
      </c>
      <c r="D27" s="11" t="s">
        <v>13</v>
      </c>
      <c r="E27" s="31">
        <v>38078.699999999997</v>
      </c>
      <c r="G27" s="23"/>
      <c r="H27" s="23"/>
      <c r="I27" s="159"/>
      <c r="J27" s="160"/>
      <c r="K27" s="160"/>
      <c r="L27" s="70"/>
    </row>
    <row r="28" spans="1:12" s="2" customFormat="1" x14ac:dyDescent="0.2">
      <c r="A28" s="89">
        <v>45306</v>
      </c>
      <c r="B28" s="128" t="s">
        <v>6</v>
      </c>
      <c r="C28" s="76" t="s">
        <v>1637</v>
      </c>
      <c r="D28" s="11" t="s">
        <v>13</v>
      </c>
      <c r="E28" s="31">
        <v>179245</v>
      </c>
      <c r="G28" s="23"/>
      <c r="H28" s="23"/>
      <c r="I28" s="159"/>
      <c r="J28" s="160"/>
      <c r="K28" s="160"/>
      <c r="L28" s="70"/>
    </row>
    <row r="29" spans="1:12" s="2" customFormat="1" x14ac:dyDescent="0.2">
      <c r="A29" s="89">
        <v>45306</v>
      </c>
      <c r="B29" s="128" t="s">
        <v>6</v>
      </c>
      <c r="C29" s="76" t="s">
        <v>120</v>
      </c>
      <c r="D29" s="11" t="s">
        <v>13</v>
      </c>
      <c r="E29" s="31">
        <v>532266</v>
      </c>
      <c r="G29" s="23"/>
      <c r="H29" s="23"/>
      <c r="I29" s="159"/>
      <c r="J29" s="160"/>
      <c r="K29" s="160"/>
      <c r="L29" s="70"/>
    </row>
    <row r="30" spans="1:12" s="2" customFormat="1" x14ac:dyDescent="0.2">
      <c r="A30" s="89">
        <v>45306</v>
      </c>
      <c r="B30" s="128" t="s">
        <v>6</v>
      </c>
      <c r="C30" s="76" t="s">
        <v>1954</v>
      </c>
      <c r="D30" s="11" t="s">
        <v>13</v>
      </c>
      <c r="E30" s="31">
        <v>50000</v>
      </c>
      <c r="G30" s="23"/>
      <c r="H30" s="23"/>
      <c r="I30" s="159"/>
      <c r="J30" s="160"/>
      <c r="K30" s="160"/>
      <c r="L30" s="70"/>
    </row>
    <row r="31" spans="1:12" s="2" customFormat="1" x14ac:dyDescent="0.2">
      <c r="A31" s="89">
        <v>45306</v>
      </c>
      <c r="B31" s="128" t="s">
        <v>6</v>
      </c>
      <c r="C31" s="76" t="s">
        <v>1365</v>
      </c>
      <c r="D31" s="11" t="s">
        <v>13</v>
      </c>
      <c r="E31" s="31">
        <v>400000</v>
      </c>
      <c r="G31" s="23"/>
      <c r="H31" s="23"/>
      <c r="I31" s="159"/>
      <c r="J31" s="160"/>
      <c r="K31" s="160"/>
      <c r="L31" s="70"/>
    </row>
    <row r="32" spans="1:12" s="2" customFormat="1" x14ac:dyDescent="0.2">
      <c r="A32" s="89">
        <v>45306</v>
      </c>
      <c r="B32" s="128" t="s">
        <v>6</v>
      </c>
      <c r="C32" s="76" t="s">
        <v>843</v>
      </c>
      <c r="D32" s="11" t="s">
        <v>13</v>
      </c>
      <c r="E32" s="31">
        <v>153747</v>
      </c>
      <c r="G32" s="23"/>
      <c r="H32" s="23"/>
      <c r="I32" s="159"/>
      <c r="J32" s="160"/>
      <c r="K32" s="160"/>
      <c r="L32" s="70"/>
    </row>
    <row r="33" spans="1:15" s="2" customFormat="1" x14ac:dyDescent="0.2">
      <c r="A33" s="89">
        <v>45306</v>
      </c>
      <c r="B33" s="128" t="s">
        <v>6</v>
      </c>
      <c r="C33" s="76" t="s">
        <v>1822</v>
      </c>
      <c r="D33" s="11" t="s">
        <v>13</v>
      </c>
      <c r="E33" s="31">
        <v>1500000</v>
      </c>
      <c r="G33" s="23"/>
      <c r="H33" s="23"/>
      <c r="I33" s="159"/>
      <c r="J33" s="160"/>
      <c r="K33" s="160"/>
      <c r="L33" s="70"/>
    </row>
    <row r="34" spans="1:15" s="2" customFormat="1" x14ac:dyDescent="0.2">
      <c r="A34" s="89">
        <v>45306</v>
      </c>
      <c r="B34" s="128" t="s">
        <v>11</v>
      </c>
      <c r="C34" s="76" t="s">
        <v>64</v>
      </c>
      <c r="D34" s="11" t="s">
        <v>29</v>
      </c>
      <c r="E34" s="31"/>
      <c r="F34" s="2">
        <v>1784.1599999999999</v>
      </c>
      <c r="G34" s="23"/>
      <c r="H34" s="23"/>
      <c r="I34" s="159"/>
      <c r="J34" s="160"/>
      <c r="K34" s="160"/>
      <c r="L34" s="70"/>
    </row>
    <row r="35" spans="1:15" s="2" customFormat="1" x14ac:dyDescent="0.2">
      <c r="A35" s="89">
        <v>45306</v>
      </c>
      <c r="B35" s="128" t="s">
        <v>11</v>
      </c>
      <c r="C35" s="76" t="s">
        <v>110</v>
      </c>
      <c r="D35" s="11" t="s">
        <v>29</v>
      </c>
      <c r="E35" s="31"/>
      <c r="F35" s="2">
        <v>1850319.3</v>
      </c>
      <c r="G35" s="23"/>
      <c r="H35" s="23"/>
      <c r="I35" s="159"/>
      <c r="J35" s="160"/>
      <c r="K35" s="160"/>
      <c r="L35" s="70"/>
    </row>
    <row r="36" spans="1:15" s="2" customFormat="1" x14ac:dyDescent="0.2">
      <c r="A36" s="89">
        <v>45306</v>
      </c>
      <c r="B36" s="128" t="s">
        <v>11</v>
      </c>
      <c r="C36" s="76" t="s">
        <v>107</v>
      </c>
      <c r="D36" s="11" t="s">
        <v>29</v>
      </c>
      <c r="E36" s="31"/>
      <c r="F36" s="2">
        <v>1033419.71</v>
      </c>
      <c r="G36" s="23"/>
      <c r="H36" s="23"/>
      <c r="I36" s="159"/>
      <c r="J36" s="160"/>
      <c r="K36" s="160"/>
      <c r="L36" s="70"/>
    </row>
    <row r="37" spans="1:15" s="2" customFormat="1" x14ac:dyDescent="0.2">
      <c r="A37" s="89">
        <v>45306</v>
      </c>
      <c r="B37" s="128" t="s">
        <v>11</v>
      </c>
      <c r="C37" s="76" t="s">
        <v>260</v>
      </c>
      <c r="D37" s="11" t="s">
        <v>29</v>
      </c>
      <c r="E37" s="31"/>
      <c r="F37" s="2">
        <v>2352909.5299999998</v>
      </c>
      <c r="G37" s="23"/>
      <c r="H37" s="23"/>
      <c r="I37" s="159"/>
      <c r="J37" s="160"/>
      <c r="K37" s="160"/>
      <c r="L37" s="70"/>
    </row>
    <row r="38" spans="1:15" s="2" customFormat="1" x14ac:dyDescent="0.2">
      <c r="A38" s="89">
        <v>45306</v>
      </c>
      <c r="B38" s="128" t="s">
        <v>11</v>
      </c>
      <c r="C38" s="76" t="s">
        <v>754</v>
      </c>
      <c r="D38" s="11" t="s">
        <v>29</v>
      </c>
      <c r="E38" s="31"/>
      <c r="F38" s="2">
        <v>1834832.97</v>
      </c>
      <c r="G38" s="23"/>
      <c r="H38" s="23"/>
      <c r="I38" s="159"/>
      <c r="J38" s="160"/>
      <c r="K38" s="160"/>
      <c r="L38" s="70"/>
    </row>
    <row r="39" spans="1:15" s="2" customFormat="1" x14ac:dyDescent="0.2">
      <c r="A39" s="89">
        <v>45306</v>
      </c>
      <c r="B39" s="128" t="s">
        <v>11</v>
      </c>
      <c r="C39" s="76" t="s">
        <v>250</v>
      </c>
      <c r="D39" s="11" t="s">
        <v>29</v>
      </c>
      <c r="E39" s="31"/>
      <c r="F39" s="2">
        <v>4665</v>
      </c>
      <c r="G39" s="23"/>
      <c r="H39" s="23"/>
      <c r="I39" s="159"/>
      <c r="J39" s="160"/>
      <c r="K39" s="160"/>
      <c r="L39" s="70"/>
    </row>
    <row r="40" spans="1:15" s="2" customFormat="1" x14ac:dyDescent="0.2">
      <c r="A40" s="89">
        <v>45306</v>
      </c>
      <c r="B40" s="128" t="s">
        <v>11</v>
      </c>
      <c r="C40" s="76" t="s">
        <v>1979</v>
      </c>
      <c r="D40" s="11" t="s">
        <v>29</v>
      </c>
      <c r="E40" s="31"/>
      <c r="F40" s="2">
        <v>72527.149999999994</v>
      </c>
      <c r="G40" s="23"/>
      <c r="H40" s="23"/>
      <c r="I40" s="159"/>
      <c r="J40" s="160"/>
      <c r="K40" s="160"/>
      <c r="L40" s="70"/>
    </row>
    <row r="41" spans="1:15" s="2" customFormat="1" x14ac:dyDescent="0.2">
      <c r="A41" s="32"/>
      <c r="B41" s="33"/>
      <c r="C41" s="14"/>
      <c r="D41" s="34"/>
      <c r="E41" s="16">
        <f>SUM(E21:E40)</f>
        <v>3745537.7</v>
      </c>
      <c r="F41" s="16">
        <f>SUM(F21:F40)</f>
        <v>86798834.269999951</v>
      </c>
      <c r="G41" s="1"/>
      <c r="H41" s="1"/>
      <c r="I41" s="1"/>
      <c r="J41" s="38">
        <v>83053296.569999993</v>
      </c>
      <c r="L41" s="92">
        <f>E42-J41</f>
        <v>0</v>
      </c>
      <c r="O41" s="1"/>
    </row>
    <row r="42" spans="1:15" s="2" customFormat="1" x14ac:dyDescent="0.2">
      <c r="A42" s="36"/>
      <c r="B42" s="28" t="s">
        <v>11</v>
      </c>
      <c r="C42" s="19" t="s">
        <v>65</v>
      </c>
      <c r="D42" s="37"/>
      <c r="E42" s="38">
        <f>F41-E41</f>
        <v>83053296.569999948</v>
      </c>
      <c r="F42" s="22"/>
      <c r="G42" s="1"/>
      <c r="H42" s="1"/>
      <c r="I42" s="1"/>
      <c r="J42" s="70"/>
      <c r="K42" s="70"/>
      <c r="L42" s="70"/>
      <c r="O42" s="1"/>
    </row>
    <row r="43" spans="1:15" s="2" customFormat="1" x14ac:dyDescent="0.2">
      <c r="A43" s="36"/>
      <c r="B43" s="28" t="s">
        <v>66</v>
      </c>
      <c r="C43" s="19" t="s">
        <v>67</v>
      </c>
      <c r="D43" s="37"/>
      <c r="E43" s="38">
        <v>11500000</v>
      </c>
      <c r="F43" s="22"/>
      <c r="G43" s="1"/>
      <c r="H43" s="1"/>
      <c r="I43" s="70"/>
      <c r="J43" s="70"/>
      <c r="K43" s="70"/>
      <c r="L43" s="70"/>
      <c r="O43" s="1"/>
    </row>
    <row r="44" spans="1:15" s="2" customFormat="1" x14ac:dyDescent="0.2">
      <c r="A44" s="36"/>
      <c r="B44" s="28" t="s">
        <v>66</v>
      </c>
      <c r="C44" s="43" t="s">
        <v>1457</v>
      </c>
      <c r="D44" s="43"/>
      <c r="E44" s="12">
        <v>400000000</v>
      </c>
      <c r="F44" s="22"/>
      <c r="G44" s="1"/>
      <c r="H44" s="1"/>
      <c r="I44" s="70"/>
      <c r="J44" s="45">
        <v>708.75</v>
      </c>
      <c r="K44" s="46"/>
      <c r="L44" s="46"/>
      <c r="O44" s="1"/>
    </row>
    <row r="45" spans="1:15" s="2" customFormat="1" ht="15" x14ac:dyDescent="0.25">
      <c r="A45" s="36"/>
      <c r="B45" s="28"/>
      <c r="C45" s="44" t="s">
        <v>1541</v>
      </c>
      <c r="D45" s="43"/>
      <c r="E45" s="7">
        <f>+E44+E42+E43</f>
        <v>494553296.56999993</v>
      </c>
      <c r="F45" s="22"/>
      <c r="G45" s="1"/>
      <c r="H45" s="1"/>
      <c r="I45" s="103" t="s">
        <v>69</v>
      </c>
      <c r="J45" s="45">
        <v>-62.08</v>
      </c>
      <c r="K45" s="46"/>
      <c r="L45" s="46"/>
      <c r="O45" s="1"/>
    </row>
    <row r="46" spans="1:15" s="2" customFormat="1" ht="15" x14ac:dyDescent="0.25">
      <c r="A46" s="24"/>
      <c r="B46" s="1"/>
      <c r="C46" s="44" t="s">
        <v>1510</v>
      </c>
      <c r="D46" s="25"/>
      <c r="E46" s="156">
        <f>+J21-E43+I17-J17</f>
        <v>5446703.4300000044</v>
      </c>
      <c r="G46" s="1"/>
      <c r="H46" s="1"/>
      <c r="I46" s="35">
        <v>1</v>
      </c>
      <c r="J46" s="45">
        <v>37.71</v>
      </c>
      <c r="K46" s="46">
        <f>+J47-D49</f>
        <v>0</v>
      </c>
      <c r="O46" s="1"/>
    </row>
    <row r="47" spans="1:15" s="124" customFormat="1" ht="12.75" customHeight="1" x14ac:dyDescent="0.2">
      <c r="A47" s="24"/>
      <c r="B47" s="1"/>
      <c r="C47" s="56"/>
      <c r="D47" s="56"/>
      <c r="E47" s="104"/>
      <c r="F47" s="2"/>
      <c r="G47" s="166"/>
      <c r="H47" s="166"/>
      <c r="I47" s="70"/>
      <c r="J47" s="49">
        <f>SUM(J44:J46)</f>
        <v>684.38</v>
      </c>
      <c r="K47" s="46"/>
      <c r="L47" s="46"/>
    </row>
    <row r="48" spans="1:15" s="124" customFormat="1" ht="12.75" customHeight="1" x14ac:dyDescent="0.2">
      <c r="A48" s="24"/>
      <c r="B48" s="1"/>
      <c r="C48" s="78" t="s">
        <v>575</v>
      </c>
      <c r="D48" s="48" t="s">
        <v>576</v>
      </c>
      <c r="E48" s="104"/>
      <c r="F48" s="2"/>
      <c r="G48" s="168"/>
      <c r="H48" s="168"/>
      <c r="I48" s="167"/>
      <c r="J48" s="167"/>
      <c r="K48" s="168"/>
    </row>
    <row r="49" spans="1:14" s="124" customFormat="1" ht="12.75" customHeight="1" x14ac:dyDescent="0.2">
      <c r="A49" s="24"/>
      <c r="B49" s="1"/>
      <c r="C49" s="47" t="s">
        <v>570</v>
      </c>
      <c r="D49" s="111">
        <v>684.38</v>
      </c>
      <c r="E49" s="104"/>
      <c r="F49" s="2"/>
      <c r="G49" s="168"/>
      <c r="H49" s="168"/>
      <c r="I49" s="110" t="s">
        <v>581</v>
      </c>
      <c r="J49" s="167"/>
      <c r="K49" s="168"/>
    </row>
    <row r="50" spans="1:14" s="124" customFormat="1" ht="12.75" customHeight="1" x14ac:dyDescent="0.2">
      <c r="A50" s="24"/>
      <c r="B50" s="1"/>
      <c r="C50" s="47" t="s">
        <v>931</v>
      </c>
      <c r="D50" s="111">
        <v>109.46</v>
      </c>
      <c r="E50" s="104"/>
      <c r="F50" s="2"/>
      <c r="G50" s="168"/>
      <c r="H50" s="168"/>
      <c r="I50" s="110" t="s">
        <v>580</v>
      </c>
      <c r="J50" s="167"/>
      <c r="K50" s="168"/>
    </row>
    <row r="51" spans="1:14" s="124" customFormat="1" ht="12.75" customHeight="1" x14ac:dyDescent="0.2">
      <c r="A51" s="24"/>
      <c r="B51" s="1"/>
      <c r="C51" s="47" t="s">
        <v>572</v>
      </c>
      <c r="D51" s="111">
        <f>+D81/100000</f>
        <v>322.2939834</v>
      </c>
      <c r="E51" s="104"/>
      <c r="F51" s="2"/>
      <c r="G51" s="166"/>
      <c r="H51" s="166"/>
      <c r="I51" s="90" t="s">
        <v>587</v>
      </c>
      <c r="J51" s="167"/>
      <c r="K51" s="168"/>
    </row>
    <row r="52" spans="1:14" s="2" customFormat="1" x14ac:dyDescent="0.2">
      <c r="A52" s="24"/>
      <c r="B52" s="1"/>
      <c r="C52" s="108" t="s">
        <v>578</v>
      </c>
      <c r="D52" s="48">
        <f>SUM(D49:D51)</f>
        <v>1116.1339834</v>
      </c>
      <c r="E52" s="104"/>
      <c r="G52" s="30"/>
      <c r="H52" s="30"/>
      <c r="J52" s="13"/>
      <c r="K52" s="13"/>
    </row>
    <row r="53" spans="1:14" s="70" customFormat="1" x14ac:dyDescent="0.2">
      <c r="A53" s="24"/>
      <c r="B53" s="1"/>
      <c r="C53" s="47"/>
      <c r="D53" s="107"/>
      <c r="E53" s="104"/>
      <c r="F53" s="2"/>
      <c r="G53" s="30"/>
      <c r="H53" s="30"/>
      <c r="I53" s="2"/>
    </row>
    <row r="54" spans="1:14" s="70" customFormat="1" x14ac:dyDescent="0.2">
      <c r="A54" s="24"/>
      <c r="B54" s="1"/>
      <c r="C54" s="47" t="s">
        <v>932</v>
      </c>
      <c r="D54" s="111">
        <v>217.78</v>
      </c>
      <c r="E54" s="104"/>
      <c r="F54" s="2"/>
      <c r="G54" s="30"/>
      <c r="H54" s="30"/>
      <c r="I54" s="110" t="s">
        <v>581</v>
      </c>
    </row>
    <row r="55" spans="1:14" s="70" customFormat="1" x14ac:dyDescent="0.2">
      <c r="A55" s="24"/>
      <c r="B55" s="1"/>
      <c r="C55" s="136" t="s">
        <v>1142</v>
      </c>
      <c r="D55" s="111">
        <f>708.17+58.41-56.31</f>
        <v>710.27</v>
      </c>
      <c r="E55" s="104"/>
      <c r="F55" s="2"/>
      <c r="G55" s="30"/>
      <c r="H55" s="30"/>
      <c r="I55" s="110" t="s">
        <v>581</v>
      </c>
    </row>
    <row r="56" spans="1:14" s="70" customFormat="1" x14ac:dyDescent="0.2">
      <c r="A56" s="24"/>
      <c r="B56" s="1"/>
      <c r="C56" s="78" t="s">
        <v>579</v>
      </c>
      <c r="D56" s="109">
        <f>D54+D55</f>
        <v>928.05</v>
      </c>
      <c r="E56" s="104"/>
      <c r="F56" s="2"/>
      <c r="G56" s="30"/>
      <c r="H56" s="30"/>
    </row>
    <row r="57" spans="1:14" s="70" customFormat="1" x14ac:dyDescent="0.2">
      <c r="A57" s="24"/>
      <c r="B57" s="1"/>
      <c r="C57" s="105"/>
      <c r="D57" s="106"/>
      <c r="E57" s="104"/>
      <c r="F57" s="2"/>
      <c r="G57" s="30"/>
      <c r="H57" s="30"/>
      <c r="J57" s="2"/>
      <c r="K57" s="221" t="str">
        <f>"FROM ( 01-01-2024 to "&amp;TEXT(A5,"dd-mm-yyyy")&amp;" )"</f>
        <v>FROM ( 01-01-2024 to 15-01-2024 )</v>
      </c>
      <c r="L57" s="221"/>
      <c r="M57" s="2"/>
      <c r="N57" s="2"/>
    </row>
    <row r="58" spans="1:14" s="70" customFormat="1" x14ac:dyDescent="0.2">
      <c r="A58" s="24"/>
      <c r="B58" s="1"/>
      <c r="C58" s="78" t="s">
        <v>577</v>
      </c>
      <c r="D58" s="109">
        <f>D49+D56</f>
        <v>1612.4299999999998</v>
      </c>
      <c r="E58" s="104"/>
      <c r="F58" s="2"/>
      <c r="G58" s="30"/>
      <c r="H58" s="30"/>
      <c r="J58" s="113"/>
      <c r="K58" s="113" t="s">
        <v>709</v>
      </c>
      <c r="L58" s="113" t="s">
        <v>710</v>
      </c>
      <c r="M58" s="113" t="s">
        <v>711</v>
      </c>
      <c r="N58" s="113" t="s">
        <v>712</v>
      </c>
    </row>
    <row r="59" spans="1:14" s="70" customFormat="1" x14ac:dyDescent="0.2">
      <c r="A59" s="24"/>
      <c r="B59" s="1"/>
      <c r="C59" s="56"/>
      <c r="D59" s="56"/>
      <c r="E59" s="104"/>
      <c r="F59" s="2"/>
      <c r="G59" s="30"/>
      <c r="H59" s="30"/>
      <c r="J59" s="113" t="s">
        <v>1860</v>
      </c>
      <c r="K59" s="115">
        <v>189.89</v>
      </c>
      <c r="L59" s="115">
        <v>56.31</v>
      </c>
      <c r="M59" s="115">
        <v>58.41</v>
      </c>
      <c r="N59" s="113">
        <f>+K59+M59-L59</f>
        <v>191.98999999999998</v>
      </c>
    </row>
    <row r="60" spans="1:14" s="70" customFormat="1" ht="38.25" x14ac:dyDescent="0.2">
      <c r="A60" s="24"/>
      <c r="B60" s="1"/>
      <c r="C60" s="79" t="str">
        <f>"Particulars ( 01-01-2024 to "&amp;TEXT(A5,"dd-mm-yyyy")&amp;" )"</f>
        <v>Particulars ( 01-01-2024 to 15-01-2024 )</v>
      </c>
      <c r="D60" s="79" t="s">
        <v>7</v>
      </c>
      <c r="E60" s="80" t="s">
        <v>73</v>
      </c>
      <c r="F60" s="80" t="s">
        <v>74</v>
      </c>
      <c r="G60" s="81" t="s">
        <v>75</v>
      </c>
      <c r="H60" s="80" t="s">
        <v>76</v>
      </c>
      <c r="J60" s="113" t="s">
        <v>1861</v>
      </c>
      <c r="K60" s="115">
        <v>1670.5</v>
      </c>
      <c r="L60" s="115">
        <v>322.29000000000002</v>
      </c>
      <c r="M60" s="115">
        <v>708.17</v>
      </c>
      <c r="N60" s="113">
        <f>+K60+M60-L60</f>
        <v>2056.38</v>
      </c>
    </row>
    <row r="61" spans="1:14" s="70" customFormat="1" x14ac:dyDescent="0.2">
      <c r="A61" s="24"/>
      <c r="B61" s="1"/>
      <c r="C61" s="50" t="s">
        <v>444</v>
      </c>
      <c r="D61" s="55">
        <f>+K61</f>
        <v>140.88</v>
      </c>
      <c r="E61" s="55">
        <f>+M61</f>
        <v>217.78</v>
      </c>
      <c r="F61" s="55">
        <f>+L61</f>
        <v>109.46</v>
      </c>
      <c r="G61" s="55">
        <f>+D61+E61-F61</f>
        <v>249.2</v>
      </c>
      <c r="H61" s="55">
        <f>1500-G61</f>
        <v>1250.8</v>
      </c>
      <c r="J61" s="113" t="s">
        <v>707</v>
      </c>
      <c r="K61" s="115">
        <v>140.88</v>
      </c>
      <c r="L61" s="115">
        <v>109.46</v>
      </c>
      <c r="M61" s="115">
        <v>217.78</v>
      </c>
      <c r="N61" s="113">
        <f>+K61+M61-L61</f>
        <v>249.2</v>
      </c>
    </row>
    <row r="62" spans="1:14" s="70" customFormat="1" ht="12.75" customHeight="1" x14ac:dyDescent="0.2">
      <c r="A62" s="24"/>
      <c r="B62" s="1"/>
      <c r="C62" s="50" t="s">
        <v>71</v>
      </c>
      <c r="D62" s="55">
        <f>+K59+K60</f>
        <v>1860.3899999999999</v>
      </c>
      <c r="E62" s="55">
        <f>+M59+M60</f>
        <v>766.57999999999993</v>
      </c>
      <c r="F62" s="55">
        <f>+L59+L60</f>
        <v>378.6</v>
      </c>
      <c r="G62" s="55">
        <f>+D62+E62-F62</f>
        <v>2248.37</v>
      </c>
      <c r="H62" s="55">
        <f>1500+700+200-G62</f>
        <v>151.63000000000011</v>
      </c>
      <c r="J62" s="2"/>
      <c r="K62" s="118">
        <f>SUM(K59:K61)</f>
        <v>2001.27</v>
      </c>
      <c r="L62" s="118">
        <f>SUM(L59:L61)</f>
        <v>488.06</v>
      </c>
      <c r="M62" s="118">
        <f>SUM(M59:M61)</f>
        <v>984.3599999999999</v>
      </c>
      <c r="N62" s="118">
        <f>SUM(N59:N61)</f>
        <v>2497.5699999999997</v>
      </c>
    </row>
    <row r="63" spans="1:14" s="70" customFormat="1" ht="12.75" customHeight="1" x14ac:dyDescent="0.2">
      <c r="A63" s="24"/>
      <c r="B63" s="1"/>
      <c r="C63" s="14"/>
      <c r="D63" s="56"/>
      <c r="E63" s="13"/>
      <c r="F63" s="2"/>
      <c r="G63" s="30"/>
      <c r="H63" s="30"/>
    </row>
    <row r="64" spans="1:14" s="70" customFormat="1" ht="12.75" customHeight="1" x14ac:dyDescent="0.2">
      <c r="A64" s="215" t="s">
        <v>80</v>
      </c>
      <c r="B64" s="216"/>
      <c r="C64" s="216"/>
      <c r="D64" s="217"/>
      <c r="E64" s="69"/>
      <c r="G64" s="30"/>
      <c r="H64" s="30"/>
    </row>
    <row r="65" spans="1:15" s="70" customFormat="1" ht="12.75" customHeight="1" x14ac:dyDescent="0.2">
      <c r="A65" s="71" t="s">
        <v>81</v>
      </c>
      <c r="B65" s="71"/>
      <c r="C65" s="72" t="s">
        <v>82</v>
      </c>
      <c r="D65" s="73" t="s">
        <v>83</v>
      </c>
      <c r="E65" s="69"/>
      <c r="G65" s="30"/>
      <c r="H65" s="30"/>
    </row>
    <row r="66" spans="1:15" s="70" customFormat="1" ht="12.75" customHeight="1" x14ac:dyDescent="0.2">
      <c r="A66" s="87">
        <v>45292</v>
      </c>
      <c r="B66" s="120" t="s">
        <v>6</v>
      </c>
      <c r="C66" s="75" t="s">
        <v>1933</v>
      </c>
      <c r="D66" s="88">
        <v>7583470</v>
      </c>
      <c r="E66" s="2"/>
      <c r="F66" s="2"/>
      <c r="G66" s="30"/>
      <c r="H66" s="30"/>
      <c r="I66" s="2"/>
      <c r="J66" s="2"/>
      <c r="K66" s="2"/>
      <c r="L66" s="2"/>
      <c r="M66" s="41"/>
      <c r="N66" s="42"/>
      <c r="O66" s="2"/>
    </row>
    <row r="67" spans="1:15" s="70" customFormat="1" ht="12.75" customHeight="1" x14ac:dyDescent="0.2">
      <c r="A67" s="87">
        <v>45293</v>
      </c>
      <c r="B67" s="120" t="s">
        <v>6</v>
      </c>
      <c r="C67" s="75" t="s">
        <v>1934</v>
      </c>
      <c r="D67" s="88">
        <v>124988</v>
      </c>
      <c r="E67" s="2"/>
      <c r="F67" s="2"/>
      <c r="G67" s="30"/>
      <c r="H67" s="30"/>
      <c r="I67" s="2"/>
      <c r="J67" s="2"/>
      <c r="K67" s="2"/>
      <c r="L67" s="2"/>
      <c r="M67" s="41"/>
      <c r="N67" s="42"/>
      <c r="O67" s="2"/>
    </row>
    <row r="68" spans="1:15" s="70" customFormat="1" ht="12.75" customHeight="1" x14ac:dyDescent="0.2">
      <c r="A68" s="87">
        <v>45294</v>
      </c>
      <c r="B68" s="120" t="s">
        <v>6</v>
      </c>
      <c r="C68" s="75" t="s">
        <v>606</v>
      </c>
      <c r="D68" s="88">
        <v>260191</v>
      </c>
      <c r="E68" s="2"/>
      <c r="F68" s="2"/>
      <c r="G68" s="30"/>
      <c r="H68" s="30"/>
      <c r="I68" s="2"/>
      <c r="J68" s="2"/>
      <c r="K68" s="2"/>
      <c r="L68" s="2"/>
      <c r="M68" s="41"/>
      <c r="N68" s="42"/>
      <c r="O68" s="2"/>
    </row>
    <row r="69" spans="1:15" s="70" customFormat="1" ht="12.75" customHeight="1" x14ac:dyDescent="0.2">
      <c r="A69" s="87">
        <v>45294</v>
      </c>
      <c r="B69" s="120" t="s">
        <v>6</v>
      </c>
      <c r="C69" s="75" t="s">
        <v>888</v>
      </c>
      <c r="D69" s="88">
        <v>2431991.34</v>
      </c>
      <c r="E69" s="2"/>
      <c r="F69" s="2"/>
      <c r="G69" s="30"/>
      <c r="H69" s="30"/>
      <c r="I69" s="2"/>
      <c r="J69" s="2"/>
      <c r="K69" s="2"/>
      <c r="L69" s="2"/>
      <c r="M69" s="41"/>
      <c r="N69" s="42"/>
      <c r="O69" s="2"/>
    </row>
    <row r="70" spans="1:15" s="70" customFormat="1" ht="12.75" customHeight="1" x14ac:dyDescent="0.2">
      <c r="A70" s="87">
        <v>45295</v>
      </c>
      <c r="B70" s="120" t="s">
        <v>6</v>
      </c>
      <c r="C70" s="75" t="s">
        <v>1944</v>
      </c>
      <c r="D70" s="88">
        <v>23655</v>
      </c>
      <c r="E70" s="2"/>
      <c r="F70" s="2"/>
      <c r="G70" s="30"/>
      <c r="H70" s="30"/>
      <c r="I70" s="2"/>
      <c r="J70" s="2"/>
      <c r="K70" s="2"/>
      <c r="L70" s="2"/>
      <c r="M70" s="41"/>
      <c r="N70" s="42"/>
      <c r="O70" s="2"/>
    </row>
    <row r="71" spans="1:15" s="70" customFormat="1" ht="12.75" customHeight="1" x14ac:dyDescent="0.2">
      <c r="A71" s="87">
        <v>45295</v>
      </c>
      <c r="B71" s="120" t="s">
        <v>6</v>
      </c>
      <c r="C71" s="75" t="s">
        <v>1944</v>
      </c>
      <c r="D71" s="88">
        <v>321576</v>
      </c>
      <c r="E71" s="2"/>
      <c r="F71" s="2"/>
      <c r="G71" s="30"/>
      <c r="H71" s="30"/>
      <c r="I71" s="2"/>
      <c r="J71" s="2"/>
      <c r="K71" s="2"/>
      <c r="L71" s="2"/>
      <c r="M71" s="41"/>
      <c r="N71" s="42"/>
      <c r="O71" s="2"/>
    </row>
    <row r="72" spans="1:15" s="70" customFormat="1" ht="12.75" customHeight="1" x14ac:dyDescent="0.2">
      <c r="A72" s="87">
        <v>45295</v>
      </c>
      <c r="B72" s="120" t="s">
        <v>6</v>
      </c>
      <c r="C72" s="75" t="s">
        <v>1944</v>
      </c>
      <c r="D72" s="88">
        <v>430832</v>
      </c>
      <c r="E72" s="2"/>
      <c r="F72" s="2"/>
      <c r="G72" s="30"/>
      <c r="H72" s="30"/>
      <c r="I72" s="2"/>
      <c r="J72" s="2"/>
      <c r="K72" s="2"/>
      <c r="L72" s="2"/>
      <c r="M72" s="41"/>
      <c r="N72" s="42"/>
      <c r="O72" s="2"/>
    </row>
    <row r="73" spans="1:15" s="70" customFormat="1" ht="12.75" customHeight="1" x14ac:dyDescent="0.2">
      <c r="A73" s="87">
        <v>45295</v>
      </c>
      <c r="B73" s="120" t="s">
        <v>6</v>
      </c>
      <c r="C73" s="75" t="s">
        <v>1934</v>
      </c>
      <c r="D73" s="88">
        <v>892589</v>
      </c>
      <c r="E73" s="2"/>
      <c r="F73" s="2"/>
      <c r="G73" s="30"/>
      <c r="H73" s="30"/>
      <c r="I73" s="2"/>
      <c r="J73" s="2"/>
      <c r="K73" s="2"/>
      <c r="L73" s="2"/>
      <c r="M73" s="41"/>
      <c r="N73" s="42"/>
      <c r="O73" s="2"/>
    </row>
    <row r="74" spans="1:15" s="70" customFormat="1" ht="12.75" customHeight="1" x14ac:dyDescent="0.2">
      <c r="A74" s="87">
        <v>45299</v>
      </c>
      <c r="B74" s="120" t="s">
        <v>6</v>
      </c>
      <c r="C74" s="75" t="s">
        <v>1933</v>
      </c>
      <c r="D74" s="88">
        <v>8143487</v>
      </c>
      <c r="E74" s="2"/>
      <c r="F74" s="2"/>
      <c r="G74" s="30"/>
      <c r="H74" s="30"/>
      <c r="I74" s="2"/>
      <c r="J74" s="2"/>
      <c r="K74" s="2"/>
      <c r="L74" s="2"/>
      <c r="M74" s="41"/>
      <c r="N74" s="42"/>
      <c r="O74" s="2"/>
    </row>
    <row r="75" spans="1:15" s="70" customFormat="1" ht="12.75" customHeight="1" x14ac:dyDescent="0.2">
      <c r="A75" s="87">
        <v>45299</v>
      </c>
      <c r="B75" s="120" t="s">
        <v>6</v>
      </c>
      <c r="C75" s="75" t="s">
        <v>606</v>
      </c>
      <c r="D75" s="88">
        <v>487316</v>
      </c>
      <c r="E75" s="2"/>
      <c r="F75" s="2"/>
      <c r="G75" s="30"/>
      <c r="H75" s="30"/>
      <c r="I75" s="2"/>
      <c r="J75" s="2"/>
      <c r="K75" s="2"/>
      <c r="L75" s="2"/>
      <c r="M75" s="41"/>
      <c r="N75" s="42"/>
      <c r="O75" s="2"/>
    </row>
    <row r="76" spans="1:15" s="70" customFormat="1" ht="12.75" customHeight="1" x14ac:dyDescent="0.2">
      <c r="A76" s="87">
        <v>45301</v>
      </c>
      <c r="B76" s="120" t="s">
        <v>6</v>
      </c>
      <c r="C76" s="75" t="s">
        <v>1933</v>
      </c>
      <c r="D76" s="88">
        <v>2690</v>
      </c>
      <c r="E76" s="2"/>
      <c r="F76" s="2"/>
      <c r="G76" s="30"/>
      <c r="H76" s="30"/>
      <c r="I76" s="2"/>
      <c r="J76" s="2"/>
      <c r="K76" s="2"/>
      <c r="L76" s="2"/>
      <c r="M76" s="41"/>
      <c r="N76" s="42"/>
      <c r="O76" s="2"/>
    </row>
    <row r="77" spans="1:15" s="70" customFormat="1" ht="12.75" customHeight="1" x14ac:dyDescent="0.2">
      <c r="A77" s="87">
        <v>45301</v>
      </c>
      <c r="B77" s="120" t="s">
        <v>6</v>
      </c>
      <c r="C77" s="75" t="s">
        <v>1933</v>
      </c>
      <c r="D77" s="88">
        <v>2133516</v>
      </c>
      <c r="E77" s="2"/>
      <c r="F77" s="2"/>
      <c r="G77" s="30"/>
      <c r="H77" s="30"/>
      <c r="I77" s="2"/>
      <c r="J77" s="2"/>
      <c r="K77" s="2"/>
      <c r="L77" s="2"/>
      <c r="M77" s="41"/>
      <c r="N77" s="42"/>
      <c r="O77" s="2"/>
    </row>
    <row r="78" spans="1:15" s="70" customFormat="1" ht="12.75" customHeight="1" x14ac:dyDescent="0.2">
      <c r="A78" s="87">
        <v>45302</v>
      </c>
      <c r="B78" s="120" t="s">
        <v>6</v>
      </c>
      <c r="C78" s="75" t="s">
        <v>1084</v>
      </c>
      <c r="D78" s="88">
        <v>3000000</v>
      </c>
      <c r="E78" s="2"/>
      <c r="F78" s="2"/>
      <c r="G78" s="30"/>
      <c r="H78" s="30"/>
      <c r="I78" s="2"/>
      <c r="J78" s="2"/>
      <c r="K78" s="2"/>
      <c r="L78" s="2"/>
      <c r="M78" s="41"/>
      <c r="N78" s="42"/>
      <c r="O78" s="2"/>
    </row>
    <row r="79" spans="1:15" s="70" customFormat="1" ht="12.75" customHeight="1" x14ac:dyDescent="0.2">
      <c r="A79" s="87">
        <v>45303</v>
      </c>
      <c r="B79" s="120" t="s">
        <v>6</v>
      </c>
      <c r="C79" s="75" t="s">
        <v>1933</v>
      </c>
      <c r="D79" s="88">
        <v>5893097</v>
      </c>
      <c r="E79" s="2"/>
      <c r="F79" s="2"/>
      <c r="G79" s="30"/>
      <c r="H79" s="30"/>
      <c r="I79" s="2"/>
      <c r="J79" s="2"/>
      <c r="K79" s="2"/>
      <c r="L79" s="2"/>
      <c r="M79" s="41"/>
      <c r="N79" s="42"/>
      <c r="O79" s="2"/>
    </row>
    <row r="80" spans="1:15" s="70" customFormat="1" ht="12.75" customHeight="1" x14ac:dyDescent="0.2">
      <c r="A80" s="87">
        <v>45303</v>
      </c>
      <c r="B80" s="120" t="s">
        <v>6</v>
      </c>
      <c r="C80" s="75" t="s">
        <v>1977</v>
      </c>
      <c r="D80" s="88">
        <v>500000</v>
      </c>
      <c r="E80" s="2"/>
      <c r="F80" s="2"/>
      <c r="G80" s="30"/>
      <c r="H80" s="30"/>
      <c r="I80" s="2"/>
      <c r="J80" s="2"/>
      <c r="K80" s="2"/>
      <c r="L80" s="2"/>
      <c r="M80" s="41"/>
      <c r="N80" s="42"/>
      <c r="O80" s="2"/>
    </row>
    <row r="81" spans="1:14" s="2" customFormat="1" x14ac:dyDescent="0.2">
      <c r="A81" s="87"/>
      <c r="B81" s="74"/>
      <c r="C81" s="75"/>
      <c r="D81" s="51">
        <f>SUM(D66:D80)</f>
        <v>32229398.34</v>
      </c>
      <c r="F81" s="2" t="s">
        <v>396</v>
      </c>
      <c r="G81" s="1"/>
      <c r="H81" s="1"/>
    </row>
    <row r="82" spans="1:14" s="2" customFormat="1" x14ac:dyDescent="0.2">
      <c r="A82" s="24"/>
      <c r="B82" s="1"/>
      <c r="C82" s="14"/>
      <c r="D82" s="56"/>
      <c r="E82" s="13"/>
      <c r="G82" s="1"/>
      <c r="H82" s="1"/>
    </row>
    <row r="83" spans="1:14" s="2" customFormat="1" x14ac:dyDescent="0.2">
      <c r="A83" s="24"/>
      <c r="B83" s="1"/>
      <c r="C83" s="218" t="s">
        <v>77</v>
      </c>
      <c r="D83" s="219"/>
      <c r="E83" s="219"/>
      <c r="F83" s="220"/>
      <c r="I83" s="2" t="s">
        <v>396</v>
      </c>
    </row>
    <row r="84" spans="1:14" s="2" customFormat="1" x14ac:dyDescent="0.2">
      <c r="A84" s="24"/>
      <c r="B84" s="1"/>
      <c r="C84" s="50"/>
      <c r="D84" s="57" t="s">
        <v>78</v>
      </c>
      <c r="E84" s="58" t="s">
        <v>79</v>
      </c>
      <c r="F84" s="57" t="s">
        <v>72</v>
      </c>
      <c r="I84" s="2" t="s">
        <v>396</v>
      </c>
    </row>
    <row r="85" spans="1:14" s="2" customFormat="1" x14ac:dyDescent="0.2">
      <c r="A85" s="24"/>
      <c r="B85" s="1"/>
      <c r="C85" s="59" t="str">
        <f>"01-01-2024 to "&amp;TEXT(A5-2,"dd-mm-yyyy")</f>
        <v>01-01-2024 to 13-01-2024</v>
      </c>
      <c r="D85" s="60">
        <v>1092.5</v>
      </c>
      <c r="E85" s="60">
        <v>306.35000000000002</v>
      </c>
      <c r="F85" s="61">
        <f>SUM(D85:E85)</f>
        <v>1398.85</v>
      </c>
    </row>
    <row r="86" spans="1:14" s="2" customFormat="1" x14ac:dyDescent="0.2">
      <c r="A86" s="24"/>
      <c r="B86" s="1"/>
      <c r="C86" s="62" t="str">
        <f>TEXT(A5-1,"dd-mm-yyyy")</f>
        <v>14-01-2024</v>
      </c>
      <c r="D86" s="60">
        <v>21.1</v>
      </c>
      <c r="E86" s="60">
        <v>12.17</v>
      </c>
      <c r="F86" s="61">
        <f>SUM(D86:E86)</f>
        <v>33.270000000000003</v>
      </c>
      <c r="G86" s="1"/>
      <c r="H86" s="1"/>
      <c r="I86" s="53"/>
    </row>
    <row r="87" spans="1:14" s="2" customFormat="1" ht="13.5" thickBot="1" x14ac:dyDescent="0.25">
      <c r="A87" s="24"/>
      <c r="B87" s="1"/>
      <c r="C87" s="63" t="str">
        <f>"01-01-2024 to "&amp;TEXT(A5-1,"dd-mm-yyyy")</f>
        <v>01-01-2024 to 14-01-2024</v>
      </c>
      <c r="D87" s="64">
        <f>SUM(D85:D86)</f>
        <v>1113.5999999999999</v>
      </c>
      <c r="E87" s="64">
        <f>SUM(E85:E86)</f>
        <v>318.52000000000004</v>
      </c>
      <c r="F87" s="64">
        <f>SUM(F85:F86)</f>
        <v>1432.12</v>
      </c>
      <c r="G87" s="1"/>
      <c r="H87" s="1"/>
      <c r="I87" s="53"/>
    </row>
    <row r="88" spans="1:14" s="2" customFormat="1" ht="13.5" thickTop="1" x14ac:dyDescent="0.2">
      <c r="A88" s="24"/>
      <c r="B88" s="1"/>
      <c r="C88" s="62"/>
      <c r="D88" s="65"/>
      <c r="E88" s="66"/>
      <c r="F88" s="67"/>
      <c r="M88" s="1"/>
      <c r="N88" s="1"/>
    </row>
    <row r="89" spans="1:14" s="2" customFormat="1" x14ac:dyDescent="0.2">
      <c r="A89" s="24"/>
      <c r="B89" s="1"/>
      <c r="C89" s="62" t="str">
        <f>"01-04-2023 to " &amp;C86</f>
        <v>01-04-2023 to 14-01-2024</v>
      </c>
      <c r="D89" s="68">
        <f>+D87+34570.27</f>
        <v>35683.869999999995</v>
      </c>
      <c r="E89" s="68">
        <f>+E87+3831.86</f>
        <v>4150.38</v>
      </c>
      <c r="F89" s="68">
        <f>+F87+38402.13</f>
        <v>39834.25</v>
      </c>
      <c r="G89" s="1"/>
      <c r="H89" s="1"/>
      <c r="M89" s="1"/>
      <c r="N89" s="1"/>
    </row>
    <row r="90" spans="1:14" s="2" customFormat="1" x14ac:dyDescent="0.2">
      <c r="A90" s="24"/>
      <c r="B90" s="1"/>
      <c r="C90" s="52"/>
      <c r="D90" s="85"/>
      <c r="E90" s="53"/>
      <c r="F90" s="53"/>
      <c r="G90" s="1"/>
      <c r="H90" s="1"/>
      <c r="M90" s="1"/>
      <c r="N90" s="1"/>
    </row>
    <row r="91" spans="1:14" s="2" customFormat="1" x14ac:dyDescent="0.2">
      <c r="A91" s="24"/>
      <c r="B91" s="1"/>
      <c r="C91" s="52"/>
      <c r="D91" s="85"/>
      <c r="E91" s="53"/>
      <c r="F91" s="53"/>
      <c r="G91" s="1"/>
      <c r="H91" s="1"/>
      <c r="M91" s="1"/>
      <c r="N91" s="1"/>
    </row>
    <row r="92" spans="1:14" s="2" customFormat="1" x14ac:dyDescent="0.2">
      <c r="A92" s="24"/>
      <c r="B92" s="1"/>
      <c r="C92" s="52"/>
      <c r="D92" s="85"/>
      <c r="E92" s="53"/>
      <c r="F92" s="53"/>
      <c r="G92" s="1"/>
      <c r="H92" s="1"/>
      <c r="M92" s="1"/>
      <c r="N92" s="1"/>
    </row>
    <row r="93" spans="1:14" s="2" customFormat="1" x14ac:dyDescent="0.2">
      <c r="A93" s="24"/>
      <c r="B93" s="1"/>
      <c r="C93" s="52"/>
      <c r="D93" s="85"/>
      <c r="E93" s="53"/>
      <c r="F93" s="53"/>
      <c r="G93" s="1"/>
      <c r="H93" s="1"/>
      <c r="M93" s="1"/>
      <c r="N93" s="1"/>
    </row>
    <row r="94" spans="1:14" s="2" customFormat="1" x14ac:dyDescent="0.2">
      <c r="A94" s="24"/>
      <c r="B94" s="1"/>
      <c r="C94" s="14"/>
      <c r="D94" s="25">
        <f>SUM(D91:D93)</f>
        <v>0</v>
      </c>
      <c r="E94" s="2">
        <f>SUM(E91:E93)</f>
        <v>0</v>
      </c>
      <c r="G94" s="1"/>
      <c r="H94" s="1"/>
      <c r="M94" s="1"/>
      <c r="N94" s="1"/>
    </row>
    <row r="95" spans="1:14" s="2" customFormat="1" x14ac:dyDescent="0.2">
      <c r="A95" s="24"/>
      <c r="B95" s="1"/>
      <c r="C95" s="14"/>
      <c r="D95" s="25"/>
      <c r="G95" s="1"/>
      <c r="H95" s="1"/>
      <c r="M95" s="1"/>
      <c r="N95" s="1"/>
    </row>
    <row r="96" spans="1:14" s="2" customFormat="1" x14ac:dyDescent="0.2">
      <c r="A96" s="24"/>
      <c r="B96" s="1"/>
      <c r="C96" s="14"/>
      <c r="D96" s="25"/>
      <c r="G96" s="1"/>
      <c r="H96" s="1"/>
      <c r="M96" s="1"/>
      <c r="N96" s="1"/>
    </row>
    <row r="97" spans="1:14" s="2" customFormat="1" x14ac:dyDescent="0.2">
      <c r="A97" s="24"/>
      <c r="B97" s="1"/>
      <c r="C97" s="14"/>
      <c r="D97" s="25"/>
      <c r="G97" s="1"/>
      <c r="H97" s="1"/>
      <c r="M97" s="1"/>
      <c r="N97" s="1"/>
    </row>
    <row r="98" spans="1:14" s="2" customFormat="1" x14ac:dyDescent="0.2">
      <c r="A98" s="24"/>
      <c r="B98" s="1"/>
      <c r="C98" s="14"/>
      <c r="D98" s="25"/>
      <c r="G98" s="1"/>
      <c r="H98" s="1"/>
      <c r="M98" s="1"/>
      <c r="N98" s="1"/>
    </row>
    <row r="99" spans="1:14" s="2" customFormat="1" x14ac:dyDescent="0.2">
      <c r="A99" s="24"/>
      <c r="B99" s="1"/>
      <c r="C99" s="14"/>
      <c r="D99" s="25"/>
      <c r="G99" s="1"/>
      <c r="H99" s="1"/>
      <c r="M99" s="1"/>
      <c r="N99" s="1"/>
    </row>
    <row r="100" spans="1:14" s="2" customFormat="1" x14ac:dyDescent="0.2">
      <c r="A100" s="24"/>
      <c r="B100" s="1"/>
      <c r="C100" s="14"/>
      <c r="D100" s="25"/>
      <c r="G100" s="1"/>
      <c r="H100" s="1"/>
      <c r="M100" s="1"/>
      <c r="N100" s="1"/>
    </row>
    <row r="101" spans="1:14" s="2" customFormat="1" x14ac:dyDescent="0.2">
      <c r="A101" s="24"/>
      <c r="B101" s="1"/>
      <c r="C101" s="14"/>
      <c r="D101" s="25"/>
      <c r="G101" s="1"/>
      <c r="H101" s="1"/>
      <c r="M101" s="1"/>
      <c r="N101" s="1"/>
    </row>
    <row r="102" spans="1:14" s="2" customFormat="1" x14ac:dyDescent="0.2">
      <c r="A102" s="24"/>
      <c r="B102" s="1"/>
      <c r="C102" s="14"/>
      <c r="D102" s="25"/>
      <c r="G102" s="1"/>
      <c r="H102" s="1"/>
      <c r="M102" s="1"/>
      <c r="N102" s="1"/>
    </row>
    <row r="103" spans="1:14" s="2" customFormat="1" x14ac:dyDescent="0.2">
      <c r="A103" s="24"/>
      <c r="B103" s="1"/>
      <c r="C103" s="14"/>
      <c r="D103" s="25"/>
      <c r="G103" s="1"/>
      <c r="H103" s="1"/>
      <c r="M103" s="1"/>
      <c r="N103" s="1"/>
    </row>
    <row r="104" spans="1:14" s="2" customFormat="1" x14ac:dyDescent="0.2">
      <c r="A104" s="24"/>
      <c r="B104" s="1"/>
      <c r="C104" s="14"/>
      <c r="D104" s="25"/>
      <c r="G104" s="1"/>
      <c r="H104" s="1"/>
      <c r="M104" s="1"/>
      <c r="N104" s="1"/>
    </row>
    <row r="105" spans="1:14" s="2" customFormat="1" x14ac:dyDescent="0.2">
      <c r="A105" s="24"/>
      <c r="B105" s="1"/>
      <c r="C105" s="14"/>
      <c r="D105" s="25"/>
      <c r="G105" s="1"/>
      <c r="H105" s="1"/>
      <c r="M105" s="1"/>
      <c r="N105" s="1"/>
    </row>
    <row r="106" spans="1:14" s="2" customFormat="1" x14ac:dyDescent="0.2">
      <c r="A106" s="24"/>
      <c r="B106" s="1"/>
      <c r="C106" s="14"/>
      <c r="D106" s="25"/>
      <c r="G106" s="1"/>
      <c r="H106" s="1"/>
      <c r="M106" s="1"/>
      <c r="N106" s="1"/>
    </row>
    <row r="107" spans="1:14" s="2" customFormat="1" x14ac:dyDescent="0.2">
      <c r="A107" s="24"/>
      <c r="B107" s="1"/>
      <c r="C107" s="14"/>
      <c r="D107" s="25"/>
      <c r="G107" s="1"/>
      <c r="H107" s="1"/>
      <c r="M107" s="1"/>
      <c r="N107" s="1"/>
    </row>
    <row r="108" spans="1:14" s="2" customFormat="1" x14ac:dyDescent="0.2">
      <c r="A108" s="24"/>
      <c r="B108" s="1"/>
      <c r="C108" s="14"/>
      <c r="D108" s="25"/>
      <c r="G108" s="1"/>
      <c r="H108" s="1"/>
      <c r="J108" s="1"/>
      <c r="K108" s="1"/>
      <c r="L108" s="1"/>
      <c r="M108" s="1"/>
      <c r="N108" s="1"/>
    </row>
    <row r="109" spans="1:14" s="2" customFormat="1" x14ac:dyDescent="0.2">
      <c r="A109" s="24"/>
      <c r="B109" s="1"/>
      <c r="C109" s="14"/>
      <c r="D109" s="25"/>
      <c r="G109" s="1"/>
      <c r="H109" s="1"/>
    </row>
    <row r="110" spans="1:14" s="2" customFormat="1" x14ac:dyDescent="0.2">
      <c r="A110" s="24"/>
      <c r="B110" s="1"/>
      <c r="C110" s="14"/>
      <c r="D110" s="25"/>
      <c r="G110" s="1"/>
      <c r="H110" s="1"/>
      <c r="J110" s="1"/>
      <c r="K110" s="1"/>
      <c r="L110" s="1"/>
      <c r="M110" s="1"/>
      <c r="N110" s="1"/>
    </row>
    <row r="111" spans="1:14" s="2" customFormat="1" x14ac:dyDescent="0.2">
      <c r="A111" s="24"/>
      <c r="B111" s="1"/>
      <c r="C111" s="14"/>
      <c r="D111" s="25"/>
      <c r="G111" s="54"/>
      <c r="H111" s="54"/>
      <c r="J111" s="1"/>
      <c r="K111" s="1"/>
      <c r="L111" s="1"/>
      <c r="M111" s="1"/>
      <c r="N111" s="1"/>
    </row>
    <row r="112" spans="1:14" s="2" customFormat="1" x14ac:dyDescent="0.2">
      <c r="A112" s="24"/>
      <c r="B112" s="1"/>
      <c r="C112" s="14"/>
      <c r="D112" s="25"/>
      <c r="G112" s="54"/>
      <c r="H112" s="54"/>
      <c r="J112" s="1"/>
      <c r="K112" s="1"/>
      <c r="L112" s="1"/>
      <c r="M112" s="1"/>
      <c r="N112" s="1"/>
    </row>
    <row r="113" spans="1:15" s="2" customFormat="1" x14ac:dyDescent="0.2">
      <c r="A113" s="24"/>
      <c r="B113" s="1"/>
      <c r="C113" s="14"/>
      <c r="D113" s="25"/>
      <c r="G113" s="54"/>
      <c r="H113" s="54"/>
      <c r="J113" s="1"/>
      <c r="K113" s="1"/>
      <c r="L113" s="1"/>
      <c r="M113" s="1"/>
      <c r="N113" s="1"/>
    </row>
    <row r="114" spans="1:15" s="2" customFormat="1" x14ac:dyDescent="0.2">
      <c r="A114" s="24"/>
      <c r="B114" s="1"/>
      <c r="C114" s="14"/>
      <c r="D114" s="25"/>
      <c r="G114" s="54"/>
      <c r="H114" s="54"/>
      <c r="I114" s="2" t="s">
        <v>396</v>
      </c>
      <c r="J114" s="1"/>
      <c r="K114" s="1"/>
      <c r="L114" s="1"/>
      <c r="M114" s="1"/>
      <c r="N114" s="1"/>
      <c r="O114" s="1"/>
    </row>
    <row r="115" spans="1:15" s="2" customFormat="1" x14ac:dyDescent="0.2">
      <c r="A115" s="24"/>
      <c r="B115" s="1"/>
      <c r="C115" s="14"/>
      <c r="D115" s="25"/>
      <c r="G115" s="54"/>
      <c r="H115" s="54"/>
      <c r="I115" s="53"/>
    </row>
    <row r="116" spans="1:15" s="2" customFormat="1" x14ac:dyDescent="0.2">
      <c r="A116" s="24"/>
      <c r="B116" s="1"/>
      <c r="C116" s="14"/>
      <c r="D116" s="25"/>
      <c r="G116" s="54"/>
      <c r="H116" s="54"/>
      <c r="I116" s="53" t="s">
        <v>396</v>
      </c>
      <c r="J116" s="1"/>
      <c r="K116" s="1"/>
      <c r="L116" s="1"/>
      <c r="M116" s="1"/>
      <c r="N116" s="1"/>
      <c r="O116" s="1"/>
    </row>
    <row r="117" spans="1:15" x14ac:dyDescent="0.2">
      <c r="G117" s="54"/>
      <c r="H117" s="54"/>
      <c r="I117" s="53" t="s">
        <v>396</v>
      </c>
      <c r="K117" s="42"/>
    </row>
    <row r="118" spans="1:15" s="2" customFormat="1" x14ac:dyDescent="0.2">
      <c r="A118" s="24"/>
      <c r="B118" s="1"/>
      <c r="C118" s="14"/>
      <c r="D118" s="25"/>
      <c r="G118" s="54"/>
      <c r="H118" s="54"/>
      <c r="I118" s="53"/>
      <c r="J118" s="101"/>
      <c r="K118" s="1"/>
      <c r="L118" s="1"/>
      <c r="M118" s="1"/>
      <c r="N118" s="1"/>
      <c r="O118" s="1"/>
    </row>
    <row r="119" spans="1:15" x14ac:dyDescent="0.2">
      <c r="G119" s="54"/>
      <c r="H119" s="54"/>
      <c r="I119" s="53"/>
    </row>
    <row r="120" spans="1:15" x14ac:dyDescent="0.2">
      <c r="G120" s="54"/>
      <c r="H120" s="54"/>
      <c r="I120" s="53"/>
    </row>
    <row r="121" spans="1:15" x14ac:dyDescent="0.2">
      <c r="G121" s="54"/>
      <c r="H121" s="54"/>
      <c r="I121" s="53"/>
    </row>
  </sheetData>
  <sheetProtection insertRows="0"/>
  <mergeCells count="7">
    <mergeCell ref="K57:L57"/>
    <mergeCell ref="A64:D64"/>
    <mergeCell ref="C83:F83"/>
    <mergeCell ref="A1:H1"/>
    <mergeCell ref="A3:F3"/>
    <mergeCell ref="A9:F9"/>
    <mergeCell ref="A19:F19"/>
  </mergeCells>
  <conditionalFormatting sqref="H61:H62">
    <cfRule type="cellIs" dxfId="125" priority="1" operator="lessThan">
      <formula>0</formula>
    </cfRule>
  </conditionalFormatting>
  <conditionalFormatting sqref="C21">
    <cfRule type="duplicateValues" dxfId="124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400-000000000000}">
  <sheetPr codeName="Sheet524">
    <pageSetUpPr fitToPage="1"/>
  </sheetPr>
  <dimension ref="A1:O130"/>
  <sheetViews>
    <sheetView topLeftCell="A97" zoomScaleNormal="100" workbookViewId="0">
      <selection activeCell="E101" sqref="E101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12.85546875" style="1" customWidth="1"/>
    <col min="9" max="9" width="24.85546875" style="2" bestFit="1" customWidth="1"/>
    <col min="10" max="10" width="21.5703125" style="1" bestFit="1" customWidth="1"/>
    <col min="11" max="11" width="16.85546875" style="1" bestFit="1" customWidth="1"/>
    <col min="12" max="12" width="17.28515625" style="1" bestFit="1" customWidth="1"/>
    <col min="13" max="13" width="13.5703125" style="1" bestFit="1" customWidth="1"/>
    <col min="14" max="14" width="17.42578125" style="1" bestFit="1" customWidth="1"/>
    <col min="15" max="15" width="12.85546875" style="1" bestFit="1" customWidth="1"/>
    <col min="16" max="17" width="9.140625" style="1"/>
    <col min="18" max="18" width="15.5703125" style="1" bestFit="1" customWidth="1"/>
    <col min="19" max="16384" width="9.140625" style="1"/>
  </cols>
  <sheetData>
    <row r="1" spans="1:14" ht="20.25" customHeight="1" x14ac:dyDescent="0.4">
      <c r="A1" s="212" t="s">
        <v>1980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4" ht="12.75" customHeight="1" x14ac:dyDescent="0.4">
      <c r="I2" s="112"/>
      <c r="J2" s="112"/>
    </row>
    <row r="3" spans="1:14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4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4" s="2" customFormat="1" ht="14.25" customHeight="1" x14ac:dyDescent="0.4">
      <c r="A5" s="89">
        <v>45307</v>
      </c>
      <c r="B5" s="9" t="s">
        <v>6</v>
      </c>
      <c r="C5" s="10" t="s">
        <v>7</v>
      </c>
      <c r="D5" s="11"/>
      <c r="E5" s="12">
        <v>586241.23000000045</v>
      </c>
      <c r="F5" s="12"/>
      <c r="G5" s="1"/>
      <c r="H5" s="1"/>
      <c r="I5" s="112"/>
      <c r="J5" s="112"/>
    </row>
    <row r="6" spans="1:14" s="2" customFormat="1" ht="12.75" customHeight="1" x14ac:dyDescent="0.2">
      <c r="D6" s="15" t="s">
        <v>8</v>
      </c>
      <c r="E6" s="16">
        <f>SUM(E5:E5)</f>
        <v>586241.23000000045</v>
      </c>
      <c r="F6" s="16">
        <f>SUM(E6)</f>
        <v>586241.23000000045</v>
      </c>
      <c r="G6" s="1"/>
      <c r="H6" s="1"/>
      <c r="I6" s="13" t="s">
        <v>1582</v>
      </c>
      <c r="J6" s="13" t="s">
        <v>1583</v>
      </c>
    </row>
    <row r="7" spans="1:14" s="2" customFormat="1" ht="12.75" customHeight="1" x14ac:dyDescent="0.2">
      <c r="A7" s="17"/>
      <c r="B7" s="18"/>
      <c r="C7" s="19" t="s">
        <v>9</v>
      </c>
      <c r="D7" s="20"/>
      <c r="E7" s="21">
        <f>+E6-F6</f>
        <v>0</v>
      </c>
      <c r="F7" s="22"/>
      <c r="G7" s="23"/>
      <c r="H7" s="23"/>
      <c r="I7" s="2">
        <v>0</v>
      </c>
      <c r="K7" s="176">
        <f>I7-J7</f>
        <v>0</v>
      </c>
    </row>
    <row r="8" spans="1:14" ht="12.75" customHeight="1" x14ac:dyDescent="0.4">
      <c r="I8" s="112"/>
      <c r="J8" s="112"/>
    </row>
    <row r="9" spans="1:14" ht="18" customHeight="1" x14ac:dyDescent="0.4">
      <c r="A9" s="213" t="s">
        <v>1037</v>
      </c>
      <c r="B9" s="213"/>
      <c r="C9" s="213"/>
      <c r="D9" s="213"/>
      <c r="E9" s="213"/>
      <c r="F9" s="213"/>
      <c r="I9" s="112"/>
      <c r="J9" s="169">
        <f>90000000-60000000</f>
        <v>30000000</v>
      </c>
      <c r="K9" s="169" t="s">
        <v>1508</v>
      </c>
    </row>
    <row r="10" spans="1:14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I10" s="112"/>
      <c r="J10" s="169">
        <v>29286996.02</v>
      </c>
      <c r="K10" s="169" t="s">
        <v>1509</v>
      </c>
      <c r="L10" s="124"/>
    </row>
    <row r="11" spans="1:14" s="2" customFormat="1" ht="14.25" customHeight="1" x14ac:dyDescent="0.2">
      <c r="A11" s="89">
        <v>45307</v>
      </c>
      <c r="B11" s="9" t="s">
        <v>6</v>
      </c>
      <c r="C11" s="10" t="s">
        <v>7</v>
      </c>
      <c r="D11" s="11"/>
      <c r="F11" s="12">
        <v>29286996.02</v>
      </c>
      <c r="G11" s="1"/>
      <c r="H11" s="1"/>
      <c r="I11" s="130" t="s">
        <v>396</v>
      </c>
      <c r="J11" s="169">
        <f>+J9-J10</f>
        <v>713003.98000000045</v>
      </c>
      <c r="K11" s="169" t="s">
        <v>712</v>
      </c>
      <c r="L11" s="165" t="s">
        <v>1512</v>
      </c>
    </row>
    <row r="12" spans="1:14" s="2" customFormat="1" ht="14.25" customHeight="1" x14ac:dyDescent="0.2">
      <c r="D12" s="11" t="s">
        <v>8</v>
      </c>
      <c r="E12" s="16">
        <f>E11</f>
        <v>0</v>
      </c>
      <c r="F12" s="16">
        <f>SUM(F11:F11)</f>
        <v>29286996.02</v>
      </c>
      <c r="G12" s="1"/>
      <c r="H12" s="1"/>
      <c r="I12" s="143"/>
      <c r="J12" s="130"/>
      <c r="K12" s="143"/>
      <c r="L12" s="143"/>
      <c r="M12" s="143"/>
      <c r="N12" s="143"/>
    </row>
    <row r="13" spans="1:14" s="2" customFormat="1" ht="14.25" customHeight="1" x14ac:dyDescent="0.4">
      <c r="A13" s="17"/>
      <c r="B13" s="18"/>
      <c r="C13" s="96" t="s">
        <v>9</v>
      </c>
      <c r="D13" s="20"/>
      <c r="E13" s="21">
        <f>+F12-E12</f>
        <v>29286996.02</v>
      </c>
      <c r="G13" s="1"/>
      <c r="H13" s="1"/>
      <c r="J13" s="112"/>
      <c r="K13" s="153" t="s">
        <v>779</v>
      </c>
    </row>
    <row r="14" spans="1:14" s="2" customFormat="1" ht="14.25" customHeight="1" x14ac:dyDescent="0.2">
      <c r="A14" s="17"/>
      <c r="B14" s="28" t="s">
        <v>66</v>
      </c>
      <c r="C14" s="43" t="s">
        <v>1458</v>
      </c>
      <c r="D14" s="43"/>
      <c r="E14" s="12">
        <f>30000000+60000000</f>
        <v>90000000</v>
      </c>
      <c r="F14" s="22"/>
      <c r="G14" s="1"/>
      <c r="H14" s="1"/>
      <c r="J14" s="40">
        <v>29286996.02</v>
      </c>
      <c r="K14" s="154">
        <f>J14-E13</f>
        <v>0</v>
      </c>
    </row>
    <row r="15" spans="1:14" s="2" customFormat="1" ht="14.25" customHeight="1" x14ac:dyDescent="0.25">
      <c r="A15" s="36"/>
      <c r="B15" s="28"/>
      <c r="C15" s="44" t="s">
        <v>1541</v>
      </c>
      <c r="D15" s="43"/>
      <c r="E15" s="7">
        <f>+E13+E14</f>
        <v>119286996.02</v>
      </c>
      <c r="F15" s="22"/>
      <c r="G15" s="1"/>
      <c r="H15" s="1"/>
      <c r="I15" s="13" t="s">
        <v>1582</v>
      </c>
      <c r="J15" s="13" t="s">
        <v>1583</v>
      </c>
    </row>
    <row r="16" spans="1:14" s="2" customFormat="1" ht="14.25" customHeight="1" x14ac:dyDescent="0.25">
      <c r="A16" s="36"/>
      <c r="B16" s="28"/>
      <c r="C16" s="44" t="s">
        <v>1511</v>
      </c>
      <c r="D16" s="43"/>
      <c r="E16" s="38">
        <f>+J11+I7-J7</f>
        <v>713003.98000000045</v>
      </c>
      <c r="F16" s="22"/>
      <c r="G16" s="1"/>
      <c r="H16" s="1"/>
      <c r="I16" s="2">
        <v>732569</v>
      </c>
      <c r="J16" s="2">
        <v>1272341</v>
      </c>
      <c r="K16" s="176">
        <f>I16-J16</f>
        <v>-539772</v>
      </c>
    </row>
    <row r="17" spans="1:12" s="2" customFormat="1" ht="14.25" customHeight="1" x14ac:dyDescent="0.2">
      <c r="A17" s="24"/>
      <c r="B17" s="1"/>
      <c r="C17" s="14"/>
      <c r="D17" s="25"/>
      <c r="G17" s="1"/>
      <c r="H17" s="1"/>
      <c r="J17" s="130"/>
      <c r="K17" s="130"/>
    </row>
    <row r="18" spans="1:12" s="2" customFormat="1" x14ac:dyDescent="0.2">
      <c r="A18" s="214" t="s">
        <v>10</v>
      </c>
      <c r="B18" s="214"/>
      <c r="C18" s="214"/>
      <c r="D18" s="214"/>
      <c r="E18" s="214"/>
      <c r="F18" s="214"/>
      <c r="G18" s="1"/>
      <c r="H18" s="1"/>
      <c r="I18" s="159"/>
      <c r="J18" s="160">
        <v>100000000</v>
      </c>
      <c r="K18" s="160" t="s">
        <v>1506</v>
      </c>
      <c r="L18" s="70"/>
    </row>
    <row r="19" spans="1:12" s="2" customFormat="1" ht="15" x14ac:dyDescent="0.35">
      <c r="A19" s="26" t="s">
        <v>1</v>
      </c>
      <c r="B19" s="27" t="s">
        <v>2</v>
      </c>
      <c r="C19" s="5"/>
      <c r="D19" s="6" t="s">
        <v>3</v>
      </c>
      <c r="E19" s="7" t="s">
        <v>4</v>
      </c>
      <c r="F19" s="7" t="s">
        <v>5</v>
      </c>
      <c r="G19" s="1"/>
      <c r="H19" s="1"/>
      <c r="I19" s="159"/>
      <c r="J19" s="179">
        <v>80720976.640000001</v>
      </c>
      <c r="K19" s="160" t="s">
        <v>1507</v>
      </c>
      <c r="L19" s="70" t="s">
        <v>1512</v>
      </c>
    </row>
    <row r="20" spans="1:12" s="2" customFormat="1" x14ac:dyDescent="0.2">
      <c r="A20" s="89">
        <v>45307</v>
      </c>
      <c r="B20" s="128" t="s">
        <v>11</v>
      </c>
      <c r="C20" s="29" t="s">
        <v>7</v>
      </c>
      <c r="D20" s="25"/>
      <c r="E20" s="31"/>
      <c r="F20" s="2">
        <v>83053296.569999948</v>
      </c>
      <c r="G20" s="23"/>
      <c r="H20" s="23"/>
      <c r="I20" s="159" t="s">
        <v>1505</v>
      </c>
      <c r="J20" s="160">
        <f>+J18-J19</f>
        <v>19279023.359999999</v>
      </c>
      <c r="K20" s="160"/>
      <c r="L20" s="70"/>
    </row>
    <row r="21" spans="1:12" s="2" customFormat="1" x14ac:dyDescent="0.2">
      <c r="A21" s="89">
        <v>45307</v>
      </c>
      <c r="B21" s="128" t="s">
        <v>6</v>
      </c>
      <c r="C21" s="76" t="s">
        <v>670</v>
      </c>
      <c r="D21" s="11" t="s">
        <v>13</v>
      </c>
      <c r="E21" s="31">
        <v>815058</v>
      </c>
      <c r="G21" s="23"/>
      <c r="H21" s="23"/>
      <c r="I21" s="159"/>
      <c r="J21" s="160"/>
      <c r="K21" s="160"/>
      <c r="L21" s="70"/>
    </row>
    <row r="22" spans="1:12" s="2" customFormat="1" x14ac:dyDescent="0.2">
      <c r="A22" s="89">
        <v>45307</v>
      </c>
      <c r="B22" s="128" t="s">
        <v>6</v>
      </c>
      <c r="C22" s="76" t="s">
        <v>964</v>
      </c>
      <c r="D22" s="11" t="s">
        <v>13</v>
      </c>
      <c r="E22" s="31">
        <v>161662</v>
      </c>
      <c r="G22" s="23"/>
      <c r="H22" s="23"/>
      <c r="I22" s="159"/>
      <c r="J22" s="160"/>
      <c r="K22" s="160"/>
      <c r="L22" s="70"/>
    </row>
    <row r="23" spans="1:12" s="2" customFormat="1" x14ac:dyDescent="0.2">
      <c r="A23" s="89">
        <v>45307</v>
      </c>
      <c r="B23" s="128" t="s">
        <v>6</v>
      </c>
      <c r="C23" s="76" t="s">
        <v>1905</v>
      </c>
      <c r="D23" s="11" t="s">
        <v>13</v>
      </c>
      <c r="E23" s="31">
        <v>100000</v>
      </c>
      <c r="G23" s="23"/>
      <c r="H23" s="23"/>
      <c r="I23" s="159"/>
      <c r="J23" s="160"/>
      <c r="K23" s="160"/>
      <c r="L23" s="70"/>
    </row>
    <row r="24" spans="1:12" s="2" customFormat="1" x14ac:dyDescent="0.2">
      <c r="A24" s="89">
        <v>45307</v>
      </c>
      <c r="B24" s="128" t="s">
        <v>6</v>
      </c>
      <c r="C24" s="76" t="s">
        <v>656</v>
      </c>
      <c r="D24" s="11" t="s">
        <v>13</v>
      </c>
      <c r="E24" s="31">
        <v>403032</v>
      </c>
      <c r="G24" s="23"/>
      <c r="H24" s="23"/>
      <c r="I24" s="159"/>
      <c r="J24" s="160"/>
      <c r="K24" s="160"/>
      <c r="L24" s="70"/>
    </row>
    <row r="25" spans="1:12" s="2" customFormat="1" x14ac:dyDescent="0.2">
      <c r="A25" s="89">
        <v>45307</v>
      </c>
      <c r="B25" s="128" t="s">
        <v>6</v>
      </c>
      <c r="C25" s="76" t="s">
        <v>1241</v>
      </c>
      <c r="D25" s="11" t="s">
        <v>13</v>
      </c>
      <c r="E25" s="31">
        <v>599498</v>
      </c>
      <c r="G25" s="23"/>
      <c r="H25" s="23"/>
      <c r="I25" s="159"/>
      <c r="J25" s="160"/>
      <c r="K25" s="160"/>
      <c r="L25" s="70"/>
    </row>
    <row r="26" spans="1:12" s="2" customFormat="1" x14ac:dyDescent="0.2">
      <c r="A26" s="89">
        <v>45307</v>
      </c>
      <c r="B26" s="128" t="s">
        <v>6</v>
      </c>
      <c r="C26" s="76" t="s">
        <v>1694</v>
      </c>
      <c r="D26" s="11" t="s">
        <v>13</v>
      </c>
      <c r="E26" s="31">
        <v>10170.799999999999</v>
      </c>
      <c r="G26" s="23"/>
      <c r="H26" s="23"/>
      <c r="I26" s="159"/>
      <c r="J26" s="160"/>
      <c r="K26" s="160"/>
      <c r="L26" s="70"/>
    </row>
    <row r="27" spans="1:12" s="2" customFormat="1" x14ac:dyDescent="0.2">
      <c r="A27" s="89">
        <v>45307</v>
      </c>
      <c r="B27" s="128" t="s">
        <v>6</v>
      </c>
      <c r="C27" s="76" t="s">
        <v>1264</v>
      </c>
      <c r="D27" s="11" t="s">
        <v>13</v>
      </c>
      <c r="E27" s="31">
        <v>2589589.6</v>
      </c>
      <c r="G27" s="23"/>
      <c r="H27" s="23"/>
      <c r="I27" s="159"/>
      <c r="J27" s="160"/>
      <c r="K27" s="160"/>
      <c r="L27" s="70"/>
    </row>
    <row r="28" spans="1:12" s="2" customFormat="1" x14ac:dyDescent="0.2">
      <c r="A28" s="89">
        <v>45307</v>
      </c>
      <c r="B28" s="128" t="s">
        <v>6</v>
      </c>
      <c r="C28" s="76" t="s">
        <v>1382</v>
      </c>
      <c r="D28" s="11" t="s">
        <v>13</v>
      </c>
      <c r="E28" s="31">
        <v>31356</v>
      </c>
      <c r="G28" s="23"/>
      <c r="H28" s="23"/>
      <c r="I28" s="159"/>
      <c r="J28" s="160"/>
      <c r="K28" s="160"/>
      <c r="L28" s="70"/>
    </row>
    <row r="29" spans="1:12" s="2" customFormat="1" x14ac:dyDescent="0.2">
      <c r="A29" s="89">
        <v>45307</v>
      </c>
      <c r="B29" s="128" t="s">
        <v>6</v>
      </c>
      <c r="C29" s="76" t="s">
        <v>149</v>
      </c>
      <c r="D29" s="11" t="s">
        <v>13</v>
      </c>
      <c r="E29" s="31">
        <v>97513</v>
      </c>
      <c r="G29" s="23"/>
      <c r="H29" s="23"/>
      <c r="I29" s="159"/>
      <c r="J29" s="160"/>
      <c r="K29" s="160"/>
      <c r="L29" s="70"/>
    </row>
    <row r="30" spans="1:12" s="2" customFormat="1" x14ac:dyDescent="0.2">
      <c r="A30" s="89">
        <v>45307</v>
      </c>
      <c r="B30" s="128" t="s">
        <v>6</v>
      </c>
      <c r="C30" s="76" t="s">
        <v>547</v>
      </c>
      <c r="D30" s="11" t="s">
        <v>13</v>
      </c>
      <c r="E30" s="31">
        <v>72339</v>
      </c>
      <c r="G30" s="23"/>
      <c r="H30" s="23"/>
      <c r="I30" s="159"/>
      <c r="J30" s="160"/>
      <c r="K30" s="160"/>
      <c r="L30" s="70"/>
    </row>
    <row r="31" spans="1:12" s="2" customFormat="1" x14ac:dyDescent="0.2">
      <c r="A31" s="89">
        <v>45307</v>
      </c>
      <c r="B31" s="128" t="s">
        <v>6</v>
      </c>
      <c r="C31" s="76" t="s">
        <v>146</v>
      </c>
      <c r="D31" s="11" t="s">
        <v>13</v>
      </c>
      <c r="E31" s="31">
        <v>1252400.73</v>
      </c>
      <c r="G31" s="23"/>
      <c r="H31" s="23"/>
      <c r="I31" s="159"/>
      <c r="J31" s="160"/>
      <c r="K31" s="160"/>
      <c r="L31" s="70"/>
    </row>
    <row r="32" spans="1:12" s="2" customFormat="1" x14ac:dyDescent="0.2">
      <c r="A32" s="89">
        <v>45307</v>
      </c>
      <c r="B32" s="128" t="s">
        <v>6</v>
      </c>
      <c r="C32" s="76" t="s">
        <v>200</v>
      </c>
      <c r="D32" s="11" t="s">
        <v>13</v>
      </c>
      <c r="E32" s="31">
        <v>1928854</v>
      </c>
      <c r="G32" s="23"/>
      <c r="H32" s="23"/>
      <c r="I32" s="159"/>
      <c r="J32" s="160"/>
      <c r="K32" s="160"/>
      <c r="L32" s="70"/>
    </row>
    <row r="33" spans="1:12" s="2" customFormat="1" x14ac:dyDescent="0.2">
      <c r="A33" s="89">
        <v>45307</v>
      </c>
      <c r="B33" s="128" t="s">
        <v>11</v>
      </c>
      <c r="C33" s="76" t="s">
        <v>1810</v>
      </c>
      <c r="D33" s="11" t="s">
        <v>29</v>
      </c>
      <c r="E33" s="31"/>
      <c r="F33" s="2">
        <v>392616</v>
      </c>
      <c r="G33" s="23"/>
      <c r="H33" s="23"/>
      <c r="I33" s="159"/>
      <c r="J33" s="160"/>
      <c r="K33" s="160"/>
      <c r="L33" s="70"/>
    </row>
    <row r="34" spans="1:12" s="2" customFormat="1" x14ac:dyDescent="0.2">
      <c r="A34" s="89">
        <v>45307</v>
      </c>
      <c r="B34" s="128" t="s">
        <v>11</v>
      </c>
      <c r="C34" s="76" t="s">
        <v>268</v>
      </c>
      <c r="D34" s="11" t="s">
        <v>29</v>
      </c>
      <c r="E34" s="31"/>
      <c r="F34" s="2">
        <v>120077</v>
      </c>
      <c r="G34" s="23"/>
      <c r="H34" s="23"/>
      <c r="I34" s="159"/>
      <c r="J34" s="160"/>
      <c r="K34" s="160"/>
      <c r="L34" s="70"/>
    </row>
    <row r="35" spans="1:12" s="2" customFormat="1" x14ac:dyDescent="0.2">
      <c r="A35" s="89">
        <v>45307</v>
      </c>
      <c r="B35" s="128" t="s">
        <v>11</v>
      </c>
      <c r="C35" s="76" t="s">
        <v>1757</v>
      </c>
      <c r="D35" s="11" t="s">
        <v>29</v>
      </c>
      <c r="E35" s="31"/>
      <c r="F35" s="2">
        <v>6823</v>
      </c>
      <c r="G35" s="23"/>
      <c r="H35" s="23"/>
      <c r="I35" s="159"/>
      <c r="J35" s="160"/>
      <c r="K35" s="160"/>
      <c r="L35" s="70"/>
    </row>
    <row r="36" spans="1:12" s="2" customFormat="1" x14ac:dyDescent="0.2">
      <c r="A36" s="89">
        <v>45307</v>
      </c>
      <c r="B36" s="128" t="s">
        <v>11</v>
      </c>
      <c r="C36" s="76" t="s">
        <v>926</v>
      </c>
      <c r="D36" s="11" t="s">
        <v>29</v>
      </c>
      <c r="E36" s="31"/>
      <c r="F36" s="2">
        <v>14664</v>
      </c>
      <c r="G36" s="23"/>
      <c r="H36" s="23"/>
      <c r="I36" s="159"/>
      <c r="J36" s="160"/>
      <c r="K36" s="160"/>
      <c r="L36" s="70"/>
    </row>
    <row r="37" spans="1:12" s="2" customFormat="1" x14ac:dyDescent="0.2">
      <c r="A37" s="89">
        <v>45307</v>
      </c>
      <c r="B37" s="128" t="s">
        <v>11</v>
      </c>
      <c r="C37" s="76" t="s">
        <v>885</v>
      </c>
      <c r="D37" s="11" t="s">
        <v>29</v>
      </c>
      <c r="E37" s="31"/>
      <c r="F37" s="2">
        <v>3500</v>
      </c>
      <c r="G37" s="23"/>
      <c r="H37" s="23"/>
      <c r="I37" s="159"/>
      <c r="J37" s="160"/>
      <c r="K37" s="160"/>
      <c r="L37" s="70"/>
    </row>
    <row r="38" spans="1:12" s="2" customFormat="1" x14ac:dyDescent="0.2">
      <c r="A38" s="89">
        <v>45307</v>
      </c>
      <c r="B38" s="128" t="s">
        <v>11</v>
      </c>
      <c r="C38" s="76" t="s">
        <v>437</v>
      </c>
      <c r="D38" s="11" t="s">
        <v>29</v>
      </c>
      <c r="E38" s="31"/>
      <c r="F38" s="2">
        <v>29712</v>
      </c>
      <c r="G38" s="23"/>
      <c r="H38" s="23"/>
      <c r="I38" s="159"/>
      <c r="J38" s="160"/>
      <c r="K38" s="160"/>
      <c r="L38" s="70"/>
    </row>
    <row r="39" spans="1:12" s="2" customFormat="1" x14ac:dyDescent="0.2">
      <c r="A39" s="89">
        <v>45307</v>
      </c>
      <c r="B39" s="128" t="s">
        <v>11</v>
      </c>
      <c r="C39" s="76" t="s">
        <v>436</v>
      </c>
      <c r="D39" s="11" t="s">
        <v>29</v>
      </c>
      <c r="E39" s="31"/>
      <c r="F39" s="2">
        <v>58646</v>
      </c>
      <c r="G39" s="23"/>
      <c r="H39" s="23"/>
      <c r="I39" s="159"/>
      <c r="J39" s="160"/>
      <c r="K39" s="160"/>
      <c r="L39" s="70"/>
    </row>
    <row r="40" spans="1:12" s="2" customFormat="1" x14ac:dyDescent="0.2">
      <c r="A40" s="89">
        <v>45307</v>
      </c>
      <c r="B40" s="128" t="s">
        <v>11</v>
      </c>
      <c r="C40" s="76" t="s">
        <v>528</v>
      </c>
      <c r="D40" s="11" t="s">
        <v>29</v>
      </c>
      <c r="E40" s="31"/>
      <c r="F40" s="2">
        <v>19912.2</v>
      </c>
      <c r="G40" s="23"/>
      <c r="H40" s="23"/>
      <c r="I40" s="159"/>
      <c r="J40" s="160"/>
      <c r="K40" s="160"/>
      <c r="L40" s="70"/>
    </row>
    <row r="41" spans="1:12" s="2" customFormat="1" x14ac:dyDescent="0.2">
      <c r="A41" s="89">
        <v>45307</v>
      </c>
      <c r="B41" s="128" t="s">
        <v>11</v>
      </c>
      <c r="C41" s="76" t="s">
        <v>970</v>
      </c>
      <c r="D41" s="11" t="s">
        <v>29</v>
      </c>
      <c r="E41" s="31"/>
      <c r="F41" s="2">
        <v>17794</v>
      </c>
      <c r="G41" s="23"/>
      <c r="H41" s="23"/>
      <c r="I41" s="159"/>
      <c r="J41" s="160"/>
      <c r="K41" s="160"/>
      <c r="L41" s="70"/>
    </row>
    <row r="42" spans="1:12" s="2" customFormat="1" x14ac:dyDescent="0.2">
      <c r="A42" s="89">
        <v>45307</v>
      </c>
      <c r="B42" s="128" t="s">
        <v>11</v>
      </c>
      <c r="C42" s="76" t="s">
        <v>540</v>
      </c>
      <c r="D42" s="11" t="s">
        <v>29</v>
      </c>
      <c r="E42" s="31"/>
      <c r="F42" s="2">
        <v>88200</v>
      </c>
      <c r="G42" s="23"/>
      <c r="H42" s="23"/>
      <c r="I42" s="159"/>
      <c r="J42" s="160"/>
      <c r="K42" s="160"/>
      <c r="L42" s="70"/>
    </row>
    <row r="43" spans="1:12" s="2" customFormat="1" x14ac:dyDescent="0.2">
      <c r="A43" s="89">
        <v>45307</v>
      </c>
      <c r="B43" s="128" t="s">
        <v>11</v>
      </c>
      <c r="C43" s="76" t="s">
        <v>349</v>
      </c>
      <c r="D43" s="11" t="s">
        <v>29</v>
      </c>
      <c r="E43" s="31"/>
      <c r="F43" s="2">
        <v>4897</v>
      </c>
      <c r="G43" s="23"/>
      <c r="H43" s="23"/>
      <c r="I43" s="159"/>
      <c r="J43" s="160"/>
      <c r="K43" s="160"/>
      <c r="L43" s="70"/>
    </row>
    <row r="44" spans="1:12" s="2" customFormat="1" x14ac:dyDescent="0.2">
      <c r="A44" s="89">
        <v>45307</v>
      </c>
      <c r="B44" s="128" t="s">
        <v>11</v>
      </c>
      <c r="C44" s="76" t="s">
        <v>937</v>
      </c>
      <c r="D44" s="11" t="s">
        <v>29</v>
      </c>
      <c r="E44" s="31"/>
      <c r="F44" s="2">
        <v>5161</v>
      </c>
      <c r="G44" s="23"/>
      <c r="H44" s="23"/>
      <c r="I44" s="159"/>
      <c r="J44" s="160"/>
      <c r="K44" s="160"/>
      <c r="L44" s="70"/>
    </row>
    <row r="45" spans="1:12" s="2" customFormat="1" x14ac:dyDescent="0.2">
      <c r="A45" s="89">
        <v>45307</v>
      </c>
      <c r="B45" s="128" t="s">
        <v>11</v>
      </c>
      <c r="C45" s="76" t="s">
        <v>171</v>
      </c>
      <c r="D45" s="11" t="s">
        <v>29</v>
      </c>
      <c r="E45" s="31"/>
      <c r="F45" s="2">
        <v>5638</v>
      </c>
      <c r="G45" s="23"/>
      <c r="H45" s="23"/>
      <c r="I45" s="159"/>
      <c r="J45" s="160"/>
      <c r="K45" s="160"/>
      <c r="L45" s="70"/>
    </row>
    <row r="46" spans="1:12" s="2" customFormat="1" x14ac:dyDescent="0.2">
      <c r="A46" s="89">
        <v>45307</v>
      </c>
      <c r="B46" s="128" t="s">
        <v>11</v>
      </c>
      <c r="C46" s="76" t="s">
        <v>57</v>
      </c>
      <c r="D46" s="11" t="s">
        <v>29</v>
      </c>
      <c r="E46" s="31"/>
      <c r="F46" s="2">
        <v>5500000</v>
      </c>
      <c r="G46" s="23"/>
      <c r="H46" s="23"/>
      <c r="I46" s="159"/>
      <c r="J46" s="160"/>
      <c r="K46" s="160"/>
      <c r="L46" s="70"/>
    </row>
    <row r="47" spans="1:12" s="2" customFormat="1" x14ac:dyDescent="0.2">
      <c r="A47" s="89">
        <v>45307</v>
      </c>
      <c r="B47" s="128" t="s">
        <v>11</v>
      </c>
      <c r="C47" s="76" t="s">
        <v>64</v>
      </c>
      <c r="D47" s="11" t="s">
        <v>29</v>
      </c>
      <c r="E47" s="31"/>
      <c r="F47" s="2">
        <v>295</v>
      </c>
      <c r="G47" s="23"/>
      <c r="H47" s="23"/>
      <c r="I47" s="159"/>
      <c r="J47" s="160"/>
      <c r="K47" s="160"/>
      <c r="L47" s="70"/>
    </row>
    <row r="48" spans="1:12" s="2" customFormat="1" x14ac:dyDescent="0.2">
      <c r="A48" s="89">
        <v>45307</v>
      </c>
      <c r="B48" s="128" t="s">
        <v>11</v>
      </c>
      <c r="C48" s="76" t="s">
        <v>250</v>
      </c>
      <c r="D48" s="11" t="s">
        <v>29</v>
      </c>
      <c r="E48" s="31"/>
      <c r="F48" s="2">
        <v>990</v>
      </c>
      <c r="G48" s="23"/>
      <c r="H48" s="23"/>
      <c r="I48" s="159"/>
      <c r="J48" s="160"/>
      <c r="K48" s="160"/>
      <c r="L48" s="70"/>
    </row>
    <row r="49" spans="1:15" s="2" customFormat="1" x14ac:dyDescent="0.2">
      <c r="A49" s="32"/>
      <c r="B49" s="33"/>
      <c r="C49" s="14"/>
      <c r="D49" s="34"/>
      <c r="E49" s="16">
        <f>SUM(E20:E48)</f>
        <v>8061473.1300000008</v>
      </c>
      <c r="F49" s="16">
        <f>SUM(F20:F48)</f>
        <v>89322221.769999951</v>
      </c>
      <c r="G49" s="1"/>
      <c r="H49" s="1"/>
      <c r="I49" s="1"/>
      <c r="J49" s="38">
        <v>81260748.640000001</v>
      </c>
      <c r="L49" s="92">
        <f>E50-J49</f>
        <v>0</v>
      </c>
      <c r="O49" s="1"/>
    </row>
    <row r="50" spans="1:15" s="2" customFormat="1" x14ac:dyDescent="0.2">
      <c r="A50" s="36"/>
      <c r="B50" s="28" t="s">
        <v>11</v>
      </c>
      <c r="C50" s="19" t="s">
        <v>65</v>
      </c>
      <c r="D50" s="37"/>
      <c r="E50" s="38">
        <f>F49-E49</f>
        <v>81260748.639999956</v>
      </c>
      <c r="F50" s="22"/>
      <c r="G50" s="1"/>
      <c r="H50" s="1"/>
      <c r="I50" s="1"/>
      <c r="J50" s="70"/>
      <c r="K50" s="70"/>
      <c r="L50" s="70"/>
      <c r="O50" s="1"/>
    </row>
    <row r="51" spans="1:15" s="2" customFormat="1" x14ac:dyDescent="0.2">
      <c r="A51" s="36"/>
      <c r="B51" s="28" t="s">
        <v>66</v>
      </c>
      <c r="C51" s="19" t="s">
        <v>67</v>
      </c>
      <c r="D51" s="37"/>
      <c r="E51" s="38">
        <v>11500000</v>
      </c>
      <c r="F51" s="22"/>
      <c r="G51" s="1"/>
      <c r="H51" s="1"/>
      <c r="I51" s="70"/>
      <c r="J51" s="70"/>
      <c r="K51" s="70"/>
      <c r="L51" s="70"/>
      <c r="O51" s="1"/>
    </row>
    <row r="52" spans="1:15" s="2" customFormat="1" x14ac:dyDescent="0.2">
      <c r="A52" s="36"/>
      <c r="B52" s="28" t="s">
        <v>66</v>
      </c>
      <c r="C52" s="43" t="s">
        <v>1457</v>
      </c>
      <c r="D52" s="43"/>
      <c r="E52" s="12">
        <v>400000000</v>
      </c>
      <c r="F52" s="22"/>
      <c r="G52" s="1"/>
      <c r="H52" s="1"/>
      <c r="I52" s="70"/>
      <c r="J52" s="45">
        <v>788.38</v>
      </c>
      <c r="K52" s="46"/>
      <c r="L52" s="46"/>
      <c r="O52" s="1"/>
    </row>
    <row r="53" spans="1:15" s="2" customFormat="1" ht="15" x14ac:dyDescent="0.25">
      <c r="A53" s="36"/>
      <c r="B53" s="28"/>
      <c r="C53" s="44" t="s">
        <v>1541</v>
      </c>
      <c r="D53" s="43"/>
      <c r="E53" s="7">
        <f>+E52+E50+E51</f>
        <v>492760748.63999999</v>
      </c>
      <c r="F53" s="22"/>
      <c r="G53" s="1"/>
      <c r="H53" s="1"/>
      <c r="I53" s="103" t="s">
        <v>69</v>
      </c>
      <c r="J53" s="45">
        <v>-62.08</v>
      </c>
      <c r="K53" s="46"/>
      <c r="L53" s="46"/>
      <c r="O53" s="1"/>
    </row>
    <row r="54" spans="1:15" s="2" customFormat="1" ht="15" x14ac:dyDescent="0.25">
      <c r="A54" s="24"/>
      <c r="B54" s="1"/>
      <c r="C54" s="44" t="s">
        <v>1510</v>
      </c>
      <c r="D54" s="25"/>
      <c r="E54" s="156">
        <f>+J20-E51+I16-J16</f>
        <v>7239251.3599999994</v>
      </c>
      <c r="G54" s="1"/>
      <c r="H54" s="1"/>
      <c r="I54" s="35">
        <v>1</v>
      </c>
      <c r="J54" s="45">
        <v>37.71</v>
      </c>
      <c r="K54" s="46">
        <f>+J55-D57</f>
        <v>0</v>
      </c>
      <c r="O54" s="1"/>
    </row>
    <row r="55" spans="1:15" s="124" customFormat="1" ht="12.75" customHeight="1" x14ac:dyDescent="0.2">
      <c r="A55" s="24"/>
      <c r="B55" s="1"/>
      <c r="C55" s="56"/>
      <c r="D55" s="56"/>
      <c r="E55" s="104"/>
      <c r="F55" s="2"/>
      <c r="G55" s="166"/>
      <c r="H55" s="166"/>
      <c r="I55" s="70"/>
      <c r="J55" s="49">
        <f>SUM(J52:J54)</f>
        <v>764.01</v>
      </c>
      <c r="K55" s="46"/>
      <c r="L55" s="46"/>
    </row>
    <row r="56" spans="1:15" s="124" customFormat="1" ht="12.75" customHeight="1" x14ac:dyDescent="0.2">
      <c r="A56" s="24"/>
      <c r="B56" s="1"/>
      <c r="C56" s="78" t="s">
        <v>575</v>
      </c>
      <c r="D56" s="48" t="s">
        <v>576</v>
      </c>
      <c r="E56" s="104"/>
      <c r="F56" s="2"/>
      <c r="G56" s="168"/>
      <c r="H56" s="168"/>
      <c r="I56" s="167"/>
      <c r="J56" s="167"/>
      <c r="K56" s="168"/>
    </row>
    <row r="57" spans="1:15" s="124" customFormat="1" ht="12.75" customHeight="1" x14ac:dyDescent="0.2">
      <c r="A57" s="24"/>
      <c r="B57" s="1"/>
      <c r="C57" s="47" t="s">
        <v>570</v>
      </c>
      <c r="D57" s="111">
        <v>764.01</v>
      </c>
      <c r="E57" s="104"/>
      <c r="F57" s="2"/>
      <c r="G57" s="168"/>
      <c r="H57" s="168"/>
      <c r="I57" s="110" t="s">
        <v>581</v>
      </c>
      <c r="J57" s="167"/>
      <c r="K57" s="168"/>
    </row>
    <row r="58" spans="1:15" s="124" customFormat="1" ht="12.75" customHeight="1" x14ac:dyDescent="0.2">
      <c r="A58" s="24"/>
      <c r="B58" s="1"/>
      <c r="C58" s="47" t="s">
        <v>931</v>
      </c>
      <c r="D58" s="111">
        <v>109.46</v>
      </c>
      <c r="E58" s="104"/>
      <c r="F58" s="2"/>
      <c r="G58" s="168"/>
      <c r="H58" s="168"/>
      <c r="I58" s="110" t="s">
        <v>580</v>
      </c>
      <c r="J58" s="167"/>
      <c r="K58" s="168"/>
    </row>
    <row r="59" spans="1:15" s="124" customFormat="1" ht="12.75" customHeight="1" x14ac:dyDescent="0.2">
      <c r="A59" s="24"/>
      <c r="B59" s="1"/>
      <c r="C59" s="47" t="s">
        <v>572</v>
      </c>
      <c r="D59" s="111">
        <f>+D90/100000</f>
        <v>358.02008340000003</v>
      </c>
      <c r="E59" s="104"/>
      <c r="F59" s="2"/>
      <c r="G59" s="166"/>
      <c r="H59" s="166"/>
      <c r="I59" s="90" t="s">
        <v>587</v>
      </c>
      <c r="J59" s="167"/>
      <c r="K59" s="168"/>
    </row>
    <row r="60" spans="1:15" s="2" customFormat="1" x14ac:dyDescent="0.2">
      <c r="A60" s="24"/>
      <c r="B60" s="1"/>
      <c r="C60" s="108" t="s">
        <v>578</v>
      </c>
      <c r="D60" s="48">
        <f>SUM(D57:D59)</f>
        <v>1231.4900834</v>
      </c>
      <c r="E60" s="104"/>
      <c r="G60" s="30"/>
      <c r="H60" s="30"/>
      <c r="J60" s="13"/>
      <c r="K60" s="13"/>
    </row>
    <row r="61" spans="1:15" s="70" customFormat="1" x14ac:dyDescent="0.2">
      <c r="A61" s="24"/>
      <c r="B61" s="1"/>
      <c r="C61" s="47"/>
      <c r="D61" s="107"/>
      <c r="E61" s="104"/>
      <c r="F61" s="2"/>
      <c r="G61" s="30"/>
      <c r="H61" s="30"/>
      <c r="I61" s="2"/>
    </row>
    <row r="62" spans="1:15" s="70" customFormat="1" x14ac:dyDescent="0.2">
      <c r="A62" s="24"/>
      <c r="B62" s="1"/>
      <c r="C62" s="47" t="s">
        <v>932</v>
      </c>
      <c r="D62" s="111">
        <v>217.78</v>
      </c>
      <c r="E62" s="104"/>
      <c r="F62" s="2"/>
      <c r="G62" s="30"/>
      <c r="H62" s="30"/>
      <c r="I62" s="110" t="s">
        <v>581</v>
      </c>
    </row>
    <row r="63" spans="1:15" s="70" customFormat="1" x14ac:dyDescent="0.2">
      <c r="A63" s="24"/>
      <c r="B63" s="1"/>
      <c r="C63" s="136" t="s">
        <v>1142</v>
      </c>
      <c r="D63" s="111">
        <f>708.17+58.41-56.31</f>
        <v>710.27</v>
      </c>
      <c r="E63" s="104"/>
      <c r="F63" s="2"/>
      <c r="G63" s="30"/>
      <c r="H63" s="30"/>
      <c r="I63" s="110" t="s">
        <v>581</v>
      </c>
    </row>
    <row r="64" spans="1:15" s="70" customFormat="1" x14ac:dyDescent="0.2">
      <c r="A64" s="24"/>
      <c r="B64" s="1"/>
      <c r="C64" s="78" t="s">
        <v>579</v>
      </c>
      <c r="D64" s="109">
        <f>D62+D63</f>
        <v>928.05</v>
      </c>
      <c r="E64" s="104"/>
      <c r="F64" s="2"/>
      <c r="G64" s="30"/>
      <c r="H64" s="30"/>
    </row>
    <row r="65" spans="1:15" s="70" customFormat="1" x14ac:dyDescent="0.2">
      <c r="A65" s="24"/>
      <c r="B65" s="1"/>
      <c r="C65" s="105"/>
      <c r="D65" s="106"/>
      <c r="E65" s="104"/>
      <c r="F65" s="2"/>
      <c r="G65" s="30"/>
      <c r="H65" s="30"/>
      <c r="J65" s="2"/>
      <c r="K65" s="221" t="str">
        <f>"FROM ( 01-01-2024 to "&amp;TEXT(A5,"dd-mm-yyyy")&amp;" )"</f>
        <v>FROM ( 01-01-2024 to 16-01-2024 )</v>
      </c>
      <c r="L65" s="221"/>
      <c r="M65" s="2"/>
      <c r="N65" s="2"/>
    </row>
    <row r="66" spans="1:15" s="70" customFormat="1" x14ac:dyDescent="0.2">
      <c r="A66" s="24"/>
      <c r="B66" s="1"/>
      <c r="C66" s="78" t="s">
        <v>577</v>
      </c>
      <c r="D66" s="109">
        <f>D57+D64</f>
        <v>1692.06</v>
      </c>
      <c r="E66" s="104"/>
      <c r="F66" s="2"/>
      <c r="G66" s="30"/>
      <c r="H66" s="30"/>
      <c r="J66" s="113"/>
      <c r="K66" s="113" t="s">
        <v>709</v>
      </c>
      <c r="L66" s="113" t="s">
        <v>710</v>
      </c>
      <c r="M66" s="113" t="s">
        <v>711</v>
      </c>
      <c r="N66" s="113" t="s">
        <v>712</v>
      </c>
    </row>
    <row r="67" spans="1:15" s="70" customFormat="1" x14ac:dyDescent="0.2">
      <c r="A67" s="24"/>
      <c r="B67" s="1"/>
      <c r="C67" s="56"/>
      <c r="D67" s="56"/>
      <c r="E67" s="104"/>
      <c r="F67" s="2"/>
      <c r="G67" s="30"/>
      <c r="H67" s="30"/>
      <c r="J67" s="113" t="s">
        <v>1860</v>
      </c>
      <c r="K67" s="115">
        <v>189.89</v>
      </c>
      <c r="L67" s="115">
        <v>56.31</v>
      </c>
      <c r="M67" s="115">
        <v>58.41</v>
      </c>
      <c r="N67" s="113">
        <f>+K67+M67-L67</f>
        <v>191.98999999999998</v>
      </c>
    </row>
    <row r="68" spans="1:15" s="70" customFormat="1" ht="38.25" x14ac:dyDescent="0.2">
      <c r="A68" s="24"/>
      <c r="B68" s="1"/>
      <c r="C68" s="79" t="str">
        <f>"Particulars ( 01-01-2024 to "&amp;TEXT(A5,"dd-mm-yyyy")&amp;" )"</f>
        <v>Particulars ( 01-01-2024 to 16-01-2024 )</v>
      </c>
      <c r="D68" s="79" t="s">
        <v>7</v>
      </c>
      <c r="E68" s="80" t="s">
        <v>73</v>
      </c>
      <c r="F68" s="80" t="s">
        <v>74</v>
      </c>
      <c r="G68" s="81" t="s">
        <v>75</v>
      </c>
      <c r="H68" s="80" t="s">
        <v>76</v>
      </c>
      <c r="J68" s="113" t="s">
        <v>1861</v>
      </c>
      <c r="K68" s="115">
        <v>1670.5</v>
      </c>
      <c r="L68" s="115">
        <v>358.02</v>
      </c>
      <c r="M68" s="115">
        <v>708.17</v>
      </c>
      <c r="N68" s="113">
        <f>+K68+M68-L68</f>
        <v>2020.65</v>
      </c>
    </row>
    <row r="69" spans="1:15" s="70" customFormat="1" x14ac:dyDescent="0.2">
      <c r="A69" s="24"/>
      <c r="B69" s="1"/>
      <c r="C69" s="50" t="s">
        <v>444</v>
      </c>
      <c r="D69" s="55">
        <f>+K69</f>
        <v>140.88</v>
      </c>
      <c r="E69" s="55">
        <f>+M69</f>
        <v>217.78</v>
      </c>
      <c r="F69" s="55">
        <f>+L69</f>
        <v>109.46</v>
      </c>
      <c r="G69" s="55">
        <f>+D69+E69-F69</f>
        <v>249.2</v>
      </c>
      <c r="H69" s="55">
        <f>1500-G69</f>
        <v>1250.8</v>
      </c>
      <c r="J69" s="113" t="s">
        <v>707</v>
      </c>
      <c r="K69" s="115">
        <v>140.88</v>
      </c>
      <c r="L69" s="115">
        <v>109.46</v>
      </c>
      <c r="M69" s="115">
        <v>217.78</v>
      </c>
      <c r="N69" s="113">
        <f>+K69+M69-L69</f>
        <v>249.2</v>
      </c>
    </row>
    <row r="70" spans="1:15" s="70" customFormat="1" ht="12.75" customHeight="1" x14ac:dyDescent="0.2">
      <c r="A70" s="24"/>
      <c r="B70" s="1"/>
      <c r="C70" s="50" t="s">
        <v>71</v>
      </c>
      <c r="D70" s="55">
        <f>+K67+K68</f>
        <v>1860.3899999999999</v>
      </c>
      <c r="E70" s="55">
        <f>+M67+M68</f>
        <v>766.57999999999993</v>
      </c>
      <c r="F70" s="55">
        <f>+L67+L68</f>
        <v>414.33</v>
      </c>
      <c r="G70" s="55">
        <f>+D70+E70-F70</f>
        <v>2212.64</v>
      </c>
      <c r="H70" s="55">
        <f>1500+700+200-G70</f>
        <v>187.36000000000013</v>
      </c>
      <c r="J70" s="2"/>
      <c r="K70" s="118">
        <f>SUM(K67:K69)</f>
        <v>2001.27</v>
      </c>
      <c r="L70" s="118">
        <f>SUM(L67:L69)</f>
        <v>523.79</v>
      </c>
      <c r="M70" s="118">
        <f>SUM(M67:M69)</f>
        <v>984.3599999999999</v>
      </c>
      <c r="N70" s="118">
        <f>SUM(N67:N69)</f>
        <v>2461.8399999999997</v>
      </c>
    </row>
    <row r="71" spans="1:15" s="70" customFormat="1" ht="12.75" customHeight="1" x14ac:dyDescent="0.2">
      <c r="A71" s="24"/>
      <c r="B71" s="1"/>
      <c r="C71" s="14"/>
      <c r="D71" s="56"/>
      <c r="E71" s="13"/>
      <c r="F71" s="2"/>
      <c r="G71" s="30"/>
      <c r="H71" s="30"/>
    </row>
    <row r="72" spans="1:15" s="70" customFormat="1" ht="12.75" customHeight="1" x14ac:dyDescent="0.2">
      <c r="A72" s="215" t="s">
        <v>80</v>
      </c>
      <c r="B72" s="216"/>
      <c r="C72" s="216"/>
      <c r="D72" s="217"/>
      <c r="E72" s="69"/>
      <c r="G72" s="30"/>
      <c r="H72" s="30"/>
    </row>
    <row r="73" spans="1:15" s="70" customFormat="1" ht="12.75" customHeight="1" x14ac:dyDescent="0.2">
      <c r="A73" s="71" t="s">
        <v>81</v>
      </c>
      <c r="B73" s="71"/>
      <c r="C73" s="72" t="s">
        <v>82</v>
      </c>
      <c r="D73" s="73" t="s">
        <v>83</v>
      </c>
      <c r="E73" s="69"/>
      <c r="G73" s="30"/>
      <c r="H73" s="30"/>
    </row>
    <row r="74" spans="1:15" s="70" customFormat="1" ht="12.75" customHeight="1" x14ac:dyDescent="0.2">
      <c r="A74" s="87">
        <v>45292</v>
      </c>
      <c r="B74" s="120" t="s">
        <v>6</v>
      </c>
      <c r="C74" s="75" t="s">
        <v>1933</v>
      </c>
      <c r="D74" s="88">
        <v>7583470</v>
      </c>
      <c r="E74" s="2"/>
      <c r="F74" s="2"/>
      <c r="G74" s="30"/>
      <c r="H74" s="30"/>
      <c r="I74" s="2"/>
      <c r="J74" s="2"/>
      <c r="K74" s="2"/>
      <c r="L74" s="2"/>
      <c r="M74" s="41"/>
      <c r="N74" s="42"/>
      <c r="O74" s="2"/>
    </row>
    <row r="75" spans="1:15" s="70" customFormat="1" ht="12.75" customHeight="1" x14ac:dyDescent="0.2">
      <c r="A75" s="87">
        <v>45293</v>
      </c>
      <c r="B75" s="120" t="s">
        <v>6</v>
      </c>
      <c r="C75" s="75" t="s">
        <v>1934</v>
      </c>
      <c r="D75" s="88">
        <v>124988</v>
      </c>
      <c r="E75" s="2"/>
      <c r="F75" s="2"/>
      <c r="G75" s="30"/>
      <c r="H75" s="30"/>
      <c r="I75" s="2"/>
      <c r="J75" s="2"/>
      <c r="K75" s="2"/>
      <c r="L75" s="2"/>
      <c r="M75" s="41"/>
      <c r="N75" s="42"/>
      <c r="O75" s="2"/>
    </row>
    <row r="76" spans="1:15" s="70" customFormat="1" ht="12.75" customHeight="1" x14ac:dyDescent="0.2">
      <c r="A76" s="87">
        <v>45294</v>
      </c>
      <c r="B76" s="120" t="s">
        <v>6</v>
      </c>
      <c r="C76" s="75" t="s">
        <v>606</v>
      </c>
      <c r="D76" s="88">
        <v>260191</v>
      </c>
      <c r="E76" s="2"/>
      <c r="F76" s="2"/>
      <c r="G76" s="30"/>
      <c r="H76" s="30"/>
      <c r="I76" s="2"/>
      <c r="J76" s="2"/>
      <c r="K76" s="2"/>
      <c r="L76" s="2"/>
      <c r="M76" s="41"/>
      <c r="N76" s="42"/>
      <c r="O76" s="2"/>
    </row>
    <row r="77" spans="1:15" s="70" customFormat="1" ht="12.75" customHeight="1" x14ac:dyDescent="0.2">
      <c r="A77" s="87">
        <v>45294</v>
      </c>
      <c r="B77" s="120" t="s">
        <v>6</v>
      </c>
      <c r="C77" s="75" t="s">
        <v>888</v>
      </c>
      <c r="D77" s="88">
        <v>2431991.34</v>
      </c>
      <c r="E77" s="2"/>
      <c r="F77" s="2"/>
      <c r="G77" s="30"/>
      <c r="H77" s="30"/>
      <c r="I77" s="2"/>
      <c r="J77" s="2"/>
      <c r="K77" s="2"/>
      <c r="L77" s="2"/>
      <c r="M77" s="41"/>
      <c r="N77" s="42"/>
      <c r="O77" s="2"/>
    </row>
    <row r="78" spans="1:15" s="70" customFormat="1" ht="12.75" customHeight="1" x14ac:dyDescent="0.2">
      <c r="A78" s="87">
        <v>45295</v>
      </c>
      <c r="B78" s="120" t="s">
        <v>6</v>
      </c>
      <c r="C78" s="75" t="s">
        <v>1944</v>
      </c>
      <c r="D78" s="88">
        <v>23655</v>
      </c>
      <c r="E78" s="2"/>
      <c r="F78" s="2"/>
      <c r="G78" s="30"/>
      <c r="H78" s="30"/>
      <c r="I78" s="2"/>
      <c r="J78" s="2"/>
      <c r="K78" s="2"/>
      <c r="L78" s="2"/>
      <c r="M78" s="41"/>
      <c r="N78" s="42"/>
      <c r="O78" s="2"/>
    </row>
    <row r="79" spans="1:15" s="70" customFormat="1" ht="12.75" customHeight="1" x14ac:dyDescent="0.2">
      <c r="A79" s="87">
        <v>45295</v>
      </c>
      <c r="B79" s="120" t="s">
        <v>6</v>
      </c>
      <c r="C79" s="75" t="s">
        <v>1944</v>
      </c>
      <c r="D79" s="88">
        <v>321576</v>
      </c>
      <c r="E79" s="2"/>
      <c r="F79" s="2"/>
      <c r="G79" s="30"/>
      <c r="H79" s="30"/>
      <c r="I79" s="2"/>
      <c r="J79" s="2"/>
      <c r="K79" s="2"/>
      <c r="L79" s="2"/>
      <c r="M79" s="41"/>
      <c r="N79" s="42"/>
      <c r="O79" s="2"/>
    </row>
    <row r="80" spans="1:15" s="70" customFormat="1" ht="12.75" customHeight="1" x14ac:dyDescent="0.2">
      <c r="A80" s="87">
        <v>45295</v>
      </c>
      <c r="B80" s="120" t="s">
        <v>6</v>
      </c>
      <c r="C80" s="75" t="s">
        <v>1944</v>
      </c>
      <c r="D80" s="88">
        <v>430832</v>
      </c>
      <c r="E80" s="2"/>
      <c r="F80" s="2"/>
      <c r="G80" s="30"/>
      <c r="H80" s="30"/>
      <c r="I80" s="2"/>
      <c r="J80" s="2"/>
      <c r="K80" s="2"/>
      <c r="L80" s="2"/>
      <c r="M80" s="41"/>
      <c r="N80" s="42"/>
      <c r="O80" s="2"/>
    </row>
    <row r="81" spans="1:15" s="70" customFormat="1" ht="12.75" customHeight="1" x14ac:dyDescent="0.2">
      <c r="A81" s="87">
        <v>45295</v>
      </c>
      <c r="B81" s="120" t="s">
        <v>6</v>
      </c>
      <c r="C81" s="75" t="s">
        <v>1934</v>
      </c>
      <c r="D81" s="88">
        <v>892589</v>
      </c>
      <c r="E81" s="2"/>
      <c r="F81" s="2"/>
      <c r="G81" s="30"/>
      <c r="H81" s="30"/>
      <c r="I81" s="2"/>
      <c r="J81" s="2"/>
      <c r="K81" s="2"/>
      <c r="L81" s="2"/>
      <c r="M81" s="41"/>
      <c r="N81" s="42"/>
      <c r="O81" s="2"/>
    </row>
    <row r="82" spans="1:15" s="70" customFormat="1" ht="12.75" customHeight="1" x14ac:dyDescent="0.2">
      <c r="A82" s="87">
        <v>45299</v>
      </c>
      <c r="B82" s="120" t="s">
        <v>6</v>
      </c>
      <c r="C82" s="75" t="s">
        <v>1933</v>
      </c>
      <c r="D82" s="88">
        <v>8143487</v>
      </c>
      <c r="E82" s="2"/>
      <c r="F82" s="2"/>
      <c r="G82" s="30"/>
      <c r="H82" s="30"/>
      <c r="I82" s="2"/>
      <c r="J82" s="2"/>
      <c r="K82" s="2"/>
      <c r="L82" s="2"/>
      <c r="M82" s="41"/>
      <c r="N82" s="42"/>
      <c r="O82" s="2"/>
    </row>
    <row r="83" spans="1:15" s="70" customFormat="1" ht="12.75" customHeight="1" x14ac:dyDescent="0.2">
      <c r="A83" s="87">
        <v>45299</v>
      </c>
      <c r="B83" s="120" t="s">
        <v>6</v>
      </c>
      <c r="C83" s="75" t="s">
        <v>606</v>
      </c>
      <c r="D83" s="88">
        <v>487316</v>
      </c>
      <c r="E83" s="2"/>
      <c r="F83" s="2"/>
      <c r="G83" s="30"/>
      <c r="H83" s="30"/>
      <c r="I83" s="2"/>
      <c r="J83" s="2"/>
      <c r="K83" s="2"/>
      <c r="L83" s="2"/>
      <c r="M83" s="41"/>
      <c r="N83" s="42"/>
      <c r="O83" s="2"/>
    </row>
    <row r="84" spans="1:15" s="70" customFormat="1" ht="12.75" customHeight="1" x14ac:dyDescent="0.2">
      <c r="A84" s="87">
        <v>45301</v>
      </c>
      <c r="B84" s="120" t="s">
        <v>6</v>
      </c>
      <c r="C84" s="75" t="s">
        <v>1933</v>
      </c>
      <c r="D84" s="88">
        <v>2690</v>
      </c>
      <c r="E84" s="2"/>
      <c r="F84" s="2"/>
      <c r="G84" s="30"/>
      <c r="H84" s="30"/>
      <c r="I84" s="2"/>
      <c r="J84" s="2"/>
      <c r="K84" s="2"/>
      <c r="L84" s="2"/>
      <c r="M84" s="41"/>
      <c r="N84" s="42"/>
      <c r="O84" s="2"/>
    </row>
    <row r="85" spans="1:15" s="70" customFormat="1" ht="12.75" customHeight="1" x14ac:dyDescent="0.2">
      <c r="A85" s="87">
        <v>45301</v>
      </c>
      <c r="B85" s="120" t="s">
        <v>6</v>
      </c>
      <c r="C85" s="75" t="s">
        <v>1933</v>
      </c>
      <c r="D85" s="88">
        <v>2133516</v>
      </c>
      <c r="E85" s="2"/>
      <c r="F85" s="2"/>
      <c r="G85" s="30"/>
      <c r="H85" s="30"/>
      <c r="I85" s="2"/>
      <c r="J85" s="2"/>
      <c r="K85" s="2"/>
      <c r="L85" s="2"/>
      <c r="M85" s="41"/>
      <c r="N85" s="42"/>
      <c r="O85" s="2"/>
    </row>
    <row r="86" spans="1:15" s="70" customFormat="1" ht="12.75" customHeight="1" x14ac:dyDescent="0.2">
      <c r="A86" s="87">
        <v>45302</v>
      </c>
      <c r="B86" s="120" t="s">
        <v>6</v>
      </c>
      <c r="C86" s="75" t="s">
        <v>1084</v>
      </c>
      <c r="D86" s="88">
        <v>3000000</v>
      </c>
      <c r="E86" s="2"/>
      <c r="F86" s="2"/>
      <c r="G86" s="30"/>
      <c r="H86" s="30"/>
      <c r="I86" s="2"/>
      <c r="J86" s="2"/>
      <c r="K86" s="2"/>
      <c r="L86" s="2"/>
      <c r="M86" s="41"/>
      <c r="N86" s="42"/>
      <c r="O86" s="2"/>
    </row>
    <row r="87" spans="1:15" s="70" customFormat="1" ht="12.75" customHeight="1" x14ac:dyDescent="0.2">
      <c r="A87" s="87">
        <v>45303</v>
      </c>
      <c r="B87" s="120" t="s">
        <v>6</v>
      </c>
      <c r="C87" s="75" t="s">
        <v>1933</v>
      </c>
      <c r="D87" s="88">
        <v>5893097</v>
      </c>
      <c r="E87" s="2"/>
      <c r="F87" s="2"/>
      <c r="G87" s="30"/>
      <c r="H87" s="30"/>
      <c r="I87" s="2"/>
      <c r="J87" s="2"/>
      <c r="K87" s="2"/>
      <c r="L87" s="2"/>
      <c r="M87" s="41"/>
      <c r="N87" s="42"/>
      <c r="O87" s="2"/>
    </row>
    <row r="88" spans="1:15" s="70" customFormat="1" ht="12.75" customHeight="1" x14ac:dyDescent="0.2">
      <c r="A88" s="87">
        <v>45303</v>
      </c>
      <c r="B88" s="120" t="s">
        <v>6</v>
      </c>
      <c r="C88" s="75" t="s">
        <v>1977</v>
      </c>
      <c r="D88" s="88">
        <v>500000</v>
      </c>
      <c r="E88" s="2"/>
      <c r="F88" s="2"/>
      <c r="G88" s="30"/>
      <c r="H88" s="30"/>
      <c r="I88" s="2"/>
      <c r="J88" s="2"/>
      <c r="K88" s="2"/>
      <c r="L88" s="2"/>
      <c r="M88" s="41"/>
      <c r="N88" s="42"/>
      <c r="O88" s="2"/>
    </row>
    <row r="89" spans="1:15" s="70" customFormat="1" ht="12.75" customHeight="1" x14ac:dyDescent="0.2">
      <c r="A89" s="87">
        <v>45307</v>
      </c>
      <c r="B89" s="120" t="s">
        <v>6</v>
      </c>
      <c r="C89" s="75" t="s">
        <v>1933</v>
      </c>
      <c r="D89" s="88">
        <v>3572610</v>
      </c>
      <c r="E89" s="2"/>
      <c r="F89" s="2"/>
      <c r="G89" s="30"/>
      <c r="H89" s="30"/>
      <c r="I89" s="2"/>
      <c r="J89" s="2"/>
      <c r="K89" s="2"/>
      <c r="L89" s="2"/>
      <c r="M89" s="41"/>
      <c r="N89" s="42"/>
      <c r="O89" s="2"/>
    </row>
    <row r="90" spans="1:15" s="2" customFormat="1" x14ac:dyDescent="0.2">
      <c r="A90" s="87"/>
      <c r="B90" s="74"/>
      <c r="C90" s="75"/>
      <c r="D90" s="51">
        <f>SUM(D74:D89)</f>
        <v>35802008.340000004</v>
      </c>
      <c r="F90" s="2" t="s">
        <v>396</v>
      </c>
      <c r="G90" s="1"/>
      <c r="H90" s="1"/>
    </row>
    <row r="91" spans="1:15" s="2" customFormat="1" x14ac:dyDescent="0.2">
      <c r="A91" s="24"/>
      <c r="B91" s="1"/>
      <c r="C91" s="14"/>
      <c r="D91" s="56"/>
      <c r="E91" s="13"/>
      <c r="G91" s="1"/>
      <c r="H91" s="1"/>
    </row>
    <row r="92" spans="1:15" s="2" customFormat="1" x14ac:dyDescent="0.2">
      <c r="A92" s="24"/>
      <c r="B92" s="1"/>
      <c r="C92" s="218" t="s">
        <v>77</v>
      </c>
      <c r="D92" s="219"/>
      <c r="E92" s="219"/>
      <c r="F92" s="220"/>
      <c r="I92" s="2" t="s">
        <v>396</v>
      </c>
    </row>
    <row r="93" spans="1:15" s="2" customFormat="1" x14ac:dyDescent="0.2">
      <c r="A93" s="24"/>
      <c r="B93" s="1"/>
      <c r="C93" s="50"/>
      <c r="D93" s="57" t="s">
        <v>78</v>
      </c>
      <c r="E93" s="58" t="s">
        <v>79</v>
      </c>
      <c r="F93" s="57" t="s">
        <v>72</v>
      </c>
      <c r="I93" s="2" t="s">
        <v>396</v>
      </c>
    </row>
    <row r="94" spans="1:15" s="2" customFormat="1" x14ac:dyDescent="0.2">
      <c r="A94" s="24"/>
      <c r="B94" s="1"/>
      <c r="C94" s="59" t="str">
        <f>"01-01-2024 to "&amp;TEXT(A5-2,"dd-mm-yyyy")</f>
        <v>01-01-2024 to 14-01-2024</v>
      </c>
      <c r="D94" s="60">
        <v>1113.6099999999999</v>
      </c>
      <c r="E94" s="60">
        <v>318.52</v>
      </c>
      <c r="F94" s="61">
        <f>SUM(D94:E94)</f>
        <v>1432.1299999999999</v>
      </c>
    </row>
    <row r="95" spans="1:15" s="2" customFormat="1" x14ac:dyDescent="0.2">
      <c r="A95" s="24"/>
      <c r="B95" s="1"/>
      <c r="C95" s="62" t="str">
        <f>TEXT(A5-1,"dd-mm-yyyy")</f>
        <v>15-01-2024</v>
      </c>
      <c r="D95" s="60">
        <v>119.18</v>
      </c>
      <c r="E95" s="60">
        <v>26.16</v>
      </c>
      <c r="F95" s="61">
        <f>SUM(D95:E95)</f>
        <v>145.34</v>
      </c>
      <c r="G95" s="1"/>
      <c r="H95" s="1"/>
      <c r="I95" s="53"/>
    </row>
    <row r="96" spans="1:15" s="2" customFormat="1" ht="13.5" thickBot="1" x14ac:dyDescent="0.25">
      <c r="A96" s="24"/>
      <c r="B96" s="1"/>
      <c r="C96" s="63" t="str">
        <f>"01-01-2024 to "&amp;TEXT(A5-1,"dd-mm-yyyy")</f>
        <v>01-01-2024 to 15-01-2024</v>
      </c>
      <c r="D96" s="64">
        <f>SUM(D94:D95)</f>
        <v>1232.79</v>
      </c>
      <c r="E96" s="64">
        <f>SUM(E94:E95)</f>
        <v>344.68</v>
      </c>
      <c r="F96" s="64">
        <f>SUM(F94:F95)</f>
        <v>1577.4699999999998</v>
      </c>
      <c r="G96" s="1"/>
      <c r="H96" s="1"/>
      <c r="I96" s="53"/>
    </row>
    <row r="97" spans="1:14" s="2" customFormat="1" ht="13.5" thickTop="1" x14ac:dyDescent="0.2">
      <c r="A97" s="24"/>
      <c r="B97" s="1"/>
      <c r="C97" s="62"/>
      <c r="D97" s="65"/>
      <c r="E97" s="66"/>
      <c r="F97" s="67"/>
      <c r="M97" s="1"/>
      <c r="N97" s="1"/>
    </row>
    <row r="98" spans="1:14" s="2" customFormat="1" x14ac:dyDescent="0.2">
      <c r="A98" s="24"/>
      <c r="B98" s="1"/>
      <c r="C98" s="62" t="str">
        <f>"01-04-2023 to " &amp;C95</f>
        <v>01-04-2023 to 15-01-2024</v>
      </c>
      <c r="D98" s="68">
        <f>+D96+34570.27</f>
        <v>35803.06</v>
      </c>
      <c r="E98" s="68">
        <f>+E96+3831.86</f>
        <v>4176.54</v>
      </c>
      <c r="F98" s="68">
        <f>+F96+38402.13</f>
        <v>39979.599999999999</v>
      </c>
      <c r="G98" s="1"/>
      <c r="H98" s="1"/>
      <c r="M98" s="1"/>
      <c r="N98" s="1"/>
    </row>
    <row r="99" spans="1:14" s="2" customFormat="1" x14ac:dyDescent="0.2">
      <c r="A99" s="24"/>
      <c r="B99" s="1"/>
      <c r="C99" s="52"/>
      <c r="D99" s="85"/>
      <c r="E99" s="53"/>
      <c r="F99" s="53"/>
      <c r="G99" s="1"/>
      <c r="H99" s="1"/>
      <c r="M99" s="1"/>
      <c r="N99" s="1"/>
    </row>
    <row r="100" spans="1:14" s="2" customFormat="1" x14ac:dyDescent="0.2">
      <c r="A100" s="24"/>
      <c r="B100" s="1"/>
      <c r="C100" s="52"/>
      <c r="D100" s="85"/>
      <c r="E100" s="53"/>
      <c r="F100" s="53"/>
      <c r="G100" s="1"/>
      <c r="H100" s="1"/>
      <c r="M100" s="1"/>
      <c r="N100" s="1"/>
    </row>
    <row r="101" spans="1:14" s="2" customFormat="1" x14ac:dyDescent="0.2">
      <c r="A101" s="24"/>
      <c r="B101" s="1"/>
      <c r="C101" s="52"/>
      <c r="D101" s="85"/>
      <c r="E101" s="53"/>
      <c r="F101" s="53"/>
      <c r="G101" s="1"/>
      <c r="H101" s="1"/>
      <c r="M101" s="1"/>
      <c r="N101" s="1"/>
    </row>
    <row r="102" spans="1:14" s="2" customFormat="1" x14ac:dyDescent="0.2">
      <c r="A102" s="24"/>
      <c r="B102" s="1"/>
      <c r="C102" s="52"/>
      <c r="D102" s="85"/>
      <c r="E102" s="53"/>
      <c r="F102" s="53"/>
      <c r="G102" s="1"/>
      <c r="H102" s="1"/>
      <c r="M102" s="1"/>
      <c r="N102" s="1"/>
    </row>
    <row r="103" spans="1:14" s="2" customFormat="1" x14ac:dyDescent="0.2">
      <c r="A103" s="24"/>
      <c r="B103" s="1"/>
      <c r="C103" s="14"/>
      <c r="D103" s="25">
        <f>SUM(D100:D102)</f>
        <v>0</v>
      </c>
      <c r="E103" s="2">
        <f>SUM(E100:E102)</f>
        <v>0</v>
      </c>
      <c r="G103" s="1"/>
      <c r="H103" s="1"/>
      <c r="M103" s="1"/>
      <c r="N103" s="1"/>
    </row>
    <row r="104" spans="1:14" s="2" customFormat="1" x14ac:dyDescent="0.2">
      <c r="A104" s="24"/>
      <c r="B104" s="1"/>
      <c r="C104" s="14"/>
      <c r="D104" s="25"/>
      <c r="G104" s="1"/>
      <c r="H104" s="1"/>
      <c r="M104" s="1"/>
      <c r="N104" s="1"/>
    </row>
    <row r="105" spans="1:14" s="2" customFormat="1" x14ac:dyDescent="0.2">
      <c r="A105" s="24"/>
      <c r="B105" s="1"/>
      <c r="C105" s="14"/>
      <c r="D105" s="25"/>
      <c r="G105" s="1"/>
      <c r="H105" s="1"/>
      <c r="M105" s="1"/>
      <c r="N105" s="1"/>
    </row>
    <row r="106" spans="1:14" s="2" customFormat="1" x14ac:dyDescent="0.2">
      <c r="A106" s="24"/>
      <c r="B106" s="1"/>
      <c r="C106" s="14"/>
      <c r="D106" s="25"/>
      <c r="G106" s="1"/>
      <c r="H106" s="1"/>
      <c r="M106" s="1"/>
      <c r="N106" s="1"/>
    </row>
    <row r="107" spans="1:14" s="2" customFormat="1" x14ac:dyDescent="0.2">
      <c r="A107" s="24"/>
      <c r="B107" s="1"/>
      <c r="C107" s="14"/>
      <c r="D107" s="25"/>
      <c r="G107" s="1"/>
      <c r="H107" s="1"/>
      <c r="M107" s="1"/>
      <c r="N107" s="1"/>
    </row>
    <row r="108" spans="1:14" s="2" customFormat="1" x14ac:dyDescent="0.2">
      <c r="A108" s="24"/>
      <c r="B108" s="1"/>
      <c r="C108" s="14"/>
      <c r="D108" s="25"/>
      <c r="G108" s="1"/>
      <c r="H108" s="1"/>
      <c r="M108" s="1"/>
      <c r="N108" s="1"/>
    </row>
    <row r="109" spans="1:14" s="2" customFormat="1" x14ac:dyDescent="0.2">
      <c r="A109" s="24"/>
      <c r="B109" s="1"/>
      <c r="C109" s="14"/>
      <c r="D109" s="25"/>
      <c r="G109" s="1"/>
      <c r="H109" s="1"/>
      <c r="M109" s="1"/>
      <c r="N109" s="1"/>
    </row>
    <row r="110" spans="1:14" s="2" customFormat="1" x14ac:dyDescent="0.2">
      <c r="A110" s="24"/>
      <c r="B110" s="1"/>
      <c r="C110" s="14"/>
      <c r="D110" s="25"/>
      <c r="G110" s="1"/>
      <c r="H110" s="1"/>
      <c r="M110" s="1"/>
      <c r="N110" s="1"/>
    </row>
    <row r="111" spans="1:14" s="2" customFormat="1" x14ac:dyDescent="0.2">
      <c r="A111" s="24"/>
      <c r="B111" s="1"/>
      <c r="C111" s="14"/>
      <c r="D111" s="25"/>
      <c r="G111" s="1"/>
      <c r="H111" s="1"/>
      <c r="M111" s="1"/>
      <c r="N111" s="1"/>
    </row>
    <row r="112" spans="1:14" s="2" customFormat="1" x14ac:dyDescent="0.2">
      <c r="A112" s="24"/>
      <c r="B112" s="1"/>
      <c r="C112" s="14"/>
      <c r="D112" s="25"/>
      <c r="G112" s="1"/>
      <c r="H112" s="1"/>
      <c r="M112" s="1"/>
      <c r="N112" s="1"/>
    </row>
    <row r="113" spans="1:15" s="2" customFormat="1" x14ac:dyDescent="0.2">
      <c r="A113" s="24"/>
      <c r="B113" s="1"/>
      <c r="C113" s="14"/>
      <c r="D113" s="25"/>
      <c r="G113" s="1"/>
      <c r="H113" s="1"/>
      <c r="M113" s="1"/>
      <c r="N113" s="1"/>
    </row>
    <row r="114" spans="1:15" s="2" customFormat="1" x14ac:dyDescent="0.2">
      <c r="A114" s="24"/>
      <c r="B114" s="1"/>
      <c r="C114" s="14"/>
      <c r="D114" s="25"/>
      <c r="G114" s="1"/>
      <c r="H114" s="1"/>
      <c r="M114" s="1"/>
      <c r="N114" s="1"/>
    </row>
    <row r="115" spans="1:15" s="2" customFormat="1" x14ac:dyDescent="0.2">
      <c r="A115" s="24"/>
      <c r="B115" s="1"/>
      <c r="C115" s="14"/>
      <c r="D115" s="25"/>
      <c r="G115" s="1"/>
      <c r="H115" s="1"/>
      <c r="M115" s="1"/>
      <c r="N115" s="1"/>
    </row>
    <row r="116" spans="1:15" s="2" customFormat="1" x14ac:dyDescent="0.2">
      <c r="A116" s="24"/>
      <c r="B116" s="1"/>
      <c r="C116" s="14"/>
      <c r="D116" s="25"/>
      <c r="G116" s="1"/>
      <c r="H116" s="1"/>
      <c r="M116" s="1"/>
      <c r="N116" s="1"/>
    </row>
    <row r="117" spans="1:15" s="2" customFormat="1" x14ac:dyDescent="0.2">
      <c r="A117" s="24"/>
      <c r="B117" s="1"/>
      <c r="C117" s="14"/>
      <c r="D117" s="25"/>
      <c r="G117" s="1"/>
      <c r="H117" s="1"/>
      <c r="J117" s="1"/>
      <c r="K117" s="1"/>
      <c r="L117" s="1"/>
      <c r="M117" s="1"/>
      <c r="N117" s="1"/>
    </row>
    <row r="118" spans="1:15" s="2" customFormat="1" x14ac:dyDescent="0.2">
      <c r="A118" s="24"/>
      <c r="B118" s="1"/>
      <c r="C118" s="14"/>
      <c r="D118" s="25"/>
      <c r="G118" s="1"/>
      <c r="H118" s="1"/>
    </row>
    <row r="119" spans="1:15" s="2" customFormat="1" x14ac:dyDescent="0.2">
      <c r="A119" s="24"/>
      <c r="B119" s="1"/>
      <c r="C119" s="14"/>
      <c r="D119" s="25"/>
      <c r="G119" s="1"/>
      <c r="H119" s="1"/>
      <c r="J119" s="1"/>
      <c r="K119" s="1"/>
      <c r="L119" s="1"/>
      <c r="M119" s="1"/>
      <c r="N119" s="1"/>
    </row>
    <row r="120" spans="1:15" s="2" customFormat="1" x14ac:dyDescent="0.2">
      <c r="A120" s="24"/>
      <c r="B120" s="1"/>
      <c r="C120" s="14"/>
      <c r="D120" s="25"/>
      <c r="G120" s="54"/>
      <c r="H120" s="54"/>
      <c r="J120" s="1"/>
      <c r="K120" s="1"/>
      <c r="L120" s="1"/>
      <c r="M120" s="1"/>
      <c r="N120" s="1"/>
    </row>
    <row r="121" spans="1:15" s="2" customFormat="1" x14ac:dyDescent="0.2">
      <c r="A121" s="24"/>
      <c r="B121" s="1"/>
      <c r="C121" s="14"/>
      <c r="D121" s="25"/>
      <c r="G121" s="54"/>
      <c r="H121" s="54"/>
      <c r="J121" s="1"/>
      <c r="K121" s="1"/>
      <c r="L121" s="1"/>
      <c r="M121" s="1"/>
      <c r="N121" s="1"/>
    </row>
    <row r="122" spans="1:15" s="2" customFormat="1" x14ac:dyDescent="0.2">
      <c r="A122" s="24"/>
      <c r="B122" s="1"/>
      <c r="C122" s="14"/>
      <c r="D122" s="25"/>
      <c r="G122" s="54"/>
      <c r="H122" s="54"/>
      <c r="J122" s="1"/>
      <c r="K122" s="1"/>
      <c r="L122" s="1"/>
      <c r="M122" s="1"/>
      <c r="N122" s="1"/>
    </row>
    <row r="123" spans="1:15" s="2" customFormat="1" x14ac:dyDescent="0.2">
      <c r="A123" s="24"/>
      <c r="B123" s="1"/>
      <c r="C123" s="14"/>
      <c r="D123" s="25"/>
      <c r="G123" s="54"/>
      <c r="H123" s="54"/>
      <c r="I123" s="2" t="s">
        <v>396</v>
      </c>
      <c r="J123" s="1"/>
      <c r="K123" s="1"/>
      <c r="L123" s="1"/>
      <c r="M123" s="1"/>
      <c r="N123" s="1"/>
      <c r="O123" s="1"/>
    </row>
    <row r="124" spans="1:15" s="2" customFormat="1" x14ac:dyDescent="0.2">
      <c r="A124" s="24"/>
      <c r="B124" s="1"/>
      <c r="C124" s="14"/>
      <c r="D124" s="25"/>
      <c r="G124" s="54"/>
      <c r="H124" s="54"/>
      <c r="I124" s="53"/>
    </row>
    <row r="125" spans="1:15" s="2" customFormat="1" x14ac:dyDescent="0.2">
      <c r="A125" s="24"/>
      <c r="B125" s="1"/>
      <c r="C125" s="14"/>
      <c r="D125" s="25"/>
      <c r="G125" s="54"/>
      <c r="H125" s="54"/>
      <c r="I125" s="53" t="s">
        <v>396</v>
      </c>
      <c r="J125" s="1"/>
      <c r="K125" s="1"/>
      <c r="L125" s="1"/>
      <c r="M125" s="1"/>
      <c r="N125" s="1"/>
      <c r="O125" s="1"/>
    </row>
    <row r="126" spans="1:15" x14ac:dyDescent="0.2">
      <c r="G126" s="54"/>
      <c r="H126" s="54"/>
      <c r="I126" s="53" t="s">
        <v>396</v>
      </c>
      <c r="K126" s="42"/>
    </row>
    <row r="127" spans="1:15" s="2" customFormat="1" x14ac:dyDescent="0.2">
      <c r="A127" s="24"/>
      <c r="B127" s="1"/>
      <c r="C127" s="14"/>
      <c r="D127" s="25"/>
      <c r="G127" s="54"/>
      <c r="H127" s="54"/>
      <c r="I127" s="53"/>
      <c r="J127" s="101"/>
      <c r="K127" s="1"/>
      <c r="L127" s="1"/>
      <c r="M127" s="1"/>
      <c r="N127" s="1"/>
      <c r="O127" s="1"/>
    </row>
    <row r="128" spans="1:15" x14ac:dyDescent="0.2">
      <c r="G128" s="54"/>
      <c r="H128" s="54"/>
      <c r="I128" s="53"/>
    </row>
    <row r="129" spans="7:9" x14ac:dyDescent="0.2">
      <c r="G129" s="54"/>
      <c r="H129" s="54"/>
      <c r="I129" s="53"/>
    </row>
    <row r="130" spans="7:9" x14ac:dyDescent="0.2">
      <c r="G130" s="54"/>
      <c r="H130" s="54"/>
      <c r="I130" s="53"/>
    </row>
  </sheetData>
  <sheetProtection insertRows="0"/>
  <mergeCells count="7">
    <mergeCell ref="K65:L65"/>
    <mergeCell ref="A72:D72"/>
    <mergeCell ref="C92:F92"/>
    <mergeCell ref="A1:H1"/>
    <mergeCell ref="A3:F3"/>
    <mergeCell ref="A9:F9"/>
    <mergeCell ref="A18:F18"/>
  </mergeCells>
  <conditionalFormatting sqref="H69:H70">
    <cfRule type="cellIs" dxfId="123" priority="1" operator="lessThan">
      <formula>0</formula>
    </cfRule>
  </conditionalFormatting>
  <conditionalFormatting sqref="C20">
    <cfRule type="duplicateValues" dxfId="122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500-000000000000}">
  <sheetPr codeName="Sheet525">
    <pageSetUpPr fitToPage="1"/>
  </sheetPr>
  <dimension ref="A1:O144"/>
  <sheetViews>
    <sheetView zoomScaleNormal="100" workbookViewId="0">
      <selection sqref="A1:H1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12.85546875" style="1" customWidth="1"/>
    <col min="9" max="9" width="24.85546875" style="2" bestFit="1" customWidth="1"/>
    <col min="10" max="10" width="21.5703125" style="1" bestFit="1" customWidth="1"/>
    <col min="11" max="11" width="16.85546875" style="1" bestFit="1" customWidth="1"/>
    <col min="12" max="12" width="17.28515625" style="1" bestFit="1" customWidth="1"/>
    <col min="13" max="13" width="13.5703125" style="1" bestFit="1" customWidth="1"/>
    <col min="14" max="14" width="17.42578125" style="1" bestFit="1" customWidth="1"/>
    <col min="15" max="15" width="12.85546875" style="1" bestFit="1" customWidth="1"/>
    <col min="16" max="17" width="9.140625" style="1"/>
    <col min="18" max="18" width="15.5703125" style="1" bestFit="1" customWidth="1"/>
    <col min="19" max="16384" width="9.140625" style="1"/>
  </cols>
  <sheetData>
    <row r="1" spans="1:14" ht="20.25" customHeight="1" x14ac:dyDescent="0.4">
      <c r="A1" s="212" t="s">
        <v>1981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4" ht="12.75" customHeight="1" x14ac:dyDescent="0.4">
      <c r="I2" s="112"/>
      <c r="J2" s="112"/>
    </row>
    <row r="3" spans="1:14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4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4" s="2" customFormat="1" ht="14.25" customHeight="1" x14ac:dyDescent="0.4">
      <c r="A5" s="89">
        <v>45308</v>
      </c>
      <c r="B5" s="9" t="s">
        <v>6</v>
      </c>
      <c r="C5" s="10" t="s">
        <v>7</v>
      </c>
      <c r="D5" s="11"/>
      <c r="E5" s="12">
        <v>586241.23000000045</v>
      </c>
      <c r="F5" s="12"/>
      <c r="G5" s="1"/>
      <c r="H5" s="1"/>
      <c r="I5" s="112"/>
      <c r="J5" s="112"/>
    </row>
    <row r="6" spans="1:14" s="2" customFormat="1" ht="14.25" customHeight="1" x14ac:dyDescent="0.4">
      <c r="A6" s="89">
        <v>45308</v>
      </c>
      <c r="B6" s="9" t="s">
        <v>11</v>
      </c>
      <c r="C6" s="10" t="s">
        <v>1982</v>
      </c>
      <c r="D6" s="11" t="s">
        <v>29</v>
      </c>
      <c r="E6" s="12"/>
      <c r="F6" s="12">
        <v>20700</v>
      </c>
      <c r="G6" s="1"/>
      <c r="H6" s="1"/>
      <c r="I6" s="112"/>
      <c r="J6" s="112"/>
    </row>
    <row r="7" spans="1:14" s="2" customFormat="1" ht="12.75" customHeight="1" x14ac:dyDescent="0.2">
      <c r="D7" s="15" t="s">
        <v>8</v>
      </c>
      <c r="E7" s="16">
        <f>SUM(E5:E5)</f>
        <v>586241.23000000045</v>
      </c>
      <c r="F7" s="16">
        <f>F6</f>
        <v>20700</v>
      </c>
      <c r="G7" s="1"/>
      <c r="H7" s="1"/>
      <c r="I7" s="13" t="s">
        <v>1582</v>
      </c>
      <c r="J7" s="13" t="s">
        <v>1583</v>
      </c>
    </row>
    <row r="8" spans="1:14" s="2" customFormat="1" ht="12.75" customHeight="1" x14ac:dyDescent="0.2">
      <c r="A8" s="17"/>
      <c r="B8" s="18"/>
      <c r="C8" s="19" t="s">
        <v>9</v>
      </c>
      <c r="D8" s="20"/>
      <c r="E8" s="21">
        <f>+E7-F7</f>
        <v>565541.23000000045</v>
      </c>
      <c r="F8" s="22"/>
      <c r="G8" s="23"/>
      <c r="H8" s="23"/>
      <c r="I8" s="2">
        <v>0</v>
      </c>
      <c r="K8" s="176">
        <f>I8-J8</f>
        <v>0</v>
      </c>
    </row>
    <row r="9" spans="1:14" ht="12.75" customHeight="1" x14ac:dyDescent="0.4">
      <c r="I9" s="112"/>
      <c r="J9" s="112"/>
    </row>
    <row r="10" spans="1:14" ht="18" customHeight="1" x14ac:dyDescent="0.4">
      <c r="A10" s="213" t="s">
        <v>1037</v>
      </c>
      <c r="B10" s="213"/>
      <c r="C10" s="213"/>
      <c r="D10" s="213"/>
      <c r="E10" s="213"/>
      <c r="F10" s="213"/>
      <c r="I10" s="112"/>
      <c r="J10" s="169">
        <f>90000000-60000000</f>
        <v>30000000</v>
      </c>
      <c r="K10" s="169" t="s">
        <v>1508</v>
      </c>
    </row>
    <row r="11" spans="1:14" ht="12.75" customHeight="1" x14ac:dyDescent="0.4">
      <c r="A11" s="3" t="s">
        <v>1</v>
      </c>
      <c r="B11" s="4" t="s">
        <v>2</v>
      </c>
      <c r="C11" s="5"/>
      <c r="D11" s="6" t="s">
        <v>3</v>
      </c>
      <c r="E11" s="7" t="s">
        <v>4</v>
      </c>
      <c r="F11" s="7" t="s">
        <v>5</v>
      </c>
      <c r="I11" s="112"/>
      <c r="J11" s="169">
        <v>29286996.02</v>
      </c>
      <c r="K11" s="169" t="s">
        <v>1509</v>
      </c>
      <c r="L11" s="124"/>
    </row>
    <row r="12" spans="1:14" s="2" customFormat="1" ht="14.25" customHeight="1" x14ac:dyDescent="0.2">
      <c r="A12" s="89">
        <v>45308</v>
      </c>
      <c r="B12" s="9" t="s">
        <v>6</v>
      </c>
      <c r="C12" s="10" t="s">
        <v>7</v>
      </c>
      <c r="D12" s="11"/>
      <c r="F12" s="12">
        <v>29286996.02</v>
      </c>
      <c r="G12" s="1"/>
      <c r="H12" s="1"/>
      <c r="I12" s="130" t="s">
        <v>396</v>
      </c>
      <c r="J12" s="169">
        <f>+J10-J11</f>
        <v>713003.98000000045</v>
      </c>
      <c r="K12" s="169" t="s">
        <v>712</v>
      </c>
      <c r="L12" s="165" t="s">
        <v>1512</v>
      </c>
    </row>
    <row r="13" spans="1:14" s="2" customFormat="1" ht="14.25" customHeight="1" x14ac:dyDescent="0.2">
      <c r="D13" s="11" t="s">
        <v>8</v>
      </c>
      <c r="E13" s="16">
        <f>E12</f>
        <v>0</v>
      </c>
      <c r="F13" s="16">
        <f>SUM(F12:F12)</f>
        <v>29286996.02</v>
      </c>
      <c r="G13" s="1"/>
      <c r="H13" s="1"/>
      <c r="I13" s="143"/>
      <c r="J13" s="130"/>
      <c r="K13" s="143"/>
      <c r="L13" s="143"/>
      <c r="M13" s="143"/>
      <c r="N13" s="143"/>
    </row>
    <row r="14" spans="1:14" s="2" customFormat="1" ht="14.25" customHeight="1" x14ac:dyDescent="0.4">
      <c r="A14" s="17"/>
      <c r="B14" s="18"/>
      <c r="C14" s="96" t="s">
        <v>9</v>
      </c>
      <c r="D14" s="20"/>
      <c r="E14" s="21">
        <f>+F13-E13</f>
        <v>29286996.02</v>
      </c>
      <c r="G14" s="1"/>
      <c r="H14" s="1"/>
      <c r="J14" s="112"/>
      <c r="K14" s="153" t="s">
        <v>779</v>
      </c>
    </row>
    <row r="15" spans="1:14" s="2" customFormat="1" ht="14.25" customHeight="1" x14ac:dyDescent="0.2">
      <c r="A15" s="17"/>
      <c r="B15" s="28" t="s">
        <v>66</v>
      </c>
      <c r="C15" s="43" t="s">
        <v>1458</v>
      </c>
      <c r="D15" s="43"/>
      <c r="E15" s="12">
        <f>30000000+60000000</f>
        <v>90000000</v>
      </c>
      <c r="F15" s="22"/>
      <c r="G15" s="1"/>
      <c r="H15" s="1"/>
      <c r="J15" s="40">
        <v>29286996.02</v>
      </c>
      <c r="K15" s="154">
        <f>J15-E14</f>
        <v>0</v>
      </c>
    </row>
    <row r="16" spans="1:14" s="2" customFormat="1" ht="14.25" customHeight="1" x14ac:dyDescent="0.25">
      <c r="A16" s="36"/>
      <c r="B16" s="28"/>
      <c r="C16" s="44" t="s">
        <v>1541</v>
      </c>
      <c r="D16" s="43"/>
      <c r="E16" s="7">
        <f>+E14+E15</f>
        <v>119286996.02</v>
      </c>
      <c r="F16" s="22"/>
      <c r="G16" s="1"/>
      <c r="H16" s="1"/>
      <c r="I16" s="13" t="s">
        <v>1582</v>
      </c>
      <c r="J16" s="13" t="s">
        <v>1583</v>
      </c>
    </row>
    <row r="17" spans="1:12" s="2" customFormat="1" ht="14.25" customHeight="1" x14ac:dyDescent="0.25">
      <c r="A17" s="36"/>
      <c r="B17" s="28"/>
      <c r="C17" s="44" t="s">
        <v>1511</v>
      </c>
      <c r="D17" s="43"/>
      <c r="E17" s="38">
        <f>+J12+I8-J8</f>
        <v>713003.98000000045</v>
      </c>
      <c r="F17" s="22"/>
      <c r="G17" s="1"/>
      <c r="H17" s="1"/>
      <c r="I17" s="2">
        <v>0</v>
      </c>
      <c r="J17" s="2">
        <v>13341485.699999999</v>
      </c>
      <c r="K17" s="176">
        <f>I17-J17</f>
        <v>-13341485.699999999</v>
      </c>
    </row>
    <row r="18" spans="1:12" s="2" customFormat="1" ht="14.25" customHeight="1" x14ac:dyDescent="0.2">
      <c r="A18" s="24"/>
      <c r="B18" s="1"/>
      <c r="C18" s="14"/>
      <c r="D18" s="25"/>
      <c r="G18" s="1"/>
      <c r="H18" s="1"/>
      <c r="J18" s="130"/>
      <c r="K18" s="130"/>
    </row>
    <row r="19" spans="1:12" s="2" customFormat="1" x14ac:dyDescent="0.2">
      <c r="A19" s="214" t="s">
        <v>10</v>
      </c>
      <c r="B19" s="214"/>
      <c r="C19" s="214"/>
      <c r="D19" s="214"/>
      <c r="E19" s="214"/>
      <c r="F19" s="214"/>
      <c r="G19" s="1"/>
      <c r="H19" s="1"/>
      <c r="I19" s="159"/>
      <c r="J19" s="160">
        <v>100000000</v>
      </c>
      <c r="K19" s="160" t="s">
        <v>1506</v>
      </c>
      <c r="L19" s="70"/>
    </row>
    <row r="20" spans="1:12" s="2" customFormat="1" ht="15" x14ac:dyDescent="0.35">
      <c r="A20" s="26" t="s">
        <v>1</v>
      </c>
      <c r="B20" s="27" t="s">
        <v>2</v>
      </c>
      <c r="C20" s="5"/>
      <c r="D20" s="6" t="s">
        <v>3</v>
      </c>
      <c r="E20" s="7" t="s">
        <v>4</v>
      </c>
      <c r="F20" s="7" t="s">
        <v>5</v>
      </c>
      <c r="G20" s="1"/>
      <c r="H20" s="1"/>
      <c r="I20" s="159"/>
      <c r="J20" s="179">
        <v>73721079.859999999</v>
      </c>
      <c r="K20" s="160" t="s">
        <v>1507</v>
      </c>
      <c r="L20" s="70" t="s">
        <v>1512</v>
      </c>
    </row>
    <row r="21" spans="1:12" s="2" customFormat="1" x14ac:dyDescent="0.2">
      <c r="A21" s="89">
        <v>45308</v>
      </c>
      <c r="B21" s="128" t="s">
        <v>11</v>
      </c>
      <c r="C21" s="29" t="s">
        <v>7</v>
      </c>
      <c r="D21" s="25"/>
      <c r="E21" s="31"/>
      <c r="F21" s="2">
        <v>81260748.639999956</v>
      </c>
      <c r="G21" s="23"/>
      <c r="H21" s="23"/>
      <c r="I21" s="159" t="s">
        <v>1505</v>
      </c>
      <c r="J21" s="160">
        <f>+J19-J20</f>
        <v>26278920.140000001</v>
      </c>
      <c r="K21" s="160"/>
      <c r="L21" s="70"/>
    </row>
    <row r="22" spans="1:12" s="2" customFormat="1" x14ac:dyDescent="0.2">
      <c r="A22" s="89">
        <v>45308</v>
      </c>
      <c r="B22" s="128" t="s">
        <v>6</v>
      </c>
      <c r="C22" s="76" t="s">
        <v>1351</v>
      </c>
      <c r="D22" s="11" t="s">
        <v>13</v>
      </c>
      <c r="E22" s="31">
        <v>725503.59</v>
      </c>
      <c r="G22" s="23"/>
      <c r="H22" s="23"/>
      <c r="I22" s="159"/>
      <c r="J22" s="160"/>
      <c r="K22" s="160"/>
      <c r="L22" s="70"/>
    </row>
    <row r="23" spans="1:12" s="2" customFormat="1" x14ac:dyDescent="0.2">
      <c r="A23" s="89">
        <v>45308</v>
      </c>
      <c r="B23" s="128" t="s">
        <v>6</v>
      </c>
      <c r="C23" s="76" t="s">
        <v>474</v>
      </c>
      <c r="D23" s="11" t="s">
        <v>13</v>
      </c>
      <c r="E23" s="31">
        <v>686335</v>
      </c>
      <c r="G23" s="23"/>
      <c r="H23" s="23"/>
      <c r="I23" s="159"/>
      <c r="J23" s="160"/>
      <c r="K23" s="160"/>
      <c r="L23" s="70"/>
    </row>
    <row r="24" spans="1:12" s="2" customFormat="1" x14ac:dyDescent="0.2">
      <c r="A24" s="89">
        <v>45308</v>
      </c>
      <c r="B24" s="128" t="s">
        <v>6</v>
      </c>
      <c r="C24" s="76" t="s">
        <v>1549</v>
      </c>
      <c r="D24" s="11" t="s">
        <v>13</v>
      </c>
      <c r="E24" s="31">
        <v>539644</v>
      </c>
      <c r="G24" s="23"/>
      <c r="H24" s="23"/>
      <c r="I24" s="159"/>
      <c r="J24" s="160"/>
      <c r="K24" s="160"/>
      <c r="L24" s="70"/>
    </row>
    <row r="25" spans="1:12" s="2" customFormat="1" x14ac:dyDescent="0.2">
      <c r="A25" s="89">
        <v>45308</v>
      </c>
      <c r="B25" s="128" t="s">
        <v>6</v>
      </c>
      <c r="C25" s="76" t="s">
        <v>1625</v>
      </c>
      <c r="D25" s="11" t="s">
        <v>13</v>
      </c>
      <c r="E25" s="31">
        <v>41475</v>
      </c>
      <c r="G25" s="23"/>
      <c r="H25" s="23"/>
      <c r="I25" s="159"/>
      <c r="J25" s="160"/>
      <c r="K25" s="160"/>
      <c r="L25" s="70"/>
    </row>
    <row r="26" spans="1:12" s="2" customFormat="1" x14ac:dyDescent="0.2">
      <c r="A26" s="89">
        <v>45308</v>
      </c>
      <c r="B26" s="128" t="s">
        <v>6</v>
      </c>
      <c r="C26" s="76" t="s">
        <v>551</v>
      </c>
      <c r="D26" s="11" t="s">
        <v>13</v>
      </c>
      <c r="E26" s="31">
        <v>83809</v>
      </c>
      <c r="G26" s="23"/>
      <c r="H26" s="23"/>
      <c r="I26" s="159"/>
      <c r="J26" s="160"/>
      <c r="K26" s="160"/>
      <c r="L26" s="70"/>
    </row>
    <row r="27" spans="1:12" s="2" customFormat="1" x14ac:dyDescent="0.2">
      <c r="A27" s="89">
        <v>45308</v>
      </c>
      <c r="B27" s="128" t="s">
        <v>6</v>
      </c>
      <c r="C27" s="76" t="s">
        <v>465</v>
      </c>
      <c r="D27" s="11" t="s">
        <v>13</v>
      </c>
      <c r="E27" s="31">
        <v>152143.70000000001</v>
      </c>
      <c r="G27" s="23"/>
      <c r="H27" s="23"/>
      <c r="I27" s="159"/>
      <c r="J27" s="160"/>
      <c r="K27" s="160"/>
      <c r="L27" s="70"/>
    </row>
    <row r="28" spans="1:12" s="2" customFormat="1" x14ac:dyDescent="0.2">
      <c r="A28" s="89">
        <v>45308</v>
      </c>
      <c r="B28" s="128" t="s">
        <v>6</v>
      </c>
      <c r="C28" s="76" t="s">
        <v>639</v>
      </c>
      <c r="D28" s="11" t="s">
        <v>13</v>
      </c>
      <c r="E28" s="31">
        <v>128809.26</v>
      </c>
      <c r="G28" s="23"/>
      <c r="H28" s="23"/>
      <c r="I28" s="159"/>
      <c r="J28" s="160"/>
      <c r="K28" s="160"/>
      <c r="L28" s="70"/>
    </row>
    <row r="29" spans="1:12" s="2" customFormat="1" x14ac:dyDescent="0.2">
      <c r="A29" s="89">
        <v>45308</v>
      </c>
      <c r="B29" s="128" t="s">
        <v>6</v>
      </c>
      <c r="C29" s="76" t="s">
        <v>19</v>
      </c>
      <c r="D29" s="11" t="s">
        <v>13</v>
      </c>
      <c r="E29" s="31">
        <v>8497</v>
      </c>
      <c r="G29" s="23"/>
      <c r="H29" s="23"/>
      <c r="I29" s="159"/>
      <c r="J29" s="160"/>
      <c r="K29" s="160"/>
      <c r="L29" s="70"/>
    </row>
    <row r="30" spans="1:12" s="2" customFormat="1" x14ac:dyDescent="0.2">
      <c r="A30" s="89">
        <v>45308</v>
      </c>
      <c r="B30" s="128" t="s">
        <v>6</v>
      </c>
      <c r="C30" s="76" t="s">
        <v>332</v>
      </c>
      <c r="D30" s="11" t="s">
        <v>13</v>
      </c>
      <c r="E30" s="31">
        <v>30683</v>
      </c>
      <c r="G30" s="23"/>
      <c r="H30" s="23"/>
      <c r="I30" s="159"/>
      <c r="J30" s="160"/>
      <c r="K30" s="160"/>
      <c r="L30" s="70"/>
    </row>
    <row r="31" spans="1:12" s="2" customFormat="1" x14ac:dyDescent="0.2">
      <c r="A31" s="89">
        <v>45308</v>
      </c>
      <c r="B31" s="128" t="s">
        <v>6</v>
      </c>
      <c r="C31" s="76" t="s">
        <v>764</v>
      </c>
      <c r="D31" s="11" t="s">
        <v>13</v>
      </c>
      <c r="E31" s="31">
        <v>3376569.04</v>
      </c>
      <c r="G31" s="23"/>
      <c r="H31" s="23"/>
      <c r="I31" s="159"/>
      <c r="J31" s="160"/>
      <c r="K31" s="160"/>
      <c r="L31" s="70"/>
    </row>
    <row r="32" spans="1:12" s="2" customFormat="1" x14ac:dyDescent="0.2">
      <c r="A32" s="89">
        <v>45308</v>
      </c>
      <c r="B32" s="128" t="s">
        <v>6</v>
      </c>
      <c r="C32" s="76" t="s">
        <v>765</v>
      </c>
      <c r="D32" s="11" t="s">
        <v>13</v>
      </c>
      <c r="E32" s="31">
        <v>1391204.65</v>
      </c>
      <c r="G32" s="23"/>
      <c r="H32" s="23"/>
      <c r="I32" s="159"/>
      <c r="J32" s="160"/>
      <c r="K32" s="160"/>
      <c r="L32" s="70"/>
    </row>
    <row r="33" spans="1:12" s="2" customFormat="1" x14ac:dyDescent="0.2">
      <c r="A33" s="89">
        <v>45308</v>
      </c>
      <c r="B33" s="128" t="s">
        <v>6</v>
      </c>
      <c r="C33" s="76" t="s">
        <v>749</v>
      </c>
      <c r="D33" s="11" t="s">
        <v>13</v>
      </c>
      <c r="E33" s="31">
        <v>900009.54</v>
      </c>
      <c r="G33" s="23"/>
      <c r="H33" s="23"/>
      <c r="I33" s="159"/>
      <c r="J33" s="160"/>
      <c r="K33" s="160"/>
      <c r="L33" s="70"/>
    </row>
    <row r="34" spans="1:12" s="2" customFormat="1" x14ac:dyDescent="0.2">
      <c r="A34" s="89">
        <v>45308</v>
      </c>
      <c r="B34" s="128" t="s">
        <v>6</v>
      </c>
      <c r="C34" s="76" t="s">
        <v>748</v>
      </c>
      <c r="D34" s="11" t="s">
        <v>13</v>
      </c>
      <c r="E34" s="31">
        <v>816024.14</v>
      </c>
      <c r="G34" s="23"/>
      <c r="H34" s="23"/>
      <c r="I34" s="159"/>
      <c r="J34" s="160"/>
      <c r="K34" s="160"/>
      <c r="L34" s="70"/>
    </row>
    <row r="35" spans="1:12" s="2" customFormat="1" x14ac:dyDescent="0.2">
      <c r="A35" s="89">
        <v>45308</v>
      </c>
      <c r="B35" s="128" t="s">
        <v>6</v>
      </c>
      <c r="C35" s="76" t="s">
        <v>759</v>
      </c>
      <c r="D35" s="11" t="s">
        <v>13</v>
      </c>
      <c r="E35" s="31">
        <v>767499.28</v>
      </c>
      <c r="G35" s="23"/>
      <c r="H35" s="23"/>
      <c r="I35" s="159"/>
      <c r="J35" s="160"/>
      <c r="K35" s="160"/>
      <c r="L35" s="70"/>
    </row>
    <row r="36" spans="1:12" s="2" customFormat="1" x14ac:dyDescent="0.2">
      <c r="A36" s="89">
        <v>45308</v>
      </c>
      <c r="B36" s="128" t="s">
        <v>6</v>
      </c>
      <c r="C36" s="76" t="s">
        <v>583</v>
      </c>
      <c r="D36" s="11" t="s">
        <v>13</v>
      </c>
      <c r="E36" s="31">
        <v>500000</v>
      </c>
      <c r="G36" s="23"/>
      <c r="H36" s="23"/>
      <c r="I36" s="159"/>
      <c r="J36" s="160"/>
      <c r="K36" s="160"/>
      <c r="L36" s="70"/>
    </row>
    <row r="37" spans="1:12" s="2" customFormat="1" x14ac:dyDescent="0.2">
      <c r="A37" s="89">
        <v>45308</v>
      </c>
      <c r="B37" s="128" t="s">
        <v>6</v>
      </c>
      <c r="C37" s="76" t="s">
        <v>1959</v>
      </c>
      <c r="D37" s="11" t="s">
        <v>13</v>
      </c>
      <c r="E37" s="31">
        <v>25743</v>
      </c>
      <c r="G37" s="23"/>
      <c r="H37" s="23"/>
      <c r="I37" s="159"/>
      <c r="J37" s="160"/>
      <c r="K37" s="160"/>
      <c r="L37" s="70"/>
    </row>
    <row r="38" spans="1:12" s="2" customFormat="1" x14ac:dyDescent="0.2">
      <c r="A38" s="89">
        <v>45308</v>
      </c>
      <c r="B38" s="128" t="s">
        <v>11</v>
      </c>
      <c r="C38" s="76" t="s">
        <v>64</v>
      </c>
      <c r="D38" s="11" t="s">
        <v>29</v>
      </c>
      <c r="E38" s="31"/>
      <c r="F38" s="2">
        <v>14005.42</v>
      </c>
      <c r="G38" s="23"/>
      <c r="H38" s="23"/>
      <c r="I38" s="159"/>
      <c r="J38" s="160"/>
      <c r="K38" s="160"/>
      <c r="L38" s="70"/>
    </row>
    <row r="39" spans="1:12" s="2" customFormat="1" x14ac:dyDescent="0.2">
      <c r="A39" s="89">
        <v>45308</v>
      </c>
      <c r="B39" s="128" t="s">
        <v>11</v>
      </c>
      <c r="C39" s="76" t="s">
        <v>1856</v>
      </c>
      <c r="D39" s="11" t="s">
        <v>29</v>
      </c>
      <c r="E39" s="31"/>
      <c r="F39" s="2">
        <v>254040.7</v>
      </c>
      <c r="G39" s="23"/>
      <c r="H39" s="23"/>
      <c r="I39" s="159"/>
      <c r="J39" s="160"/>
      <c r="K39" s="160"/>
      <c r="L39" s="70"/>
    </row>
    <row r="40" spans="1:12" s="2" customFormat="1" x14ac:dyDescent="0.2">
      <c r="A40" s="89">
        <v>45308</v>
      </c>
      <c r="B40" s="128" t="s">
        <v>11</v>
      </c>
      <c r="C40" s="76" t="s">
        <v>849</v>
      </c>
      <c r="D40" s="11" t="s">
        <v>29</v>
      </c>
      <c r="E40" s="31"/>
      <c r="F40" s="2">
        <v>305272</v>
      </c>
      <c r="G40" s="23"/>
      <c r="H40" s="23"/>
      <c r="I40" s="159"/>
      <c r="J40" s="160"/>
      <c r="K40" s="160"/>
      <c r="L40" s="70"/>
    </row>
    <row r="41" spans="1:12" s="2" customFormat="1" x14ac:dyDescent="0.2">
      <c r="A41" s="89">
        <v>45308</v>
      </c>
      <c r="B41" s="128" t="s">
        <v>11</v>
      </c>
      <c r="C41" s="76" t="s">
        <v>56</v>
      </c>
      <c r="D41" s="11" t="s">
        <v>29</v>
      </c>
      <c r="E41" s="31"/>
      <c r="F41" s="2">
        <v>105060</v>
      </c>
      <c r="G41" s="23"/>
      <c r="H41" s="23"/>
      <c r="I41" s="159"/>
      <c r="J41" s="160"/>
      <c r="K41" s="160"/>
      <c r="L41" s="70"/>
    </row>
    <row r="42" spans="1:12" s="2" customFormat="1" x14ac:dyDescent="0.2">
      <c r="A42" s="89">
        <v>45308</v>
      </c>
      <c r="B42" s="128" t="s">
        <v>11</v>
      </c>
      <c r="C42" s="76" t="s">
        <v>814</v>
      </c>
      <c r="D42" s="11" t="s">
        <v>29</v>
      </c>
      <c r="E42" s="31"/>
      <c r="F42" s="2">
        <v>258552</v>
      </c>
      <c r="G42" s="23"/>
      <c r="H42" s="23"/>
      <c r="I42" s="159"/>
      <c r="J42" s="160"/>
      <c r="K42" s="160"/>
      <c r="L42" s="70"/>
    </row>
    <row r="43" spans="1:12" s="2" customFormat="1" x14ac:dyDescent="0.2">
      <c r="A43" s="89">
        <v>45308</v>
      </c>
      <c r="B43" s="128" t="s">
        <v>11</v>
      </c>
      <c r="C43" s="76" t="s">
        <v>300</v>
      </c>
      <c r="D43" s="11" t="s">
        <v>29</v>
      </c>
      <c r="E43" s="31"/>
      <c r="F43" s="2">
        <v>427173</v>
      </c>
      <c r="G43" s="23"/>
      <c r="H43" s="23"/>
      <c r="I43" s="159"/>
      <c r="J43" s="160"/>
      <c r="K43" s="160"/>
      <c r="L43" s="70"/>
    </row>
    <row r="44" spans="1:12" s="2" customFormat="1" x14ac:dyDescent="0.2">
      <c r="A44" s="89">
        <v>45308</v>
      </c>
      <c r="B44" s="128" t="s">
        <v>11</v>
      </c>
      <c r="C44" s="76" t="s">
        <v>91</v>
      </c>
      <c r="D44" s="11" t="s">
        <v>29</v>
      </c>
      <c r="E44" s="31"/>
      <c r="F44" s="2">
        <v>849883</v>
      </c>
      <c r="G44" s="23"/>
      <c r="H44" s="23"/>
      <c r="I44" s="159"/>
      <c r="J44" s="160"/>
      <c r="K44" s="160"/>
      <c r="L44" s="70"/>
    </row>
    <row r="45" spans="1:12" s="2" customFormat="1" x14ac:dyDescent="0.2">
      <c r="A45" s="89">
        <v>45308</v>
      </c>
      <c r="B45" s="128" t="s">
        <v>11</v>
      </c>
      <c r="C45" s="76" t="s">
        <v>204</v>
      </c>
      <c r="D45" s="11" t="s">
        <v>29</v>
      </c>
      <c r="E45" s="31"/>
      <c r="F45" s="2">
        <v>490000</v>
      </c>
      <c r="G45" s="23"/>
      <c r="H45" s="23"/>
      <c r="I45" s="159"/>
      <c r="J45" s="160"/>
      <c r="K45" s="160"/>
      <c r="L45" s="70"/>
    </row>
    <row r="46" spans="1:12" s="2" customFormat="1" x14ac:dyDescent="0.2">
      <c r="A46" s="89">
        <v>45308</v>
      </c>
      <c r="B46" s="128" t="s">
        <v>11</v>
      </c>
      <c r="C46" s="76" t="s">
        <v>481</v>
      </c>
      <c r="D46" s="11" t="s">
        <v>29</v>
      </c>
      <c r="E46" s="31"/>
      <c r="F46" s="2">
        <v>143193</v>
      </c>
      <c r="G46" s="23"/>
      <c r="H46" s="23"/>
      <c r="I46" s="159"/>
      <c r="J46" s="160"/>
      <c r="K46" s="160"/>
      <c r="L46" s="70"/>
    </row>
    <row r="47" spans="1:12" s="2" customFormat="1" x14ac:dyDescent="0.2">
      <c r="A47" s="89">
        <v>45308</v>
      </c>
      <c r="B47" s="128" t="s">
        <v>11</v>
      </c>
      <c r="C47" s="76" t="s">
        <v>58</v>
      </c>
      <c r="D47" s="11" t="s">
        <v>29</v>
      </c>
      <c r="E47" s="31"/>
      <c r="F47" s="2">
        <v>363341</v>
      </c>
      <c r="G47" s="23"/>
      <c r="H47" s="23"/>
      <c r="I47" s="159"/>
      <c r="J47" s="160"/>
      <c r="K47" s="160"/>
      <c r="L47" s="70"/>
    </row>
    <row r="48" spans="1:12" s="2" customFormat="1" x14ac:dyDescent="0.2">
      <c r="A48" s="89">
        <v>45308</v>
      </c>
      <c r="B48" s="128" t="s">
        <v>11</v>
      </c>
      <c r="C48" s="76" t="s">
        <v>28</v>
      </c>
      <c r="D48" s="11" t="s">
        <v>29</v>
      </c>
      <c r="E48" s="31"/>
      <c r="F48" s="2">
        <v>464640</v>
      </c>
      <c r="G48" s="23"/>
      <c r="H48" s="23"/>
      <c r="I48" s="159"/>
      <c r="J48" s="160"/>
      <c r="K48" s="160"/>
      <c r="L48" s="70"/>
    </row>
    <row r="49" spans="1:15" s="2" customFormat="1" x14ac:dyDescent="0.2">
      <c r="A49" s="89">
        <v>45308</v>
      </c>
      <c r="B49" s="128" t="s">
        <v>11</v>
      </c>
      <c r="C49" s="76" t="s">
        <v>628</v>
      </c>
      <c r="D49" s="11" t="s">
        <v>29</v>
      </c>
      <c r="E49" s="31"/>
      <c r="F49" s="2">
        <v>15493</v>
      </c>
      <c r="G49" s="23"/>
      <c r="H49" s="23"/>
      <c r="I49" s="159"/>
      <c r="J49" s="160"/>
      <c r="K49" s="160"/>
      <c r="L49" s="70"/>
    </row>
    <row r="50" spans="1:15" s="2" customFormat="1" x14ac:dyDescent="0.2">
      <c r="A50" s="89">
        <v>45308</v>
      </c>
      <c r="B50" s="128" t="s">
        <v>11</v>
      </c>
      <c r="C50" s="76" t="s">
        <v>348</v>
      </c>
      <c r="D50" s="11" t="s">
        <v>29</v>
      </c>
      <c r="E50" s="31"/>
      <c r="F50" s="2">
        <v>108900</v>
      </c>
      <c r="G50" s="23"/>
      <c r="H50" s="23"/>
      <c r="I50" s="159"/>
      <c r="J50" s="160"/>
      <c r="K50" s="160"/>
      <c r="L50" s="70"/>
    </row>
    <row r="51" spans="1:15" s="2" customFormat="1" x14ac:dyDescent="0.2">
      <c r="A51" s="89">
        <v>45308</v>
      </c>
      <c r="B51" s="128" t="s">
        <v>11</v>
      </c>
      <c r="C51" s="76" t="s">
        <v>290</v>
      </c>
      <c r="D51" s="11" t="s">
        <v>29</v>
      </c>
      <c r="E51" s="31"/>
      <c r="F51" s="2">
        <v>14954</v>
      </c>
      <c r="G51" s="23"/>
      <c r="H51" s="23"/>
      <c r="I51" s="159"/>
      <c r="J51" s="160"/>
      <c r="K51" s="160"/>
      <c r="L51" s="70"/>
    </row>
    <row r="52" spans="1:15" s="2" customFormat="1" x14ac:dyDescent="0.2">
      <c r="A52" s="89">
        <v>45308</v>
      </c>
      <c r="B52" s="128" t="s">
        <v>11</v>
      </c>
      <c r="C52" s="76" t="s">
        <v>885</v>
      </c>
      <c r="D52" s="11" t="s">
        <v>29</v>
      </c>
      <c r="E52" s="31"/>
      <c r="F52" s="2">
        <v>5250</v>
      </c>
      <c r="G52" s="23"/>
      <c r="H52" s="23"/>
      <c r="I52" s="159"/>
      <c r="J52" s="160"/>
      <c r="K52" s="160"/>
      <c r="L52" s="70"/>
    </row>
    <row r="53" spans="1:15" s="2" customFormat="1" x14ac:dyDescent="0.2">
      <c r="A53" s="89">
        <v>45308</v>
      </c>
      <c r="B53" s="128" t="s">
        <v>11</v>
      </c>
      <c r="C53" s="76" t="s">
        <v>210</v>
      </c>
      <c r="D53" s="11" t="s">
        <v>29</v>
      </c>
      <c r="E53" s="31"/>
      <c r="F53" s="2">
        <v>29264</v>
      </c>
      <c r="G53" s="23"/>
      <c r="H53" s="23"/>
      <c r="I53" s="159"/>
      <c r="J53" s="160"/>
      <c r="K53" s="160"/>
      <c r="L53" s="70"/>
    </row>
    <row r="54" spans="1:15" s="2" customFormat="1" x14ac:dyDescent="0.2">
      <c r="A54" s="89">
        <v>45308</v>
      </c>
      <c r="B54" s="128" t="s">
        <v>11</v>
      </c>
      <c r="C54" s="76" t="s">
        <v>356</v>
      </c>
      <c r="D54" s="11" t="s">
        <v>29</v>
      </c>
      <c r="E54" s="31"/>
      <c r="F54" s="2">
        <v>1259784</v>
      </c>
      <c r="G54" s="23"/>
      <c r="H54" s="23"/>
      <c r="I54" s="159"/>
      <c r="J54" s="160"/>
      <c r="K54" s="160"/>
      <c r="L54" s="70"/>
    </row>
    <row r="55" spans="1:15" s="2" customFormat="1" x14ac:dyDescent="0.2">
      <c r="A55" s="89">
        <v>45308</v>
      </c>
      <c r="B55" s="128" t="s">
        <v>11</v>
      </c>
      <c r="C55" s="76" t="s">
        <v>57</v>
      </c>
      <c r="D55" s="11" t="s">
        <v>29</v>
      </c>
      <c r="E55" s="31"/>
      <c r="F55" s="2">
        <v>3500000</v>
      </c>
      <c r="G55" s="23"/>
      <c r="H55" s="23"/>
      <c r="I55" s="159"/>
      <c r="J55" s="160"/>
      <c r="K55" s="160"/>
      <c r="L55" s="70"/>
    </row>
    <row r="56" spans="1:15" s="2" customFormat="1" x14ac:dyDescent="0.2">
      <c r="A56" s="89">
        <v>45308</v>
      </c>
      <c r="B56" s="128" t="s">
        <v>11</v>
      </c>
      <c r="C56" s="76" t="s">
        <v>193</v>
      </c>
      <c r="D56" s="11" t="s">
        <v>29</v>
      </c>
      <c r="E56" s="31"/>
      <c r="F56" s="2">
        <v>1621250</v>
      </c>
      <c r="G56" s="23"/>
      <c r="H56" s="23"/>
      <c r="I56" s="159"/>
      <c r="J56" s="160"/>
      <c r="K56" s="160"/>
      <c r="L56" s="70"/>
    </row>
    <row r="57" spans="1:15" s="2" customFormat="1" x14ac:dyDescent="0.2">
      <c r="A57" s="89">
        <v>45308</v>
      </c>
      <c r="B57" s="128" t="s">
        <v>11</v>
      </c>
      <c r="C57" s="76" t="s">
        <v>745</v>
      </c>
      <c r="D57" s="11" t="s">
        <v>29</v>
      </c>
      <c r="E57" s="31"/>
      <c r="F57" s="2">
        <v>1542529</v>
      </c>
      <c r="G57" s="23"/>
      <c r="H57" s="23"/>
      <c r="I57" s="159"/>
      <c r="J57" s="160"/>
      <c r="K57" s="160"/>
      <c r="L57" s="70"/>
    </row>
    <row r="58" spans="1:15" s="2" customFormat="1" x14ac:dyDescent="0.2">
      <c r="A58" s="89">
        <v>45308</v>
      </c>
      <c r="B58" s="128" t="s">
        <v>11</v>
      </c>
      <c r="C58" s="76" t="s">
        <v>194</v>
      </c>
      <c r="D58" s="11" t="s">
        <v>29</v>
      </c>
      <c r="E58" s="31"/>
      <c r="F58" s="2">
        <v>2551103</v>
      </c>
      <c r="G58" s="23"/>
      <c r="H58" s="23"/>
      <c r="I58" s="159"/>
      <c r="J58" s="160"/>
      <c r="K58" s="160"/>
      <c r="L58" s="70"/>
    </row>
    <row r="59" spans="1:15" s="2" customFormat="1" x14ac:dyDescent="0.2">
      <c r="A59" s="89">
        <v>45308</v>
      </c>
      <c r="B59" s="128" t="s">
        <v>11</v>
      </c>
      <c r="C59" s="76" t="s">
        <v>790</v>
      </c>
      <c r="D59" s="11" t="s">
        <v>29</v>
      </c>
      <c r="E59" s="31"/>
      <c r="F59" s="2">
        <v>1475456</v>
      </c>
      <c r="G59" s="23"/>
      <c r="H59" s="23"/>
      <c r="I59" s="159"/>
      <c r="J59" s="160"/>
      <c r="K59" s="160"/>
      <c r="L59" s="70"/>
    </row>
    <row r="60" spans="1:15" s="2" customFormat="1" x14ac:dyDescent="0.2">
      <c r="A60" s="89">
        <v>45308</v>
      </c>
      <c r="B60" s="128" t="s">
        <v>11</v>
      </c>
      <c r="C60" s="76" t="s">
        <v>40</v>
      </c>
      <c r="D60" s="11" t="s">
        <v>29</v>
      </c>
      <c r="E60" s="31"/>
      <c r="F60" s="2">
        <v>176623</v>
      </c>
      <c r="G60" s="23"/>
      <c r="H60" s="23"/>
      <c r="I60" s="159"/>
      <c r="J60" s="160"/>
      <c r="K60" s="160"/>
      <c r="L60" s="70"/>
    </row>
    <row r="61" spans="1:15" s="2" customFormat="1" x14ac:dyDescent="0.2">
      <c r="A61" s="32"/>
      <c r="B61" s="33"/>
      <c r="C61" s="14"/>
      <c r="D61" s="34"/>
      <c r="E61" s="16">
        <f>SUM(E21:E60)</f>
        <v>10173949.199999999</v>
      </c>
      <c r="F61" s="16">
        <f>SUM(F21:F60)</f>
        <v>97236514.759999961</v>
      </c>
      <c r="G61" s="1"/>
      <c r="H61" s="1"/>
      <c r="I61" s="1"/>
      <c r="J61" s="38">
        <v>87062565.560000002</v>
      </c>
      <c r="L61" s="92">
        <f>E62-J61</f>
        <v>0</v>
      </c>
      <c r="O61" s="1"/>
    </row>
    <row r="62" spans="1:15" s="2" customFormat="1" x14ac:dyDescent="0.2">
      <c r="A62" s="36"/>
      <c r="B62" s="28" t="s">
        <v>11</v>
      </c>
      <c r="C62" s="19" t="s">
        <v>65</v>
      </c>
      <c r="D62" s="37"/>
      <c r="E62" s="38">
        <f>F61-E61</f>
        <v>87062565.559999958</v>
      </c>
      <c r="F62" s="22"/>
      <c r="G62" s="1"/>
      <c r="H62" s="1"/>
      <c r="I62" s="1"/>
      <c r="J62" s="70"/>
      <c r="K62" s="70"/>
      <c r="L62" s="70"/>
      <c r="O62" s="1"/>
    </row>
    <row r="63" spans="1:15" s="2" customFormat="1" x14ac:dyDescent="0.2">
      <c r="A63" s="36"/>
      <c r="B63" s="28" t="s">
        <v>66</v>
      </c>
      <c r="C63" s="19" t="s">
        <v>67</v>
      </c>
      <c r="D63" s="37"/>
      <c r="E63" s="38">
        <v>11500000</v>
      </c>
      <c r="F63" s="22"/>
      <c r="G63" s="1"/>
      <c r="H63" s="1"/>
      <c r="I63" s="70"/>
      <c r="J63" s="70"/>
      <c r="K63" s="70"/>
      <c r="L63" s="70"/>
      <c r="O63" s="1"/>
    </row>
    <row r="64" spans="1:15" s="2" customFormat="1" x14ac:dyDescent="0.2">
      <c r="A64" s="36"/>
      <c r="B64" s="28" t="s">
        <v>66</v>
      </c>
      <c r="C64" s="43" t="s">
        <v>1457</v>
      </c>
      <c r="D64" s="43"/>
      <c r="E64" s="12">
        <v>400000000</v>
      </c>
      <c r="F64" s="22"/>
      <c r="G64" s="1"/>
      <c r="H64" s="1"/>
      <c r="I64" s="70"/>
      <c r="J64" s="45">
        <v>817.81</v>
      </c>
      <c r="K64" s="46"/>
      <c r="L64" s="46"/>
      <c r="O64" s="1"/>
    </row>
    <row r="65" spans="1:15" s="2" customFormat="1" ht="15" x14ac:dyDescent="0.25">
      <c r="A65" s="36"/>
      <c r="B65" s="28"/>
      <c r="C65" s="44" t="s">
        <v>1541</v>
      </c>
      <c r="D65" s="43"/>
      <c r="E65" s="7">
        <f>+E64+E62+E63</f>
        <v>498562565.55999994</v>
      </c>
      <c r="F65" s="22"/>
      <c r="G65" s="1"/>
      <c r="H65" s="1"/>
      <c r="I65" s="103" t="s">
        <v>69</v>
      </c>
      <c r="J65" s="45">
        <v>-54.36</v>
      </c>
      <c r="K65" s="46"/>
      <c r="L65" s="46"/>
      <c r="O65" s="1"/>
    </row>
    <row r="66" spans="1:15" s="2" customFormat="1" ht="15" x14ac:dyDescent="0.25">
      <c r="A66" s="24"/>
      <c r="B66" s="1"/>
      <c r="C66" s="44" t="s">
        <v>1510</v>
      </c>
      <c r="D66" s="25"/>
      <c r="E66" s="156">
        <f>+J21-E63+I17-J17</f>
        <v>1437434.4400000013</v>
      </c>
      <c r="G66" s="1"/>
      <c r="H66" s="1"/>
      <c r="I66" s="35">
        <v>1</v>
      </c>
      <c r="J66" s="45">
        <v>29.99</v>
      </c>
      <c r="K66" s="46">
        <f>+J67-D69</f>
        <v>0</v>
      </c>
      <c r="O66" s="1"/>
    </row>
    <row r="67" spans="1:15" s="124" customFormat="1" ht="12.75" customHeight="1" x14ac:dyDescent="0.2">
      <c r="A67" s="24"/>
      <c r="B67" s="1"/>
      <c r="C67" s="56"/>
      <c r="D67" s="56"/>
      <c r="E67" s="104"/>
      <c r="F67" s="2"/>
      <c r="G67" s="166"/>
      <c r="H67" s="166"/>
      <c r="I67" s="70"/>
      <c r="J67" s="49">
        <f>SUM(J64:J66)</f>
        <v>793.43999999999994</v>
      </c>
      <c r="K67" s="46"/>
      <c r="L67" s="46"/>
    </row>
    <row r="68" spans="1:15" s="124" customFormat="1" ht="12.75" customHeight="1" x14ac:dyDescent="0.2">
      <c r="A68" s="24"/>
      <c r="B68" s="1"/>
      <c r="C68" s="78" t="s">
        <v>575</v>
      </c>
      <c r="D68" s="48" t="s">
        <v>576</v>
      </c>
      <c r="E68" s="104"/>
      <c r="F68" s="2"/>
      <c r="G68" s="168"/>
      <c r="H68" s="168"/>
      <c r="I68" s="167"/>
      <c r="J68" s="167"/>
      <c r="K68" s="168"/>
    </row>
    <row r="69" spans="1:15" s="124" customFormat="1" ht="12.75" customHeight="1" x14ac:dyDescent="0.2">
      <c r="A69" s="24"/>
      <c r="B69" s="1"/>
      <c r="C69" s="47" t="s">
        <v>570</v>
      </c>
      <c r="D69" s="111">
        <v>793.44</v>
      </c>
      <c r="E69" s="104"/>
      <c r="F69" s="2"/>
      <c r="G69" s="168"/>
      <c r="H69" s="168"/>
      <c r="I69" s="110" t="s">
        <v>581</v>
      </c>
      <c r="J69" s="167"/>
      <c r="K69" s="168"/>
    </row>
    <row r="70" spans="1:15" s="124" customFormat="1" ht="12.75" customHeight="1" x14ac:dyDescent="0.2">
      <c r="A70" s="24"/>
      <c r="B70" s="1"/>
      <c r="C70" s="47" t="s">
        <v>931</v>
      </c>
      <c r="D70" s="111">
        <v>109.46</v>
      </c>
      <c r="E70" s="104"/>
      <c r="F70" s="2"/>
      <c r="G70" s="168"/>
      <c r="H70" s="168"/>
      <c r="I70" s="110" t="s">
        <v>580</v>
      </c>
      <c r="J70" s="167"/>
      <c r="K70" s="168"/>
    </row>
    <row r="71" spans="1:15" s="124" customFormat="1" ht="12.75" customHeight="1" x14ac:dyDescent="0.2">
      <c r="A71" s="24"/>
      <c r="B71" s="1"/>
      <c r="C71" s="47" t="s">
        <v>572</v>
      </c>
      <c r="D71" s="111">
        <f>+D104/100000</f>
        <v>410.80022340000005</v>
      </c>
      <c r="E71" s="104"/>
      <c r="F71" s="2"/>
      <c r="G71" s="166"/>
      <c r="H71" s="166"/>
      <c r="I71" s="90" t="s">
        <v>587</v>
      </c>
      <c r="J71" s="167"/>
      <c r="K71" s="168"/>
    </row>
    <row r="72" spans="1:15" s="2" customFormat="1" x14ac:dyDescent="0.2">
      <c r="A72" s="24"/>
      <c r="B72" s="1"/>
      <c r="C72" s="108" t="s">
        <v>578</v>
      </c>
      <c r="D72" s="48">
        <f>SUM(D69:D71)</f>
        <v>1313.7002234000001</v>
      </c>
      <c r="E72" s="104"/>
      <c r="G72" s="30"/>
      <c r="H72" s="30"/>
      <c r="J72" s="13"/>
      <c r="K72" s="13"/>
    </row>
    <row r="73" spans="1:15" s="70" customFormat="1" x14ac:dyDescent="0.2">
      <c r="A73" s="24"/>
      <c r="B73" s="1"/>
      <c r="C73" s="47"/>
      <c r="D73" s="107"/>
      <c r="E73" s="104"/>
      <c r="F73" s="2"/>
      <c r="G73" s="30"/>
      <c r="H73" s="30"/>
      <c r="I73" s="2"/>
    </row>
    <row r="74" spans="1:15" s="70" customFormat="1" x14ac:dyDescent="0.2">
      <c r="A74" s="24"/>
      <c r="B74" s="1"/>
      <c r="C74" s="47" t="s">
        <v>932</v>
      </c>
      <c r="D74" s="111">
        <v>217.78</v>
      </c>
      <c r="E74" s="104"/>
      <c r="F74" s="2"/>
      <c r="G74" s="30"/>
      <c r="H74" s="30"/>
      <c r="I74" s="110" t="s">
        <v>581</v>
      </c>
    </row>
    <row r="75" spans="1:15" s="70" customFormat="1" x14ac:dyDescent="0.2">
      <c r="A75" s="24"/>
      <c r="B75" s="1"/>
      <c r="C75" s="136" t="s">
        <v>1142</v>
      </c>
      <c r="D75" s="111">
        <v>784.47</v>
      </c>
      <c r="E75" s="104"/>
      <c r="F75" s="2"/>
      <c r="G75" s="30"/>
      <c r="H75" s="30"/>
      <c r="I75" s="110" t="s">
        <v>581</v>
      </c>
    </row>
    <row r="76" spans="1:15" s="70" customFormat="1" x14ac:dyDescent="0.2">
      <c r="A76" s="24"/>
      <c r="B76" s="1"/>
      <c r="C76" s="78" t="s">
        <v>579</v>
      </c>
      <c r="D76" s="109">
        <f>D74+D75</f>
        <v>1002.25</v>
      </c>
      <c r="E76" s="104"/>
      <c r="F76" s="2"/>
      <c r="G76" s="30"/>
      <c r="H76" s="30"/>
    </row>
    <row r="77" spans="1:15" s="70" customFormat="1" x14ac:dyDescent="0.2">
      <c r="A77" s="24"/>
      <c r="B77" s="1"/>
      <c r="C77" s="105"/>
      <c r="D77" s="106"/>
      <c r="E77" s="104"/>
      <c r="F77" s="2"/>
      <c r="G77" s="30"/>
      <c r="H77" s="30"/>
      <c r="J77" s="2"/>
      <c r="K77" s="221" t="str">
        <f>"FROM ( 01-01-2024 to "&amp;TEXT(A5,"dd-mm-yyyy")&amp;" )"</f>
        <v>FROM ( 01-01-2024 to 17-01-2024 )</v>
      </c>
      <c r="L77" s="221"/>
      <c r="M77" s="2"/>
      <c r="N77" s="2"/>
    </row>
    <row r="78" spans="1:15" s="70" customFormat="1" x14ac:dyDescent="0.2">
      <c r="A78" s="24"/>
      <c r="B78" s="1"/>
      <c r="C78" s="78" t="s">
        <v>577</v>
      </c>
      <c r="D78" s="109">
        <f>D69+D76</f>
        <v>1795.69</v>
      </c>
      <c r="E78" s="104"/>
      <c r="F78" s="2"/>
      <c r="G78" s="30"/>
      <c r="H78" s="30"/>
      <c r="J78" s="113"/>
      <c r="K78" s="113" t="s">
        <v>709</v>
      </c>
      <c r="L78" s="113" t="s">
        <v>710</v>
      </c>
      <c r="M78" s="113" t="s">
        <v>711</v>
      </c>
      <c r="N78" s="113" t="s">
        <v>712</v>
      </c>
    </row>
    <row r="79" spans="1:15" s="70" customFormat="1" x14ac:dyDescent="0.2">
      <c r="A79" s="24"/>
      <c r="B79" s="1"/>
      <c r="C79" s="56"/>
      <c r="D79" s="56"/>
      <c r="E79" s="104"/>
      <c r="F79" s="2"/>
      <c r="G79" s="30"/>
      <c r="H79" s="30"/>
      <c r="J79" s="113" t="s">
        <v>1860</v>
      </c>
      <c r="K79" s="115">
        <v>189.89</v>
      </c>
      <c r="L79" s="115">
        <v>56.31</v>
      </c>
      <c r="M79" s="115">
        <v>58.41</v>
      </c>
      <c r="N79" s="113">
        <f>+K79+M79-L79</f>
        <v>191.98999999999998</v>
      </c>
    </row>
    <row r="80" spans="1:15" s="70" customFormat="1" ht="38.25" x14ac:dyDescent="0.2">
      <c r="A80" s="24"/>
      <c r="B80" s="1"/>
      <c r="C80" s="79" t="str">
        <f>"Particulars ( 01-01-2024 to "&amp;TEXT(A5,"dd-mm-yyyy")&amp;" )"</f>
        <v>Particulars ( 01-01-2024 to 17-01-2024 )</v>
      </c>
      <c r="D80" s="79" t="s">
        <v>7</v>
      </c>
      <c r="E80" s="80" t="s">
        <v>73</v>
      </c>
      <c r="F80" s="80" t="s">
        <v>74</v>
      </c>
      <c r="G80" s="81" t="s">
        <v>75</v>
      </c>
      <c r="H80" s="80" t="s">
        <v>76</v>
      </c>
      <c r="J80" s="113" t="s">
        <v>1861</v>
      </c>
      <c r="K80" s="115">
        <v>1670.5</v>
      </c>
      <c r="L80" s="115">
        <v>410.8</v>
      </c>
      <c r="M80" s="115">
        <v>782.37</v>
      </c>
      <c r="N80" s="113">
        <f>+K80+M80-L80</f>
        <v>2042.07</v>
      </c>
    </row>
    <row r="81" spans="1:15" s="70" customFormat="1" x14ac:dyDescent="0.2">
      <c r="A81" s="24"/>
      <c r="B81" s="1"/>
      <c r="C81" s="50" t="s">
        <v>444</v>
      </c>
      <c r="D81" s="55">
        <f>+K81</f>
        <v>140.88</v>
      </c>
      <c r="E81" s="55">
        <f>+M81</f>
        <v>217.78</v>
      </c>
      <c r="F81" s="55">
        <f>+L81</f>
        <v>109.46</v>
      </c>
      <c r="G81" s="55">
        <f>+D81+E81-F81</f>
        <v>249.2</v>
      </c>
      <c r="H81" s="55">
        <f>1500-G81</f>
        <v>1250.8</v>
      </c>
      <c r="J81" s="113" t="s">
        <v>707</v>
      </c>
      <c r="K81" s="115">
        <v>140.88</v>
      </c>
      <c r="L81" s="115">
        <v>109.46</v>
      </c>
      <c r="M81" s="115">
        <v>217.78</v>
      </c>
      <c r="N81" s="113">
        <f>+K81+M81-L81</f>
        <v>249.2</v>
      </c>
    </row>
    <row r="82" spans="1:15" s="70" customFormat="1" ht="12.75" customHeight="1" x14ac:dyDescent="0.2">
      <c r="A82" s="24"/>
      <c r="B82" s="1"/>
      <c r="C82" s="50" t="s">
        <v>71</v>
      </c>
      <c r="D82" s="55">
        <f>+K79+K80</f>
        <v>1860.3899999999999</v>
      </c>
      <c r="E82" s="55">
        <f>+M79+M80</f>
        <v>840.78</v>
      </c>
      <c r="F82" s="55">
        <f>+L79+L80</f>
        <v>467.11</v>
      </c>
      <c r="G82" s="55">
        <f>+D82+E82-F82</f>
        <v>2234.06</v>
      </c>
      <c r="H82" s="55">
        <f>1500+700+200-G82</f>
        <v>165.94000000000005</v>
      </c>
      <c r="J82" s="2"/>
      <c r="K82" s="118">
        <f>SUM(K79:K81)</f>
        <v>2001.27</v>
      </c>
      <c r="L82" s="118">
        <f>SUM(L79:L81)</f>
        <v>576.57000000000005</v>
      </c>
      <c r="M82" s="118">
        <f>SUM(M79:M81)</f>
        <v>1058.56</v>
      </c>
      <c r="N82" s="118">
        <f>SUM(N79:N81)</f>
        <v>2483.2599999999998</v>
      </c>
    </row>
    <row r="83" spans="1:15" s="70" customFormat="1" ht="12.75" customHeight="1" x14ac:dyDescent="0.2">
      <c r="A83" s="24"/>
      <c r="B83" s="1"/>
      <c r="C83" s="14"/>
      <c r="D83" s="56"/>
      <c r="E83" s="13"/>
      <c r="F83" s="2"/>
      <c r="G83" s="30"/>
      <c r="H83" s="30"/>
    </row>
    <row r="84" spans="1:15" s="70" customFormat="1" ht="12.75" customHeight="1" x14ac:dyDescent="0.2">
      <c r="A84" s="215" t="s">
        <v>80</v>
      </c>
      <c r="B84" s="216"/>
      <c r="C84" s="216"/>
      <c r="D84" s="217"/>
      <c r="E84" s="69"/>
      <c r="G84" s="30"/>
      <c r="H84" s="30"/>
    </row>
    <row r="85" spans="1:15" s="70" customFormat="1" ht="12.75" customHeight="1" x14ac:dyDescent="0.2">
      <c r="A85" s="71" t="s">
        <v>81</v>
      </c>
      <c r="B85" s="71"/>
      <c r="C85" s="72" t="s">
        <v>82</v>
      </c>
      <c r="D85" s="73" t="s">
        <v>83</v>
      </c>
      <c r="E85" s="69"/>
      <c r="G85" s="30"/>
      <c r="H85" s="30"/>
    </row>
    <row r="86" spans="1:15" s="70" customFormat="1" ht="12.75" customHeight="1" x14ac:dyDescent="0.2">
      <c r="A86" s="87">
        <v>45292</v>
      </c>
      <c r="B86" s="120" t="s">
        <v>6</v>
      </c>
      <c r="C86" s="75" t="s">
        <v>1933</v>
      </c>
      <c r="D86" s="88">
        <v>7583470</v>
      </c>
      <c r="E86" s="2"/>
      <c r="F86" s="2"/>
      <c r="G86" s="30"/>
      <c r="H86" s="30"/>
      <c r="I86" s="2"/>
      <c r="J86" s="2"/>
      <c r="K86" s="2"/>
      <c r="L86" s="2"/>
      <c r="M86" s="41"/>
      <c r="N86" s="42"/>
      <c r="O86" s="2"/>
    </row>
    <row r="87" spans="1:15" s="70" customFormat="1" ht="12.75" customHeight="1" x14ac:dyDescent="0.2">
      <c r="A87" s="87">
        <v>45293</v>
      </c>
      <c r="B87" s="120" t="s">
        <v>6</v>
      </c>
      <c r="C87" s="75" t="s">
        <v>1934</v>
      </c>
      <c r="D87" s="88">
        <v>124988</v>
      </c>
      <c r="E87" s="2"/>
      <c r="F87" s="2"/>
      <c r="G87" s="30"/>
      <c r="H87" s="30"/>
      <c r="I87" s="2"/>
      <c r="J87" s="2"/>
      <c r="K87" s="2"/>
      <c r="L87" s="2"/>
      <c r="M87" s="41"/>
      <c r="N87" s="42"/>
      <c r="O87" s="2"/>
    </row>
    <row r="88" spans="1:15" s="70" customFormat="1" ht="12.75" customHeight="1" x14ac:dyDescent="0.2">
      <c r="A88" s="87">
        <v>45294</v>
      </c>
      <c r="B88" s="120" t="s">
        <v>6</v>
      </c>
      <c r="C88" s="75" t="s">
        <v>606</v>
      </c>
      <c r="D88" s="88">
        <v>260191</v>
      </c>
      <c r="E88" s="2"/>
      <c r="F88" s="2"/>
      <c r="G88" s="30"/>
      <c r="H88" s="30"/>
      <c r="I88" s="2"/>
      <c r="J88" s="2"/>
      <c r="K88" s="2"/>
      <c r="L88" s="2"/>
      <c r="M88" s="41"/>
      <c r="N88" s="42"/>
      <c r="O88" s="2"/>
    </row>
    <row r="89" spans="1:15" s="70" customFormat="1" ht="12.75" customHeight="1" x14ac:dyDescent="0.2">
      <c r="A89" s="87">
        <v>45294</v>
      </c>
      <c r="B89" s="120" t="s">
        <v>6</v>
      </c>
      <c r="C89" s="75" t="s">
        <v>888</v>
      </c>
      <c r="D89" s="88">
        <v>2431991.34</v>
      </c>
      <c r="E89" s="2"/>
      <c r="F89" s="2"/>
      <c r="G89" s="30"/>
      <c r="H89" s="30"/>
      <c r="I89" s="2"/>
      <c r="J89" s="2"/>
      <c r="K89" s="2"/>
      <c r="L89" s="2"/>
      <c r="M89" s="41"/>
      <c r="N89" s="42"/>
      <c r="O89" s="2"/>
    </row>
    <row r="90" spans="1:15" s="70" customFormat="1" ht="12.75" customHeight="1" x14ac:dyDescent="0.2">
      <c r="A90" s="87">
        <v>45295</v>
      </c>
      <c r="B90" s="120" t="s">
        <v>6</v>
      </c>
      <c r="C90" s="75" t="s">
        <v>1944</v>
      </c>
      <c r="D90" s="88">
        <v>23655</v>
      </c>
      <c r="E90" s="2"/>
      <c r="F90" s="2"/>
      <c r="G90" s="30"/>
      <c r="H90" s="30"/>
      <c r="I90" s="2"/>
      <c r="J90" s="2"/>
      <c r="K90" s="2"/>
      <c r="L90" s="2"/>
      <c r="M90" s="41"/>
      <c r="N90" s="42"/>
      <c r="O90" s="2"/>
    </row>
    <row r="91" spans="1:15" s="70" customFormat="1" ht="12.75" customHeight="1" x14ac:dyDescent="0.2">
      <c r="A91" s="87">
        <v>45295</v>
      </c>
      <c r="B91" s="120" t="s">
        <v>6</v>
      </c>
      <c r="C91" s="75" t="s">
        <v>1944</v>
      </c>
      <c r="D91" s="88">
        <v>321576</v>
      </c>
      <c r="E91" s="2"/>
      <c r="F91" s="2"/>
      <c r="G91" s="30"/>
      <c r="H91" s="30"/>
      <c r="I91" s="2"/>
      <c r="J91" s="2"/>
      <c r="K91" s="2"/>
      <c r="L91" s="2"/>
      <c r="M91" s="41"/>
      <c r="N91" s="42"/>
      <c r="O91" s="2"/>
    </row>
    <row r="92" spans="1:15" s="70" customFormat="1" ht="12.75" customHeight="1" x14ac:dyDescent="0.2">
      <c r="A92" s="87">
        <v>45295</v>
      </c>
      <c r="B92" s="120" t="s">
        <v>6</v>
      </c>
      <c r="C92" s="75" t="s">
        <v>1944</v>
      </c>
      <c r="D92" s="88">
        <v>430832</v>
      </c>
      <c r="E92" s="2"/>
      <c r="F92" s="2"/>
      <c r="G92" s="30"/>
      <c r="H92" s="30"/>
      <c r="I92" s="2"/>
      <c r="J92" s="2"/>
      <c r="K92" s="2"/>
      <c r="L92" s="2"/>
      <c r="M92" s="41"/>
      <c r="N92" s="42"/>
      <c r="O92" s="2"/>
    </row>
    <row r="93" spans="1:15" s="70" customFormat="1" ht="12.75" customHeight="1" x14ac:dyDescent="0.2">
      <c r="A93" s="87">
        <v>45295</v>
      </c>
      <c r="B93" s="120" t="s">
        <v>6</v>
      </c>
      <c r="C93" s="75" t="s">
        <v>1934</v>
      </c>
      <c r="D93" s="88">
        <v>892589</v>
      </c>
      <c r="E93" s="2"/>
      <c r="F93" s="2"/>
      <c r="G93" s="30"/>
      <c r="H93" s="30"/>
      <c r="I93" s="2"/>
      <c r="J93" s="2"/>
      <c r="K93" s="2"/>
      <c r="L93" s="2"/>
      <c r="M93" s="41"/>
      <c r="N93" s="42"/>
      <c r="O93" s="2"/>
    </row>
    <row r="94" spans="1:15" s="70" customFormat="1" ht="12.75" customHeight="1" x14ac:dyDescent="0.2">
      <c r="A94" s="87">
        <v>45299</v>
      </c>
      <c r="B94" s="120" t="s">
        <v>6</v>
      </c>
      <c r="C94" s="75" t="s">
        <v>1933</v>
      </c>
      <c r="D94" s="88">
        <v>8143487</v>
      </c>
      <c r="E94" s="2"/>
      <c r="F94" s="2"/>
      <c r="G94" s="30"/>
      <c r="H94" s="30"/>
      <c r="I94" s="2"/>
      <c r="J94" s="2"/>
      <c r="K94" s="2"/>
      <c r="L94" s="2"/>
      <c r="M94" s="41"/>
      <c r="N94" s="42"/>
      <c r="O94" s="2"/>
    </row>
    <row r="95" spans="1:15" s="70" customFormat="1" ht="12.75" customHeight="1" x14ac:dyDescent="0.2">
      <c r="A95" s="87">
        <v>45299</v>
      </c>
      <c r="B95" s="120" t="s">
        <v>6</v>
      </c>
      <c r="C95" s="75" t="s">
        <v>606</v>
      </c>
      <c r="D95" s="88">
        <v>487316</v>
      </c>
      <c r="E95" s="2"/>
      <c r="F95" s="2"/>
      <c r="G95" s="30"/>
      <c r="H95" s="30"/>
      <c r="I95" s="2"/>
      <c r="J95" s="2"/>
      <c r="K95" s="2"/>
      <c r="L95" s="2"/>
      <c r="M95" s="41"/>
      <c r="N95" s="42"/>
      <c r="O95" s="2"/>
    </row>
    <row r="96" spans="1:15" s="70" customFormat="1" ht="12.75" customHeight="1" x14ac:dyDescent="0.2">
      <c r="A96" s="87">
        <v>45301</v>
      </c>
      <c r="B96" s="120" t="s">
        <v>6</v>
      </c>
      <c r="C96" s="75" t="s">
        <v>1933</v>
      </c>
      <c r="D96" s="88">
        <v>2690</v>
      </c>
      <c r="E96" s="2"/>
      <c r="F96" s="2"/>
      <c r="G96" s="30"/>
      <c r="H96" s="30"/>
      <c r="I96" s="2"/>
      <c r="J96" s="2"/>
      <c r="K96" s="2"/>
      <c r="L96" s="2"/>
      <c r="M96" s="41"/>
      <c r="N96" s="42"/>
      <c r="O96" s="2"/>
    </row>
    <row r="97" spans="1:15" s="70" customFormat="1" ht="12.75" customHeight="1" x14ac:dyDescent="0.2">
      <c r="A97" s="87">
        <v>45301</v>
      </c>
      <c r="B97" s="120" t="s">
        <v>6</v>
      </c>
      <c r="C97" s="75" t="s">
        <v>1933</v>
      </c>
      <c r="D97" s="88">
        <v>2133516</v>
      </c>
      <c r="E97" s="2"/>
      <c r="F97" s="2"/>
      <c r="G97" s="30"/>
      <c r="H97" s="30"/>
      <c r="I97" s="2"/>
      <c r="J97" s="2"/>
      <c r="K97" s="2"/>
      <c r="L97" s="2"/>
      <c r="M97" s="41"/>
      <c r="N97" s="42"/>
      <c r="O97" s="2"/>
    </row>
    <row r="98" spans="1:15" s="70" customFormat="1" ht="12.75" customHeight="1" x14ac:dyDescent="0.2">
      <c r="A98" s="87">
        <v>45302</v>
      </c>
      <c r="B98" s="120" t="s">
        <v>6</v>
      </c>
      <c r="C98" s="75" t="s">
        <v>1084</v>
      </c>
      <c r="D98" s="88">
        <v>3000000</v>
      </c>
      <c r="E98" s="2"/>
      <c r="F98" s="2"/>
      <c r="G98" s="30"/>
      <c r="H98" s="30"/>
      <c r="I98" s="2"/>
      <c r="J98" s="2"/>
      <c r="K98" s="2"/>
      <c r="L98" s="2"/>
      <c r="M98" s="41"/>
      <c r="N98" s="42"/>
      <c r="O98" s="2"/>
    </row>
    <row r="99" spans="1:15" s="70" customFormat="1" ht="12.75" customHeight="1" x14ac:dyDescent="0.2">
      <c r="A99" s="87">
        <v>45303</v>
      </c>
      <c r="B99" s="120" t="s">
        <v>6</v>
      </c>
      <c r="C99" s="75" t="s">
        <v>1933</v>
      </c>
      <c r="D99" s="88">
        <v>5893097</v>
      </c>
      <c r="E99" s="2"/>
      <c r="F99" s="2"/>
      <c r="G99" s="30"/>
      <c r="H99" s="30"/>
      <c r="I99" s="2"/>
      <c r="J99" s="2"/>
      <c r="K99" s="2"/>
      <c r="L99" s="2"/>
      <c r="M99" s="41"/>
      <c r="N99" s="42"/>
      <c r="O99" s="2"/>
    </row>
    <row r="100" spans="1:15" s="70" customFormat="1" ht="12.75" customHeight="1" x14ac:dyDescent="0.2">
      <c r="A100" s="87">
        <v>45303</v>
      </c>
      <c r="B100" s="120" t="s">
        <v>6</v>
      </c>
      <c r="C100" s="75" t="s">
        <v>1977</v>
      </c>
      <c r="D100" s="88">
        <v>500000</v>
      </c>
      <c r="E100" s="2"/>
      <c r="F100" s="2"/>
      <c r="G100" s="30"/>
      <c r="H100" s="30"/>
      <c r="I100" s="2"/>
      <c r="J100" s="2"/>
      <c r="K100" s="2"/>
      <c r="L100" s="2"/>
      <c r="M100" s="41"/>
      <c r="N100" s="42"/>
      <c r="O100" s="2"/>
    </row>
    <row r="101" spans="1:15" s="70" customFormat="1" ht="12.75" customHeight="1" x14ac:dyDescent="0.2">
      <c r="A101" s="87">
        <v>45307</v>
      </c>
      <c r="B101" s="120" t="s">
        <v>6</v>
      </c>
      <c r="C101" s="75" t="s">
        <v>1933</v>
      </c>
      <c r="D101" s="88">
        <v>3572610</v>
      </c>
      <c r="E101" s="2"/>
      <c r="F101" s="2"/>
      <c r="G101" s="30"/>
      <c r="H101" s="30"/>
      <c r="I101" s="2"/>
      <c r="J101" s="2"/>
      <c r="K101" s="2"/>
      <c r="L101" s="2"/>
      <c r="M101" s="41"/>
      <c r="N101" s="42"/>
      <c r="O101" s="2"/>
    </row>
    <row r="102" spans="1:15" s="70" customFormat="1" ht="12.75" customHeight="1" x14ac:dyDescent="0.2">
      <c r="A102" s="87">
        <v>45307</v>
      </c>
      <c r="B102" s="120" t="s">
        <v>6</v>
      </c>
      <c r="C102" s="75" t="s">
        <v>1944</v>
      </c>
      <c r="D102" s="88">
        <v>4109147</v>
      </c>
      <c r="E102" s="2"/>
      <c r="F102" s="2"/>
      <c r="G102" s="30"/>
      <c r="H102" s="30"/>
      <c r="I102" s="2"/>
      <c r="J102" s="2"/>
      <c r="K102" s="2"/>
      <c r="L102" s="2"/>
      <c r="M102" s="41"/>
      <c r="N102" s="42"/>
      <c r="O102" s="2"/>
    </row>
    <row r="103" spans="1:15" s="70" customFormat="1" ht="12.75" customHeight="1" x14ac:dyDescent="0.2">
      <c r="A103" s="87">
        <v>45307</v>
      </c>
      <c r="B103" s="120" t="s">
        <v>6</v>
      </c>
      <c r="C103" s="75" t="s">
        <v>1944</v>
      </c>
      <c r="D103" s="88">
        <v>1168867</v>
      </c>
      <c r="E103" s="2"/>
      <c r="F103" s="2"/>
      <c r="G103" s="30"/>
      <c r="H103" s="30"/>
      <c r="I103" s="2"/>
      <c r="J103" s="2"/>
      <c r="K103" s="2"/>
      <c r="L103" s="2"/>
      <c r="M103" s="41"/>
      <c r="N103" s="42"/>
      <c r="O103" s="2"/>
    </row>
    <row r="104" spans="1:15" s="2" customFormat="1" x14ac:dyDescent="0.2">
      <c r="A104" s="87"/>
      <c r="B104" s="74"/>
      <c r="C104" s="75"/>
      <c r="D104" s="51">
        <f>SUM(D86:D103)</f>
        <v>41080022.340000004</v>
      </c>
      <c r="F104" s="2" t="s">
        <v>396</v>
      </c>
      <c r="G104" s="1"/>
      <c r="H104" s="1"/>
    </row>
    <row r="105" spans="1:15" s="2" customFormat="1" x14ac:dyDescent="0.2">
      <c r="A105" s="24"/>
      <c r="B105" s="1"/>
      <c r="C105" s="14"/>
      <c r="D105" s="56"/>
      <c r="E105" s="13"/>
      <c r="G105" s="1"/>
      <c r="H105" s="1"/>
    </row>
    <row r="106" spans="1:15" s="2" customFormat="1" x14ac:dyDescent="0.2">
      <c r="A106" s="24"/>
      <c r="B106" s="1"/>
      <c r="C106" s="218" t="s">
        <v>77</v>
      </c>
      <c r="D106" s="219"/>
      <c r="E106" s="219"/>
      <c r="F106" s="220"/>
      <c r="I106" s="2" t="s">
        <v>396</v>
      </c>
    </row>
    <row r="107" spans="1:15" s="2" customFormat="1" x14ac:dyDescent="0.2">
      <c r="A107" s="24"/>
      <c r="B107" s="1"/>
      <c r="C107" s="50"/>
      <c r="D107" s="57" t="s">
        <v>78</v>
      </c>
      <c r="E107" s="58" t="s">
        <v>79</v>
      </c>
      <c r="F107" s="57" t="s">
        <v>72</v>
      </c>
      <c r="I107" s="2" t="s">
        <v>396</v>
      </c>
    </row>
    <row r="108" spans="1:15" s="2" customFormat="1" x14ac:dyDescent="0.2">
      <c r="A108" s="24"/>
      <c r="B108" s="1"/>
      <c r="C108" s="59" t="str">
        <f>"01-01-2024 to "&amp;TEXT(A5-2,"dd-mm-yyyy")</f>
        <v>01-01-2024 to 15-01-2024</v>
      </c>
      <c r="D108" s="60">
        <v>1232.79</v>
      </c>
      <c r="E108" s="60">
        <v>344.68</v>
      </c>
      <c r="F108" s="61">
        <f>SUM(D108:E108)</f>
        <v>1577.47</v>
      </c>
    </row>
    <row r="109" spans="1:15" s="2" customFormat="1" x14ac:dyDescent="0.2">
      <c r="A109" s="24"/>
      <c r="B109" s="1"/>
      <c r="C109" s="62" t="str">
        <f>TEXT(A5-1,"dd-mm-yyyy")</f>
        <v>16-01-2024</v>
      </c>
      <c r="D109" s="60">
        <v>74.540000000000006</v>
      </c>
      <c r="E109" s="60">
        <v>21.5</v>
      </c>
      <c r="F109" s="61">
        <f>SUM(D109:E109)</f>
        <v>96.04</v>
      </c>
      <c r="G109" s="1"/>
      <c r="H109" s="1"/>
      <c r="I109" s="53"/>
    </row>
    <row r="110" spans="1:15" s="2" customFormat="1" ht="13.5" thickBot="1" x14ac:dyDescent="0.25">
      <c r="A110" s="24"/>
      <c r="B110" s="1"/>
      <c r="C110" s="63" t="str">
        <f>"01-01-2024 to "&amp;TEXT(A5-1,"dd-mm-yyyy")</f>
        <v>01-01-2024 to 16-01-2024</v>
      </c>
      <c r="D110" s="64">
        <f>SUM(D108:D109)</f>
        <v>1307.33</v>
      </c>
      <c r="E110" s="64">
        <f>SUM(E108:E109)</f>
        <v>366.18</v>
      </c>
      <c r="F110" s="64">
        <f>SUM(F108:F109)</f>
        <v>1673.51</v>
      </c>
      <c r="G110" s="1"/>
      <c r="H110" s="1"/>
      <c r="I110" s="53"/>
    </row>
    <row r="111" spans="1:15" s="2" customFormat="1" ht="13.5" thickTop="1" x14ac:dyDescent="0.2">
      <c r="A111" s="24"/>
      <c r="B111" s="1"/>
      <c r="C111" s="62"/>
      <c r="D111" s="65"/>
      <c r="E111" s="66"/>
      <c r="F111" s="67"/>
      <c r="M111" s="1"/>
      <c r="N111" s="1"/>
    </row>
    <row r="112" spans="1:15" s="2" customFormat="1" x14ac:dyDescent="0.2">
      <c r="A112" s="24"/>
      <c r="B112" s="1"/>
      <c r="C112" s="62" t="str">
        <f>"01-04-2023 to " &amp;C109</f>
        <v>01-04-2023 to 16-01-2024</v>
      </c>
      <c r="D112" s="68">
        <f>+D110+34570.27</f>
        <v>35877.599999999999</v>
      </c>
      <c r="E112" s="68">
        <f>+E110+3831.86</f>
        <v>4198.04</v>
      </c>
      <c r="F112" s="68">
        <f>+F110+38402.13</f>
        <v>40075.64</v>
      </c>
      <c r="G112" s="1"/>
      <c r="H112" s="1"/>
      <c r="M112" s="1"/>
      <c r="N112" s="1"/>
    </row>
    <row r="113" spans="1:14" s="2" customFormat="1" x14ac:dyDescent="0.2">
      <c r="A113" s="24"/>
      <c r="B113" s="1"/>
      <c r="C113" s="52"/>
      <c r="D113" s="85"/>
      <c r="E113" s="53"/>
      <c r="F113" s="53"/>
      <c r="G113" s="1"/>
      <c r="H113" s="1"/>
      <c r="M113" s="1"/>
      <c r="N113" s="1"/>
    </row>
    <row r="114" spans="1:14" s="2" customFormat="1" x14ac:dyDescent="0.2">
      <c r="A114" s="24"/>
      <c r="B114" s="1"/>
      <c r="C114" s="52"/>
      <c r="D114" s="85"/>
      <c r="E114" s="53"/>
      <c r="F114" s="53"/>
      <c r="G114" s="1"/>
      <c r="H114" s="1"/>
      <c r="M114" s="1"/>
      <c r="N114" s="1"/>
    </row>
    <row r="115" spans="1:14" s="2" customFormat="1" x14ac:dyDescent="0.2">
      <c r="A115" s="24"/>
      <c r="B115" s="1"/>
      <c r="C115" s="52"/>
      <c r="D115" s="85"/>
      <c r="E115" s="53"/>
      <c r="F115" s="53"/>
      <c r="G115" s="1"/>
      <c r="H115" s="1"/>
      <c r="M115" s="1"/>
      <c r="N115" s="1"/>
    </row>
    <row r="116" spans="1:14" s="2" customFormat="1" x14ac:dyDescent="0.2">
      <c r="A116" s="24"/>
      <c r="B116" s="1"/>
      <c r="C116" s="52"/>
      <c r="D116" s="85"/>
      <c r="E116" s="53"/>
      <c r="F116" s="53"/>
      <c r="G116" s="1"/>
      <c r="H116" s="1"/>
      <c r="M116" s="1"/>
      <c r="N116" s="1"/>
    </row>
    <row r="117" spans="1:14" s="2" customFormat="1" x14ac:dyDescent="0.2">
      <c r="A117" s="24"/>
      <c r="B117" s="1"/>
      <c r="C117" s="14"/>
      <c r="D117" s="25">
        <f>SUM(D114:D116)</f>
        <v>0</v>
      </c>
      <c r="E117" s="2">
        <f>SUM(E114:E116)</f>
        <v>0</v>
      </c>
      <c r="G117" s="1"/>
      <c r="H117" s="1"/>
      <c r="M117" s="1"/>
      <c r="N117" s="1"/>
    </row>
    <row r="118" spans="1:14" s="2" customFormat="1" x14ac:dyDescent="0.2">
      <c r="A118" s="24"/>
      <c r="B118" s="1"/>
      <c r="C118" s="14"/>
      <c r="D118" s="25"/>
      <c r="G118" s="1"/>
      <c r="H118" s="1"/>
      <c r="M118" s="1"/>
      <c r="N118" s="1"/>
    </row>
    <row r="119" spans="1:14" s="2" customFormat="1" x14ac:dyDescent="0.2">
      <c r="A119" s="24"/>
      <c r="B119" s="1"/>
      <c r="C119" s="14"/>
      <c r="D119" s="25"/>
      <c r="G119" s="1"/>
      <c r="H119" s="1"/>
      <c r="M119" s="1"/>
      <c r="N119" s="1"/>
    </row>
    <row r="120" spans="1:14" s="2" customFormat="1" x14ac:dyDescent="0.2">
      <c r="A120" s="24"/>
      <c r="B120" s="1"/>
      <c r="C120" s="14"/>
      <c r="D120" s="25"/>
      <c r="G120" s="1"/>
      <c r="H120" s="1"/>
      <c r="M120" s="1"/>
      <c r="N120" s="1"/>
    </row>
    <row r="121" spans="1:14" s="2" customFormat="1" x14ac:dyDescent="0.2">
      <c r="A121" s="24"/>
      <c r="B121" s="1"/>
      <c r="C121" s="14"/>
      <c r="D121" s="25"/>
      <c r="G121" s="1"/>
      <c r="H121" s="1"/>
      <c r="M121" s="1"/>
      <c r="N121" s="1"/>
    </row>
    <row r="122" spans="1:14" s="2" customFormat="1" x14ac:dyDescent="0.2">
      <c r="A122" s="24"/>
      <c r="B122" s="1"/>
      <c r="C122" s="14"/>
      <c r="D122" s="25"/>
      <c r="G122" s="1"/>
      <c r="H122" s="1"/>
      <c r="M122" s="1"/>
      <c r="N122" s="1"/>
    </row>
    <row r="123" spans="1:14" s="2" customFormat="1" x14ac:dyDescent="0.2">
      <c r="A123" s="24"/>
      <c r="B123" s="1"/>
      <c r="C123" s="14"/>
      <c r="D123" s="25"/>
      <c r="G123" s="1"/>
      <c r="H123" s="1"/>
      <c r="M123" s="1"/>
      <c r="N123" s="1"/>
    </row>
    <row r="124" spans="1:14" s="2" customFormat="1" x14ac:dyDescent="0.2">
      <c r="A124" s="24"/>
      <c r="B124" s="1"/>
      <c r="C124" s="14"/>
      <c r="D124" s="25"/>
      <c r="G124" s="1"/>
      <c r="H124" s="1"/>
      <c r="M124" s="1"/>
      <c r="N124" s="1"/>
    </row>
    <row r="125" spans="1:14" s="2" customFormat="1" x14ac:dyDescent="0.2">
      <c r="A125" s="24"/>
      <c r="B125" s="1"/>
      <c r="C125" s="14"/>
      <c r="D125" s="25"/>
      <c r="G125" s="1"/>
      <c r="H125" s="1"/>
      <c r="M125" s="1"/>
      <c r="N125" s="1"/>
    </row>
    <row r="126" spans="1:14" s="2" customFormat="1" x14ac:dyDescent="0.2">
      <c r="A126" s="24"/>
      <c r="B126" s="1"/>
      <c r="C126" s="14"/>
      <c r="D126" s="25"/>
      <c r="G126" s="1"/>
      <c r="H126" s="1"/>
      <c r="M126" s="1"/>
      <c r="N126" s="1"/>
    </row>
    <row r="127" spans="1:14" s="2" customFormat="1" x14ac:dyDescent="0.2">
      <c r="A127" s="24"/>
      <c r="B127" s="1"/>
      <c r="C127" s="14"/>
      <c r="D127" s="25"/>
      <c r="G127" s="1"/>
      <c r="H127" s="1"/>
      <c r="M127" s="1"/>
      <c r="N127" s="1"/>
    </row>
    <row r="128" spans="1:14" s="2" customFormat="1" x14ac:dyDescent="0.2">
      <c r="A128" s="24"/>
      <c r="B128" s="1"/>
      <c r="C128" s="14"/>
      <c r="D128" s="25"/>
      <c r="G128" s="1"/>
      <c r="H128" s="1"/>
      <c r="M128" s="1"/>
      <c r="N128" s="1"/>
    </row>
    <row r="129" spans="1:15" s="2" customFormat="1" x14ac:dyDescent="0.2">
      <c r="A129" s="24"/>
      <c r="B129" s="1"/>
      <c r="C129" s="14"/>
      <c r="D129" s="25"/>
      <c r="G129" s="1"/>
      <c r="H129" s="1"/>
      <c r="M129" s="1"/>
      <c r="N129" s="1"/>
    </row>
    <row r="130" spans="1:15" s="2" customFormat="1" x14ac:dyDescent="0.2">
      <c r="A130" s="24"/>
      <c r="B130" s="1"/>
      <c r="C130" s="14"/>
      <c r="D130" s="25"/>
      <c r="G130" s="1"/>
      <c r="H130" s="1"/>
      <c r="M130" s="1"/>
      <c r="N130" s="1"/>
    </row>
    <row r="131" spans="1:15" s="2" customFormat="1" x14ac:dyDescent="0.2">
      <c r="A131" s="24"/>
      <c r="B131" s="1"/>
      <c r="C131" s="14"/>
      <c r="D131" s="25"/>
      <c r="G131" s="1"/>
      <c r="H131" s="1"/>
      <c r="J131" s="1"/>
      <c r="K131" s="1"/>
      <c r="L131" s="1"/>
      <c r="M131" s="1"/>
      <c r="N131" s="1"/>
    </row>
    <row r="132" spans="1:15" s="2" customFormat="1" x14ac:dyDescent="0.2">
      <c r="A132" s="24"/>
      <c r="B132" s="1"/>
      <c r="C132" s="14"/>
      <c r="D132" s="25"/>
      <c r="G132" s="1"/>
      <c r="H132" s="1"/>
    </row>
    <row r="133" spans="1:15" s="2" customFormat="1" x14ac:dyDescent="0.2">
      <c r="A133" s="24"/>
      <c r="B133" s="1"/>
      <c r="C133" s="14"/>
      <c r="D133" s="25"/>
      <c r="G133" s="1"/>
      <c r="H133" s="1"/>
      <c r="J133" s="1"/>
      <c r="K133" s="1"/>
      <c r="L133" s="1"/>
      <c r="M133" s="1"/>
      <c r="N133" s="1"/>
    </row>
    <row r="134" spans="1:15" s="2" customFormat="1" x14ac:dyDescent="0.2">
      <c r="A134" s="24"/>
      <c r="B134" s="1"/>
      <c r="C134" s="14"/>
      <c r="D134" s="25"/>
      <c r="G134" s="54"/>
      <c r="H134" s="54"/>
      <c r="J134" s="1"/>
      <c r="K134" s="1"/>
      <c r="L134" s="1"/>
      <c r="M134" s="1"/>
      <c r="N134" s="1"/>
    </row>
    <row r="135" spans="1:15" s="2" customFormat="1" x14ac:dyDescent="0.2">
      <c r="A135" s="24"/>
      <c r="B135" s="1"/>
      <c r="C135" s="14"/>
      <c r="D135" s="25"/>
      <c r="G135" s="54"/>
      <c r="H135" s="54"/>
      <c r="J135" s="1"/>
      <c r="K135" s="1"/>
      <c r="L135" s="1"/>
      <c r="M135" s="1"/>
      <c r="N135" s="1"/>
    </row>
    <row r="136" spans="1:15" s="2" customFormat="1" x14ac:dyDescent="0.2">
      <c r="A136" s="24"/>
      <c r="B136" s="1"/>
      <c r="C136" s="14"/>
      <c r="D136" s="25"/>
      <c r="G136" s="54"/>
      <c r="H136" s="54"/>
      <c r="J136" s="1"/>
      <c r="K136" s="1"/>
      <c r="L136" s="1"/>
      <c r="M136" s="1"/>
      <c r="N136" s="1"/>
    </row>
    <row r="137" spans="1:15" s="2" customFormat="1" x14ac:dyDescent="0.2">
      <c r="A137" s="24"/>
      <c r="B137" s="1"/>
      <c r="C137" s="14"/>
      <c r="D137" s="25"/>
      <c r="G137" s="54"/>
      <c r="H137" s="54"/>
      <c r="I137" s="2" t="s">
        <v>396</v>
      </c>
      <c r="J137" s="1"/>
      <c r="K137" s="1"/>
      <c r="L137" s="1"/>
      <c r="M137" s="1"/>
      <c r="N137" s="1"/>
      <c r="O137" s="1"/>
    </row>
    <row r="138" spans="1:15" s="2" customFormat="1" x14ac:dyDescent="0.2">
      <c r="A138" s="24"/>
      <c r="B138" s="1"/>
      <c r="C138" s="14"/>
      <c r="D138" s="25"/>
      <c r="G138" s="54"/>
      <c r="H138" s="54"/>
      <c r="I138" s="53"/>
    </row>
    <row r="139" spans="1:15" s="2" customFormat="1" x14ac:dyDescent="0.2">
      <c r="A139" s="24"/>
      <c r="B139" s="1"/>
      <c r="C139" s="14"/>
      <c r="D139" s="25"/>
      <c r="G139" s="54"/>
      <c r="H139" s="54"/>
      <c r="I139" s="53" t="s">
        <v>396</v>
      </c>
      <c r="J139" s="1"/>
      <c r="K139" s="1"/>
      <c r="L139" s="1"/>
      <c r="M139" s="1"/>
      <c r="N139" s="1"/>
      <c r="O139" s="1"/>
    </row>
    <row r="140" spans="1:15" x14ac:dyDescent="0.2">
      <c r="G140" s="54"/>
      <c r="H140" s="54"/>
      <c r="I140" s="53" t="s">
        <v>396</v>
      </c>
      <c r="K140" s="42"/>
    </row>
    <row r="141" spans="1:15" s="2" customFormat="1" x14ac:dyDescent="0.2">
      <c r="A141" s="24"/>
      <c r="B141" s="1"/>
      <c r="C141" s="14"/>
      <c r="D141" s="25"/>
      <c r="G141" s="54"/>
      <c r="H141" s="54"/>
      <c r="I141" s="53"/>
      <c r="J141" s="101"/>
      <c r="K141" s="1"/>
      <c r="L141" s="1"/>
      <c r="M141" s="1"/>
      <c r="N141" s="1"/>
      <c r="O141" s="1"/>
    </row>
    <row r="142" spans="1:15" x14ac:dyDescent="0.2">
      <c r="G142" s="54"/>
      <c r="H142" s="54"/>
      <c r="I142" s="53"/>
    </row>
    <row r="143" spans="1:15" x14ac:dyDescent="0.2">
      <c r="G143" s="54"/>
      <c r="H143" s="54"/>
      <c r="I143" s="53"/>
    </row>
    <row r="144" spans="1:15" x14ac:dyDescent="0.2">
      <c r="G144" s="54"/>
      <c r="H144" s="54"/>
      <c r="I144" s="53"/>
    </row>
  </sheetData>
  <sheetProtection insertRows="0"/>
  <mergeCells count="7">
    <mergeCell ref="K77:L77"/>
    <mergeCell ref="A84:D84"/>
    <mergeCell ref="C106:F106"/>
    <mergeCell ref="A1:H1"/>
    <mergeCell ref="A3:F3"/>
    <mergeCell ref="A10:F10"/>
    <mergeCell ref="A19:F19"/>
  </mergeCells>
  <conditionalFormatting sqref="H81:H82">
    <cfRule type="cellIs" dxfId="121" priority="1" operator="lessThan">
      <formula>0</formula>
    </cfRule>
  </conditionalFormatting>
  <conditionalFormatting sqref="C21">
    <cfRule type="duplicateValues" dxfId="120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600-000000000000}">
  <sheetPr codeName="Sheet526">
    <pageSetUpPr fitToPage="1"/>
  </sheetPr>
  <dimension ref="A1:O145"/>
  <sheetViews>
    <sheetView topLeftCell="A40" zoomScaleNormal="100" workbookViewId="0">
      <selection activeCell="E41" sqref="E41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12.85546875" style="1" customWidth="1"/>
    <col min="9" max="9" width="24.85546875" style="2" bestFit="1" customWidth="1"/>
    <col min="10" max="10" width="21.5703125" style="1" bestFit="1" customWidth="1"/>
    <col min="11" max="11" width="16.85546875" style="1" bestFit="1" customWidth="1"/>
    <col min="12" max="12" width="17.28515625" style="1" bestFit="1" customWidth="1"/>
    <col min="13" max="13" width="13.5703125" style="1" bestFit="1" customWidth="1"/>
    <col min="14" max="14" width="17.42578125" style="1" bestFit="1" customWidth="1"/>
    <col min="15" max="15" width="12.85546875" style="1" bestFit="1" customWidth="1"/>
    <col min="16" max="17" width="9.140625" style="1"/>
    <col min="18" max="18" width="15.5703125" style="1" bestFit="1" customWidth="1"/>
    <col min="19" max="16384" width="9.140625" style="1"/>
  </cols>
  <sheetData>
    <row r="1" spans="1:12" ht="20.25" customHeight="1" x14ac:dyDescent="0.4">
      <c r="A1" s="212" t="s">
        <v>1983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2" ht="12.75" customHeight="1" x14ac:dyDescent="0.4">
      <c r="I2" s="112"/>
      <c r="J2" s="112"/>
    </row>
    <row r="3" spans="1:12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2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2" s="2" customFormat="1" ht="14.25" customHeight="1" x14ac:dyDescent="0.4">
      <c r="A5" s="89">
        <v>45309</v>
      </c>
      <c r="B5" s="9" t="s">
        <v>6</v>
      </c>
      <c r="C5" s="10" t="s">
        <v>7</v>
      </c>
      <c r="D5" s="11"/>
      <c r="E5" s="12">
        <v>565541.23000000045</v>
      </c>
      <c r="F5" s="12"/>
      <c r="G5" s="1"/>
      <c r="H5" s="1"/>
      <c r="I5" s="112"/>
      <c r="J5" s="112"/>
    </row>
    <row r="6" spans="1:12" s="2" customFormat="1" ht="12.75" customHeight="1" x14ac:dyDescent="0.2">
      <c r="D6" s="15" t="s">
        <v>8</v>
      </c>
      <c r="E6" s="16">
        <f>SUM(E5:E5)</f>
        <v>565541.23000000045</v>
      </c>
      <c r="F6" s="16">
        <f>F5</f>
        <v>0</v>
      </c>
      <c r="G6" s="1"/>
      <c r="H6" s="1"/>
      <c r="I6" s="13" t="s">
        <v>1582</v>
      </c>
      <c r="J6" s="13" t="s">
        <v>1583</v>
      </c>
    </row>
    <row r="7" spans="1:12" s="2" customFormat="1" ht="12.75" customHeight="1" x14ac:dyDescent="0.2">
      <c r="A7" s="17"/>
      <c r="B7" s="18"/>
      <c r="C7" s="19" t="s">
        <v>9</v>
      </c>
      <c r="D7" s="20"/>
      <c r="E7" s="21">
        <f>+E6-F6</f>
        <v>565541.23000000045</v>
      </c>
      <c r="F7" s="22"/>
      <c r="G7" s="23"/>
      <c r="H7" s="23"/>
      <c r="I7" s="2">
        <v>5193</v>
      </c>
      <c r="J7" s="2">
        <v>8749734.8200000003</v>
      </c>
      <c r="K7" s="176">
        <f>I7-J7</f>
        <v>-8744541.8200000003</v>
      </c>
    </row>
    <row r="8" spans="1:12" ht="12.75" customHeight="1" x14ac:dyDescent="0.4">
      <c r="I8" s="112"/>
      <c r="J8" s="112"/>
    </row>
    <row r="9" spans="1:12" ht="18" customHeight="1" x14ac:dyDescent="0.4">
      <c r="A9" s="213" t="s">
        <v>1037</v>
      </c>
      <c r="B9" s="213"/>
      <c r="C9" s="213"/>
      <c r="D9" s="213"/>
      <c r="E9" s="213"/>
      <c r="F9" s="213"/>
      <c r="I9" s="112"/>
      <c r="J9" s="169">
        <f>90000000-60000000</f>
        <v>30000000</v>
      </c>
      <c r="K9" s="169" t="s">
        <v>1508</v>
      </c>
    </row>
    <row r="10" spans="1:12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I10" s="112"/>
      <c r="J10" s="169">
        <v>19527293.510000002</v>
      </c>
      <c r="K10" s="169" t="s">
        <v>1509</v>
      </c>
      <c r="L10" s="124"/>
    </row>
    <row r="11" spans="1:12" s="2" customFormat="1" ht="14.25" customHeight="1" x14ac:dyDescent="0.2">
      <c r="A11" s="89">
        <v>45309</v>
      </c>
      <c r="B11" s="9" t="s">
        <v>6</v>
      </c>
      <c r="C11" s="10" t="s">
        <v>7</v>
      </c>
      <c r="D11" s="11"/>
      <c r="F11" s="12">
        <v>29286996.02</v>
      </c>
      <c r="G11" s="1"/>
      <c r="H11" s="1"/>
      <c r="I11" s="130" t="s">
        <v>396</v>
      </c>
      <c r="J11" s="169">
        <f>+J9-J10</f>
        <v>10472706.489999998</v>
      </c>
      <c r="K11" s="169" t="s">
        <v>712</v>
      </c>
      <c r="L11" s="165" t="s">
        <v>1512</v>
      </c>
    </row>
    <row r="12" spans="1:12" s="2" customFormat="1" ht="14.25" customHeight="1" x14ac:dyDescent="0.2">
      <c r="A12" s="89">
        <v>45309</v>
      </c>
      <c r="B12" s="9" t="s">
        <v>6</v>
      </c>
      <c r="C12" s="10" t="s">
        <v>234</v>
      </c>
      <c r="D12" s="11" t="s">
        <v>13</v>
      </c>
      <c r="E12" s="2">
        <v>102414</v>
      </c>
      <c r="F12" s="12"/>
      <c r="G12" s="1"/>
      <c r="H12" s="1"/>
      <c r="I12" s="130"/>
      <c r="J12" s="169"/>
      <c r="K12" s="169"/>
      <c r="L12" s="165"/>
    </row>
    <row r="13" spans="1:12" s="2" customFormat="1" ht="14.25" customHeight="1" x14ac:dyDescent="0.2">
      <c r="A13" s="89">
        <v>45309</v>
      </c>
      <c r="B13" s="9" t="s">
        <v>6</v>
      </c>
      <c r="C13" s="10" t="s">
        <v>1647</v>
      </c>
      <c r="D13" s="11" t="s">
        <v>13</v>
      </c>
      <c r="E13" s="2">
        <v>1529745</v>
      </c>
      <c r="F13" s="12"/>
      <c r="G13" s="1"/>
      <c r="H13" s="1"/>
      <c r="I13" s="130"/>
      <c r="J13" s="169"/>
      <c r="K13" s="169"/>
      <c r="L13" s="165"/>
    </row>
    <row r="14" spans="1:12" s="2" customFormat="1" ht="14.25" customHeight="1" x14ac:dyDescent="0.2">
      <c r="A14" s="89">
        <v>45309</v>
      </c>
      <c r="B14" s="9" t="s">
        <v>6</v>
      </c>
      <c r="C14" s="10" t="s">
        <v>1002</v>
      </c>
      <c r="D14" s="11" t="s">
        <v>13</v>
      </c>
      <c r="E14" s="2">
        <v>8177354.8100000005</v>
      </c>
      <c r="F14" s="12"/>
      <c r="G14" s="1"/>
      <c r="H14" s="1"/>
      <c r="I14" s="130"/>
      <c r="J14" s="169"/>
      <c r="K14" s="169"/>
      <c r="L14" s="165"/>
    </row>
    <row r="15" spans="1:12" s="2" customFormat="1" ht="14.25" customHeight="1" x14ac:dyDescent="0.2">
      <c r="A15" s="89">
        <v>45309</v>
      </c>
      <c r="B15" s="9" t="s">
        <v>6</v>
      </c>
      <c r="C15" s="10" t="s">
        <v>419</v>
      </c>
      <c r="D15" s="11" t="s">
        <v>13</v>
      </c>
      <c r="E15" s="2">
        <v>5193</v>
      </c>
      <c r="F15" s="12"/>
      <c r="G15" s="1"/>
      <c r="H15" s="1"/>
      <c r="I15" s="130"/>
      <c r="J15" s="169"/>
      <c r="K15" s="169"/>
      <c r="L15" s="165"/>
    </row>
    <row r="16" spans="1:12" s="2" customFormat="1" ht="14.25" customHeight="1" x14ac:dyDescent="0.2">
      <c r="A16" s="89">
        <v>45309</v>
      </c>
      <c r="B16" s="9" t="s">
        <v>11</v>
      </c>
      <c r="C16" s="10" t="s">
        <v>1137</v>
      </c>
      <c r="D16" s="11" t="s">
        <v>29</v>
      </c>
      <c r="F16" s="12">
        <v>44914.619999999995</v>
      </c>
      <c r="G16" s="1"/>
      <c r="H16" s="1"/>
      <c r="I16" s="130"/>
      <c r="J16" s="169"/>
      <c r="K16" s="169"/>
      <c r="L16" s="165"/>
    </row>
    <row r="17" spans="1:14" s="2" customFormat="1" ht="14.25" customHeight="1" x14ac:dyDescent="0.2">
      <c r="A17" s="89">
        <v>45309</v>
      </c>
      <c r="B17" s="9" t="s">
        <v>11</v>
      </c>
      <c r="C17" s="10" t="s">
        <v>156</v>
      </c>
      <c r="D17" s="11" t="s">
        <v>29</v>
      </c>
      <c r="F17" s="12">
        <v>4896.68</v>
      </c>
      <c r="G17" s="1"/>
      <c r="H17" s="1"/>
      <c r="I17" s="130"/>
      <c r="J17" s="169"/>
      <c r="K17" s="169"/>
      <c r="L17" s="165"/>
    </row>
    <row r="18" spans="1:14" s="2" customFormat="1" ht="14.25" customHeight="1" x14ac:dyDescent="0.2">
      <c r="A18" s="89">
        <v>45309</v>
      </c>
      <c r="B18" s="9" t="s">
        <v>11</v>
      </c>
      <c r="C18" s="10" t="s">
        <v>98</v>
      </c>
      <c r="D18" s="11" t="s">
        <v>29</v>
      </c>
      <c r="F18" s="12">
        <v>61948.58</v>
      </c>
      <c r="G18" s="1"/>
      <c r="H18" s="1"/>
      <c r="I18" s="130"/>
      <c r="J18" s="169"/>
      <c r="K18" s="169"/>
      <c r="L18" s="165"/>
    </row>
    <row r="19" spans="1:14" s="2" customFormat="1" ht="14.25" customHeight="1" x14ac:dyDescent="0.2">
      <c r="A19" s="89">
        <v>45309</v>
      </c>
      <c r="B19" s="9" t="s">
        <v>11</v>
      </c>
      <c r="C19" s="10" t="s">
        <v>442</v>
      </c>
      <c r="D19" s="11" t="s">
        <v>29</v>
      </c>
      <c r="F19" s="12">
        <v>1813012</v>
      </c>
      <c r="G19" s="1"/>
      <c r="H19" s="1"/>
      <c r="I19" s="130"/>
      <c r="J19" s="169"/>
      <c r="K19" s="169"/>
      <c r="L19" s="165"/>
    </row>
    <row r="20" spans="1:14" s="2" customFormat="1" ht="14.25" customHeight="1" x14ac:dyDescent="0.2">
      <c r="A20" s="89">
        <v>45309</v>
      </c>
      <c r="B20" s="9" t="s">
        <v>11</v>
      </c>
      <c r="C20" s="10" t="s">
        <v>1856</v>
      </c>
      <c r="D20" s="11" t="s">
        <v>29</v>
      </c>
      <c r="F20" s="12">
        <v>296309.8</v>
      </c>
      <c r="G20" s="1"/>
      <c r="H20" s="1"/>
      <c r="I20" s="130"/>
      <c r="J20" s="169"/>
      <c r="K20" s="169"/>
      <c r="L20" s="165"/>
    </row>
    <row r="21" spans="1:14" s="2" customFormat="1" ht="14.25" customHeight="1" x14ac:dyDescent="0.2">
      <c r="A21" s="89">
        <v>45309</v>
      </c>
      <c r="B21" s="9" t="s">
        <v>11</v>
      </c>
      <c r="C21" s="10" t="s">
        <v>1403</v>
      </c>
      <c r="D21" s="11" t="s">
        <v>29</v>
      </c>
      <c r="F21" s="12">
        <v>5006336.8499999996</v>
      </c>
      <c r="G21" s="1"/>
      <c r="H21" s="1"/>
      <c r="I21" s="130"/>
      <c r="J21" s="169"/>
      <c r="K21" s="169"/>
      <c r="L21" s="165"/>
    </row>
    <row r="22" spans="1:14" s="2" customFormat="1" ht="14.25" customHeight="1" x14ac:dyDescent="0.2">
      <c r="A22" s="89">
        <v>45309</v>
      </c>
      <c r="B22" s="9" t="s">
        <v>11</v>
      </c>
      <c r="C22" s="10" t="s">
        <v>731</v>
      </c>
      <c r="D22" s="11" t="s">
        <v>29</v>
      </c>
      <c r="F22" s="12">
        <v>124740</v>
      </c>
      <c r="G22" s="1"/>
      <c r="H22" s="1"/>
      <c r="I22" s="130"/>
      <c r="J22" s="169"/>
      <c r="K22" s="169"/>
      <c r="L22" s="165"/>
    </row>
    <row r="23" spans="1:14" s="2" customFormat="1" ht="14.25" customHeight="1" x14ac:dyDescent="0.2">
      <c r="A23" s="89">
        <v>45309</v>
      </c>
      <c r="B23" s="9" t="s">
        <v>11</v>
      </c>
      <c r="C23" s="10" t="s">
        <v>476</v>
      </c>
      <c r="D23" s="11" t="s">
        <v>29</v>
      </c>
      <c r="F23" s="12">
        <v>144085</v>
      </c>
      <c r="G23" s="1"/>
      <c r="H23" s="1"/>
      <c r="I23" s="130"/>
      <c r="J23" s="169"/>
      <c r="K23" s="169"/>
      <c r="L23" s="165"/>
    </row>
    <row r="24" spans="1:14" s="2" customFormat="1" ht="14.25" customHeight="1" x14ac:dyDescent="0.2">
      <c r="A24" s="89">
        <v>45309</v>
      </c>
      <c r="B24" s="9" t="s">
        <v>11</v>
      </c>
      <c r="C24" s="10" t="s">
        <v>1984</v>
      </c>
      <c r="D24" s="11" t="s">
        <v>29</v>
      </c>
      <c r="F24" s="12">
        <v>35840</v>
      </c>
      <c r="G24" s="1"/>
      <c r="H24" s="1"/>
      <c r="I24" s="130"/>
      <c r="J24" s="169"/>
      <c r="K24" s="169"/>
      <c r="L24" s="165"/>
    </row>
    <row r="25" spans="1:14" s="2" customFormat="1" ht="14.25" customHeight="1" x14ac:dyDescent="0.2">
      <c r="A25" s="89">
        <v>45309</v>
      </c>
      <c r="B25" s="9" t="s">
        <v>11</v>
      </c>
      <c r="C25" s="10" t="s">
        <v>410</v>
      </c>
      <c r="D25" s="11" t="s">
        <v>29</v>
      </c>
      <c r="F25" s="12">
        <v>155005</v>
      </c>
      <c r="G25" s="1"/>
      <c r="H25" s="1"/>
      <c r="I25" s="130"/>
      <c r="J25" s="169"/>
      <c r="K25" s="169"/>
      <c r="L25" s="165"/>
    </row>
    <row r="26" spans="1:14" s="2" customFormat="1" ht="14.25" customHeight="1" x14ac:dyDescent="0.2">
      <c r="A26" s="89">
        <v>45309</v>
      </c>
      <c r="B26" s="9" t="s">
        <v>11</v>
      </c>
      <c r="C26" s="10" t="s">
        <v>1985</v>
      </c>
      <c r="D26" s="11" t="s">
        <v>29</v>
      </c>
      <c r="F26" s="12">
        <v>43041.59</v>
      </c>
      <c r="G26" s="1"/>
      <c r="H26" s="1"/>
      <c r="I26" s="130"/>
      <c r="J26" s="169"/>
      <c r="K26" s="169"/>
      <c r="L26" s="165"/>
    </row>
    <row r="27" spans="1:14" s="2" customFormat="1" ht="14.25" customHeight="1" x14ac:dyDescent="0.2">
      <c r="A27" s="89">
        <v>45309</v>
      </c>
      <c r="B27" s="9" t="s">
        <v>11</v>
      </c>
      <c r="C27" s="10" t="s">
        <v>63</v>
      </c>
      <c r="D27" s="11" t="s">
        <v>29</v>
      </c>
      <c r="F27" s="12">
        <v>500000</v>
      </c>
      <c r="G27" s="1"/>
      <c r="H27" s="1"/>
      <c r="I27" s="130"/>
      <c r="J27" s="169"/>
      <c r="K27" s="169"/>
      <c r="L27" s="165"/>
    </row>
    <row r="28" spans="1:14" s="2" customFormat="1" ht="14.25" customHeight="1" x14ac:dyDescent="0.2">
      <c r="A28" s="89">
        <v>45309</v>
      </c>
      <c r="B28" s="9" t="s">
        <v>11</v>
      </c>
      <c r="C28" s="10" t="s">
        <v>57</v>
      </c>
      <c r="D28" s="11" t="s">
        <v>29</v>
      </c>
      <c r="F28" s="12">
        <v>500000</v>
      </c>
      <c r="G28" s="1"/>
      <c r="H28" s="1"/>
      <c r="I28" s="130"/>
      <c r="J28" s="169"/>
      <c r="K28" s="169"/>
      <c r="L28" s="165"/>
    </row>
    <row r="29" spans="1:14" s="2" customFormat="1" ht="14.25" customHeight="1" x14ac:dyDescent="0.2">
      <c r="A29" s="89">
        <v>45309</v>
      </c>
      <c r="B29" s="9" t="s">
        <v>11</v>
      </c>
      <c r="C29" s="10" t="s">
        <v>352</v>
      </c>
      <c r="D29" s="11" t="s">
        <v>29</v>
      </c>
      <c r="F29" s="12">
        <v>51579</v>
      </c>
      <c r="G29" s="1"/>
      <c r="H29" s="1"/>
      <c r="I29" s="130"/>
      <c r="J29" s="169"/>
      <c r="K29" s="169"/>
      <c r="L29" s="165"/>
    </row>
    <row r="30" spans="1:14" s="2" customFormat="1" ht="14.25" customHeight="1" x14ac:dyDescent="0.2">
      <c r="A30" s="89">
        <v>45309</v>
      </c>
      <c r="B30" s="9" t="s">
        <v>11</v>
      </c>
      <c r="C30" s="10" t="s">
        <v>482</v>
      </c>
      <c r="D30" s="11" t="s">
        <v>29</v>
      </c>
      <c r="F30" s="12">
        <v>17837</v>
      </c>
      <c r="G30" s="1"/>
      <c r="H30" s="1"/>
      <c r="I30" s="130"/>
      <c r="J30" s="169"/>
      <c r="K30" s="169"/>
      <c r="L30" s="165"/>
    </row>
    <row r="31" spans="1:14" s="2" customFormat="1" ht="14.25" customHeight="1" x14ac:dyDescent="0.2">
      <c r="D31" s="11" t="s">
        <v>8</v>
      </c>
      <c r="E31" s="16">
        <f>SUM(E12:E30)</f>
        <v>9814706.8100000005</v>
      </c>
      <c r="F31" s="16">
        <f>SUM(F11:F30)</f>
        <v>38086542.140000001</v>
      </c>
      <c r="G31" s="1"/>
      <c r="H31" s="1"/>
      <c r="I31" s="143"/>
      <c r="J31" s="130"/>
      <c r="K31" s="143"/>
      <c r="L31" s="143"/>
      <c r="M31" s="143"/>
      <c r="N31" s="143"/>
    </row>
    <row r="32" spans="1:14" s="2" customFormat="1" ht="14.25" customHeight="1" x14ac:dyDescent="0.4">
      <c r="A32" s="17"/>
      <c r="B32" s="18"/>
      <c r="C32" s="96" t="s">
        <v>9</v>
      </c>
      <c r="D32" s="20"/>
      <c r="E32" s="21">
        <f>+F31-E31</f>
        <v>28271835.329999998</v>
      </c>
      <c r="G32" s="1"/>
      <c r="H32" s="1"/>
      <c r="J32" s="112"/>
      <c r="K32" s="153" t="s">
        <v>779</v>
      </c>
    </row>
    <row r="33" spans="1:12" s="2" customFormat="1" ht="14.25" customHeight="1" x14ac:dyDescent="0.2">
      <c r="A33" s="17"/>
      <c r="B33" s="28" t="s">
        <v>66</v>
      </c>
      <c r="C33" s="43" t="s">
        <v>1458</v>
      </c>
      <c r="D33" s="43"/>
      <c r="E33" s="12">
        <f>30000000+60000000</f>
        <v>90000000</v>
      </c>
      <c r="F33" s="22"/>
      <c r="G33" s="1"/>
      <c r="H33" s="1"/>
      <c r="J33" s="40">
        <v>28271835.329999998</v>
      </c>
      <c r="K33" s="154">
        <f>J33-E32</f>
        <v>0</v>
      </c>
    </row>
    <row r="34" spans="1:12" s="2" customFormat="1" ht="14.25" customHeight="1" x14ac:dyDescent="0.25">
      <c r="A34" s="36"/>
      <c r="B34" s="28"/>
      <c r="C34" s="44" t="s">
        <v>1541</v>
      </c>
      <c r="D34" s="43"/>
      <c r="E34" s="7">
        <f>+E32+E33</f>
        <v>118271835.33</v>
      </c>
      <c r="F34" s="22"/>
      <c r="G34" s="1"/>
      <c r="H34" s="1"/>
      <c r="I34" s="13" t="s">
        <v>1582</v>
      </c>
      <c r="J34" s="13" t="s">
        <v>1583</v>
      </c>
    </row>
    <row r="35" spans="1:12" s="2" customFormat="1" ht="14.25" customHeight="1" x14ac:dyDescent="0.25">
      <c r="A35" s="36"/>
      <c r="B35" s="28"/>
      <c r="C35" s="44" t="s">
        <v>1511</v>
      </c>
      <c r="D35" s="43"/>
      <c r="E35" s="38">
        <f>+J11+I7-J7</f>
        <v>1728164.6699999981</v>
      </c>
      <c r="F35" s="22"/>
      <c r="G35" s="1"/>
      <c r="H35" s="1"/>
      <c r="I35" s="2">
        <v>1230054</v>
      </c>
      <c r="J35" s="2">
        <v>2310501</v>
      </c>
      <c r="K35" s="176">
        <f>I35-J35</f>
        <v>-1080447</v>
      </c>
    </row>
    <row r="36" spans="1:12" s="2" customFormat="1" ht="14.25" customHeight="1" x14ac:dyDescent="0.2">
      <c r="A36" s="24"/>
      <c r="B36" s="1"/>
      <c r="C36" s="14"/>
      <c r="D36" s="25"/>
      <c r="G36" s="1"/>
      <c r="H36" s="1"/>
      <c r="J36" s="130"/>
      <c r="K36" s="130"/>
    </row>
    <row r="37" spans="1:12" s="2" customFormat="1" x14ac:dyDescent="0.2">
      <c r="A37" s="214" t="s">
        <v>10</v>
      </c>
      <c r="B37" s="214"/>
      <c r="C37" s="214"/>
      <c r="D37" s="214"/>
      <c r="E37" s="214"/>
      <c r="F37" s="214"/>
      <c r="G37" s="1"/>
      <c r="H37" s="1"/>
      <c r="I37" s="159"/>
      <c r="J37" s="160">
        <v>100000000</v>
      </c>
      <c r="K37" s="160" t="s">
        <v>1506</v>
      </c>
      <c r="L37" s="70"/>
    </row>
    <row r="38" spans="1:12" s="2" customFormat="1" ht="15" x14ac:dyDescent="0.35">
      <c r="A38" s="26" t="s">
        <v>1</v>
      </c>
      <c r="B38" s="27" t="s">
        <v>2</v>
      </c>
      <c r="C38" s="5"/>
      <c r="D38" s="6" t="s">
        <v>3</v>
      </c>
      <c r="E38" s="7" t="s">
        <v>4</v>
      </c>
      <c r="F38" s="7" t="s">
        <v>5</v>
      </c>
      <c r="G38" s="1"/>
      <c r="H38" s="1"/>
      <c r="I38" s="159"/>
      <c r="J38" s="179">
        <v>85282598.989999995</v>
      </c>
      <c r="K38" s="160" t="s">
        <v>1507</v>
      </c>
      <c r="L38" s="70" t="s">
        <v>1512</v>
      </c>
    </row>
    <row r="39" spans="1:12" s="2" customFormat="1" x14ac:dyDescent="0.2">
      <c r="A39" s="89">
        <v>45309</v>
      </c>
      <c r="B39" s="128" t="s">
        <v>11</v>
      </c>
      <c r="C39" s="29" t="s">
        <v>7</v>
      </c>
      <c r="D39" s="25"/>
      <c r="E39" s="31"/>
      <c r="F39" s="2">
        <v>87062565.559999958</v>
      </c>
      <c r="G39" s="23"/>
      <c r="H39" s="23"/>
      <c r="I39" s="159" t="s">
        <v>1505</v>
      </c>
      <c r="J39" s="160">
        <f>+J37-J38</f>
        <v>14717401.010000005</v>
      </c>
      <c r="K39" s="160"/>
      <c r="L39" s="70"/>
    </row>
    <row r="40" spans="1:12" s="2" customFormat="1" x14ac:dyDescent="0.2">
      <c r="A40" s="89">
        <v>45309</v>
      </c>
      <c r="B40" s="128" t="s">
        <v>6</v>
      </c>
      <c r="C40" s="76" t="s">
        <v>16</v>
      </c>
      <c r="D40" s="11" t="s">
        <v>13</v>
      </c>
      <c r="E40" s="31">
        <v>100000</v>
      </c>
      <c r="G40" s="23"/>
      <c r="H40" s="23"/>
      <c r="I40" s="159"/>
      <c r="J40" s="160"/>
      <c r="K40" s="160"/>
      <c r="L40" s="70"/>
    </row>
    <row r="41" spans="1:12" s="2" customFormat="1" x14ac:dyDescent="0.2">
      <c r="A41" s="89">
        <v>45309</v>
      </c>
      <c r="B41" s="128" t="s">
        <v>6</v>
      </c>
      <c r="C41" s="76" t="s">
        <v>1987</v>
      </c>
      <c r="D41" s="11" t="s">
        <v>13</v>
      </c>
      <c r="E41" s="31">
        <v>30.68</v>
      </c>
      <c r="G41" s="23"/>
      <c r="H41" s="23"/>
      <c r="I41" s="159"/>
      <c r="J41" s="160"/>
      <c r="K41" s="160"/>
      <c r="L41" s="70"/>
    </row>
    <row r="42" spans="1:12" s="2" customFormat="1" x14ac:dyDescent="0.2">
      <c r="A42" s="89">
        <v>45309</v>
      </c>
      <c r="B42" s="128" t="s">
        <v>6</v>
      </c>
      <c r="C42" s="76" t="s">
        <v>174</v>
      </c>
      <c r="D42" s="11" t="s">
        <v>13</v>
      </c>
      <c r="E42" s="31">
        <v>19157</v>
      </c>
      <c r="G42" s="23"/>
      <c r="H42" s="23"/>
      <c r="I42" s="159"/>
      <c r="J42" s="160"/>
      <c r="K42" s="160"/>
      <c r="L42" s="70"/>
    </row>
    <row r="43" spans="1:12" s="2" customFormat="1" x14ac:dyDescent="0.2">
      <c r="A43" s="89">
        <v>45309</v>
      </c>
      <c r="B43" s="128" t="s">
        <v>6</v>
      </c>
      <c r="C43" s="76" t="s">
        <v>757</v>
      </c>
      <c r="D43" s="11" t="s">
        <v>13</v>
      </c>
      <c r="E43" s="31">
        <v>711825.24</v>
      </c>
      <c r="G43" s="23"/>
      <c r="H43" s="23"/>
      <c r="I43" s="159"/>
      <c r="J43" s="160"/>
      <c r="K43" s="160"/>
      <c r="L43" s="70"/>
    </row>
    <row r="44" spans="1:12" s="2" customFormat="1" x14ac:dyDescent="0.2">
      <c r="A44" s="89">
        <v>45309</v>
      </c>
      <c r="B44" s="128" t="s">
        <v>6</v>
      </c>
      <c r="C44" s="76" t="s">
        <v>24</v>
      </c>
      <c r="D44" s="11" t="s">
        <v>13</v>
      </c>
      <c r="E44" s="31">
        <v>893433</v>
      </c>
      <c r="G44" s="23"/>
      <c r="H44" s="23"/>
      <c r="I44" s="159"/>
      <c r="J44" s="160"/>
      <c r="K44" s="160"/>
      <c r="L44" s="70"/>
    </row>
    <row r="45" spans="1:12" s="2" customFormat="1" x14ac:dyDescent="0.2">
      <c r="A45" s="89">
        <v>45309</v>
      </c>
      <c r="B45" s="128" t="s">
        <v>6</v>
      </c>
      <c r="C45" s="76" t="s">
        <v>19</v>
      </c>
      <c r="D45" s="11" t="s">
        <v>13</v>
      </c>
      <c r="E45" s="31">
        <v>321722</v>
      </c>
      <c r="G45" s="23"/>
      <c r="H45" s="23"/>
      <c r="I45" s="159"/>
      <c r="J45" s="160"/>
      <c r="K45" s="160"/>
      <c r="L45" s="70"/>
    </row>
    <row r="46" spans="1:12" s="2" customFormat="1" x14ac:dyDescent="0.2">
      <c r="A46" s="89">
        <v>45309</v>
      </c>
      <c r="B46" s="128" t="s">
        <v>6</v>
      </c>
      <c r="C46" s="76" t="s">
        <v>120</v>
      </c>
      <c r="D46" s="11" t="s">
        <v>13</v>
      </c>
      <c r="E46" s="31">
        <v>2717881</v>
      </c>
      <c r="G46" s="23"/>
      <c r="H46" s="23"/>
      <c r="I46" s="159"/>
      <c r="J46" s="160"/>
      <c r="K46" s="160"/>
      <c r="L46" s="70"/>
    </row>
    <row r="47" spans="1:12" s="2" customFormat="1" x14ac:dyDescent="0.2">
      <c r="A47" s="89">
        <v>45309</v>
      </c>
      <c r="B47" s="128" t="s">
        <v>6</v>
      </c>
      <c r="C47" s="76" t="s">
        <v>1986</v>
      </c>
      <c r="D47" s="11" t="s">
        <v>13</v>
      </c>
      <c r="E47" s="31">
        <v>4725</v>
      </c>
      <c r="G47" s="23"/>
      <c r="H47" s="23"/>
      <c r="I47" s="159"/>
      <c r="J47" s="160"/>
      <c r="K47" s="160"/>
      <c r="L47" s="70"/>
    </row>
    <row r="48" spans="1:12" s="2" customFormat="1" x14ac:dyDescent="0.2">
      <c r="A48" s="89">
        <v>45309</v>
      </c>
      <c r="B48" s="128" t="s">
        <v>6</v>
      </c>
      <c r="C48" s="76" t="s">
        <v>1270</v>
      </c>
      <c r="D48" s="11" t="s">
        <v>13</v>
      </c>
      <c r="E48" s="31">
        <v>12100</v>
      </c>
      <c r="G48" s="23"/>
      <c r="H48" s="23"/>
      <c r="I48" s="159"/>
      <c r="J48" s="160"/>
      <c r="K48" s="160"/>
      <c r="L48" s="70"/>
    </row>
    <row r="49" spans="1:15" s="2" customFormat="1" x14ac:dyDescent="0.2">
      <c r="A49" s="89">
        <v>45309</v>
      </c>
      <c r="B49" s="128" t="s">
        <v>6</v>
      </c>
      <c r="C49" s="76" t="s">
        <v>381</v>
      </c>
      <c r="D49" s="11" t="s">
        <v>13</v>
      </c>
      <c r="E49" s="31">
        <v>127103</v>
      </c>
      <c r="G49" s="23"/>
      <c r="H49" s="23"/>
      <c r="I49" s="159"/>
      <c r="J49" s="160"/>
      <c r="K49" s="160"/>
      <c r="L49" s="70"/>
    </row>
    <row r="50" spans="1:15" s="2" customFormat="1" x14ac:dyDescent="0.2">
      <c r="A50" s="89">
        <v>45309</v>
      </c>
      <c r="B50" s="128" t="s">
        <v>6</v>
      </c>
      <c r="C50" s="76" t="s">
        <v>326</v>
      </c>
      <c r="D50" s="11" t="s">
        <v>13</v>
      </c>
      <c r="E50" s="31">
        <v>200000</v>
      </c>
      <c r="G50" s="23"/>
      <c r="H50" s="23"/>
      <c r="I50" s="159"/>
      <c r="J50" s="160"/>
      <c r="K50" s="160"/>
      <c r="L50" s="70"/>
    </row>
    <row r="51" spans="1:15" s="2" customFormat="1" x14ac:dyDescent="0.2">
      <c r="A51" s="89">
        <v>45309</v>
      </c>
      <c r="B51" s="128" t="s">
        <v>6</v>
      </c>
      <c r="C51" s="76" t="s">
        <v>694</v>
      </c>
      <c r="D51" s="11" t="s">
        <v>13</v>
      </c>
      <c r="E51" s="31">
        <v>700000</v>
      </c>
      <c r="G51" s="23"/>
      <c r="H51" s="23"/>
      <c r="I51" s="159"/>
      <c r="J51" s="160"/>
      <c r="K51" s="160"/>
      <c r="L51" s="70"/>
    </row>
    <row r="52" spans="1:15" s="2" customFormat="1" x14ac:dyDescent="0.2">
      <c r="A52" s="89">
        <v>45309</v>
      </c>
      <c r="B52" s="128" t="s">
        <v>6</v>
      </c>
      <c r="C52" s="76" t="s">
        <v>320</v>
      </c>
      <c r="D52" s="11" t="s">
        <v>13</v>
      </c>
      <c r="E52" s="31">
        <v>297203</v>
      </c>
      <c r="G52" s="23"/>
      <c r="H52" s="23"/>
      <c r="I52" s="159"/>
      <c r="J52" s="160"/>
      <c r="K52" s="160"/>
      <c r="L52" s="70"/>
    </row>
    <row r="53" spans="1:15" s="2" customFormat="1" x14ac:dyDescent="0.2">
      <c r="A53" s="89">
        <v>45309</v>
      </c>
      <c r="B53" s="128" t="s">
        <v>6</v>
      </c>
      <c r="C53" s="76" t="s">
        <v>143</v>
      </c>
      <c r="D53" s="11" t="s">
        <v>13</v>
      </c>
      <c r="E53" s="31">
        <v>24661</v>
      </c>
      <c r="G53" s="23"/>
      <c r="H53" s="23"/>
      <c r="I53" s="159"/>
      <c r="J53" s="160"/>
      <c r="K53" s="160"/>
      <c r="L53" s="70"/>
    </row>
    <row r="54" spans="1:15" s="2" customFormat="1" x14ac:dyDescent="0.2">
      <c r="A54" s="89">
        <v>45309</v>
      </c>
      <c r="B54" s="128" t="s">
        <v>6</v>
      </c>
      <c r="C54" s="76" t="s">
        <v>877</v>
      </c>
      <c r="D54" s="11" t="s">
        <v>13</v>
      </c>
      <c r="E54" s="31">
        <v>8190</v>
      </c>
      <c r="G54" s="23"/>
      <c r="H54" s="23"/>
      <c r="I54" s="159"/>
      <c r="J54" s="160"/>
      <c r="K54" s="160"/>
      <c r="L54" s="70"/>
    </row>
    <row r="55" spans="1:15" s="2" customFormat="1" x14ac:dyDescent="0.2">
      <c r="A55" s="89">
        <v>45309</v>
      </c>
      <c r="B55" s="128" t="s">
        <v>6</v>
      </c>
      <c r="C55" s="76" t="s">
        <v>1621</v>
      </c>
      <c r="D55" s="11" t="s">
        <v>13</v>
      </c>
      <c r="E55" s="31">
        <v>79625</v>
      </c>
      <c r="G55" s="23"/>
      <c r="H55" s="23"/>
      <c r="I55" s="159"/>
      <c r="J55" s="160"/>
      <c r="K55" s="160"/>
      <c r="L55" s="70"/>
    </row>
    <row r="56" spans="1:15" s="2" customFormat="1" x14ac:dyDescent="0.2">
      <c r="A56" s="89">
        <v>45309</v>
      </c>
      <c r="B56" s="128" t="s">
        <v>6</v>
      </c>
      <c r="C56" s="76" t="s">
        <v>15</v>
      </c>
      <c r="D56" s="11" t="s">
        <v>13</v>
      </c>
      <c r="E56" s="31">
        <v>1446.65</v>
      </c>
      <c r="G56" s="23"/>
      <c r="H56" s="23"/>
      <c r="I56" s="159"/>
      <c r="J56" s="160"/>
      <c r="K56" s="160"/>
      <c r="L56" s="70"/>
    </row>
    <row r="57" spans="1:15" s="2" customFormat="1" x14ac:dyDescent="0.2">
      <c r="A57" s="89">
        <v>45309</v>
      </c>
      <c r="B57" s="128" t="s">
        <v>11</v>
      </c>
      <c r="C57" s="76" t="s">
        <v>64</v>
      </c>
      <c r="D57" s="11" t="s">
        <v>29</v>
      </c>
      <c r="E57" s="31"/>
      <c r="F57" s="2">
        <v>1593</v>
      </c>
      <c r="G57" s="23"/>
      <c r="H57" s="23"/>
      <c r="I57" s="159"/>
      <c r="J57" s="160"/>
      <c r="K57" s="160"/>
      <c r="L57" s="70"/>
    </row>
    <row r="58" spans="1:15" s="2" customFormat="1" x14ac:dyDescent="0.2">
      <c r="A58" s="89">
        <v>45309</v>
      </c>
      <c r="B58" s="128" t="s">
        <v>11</v>
      </c>
      <c r="C58" s="76" t="s">
        <v>284</v>
      </c>
      <c r="D58" s="11" t="s">
        <v>29</v>
      </c>
      <c r="E58" s="31"/>
      <c r="F58" s="2">
        <v>2263853</v>
      </c>
      <c r="G58" s="23"/>
      <c r="H58" s="23"/>
      <c r="I58" s="159"/>
      <c r="J58" s="160"/>
      <c r="K58" s="160"/>
      <c r="L58" s="70"/>
    </row>
    <row r="59" spans="1:15" s="2" customFormat="1" x14ac:dyDescent="0.2">
      <c r="A59" s="89">
        <v>45309</v>
      </c>
      <c r="B59" s="128" t="s">
        <v>11</v>
      </c>
      <c r="C59" s="76" t="s">
        <v>269</v>
      </c>
      <c r="D59" s="11" t="s">
        <v>29</v>
      </c>
      <c r="E59" s="31"/>
      <c r="F59" s="2">
        <v>3254137</v>
      </c>
      <c r="G59" s="23"/>
      <c r="H59" s="23"/>
      <c r="I59" s="159"/>
      <c r="J59" s="160"/>
      <c r="K59" s="160"/>
      <c r="L59" s="70"/>
    </row>
    <row r="60" spans="1:15" s="2" customFormat="1" x14ac:dyDescent="0.2">
      <c r="A60" s="32"/>
      <c r="B60" s="33"/>
      <c r="C60" s="14"/>
      <c r="D60" s="34"/>
      <c r="E60" s="16">
        <f>SUM(E39:E59)</f>
        <v>6219102.5700000003</v>
      </c>
      <c r="F60" s="16">
        <f>SUM(F39:F59)</f>
        <v>92582148.559999958</v>
      </c>
      <c r="G60" s="1"/>
      <c r="H60" s="1"/>
      <c r="I60" s="1"/>
      <c r="J60" s="38">
        <v>86363045.989999995</v>
      </c>
      <c r="L60" s="92">
        <f>E61-J60</f>
        <v>0</v>
      </c>
      <c r="O60" s="1"/>
    </row>
    <row r="61" spans="1:15" s="2" customFormat="1" x14ac:dyDescent="0.2">
      <c r="A61" s="36"/>
      <c r="B61" s="28" t="s">
        <v>11</v>
      </c>
      <c r="C61" s="19" t="s">
        <v>65</v>
      </c>
      <c r="D61" s="37"/>
      <c r="E61" s="38">
        <f>F60-E60</f>
        <v>86363045.98999995</v>
      </c>
      <c r="F61" s="22"/>
      <c r="G61" s="1"/>
      <c r="H61" s="1"/>
      <c r="I61" s="1"/>
      <c r="J61" s="70"/>
      <c r="K61" s="70"/>
      <c r="L61" s="70"/>
      <c r="O61" s="1"/>
    </row>
    <row r="62" spans="1:15" s="2" customFormat="1" x14ac:dyDescent="0.2">
      <c r="A62" s="36"/>
      <c r="B62" s="28" t="s">
        <v>66</v>
      </c>
      <c r="C62" s="19" t="s">
        <v>67</v>
      </c>
      <c r="D62" s="37"/>
      <c r="E62" s="38">
        <v>11500000</v>
      </c>
      <c r="F62" s="22"/>
      <c r="G62" s="1"/>
      <c r="H62" s="1"/>
      <c r="I62" s="70"/>
      <c r="J62" s="70"/>
      <c r="K62" s="70"/>
      <c r="L62" s="70"/>
      <c r="O62" s="1"/>
    </row>
    <row r="63" spans="1:15" s="2" customFormat="1" x14ac:dyDescent="0.2">
      <c r="A63" s="36"/>
      <c r="B63" s="28" t="s">
        <v>66</v>
      </c>
      <c r="C63" s="43" t="s">
        <v>1457</v>
      </c>
      <c r="D63" s="43"/>
      <c r="E63" s="12">
        <v>400000000</v>
      </c>
      <c r="F63" s="22"/>
      <c r="G63" s="1"/>
      <c r="H63" s="1"/>
      <c r="I63" s="70"/>
      <c r="J63" s="45">
        <v>1002.2</v>
      </c>
      <c r="K63" s="46"/>
      <c r="L63" s="46"/>
      <c r="O63" s="1"/>
    </row>
    <row r="64" spans="1:15" s="2" customFormat="1" ht="15" x14ac:dyDescent="0.25">
      <c r="A64" s="36"/>
      <c r="B64" s="28"/>
      <c r="C64" s="44" t="s">
        <v>1541</v>
      </c>
      <c r="D64" s="43"/>
      <c r="E64" s="7">
        <f>+E63+E61+E62</f>
        <v>497863045.98999995</v>
      </c>
      <c r="F64" s="22"/>
      <c r="G64" s="1"/>
      <c r="H64" s="1"/>
      <c r="I64" s="103" t="s">
        <v>69</v>
      </c>
      <c r="J64" s="45">
        <v>-54.36</v>
      </c>
      <c r="K64" s="46"/>
      <c r="L64" s="46"/>
      <c r="O64" s="1"/>
    </row>
    <row r="65" spans="1:15" s="2" customFormat="1" ht="15" x14ac:dyDescent="0.25">
      <c r="A65" s="24"/>
      <c r="B65" s="1"/>
      <c r="C65" s="44" t="s">
        <v>1510</v>
      </c>
      <c r="D65" s="25"/>
      <c r="E65" s="156">
        <f>+J39-E62+I35-J35</f>
        <v>2136954.0100000054</v>
      </c>
      <c r="G65" s="1"/>
      <c r="H65" s="1"/>
      <c r="I65" s="35">
        <v>1</v>
      </c>
      <c r="J65" s="45">
        <v>29.99</v>
      </c>
      <c r="K65" s="46">
        <f>+J66-D68</f>
        <v>0</v>
      </c>
      <c r="O65" s="1"/>
    </row>
    <row r="66" spans="1:15" s="124" customFormat="1" ht="12.75" customHeight="1" x14ac:dyDescent="0.2">
      <c r="A66" s="24"/>
      <c r="B66" s="1"/>
      <c r="C66" s="56"/>
      <c r="D66" s="56"/>
      <c r="E66" s="104"/>
      <c r="F66" s="2"/>
      <c r="G66" s="166"/>
      <c r="H66" s="166"/>
      <c r="I66" s="70"/>
      <c r="J66" s="49">
        <f>SUM(J63:J65)</f>
        <v>977.83</v>
      </c>
      <c r="K66" s="46"/>
      <c r="L66" s="46"/>
    </row>
    <row r="67" spans="1:15" s="124" customFormat="1" ht="12.75" customHeight="1" x14ac:dyDescent="0.2">
      <c r="A67" s="24"/>
      <c r="B67" s="1"/>
      <c r="C67" s="78" t="s">
        <v>575</v>
      </c>
      <c r="D67" s="48" t="s">
        <v>576</v>
      </c>
      <c r="E67" s="104"/>
      <c r="F67" s="2"/>
      <c r="G67" s="168"/>
      <c r="H67" s="168"/>
      <c r="I67" s="167"/>
      <c r="J67" s="167"/>
      <c r="K67" s="168"/>
    </row>
    <row r="68" spans="1:15" s="124" customFormat="1" ht="12.75" customHeight="1" x14ac:dyDescent="0.2">
      <c r="A68" s="24"/>
      <c r="B68" s="1"/>
      <c r="C68" s="47" t="s">
        <v>570</v>
      </c>
      <c r="D68" s="111">
        <v>977.83</v>
      </c>
      <c r="E68" s="104"/>
      <c r="F68" s="2"/>
      <c r="G68" s="168"/>
      <c r="H68" s="168"/>
      <c r="I68" s="110" t="s">
        <v>581</v>
      </c>
      <c r="J68" s="167"/>
      <c r="K68" s="168"/>
    </row>
    <row r="69" spans="1:15" s="124" customFormat="1" ht="12.75" customHeight="1" x14ac:dyDescent="0.2">
      <c r="A69" s="24"/>
      <c r="B69" s="1"/>
      <c r="C69" s="47" t="s">
        <v>931</v>
      </c>
      <c r="D69" s="111">
        <v>131.06</v>
      </c>
      <c r="E69" s="104"/>
      <c r="F69" s="2"/>
      <c r="G69" s="168"/>
      <c r="H69" s="168"/>
      <c r="I69" s="110" t="s">
        <v>580</v>
      </c>
      <c r="J69" s="167"/>
      <c r="K69" s="168"/>
    </row>
    <row r="70" spans="1:15" s="124" customFormat="1" ht="12.75" customHeight="1" x14ac:dyDescent="0.2">
      <c r="A70" s="24"/>
      <c r="B70" s="1"/>
      <c r="C70" s="47" t="s">
        <v>572</v>
      </c>
      <c r="D70" s="111">
        <f>+D105/100000</f>
        <v>487.35900340000006</v>
      </c>
      <c r="E70" s="104"/>
      <c r="F70" s="2"/>
      <c r="G70" s="166"/>
      <c r="H70" s="166"/>
      <c r="I70" s="90" t="s">
        <v>587</v>
      </c>
      <c r="J70" s="167"/>
      <c r="K70" s="168"/>
    </row>
    <row r="71" spans="1:15" s="2" customFormat="1" x14ac:dyDescent="0.2">
      <c r="A71" s="24"/>
      <c r="B71" s="1"/>
      <c r="C71" s="108" t="s">
        <v>578</v>
      </c>
      <c r="D71" s="48">
        <f>SUM(D68:D70)</f>
        <v>1596.2490034000002</v>
      </c>
      <c r="E71" s="104"/>
      <c r="G71" s="30"/>
      <c r="H71" s="30"/>
      <c r="J71" s="13"/>
      <c r="K71" s="13"/>
    </row>
    <row r="72" spans="1:15" s="70" customFormat="1" x14ac:dyDescent="0.2">
      <c r="A72" s="24"/>
      <c r="B72" s="1"/>
      <c r="C72" s="47"/>
      <c r="D72" s="107"/>
      <c r="E72" s="104"/>
      <c r="F72" s="2"/>
      <c r="G72" s="30"/>
      <c r="H72" s="30"/>
      <c r="I72" s="2"/>
    </row>
    <row r="73" spans="1:15" s="70" customFormat="1" x14ac:dyDescent="0.2">
      <c r="A73" s="24"/>
      <c r="B73" s="1"/>
      <c r="C73" s="47" t="s">
        <v>932</v>
      </c>
      <c r="D73" s="111">
        <v>217.78</v>
      </c>
      <c r="E73" s="104"/>
      <c r="F73" s="2"/>
      <c r="G73" s="30"/>
      <c r="H73" s="30"/>
      <c r="I73" s="110" t="s">
        <v>581</v>
      </c>
    </row>
    <row r="74" spans="1:15" s="70" customFormat="1" x14ac:dyDescent="0.2">
      <c r="A74" s="24"/>
      <c r="B74" s="1"/>
      <c r="C74" s="136" t="s">
        <v>1142</v>
      </c>
      <c r="D74" s="111">
        <v>791.75</v>
      </c>
      <c r="E74" s="104"/>
      <c r="F74" s="2"/>
      <c r="G74" s="30"/>
      <c r="H74" s="30"/>
      <c r="I74" s="110" t="s">
        <v>581</v>
      </c>
    </row>
    <row r="75" spans="1:15" s="70" customFormat="1" x14ac:dyDescent="0.2">
      <c r="A75" s="24"/>
      <c r="B75" s="1"/>
      <c r="C75" s="78" t="s">
        <v>579</v>
      </c>
      <c r="D75" s="109">
        <f>D73+D74</f>
        <v>1009.53</v>
      </c>
      <c r="E75" s="104"/>
      <c r="F75" s="2"/>
      <c r="G75" s="30"/>
      <c r="H75" s="30"/>
    </row>
    <row r="76" spans="1:15" s="70" customFormat="1" x14ac:dyDescent="0.2">
      <c r="A76" s="24"/>
      <c r="B76" s="1"/>
      <c r="C76" s="105"/>
      <c r="D76" s="106"/>
      <c r="E76" s="104"/>
      <c r="F76" s="2"/>
      <c r="G76" s="30"/>
      <c r="H76" s="30"/>
      <c r="J76" s="2"/>
      <c r="K76" s="221" t="str">
        <f>"FROM ( 01-01-2024 to "&amp;TEXT(A5,"dd-mm-yyyy")&amp;" )"</f>
        <v>FROM ( 01-01-2024 to 18-01-2024 )</v>
      </c>
      <c r="L76" s="221"/>
      <c r="M76" s="2"/>
      <c r="N76" s="2"/>
    </row>
    <row r="77" spans="1:15" s="70" customFormat="1" x14ac:dyDescent="0.2">
      <c r="A77" s="24"/>
      <c r="B77" s="1"/>
      <c r="C77" s="78" t="s">
        <v>577</v>
      </c>
      <c r="D77" s="109">
        <f>D68+D75</f>
        <v>1987.3600000000001</v>
      </c>
      <c r="E77" s="104"/>
      <c r="F77" s="2"/>
      <c r="G77" s="30"/>
      <c r="H77" s="30"/>
      <c r="J77" s="113"/>
      <c r="K77" s="113" t="s">
        <v>709</v>
      </c>
      <c r="L77" s="113" t="s">
        <v>710</v>
      </c>
      <c r="M77" s="113" t="s">
        <v>711</v>
      </c>
      <c r="N77" s="113" t="s">
        <v>712</v>
      </c>
    </row>
    <row r="78" spans="1:15" s="70" customFormat="1" x14ac:dyDescent="0.2">
      <c r="A78" s="24"/>
      <c r="B78" s="1"/>
      <c r="C78" s="56"/>
      <c r="D78" s="56"/>
      <c r="E78" s="104"/>
      <c r="F78" s="2"/>
      <c r="G78" s="30"/>
      <c r="H78" s="30"/>
      <c r="J78" s="113" t="s">
        <v>1860</v>
      </c>
      <c r="K78" s="115">
        <v>189.89</v>
      </c>
      <c r="L78" s="115">
        <v>56.31</v>
      </c>
      <c r="M78" s="115">
        <v>58.41</v>
      </c>
      <c r="N78" s="113">
        <f>+K78+M78-L78</f>
        <v>191.98999999999998</v>
      </c>
    </row>
    <row r="79" spans="1:15" s="70" customFormat="1" ht="38.25" x14ac:dyDescent="0.2">
      <c r="A79" s="24"/>
      <c r="B79" s="1"/>
      <c r="C79" s="79" t="str">
        <f>"Particulars ( 01-01-2024 to "&amp;TEXT(A5,"dd-mm-yyyy")&amp;" )"</f>
        <v>Particulars ( 01-01-2024 to 18-01-2024 )</v>
      </c>
      <c r="D79" s="79" t="s">
        <v>7</v>
      </c>
      <c r="E79" s="80" t="s">
        <v>73</v>
      </c>
      <c r="F79" s="80" t="s">
        <v>74</v>
      </c>
      <c r="G79" s="81" t="s">
        <v>75</v>
      </c>
      <c r="H79" s="80" t="s">
        <v>76</v>
      </c>
      <c r="J79" s="113" t="s">
        <v>1861</v>
      </c>
      <c r="K79" s="115">
        <v>1670.5</v>
      </c>
      <c r="L79" s="115">
        <v>487.36</v>
      </c>
      <c r="M79" s="115">
        <v>789.65</v>
      </c>
      <c r="N79" s="113">
        <f>+K79+M79-L79</f>
        <v>1972.79</v>
      </c>
    </row>
    <row r="80" spans="1:15" s="70" customFormat="1" x14ac:dyDescent="0.2">
      <c r="A80" s="24"/>
      <c r="B80" s="1"/>
      <c r="C80" s="50" t="s">
        <v>444</v>
      </c>
      <c r="D80" s="55">
        <f>+K80</f>
        <v>140.88</v>
      </c>
      <c r="E80" s="55">
        <f>+M80</f>
        <v>217.78</v>
      </c>
      <c r="F80" s="55">
        <f>+L80</f>
        <v>131.06</v>
      </c>
      <c r="G80" s="55">
        <f>+D80+E80-F80</f>
        <v>227.59999999999997</v>
      </c>
      <c r="H80" s="55">
        <f>1500-G80</f>
        <v>1272.4000000000001</v>
      </c>
      <c r="J80" s="113" t="s">
        <v>707</v>
      </c>
      <c r="K80" s="115">
        <v>140.88</v>
      </c>
      <c r="L80" s="115">
        <v>131.06</v>
      </c>
      <c r="M80" s="115">
        <v>217.78</v>
      </c>
      <c r="N80" s="113">
        <f>+K80+M80-L80</f>
        <v>227.59999999999997</v>
      </c>
    </row>
    <row r="81" spans="1:15" s="70" customFormat="1" ht="12.75" customHeight="1" x14ac:dyDescent="0.2">
      <c r="A81" s="24"/>
      <c r="B81" s="1"/>
      <c r="C81" s="50" t="s">
        <v>71</v>
      </c>
      <c r="D81" s="55">
        <f>+K78+K79</f>
        <v>1860.3899999999999</v>
      </c>
      <c r="E81" s="55">
        <f>+M78+M79</f>
        <v>848.06</v>
      </c>
      <c r="F81" s="55">
        <f>+L78+L79</f>
        <v>543.67000000000007</v>
      </c>
      <c r="G81" s="55">
        <f>+D81+E81-F81</f>
        <v>2164.7799999999997</v>
      </c>
      <c r="H81" s="55">
        <f>1500+700+200-G81</f>
        <v>235.22000000000025</v>
      </c>
      <c r="J81" s="2"/>
      <c r="K81" s="118">
        <f>SUM(K78:K80)</f>
        <v>2001.27</v>
      </c>
      <c r="L81" s="118">
        <f>SUM(L78:L80)</f>
        <v>674.73</v>
      </c>
      <c r="M81" s="118">
        <f>SUM(M78:M80)</f>
        <v>1065.8399999999999</v>
      </c>
      <c r="N81" s="118">
        <f>SUM(N78:N80)</f>
        <v>2392.3799999999997</v>
      </c>
    </row>
    <row r="82" spans="1:15" s="70" customFormat="1" ht="12.75" customHeight="1" x14ac:dyDescent="0.2">
      <c r="A82" s="24"/>
      <c r="B82" s="1"/>
      <c r="C82" s="14"/>
      <c r="D82" s="56"/>
      <c r="E82" s="13"/>
      <c r="F82" s="2"/>
      <c r="G82" s="30"/>
      <c r="H82" s="30"/>
    </row>
    <row r="83" spans="1:15" s="70" customFormat="1" ht="12.75" customHeight="1" x14ac:dyDescent="0.2">
      <c r="A83" s="215" t="s">
        <v>80</v>
      </c>
      <c r="B83" s="216"/>
      <c r="C83" s="216"/>
      <c r="D83" s="217"/>
      <c r="E83" s="69"/>
      <c r="G83" s="30"/>
      <c r="H83" s="30"/>
    </row>
    <row r="84" spans="1:15" s="70" customFormat="1" ht="12.75" customHeight="1" x14ac:dyDescent="0.2">
      <c r="A84" s="71" t="s">
        <v>81</v>
      </c>
      <c r="B84" s="71"/>
      <c r="C84" s="72" t="s">
        <v>82</v>
      </c>
      <c r="D84" s="73" t="s">
        <v>83</v>
      </c>
      <c r="E84" s="69"/>
      <c r="G84" s="30"/>
      <c r="H84" s="30"/>
    </row>
    <row r="85" spans="1:15" s="70" customFormat="1" ht="12.75" customHeight="1" x14ac:dyDescent="0.2">
      <c r="A85" s="87">
        <v>45292</v>
      </c>
      <c r="B85" s="120" t="s">
        <v>6</v>
      </c>
      <c r="C85" s="75" t="s">
        <v>1933</v>
      </c>
      <c r="D85" s="88">
        <v>7583470</v>
      </c>
      <c r="E85" s="2"/>
      <c r="F85" s="2"/>
      <c r="G85" s="30"/>
      <c r="H85" s="30"/>
      <c r="I85" s="2"/>
      <c r="J85" s="2"/>
      <c r="K85" s="2"/>
      <c r="L85" s="2"/>
      <c r="M85" s="41"/>
      <c r="N85" s="42"/>
      <c r="O85" s="2"/>
    </row>
    <row r="86" spans="1:15" s="70" customFormat="1" ht="12.75" customHeight="1" x14ac:dyDescent="0.2">
      <c r="A86" s="87">
        <v>45293</v>
      </c>
      <c r="B86" s="120" t="s">
        <v>6</v>
      </c>
      <c r="C86" s="75" t="s">
        <v>1934</v>
      </c>
      <c r="D86" s="88">
        <v>124988</v>
      </c>
      <c r="E86" s="2"/>
      <c r="F86" s="2"/>
      <c r="G86" s="30"/>
      <c r="H86" s="30"/>
      <c r="I86" s="2"/>
      <c r="J86" s="2"/>
      <c r="K86" s="2"/>
      <c r="L86" s="2"/>
      <c r="M86" s="41"/>
      <c r="N86" s="42"/>
      <c r="O86" s="2"/>
    </row>
    <row r="87" spans="1:15" s="70" customFormat="1" ht="12.75" customHeight="1" x14ac:dyDescent="0.2">
      <c r="A87" s="87">
        <v>45294</v>
      </c>
      <c r="B87" s="120" t="s">
        <v>6</v>
      </c>
      <c r="C87" s="75" t="s">
        <v>606</v>
      </c>
      <c r="D87" s="88">
        <v>260191</v>
      </c>
      <c r="E87" s="2"/>
      <c r="F87" s="2"/>
      <c r="G87" s="30"/>
      <c r="H87" s="30"/>
      <c r="I87" s="2"/>
      <c r="J87" s="2"/>
      <c r="K87" s="2"/>
      <c r="L87" s="2"/>
      <c r="M87" s="41"/>
      <c r="N87" s="42"/>
      <c r="O87" s="2"/>
    </row>
    <row r="88" spans="1:15" s="70" customFormat="1" ht="12.75" customHeight="1" x14ac:dyDescent="0.2">
      <c r="A88" s="87">
        <v>45294</v>
      </c>
      <c r="B88" s="120" t="s">
        <v>6</v>
      </c>
      <c r="C88" s="75" t="s">
        <v>888</v>
      </c>
      <c r="D88" s="88">
        <v>2431991.34</v>
      </c>
      <c r="E88" s="2"/>
      <c r="F88" s="2"/>
      <c r="G88" s="30"/>
      <c r="H88" s="30"/>
      <c r="I88" s="2"/>
      <c r="J88" s="2"/>
      <c r="K88" s="2"/>
      <c r="L88" s="2"/>
      <c r="M88" s="41"/>
      <c r="N88" s="42"/>
      <c r="O88" s="2"/>
    </row>
    <row r="89" spans="1:15" s="70" customFormat="1" ht="12.75" customHeight="1" x14ac:dyDescent="0.2">
      <c r="A89" s="87">
        <v>45295</v>
      </c>
      <c r="B89" s="120" t="s">
        <v>6</v>
      </c>
      <c r="C89" s="75" t="s">
        <v>1944</v>
      </c>
      <c r="D89" s="88">
        <v>23655</v>
      </c>
      <c r="E89" s="2"/>
      <c r="F89" s="2"/>
      <c r="G89" s="30"/>
      <c r="H89" s="30"/>
      <c r="I89" s="2"/>
      <c r="J89" s="2"/>
      <c r="K89" s="2"/>
      <c r="L89" s="2"/>
      <c r="M89" s="41"/>
      <c r="N89" s="42"/>
      <c r="O89" s="2"/>
    </row>
    <row r="90" spans="1:15" s="70" customFormat="1" ht="12.75" customHeight="1" x14ac:dyDescent="0.2">
      <c r="A90" s="87">
        <v>45295</v>
      </c>
      <c r="B90" s="120" t="s">
        <v>6</v>
      </c>
      <c r="C90" s="75" t="s">
        <v>1944</v>
      </c>
      <c r="D90" s="88">
        <v>321576</v>
      </c>
      <c r="E90" s="2"/>
      <c r="F90" s="2"/>
      <c r="G90" s="30"/>
      <c r="H90" s="30"/>
      <c r="I90" s="2"/>
      <c r="J90" s="2"/>
      <c r="K90" s="2"/>
      <c r="L90" s="2"/>
      <c r="M90" s="41"/>
      <c r="N90" s="42"/>
      <c r="O90" s="2"/>
    </row>
    <row r="91" spans="1:15" s="70" customFormat="1" ht="12.75" customHeight="1" x14ac:dyDescent="0.2">
      <c r="A91" s="87">
        <v>45295</v>
      </c>
      <c r="B91" s="120" t="s">
        <v>6</v>
      </c>
      <c r="C91" s="75" t="s">
        <v>1944</v>
      </c>
      <c r="D91" s="88">
        <v>430832</v>
      </c>
      <c r="E91" s="2"/>
      <c r="F91" s="2"/>
      <c r="G91" s="30"/>
      <c r="H91" s="30"/>
      <c r="I91" s="2"/>
      <c r="J91" s="2"/>
      <c r="K91" s="2"/>
      <c r="L91" s="2"/>
      <c r="M91" s="41"/>
      <c r="N91" s="42"/>
      <c r="O91" s="2"/>
    </row>
    <row r="92" spans="1:15" s="70" customFormat="1" ht="12.75" customHeight="1" x14ac:dyDescent="0.2">
      <c r="A92" s="87">
        <v>45295</v>
      </c>
      <c r="B92" s="120" t="s">
        <v>6</v>
      </c>
      <c r="C92" s="75" t="s">
        <v>1934</v>
      </c>
      <c r="D92" s="88">
        <v>892589</v>
      </c>
      <c r="E92" s="2"/>
      <c r="F92" s="2"/>
      <c r="G92" s="30"/>
      <c r="H92" s="30"/>
      <c r="I92" s="2"/>
      <c r="J92" s="2"/>
      <c r="K92" s="2"/>
      <c r="L92" s="2"/>
      <c r="M92" s="41"/>
      <c r="N92" s="42"/>
      <c r="O92" s="2"/>
    </row>
    <row r="93" spans="1:15" s="70" customFormat="1" ht="12.75" customHeight="1" x14ac:dyDescent="0.2">
      <c r="A93" s="87">
        <v>45299</v>
      </c>
      <c r="B93" s="120" t="s">
        <v>6</v>
      </c>
      <c r="C93" s="75" t="s">
        <v>1933</v>
      </c>
      <c r="D93" s="88">
        <v>8143487</v>
      </c>
      <c r="E93" s="2"/>
      <c r="F93" s="2"/>
      <c r="G93" s="30"/>
      <c r="H93" s="30"/>
      <c r="I93" s="2"/>
      <c r="J93" s="2"/>
      <c r="K93" s="2"/>
      <c r="L93" s="2"/>
      <c r="M93" s="41"/>
      <c r="N93" s="42"/>
      <c r="O93" s="2"/>
    </row>
    <row r="94" spans="1:15" s="70" customFormat="1" ht="12.75" customHeight="1" x14ac:dyDescent="0.2">
      <c r="A94" s="87">
        <v>45299</v>
      </c>
      <c r="B94" s="120" t="s">
        <v>6</v>
      </c>
      <c r="C94" s="75" t="s">
        <v>606</v>
      </c>
      <c r="D94" s="88">
        <v>487316</v>
      </c>
      <c r="E94" s="2"/>
      <c r="F94" s="2"/>
      <c r="G94" s="30"/>
      <c r="H94" s="30"/>
      <c r="I94" s="2"/>
      <c r="J94" s="2"/>
      <c r="K94" s="2"/>
      <c r="L94" s="2"/>
      <c r="M94" s="41"/>
      <c r="N94" s="42"/>
      <c r="O94" s="2"/>
    </row>
    <row r="95" spans="1:15" s="70" customFormat="1" ht="12.75" customHeight="1" x14ac:dyDescent="0.2">
      <c r="A95" s="87">
        <v>45301</v>
      </c>
      <c r="B95" s="120" t="s">
        <v>6</v>
      </c>
      <c r="C95" s="75" t="s">
        <v>1933</v>
      </c>
      <c r="D95" s="88">
        <v>2690</v>
      </c>
      <c r="E95" s="2"/>
      <c r="F95" s="2"/>
      <c r="G95" s="30"/>
      <c r="H95" s="30"/>
      <c r="I95" s="2"/>
      <c r="J95" s="2"/>
      <c r="K95" s="2"/>
      <c r="L95" s="2"/>
      <c r="M95" s="41"/>
      <c r="N95" s="42"/>
      <c r="O95" s="2"/>
    </row>
    <row r="96" spans="1:15" s="70" customFormat="1" ht="12.75" customHeight="1" x14ac:dyDescent="0.2">
      <c r="A96" s="87">
        <v>45301</v>
      </c>
      <c r="B96" s="120" t="s">
        <v>6</v>
      </c>
      <c r="C96" s="75" t="s">
        <v>1933</v>
      </c>
      <c r="D96" s="88">
        <v>2133516</v>
      </c>
      <c r="E96" s="2"/>
      <c r="F96" s="2"/>
      <c r="G96" s="30"/>
      <c r="H96" s="30"/>
      <c r="I96" s="2"/>
      <c r="J96" s="2"/>
      <c r="K96" s="2"/>
      <c r="L96" s="2"/>
      <c r="M96" s="41"/>
      <c r="N96" s="42"/>
      <c r="O96" s="2"/>
    </row>
    <row r="97" spans="1:15" s="70" customFormat="1" ht="12.75" customHeight="1" x14ac:dyDescent="0.2">
      <c r="A97" s="87">
        <v>45302</v>
      </c>
      <c r="B97" s="120" t="s">
        <v>6</v>
      </c>
      <c r="C97" s="75" t="s">
        <v>1084</v>
      </c>
      <c r="D97" s="88">
        <v>3000000</v>
      </c>
      <c r="E97" s="2"/>
      <c r="F97" s="2"/>
      <c r="G97" s="30"/>
      <c r="H97" s="30"/>
      <c r="I97" s="2"/>
      <c r="J97" s="2"/>
      <c r="K97" s="2"/>
      <c r="L97" s="2"/>
      <c r="M97" s="41"/>
      <c r="N97" s="42"/>
      <c r="O97" s="2"/>
    </row>
    <row r="98" spans="1:15" s="70" customFormat="1" ht="12.75" customHeight="1" x14ac:dyDescent="0.2">
      <c r="A98" s="87">
        <v>45303</v>
      </c>
      <c r="B98" s="120" t="s">
        <v>6</v>
      </c>
      <c r="C98" s="75" t="s">
        <v>1933</v>
      </c>
      <c r="D98" s="88">
        <v>5893097</v>
      </c>
      <c r="E98" s="2"/>
      <c r="F98" s="2"/>
      <c r="G98" s="30"/>
      <c r="H98" s="30"/>
      <c r="I98" s="2"/>
      <c r="J98" s="2"/>
      <c r="K98" s="2"/>
      <c r="L98" s="2"/>
      <c r="M98" s="41"/>
      <c r="N98" s="42"/>
      <c r="O98" s="2"/>
    </row>
    <row r="99" spans="1:15" s="70" customFormat="1" ht="12.75" customHeight="1" x14ac:dyDescent="0.2">
      <c r="A99" s="87">
        <v>45303</v>
      </c>
      <c r="B99" s="120" t="s">
        <v>6</v>
      </c>
      <c r="C99" s="75" t="s">
        <v>1977</v>
      </c>
      <c r="D99" s="88">
        <v>500000</v>
      </c>
      <c r="E99" s="2"/>
      <c r="F99" s="2"/>
      <c r="G99" s="30"/>
      <c r="H99" s="30"/>
      <c r="I99" s="2"/>
      <c r="J99" s="2"/>
      <c r="K99" s="2"/>
      <c r="L99" s="2"/>
      <c r="M99" s="41"/>
      <c r="N99" s="42"/>
      <c r="O99" s="2"/>
    </row>
    <row r="100" spans="1:15" s="70" customFormat="1" ht="12.75" customHeight="1" x14ac:dyDescent="0.2">
      <c r="A100" s="87">
        <v>45307</v>
      </c>
      <c r="B100" s="120" t="s">
        <v>6</v>
      </c>
      <c r="C100" s="75" t="s">
        <v>1933</v>
      </c>
      <c r="D100" s="88">
        <v>3572610</v>
      </c>
      <c r="E100" s="2"/>
      <c r="F100" s="2"/>
      <c r="G100" s="30"/>
      <c r="H100" s="30"/>
      <c r="I100" s="2"/>
      <c r="J100" s="2"/>
      <c r="K100" s="2"/>
      <c r="L100" s="2"/>
      <c r="M100" s="41"/>
      <c r="N100" s="42"/>
      <c r="O100" s="2"/>
    </row>
    <row r="101" spans="1:15" s="70" customFormat="1" ht="12.75" customHeight="1" x14ac:dyDescent="0.2">
      <c r="A101" s="87">
        <v>45307</v>
      </c>
      <c r="B101" s="120" t="s">
        <v>6</v>
      </c>
      <c r="C101" s="75" t="s">
        <v>1944</v>
      </c>
      <c r="D101" s="88">
        <v>4109147</v>
      </c>
      <c r="E101" s="2"/>
      <c r="F101" s="2"/>
      <c r="G101" s="30"/>
      <c r="H101" s="30"/>
      <c r="I101" s="2"/>
      <c r="J101" s="2"/>
      <c r="K101" s="2"/>
      <c r="L101" s="2"/>
      <c r="M101" s="41"/>
      <c r="N101" s="42"/>
      <c r="O101" s="2"/>
    </row>
    <row r="102" spans="1:15" s="70" customFormat="1" ht="12.75" customHeight="1" x14ac:dyDescent="0.2">
      <c r="A102" s="87">
        <v>45307</v>
      </c>
      <c r="B102" s="120" t="s">
        <v>6</v>
      </c>
      <c r="C102" s="75" t="s">
        <v>1944</v>
      </c>
      <c r="D102" s="88">
        <v>1168867</v>
      </c>
      <c r="E102" s="2"/>
      <c r="F102" s="2"/>
      <c r="G102" s="30"/>
      <c r="H102" s="30"/>
      <c r="I102" s="2"/>
      <c r="J102" s="2"/>
      <c r="K102" s="2"/>
      <c r="L102" s="2"/>
      <c r="M102" s="41"/>
      <c r="N102" s="42"/>
      <c r="O102" s="2"/>
    </row>
    <row r="103" spans="1:15" s="70" customFormat="1" ht="12.75" customHeight="1" x14ac:dyDescent="0.2">
      <c r="A103" s="87">
        <v>45307</v>
      </c>
      <c r="B103" s="120" t="s">
        <v>6</v>
      </c>
      <c r="C103" s="75" t="s">
        <v>1988</v>
      </c>
      <c r="D103" s="88">
        <v>175195</v>
      </c>
      <c r="E103" s="2"/>
      <c r="F103" s="2"/>
      <c r="G103" s="30"/>
      <c r="H103" s="30"/>
      <c r="I103" s="2"/>
      <c r="J103" s="2"/>
      <c r="K103" s="2"/>
      <c r="L103" s="2"/>
      <c r="M103" s="41"/>
      <c r="N103" s="42"/>
      <c r="O103" s="2"/>
    </row>
    <row r="104" spans="1:15" s="70" customFormat="1" ht="12.75" customHeight="1" x14ac:dyDescent="0.2">
      <c r="A104" s="87">
        <v>45309</v>
      </c>
      <c r="B104" s="120" t="s">
        <v>6</v>
      </c>
      <c r="C104" s="75" t="s">
        <v>1933</v>
      </c>
      <c r="D104" s="88">
        <v>7480683</v>
      </c>
      <c r="E104" s="2"/>
      <c r="F104" s="2"/>
      <c r="G104" s="30"/>
      <c r="H104" s="30"/>
      <c r="I104" s="2"/>
      <c r="J104" s="2"/>
      <c r="K104" s="2"/>
      <c r="L104" s="2"/>
      <c r="M104" s="41"/>
      <c r="N104" s="42"/>
      <c r="O104" s="2"/>
    </row>
    <row r="105" spans="1:15" s="2" customFormat="1" x14ac:dyDescent="0.2">
      <c r="A105" s="87"/>
      <c r="B105" s="74"/>
      <c r="C105" s="75"/>
      <c r="D105" s="51">
        <f>SUM(D85:D104)</f>
        <v>48735900.340000004</v>
      </c>
      <c r="F105" s="2" t="s">
        <v>396</v>
      </c>
      <c r="G105" s="1"/>
      <c r="H105" s="1"/>
    </row>
    <row r="106" spans="1:15" s="2" customFormat="1" x14ac:dyDescent="0.2">
      <c r="A106" s="24"/>
      <c r="B106" s="1"/>
      <c r="C106" s="14"/>
      <c r="D106" s="56"/>
      <c r="E106" s="13"/>
      <c r="G106" s="1"/>
      <c r="H106" s="1"/>
    </row>
    <row r="107" spans="1:15" s="2" customFormat="1" x14ac:dyDescent="0.2">
      <c r="A107" s="24"/>
      <c r="B107" s="1"/>
      <c r="C107" s="218" t="s">
        <v>77</v>
      </c>
      <c r="D107" s="219"/>
      <c r="E107" s="219"/>
      <c r="F107" s="220"/>
      <c r="I107" s="2" t="s">
        <v>396</v>
      </c>
    </row>
    <row r="108" spans="1:15" s="2" customFormat="1" x14ac:dyDescent="0.2">
      <c r="A108" s="24"/>
      <c r="B108" s="1"/>
      <c r="C108" s="50"/>
      <c r="D108" s="57" t="s">
        <v>78</v>
      </c>
      <c r="E108" s="58" t="s">
        <v>79</v>
      </c>
      <c r="F108" s="57" t="s">
        <v>72</v>
      </c>
      <c r="I108" s="2" t="s">
        <v>396</v>
      </c>
    </row>
    <row r="109" spans="1:15" s="2" customFormat="1" x14ac:dyDescent="0.2">
      <c r="A109" s="24"/>
      <c r="B109" s="1"/>
      <c r="C109" s="59" t="str">
        <f>"01-01-2024 to "&amp;TEXT(A5-2,"dd-mm-yyyy")</f>
        <v>01-01-2024 to 16-01-2024</v>
      </c>
      <c r="D109" s="60">
        <v>1307.33</v>
      </c>
      <c r="E109" s="60">
        <v>366.25</v>
      </c>
      <c r="F109" s="61">
        <f>SUM(D109:E109)</f>
        <v>1673.58</v>
      </c>
    </row>
    <row r="110" spans="1:15" s="2" customFormat="1" x14ac:dyDescent="0.2">
      <c r="A110" s="24"/>
      <c r="B110" s="1"/>
      <c r="C110" s="62" t="str">
        <f>TEXT(A5-1,"dd-mm-yyyy")</f>
        <v>17-01-2024</v>
      </c>
      <c r="D110" s="60">
        <v>134.41999999999999</v>
      </c>
      <c r="E110" s="60">
        <v>20.5</v>
      </c>
      <c r="F110" s="61">
        <f>SUM(D110:E110)</f>
        <v>154.91999999999999</v>
      </c>
      <c r="G110" s="1"/>
      <c r="H110" s="1"/>
      <c r="I110" s="53"/>
    </row>
    <row r="111" spans="1:15" s="2" customFormat="1" ht="13.5" thickBot="1" x14ac:dyDescent="0.25">
      <c r="A111" s="24"/>
      <c r="B111" s="1"/>
      <c r="C111" s="63" t="str">
        <f>"01-01-2024 to "&amp;TEXT(A5-1,"dd-mm-yyyy")</f>
        <v>01-01-2024 to 17-01-2024</v>
      </c>
      <c r="D111" s="64">
        <f>SUM(D109:D110)</f>
        <v>1441.75</v>
      </c>
      <c r="E111" s="64">
        <f>SUM(E109:E110)</f>
        <v>386.75</v>
      </c>
      <c r="F111" s="64">
        <f>SUM(F109:F110)</f>
        <v>1828.5</v>
      </c>
      <c r="G111" s="1"/>
      <c r="H111" s="1"/>
      <c r="I111" s="53"/>
    </row>
    <row r="112" spans="1:15" s="2" customFormat="1" ht="13.5" thickTop="1" x14ac:dyDescent="0.2">
      <c r="A112" s="24"/>
      <c r="B112" s="1"/>
      <c r="C112" s="62"/>
      <c r="D112" s="65"/>
      <c r="E112" s="66"/>
      <c r="F112" s="67"/>
      <c r="M112" s="1"/>
      <c r="N112" s="1"/>
    </row>
    <row r="113" spans="1:14" s="2" customFormat="1" x14ac:dyDescent="0.2">
      <c r="A113" s="24"/>
      <c r="B113" s="1"/>
      <c r="C113" s="62" t="str">
        <f>"01-04-2023 to " &amp;C110</f>
        <v>01-04-2023 to 17-01-2024</v>
      </c>
      <c r="D113" s="68">
        <f>+D111+34570.27</f>
        <v>36012.019999999997</v>
      </c>
      <c r="E113" s="68">
        <f>+E111+3831.86</f>
        <v>4218.6100000000006</v>
      </c>
      <c r="F113" s="68">
        <f>+F111+38402.13</f>
        <v>40230.629999999997</v>
      </c>
      <c r="G113" s="1"/>
      <c r="H113" s="1"/>
      <c r="M113" s="1"/>
      <c r="N113" s="1"/>
    </row>
    <row r="114" spans="1:14" s="2" customFormat="1" x14ac:dyDescent="0.2">
      <c r="A114" s="24"/>
      <c r="B114" s="1"/>
      <c r="C114" s="52"/>
      <c r="D114" s="85"/>
      <c r="E114" s="53"/>
      <c r="F114" s="53"/>
      <c r="G114" s="1"/>
      <c r="H114" s="1"/>
      <c r="M114" s="1"/>
      <c r="N114" s="1"/>
    </row>
    <row r="115" spans="1:14" s="2" customFormat="1" x14ac:dyDescent="0.2">
      <c r="A115" s="24"/>
      <c r="B115" s="1"/>
      <c r="C115" s="52"/>
      <c r="D115" s="85"/>
      <c r="E115" s="53"/>
      <c r="F115" s="53"/>
      <c r="G115" s="1"/>
      <c r="H115" s="1"/>
      <c r="M115" s="1"/>
      <c r="N115" s="1"/>
    </row>
    <row r="116" spans="1:14" s="2" customFormat="1" x14ac:dyDescent="0.2">
      <c r="A116" s="24"/>
      <c r="B116" s="1"/>
      <c r="C116" s="52"/>
      <c r="D116" s="85"/>
      <c r="E116" s="53"/>
      <c r="F116" s="53"/>
      <c r="G116" s="1"/>
      <c r="H116" s="1"/>
      <c r="M116" s="1"/>
      <c r="N116" s="1"/>
    </row>
    <row r="117" spans="1:14" s="2" customFormat="1" x14ac:dyDescent="0.2">
      <c r="A117" s="24"/>
      <c r="B117" s="1"/>
      <c r="C117" s="52"/>
      <c r="D117" s="85"/>
      <c r="E117" s="53"/>
      <c r="F117" s="53"/>
      <c r="G117" s="1"/>
      <c r="H117" s="1"/>
      <c r="M117" s="1"/>
      <c r="N117" s="1"/>
    </row>
    <row r="118" spans="1:14" s="2" customFormat="1" x14ac:dyDescent="0.2">
      <c r="A118" s="24"/>
      <c r="B118" s="1"/>
      <c r="C118" s="14"/>
      <c r="D118" s="25">
        <f>SUM(D115:D117)</f>
        <v>0</v>
      </c>
      <c r="E118" s="2">
        <f>SUM(E115:E117)</f>
        <v>0</v>
      </c>
      <c r="G118" s="1"/>
      <c r="H118" s="1"/>
      <c r="M118" s="1"/>
      <c r="N118" s="1"/>
    </row>
    <row r="119" spans="1:14" s="2" customFormat="1" x14ac:dyDescent="0.2">
      <c r="A119" s="24"/>
      <c r="B119" s="1"/>
      <c r="C119" s="14"/>
      <c r="D119" s="25"/>
      <c r="G119" s="1"/>
      <c r="H119" s="1"/>
      <c r="M119" s="1"/>
      <c r="N119" s="1"/>
    </row>
    <row r="120" spans="1:14" s="2" customFormat="1" x14ac:dyDescent="0.2">
      <c r="A120" s="24"/>
      <c r="B120" s="1"/>
      <c r="C120" s="14"/>
      <c r="D120" s="25"/>
      <c r="G120" s="1"/>
      <c r="H120" s="1"/>
      <c r="M120" s="1"/>
      <c r="N120" s="1"/>
    </row>
    <row r="121" spans="1:14" s="2" customFormat="1" x14ac:dyDescent="0.2">
      <c r="A121" s="24"/>
      <c r="B121" s="1"/>
      <c r="C121" s="14"/>
      <c r="D121" s="25"/>
      <c r="G121" s="1"/>
      <c r="H121" s="1"/>
      <c r="M121" s="1"/>
      <c r="N121" s="1"/>
    </row>
    <row r="122" spans="1:14" s="2" customFormat="1" x14ac:dyDescent="0.2">
      <c r="A122" s="24"/>
      <c r="B122" s="1"/>
      <c r="C122" s="14"/>
      <c r="D122" s="25"/>
      <c r="G122" s="1"/>
      <c r="H122" s="1"/>
      <c r="M122" s="1"/>
      <c r="N122" s="1"/>
    </row>
    <row r="123" spans="1:14" s="2" customFormat="1" x14ac:dyDescent="0.2">
      <c r="A123" s="24"/>
      <c r="B123" s="1"/>
      <c r="C123" s="14"/>
      <c r="D123" s="25"/>
      <c r="G123" s="1"/>
      <c r="H123" s="1"/>
      <c r="M123" s="1"/>
      <c r="N123" s="1"/>
    </row>
    <row r="124" spans="1:14" s="2" customFormat="1" x14ac:dyDescent="0.2">
      <c r="A124" s="24"/>
      <c r="B124" s="1"/>
      <c r="C124" s="14"/>
      <c r="D124" s="25"/>
      <c r="G124" s="1"/>
      <c r="H124" s="1"/>
      <c r="M124" s="1"/>
      <c r="N124" s="1"/>
    </row>
    <row r="125" spans="1:14" s="2" customFormat="1" x14ac:dyDescent="0.2">
      <c r="A125" s="24"/>
      <c r="B125" s="1"/>
      <c r="C125" s="14"/>
      <c r="D125" s="25"/>
      <c r="G125" s="1"/>
      <c r="H125" s="1"/>
      <c r="M125" s="1"/>
      <c r="N125" s="1"/>
    </row>
    <row r="126" spans="1:14" s="2" customFormat="1" x14ac:dyDescent="0.2">
      <c r="A126" s="24"/>
      <c r="B126" s="1"/>
      <c r="C126" s="14"/>
      <c r="D126" s="25"/>
      <c r="G126" s="1"/>
      <c r="H126" s="1"/>
      <c r="M126" s="1"/>
      <c r="N126" s="1"/>
    </row>
    <row r="127" spans="1:14" s="2" customFormat="1" x14ac:dyDescent="0.2">
      <c r="A127" s="24"/>
      <c r="B127" s="1"/>
      <c r="C127" s="14"/>
      <c r="D127" s="25"/>
      <c r="G127" s="1"/>
      <c r="H127" s="1"/>
      <c r="M127" s="1"/>
      <c r="N127" s="1"/>
    </row>
    <row r="128" spans="1:14" s="2" customFormat="1" x14ac:dyDescent="0.2">
      <c r="A128" s="24"/>
      <c r="B128" s="1"/>
      <c r="C128" s="14"/>
      <c r="D128" s="25"/>
      <c r="G128" s="1"/>
      <c r="H128" s="1"/>
      <c r="M128" s="1"/>
      <c r="N128" s="1"/>
    </row>
    <row r="129" spans="1:15" s="2" customFormat="1" x14ac:dyDescent="0.2">
      <c r="A129" s="24"/>
      <c r="B129" s="1"/>
      <c r="C129" s="14"/>
      <c r="D129" s="25"/>
      <c r="G129" s="1"/>
      <c r="H129" s="1"/>
      <c r="M129" s="1"/>
      <c r="N129" s="1"/>
    </row>
    <row r="130" spans="1:15" s="2" customFormat="1" x14ac:dyDescent="0.2">
      <c r="A130" s="24"/>
      <c r="B130" s="1"/>
      <c r="C130" s="14"/>
      <c r="D130" s="25"/>
      <c r="G130" s="1"/>
      <c r="H130" s="1"/>
      <c r="M130" s="1"/>
      <c r="N130" s="1"/>
    </row>
    <row r="131" spans="1:15" s="2" customFormat="1" x14ac:dyDescent="0.2">
      <c r="A131" s="24"/>
      <c r="B131" s="1"/>
      <c r="C131" s="14"/>
      <c r="D131" s="25"/>
      <c r="G131" s="1"/>
      <c r="H131" s="1"/>
      <c r="M131" s="1"/>
      <c r="N131" s="1"/>
    </row>
    <row r="132" spans="1:15" s="2" customFormat="1" x14ac:dyDescent="0.2">
      <c r="A132" s="24"/>
      <c r="B132" s="1"/>
      <c r="C132" s="14"/>
      <c r="D132" s="25"/>
      <c r="G132" s="1"/>
      <c r="H132" s="1"/>
      <c r="J132" s="1"/>
      <c r="K132" s="1"/>
      <c r="L132" s="1"/>
      <c r="M132" s="1"/>
      <c r="N132" s="1"/>
    </row>
    <row r="133" spans="1:15" s="2" customFormat="1" x14ac:dyDescent="0.2">
      <c r="A133" s="24"/>
      <c r="B133" s="1"/>
      <c r="C133" s="14"/>
      <c r="D133" s="25"/>
      <c r="G133" s="1"/>
      <c r="H133" s="1"/>
    </row>
    <row r="134" spans="1:15" s="2" customFormat="1" x14ac:dyDescent="0.2">
      <c r="A134" s="24"/>
      <c r="B134" s="1"/>
      <c r="C134" s="14"/>
      <c r="D134" s="25"/>
      <c r="G134" s="1"/>
      <c r="H134" s="1"/>
      <c r="J134" s="1"/>
      <c r="K134" s="1"/>
      <c r="L134" s="1"/>
      <c r="M134" s="1"/>
      <c r="N134" s="1"/>
    </row>
    <row r="135" spans="1:15" s="2" customFormat="1" x14ac:dyDescent="0.2">
      <c r="A135" s="24"/>
      <c r="B135" s="1"/>
      <c r="C135" s="14"/>
      <c r="D135" s="25"/>
      <c r="G135" s="54"/>
      <c r="H135" s="54"/>
      <c r="J135" s="1"/>
      <c r="K135" s="1"/>
      <c r="L135" s="1"/>
      <c r="M135" s="1"/>
      <c r="N135" s="1"/>
    </row>
    <row r="136" spans="1:15" s="2" customFormat="1" x14ac:dyDescent="0.2">
      <c r="A136" s="24"/>
      <c r="B136" s="1"/>
      <c r="C136" s="14"/>
      <c r="D136" s="25"/>
      <c r="G136" s="54"/>
      <c r="H136" s="54"/>
      <c r="J136" s="1"/>
      <c r="K136" s="1"/>
      <c r="L136" s="1"/>
      <c r="M136" s="1"/>
      <c r="N136" s="1"/>
    </row>
    <row r="137" spans="1:15" s="2" customFormat="1" x14ac:dyDescent="0.2">
      <c r="A137" s="24"/>
      <c r="B137" s="1"/>
      <c r="C137" s="14"/>
      <c r="D137" s="25"/>
      <c r="G137" s="54"/>
      <c r="H137" s="54"/>
      <c r="J137" s="1"/>
      <c r="K137" s="1"/>
      <c r="L137" s="1"/>
      <c r="M137" s="1"/>
      <c r="N137" s="1"/>
    </row>
    <row r="138" spans="1:15" s="2" customFormat="1" x14ac:dyDescent="0.2">
      <c r="A138" s="24"/>
      <c r="B138" s="1"/>
      <c r="C138" s="14"/>
      <c r="D138" s="25"/>
      <c r="G138" s="54"/>
      <c r="H138" s="54"/>
      <c r="I138" s="2" t="s">
        <v>396</v>
      </c>
      <c r="J138" s="1"/>
      <c r="K138" s="1"/>
      <c r="L138" s="1"/>
      <c r="M138" s="1"/>
      <c r="N138" s="1"/>
      <c r="O138" s="1"/>
    </row>
    <row r="139" spans="1:15" s="2" customFormat="1" x14ac:dyDescent="0.2">
      <c r="A139" s="24"/>
      <c r="B139" s="1"/>
      <c r="C139" s="14"/>
      <c r="D139" s="25"/>
      <c r="G139" s="54"/>
      <c r="H139" s="54"/>
      <c r="I139" s="53"/>
    </row>
    <row r="140" spans="1:15" s="2" customFormat="1" x14ac:dyDescent="0.2">
      <c r="A140" s="24"/>
      <c r="B140" s="1"/>
      <c r="C140" s="14"/>
      <c r="D140" s="25"/>
      <c r="G140" s="54"/>
      <c r="H140" s="54"/>
      <c r="I140" s="53" t="s">
        <v>396</v>
      </c>
      <c r="J140" s="1"/>
      <c r="K140" s="1"/>
      <c r="L140" s="1"/>
      <c r="M140" s="1"/>
      <c r="N140" s="1"/>
      <c r="O140" s="1"/>
    </row>
    <row r="141" spans="1:15" x14ac:dyDescent="0.2">
      <c r="G141" s="54"/>
      <c r="H141" s="54"/>
      <c r="I141" s="53" t="s">
        <v>396</v>
      </c>
      <c r="K141" s="42"/>
    </row>
    <row r="142" spans="1:15" s="2" customFormat="1" x14ac:dyDescent="0.2">
      <c r="A142" s="24"/>
      <c r="B142" s="1"/>
      <c r="C142" s="14"/>
      <c r="D142" s="25"/>
      <c r="G142" s="54"/>
      <c r="H142" s="54"/>
      <c r="I142" s="53"/>
      <c r="J142" s="101"/>
      <c r="K142" s="1"/>
      <c r="L142" s="1"/>
      <c r="M142" s="1"/>
      <c r="N142" s="1"/>
      <c r="O142" s="1"/>
    </row>
    <row r="143" spans="1:15" x14ac:dyDescent="0.2">
      <c r="G143" s="54"/>
      <c r="H143" s="54"/>
      <c r="I143" s="53"/>
    </row>
    <row r="144" spans="1:15" x14ac:dyDescent="0.2">
      <c r="G144" s="54"/>
      <c r="H144" s="54"/>
      <c r="I144" s="53"/>
    </row>
    <row r="145" spans="7:9" x14ac:dyDescent="0.2">
      <c r="G145" s="54"/>
      <c r="H145" s="54"/>
      <c r="I145" s="53"/>
    </row>
  </sheetData>
  <sheetProtection insertRows="0"/>
  <mergeCells count="7">
    <mergeCell ref="K76:L76"/>
    <mergeCell ref="A83:D83"/>
    <mergeCell ref="C107:F107"/>
    <mergeCell ref="A1:H1"/>
    <mergeCell ref="A3:F3"/>
    <mergeCell ref="A9:F9"/>
    <mergeCell ref="A37:F37"/>
  </mergeCells>
  <conditionalFormatting sqref="H80:H81">
    <cfRule type="cellIs" dxfId="119" priority="1" operator="lessThan">
      <formula>0</formula>
    </cfRule>
  </conditionalFormatting>
  <conditionalFormatting sqref="C39">
    <cfRule type="duplicateValues" dxfId="118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700-000000000000}">
  <sheetPr codeName="Sheet527">
    <pageSetUpPr fitToPage="1"/>
  </sheetPr>
  <dimension ref="A1:O160"/>
  <sheetViews>
    <sheetView topLeftCell="A35" zoomScaleNormal="100" workbookViewId="0">
      <selection activeCell="E51" sqref="E51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12.85546875" style="1" customWidth="1"/>
    <col min="9" max="9" width="24.85546875" style="2" bestFit="1" customWidth="1"/>
    <col min="10" max="10" width="21.5703125" style="1" bestFit="1" customWidth="1"/>
    <col min="11" max="11" width="16.85546875" style="1" bestFit="1" customWidth="1"/>
    <col min="12" max="12" width="17.28515625" style="1" bestFit="1" customWidth="1"/>
    <col min="13" max="13" width="13.5703125" style="1" bestFit="1" customWidth="1"/>
    <col min="14" max="14" width="17.42578125" style="1" bestFit="1" customWidth="1"/>
    <col min="15" max="15" width="12.85546875" style="1" bestFit="1" customWidth="1"/>
    <col min="16" max="17" width="9.140625" style="1"/>
    <col min="18" max="18" width="15.5703125" style="1" bestFit="1" customWidth="1"/>
    <col min="19" max="16384" width="9.140625" style="1"/>
  </cols>
  <sheetData>
    <row r="1" spans="1:12" ht="20.25" customHeight="1" x14ac:dyDescent="0.4">
      <c r="A1" s="212" t="s">
        <v>1989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2" ht="12.75" customHeight="1" x14ac:dyDescent="0.4">
      <c r="I2" s="112"/>
      <c r="J2" s="112"/>
    </row>
    <row r="3" spans="1:12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2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2" s="2" customFormat="1" ht="14.25" customHeight="1" x14ac:dyDescent="0.4">
      <c r="A5" s="89">
        <v>45310</v>
      </c>
      <c r="B5" s="9" t="s">
        <v>6</v>
      </c>
      <c r="C5" s="10" t="s">
        <v>7</v>
      </c>
      <c r="D5" s="11"/>
      <c r="E5" s="12">
        <v>565541.23000000045</v>
      </c>
      <c r="F5" s="12"/>
      <c r="G5" s="1"/>
      <c r="H5" s="1"/>
      <c r="I5" s="112"/>
      <c r="J5" s="112"/>
    </row>
    <row r="6" spans="1:12" s="2" customFormat="1" ht="12.75" customHeight="1" x14ac:dyDescent="0.2">
      <c r="D6" s="15" t="s">
        <v>8</v>
      </c>
      <c r="E6" s="16">
        <f>SUM(E5:E5)</f>
        <v>565541.23000000045</v>
      </c>
      <c r="F6" s="16">
        <f>F5</f>
        <v>0</v>
      </c>
      <c r="G6" s="1"/>
      <c r="H6" s="1"/>
      <c r="I6" s="13" t="s">
        <v>1582</v>
      </c>
      <c r="J6" s="13" t="s">
        <v>1583</v>
      </c>
    </row>
    <row r="7" spans="1:12" s="2" customFormat="1" ht="12.75" customHeight="1" x14ac:dyDescent="0.2">
      <c r="A7" s="17"/>
      <c r="B7" s="18"/>
      <c r="C7" s="19" t="s">
        <v>9</v>
      </c>
      <c r="D7" s="20"/>
      <c r="E7" s="21">
        <f>+E6-F6</f>
        <v>565541.23000000045</v>
      </c>
      <c r="F7" s="22"/>
      <c r="G7" s="23"/>
      <c r="H7" s="23"/>
      <c r="I7" s="2">
        <v>5193</v>
      </c>
      <c r="J7" s="2">
        <v>0</v>
      </c>
      <c r="K7" s="176">
        <f>I7-J7</f>
        <v>5193</v>
      </c>
    </row>
    <row r="8" spans="1:12" ht="12.75" customHeight="1" x14ac:dyDescent="0.4">
      <c r="I8" s="112"/>
      <c r="J8" s="112"/>
    </row>
    <row r="9" spans="1:12" ht="18" customHeight="1" x14ac:dyDescent="0.4">
      <c r="A9" s="213" t="s">
        <v>1037</v>
      </c>
      <c r="B9" s="213"/>
      <c r="C9" s="213"/>
      <c r="D9" s="213"/>
      <c r="E9" s="213"/>
      <c r="F9" s="213"/>
      <c r="I9" s="112"/>
      <c r="J9" s="169">
        <f>90000000-60000000</f>
        <v>30000000</v>
      </c>
      <c r="K9" s="169" t="s">
        <v>1508</v>
      </c>
    </row>
    <row r="10" spans="1:12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I10" s="112"/>
      <c r="J10" s="169">
        <v>29390966.359999999</v>
      </c>
      <c r="K10" s="169" t="s">
        <v>1509</v>
      </c>
      <c r="L10" s="124"/>
    </row>
    <row r="11" spans="1:12" s="2" customFormat="1" ht="14.25" customHeight="1" x14ac:dyDescent="0.2">
      <c r="A11" s="89">
        <v>45310</v>
      </c>
      <c r="B11" s="9" t="s">
        <v>6</v>
      </c>
      <c r="C11" s="10" t="s">
        <v>7</v>
      </c>
      <c r="D11" s="11"/>
      <c r="F11" s="12">
        <v>28271835.329999998</v>
      </c>
      <c r="G11" s="1"/>
      <c r="H11" s="1"/>
      <c r="I11" s="130" t="s">
        <v>396</v>
      </c>
      <c r="J11" s="169">
        <f>+J9-J10</f>
        <v>609033.6400000006</v>
      </c>
      <c r="K11" s="169" t="s">
        <v>712</v>
      </c>
      <c r="L11" s="165" t="s">
        <v>1512</v>
      </c>
    </row>
    <row r="12" spans="1:12" s="2" customFormat="1" ht="14.25" customHeight="1" x14ac:dyDescent="0.2">
      <c r="A12" s="89">
        <v>45310</v>
      </c>
      <c r="B12" s="9" t="s">
        <v>6</v>
      </c>
      <c r="C12" s="76" t="s">
        <v>1137</v>
      </c>
      <c r="D12" s="11" t="s">
        <v>13</v>
      </c>
      <c r="E12" s="31">
        <v>10465.969999999999</v>
      </c>
      <c r="F12" s="12"/>
      <c r="G12" s="1"/>
      <c r="H12" s="1"/>
      <c r="I12" s="130"/>
      <c r="J12" s="169"/>
      <c r="K12" s="169"/>
      <c r="L12" s="165"/>
    </row>
    <row r="13" spans="1:12" s="2" customFormat="1" ht="14.25" customHeight="1" x14ac:dyDescent="0.2">
      <c r="A13" s="89">
        <v>45310</v>
      </c>
      <c r="B13" s="9" t="s">
        <v>6</v>
      </c>
      <c r="C13" s="76" t="s">
        <v>21</v>
      </c>
      <c r="D13" s="11" t="s">
        <v>13</v>
      </c>
      <c r="E13" s="31">
        <v>500000</v>
      </c>
      <c r="F13" s="12"/>
      <c r="G13" s="1"/>
      <c r="H13" s="1"/>
      <c r="I13" s="130"/>
      <c r="J13" s="169"/>
      <c r="K13" s="169"/>
      <c r="L13" s="165"/>
    </row>
    <row r="14" spans="1:12" s="2" customFormat="1" ht="14.25" customHeight="1" x14ac:dyDescent="0.2">
      <c r="A14" s="89">
        <v>45310</v>
      </c>
      <c r="B14" s="9" t="s">
        <v>11</v>
      </c>
      <c r="C14" s="76" t="s">
        <v>49</v>
      </c>
      <c r="D14" s="11" t="s">
        <v>13</v>
      </c>
      <c r="F14" s="31">
        <v>216108</v>
      </c>
      <c r="G14" s="1"/>
      <c r="H14" s="1"/>
      <c r="I14" s="130"/>
      <c r="J14" s="169"/>
      <c r="K14" s="169"/>
      <c r="L14" s="165"/>
    </row>
    <row r="15" spans="1:12" s="2" customFormat="1" ht="14.25" customHeight="1" x14ac:dyDescent="0.2">
      <c r="A15" s="89">
        <v>45310</v>
      </c>
      <c r="B15" s="9" t="s">
        <v>11</v>
      </c>
      <c r="C15" s="76" t="s">
        <v>225</v>
      </c>
      <c r="D15" s="11" t="s">
        <v>13</v>
      </c>
      <c r="F15" s="31">
        <v>128301</v>
      </c>
      <c r="G15" s="1"/>
      <c r="H15" s="1"/>
      <c r="I15" s="130"/>
      <c r="J15" s="169"/>
      <c r="K15" s="169"/>
      <c r="L15" s="165"/>
    </row>
    <row r="16" spans="1:12" s="2" customFormat="1" ht="14.25" customHeight="1" x14ac:dyDescent="0.2">
      <c r="A16" s="89">
        <v>45310</v>
      </c>
      <c r="B16" s="9" t="s">
        <v>11</v>
      </c>
      <c r="C16" s="76" t="s">
        <v>397</v>
      </c>
      <c r="D16" s="11" t="s">
        <v>29</v>
      </c>
      <c r="F16" s="31">
        <v>63970</v>
      </c>
      <c r="G16" s="1"/>
      <c r="H16" s="1"/>
      <c r="I16" s="130"/>
      <c r="J16" s="169"/>
      <c r="K16" s="169"/>
      <c r="L16" s="165"/>
    </row>
    <row r="17" spans="1:14" s="2" customFormat="1" ht="14.25" customHeight="1" x14ac:dyDescent="0.2">
      <c r="A17" s="89">
        <v>45310</v>
      </c>
      <c r="B17" s="9" t="s">
        <v>11</v>
      </c>
      <c r="C17" s="76" t="s">
        <v>1912</v>
      </c>
      <c r="D17" s="11" t="s">
        <v>29</v>
      </c>
      <c r="F17" s="31">
        <v>49500</v>
      </c>
      <c r="G17" s="1"/>
      <c r="H17" s="1"/>
      <c r="I17" s="130"/>
      <c r="J17" s="169"/>
      <c r="K17" s="169"/>
      <c r="L17" s="165"/>
    </row>
    <row r="18" spans="1:14" s="2" customFormat="1" ht="14.25" customHeight="1" x14ac:dyDescent="0.2">
      <c r="A18" s="89">
        <v>45310</v>
      </c>
      <c r="B18" s="9" t="s">
        <v>11</v>
      </c>
      <c r="C18" s="76" t="s">
        <v>34</v>
      </c>
      <c r="D18" s="11" t="s">
        <v>29</v>
      </c>
      <c r="F18" s="31">
        <v>100000</v>
      </c>
      <c r="G18" s="1"/>
      <c r="H18" s="1"/>
      <c r="I18" s="130"/>
      <c r="J18" s="169"/>
      <c r="K18" s="169"/>
      <c r="L18" s="165"/>
    </row>
    <row r="19" spans="1:14" s="2" customFormat="1" ht="14.25" customHeight="1" x14ac:dyDescent="0.2">
      <c r="A19" s="89">
        <v>45310</v>
      </c>
      <c r="B19" s="9" t="s">
        <v>11</v>
      </c>
      <c r="C19" s="76" t="s">
        <v>1990</v>
      </c>
      <c r="D19" s="11" t="s">
        <v>29</v>
      </c>
      <c r="F19" s="31">
        <v>51480</v>
      </c>
      <c r="G19" s="1"/>
      <c r="H19" s="1"/>
      <c r="I19" s="130"/>
      <c r="J19" s="169"/>
      <c r="K19" s="169"/>
      <c r="L19" s="165"/>
    </row>
    <row r="20" spans="1:14" s="2" customFormat="1" ht="14.25" customHeight="1" x14ac:dyDescent="0.2">
      <c r="A20" s="89">
        <v>45310</v>
      </c>
      <c r="B20" s="9" t="s">
        <v>11</v>
      </c>
      <c r="C20" s="76" t="s">
        <v>34</v>
      </c>
      <c r="D20" s="11" t="s">
        <v>29</v>
      </c>
      <c r="F20" s="31">
        <v>15000</v>
      </c>
      <c r="G20" s="1"/>
      <c r="H20" s="1"/>
      <c r="I20" s="130"/>
      <c r="J20" s="169"/>
      <c r="K20" s="169"/>
      <c r="L20" s="165"/>
    </row>
    <row r="21" spans="1:14" s="2" customFormat="1" ht="14.25" customHeight="1" x14ac:dyDescent="0.2">
      <c r="A21" s="89">
        <v>45310</v>
      </c>
      <c r="B21" s="9" t="s">
        <v>11</v>
      </c>
      <c r="C21" s="76" t="s">
        <v>525</v>
      </c>
      <c r="D21" s="11" t="s">
        <v>29</v>
      </c>
      <c r="F21" s="31">
        <v>1000000</v>
      </c>
      <c r="G21" s="1"/>
      <c r="H21" s="1"/>
      <c r="I21" s="130"/>
      <c r="J21" s="169"/>
      <c r="K21" s="169"/>
      <c r="L21" s="165"/>
    </row>
    <row r="22" spans="1:14" s="2" customFormat="1" ht="14.25" customHeight="1" x14ac:dyDescent="0.2">
      <c r="A22" s="89">
        <v>45310</v>
      </c>
      <c r="B22" s="9" t="s">
        <v>11</v>
      </c>
      <c r="C22" s="76" t="s">
        <v>156</v>
      </c>
      <c r="D22" s="11" t="s">
        <v>29</v>
      </c>
      <c r="F22" s="31">
        <v>45</v>
      </c>
      <c r="G22" s="1"/>
      <c r="H22" s="1"/>
      <c r="I22" s="130"/>
      <c r="J22" s="169"/>
      <c r="K22" s="169"/>
      <c r="L22" s="165"/>
    </row>
    <row r="23" spans="1:14" s="2" customFormat="1" ht="14.25" customHeight="1" x14ac:dyDescent="0.2">
      <c r="D23" s="11" t="s">
        <v>8</v>
      </c>
      <c r="E23" s="16">
        <f>SUM(E12:E22)</f>
        <v>510465.97</v>
      </c>
      <c r="F23" s="16">
        <f>SUM(F11:F22)</f>
        <v>29896239.329999998</v>
      </c>
      <c r="G23" s="1"/>
      <c r="H23" s="1"/>
      <c r="I23" s="143"/>
      <c r="J23" s="130"/>
      <c r="K23" s="143"/>
      <c r="L23" s="143"/>
      <c r="M23" s="143"/>
      <c r="N23" s="143"/>
    </row>
    <row r="24" spans="1:14" s="2" customFormat="1" ht="14.25" customHeight="1" x14ac:dyDescent="0.4">
      <c r="A24" s="17"/>
      <c r="B24" s="18"/>
      <c r="C24" s="96" t="s">
        <v>9</v>
      </c>
      <c r="D24" s="20"/>
      <c r="E24" s="21">
        <f>+F23-E23</f>
        <v>29385773.359999999</v>
      </c>
      <c r="G24" s="1"/>
      <c r="H24" s="1"/>
      <c r="J24" s="112"/>
      <c r="K24" s="153" t="s">
        <v>779</v>
      </c>
    </row>
    <row r="25" spans="1:14" s="2" customFormat="1" ht="14.25" customHeight="1" x14ac:dyDescent="0.2">
      <c r="A25" s="17"/>
      <c r="B25" s="28" t="s">
        <v>66</v>
      </c>
      <c r="C25" s="43" t="s">
        <v>1458</v>
      </c>
      <c r="D25" s="43"/>
      <c r="E25" s="12">
        <f>30000000+60000000</f>
        <v>90000000</v>
      </c>
      <c r="F25" s="22"/>
      <c r="G25" s="1"/>
      <c r="H25" s="1"/>
      <c r="J25" s="40">
        <v>29385773.359999999</v>
      </c>
      <c r="K25" s="154">
        <f>J25-E24</f>
        <v>0</v>
      </c>
    </row>
    <row r="26" spans="1:14" s="2" customFormat="1" ht="14.25" customHeight="1" x14ac:dyDescent="0.25">
      <c r="A26" s="36"/>
      <c r="B26" s="28"/>
      <c r="C26" s="44" t="s">
        <v>1541</v>
      </c>
      <c r="D26" s="43"/>
      <c r="E26" s="7">
        <f>+E24+E25</f>
        <v>119385773.36</v>
      </c>
      <c r="F26" s="22"/>
      <c r="G26" s="1"/>
      <c r="H26" s="1"/>
      <c r="I26" s="13" t="s">
        <v>1582</v>
      </c>
      <c r="J26" s="13" t="s">
        <v>1583</v>
      </c>
    </row>
    <row r="27" spans="1:14" s="2" customFormat="1" ht="14.25" customHeight="1" x14ac:dyDescent="0.25">
      <c r="A27" s="36"/>
      <c r="B27" s="28"/>
      <c r="C27" s="44" t="s">
        <v>1511</v>
      </c>
      <c r="D27" s="43"/>
      <c r="E27" s="38">
        <f>+J11+I7-J7</f>
        <v>614226.6400000006</v>
      </c>
      <c r="F27" s="22"/>
      <c r="G27" s="1"/>
      <c r="H27" s="1"/>
      <c r="I27" s="2">
        <v>1666632</v>
      </c>
      <c r="J27" s="2">
        <v>2065129</v>
      </c>
      <c r="K27" s="176">
        <f>I27-J27</f>
        <v>-398497</v>
      </c>
    </row>
    <row r="28" spans="1:14" s="2" customFormat="1" ht="14.25" customHeight="1" x14ac:dyDescent="0.2">
      <c r="A28" s="24"/>
      <c r="B28" s="1"/>
      <c r="C28" s="14"/>
      <c r="D28" s="25"/>
      <c r="G28" s="1"/>
      <c r="H28" s="1"/>
      <c r="J28" s="130"/>
      <c r="K28" s="130"/>
    </row>
    <row r="29" spans="1:14" s="2" customFormat="1" x14ac:dyDescent="0.2">
      <c r="A29" s="214" t="s">
        <v>10</v>
      </c>
      <c r="B29" s="214"/>
      <c r="C29" s="214"/>
      <c r="D29" s="214"/>
      <c r="E29" s="214"/>
      <c r="F29" s="214"/>
      <c r="G29" s="1"/>
      <c r="H29" s="1"/>
      <c r="I29" s="159"/>
      <c r="J29" s="160">
        <v>100000000</v>
      </c>
      <c r="K29" s="160" t="s">
        <v>1506</v>
      </c>
      <c r="L29" s="70"/>
    </row>
    <row r="30" spans="1:14" s="2" customFormat="1" ht="15" x14ac:dyDescent="0.35">
      <c r="A30" s="26" t="s">
        <v>1</v>
      </c>
      <c r="B30" s="27" t="s">
        <v>2</v>
      </c>
      <c r="C30" s="5"/>
      <c r="D30" s="6" t="s">
        <v>3</v>
      </c>
      <c r="E30" s="7" t="s">
        <v>4</v>
      </c>
      <c r="F30" s="7" t="s">
        <v>5</v>
      </c>
      <c r="G30" s="1"/>
      <c r="H30" s="1"/>
      <c r="I30" s="159"/>
      <c r="J30" s="179">
        <v>78613403</v>
      </c>
      <c r="K30" s="160" t="s">
        <v>1507</v>
      </c>
      <c r="L30" s="70" t="s">
        <v>1512</v>
      </c>
    </row>
    <row r="31" spans="1:14" s="2" customFormat="1" x14ac:dyDescent="0.2">
      <c r="A31" s="89">
        <v>45310</v>
      </c>
      <c r="B31" s="128" t="s">
        <v>11</v>
      </c>
      <c r="C31" s="29" t="s">
        <v>7</v>
      </c>
      <c r="D31" s="25"/>
      <c r="E31" s="31"/>
      <c r="F31" s="2">
        <v>86363045.98999995</v>
      </c>
      <c r="G31" s="23"/>
      <c r="H31" s="23"/>
      <c r="I31" s="159" t="s">
        <v>1505</v>
      </c>
      <c r="J31" s="160">
        <f>+J29-J30</f>
        <v>21386597</v>
      </c>
      <c r="K31" s="160"/>
      <c r="L31" s="70"/>
    </row>
    <row r="32" spans="1:14" s="2" customFormat="1" x14ac:dyDescent="0.2">
      <c r="A32" s="89">
        <v>45310</v>
      </c>
      <c r="B32" s="128" t="s">
        <v>6</v>
      </c>
      <c r="C32" s="76" t="s">
        <v>843</v>
      </c>
      <c r="D32" s="11" t="s">
        <v>13</v>
      </c>
      <c r="E32" s="31">
        <v>164936</v>
      </c>
      <c r="G32" s="23"/>
      <c r="H32" s="23"/>
      <c r="I32" s="159"/>
      <c r="J32" s="160"/>
      <c r="K32" s="160"/>
      <c r="L32" s="70"/>
    </row>
    <row r="33" spans="1:12" s="2" customFormat="1" x14ac:dyDescent="0.2">
      <c r="A33" s="89">
        <v>45310</v>
      </c>
      <c r="B33" s="128" t="s">
        <v>6</v>
      </c>
      <c r="C33" s="76" t="s">
        <v>304</v>
      </c>
      <c r="D33" s="11" t="s">
        <v>13</v>
      </c>
      <c r="E33" s="31">
        <v>415053</v>
      </c>
      <c r="G33" s="23"/>
      <c r="H33" s="23"/>
      <c r="I33" s="159"/>
      <c r="J33" s="160"/>
      <c r="K33" s="160"/>
      <c r="L33" s="70"/>
    </row>
    <row r="34" spans="1:12" s="2" customFormat="1" x14ac:dyDescent="0.2">
      <c r="A34" s="89">
        <v>45310</v>
      </c>
      <c r="B34" s="128" t="s">
        <v>6</v>
      </c>
      <c r="C34" s="76" t="s">
        <v>317</v>
      </c>
      <c r="D34" s="11" t="s">
        <v>13</v>
      </c>
      <c r="E34" s="31">
        <v>731103</v>
      </c>
      <c r="G34" s="23"/>
      <c r="H34" s="23"/>
      <c r="I34" s="159"/>
      <c r="J34" s="160"/>
      <c r="K34" s="160"/>
      <c r="L34" s="70"/>
    </row>
    <row r="35" spans="1:12" s="2" customFormat="1" x14ac:dyDescent="0.2">
      <c r="A35" s="89">
        <v>45310</v>
      </c>
      <c r="B35" s="128" t="s">
        <v>6</v>
      </c>
      <c r="C35" s="76" t="s">
        <v>237</v>
      </c>
      <c r="D35" s="11" t="s">
        <v>13</v>
      </c>
      <c r="E35" s="31">
        <v>1574063</v>
      </c>
      <c r="G35" s="23"/>
      <c r="H35" s="23"/>
      <c r="I35" s="159"/>
      <c r="J35" s="160"/>
      <c r="K35" s="160"/>
      <c r="L35" s="70"/>
    </row>
    <row r="36" spans="1:12" s="2" customFormat="1" x14ac:dyDescent="0.2">
      <c r="A36" s="89">
        <v>45310</v>
      </c>
      <c r="B36" s="128" t="s">
        <v>6</v>
      </c>
      <c r="C36" s="76" t="s">
        <v>120</v>
      </c>
      <c r="D36" s="11" t="s">
        <v>13</v>
      </c>
      <c r="E36" s="31">
        <v>1402367.46</v>
      </c>
      <c r="G36" s="23"/>
      <c r="H36" s="23"/>
      <c r="I36" s="159"/>
      <c r="J36" s="160"/>
      <c r="K36" s="160"/>
      <c r="L36" s="70"/>
    </row>
    <row r="37" spans="1:12" s="2" customFormat="1" x14ac:dyDescent="0.2">
      <c r="A37" s="89">
        <v>45310</v>
      </c>
      <c r="B37" s="128" t="s">
        <v>6</v>
      </c>
      <c r="C37" s="76" t="s">
        <v>155</v>
      </c>
      <c r="D37" s="11" t="s">
        <v>13</v>
      </c>
      <c r="E37" s="31">
        <v>5634</v>
      </c>
      <c r="G37" s="23"/>
      <c r="H37" s="23"/>
      <c r="I37" s="159"/>
      <c r="J37" s="160"/>
      <c r="K37" s="160"/>
      <c r="L37" s="70"/>
    </row>
    <row r="38" spans="1:12" s="2" customFormat="1" x14ac:dyDescent="0.2">
      <c r="A38" s="89">
        <v>45310</v>
      </c>
      <c r="B38" s="128" t="s">
        <v>6</v>
      </c>
      <c r="C38" s="76" t="s">
        <v>764</v>
      </c>
      <c r="D38" s="11" t="s">
        <v>13</v>
      </c>
      <c r="E38" s="31">
        <v>4298980.6900000004</v>
      </c>
      <c r="G38" s="23"/>
      <c r="H38" s="23"/>
      <c r="I38" s="159"/>
      <c r="J38" s="160"/>
      <c r="K38" s="160"/>
      <c r="L38" s="70"/>
    </row>
    <row r="39" spans="1:12" s="2" customFormat="1" x14ac:dyDescent="0.2">
      <c r="A39" s="89">
        <v>45310</v>
      </c>
      <c r="B39" s="128" t="s">
        <v>6</v>
      </c>
      <c r="C39" s="76" t="s">
        <v>1808</v>
      </c>
      <c r="D39" s="11" t="s">
        <v>13</v>
      </c>
      <c r="E39" s="31">
        <v>4746343</v>
      </c>
      <c r="G39" s="23"/>
      <c r="H39" s="23"/>
      <c r="I39" s="159"/>
      <c r="J39" s="160"/>
      <c r="K39" s="160"/>
      <c r="L39" s="70"/>
    </row>
    <row r="40" spans="1:12" s="2" customFormat="1" x14ac:dyDescent="0.2">
      <c r="A40" s="89">
        <v>45310</v>
      </c>
      <c r="B40" s="128" t="s">
        <v>6</v>
      </c>
      <c r="C40" s="76" t="s">
        <v>381</v>
      </c>
      <c r="D40" s="11" t="s">
        <v>13</v>
      </c>
      <c r="E40" s="31">
        <v>5103</v>
      </c>
      <c r="G40" s="23"/>
      <c r="H40" s="23"/>
      <c r="I40" s="159"/>
      <c r="J40" s="160"/>
      <c r="K40" s="160"/>
      <c r="L40" s="70"/>
    </row>
    <row r="41" spans="1:12" s="2" customFormat="1" x14ac:dyDescent="0.2">
      <c r="A41" s="89">
        <v>45310</v>
      </c>
      <c r="B41" s="128" t="s">
        <v>6</v>
      </c>
      <c r="C41" s="76" t="s">
        <v>1953</v>
      </c>
      <c r="D41" s="11" t="s">
        <v>13</v>
      </c>
      <c r="E41" s="31">
        <v>636578</v>
      </c>
      <c r="G41" s="23"/>
      <c r="H41" s="23"/>
      <c r="I41" s="159"/>
      <c r="J41" s="160"/>
      <c r="K41" s="160"/>
      <c r="L41" s="70"/>
    </row>
    <row r="42" spans="1:12" s="2" customFormat="1" x14ac:dyDescent="0.2">
      <c r="A42" s="89">
        <v>45310</v>
      </c>
      <c r="B42" s="128" t="s">
        <v>6</v>
      </c>
      <c r="C42" s="76" t="s">
        <v>757</v>
      </c>
      <c r="D42" s="11" t="s">
        <v>13</v>
      </c>
      <c r="E42" s="31">
        <v>275278.90000000002</v>
      </c>
      <c r="G42" s="23"/>
      <c r="H42" s="23"/>
      <c r="I42" s="159"/>
      <c r="J42" s="160"/>
      <c r="K42" s="160"/>
      <c r="L42" s="70"/>
    </row>
    <row r="43" spans="1:12" s="2" customFormat="1" x14ac:dyDescent="0.2">
      <c r="A43" s="89">
        <v>45310</v>
      </c>
      <c r="B43" s="128" t="s">
        <v>6</v>
      </c>
      <c r="C43" s="76" t="s">
        <v>785</v>
      </c>
      <c r="D43" s="11" t="s">
        <v>13</v>
      </c>
      <c r="E43" s="31">
        <v>7267249</v>
      </c>
      <c r="G43" s="23"/>
      <c r="H43" s="23"/>
      <c r="I43" s="159"/>
      <c r="J43" s="160"/>
      <c r="K43" s="160"/>
      <c r="L43" s="70"/>
    </row>
    <row r="44" spans="1:12" s="2" customFormat="1" x14ac:dyDescent="0.2">
      <c r="A44" s="89">
        <v>45310</v>
      </c>
      <c r="B44" s="128" t="s">
        <v>6</v>
      </c>
      <c r="C44" s="76" t="s">
        <v>765</v>
      </c>
      <c r="D44" s="11" t="s">
        <v>13</v>
      </c>
      <c r="E44" s="31">
        <v>2267123.7000000002</v>
      </c>
      <c r="G44" s="23"/>
      <c r="H44" s="23"/>
      <c r="I44" s="159"/>
      <c r="J44" s="160"/>
      <c r="K44" s="160"/>
      <c r="L44" s="70"/>
    </row>
    <row r="45" spans="1:12" s="2" customFormat="1" x14ac:dyDescent="0.2">
      <c r="A45" s="89">
        <v>45310</v>
      </c>
      <c r="B45" s="128" t="s">
        <v>6</v>
      </c>
      <c r="C45" s="76" t="s">
        <v>1138</v>
      </c>
      <c r="D45" s="11" t="s">
        <v>13</v>
      </c>
      <c r="E45" s="31">
        <v>500000</v>
      </c>
      <c r="G45" s="23"/>
      <c r="H45" s="23"/>
      <c r="I45" s="159"/>
      <c r="J45" s="160"/>
      <c r="K45" s="160"/>
      <c r="L45" s="70"/>
    </row>
    <row r="46" spans="1:12" s="2" customFormat="1" x14ac:dyDescent="0.2">
      <c r="A46" s="89">
        <v>45310</v>
      </c>
      <c r="B46" s="128" t="s">
        <v>6</v>
      </c>
      <c r="C46" s="76" t="s">
        <v>1991</v>
      </c>
      <c r="D46" s="11" t="s">
        <v>13</v>
      </c>
      <c r="E46" s="31">
        <v>20948</v>
      </c>
      <c r="G46" s="23"/>
      <c r="H46" s="23"/>
      <c r="I46" s="159"/>
      <c r="J46" s="160"/>
      <c r="K46" s="160"/>
      <c r="L46" s="70"/>
    </row>
    <row r="47" spans="1:12" s="2" customFormat="1" x14ac:dyDescent="0.2">
      <c r="A47" s="89">
        <v>45310</v>
      </c>
      <c r="B47" s="128" t="s">
        <v>6</v>
      </c>
      <c r="C47" s="76" t="s">
        <v>788</v>
      </c>
      <c r="D47" s="11" t="s">
        <v>13</v>
      </c>
      <c r="E47" s="31">
        <v>29155</v>
      </c>
      <c r="G47" s="23"/>
      <c r="H47" s="23"/>
      <c r="I47" s="159"/>
      <c r="J47" s="160"/>
      <c r="K47" s="160"/>
      <c r="L47" s="70"/>
    </row>
    <row r="48" spans="1:12" s="2" customFormat="1" x14ac:dyDescent="0.2">
      <c r="A48" s="89">
        <v>45310</v>
      </c>
      <c r="B48" s="128" t="s">
        <v>6</v>
      </c>
      <c r="C48" s="76" t="s">
        <v>200</v>
      </c>
      <c r="D48" s="11" t="s">
        <v>13</v>
      </c>
      <c r="E48" s="31">
        <v>654923</v>
      </c>
      <c r="G48" s="23"/>
      <c r="H48" s="23"/>
      <c r="I48" s="159"/>
      <c r="J48" s="160"/>
      <c r="K48" s="160"/>
      <c r="L48" s="70"/>
    </row>
    <row r="49" spans="1:12" s="2" customFormat="1" x14ac:dyDescent="0.2">
      <c r="A49" s="89">
        <v>45310</v>
      </c>
      <c r="B49" s="128" t="s">
        <v>6</v>
      </c>
      <c r="C49" s="76" t="s">
        <v>15</v>
      </c>
      <c r="D49" s="11" t="s">
        <v>13</v>
      </c>
      <c r="E49" s="31">
        <v>179581.07</v>
      </c>
      <c r="G49" s="23"/>
      <c r="H49" s="23"/>
      <c r="I49" s="159"/>
      <c r="J49" s="160"/>
      <c r="K49" s="160"/>
      <c r="L49" s="70"/>
    </row>
    <row r="50" spans="1:12" s="2" customFormat="1" x14ac:dyDescent="0.2">
      <c r="A50" s="89">
        <v>45310</v>
      </c>
      <c r="B50" s="128" t="s">
        <v>6</v>
      </c>
      <c r="C50" s="76" t="s">
        <v>766</v>
      </c>
      <c r="D50" s="11" t="s">
        <v>13</v>
      </c>
      <c r="E50" s="31">
        <v>422100</v>
      </c>
      <c r="G50" s="23"/>
      <c r="H50" s="23"/>
      <c r="I50" s="159"/>
      <c r="J50" s="160"/>
      <c r="K50" s="160"/>
      <c r="L50" s="70"/>
    </row>
    <row r="51" spans="1:12" s="2" customFormat="1" x14ac:dyDescent="0.2">
      <c r="A51" s="89">
        <v>45310</v>
      </c>
      <c r="B51" s="128" t="s">
        <v>6</v>
      </c>
      <c r="C51" s="76" t="s">
        <v>318</v>
      </c>
      <c r="D51" s="11" t="s">
        <v>13</v>
      </c>
      <c r="E51" s="31">
        <v>2612951</v>
      </c>
      <c r="G51" s="23"/>
      <c r="H51" s="23"/>
      <c r="I51" s="159"/>
      <c r="J51" s="160"/>
      <c r="K51" s="160"/>
      <c r="L51" s="70"/>
    </row>
    <row r="52" spans="1:12" s="2" customFormat="1" x14ac:dyDescent="0.2">
      <c r="A52" s="89">
        <v>45310</v>
      </c>
      <c r="B52" s="128" t="s">
        <v>11</v>
      </c>
      <c r="C52" s="76" t="s">
        <v>64</v>
      </c>
      <c r="D52" s="11" t="s">
        <v>29</v>
      </c>
      <c r="E52" s="31"/>
      <c r="F52" s="2">
        <v>7375</v>
      </c>
      <c r="G52" s="23"/>
      <c r="H52" s="23"/>
      <c r="I52" s="159"/>
      <c r="J52" s="160"/>
      <c r="K52" s="160"/>
      <c r="L52" s="70"/>
    </row>
    <row r="53" spans="1:12" s="2" customFormat="1" x14ac:dyDescent="0.2">
      <c r="A53" s="89">
        <v>45310</v>
      </c>
      <c r="B53" s="128" t="s">
        <v>11</v>
      </c>
      <c r="C53" s="76" t="s">
        <v>15</v>
      </c>
      <c r="D53" s="11" t="s">
        <v>29</v>
      </c>
      <c r="E53" s="31"/>
      <c r="F53" s="2">
        <v>116357.23999999999</v>
      </c>
      <c r="G53" s="23"/>
      <c r="H53" s="23"/>
      <c r="I53" s="159"/>
      <c r="J53" s="160"/>
      <c r="K53" s="160"/>
      <c r="L53" s="70"/>
    </row>
    <row r="54" spans="1:12" s="2" customFormat="1" x14ac:dyDescent="0.2">
      <c r="A54" s="89">
        <v>45310</v>
      </c>
      <c r="B54" s="128" t="s">
        <v>11</v>
      </c>
      <c r="C54" s="76" t="s">
        <v>687</v>
      </c>
      <c r="D54" s="11" t="s">
        <v>29</v>
      </c>
      <c r="E54" s="31"/>
      <c r="F54" s="2">
        <v>2018481</v>
      </c>
      <c r="G54" s="23"/>
      <c r="H54" s="23"/>
      <c r="I54" s="159"/>
      <c r="J54" s="160"/>
      <c r="K54" s="160"/>
      <c r="L54" s="70"/>
    </row>
    <row r="55" spans="1:12" s="2" customFormat="1" x14ac:dyDescent="0.2">
      <c r="A55" s="89">
        <v>45310</v>
      </c>
      <c r="B55" s="128" t="s">
        <v>11</v>
      </c>
      <c r="C55" s="76" t="s">
        <v>1403</v>
      </c>
      <c r="D55" s="11" t="s">
        <v>29</v>
      </c>
      <c r="E55" s="31"/>
      <c r="F55" s="2">
        <v>5373533</v>
      </c>
      <c r="G55" s="23"/>
      <c r="H55" s="23"/>
      <c r="I55" s="159"/>
      <c r="J55" s="160"/>
      <c r="K55" s="160"/>
      <c r="L55" s="70"/>
    </row>
    <row r="56" spans="1:12" s="2" customFormat="1" x14ac:dyDescent="0.2">
      <c r="A56" s="89">
        <v>45310</v>
      </c>
      <c r="B56" s="128" t="s">
        <v>11</v>
      </c>
      <c r="C56" s="76" t="s">
        <v>135</v>
      </c>
      <c r="D56" s="11" t="s">
        <v>29</v>
      </c>
      <c r="E56" s="31"/>
      <c r="F56" s="2">
        <v>608983</v>
      </c>
      <c r="G56" s="23"/>
      <c r="H56" s="23"/>
      <c r="I56" s="159"/>
      <c r="J56" s="160"/>
      <c r="K56" s="160"/>
      <c r="L56" s="70"/>
    </row>
    <row r="57" spans="1:12" s="2" customFormat="1" x14ac:dyDescent="0.2">
      <c r="A57" s="89">
        <v>45310</v>
      </c>
      <c r="B57" s="128" t="s">
        <v>11</v>
      </c>
      <c r="C57" s="76" t="s">
        <v>1651</v>
      </c>
      <c r="D57" s="11" t="s">
        <v>29</v>
      </c>
      <c r="E57" s="31"/>
      <c r="F57" s="2">
        <v>1446331</v>
      </c>
      <c r="G57" s="23"/>
      <c r="H57" s="23"/>
      <c r="I57" s="159"/>
      <c r="J57" s="160"/>
      <c r="K57" s="160"/>
      <c r="L57" s="70"/>
    </row>
    <row r="58" spans="1:12" s="2" customFormat="1" x14ac:dyDescent="0.2">
      <c r="A58" s="89">
        <v>45310</v>
      </c>
      <c r="B58" s="128" t="s">
        <v>11</v>
      </c>
      <c r="C58" s="76" t="s">
        <v>696</v>
      </c>
      <c r="D58" s="11" t="s">
        <v>29</v>
      </c>
      <c r="E58" s="31"/>
      <c r="F58" s="2">
        <v>955081</v>
      </c>
      <c r="G58" s="23"/>
      <c r="H58" s="23"/>
      <c r="I58" s="159"/>
      <c r="J58" s="160"/>
      <c r="K58" s="160"/>
      <c r="L58" s="70"/>
    </row>
    <row r="59" spans="1:12" s="2" customFormat="1" x14ac:dyDescent="0.2">
      <c r="A59" s="89">
        <v>45310</v>
      </c>
      <c r="B59" s="128" t="s">
        <v>11</v>
      </c>
      <c r="C59" s="76" t="s">
        <v>301</v>
      </c>
      <c r="D59" s="11" t="s">
        <v>29</v>
      </c>
      <c r="E59" s="31"/>
      <c r="F59" s="2">
        <v>1419782</v>
      </c>
      <c r="G59" s="23"/>
      <c r="H59" s="23"/>
      <c r="I59" s="159"/>
      <c r="J59" s="160"/>
      <c r="K59" s="160"/>
      <c r="L59" s="70"/>
    </row>
    <row r="60" spans="1:12" s="2" customFormat="1" x14ac:dyDescent="0.2">
      <c r="A60" s="89">
        <v>45310</v>
      </c>
      <c r="B60" s="128" t="s">
        <v>11</v>
      </c>
      <c r="C60" s="76" t="s">
        <v>372</v>
      </c>
      <c r="D60" s="11" t="s">
        <v>29</v>
      </c>
      <c r="E60" s="31"/>
      <c r="F60" s="2">
        <v>325397</v>
      </c>
      <c r="G60" s="23"/>
      <c r="H60" s="23"/>
      <c r="I60" s="159"/>
      <c r="J60" s="160"/>
      <c r="K60" s="160"/>
      <c r="L60" s="70"/>
    </row>
    <row r="61" spans="1:12" s="2" customFormat="1" x14ac:dyDescent="0.2">
      <c r="A61" s="89">
        <v>45310</v>
      </c>
      <c r="B61" s="128" t="s">
        <v>11</v>
      </c>
      <c r="C61" s="76" t="s">
        <v>57</v>
      </c>
      <c r="D61" s="11" t="s">
        <v>29</v>
      </c>
      <c r="E61" s="31"/>
      <c r="F61" s="2">
        <v>4500000</v>
      </c>
      <c r="G61" s="23"/>
      <c r="H61" s="23"/>
      <c r="I61" s="159"/>
      <c r="J61" s="160"/>
      <c r="K61" s="160"/>
      <c r="L61" s="70"/>
    </row>
    <row r="62" spans="1:12" s="2" customFormat="1" x14ac:dyDescent="0.2">
      <c r="A62" s="89">
        <v>45310</v>
      </c>
      <c r="B62" s="128" t="s">
        <v>11</v>
      </c>
      <c r="C62" s="76" t="s">
        <v>45</v>
      </c>
      <c r="D62" s="11" t="s">
        <v>29</v>
      </c>
      <c r="E62" s="31"/>
      <c r="F62" s="2">
        <v>328210</v>
      </c>
      <c r="G62" s="23"/>
      <c r="H62" s="23"/>
      <c r="I62" s="159"/>
      <c r="J62" s="160"/>
      <c r="K62" s="160"/>
      <c r="L62" s="70"/>
    </row>
    <row r="63" spans="1:12" s="2" customFormat="1" x14ac:dyDescent="0.2">
      <c r="A63" s="89">
        <v>45310</v>
      </c>
      <c r="B63" s="128" t="s">
        <v>11</v>
      </c>
      <c r="C63" s="76" t="s">
        <v>61</v>
      </c>
      <c r="D63" s="11" t="s">
        <v>29</v>
      </c>
      <c r="E63" s="31"/>
      <c r="F63" s="2">
        <v>273918.59999999998</v>
      </c>
      <c r="G63" s="23"/>
      <c r="H63" s="23"/>
      <c r="I63" s="159"/>
      <c r="J63" s="160"/>
      <c r="K63" s="160"/>
      <c r="L63" s="70"/>
    </row>
    <row r="64" spans="1:12" s="2" customFormat="1" x14ac:dyDescent="0.2">
      <c r="A64" s="89">
        <v>45310</v>
      </c>
      <c r="B64" s="128" t="s">
        <v>11</v>
      </c>
      <c r="C64" s="76" t="s">
        <v>1589</v>
      </c>
      <c r="D64" s="11" t="s">
        <v>29</v>
      </c>
      <c r="E64" s="31"/>
      <c r="F64" s="2">
        <v>167588</v>
      </c>
      <c r="G64" s="23"/>
      <c r="H64" s="23"/>
      <c r="I64" s="159"/>
      <c r="J64" s="160"/>
      <c r="K64" s="160"/>
      <c r="L64" s="70"/>
    </row>
    <row r="65" spans="1:15" s="2" customFormat="1" x14ac:dyDescent="0.2">
      <c r="A65" s="89">
        <v>45310</v>
      </c>
      <c r="B65" s="128" t="s">
        <v>11</v>
      </c>
      <c r="C65" s="76" t="s">
        <v>462</v>
      </c>
      <c r="D65" s="11" t="s">
        <v>29</v>
      </c>
      <c r="E65" s="31"/>
      <c r="F65" s="2">
        <v>290458.56</v>
      </c>
      <c r="G65" s="23"/>
      <c r="H65" s="23"/>
      <c r="I65" s="159"/>
      <c r="J65" s="160"/>
      <c r="K65" s="160"/>
      <c r="L65" s="70"/>
    </row>
    <row r="66" spans="1:15" s="2" customFormat="1" x14ac:dyDescent="0.2">
      <c r="A66" s="89">
        <v>45310</v>
      </c>
      <c r="B66" s="128" t="s">
        <v>11</v>
      </c>
      <c r="C66" s="76" t="s">
        <v>115</v>
      </c>
      <c r="D66" s="11" t="s">
        <v>29</v>
      </c>
      <c r="E66" s="31"/>
      <c r="F66" s="2">
        <v>420845.43</v>
      </c>
      <c r="G66" s="23"/>
      <c r="H66" s="23"/>
      <c r="I66" s="159"/>
      <c r="J66" s="160"/>
      <c r="K66" s="160"/>
      <c r="L66" s="70"/>
    </row>
    <row r="67" spans="1:15" s="2" customFormat="1" x14ac:dyDescent="0.2">
      <c r="A67" s="89">
        <v>45310</v>
      </c>
      <c r="B67" s="128" t="s">
        <v>11</v>
      </c>
      <c r="C67" s="76" t="s">
        <v>809</v>
      </c>
      <c r="D67" s="11" t="s">
        <v>29</v>
      </c>
      <c r="E67" s="31"/>
      <c r="F67" s="2">
        <v>180540</v>
      </c>
      <c r="G67" s="23"/>
      <c r="H67" s="23"/>
      <c r="I67" s="159"/>
      <c r="J67" s="160"/>
      <c r="K67" s="160"/>
      <c r="L67" s="70"/>
    </row>
    <row r="68" spans="1:15" s="2" customFormat="1" x14ac:dyDescent="0.2">
      <c r="A68" s="89">
        <v>45310</v>
      </c>
      <c r="B68" s="128" t="s">
        <v>11</v>
      </c>
      <c r="C68" s="76" t="s">
        <v>116</v>
      </c>
      <c r="D68" s="11" t="s">
        <v>29</v>
      </c>
      <c r="E68" s="31"/>
      <c r="F68" s="2">
        <v>899688</v>
      </c>
      <c r="G68" s="23"/>
      <c r="H68" s="23"/>
      <c r="I68" s="159"/>
      <c r="J68" s="160"/>
      <c r="K68" s="160"/>
      <c r="L68" s="70"/>
    </row>
    <row r="69" spans="1:15" s="2" customFormat="1" x14ac:dyDescent="0.2">
      <c r="A69" s="89">
        <v>45310</v>
      </c>
      <c r="B69" s="128" t="s">
        <v>11</v>
      </c>
      <c r="C69" s="76" t="s">
        <v>117</v>
      </c>
      <c r="D69" s="11" t="s">
        <v>29</v>
      </c>
      <c r="E69" s="31"/>
      <c r="F69" s="2">
        <v>534248</v>
      </c>
      <c r="G69" s="23"/>
      <c r="H69" s="23"/>
      <c r="I69" s="159"/>
      <c r="J69" s="160"/>
      <c r="K69" s="160"/>
      <c r="L69" s="70"/>
    </row>
    <row r="70" spans="1:15" s="2" customFormat="1" x14ac:dyDescent="0.2">
      <c r="A70" s="89">
        <v>45310</v>
      </c>
      <c r="B70" s="128" t="s">
        <v>11</v>
      </c>
      <c r="C70" s="76" t="s">
        <v>1269</v>
      </c>
      <c r="D70" s="11" t="s">
        <v>29</v>
      </c>
      <c r="E70" s="31"/>
      <c r="F70" s="2">
        <v>499208</v>
      </c>
      <c r="G70" s="23"/>
      <c r="H70" s="23"/>
      <c r="I70" s="159"/>
      <c r="J70" s="160"/>
      <c r="K70" s="160"/>
      <c r="L70" s="70"/>
    </row>
    <row r="71" spans="1:15" s="2" customFormat="1" x14ac:dyDescent="0.2">
      <c r="A71" s="89">
        <v>45310</v>
      </c>
      <c r="B71" s="128" t="s">
        <v>11</v>
      </c>
      <c r="C71" s="76" t="s">
        <v>251</v>
      </c>
      <c r="D71" s="11" t="s">
        <v>29</v>
      </c>
      <c r="E71" s="31"/>
      <c r="F71" s="2">
        <v>302302</v>
      </c>
      <c r="G71" s="23"/>
      <c r="H71" s="23"/>
      <c r="I71" s="159"/>
      <c r="J71" s="160"/>
      <c r="K71" s="160"/>
      <c r="L71" s="70"/>
    </row>
    <row r="72" spans="1:15" s="2" customFormat="1" x14ac:dyDescent="0.2">
      <c r="A72" s="89">
        <v>45310</v>
      </c>
      <c r="B72" s="128" t="s">
        <v>11</v>
      </c>
      <c r="C72" s="76" t="s">
        <v>41</v>
      </c>
      <c r="D72" s="11" t="s">
        <v>29</v>
      </c>
      <c r="E72" s="31"/>
      <c r="F72" s="2">
        <v>185689</v>
      </c>
      <c r="G72" s="23"/>
      <c r="H72" s="23"/>
      <c r="I72" s="159"/>
      <c r="J72" s="160"/>
      <c r="K72" s="160"/>
      <c r="L72" s="70"/>
    </row>
    <row r="73" spans="1:15" s="2" customFormat="1" x14ac:dyDescent="0.2">
      <c r="A73" s="89">
        <v>45310</v>
      </c>
      <c r="B73" s="128" t="s">
        <v>11</v>
      </c>
      <c r="C73" s="76" t="s">
        <v>937</v>
      </c>
      <c r="D73" s="11" t="s">
        <v>29</v>
      </c>
      <c r="E73" s="31"/>
      <c r="F73" s="2">
        <v>4309</v>
      </c>
      <c r="G73" s="23"/>
      <c r="H73" s="23"/>
      <c r="I73" s="159"/>
      <c r="J73" s="160"/>
      <c r="K73" s="160"/>
      <c r="L73" s="70"/>
    </row>
    <row r="74" spans="1:15" s="2" customFormat="1" x14ac:dyDescent="0.2">
      <c r="A74" s="32"/>
      <c r="B74" s="33"/>
      <c r="C74" s="14"/>
      <c r="D74" s="34"/>
      <c r="E74" s="16">
        <f>SUM(E31:E73)</f>
        <v>28209470.82</v>
      </c>
      <c r="F74" s="16">
        <f>SUM(F31:F73)</f>
        <v>107221370.81999995</v>
      </c>
      <c r="G74" s="1"/>
      <c r="H74" s="1"/>
      <c r="I74" s="1"/>
      <c r="J74" s="38">
        <v>79011900</v>
      </c>
      <c r="L74" s="92">
        <f>E75-J74</f>
        <v>0</v>
      </c>
      <c r="O74" s="1"/>
    </row>
    <row r="75" spans="1:15" s="2" customFormat="1" x14ac:dyDescent="0.2">
      <c r="A75" s="36"/>
      <c r="B75" s="28" t="s">
        <v>11</v>
      </c>
      <c r="C75" s="19" t="s">
        <v>65</v>
      </c>
      <c r="D75" s="37"/>
      <c r="E75" s="38">
        <f>F74-E74</f>
        <v>79011899.99999994</v>
      </c>
      <c r="F75" s="22"/>
      <c r="G75" s="1"/>
      <c r="H75" s="1"/>
      <c r="I75" s="1"/>
      <c r="J75" s="70"/>
      <c r="K75" s="70"/>
      <c r="L75" s="70"/>
      <c r="O75" s="1"/>
    </row>
    <row r="76" spans="1:15" s="2" customFormat="1" x14ac:dyDescent="0.2">
      <c r="A76" s="36"/>
      <c r="B76" s="28" t="s">
        <v>66</v>
      </c>
      <c r="C76" s="19" t="s">
        <v>67</v>
      </c>
      <c r="D76" s="37"/>
      <c r="E76" s="38">
        <v>11500000</v>
      </c>
      <c r="F76" s="22"/>
      <c r="G76" s="1"/>
      <c r="H76" s="1"/>
      <c r="I76" s="70"/>
      <c r="J76" s="70"/>
      <c r="K76" s="70"/>
      <c r="L76" s="70"/>
      <c r="O76" s="1"/>
    </row>
    <row r="77" spans="1:15" s="2" customFormat="1" x14ac:dyDescent="0.2">
      <c r="A77" s="36"/>
      <c r="B77" s="28" t="s">
        <v>66</v>
      </c>
      <c r="C77" s="43" t="s">
        <v>1457</v>
      </c>
      <c r="D77" s="43"/>
      <c r="E77" s="12">
        <v>400000000</v>
      </c>
      <c r="F77" s="22"/>
      <c r="G77" s="1"/>
      <c r="H77" s="1"/>
      <c r="I77" s="70"/>
      <c r="J77" s="45">
        <v>1099.46</v>
      </c>
      <c r="K77" s="46"/>
      <c r="L77" s="46"/>
      <c r="O77" s="1"/>
    </row>
    <row r="78" spans="1:15" s="2" customFormat="1" ht="15" x14ac:dyDescent="0.25">
      <c r="A78" s="36"/>
      <c r="B78" s="28"/>
      <c r="C78" s="44" t="s">
        <v>1541</v>
      </c>
      <c r="D78" s="43"/>
      <c r="E78" s="7">
        <f>+E77+E75+E76</f>
        <v>490511899.99999994</v>
      </c>
      <c r="F78" s="22"/>
      <c r="G78" s="1"/>
      <c r="H78" s="1"/>
      <c r="I78" s="103" t="s">
        <v>69</v>
      </c>
      <c r="J78" s="45">
        <v>-54.36</v>
      </c>
      <c r="K78" s="46"/>
      <c r="L78" s="46"/>
      <c r="O78" s="1"/>
    </row>
    <row r="79" spans="1:15" s="2" customFormat="1" ht="15" x14ac:dyDescent="0.25">
      <c r="A79" s="24"/>
      <c r="B79" s="1"/>
      <c r="C79" s="44" t="s">
        <v>1510</v>
      </c>
      <c r="D79" s="25"/>
      <c r="E79" s="156">
        <f>+J31-E76+I27-J27</f>
        <v>9488100</v>
      </c>
      <c r="G79" s="1"/>
      <c r="H79" s="1"/>
      <c r="I79" s="35">
        <v>1</v>
      </c>
      <c r="J79" s="45">
        <v>29.99</v>
      </c>
      <c r="K79" s="46">
        <f>+J80-D82</f>
        <v>0</v>
      </c>
      <c r="O79" s="1"/>
    </row>
    <row r="80" spans="1:15" s="124" customFormat="1" ht="12.75" customHeight="1" x14ac:dyDescent="0.2">
      <c r="A80" s="24"/>
      <c r="B80" s="1"/>
      <c r="C80" s="56"/>
      <c r="D80" s="56"/>
      <c r="E80" s="104"/>
      <c r="F80" s="2"/>
      <c r="G80" s="166"/>
      <c r="H80" s="166"/>
      <c r="I80" s="70"/>
      <c r="J80" s="49">
        <f>SUM(J77:J79)</f>
        <v>1075.0900000000001</v>
      </c>
      <c r="K80" s="46"/>
      <c r="L80" s="46"/>
    </row>
    <row r="81" spans="1:14" s="124" customFormat="1" ht="12.75" customHeight="1" x14ac:dyDescent="0.2">
      <c r="A81" s="24"/>
      <c r="B81" s="1"/>
      <c r="C81" s="78" t="s">
        <v>575</v>
      </c>
      <c r="D81" s="48" t="s">
        <v>576</v>
      </c>
      <c r="E81" s="104"/>
      <c r="F81" s="2"/>
      <c r="G81" s="168"/>
      <c r="H81" s="168"/>
      <c r="I81" s="167"/>
      <c r="J81" s="167"/>
      <c r="K81" s="168"/>
    </row>
    <row r="82" spans="1:14" s="124" customFormat="1" ht="12.75" customHeight="1" x14ac:dyDescent="0.2">
      <c r="A82" s="24"/>
      <c r="B82" s="1"/>
      <c r="C82" s="47" t="s">
        <v>570</v>
      </c>
      <c r="D82" s="111">
        <v>1075.0899999999999</v>
      </c>
      <c r="E82" s="104"/>
      <c r="F82" s="2"/>
      <c r="G82" s="168"/>
      <c r="H82" s="168"/>
      <c r="I82" s="110" t="s">
        <v>581</v>
      </c>
      <c r="J82" s="167"/>
      <c r="K82" s="168"/>
    </row>
    <row r="83" spans="1:14" s="124" customFormat="1" ht="12.75" customHeight="1" x14ac:dyDescent="0.2">
      <c r="A83" s="24"/>
      <c r="B83" s="1"/>
      <c r="C83" s="47" t="s">
        <v>931</v>
      </c>
      <c r="D83" s="111">
        <v>131.06</v>
      </c>
      <c r="E83" s="104"/>
      <c r="F83" s="2"/>
      <c r="G83" s="168"/>
      <c r="H83" s="168"/>
      <c r="I83" s="110" t="s">
        <v>580</v>
      </c>
      <c r="J83" s="167"/>
      <c r="K83" s="168"/>
    </row>
    <row r="84" spans="1:14" s="124" customFormat="1" ht="12.75" customHeight="1" x14ac:dyDescent="0.2">
      <c r="A84" s="24"/>
      <c r="B84" s="1"/>
      <c r="C84" s="47" t="s">
        <v>572</v>
      </c>
      <c r="D84" s="111">
        <f>+D120/100000</f>
        <v>502.47667340000004</v>
      </c>
      <c r="E84" s="104"/>
      <c r="F84" s="2"/>
      <c r="G84" s="166"/>
      <c r="H84" s="166"/>
      <c r="I84" s="90" t="s">
        <v>587</v>
      </c>
      <c r="J84" s="167"/>
      <c r="K84" s="168"/>
    </row>
    <row r="85" spans="1:14" s="2" customFormat="1" x14ac:dyDescent="0.2">
      <c r="A85" s="24"/>
      <c r="B85" s="1"/>
      <c r="C85" s="108" t="s">
        <v>578</v>
      </c>
      <c r="D85" s="48">
        <f>SUM(D82:D84)</f>
        <v>1708.6266733999998</v>
      </c>
      <c r="E85" s="104"/>
      <c r="G85" s="30"/>
      <c r="H85" s="30"/>
      <c r="J85" s="13"/>
      <c r="K85" s="13"/>
    </row>
    <row r="86" spans="1:14" s="70" customFormat="1" x14ac:dyDescent="0.2">
      <c r="A86" s="24"/>
      <c r="B86" s="1"/>
      <c r="C86" s="47"/>
      <c r="D86" s="107"/>
      <c r="E86" s="104"/>
      <c r="F86" s="2"/>
      <c r="G86" s="30"/>
      <c r="H86" s="30"/>
      <c r="I86" s="2"/>
    </row>
    <row r="87" spans="1:14" s="70" customFormat="1" x14ac:dyDescent="0.2">
      <c r="A87" s="24"/>
      <c r="B87" s="1"/>
      <c r="C87" s="47" t="s">
        <v>932</v>
      </c>
      <c r="D87" s="111">
        <v>337.91</v>
      </c>
      <c r="E87" s="104"/>
      <c r="F87" s="2"/>
      <c r="G87" s="30"/>
      <c r="H87" s="30"/>
      <c r="I87" s="110" t="s">
        <v>581</v>
      </c>
    </row>
    <row r="88" spans="1:14" s="70" customFormat="1" x14ac:dyDescent="0.2">
      <c r="A88" s="24"/>
      <c r="B88" s="1"/>
      <c r="C88" s="136" t="s">
        <v>1142</v>
      </c>
      <c r="D88" s="111">
        <v>861.06</v>
      </c>
      <c r="E88" s="104"/>
      <c r="F88" s="2"/>
      <c r="G88" s="30"/>
      <c r="H88" s="30"/>
      <c r="I88" s="110" t="s">
        <v>581</v>
      </c>
    </row>
    <row r="89" spans="1:14" s="70" customFormat="1" x14ac:dyDescent="0.2">
      <c r="A89" s="24"/>
      <c r="B89" s="1"/>
      <c r="C89" s="78" t="s">
        <v>579</v>
      </c>
      <c r="D89" s="109">
        <f>D87+D88</f>
        <v>1198.97</v>
      </c>
      <c r="E89" s="104"/>
      <c r="F89" s="2"/>
      <c r="G89" s="30"/>
      <c r="H89" s="30"/>
    </row>
    <row r="90" spans="1:14" s="70" customFormat="1" x14ac:dyDescent="0.2">
      <c r="A90" s="24"/>
      <c r="B90" s="1"/>
      <c r="C90" s="105"/>
      <c r="D90" s="106"/>
      <c r="E90" s="104"/>
      <c r="F90" s="2"/>
      <c r="G90" s="30"/>
      <c r="H90" s="30"/>
      <c r="J90" s="2"/>
      <c r="K90" s="221" t="str">
        <f>"FROM ( 01-01-2024 to "&amp;TEXT(A5,"dd-mm-yyyy")&amp;" )"</f>
        <v>FROM ( 01-01-2024 to 19-01-2024 )</v>
      </c>
      <c r="L90" s="221"/>
      <c r="M90" s="2"/>
      <c r="N90" s="2"/>
    </row>
    <row r="91" spans="1:14" s="70" customFormat="1" x14ac:dyDescent="0.2">
      <c r="A91" s="24"/>
      <c r="B91" s="1"/>
      <c r="C91" s="78" t="s">
        <v>577</v>
      </c>
      <c r="D91" s="109">
        <f>D82+D89</f>
        <v>2274.06</v>
      </c>
      <c r="E91" s="104"/>
      <c r="F91" s="2"/>
      <c r="G91" s="30"/>
      <c r="H91" s="30"/>
      <c r="J91" s="113"/>
      <c r="K91" s="113" t="s">
        <v>709</v>
      </c>
      <c r="L91" s="113" t="s">
        <v>710</v>
      </c>
      <c r="M91" s="113" t="s">
        <v>711</v>
      </c>
      <c r="N91" s="113" t="s">
        <v>712</v>
      </c>
    </row>
    <row r="92" spans="1:14" s="70" customFormat="1" x14ac:dyDescent="0.2">
      <c r="A92" s="24"/>
      <c r="B92" s="1"/>
      <c r="C92" s="56"/>
      <c r="D92" s="56"/>
      <c r="E92" s="104"/>
      <c r="F92" s="2"/>
      <c r="G92" s="30"/>
      <c r="H92" s="30"/>
      <c r="J92" s="113" t="s">
        <v>1860</v>
      </c>
      <c r="K92" s="115">
        <v>189.89</v>
      </c>
      <c r="L92" s="115">
        <v>56.31</v>
      </c>
      <c r="M92" s="115">
        <v>58.41</v>
      </c>
      <c r="N92" s="113">
        <f>+K92+M92-L92</f>
        <v>191.98999999999998</v>
      </c>
    </row>
    <row r="93" spans="1:14" s="70" customFormat="1" ht="38.25" x14ac:dyDescent="0.2">
      <c r="A93" s="24"/>
      <c r="B93" s="1"/>
      <c r="C93" s="79" t="str">
        <f>"Particulars ( 01-01-2024 to "&amp;TEXT(A5,"dd-mm-yyyy")&amp;" )"</f>
        <v>Particulars ( 01-01-2024 to 19-01-2024 )</v>
      </c>
      <c r="D93" s="79" t="s">
        <v>7</v>
      </c>
      <c r="E93" s="80" t="s">
        <v>73</v>
      </c>
      <c r="F93" s="80" t="s">
        <v>74</v>
      </c>
      <c r="G93" s="81" t="s">
        <v>75</v>
      </c>
      <c r="H93" s="80" t="s">
        <v>76</v>
      </c>
      <c r="J93" s="113" t="s">
        <v>1861</v>
      </c>
      <c r="K93" s="115">
        <v>1671.12</v>
      </c>
      <c r="L93" s="115">
        <v>502.48</v>
      </c>
      <c r="M93" s="115">
        <v>858.96</v>
      </c>
      <c r="N93" s="113">
        <f>+K93+M93-L93</f>
        <v>2027.6</v>
      </c>
    </row>
    <row r="94" spans="1:14" s="70" customFormat="1" x14ac:dyDescent="0.2">
      <c r="A94" s="24"/>
      <c r="B94" s="1"/>
      <c r="C94" s="50" t="s">
        <v>444</v>
      </c>
      <c r="D94" s="55">
        <f>+K94</f>
        <v>140.88</v>
      </c>
      <c r="E94" s="55">
        <f>+M94</f>
        <v>337.91</v>
      </c>
      <c r="F94" s="55">
        <f>+L94</f>
        <v>131.06</v>
      </c>
      <c r="G94" s="55">
        <f>+D94+E94-F94</f>
        <v>347.73</v>
      </c>
      <c r="H94" s="55">
        <f>1500-G94</f>
        <v>1152.27</v>
      </c>
      <c r="J94" s="113" t="s">
        <v>707</v>
      </c>
      <c r="K94" s="115">
        <v>140.88</v>
      </c>
      <c r="L94" s="115">
        <v>131.06</v>
      </c>
      <c r="M94" s="115">
        <v>337.91</v>
      </c>
      <c r="N94" s="113">
        <f>+K94+M94-L94</f>
        <v>347.73</v>
      </c>
    </row>
    <row r="95" spans="1:14" s="70" customFormat="1" ht="12.75" customHeight="1" x14ac:dyDescent="0.2">
      <c r="A95" s="24"/>
      <c r="B95" s="1"/>
      <c r="C95" s="50" t="s">
        <v>71</v>
      </c>
      <c r="D95" s="55">
        <f>+K92+K93</f>
        <v>1861.0099999999998</v>
      </c>
      <c r="E95" s="55">
        <f>+M92+M93</f>
        <v>917.37</v>
      </c>
      <c r="F95" s="55">
        <f>+L92+L93</f>
        <v>558.79</v>
      </c>
      <c r="G95" s="55">
        <f>+D95+E95-F95</f>
        <v>2219.5899999999997</v>
      </c>
      <c r="H95" s="55">
        <f>1500+700+200-G95</f>
        <v>180.41000000000031</v>
      </c>
      <c r="J95" s="2"/>
      <c r="K95" s="118">
        <f>SUM(K92:K94)</f>
        <v>2001.8899999999999</v>
      </c>
      <c r="L95" s="118">
        <f>SUM(L92:L94)</f>
        <v>689.84999999999991</v>
      </c>
      <c r="M95" s="118">
        <f>SUM(M92:M94)</f>
        <v>1255.28</v>
      </c>
      <c r="N95" s="118">
        <f>SUM(N92:N94)</f>
        <v>2567.3199999999997</v>
      </c>
    </row>
    <row r="96" spans="1:14" s="70" customFormat="1" ht="12.75" customHeight="1" x14ac:dyDescent="0.2">
      <c r="A96" s="24"/>
      <c r="B96" s="1"/>
      <c r="C96" s="14"/>
      <c r="D96" s="56"/>
      <c r="E96" s="13"/>
      <c r="F96" s="2"/>
      <c r="G96" s="30"/>
      <c r="H96" s="30"/>
    </row>
    <row r="97" spans="1:15" s="70" customFormat="1" ht="12.75" customHeight="1" x14ac:dyDescent="0.2">
      <c r="A97" s="215" t="s">
        <v>80</v>
      </c>
      <c r="B97" s="216"/>
      <c r="C97" s="216"/>
      <c r="D97" s="217"/>
      <c r="E97" s="69"/>
      <c r="G97" s="30"/>
      <c r="H97" s="30"/>
    </row>
    <row r="98" spans="1:15" s="70" customFormat="1" ht="12.75" customHeight="1" x14ac:dyDescent="0.2">
      <c r="A98" s="71" t="s">
        <v>81</v>
      </c>
      <c r="B98" s="71"/>
      <c r="C98" s="72" t="s">
        <v>82</v>
      </c>
      <c r="D98" s="73" t="s">
        <v>83</v>
      </c>
      <c r="E98" s="69"/>
      <c r="G98" s="30"/>
      <c r="H98" s="30"/>
    </row>
    <row r="99" spans="1:15" s="70" customFormat="1" ht="12.75" customHeight="1" x14ac:dyDescent="0.2">
      <c r="A99" s="87">
        <v>45292</v>
      </c>
      <c r="B99" s="120" t="s">
        <v>6</v>
      </c>
      <c r="C99" s="75" t="s">
        <v>1933</v>
      </c>
      <c r="D99" s="88">
        <v>7583470</v>
      </c>
      <c r="E99" s="2"/>
      <c r="F99" s="2"/>
      <c r="G99" s="30"/>
      <c r="H99" s="30"/>
      <c r="I99" s="2"/>
      <c r="J99" s="2"/>
      <c r="K99" s="2"/>
      <c r="L99" s="2"/>
      <c r="M99" s="41"/>
      <c r="N99" s="42"/>
      <c r="O99" s="2"/>
    </row>
    <row r="100" spans="1:15" s="70" customFormat="1" ht="12.75" customHeight="1" x14ac:dyDescent="0.2">
      <c r="A100" s="87">
        <v>45293</v>
      </c>
      <c r="B100" s="120" t="s">
        <v>6</v>
      </c>
      <c r="C100" s="75" t="s">
        <v>1934</v>
      </c>
      <c r="D100" s="88">
        <v>124988</v>
      </c>
      <c r="E100" s="2"/>
      <c r="F100" s="2"/>
      <c r="G100" s="30"/>
      <c r="H100" s="30"/>
      <c r="I100" s="2"/>
      <c r="J100" s="2"/>
      <c r="K100" s="2"/>
      <c r="L100" s="2"/>
      <c r="M100" s="41"/>
      <c r="N100" s="42"/>
      <c r="O100" s="2"/>
    </row>
    <row r="101" spans="1:15" s="70" customFormat="1" ht="12.75" customHeight="1" x14ac:dyDescent="0.2">
      <c r="A101" s="87">
        <v>45294</v>
      </c>
      <c r="B101" s="120" t="s">
        <v>6</v>
      </c>
      <c r="C101" s="75" t="s">
        <v>606</v>
      </c>
      <c r="D101" s="88">
        <v>260191</v>
      </c>
      <c r="E101" s="2"/>
      <c r="F101" s="2"/>
      <c r="G101" s="30"/>
      <c r="H101" s="30"/>
      <c r="I101" s="2"/>
      <c r="J101" s="2"/>
      <c r="K101" s="2"/>
      <c r="L101" s="2"/>
      <c r="M101" s="41"/>
      <c r="N101" s="42"/>
      <c r="O101" s="2"/>
    </row>
    <row r="102" spans="1:15" s="70" customFormat="1" ht="12.75" customHeight="1" x14ac:dyDescent="0.2">
      <c r="A102" s="87">
        <v>45294</v>
      </c>
      <c r="B102" s="120" t="s">
        <v>6</v>
      </c>
      <c r="C102" s="75" t="s">
        <v>888</v>
      </c>
      <c r="D102" s="88">
        <v>2431991.34</v>
      </c>
      <c r="E102" s="2"/>
      <c r="F102" s="2"/>
      <c r="G102" s="30"/>
      <c r="H102" s="30"/>
      <c r="I102" s="2"/>
      <c r="J102" s="2"/>
      <c r="K102" s="2"/>
      <c r="L102" s="2"/>
      <c r="M102" s="41"/>
      <c r="N102" s="42"/>
      <c r="O102" s="2"/>
    </row>
    <row r="103" spans="1:15" s="70" customFormat="1" ht="12.75" customHeight="1" x14ac:dyDescent="0.2">
      <c r="A103" s="87">
        <v>45295</v>
      </c>
      <c r="B103" s="120" t="s">
        <v>6</v>
      </c>
      <c r="C103" s="75" t="s">
        <v>1944</v>
      </c>
      <c r="D103" s="88">
        <v>23655</v>
      </c>
      <c r="E103" s="2"/>
      <c r="F103" s="2"/>
      <c r="G103" s="30"/>
      <c r="H103" s="30"/>
      <c r="I103" s="2"/>
      <c r="J103" s="2"/>
      <c r="K103" s="2"/>
      <c r="L103" s="2"/>
      <c r="M103" s="41"/>
      <c r="N103" s="42"/>
      <c r="O103" s="2"/>
    </row>
    <row r="104" spans="1:15" s="70" customFormat="1" ht="12.75" customHeight="1" x14ac:dyDescent="0.2">
      <c r="A104" s="87">
        <v>45295</v>
      </c>
      <c r="B104" s="120" t="s">
        <v>6</v>
      </c>
      <c r="C104" s="75" t="s">
        <v>1944</v>
      </c>
      <c r="D104" s="88">
        <v>321576</v>
      </c>
      <c r="E104" s="2"/>
      <c r="F104" s="2"/>
      <c r="G104" s="30"/>
      <c r="H104" s="30"/>
      <c r="I104" s="2"/>
      <c r="J104" s="2"/>
      <c r="K104" s="2"/>
      <c r="L104" s="2"/>
      <c r="M104" s="41"/>
      <c r="N104" s="42"/>
      <c r="O104" s="2"/>
    </row>
    <row r="105" spans="1:15" s="70" customFormat="1" ht="12.75" customHeight="1" x14ac:dyDescent="0.2">
      <c r="A105" s="87">
        <v>45295</v>
      </c>
      <c r="B105" s="120" t="s">
        <v>6</v>
      </c>
      <c r="C105" s="75" t="s">
        <v>1944</v>
      </c>
      <c r="D105" s="88">
        <v>430832</v>
      </c>
      <c r="E105" s="2"/>
      <c r="F105" s="2"/>
      <c r="G105" s="30"/>
      <c r="H105" s="30"/>
      <c r="I105" s="2"/>
      <c r="J105" s="2"/>
      <c r="K105" s="2"/>
      <c r="L105" s="2"/>
      <c r="M105" s="41"/>
      <c r="N105" s="42"/>
      <c r="O105" s="2"/>
    </row>
    <row r="106" spans="1:15" s="70" customFormat="1" ht="12.75" customHeight="1" x14ac:dyDescent="0.2">
      <c r="A106" s="87">
        <v>45295</v>
      </c>
      <c r="B106" s="120" t="s">
        <v>6</v>
      </c>
      <c r="C106" s="75" t="s">
        <v>1934</v>
      </c>
      <c r="D106" s="88">
        <v>892589</v>
      </c>
      <c r="E106" s="2"/>
      <c r="F106" s="2"/>
      <c r="G106" s="30"/>
      <c r="H106" s="30"/>
      <c r="I106" s="2"/>
      <c r="J106" s="2"/>
      <c r="K106" s="2"/>
      <c r="L106" s="2"/>
      <c r="M106" s="41"/>
      <c r="N106" s="42"/>
      <c r="O106" s="2"/>
    </row>
    <row r="107" spans="1:15" s="70" customFormat="1" ht="12.75" customHeight="1" x14ac:dyDescent="0.2">
      <c r="A107" s="87">
        <v>45299</v>
      </c>
      <c r="B107" s="120" t="s">
        <v>6</v>
      </c>
      <c r="C107" s="75" t="s">
        <v>1933</v>
      </c>
      <c r="D107" s="88">
        <v>8143487</v>
      </c>
      <c r="E107" s="2"/>
      <c r="F107" s="2"/>
      <c r="G107" s="30"/>
      <c r="H107" s="30"/>
      <c r="I107" s="2"/>
      <c r="J107" s="2"/>
      <c r="K107" s="2"/>
      <c r="L107" s="2"/>
      <c r="M107" s="41"/>
      <c r="N107" s="42"/>
      <c r="O107" s="2"/>
    </row>
    <row r="108" spans="1:15" s="70" customFormat="1" ht="12.75" customHeight="1" x14ac:dyDescent="0.2">
      <c r="A108" s="87">
        <v>45299</v>
      </c>
      <c r="B108" s="120" t="s">
        <v>6</v>
      </c>
      <c r="C108" s="75" t="s">
        <v>606</v>
      </c>
      <c r="D108" s="88">
        <v>487316</v>
      </c>
      <c r="E108" s="2"/>
      <c r="F108" s="2"/>
      <c r="G108" s="30"/>
      <c r="H108" s="30"/>
      <c r="I108" s="2"/>
      <c r="J108" s="2"/>
      <c r="K108" s="2"/>
      <c r="L108" s="2"/>
      <c r="M108" s="41"/>
      <c r="N108" s="42"/>
      <c r="O108" s="2"/>
    </row>
    <row r="109" spans="1:15" s="70" customFormat="1" ht="12.75" customHeight="1" x14ac:dyDescent="0.2">
      <c r="A109" s="87">
        <v>45301</v>
      </c>
      <c r="B109" s="120" t="s">
        <v>6</v>
      </c>
      <c r="C109" s="75" t="s">
        <v>1933</v>
      </c>
      <c r="D109" s="88">
        <v>2690</v>
      </c>
      <c r="E109" s="2"/>
      <c r="F109" s="2"/>
      <c r="G109" s="30"/>
      <c r="H109" s="30"/>
      <c r="I109" s="2"/>
      <c r="J109" s="2"/>
      <c r="K109" s="2"/>
      <c r="L109" s="2"/>
      <c r="M109" s="41"/>
      <c r="N109" s="42"/>
      <c r="O109" s="2"/>
    </row>
    <row r="110" spans="1:15" s="70" customFormat="1" ht="12.75" customHeight="1" x14ac:dyDescent="0.2">
      <c r="A110" s="87">
        <v>45301</v>
      </c>
      <c r="B110" s="120" t="s">
        <v>6</v>
      </c>
      <c r="C110" s="75" t="s">
        <v>1933</v>
      </c>
      <c r="D110" s="88">
        <v>2133516</v>
      </c>
      <c r="E110" s="2"/>
      <c r="F110" s="2"/>
      <c r="G110" s="30"/>
      <c r="H110" s="30"/>
      <c r="I110" s="2"/>
      <c r="J110" s="2"/>
      <c r="K110" s="2"/>
      <c r="L110" s="2"/>
      <c r="M110" s="41"/>
      <c r="N110" s="42"/>
      <c r="O110" s="2"/>
    </row>
    <row r="111" spans="1:15" s="70" customFormat="1" ht="12.75" customHeight="1" x14ac:dyDescent="0.2">
      <c r="A111" s="87">
        <v>45302</v>
      </c>
      <c r="B111" s="120" t="s">
        <v>6</v>
      </c>
      <c r="C111" s="75" t="s">
        <v>1084</v>
      </c>
      <c r="D111" s="88">
        <v>3000000</v>
      </c>
      <c r="E111" s="2"/>
      <c r="F111" s="2"/>
      <c r="G111" s="30"/>
      <c r="H111" s="30"/>
      <c r="I111" s="2"/>
      <c r="J111" s="2"/>
      <c r="K111" s="2"/>
      <c r="L111" s="2"/>
      <c r="M111" s="41"/>
      <c r="N111" s="42"/>
      <c r="O111" s="2"/>
    </row>
    <row r="112" spans="1:15" s="70" customFormat="1" ht="12.75" customHeight="1" x14ac:dyDescent="0.2">
      <c r="A112" s="87">
        <v>45303</v>
      </c>
      <c r="B112" s="120" t="s">
        <v>6</v>
      </c>
      <c r="C112" s="75" t="s">
        <v>1933</v>
      </c>
      <c r="D112" s="88">
        <v>5893097</v>
      </c>
      <c r="E112" s="2"/>
      <c r="F112" s="2"/>
      <c r="G112" s="30"/>
      <c r="H112" s="30"/>
      <c r="I112" s="2"/>
      <c r="J112" s="2"/>
      <c r="K112" s="2"/>
      <c r="L112" s="2"/>
      <c r="M112" s="41"/>
      <c r="N112" s="42"/>
      <c r="O112" s="2"/>
    </row>
    <row r="113" spans="1:15" s="70" customFormat="1" ht="12.75" customHeight="1" x14ac:dyDescent="0.2">
      <c r="A113" s="87">
        <v>45303</v>
      </c>
      <c r="B113" s="120" t="s">
        <v>6</v>
      </c>
      <c r="C113" s="75" t="s">
        <v>1977</v>
      </c>
      <c r="D113" s="88">
        <v>500000</v>
      </c>
      <c r="E113" s="2"/>
      <c r="F113" s="2"/>
      <c r="G113" s="30"/>
      <c r="H113" s="30"/>
      <c r="I113" s="2"/>
      <c r="J113" s="2"/>
      <c r="K113" s="2"/>
      <c r="L113" s="2"/>
      <c r="M113" s="41"/>
      <c r="N113" s="42"/>
      <c r="O113" s="2"/>
    </row>
    <row r="114" spans="1:15" s="70" customFormat="1" ht="12.75" customHeight="1" x14ac:dyDescent="0.2">
      <c r="A114" s="87">
        <v>45307</v>
      </c>
      <c r="B114" s="120" t="s">
        <v>6</v>
      </c>
      <c r="C114" s="75" t="s">
        <v>1933</v>
      </c>
      <c r="D114" s="88">
        <v>3572610</v>
      </c>
      <c r="E114" s="2"/>
      <c r="F114" s="2"/>
      <c r="G114" s="30"/>
      <c r="H114" s="30"/>
      <c r="I114" s="2"/>
      <c r="J114" s="2"/>
      <c r="K114" s="2"/>
      <c r="L114" s="2"/>
      <c r="M114" s="41"/>
      <c r="N114" s="42"/>
      <c r="O114" s="2"/>
    </row>
    <row r="115" spans="1:15" s="70" customFormat="1" ht="12.75" customHeight="1" x14ac:dyDescent="0.2">
      <c r="A115" s="87">
        <v>45307</v>
      </c>
      <c r="B115" s="120" t="s">
        <v>6</v>
      </c>
      <c r="C115" s="75" t="s">
        <v>1944</v>
      </c>
      <c r="D115" s="88">
        <v>4109147</v>
      </c>
      <c r="E115" s="2"/>
      <c r="F115" s="2"/>
      <c r="G115" s="30"/>
      <c r="H115" s="30"/>
      <c r="I115" s="2"/>
      <c r="J115" s="2"/>
      <c r="K115" s="2"/>
      <c r="L115" s="2"/>
      <c r="M115" s="41"/>
      <c r="N115" s="42"/>
      <c r="O115" s="2"/>
    </row>
    <row r="116" spans="1:15" s="70" customFormat="1" ht="12.75" customHeight="1" x14ac:dyDescent="0.2">
      <c r="A116" s="87">
        <v>45307</v>
      </c>
      <c r="B116" s="120" t="s">
        <v>6</v>
      </c>
      <c r="C116" s="75" t="s">
        <v>1944</v>
      </c>
      <c r="D116" s="88">
        <v>1168867</v>
      </c>
      <c r="E116" s="2"/>
      <c r="F116" s="2"/>
      <c r="G116" s="30"/>
      <c r="H116" s="30"/>
      <c r="I116" s="2"/>
      <c r="J116" s="2"/>
      <c r="K116" s="2"/>
      <c r="L116" s="2"/>
      <c r="M116" s="41"/>
      <c r="N116" s="42"/>
      <c r="O116" s="2"/>
    </row>
    <row r="117" spans="1:15" s="70" customFormat="1" ht="12.75" customHeight="1" x14ac:dyDescent="0.2">
      <c r="A117" s="87">
        <v>45307</v>
      </c>
      <c r="B117" s="120" t="s">
        <v>6</v>
      </c>
      <c r="C117" s="75" t="s">
        <v>1988</v>
      </c>
      <c r="D117" s="88">
        <v>175195</v>
      </c>
      <c r="E117" s="2"/>
      <c r="F117" s="2"/>
      <c r="G117" s="30"/>
      <c r="H117" s="30"/>
      <c r="I117" s="2"/>
      <c r="J117" s="2"/>
      <c r="K117" s="2"/>
      <c r="L117" s="2"/>
      <c r="M117" s="41"/>
      <c r="N117" s="42"/>
      <c r="O117" s="2"/>
    </row>
    <row r="118" spans="1:15" s="70" customFormat="1" ht="12.75" customHeight="1" x14ac:dyDescent="0.2">
      <c r="A118" s="87">
        <v>45309</v>
      </c>
      <c r="B118" s="120" t="s">
        <v>6</v>
      </c>
      <c r="C118" s="75" t="s">
        <v>1933</v>
      </c>
      <c r="D118" s="88">
        <v>7480683</v>
      </c>
      <c r="E118" s="2"/>
      <c r="F118" s="2"/>
      <c r="G118" s="30"/>
      <c r="H118" s="30"/>
      <c r="I118" s="2"/>
      <c r="J118" s="2"/>
      <c r="K118" s="2"/>
      <c r="L118" s="2"/>
      <c r="M118" s="41"/>
      <c r="N118" s="42"/>
      <c r="O118" s="2"/>
    </row>
    <row r="119" spans="1:15" s="70" customFormat="1" ht="12.75" customHeight="1" x14ac:dyDescent="0.2">
      <c r="A119" s="87">
        <v>45309</v>
      </c>
      <c r="B119" s="120" t="s">
        <v>6</v>
      </c>
      <c r="C119" s="75" t="s">
        <v>1977</v>
      </c>
      <c r="D119" s="88">
        <v>1511767</v>
      </c>
      <c r="E119" s="2"/>
      <c r="F119" s="2"/>
      <c r="G119" s="30"/>
      <c r="H119" s="30"/>
      <c r="I119" s="2"/>
      <c r="J119" s="2"/>
      <c r="K119" s="2"/>
      <c r="L119" s="2"/>
      <c r="M119" s="41"/>
      <c r="N119" s="42"/>
      <c r="O119" s="2"/>
    </row>
    <row r="120" spans="1:15" s="2" customFormat="1" x14ac:dyDescent="0.2">
      <c r="A120" s="87"/>
      <c r="B120" s="74"/>
      <c r="C120" s="75"/>
      <c r="D120" s="51">
        <f>SUM(D99:D119)</f>
        <v>50247667.340000004</v>
      </c>
      <c r="F120" s="2" t="s">
        <v>396</v>
      </c>
      <c r="G120" s="1"/>
      <c r="H120" s="1"/>
    </row>
    <row r="121" spans="1:15" s="2" customFormat="1" x14ac:dyDescent="0.2">
      <c r="A121" s="24"/>
      <c r="B121" s="1"/>
      <c r="C121" s="14"/>
      <c r="D121" s="56"/>
      <c r="E121" s="13"/>
      <c r="G121" s="1"/>
      <c r="H121" s="1"/>
    </row>
    <row r="122" spans="1:15" s="2" customFormat="1" x14ac:dyDescent="0.2">
      <c r="A122" s="24"/>
      <c r="B122" s="1"/>
      <c r="C122" s="218" t="s">
        <v>77</v>
      </c>
      <c r="D122" s="219"/>
      <c r="E122" s="219"/>
      <c r="F122" s="220"/>
      <c r="I122" s="2" t="s">
        <v>396</v>
      </c>
    </row>
    <row r="123" spans="1:15" s="2" customFormat="1" x14ac:dyDescent="0.2">
      <c r="A123" s="24"/>
      <c r="B123" s="1"/>
      <c r="C123" s="50"/>
      <c r="D123" s="57" t="s">
        <v>78</v>
      </c>
      <c r="E123" s="58" t="s">
        <v>79</v>
      </c>
      <c r="F123" s="57" t="s">
        <v>72</v>
      </c>
      <c r="I123" s="2" t="s">
        <v>396</v>
      </c>
    </row>
    <row r="124" spans="1:15" s="2" customFormat="1" x14ac:dyDescent="0.2">
      <c r="A124" s="24"/>
      <c r="B124" s="1"/>
      <c r="C124" s="59" t="str">
        <f>"01-01-2024 to "&amp;TEXT(A5-2,"dd-mm-yyyy")</f>
        <v>01-01-2024 to 17-01-2024</v>
      </c>
      <c r="D124" s="60">
        <v>1307.33</v>
      </c>
      <c r="E124" s="60">
        <v>366.25</v>
      </c>
      <c r="F124" s="61">
        <f>SUM(D124:E124)</f>
        <v>1673.58</v>
      </c>
    </row>
    <row r="125" spans="1:15" s="2" customFormat="1" x14ac:dyDescent="0.2">
      <c r="A125" s="24"/>
      <c r="B125" s="1"/>
      <c r="C125" s="62" t="str">
        <f>TEXT(A5-1,"dd-mm-yyyy")</f>
        <v>18-01-2024</v>
      </c>
      <c r="D125" s="60">
        <v>134.41999999999999</v>
      </c>
      <c r="E125" s="60">
        <v>20.5</v>
      </c>
      <c r="F125" s="61">
        <f>SUM(D125:E125)</f>
        <v>154.91999999999999</v>
      </c>
      <c r="G125" s="1"/>
      <c r="H125" s="1"/>
      <c r="I125" s="53"/>
    </row>
    <row r="126" spans="1:15" s="2" customFormat="1" ht="13.5" thickBot="1" x14ac:dyDescent="0.25">
      <c r="A126" s="24"/>
      <c r="B126" s="1"/>
      <c r="C126" s="63" t="str">
        <f>"01-01-2024 to "&amp;TEXT(A5-1,"dd-mm-yyyy")</f>
        <v>01-01-2024 to 18-01-2024</v>
      </c>
      <c r="D126" s="64">
        <f>SUM(D124:D125)</f>
        <v>1441.75</v>
      </c>
      <c r="E126" s="64">
        <f>SUM(E124:E125)</f>
        <v>386.75</v>
      </c>
      <c r="F126" s="64">
        <f>SUM(F124:F125)</f>
        <v>1828.5</v>
      </c>
      <c r="G126" s="1"/>
      <c r="H126" s="1"/>
      <c r="I126" s="53"/>
    </row>
    <row r="127" spans="1:15" s="2" customFormat="1" ht="13.5" thickTop="1" x14ac:dyDescent="0.2">
      <c r="A127" s="24"/>
      <c r="B127" s="1"/>
      <c r="C127" s="62"/>
      <c r="D127" s="65"/>
      <c r="E127" s="66"/>
      <c r="F127" s="67"/>
      <c r="M127" s="1"/>
      <c r="N127" s="1"/>
    </row>
    <row r="128" spans="1:15" s="2" customFormat="1" x14ac:dyDescent="0.2">
      <c r="A128" s="24"/>
      <c r="B128" s="1"/>
      <c r="C128" s="62" t="str">
        <f>"01-04-2023 to " &amp;C125</f>
        <v>01-04-2023 to 18-01-2024</v>
      </c>
      <c r="D128" s="68">
        <f>+D126+34570.27</f>
        <v>36012.019999999997</v>
      </c>
      <c r="E128" s="68">
        <f>+E126+3831.86</f>
        <v>4218.6100000000006</v>
      </c>
      <c r="F128" s="68">
        <f>+F126+38402.13</f>
        <v>40230.629999999997</v>
      </c>
      <c r="G128" s="1"/>
      <c r="H128" s="1"/>
      <c r="M128" s="1"/>
      <c r="N128" s="1"/>
    </row>
    <row r="129" spans="1:14" s="2" customFormat="1" x14ac:dyDescent="0.2">
      <c r="A129" s="24"/>
      <c r="B129" s="1"/>
      <c r="C129" s="52"/>
      <c r="D129" s="85"/>
      <c r="E129" s="53"/>
      <c r="F129" s="53"/>
      <c r="G129" s="1"/>
      <c r="H129" s="1"/>
      <c r="M129" s="1"/>
      <c r="N129" s="1"/>
    </row>
    <row r="130" spans="1:14" s="2" customFormat="1" x14ac:dyDescent="0.2">
      <c r="A130" s="24"/>
      <c r="B130" s="1"/>
      <c r="C130" s="52"/>
      <c r="D130" s="85"/>
      <c r="E130" s="53"/>
      <c r="F130" s="53"/>
      <c r="G130" s="1"/>
      <c r="H130" s="1"/>
      <c r="M130" s="1"/>
      <c r="N130" s="1"/>
    </row>
    <row r="131" spans="1:14" s="2" customFormat="1" x14ac:dyDescent="0.2">
      <c r="A131" s="24"/>
      <c r="B131" s="1"/>
      <c r="C131" s="52"/>
      <c r="D131" s="85"/>
      <c r="E131" s="53"/>
      <c r="F131" s="53"/>
      <c r="G131" s="1"/>
      <c r="H131" s="1"/>
      <c r="M131" s="1"/>
      <c r="N131" s="1"/>
    </row>
    <row r="132" spans="1:14" s="2" customFormat="1" x14ac:dyDescent="0.2">
      <c r="A132" s="24"/>
      <c r="B132" s="1"/>
      <c r="C132" s="52"/>
      <c r="D132" s="85"/>
      <c r="E132" s="53"/>
      <c r="F132" s="53"/>
      <c r="G132" s="1"/>
      <c r="H132" s="1"/>
      <c r="M132" s="1"/>
      <c r="N132" s="1"/>
    </row>
    <row r="133" spans="1:14" s="2" customFormat="1" x14ac:dyDescent="0.2">
      <c r="A133" s="24"/>
      <c r="B133" s="1"/>
      <c r="C133" s="14"/>
      <c r="D133" s="25">
        <f>SUM(D130:D132)</f>
        <v>0</v>
      </c>
      <c r="E133" s="2">
        <f>SUM(E130:E132)</f>
        <v>0</v>
      </c>
      <c r="G133" s="1"/>
      <c r="H133" s="1"/>
      <c r="M133" s="1"/>
      <c r="N133" s="1"/>
    </row>
    <row r="134" spans="1:14" s="2" customFormat="1" x14ac:dyDescent="0.2">
      <c r="A134" s="24"/>
      <c r="B134" s="1"/>
      <c r="C134" s="14"/>
      <c r="D134" s="25"/>
      <c r="G134" s="1"/>
      <c r="H134" s="1"/>
      <c r="M134" s="1"/>
      <c r="N134" s="1"/>
    </row>
    <row r="135" spans="1:14" s="2" customFormat="1" x14ac:dyDescent="0.2">
      <c r="A135" s="24"/>
      <c r="B135" s="1"/>
      <c r="C135" s="14"/>
      <c r="D135" s="25"/>
      <c r="G135" s="1"/>
      <c r="H135" s="1"/>
      <c r="M135" s="1"/>
      <c r="N135" s="1"/>
    </row>
    <row r="136" spans="1:14" s="2" customFormat="1" x14ac:dyDescent="0.2">
      <c r="A136" s="24"/>
      <c r="B136" s="1"/>
      <c r="C136" s="14"/>
      <c r="D136" s="25"/>
      <c r="G136" s="1"/>
      <c r="H136" s="1"/>
      <c r="M136" s="1"/>
      <c r="N136" s="1"/>
    </row>
    <row r="137" spans="1:14" s="2" customFormat="1" x14ac:dyDescent="0.2">
      <c r="A137" s="24"/>
      <c r="B137" s="1"/>
      <c r="C137" s="14"/>
      <c r="D137" s="25"/>
      <c r="G137" s="1"/>
      <c r="H137" s="1"/>
      <c r="M137" s="1"/>
      <c r="N137" s="1"/>
    </row>
    <row r="138" spans="1:14" s="2" customFormat="1" x14ac:dyDescent="0.2">
      <c r="A138" s="24"/>
      <c r="B138" s="1"/>
      <c r="C138" s="14"/>
      <c r="D138" s="25"/>
      <c r="G138" s="1"/>
      <c r="H138" s="1"/>
      <c r="M138" s="1"/>
      <c r="N138" s="1"/>
    </row>
    <row r="139" spans="1:14" s="2" customFormat="1" x14ac:dyDescent="0.2">
      <c r="A139" s="24"/>
      <c r="B139" s="1"/>
      <c r="C139" s="14"/>
      <c r="D139" s="25"/>
      <c r="G139" s="1"/>
      <c r="H139" s="1"/>
      <c r="M139" s="1"/>
      <c r="N139" s="1"/>
    </row>
    <row r="140" spans="1:14" s="2" customFormat="1" x14ac:dyDescent="0.2">
      <c r="A140" s="24"/>
      <c r="B140" s="1"/>
      <c r="C140" s="14"/>
      <c r="D140" s="25"/>
      <c r="G140" s="1"/>
      <c r="H140" s="1"/>
      <c r="M140" s="1"/>
      <c r="N140" s="1"/>
    </row>
    <row r="141" spans="1:14" s="2" customFormat="1" x14ac:dyDescent="0.2">
      <c r="A141" s="24"/>
      <c r="B141" s="1"/>
      <c r="C141" s="14"/>
      <c r="D141" s="25"/>
      <c r="G141" s="1"/>
      <c r="H141" s="1"/>
      <c r="M141" s="1"/>
      <c r="N141" s="1"/>
    </row>
    <row r="142" spans="1:14" s="2" customFormat="1" x14ac:dyDescent="0.2">
      <c r="A142" s="24"/>
      <c r="B142" s="1"/>
      <c r="C142" s="14"/>
      <c r="D142" s="25"/>
      <c r="G142" s="1"/>
      <c r="H142" s="1"/>
      <c r="M142" s="1"/>
      <c r="N142" s="1"/>
    </row>
    <row r="143" spans="1:14" s="2" customFormat="1" x14ac:dyDescent="0.2">
      <c r="A143" s="24"/>
      <c r="B143" s="1"/>
      <c r="C143" s="14"/>
      <c r="D143" s="25"/>
      <c r="G143" s="1"/>
      <c r="H143" s="1"/>
      <c r="M143" s="1"/>
      <c r="N143" s="1"/>
    </row>
    <row r="144" spans="1:14" s="2" customFormat="1" x14ac:dyDescent="0.2">
      <c r="A144" s="24"/>
      <c r="B144" s="1"/>
      <c r="C144" s="14"/>
      <c r="D144" s="25"/>
      <c r="G144" s="1"/>
      <c r="H144" s="1"/>
      <c r="M144" s="1"/>
      <c r="N144" s="1"/>
    </row>
    <row r="145" spans="1:15" s="2" customFormat="1" x14ac:dyDescent="0.2">
      <c r="A145" s="24"/>
      <c r="B145" s="1"/>
      <c r="C145" s="14"/>
      <c r="D145" s="25"/>
      <c r="G145" s="1"/>
      <c r="H145" s="1"/>
      <c r="M145" s="1"/>
      <c r="N145" s="1"/>
    </row>
    <row r="146" spans="1:15" s="2" customFormat="1" x14ac:dyDescent="0.2">
      <c r="A146" s="24"/>
      <c r="B146" s="1"/>
      <c r="C146" s="14"/>
      <c r="D146" s="25"/>
      <c r="G146" s="1"/>
      <c r="H146" s="1"/>
      <c r="M146" s="1"/>
      <c r="N146" s="1"/>
    </row>
    <row r="147" spans="1:15" s="2" customFormat="1" x14ac:dyDescent="0.2">
      <c r="A147" s="24"/>
      <c r="B147" s="1"/>
      <c r="C147" s="14"/>
      <c r="D147" s="25"/>
      <c r="G147" s="1"/>
      <c r="H147" s="1"/>
      <c r="J147" s="1"/>
      <c r="K147" s="1"/>
      <c r="L147" s="1"/>
      <c r="M147" s="1"/>
      <c r="N147" s="1"/>
    </row>
    <row r="148" spans="1:15" s="2" customFormat="1" x14ac:dyDescent="0.2">
      <c r="A148" s="24"/>
      <c r="B148" s="1"/>
      <c r="C148" s="14"/>
      <c r="D148" s="25"/>
      <c r="G148" s="1"/>
      <c r="H148" s="1"/>
    </row>
    <row r="149" spans="1:15" s="2" customFormat="1" x14ac:dyDescent="0.2">
      <c r="A149" s="24"/>
      <c r="B149" s="1"/>
      <c r="C149" s="14"/>
      <c r="D149" s="25"/>
      <c r="G149" s="1"/>
      <c r="H149" s="1"/>
      <c r="J149" s="1"/>
      <c r="K149" s="1"/>
      <c r="L149" s="1"/>
      <c r="M149" s="1"/>
      <c r="N149" s="1"/>
    </row>
    <row r="150" spans="1:15" s="2" customFormat="1" x14ac:dyDescent="0.2">
      <c r="A150" s="24"/>
      <c r="B150" s="1"/>
      <c r="C150" s="14"/>
      <c r="D150" s="25"/>
      <c r="G150" s="54"/>
      <c r="H150" s="54"/>
      <c r="J150" s="1"/>
      <c r="K150" s="1"/>
      <c r="L150" s="1"/>
      <c r="M150" s="1"/>
      <c r="N150" s="1"/>
    </row>
    <row r="151" spans="1:15" s="2" customFormat="1" x14ac:dyDescent="0.2">
      <c r="A151" s="24"/>
      <c r="B151" s="1"/>
      <c r="C151" s="14"/>
      <c r="D151" s="25"/>
      <c r="G151" s="54"/>
      <c r="H151" s="54"/>
      <c r="J151" s="1"/>
      <c r="K151" s="1"/>
      <c r="L151" s="1"/>
      <c r="M151" s="1"/>
      <c r="N151" s="1"/>
    </row>
    <row r="152" spans="1:15" s="2" customFormat="1" x14ac:dyDescent="0.2">
      <c r="A152" s="24"/>
      <c r="B152" s="1"/>
      <c r="C152" s="14"/>
      <c r="D152" s="25"/>
      <c r="G152" s="54"/>
      <c r="H152" s="54"/>
      <c r="J152" s="1"/>
      <c r="K152" s="1"/>
      <c r="L152" s="1"/>
      <c r="M152" s="1"/>
      <c r="N152" s="1"/>
    </row>
    <row r="153" spans="1:15" s="2" customFormat="1" x14ac:dyDescent="0.2">
      <c r="A153" s="24"/>
      <c r="B153" s="1"/>
      <c r="C153" s="14"/>
      <c r="D153" s="25"/>
      <c r="G153" s="54"/>
      <c r="H153" s="54"/>
      <c r="I153" s="2" t="s">
        <v>396</v>
      </c>
      <c r="J153" s="1"/>
      <c r="K153" s="1"/>
      <c r="L153" s="1"/>
      <c r="M153" s="1"/>
      <c r="N153" s="1"/>
      <c r="O153" s="1"/>
    </row>
    <row r="154" spans="1:15" s="2" customFormat="1" x14ac:dyDescent="0.2">
      <c r="A154" s="24"/>
      <c r="B154" s="1"/>
      <c r="C154" s="14"/>
      <c r="D154" s="25"/>
      <c r="G154" s="54"/>
      <c r="H154" s="54"/>
      <c r="I154" s="53"/>
    </row>
    <row r="155" spans="1:15" s="2" customFormat="1" x14ac:dyDescent="0.2">
      <c r="A155" s="24"/>
      <c r="B155" s="1"/>
      <c r="C155" s="14"/>
      <c r="D155" s="25"/>
      <c r="G155" s="54"/>
      <c r="H155" s="54"/>
      <c r="I155" s="53" t="s">
        <v>396</v>
      </c>
      <c r="J155" s="1"/>
      <c r="K155" s="1"/>
      <c r="L155" s="1"/>
      <c r="M155" s="1"/>
      <c r="N155" s="1"/>
      <c r="O155" s="1"/>
    </row>
    <row r="156" spans="1:15" x14ac:dyDescent="0.2">
      <c r="G156" s="54"/>
      <c r="H156" s="54"/>
      <c r="I156" s="53" t="s">
        <v>396</v>
      </c>
      <c r="K156" s="42"/>
    </row>
    <row r="157" spans="1:15" s="2" customFormat="1" x14ac:dyDescent="0.2">
      <c r="A157" s="24"/>
      <c r="B157" s="1"/>
      <c r="C157" s="14"/>
      <c r="D157" s="25"/>
      <c r="G157" s="54"/>
      <c r="H157" s="54"/>
      <c r="I157" s="53"/>
      <c r="J157" s="101"/>
      <c r="K157" s="1"/>
      <c r="L157" s="1"/>
      <c r="M157" s="1"/>
      <c r="N157" s="1"/>
      <c r="O157" s="1"/>
    </row>
    <row r="158" spans="1:15" x14ac:dyDescent="0.2">
      <c r="G158" s="54"/>
      <c r="H158" s="54"/>
      <c r="I158" s="53"/>
    </row>
    <row r="159" spans="1:15" x14ac:dyDescent="0.2">
      <c r="G159" s="54"/>
      <c r="H159" s="54"/>
      <c r="I159" s="53"/>
    </row>
    <row r="160" spans="1:15" x14ac:dyDescent="0.2">
      <c r="G160" s="54"/>
      <c r="H160" s="54"/>
      <c r="I160" s="53"/>
    </row>
  </sheetData>
  <sheetProtection insertRows="0"/>
  <mergeCells count="7">
    <mergeCell ref="K90:L90"/>
    <mergeCell ref="A97:D97"/>
    <mergeCell ref="C122:F122"/>
    <mergeCell ref="A1:H1"/>
    <mergeCell ref="A3:F3"/>
    <mergeCell ref="A9:F9"/>
    <mergeCell ref="A29:F29"/>
  </mergeCells>
  <conditionalFormatting sqref="H94:H95">
    <cfRule type="cellIs" dxfId="117" priority="1" operator="lessThan">
      <formula>0</formula>
    </cfRule>
  </conditionalFormatting>
  <conditionalFormatting sqref="C31">
    <cfRule type="duplicateValues" dxfId="116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800-000000000000}">
  <sheetPr codeName="Sheet528">
    <pageSetUpPr fitToPage="1"/>
  </sheetPr>
  <dimension ref="A1:O140"/>
  <sheetViews>
    <sheetView topLeftCell="A18" zoomScaleNormal="100" workbookViewId="0">
      <selection activeCell="C27" sqref="C27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12.85546875" style="1" customWidth="1"/>
    <col min="9" max="9" width="24.85546875" style="2" bestFit="1" customWidth="1"/>
    <col min="10" max="10" width="21.5703125" style="1" bestFit="1" customWidth="1"/>
    <col min="11" max="11" width="16.85546875" style="1" bestFit="1" customWidth="1"/>
    <col min="12" max="12" width="17.28515625" style="1" bestFit="1" customWidth="1"/>
    <col min="13" max="13" width="13.5703125" style="1" bestFit="1" customWidth="1"/>
    <col min="14" max="14" width="17.42578125" style="1" bestFit="1" customWidth="1"/>
    <col min="15" max="15" width="12.85546875" style="1" bestFit="1" customWidth="1"/>
    <col min="16" max="17" width="9.140625" style="1"/>
    <col min="18" max="18" width="15.5703125" style="1" bestFit="1" customWidth="1"/>
    <col min="19" max="16384" width="9.140625" style="1"/>
  </cols>
  <sheetData>
    <row r="1" spans="1:14" ht="20.25" customHeight="1" x14ac:dyDescent="0.4">
      <c r="A1" s="212" t="s">
        <v>1992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4" ht="12.75" customHeight="1" x14ac:dyDescent="0.4">
      <c r="I2" s="112"/>
      <c r="J2" s="112"/>
    </row>
    <row r="3" spans="1:14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4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4" s="2" customFormat="1" ht="14.25" customHeight="1" x14ac:dyDescent="0.4">
      <c r="A5" s="89">
        <v>45311</v>
      </c>
      <c r="B5" s="9" t="s">
        <v>6</v>
      </c>
      <c r="C5" s="10" t="s">
        <v>7</v>
      </c>
      <c r="D5" s="11"/>
      <c r="E5" s="12">
        <v>565541.23000000045</v>
      </c>
      <c r="F5" s="12"/>
      <c r="G5" s="1"/>
      <c r="H5" s="1"/>
      <c r="I5" s="112"/>
      <c r="J5" s="112"/>
    </row>
    <row r="6" spans="1:14" s="2" customFormat="1" ht="12.75" customHeight="1" x14ac:dyDescent="0.2">
      <c r="D6" s="15" t="s">
        <v>8</v>
      </c>
      <c r="E6" s="16">
        <f>SUM(E5:E5)</f>
        <v>565541.23000000045</v>
      </c>
      <c r="F6" s="16">
        <f>F5</f>
        <v>0</v>
      </c>
      <c r="G6" s="1"/>
      <c r="H6" s="1"/>
      <c r="I6" s="13" t="s">
        <v>1582</v>
      </c>
      <c r="J6" s="13" t="s">
        <v>1583</v>
      </c>
    </row>
    <row r="7" spans="1:14" s="2" customFormat="1" ht="12.75" customHeight="1" x14ac:dyDescent="0.2">
      <c r="A7" s="17"/>
      <c r="B7" s="18"/>
      <c r="C7" s="19" t="s">
        <v>9</v>
      </c>
      <c r="D7" s="20"/>
      <c r="E7" s="21">
        <f>+E6-F6</f>
        <v>565541.23000000045</v>
      </c>
      <c r="F7" s="22"/>
      <c r="G7" s="23"/>
      <c r="H7" s="23"/>
      <c r="I7" s="2">
        <v>0</v>
      </c>
      <c r="J7" s="2">
        <v>0</v>
      </c>
      <c r="K7" s="176">
        <f>I7-J7</f>
        <v>0</v>
      </c>
    </row>
    <row r="8" spans="1:14" ht="12.75" customHeight="1" x14ac:dyDescent="0.4">
      <c r="I8" s="112"/>
      <c r="J8" s="112"/>
    </row>
    <row r="9" spans="1:14" ht="18" customHeight="1" x14ac:dyDescent="0.4">
      <c r="A9" s="213" t="s">
        <v>1037</v>
      </c>
      <c r="B9" s="213"/>
      <c r="C9" s="213"/>
      <c r="D9" s="213"/>
      <c r="E9" s="213"/>
      <c r="F9" s="213"/>
      <c r="I9" s="112"/>
      <c r="J9" s="169">
        <f>90000000-60000000</f>
        <v>30000000</v>
      </c>
      <c r="K9" s="169" t="s">
        <v>1508</v>
      </c>
    </row>
    <row r="10" spans="1:14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I10" s="112"/>
      <c r="J10" s="169">
        <v>29385773.359999999</v>
      </c>
      <c r="K10" s="169" t="s">
        <v>1509</v>
      </c>
      <c r="L10" s="124"/>
    </row>
    <row r="11" spans="1:14" s="2" customFormat="1" ht="14.25" customHeight="1" x14ac:dyDescent="0.2">
      <c r="A11" s="89">
        <v>45311</v>
      </c>
      <c r="B11" s="9" t="s">
        <v>6</v>
      </c>
      <c r="C11" s="10" t="s">
        <v>7</v>
      </c>
      <c r="D11" s="11"/>
      <c r="F11" s="12">
        <v>29385773.359999999</v>
      </c>
      <c r="G11" s="1"/>
      <c r="H11" s="1"/>
      <c r="I11" s="130" t="s">
        <v>396</v>
      </c>
      <c r="J11" s="169">
        <f>+J9-J10</f>
        <v>614226.6400000006</v>
      </c>
      <c r="K11" s="169" t="s">
        <v>712</v>
      </c>
      <c r="L11" s="165" t="s">
        <v>1512</v>
      </c>
    </row>
    <row r="12" spans="1:14" s="2" customFormat="1" ht="14.25" customHeight="1" x14ac:dyDescent="0.2">
      <c r="D12" s="11" t="s">
        <v>8</v>
      </c>
      <c r="E12" s="16">
        <f>E11</f>
        <v>0</v>
      </c>
      <c r="F12" s="16">
        <f>SUM(F11:F11)</f>
        <v>29385773.359999999</v>
      </c>
      <c r="G12" s="1"/>
      <c r="H12" s="1"/>
      <c r="I12" s="143"/>
      <c r="J12" s="130"/>
      <c r="K12" s="143"/>
      <c r="L12" s="143"/>
      <c r="M12" s="143"/>
      <c r="N12" s="143"/>
    </row>
    <row r="13" spans="1:14" s="2" customFormat="1" ht="14.25" customHeight="1" x14ac:dyDescent="0.4">
      <c r="A13" s="17"/>
      <c r="B13" s="18"/>
      <c r="C13" s="96" t="s">
        <v>9</v>
      </c>
      <c r="D13" s="20"/>
      <c r="E13" s="21">
        <f>+F12-E12</f>
        <v>29385773.359999999</v>
      </c>
      <c r="G13" s="1"/>
      <c r="H13" s="1"/>
      <c r="J13" s="112"/>
      <c r="K13" s="153" t="s">
        <v>779</v>
      </c>
    </row>
    <row r="14" spans="1:14" s="2" customFormat="1" ht="14.25" customHeight="1" x14ac:dyDescent="0.2">
      <c r="A14" s="17"/>
      <c r="B14" s="28" t="s">
        <v>66</v>
      </c>
      <c r="C14" s="43" t="s">
        <v>1458</v>
      </c>
      <c r="D14" s="43"/>
      <c r="E14" s="12">
        <f>30000000+60000000</f>
        <v>90000000</v>
      </c>
      <c r="F14" s="22"/>
      <c r="G14" s="1"/>
      <c r="H14" s="1"/>
      <c r="J14" s="40">
        <v>29385773.359999999</v>
      </c>
      <c r="K14" s="154">
        <f>J14-E13</f>
        <v>0</v>
      </c>
    </row>
    <row r="15" spans="1:14" s="2" customFormat="1" ht="14.25" customHeight="1" x14ac:dyDescent="0.25">
      <c r="A15" s="36"/>
      <c r="B15" s="28"/>
      <c r="C15" s="44" t="s">
        <v>1541</v>
      </c>
      <c r="D15" s="43"/>
      <c r="E15" s="7">
        <f>+E13+E14</f>
        <v>119385773.36</v>
      </c>
      <c r="F15" s="22"/>
      <c r="G15" s="1"/>
      <c r="H15" s="1"/>
      <c r="I15" s="13" t="s">
        <v>1582</v>
      </c>
      <c r="J15" s="13" t="s">
        <v>1583</v>
      </c>
    </row>
    <row r="16" spans="1:14" s="2" customFormat="1" ht="14.25" customHeight="1" x14ac:dyDescent="0.25">
      <c r="A16" s="36"/>
      <c r="B16" s="28"/>
      <c r="C16" s="44" t="s">
        <v>1511</v>
      </c>
      <c r="D16" s="43"/>
      <c r="E16" s="38">
        <f>+J11+I7-J7</f>
        <v>614226.6400000006</v>
      </c>
      <c r="F16" s="22"/>
      <c r="G16" s="1"/>
      <c r="H16" s="1"/>
      <c r="I16" s="2">
        <v>446620</v>
      </c>
      <c r="J16" s="2">
        <v>2065129</v>
      </c>
      <c r="K16" s="176">
        <f>I16-J16</f>
        <v>-1618509</v>
      </c>
    </row>
    <row r="17" spans="1:12" s="2" customFormat="1" ht="14.25" customHeight="1" x14ac:dyDescent="0.2">
      <c r="A17" s="24"/>
      <c r="B17" s="1"/>
      <c r="C17" s="14"/>
      <c r="D17" s="25"/>
      <c r="G17" s="1"/>
      <c r="H17" s="1"/>
      <c r="J17" s="130"/>
      <c r="K17" s="130"/>
    </row>
    <row r="18" spans="1:12" s="2" customFormat="1" x14ac:dyDescent="0.2">
      <c r="A18" s="214" t="s">
        <v>10</v>
      </c>
      <c r="B18" s="214"/>
      <c r="C18" s="214"/>
      <c r="D18" s="214"/>
      <c r="E18" s="214"/>
      <c r="F18" s="214"/>
      <c r="G18" s="1"/>
      <c r="H18" s="1"/>
      <c r="I18" s="159"/>
      <c r="J18" s="160">
        <v>100000000</v>
      </c>
      <c r="K18" s="160" t="s">
        <v>1506</v>
      </c>
      <c r="L18" s="70"/>
    </row>
    <row r="19" spans="1:12" s="2" customFormat="1" ht="15" x14ac:dyDescent="0.35">
      <c r="A19" s="26" t="s">
        <v>1</v>
      </c>
      <c r="B19" s="27" t="s">
        <v>2</v>
      </c>
      <c r="C19" s="5"/>
      <c r="D19" s="6" t="s">
        <v>3</v>
      </c>
      <c r="E19" s="7" t="s">
        <v>4</v>
      </c>
      <c r="F19" s="7" t="s">
        <v>5</v>
      </c>
      <c r="G19" s="1"/>
      <c r="H19" s="1"/>
      <c r="I19" s="159"/>
      <c r="J19" s="179">
        <v>77135079.849999994</v>
      </c>
      <c r="K19" s="160" t="s">
        <v>1507</v>
      </c>
      <c r="L19" s="70" t="s">
        <v>1512</v>
      </c>
    </row>
    <row r="20" spans="1:12" s="2" customFormat="1" x14ac:dyDescent="0.2">
      <c r="A20" s="89">
        <v>45311</v>
      </c>
      <c r="B20" s="128" t="s">
        <v>11</v>
      </c>
      <c r="C20" s="29" t="s">
        <v>7</v>
      </c>
      <c r="D20" s="25"/>
      <c r="E20" s="31"/>
      <c r="F20" s="2">
        <v>79011899.99999994</v>
      </c>
      <c r="G20" s="23"/>
      <c r="H20" s="23"/>
      <c r="I20" s="159" t="s">
        <v>1505</v>
      </c>
      <c r="J20" s="160">
        <f>+J18-J19</f>
        <v>22864920.150000006</v>
      </c>
      <c r="K20" s="160"/>
      <c r="L20" s="70"/>
    </row>
    <row r="21" spans="1:12" s="2" customFormat="1" x14ac:dyDescent="0.2">
      <c r="A21" s="89">
        <v>45311</v>
      </c>
      <c r="B21" s="128" t="s">
        <v>6</v>
      </c>
      <c r="C21" s="76" t="s">
        <v>761</v>
      </c>
      <c r="D21" s="11" t="s">
        <v>13</v>
      </c>
      <c r="E21" s="31">
        <v>72905</v>
      </c>
      <c r="G21" s="23"/>
      <c r="H21" s="23"/>
      <c r="I21" s="159"/>
      <c r="J21" s="160"/>
      <c r="K21" s="160"/>
      <c r="L21" s="70"/>
    </row>
    <row r="22" spans="1:12" s="2" customFormat="1" x14ac:dyDescent="0.2">
      <c r="A22" s="89">
        <v>45311</v>
      </c>
      <c r="B22" s="128" t="s">
        <v>6</v>
      </c>
      <c r="C22" s="76" t="s">
        <v>24</v>
      </c>
      <c r="D22" s="11" t="s">
        <v>13</v>
      </c>
      <c r="E22" s="31">
        <v>515258.96</v>
      </c>
      <c r="G22" s="23"/>
      <c r="H22" s="23"/>
      <c r="I22" s="159"/>
      <c r="J22" s="160"/>
      <c r="K22" s="160"/>
      <c r="L22" s="70"/>
    </row>
    <row r="23" spans="1:12" s="2" customFormat="1" x14ac:dyDescent="0.2">
      <c r="A23" s="89">
        <v>45311</v>
      </c>
      <c r="B23" s="128" t="s">
        <v>6</v>
      </c>
      <c r="C23" s="76" t="s">
        <v>120</v>
      </c>
      <c r="D23" s="11" t="s">
        <v>13</v>
      </c>
      <c r="E23" s="31">
        <f>2789469-477113.96</f>
        <v>2312355.04</v>
      </c>
      <c r="G23" s="23"/>
      <c r="H23" s="23"/>
      <c r="I23" s="159"/>
      <c r="J23" s="160"/>
      <c r="K23" s="160"/>
      <c r="L23" s="70"/>
    </row>
    <row r="24" spans="1:12" s="2" customFormat="1" x14ac:dyDescent="0.2">
      <c r="A24" s="89">
        <v>45311</v>
      </c>
      <c r="B24" s="128" t="s">
        <v>6</v>
      </c>
      <c r="C24" s="76" t="s">
        <v>15</v>
      </c>
      <c r="D24" s="11" t="s">
        <v>13</v>
      </c>
      <c r="E24" s="31">
        <v>4266.5200000000004</v>
      </c>
      <c r="G24" s="23"/>
      <c r="H24" s="23"/>
      <c r="I24" s="159"/>
      <c r="J24" s="160"/>
      <c r="K24" s="160"/>
      <c r="L24" s="70"/>
    </row>
    <row r="25" spans="1:12" s="2" customFormat="1" x14ac:dyDescent="0.2">
      <c r="A25" s="89">
        <v>45311</v>
      </c>
      <c r="B25" s="128" t="s">
        <v>6</v>
      </c>
      <c r="C25" s="76" t="s">
        <v>316</v>
      </c>
      <c r="D25" s="11" t="s">
        <v>13</v>
      </c>
      <c r="E25" s="31">
        <v>179654</v>
      </c>
      <c r="G25" s="23"/>
      <c r="H25" s="23"/>
      <c r="I25" s="159"/>
      <c r="J25" s="160"/>
      <c r="K25" s="160"/>
      <c r="L25" s="70"/>
    </row>
    <row r="26" spans="1:12" s="2" customFormat="1" x14ac:dyDescent="0.2">
      <c r="A26" s="89">
        <v>45311</v>
      </c>
      <c r="B26" s="128" t="s">
        <v>6</v>
      </c>
      <c r="C26" s="76" t="s">
        <v>261</v>
      </c>
      <c r="D26" s="11" t="s">
        <v>13</v>
      </c>
      <c r="E26" s="31">
        <v>301067</v>
      </c>
      <c r="G26" s="23"/>
      <c r="H26" s="23"/>
      <c r="I26" s="159"/>
      <c r="J26" s="160"/>
      <c r="K26" s="160"/>
      <c r="L26" s="70"/>
    </row>
    <row r="27" spans="1:12" s="2" customFormat="1" x14ac:dyDescent="0.2">
      <c r="A27" s="89">
        <v>45311</v>
      </c>
      <c r="B27" s="128" t="s">
        <v>6</v>
      </c>
      <c r="C27" s="76" t="s">
        <v>133</v>
      </c>
      <c r="D27" s="11" t="s">
        <v>13</v>
      </c>
      <c r="E27" s="31">
        <v>40163</v>
      </c>
      <c r="G27" s="23"/>
      <c r="H27" s="23"/>
      <c r="I27" s="159"/>
      <c r="J27" s="160"/>
      <c r="K27" s="160"/>
      <c r="L27" s="70"/>
    </row>
    <row r="28" spans="1:12" s="2" customFormat="1" x14ac:dyDescent="0.2">
      <c r="A28" s="89">
        <v>45311</v>
      </c>
      <c r="B28" s="128" t="s">
        <v>6</v>
      </c>
      <c r="C28" s="76" t="s">
        <v>1496</v>
      </c>
      <c r="D28" s="11" t="s">
        <v>13</v>
      </c>
      <c r="E28" s="31">
        <v>1600075</v>
      </c>
      <c r="G28" s="23"/>
      <c r="H28" s="23"/>
      <c r="I28" s="159"/>
      <c r="J28" s="160"/>
      <c r="K28" s="160"/>
      <c r="L28" s="70"/>
    </row>
    <row r="29" spans="1:12" s="2" customFormat="1" x14ac:dyDescent="0.2">
      <c r="A29" s="89">
        <v>45311</v>
      </c>
      <c r="B29" s="128" t="s">
        <v>6</v>
      </c>
      <c r="C29" s="76" t="s">
        <v>334</v>
      </c>
      <c r="D29" s="11" t="s">
        <v>13</v>
      </c>
      <c r="E29" s="31">
        <v>105390</v>
      </c>
      <c r="G29" s="23"/>
      <c r="H29" s="23"/>
      <c r="I29" s="159"/>
      <c r="J29" s="160"/>
      <c r="K29" s="160"/>
      <c r="L29" s="70"/>
    </row>
    <row r="30" spans="1:12" s="2" customFormat="1" x14ac:dyDescent="0.2">
      <c r="A30" s="89">
        <v>45311</v>
      </c>
      <c r="B30" s="128" t="s">
        <v>6</v>
      </c>
      <c r="C30" s="76" t="s">
        <v>1621</v>
      </c>
      <c r="D30" s="11" t="s">
        <v>13</v>
      </c>
      <c r="E30" s="31">
        <v>84645</v>
      </c>
      <c r="G30" s="23"/>
      <c r="H30" s="23"/>
      <c r="I30" s="159"/>
      <c r="J30" s="160"/>
      <c r="K30" s="160"/>
      <c r="L30" s="70"/>
    </row>
    <row r="31" spans="1:12" s="2" customFormat="1" x14ac:dyDescent="0.2">
      <c r="A31" s="89">
        <v>45311</v>
      </c>
      <c r="B31" s="128" t="s">
        <v>6</v>
      </c>
      <c r="C31" s="76" t="s">
        <v>17</v>
      </c>
      <c r="D31" s="11" t="s">
        <v>13</v>
      </c>
      <c r="E31" s="31">
        <v>192518</v>
      </c>
      <c r="G31" s="23"/>
      <c r="H31" s="23"/>
      <c r="I31" s="159"/>
      <c r="J31" s="160"/>
      <c r="K31" s="160"/>
      <c r="L31" s="70"/>
    </row>
    <row r="32" spans="1:12" s="2" customFormat="1" x14ac:dyDescent="0.2">
      <c r="A32" s="89">
        <v>45311</v>
      </c>
      <c r="B32" s="128" t="s">
        <v>6</v>
      </c>
      <c r="C32" s="76" t="s">
        <v>391</v>
      </c>
      <c r="D32" s="11" t="s">
        <v>13</v>
      </c>
      <c r="E32" s="31">
        <v>6394</v>
      </c>
      <c r="G32" s="23"/>
      <c r="H32" s="23"/>
      <c r="I32" s="159"/>
      <c r="J32" s="160"/>
      <c r="K32" s="160"/>
      <c r="L32" s="70"/>
    </row>
    <row r="33" spans="1:12" s="2" customFormat="1" x14ac:dyDescent="0.2">
      <c r="A33" s="89">
        <v>45311</v>
      </c>
      <c r="B33" s="128" t="s">
        <v>6</v>
      </c>
      <c r="C33" s="76" t="s">
        <v>1959</v>
      </c>
      <c r="D33" s="11" t="s">
        <v>13</v>
      </c>
      <c r="E33" s="31">
        <v>13634</v>
      </c>
      <c r="G33" s="23"/>
      <c r="H33" s="23"/>
      <c r="I33" s="159"/>
      <c r="J33" s="160"/>
      <c r="K33" s="160"/>
      <c r="L33" s="70"/>
    </row>
    <row r="34" spans="1:12" s="2" customFormat="1" x14ac:dyDescent="0.2">
      <c r="A34" s="89">
        <v>45311</v>
      </c>
      <c r="B34" s="128" t="s">
        <v>6</v>
      </c>
      <c r="C34" s="76" t="s">
        <v>748</v>
      </c>
      <c r="D34" s="11" t="s">
        <v>13</v>
      </c>
      <c r="E34" s="31">
        <v>3105085.89</v>
      </c>
      <c r="G34" s="23"/>
      <c r="H34" s="23"/>
      <c r="I34" s="159"/>
      <c r="J34" s="160"/>
      <c r="K34" s="160"/>
      <c r="L34" s="70"/>
    </row>
    <row r="35" spans="1:12" s="2" customFormat="1" x14ac:dyDescent="0.2">
      <c r="A35" s="89">
        <v>45311</v>
      </c>
      <c r="B35" s="128" t="s">
        <v>6</v>
      </c>
      <c r="C35" s="76" t="s">
        <v>760</v>
      </c>
      <c r="D35" s="11" t="s">
        <v>13</v>
      </c>
      <c r="E35" s="31">
        <v>3001565.5</v>
      </c>
      <c r="G35" s="23"/>
      <c r="H35" s="23"/>
      <c r="I35" s="159"/>
      <c r="J35" s="160"/>
      <c r="K35" s="160"/>
      <c r="L35" s="70"/>
    </row>
    <row r="36" spans="1:12" s="2" customFormat="1" x14ac:dyDescent="0.2">
      <c r="A36" s="89">
        <v>45311</v>
      </c>
      <c r="B36" s="128" t="s">
        <v>6</v>
      </c>
      <c r="C36" s="76" t="s">
        <v>27</v>
      </c>
      <c r="D36" s="11" t="s">
        <v>13</v>
      </c>
      <c r="E36" s="31">
        <v>2713648.52</v>
      </c>
      <c r="G36" s="23"/>
      <c r="H36" s="23"/>
      <c r="I36" s="159"/>
      <c r="J36" s="160"/>
      <c r="K36" s="160"/>
      <c r="L36" s="70"/>
    </row>
    <row r="37" spans="1:12" s="2" customFormat="1" x14ac:dyDescent="0.2">
      <c r="A37" s="89">
        <v>45311</v>
      </c>
      <c r="B37" s="128" t="s">
        <v>11</v>
      </c>
      <c r="C37" s="76" t="s">
        <v>254</v>
      </c>
      <c r="D37" s="11" t="s">
        <v>29</v>
      </c>
      <c r="E37" s="31"/>
      <c r="F37" s="2">
        <v>124969</v>
      </c>
      <c r="G37" s="23"/>
      <c r="H37" s="23"/>
      <c r="I37" s="159"/>
      <c r="J37" s="160"/>
      <c r="K37" s="160"/>
      <c r="L37" s="70"/>
    </row>
    <row r="38" spans="1:12" s="2" customFormat="1" x14ac:dyDescent="0.2">
      <c r="A38" s="89">
        <v>45311</v>
      </c>
      <c r="B38" s="128" t="s">
        <v>11</v>
      </c>
      <c r="C38" s="76" t="s">
        <v>253</v>
      </c>
      <c r="D38" s="11" t="s">
        <v>29</v>
      </c>
      <c r="E38" s="31"/>
      <c r="F38" s="2">
        <v>207680</v>
      </c>
      <c r="G38" s="23"/>
      <c r="H38" s="23"/>
      <c r="I38" s="159"/>
      <c r="J38" s="160"/>
      <c r="K38" s="160"/>
      <c r="L38" s="70"/>
    </row>
    <row r="39" spans="1:12" s="2" customFormat="1" x14ac:dyDescent="0.2">
      <c r="A39" s="89">
        <v>45311</v>
      </c>
      <c r="B39" s="128" t="s">
        <v>11</v>
      </c>
      <c r="C39" s="76" t="s">
        <v>308</v>
      </c>
      <c r="D39" s="11" t="s">
        <v>29</v>
      </c>
      <c r="E39" s="31"/>
      <c r="F39" s="2">
        <v>206500</v>
      </c>
      <c r="G39" s="23"/>
      <c r="H39" s="23"/>
      <c r="I39" s="159"/>
      <c r="J39" s="160"/>
      <c r="K39" s="160"/>
      <c r="L39" s="70"/>
    </row>
    <row r="40" spans="1:12" s="2" customFormat="1" x14ac:dyDescent="0.2">
      <c r="A40" s="89">
        <v>45311</v>
      </c>
      <c r="B40" s="128" t="s">
        <v>11</v>
      </c>
      <c r="C40" s="76" t="s">
        <v>739</v>
      </c>
      <c r="D40" s="11" t="s">
        <v>29</v>
      </c>
      <c r="E40" s="31"/>
      <c r="F40" s="2">
        <v>1100714</v>
      </c>
      <c r="G40" s="23"/>
      <c r="H40" s="23"/>
      <c r="I40" s="159"/>
      <c r="J40" s="160"/>
      <c r="K40" s="160"/>
      <c r="L40" s="70"/>
    </row>
    <row r="41" spans="1:12" s="2" customFormat="1" x14ac:dyDescent="0.2">
      <c r="A41" s="89">
        <v>45311</v>
      </c>
      <c r="B41" s="128" t="s">
        <v>11</v>
      </c>
      <c r="C41" s="76" t="s">
        <v>411</v>
      </c>
      <c r="D41" s="11" t="s">
        <v>29</v>
      </c>
      <c r="E41" s="31"/>
      <c r="F41" s="2">
        <v>93456</v>
      </c>
      <c r="G41" s="23"/>
      <c r="H41" s="23"/>
      <c r="I41" s="159"/>
      <c r="J41" s="160"/>
      <c r="K41" s="160"/>
      <c r="L41" s="70"/>
    </row>
    <row r="42" spans="1:12" s="2" customFormat="1" x14ac:dyDescent="0.2">
      <c r="A42" s="89">
        <v>45311</v>
      </c>
      <c r="B42" s="128" t="s">
        <v>11</v>
      </c>
      <c r="C42" s="76" t="s">
        <v>107</v>
      </c>
      <c r="D42" s="11" t="s">
        <v>29</v>
      </c>
      <c r="E42" s="31"/>
      <c r="F42" s="2">
        <v>231742.83</v>
      </c>
      <c r="G42" s="23"/>
      <c r="H42" s="23"/>
      <c r="I42" s="159"/>
      <c r="J42" s="160"/>
      <c r="K42" s="160"/>
      <c r="L42" s="70"/>
    </row>
    <row r="43" spans="1:12" s="2" customFormat="1" x14ac:dyDescent="0.2">
      <c r="A43" s="89">
        <v>45311</v>
      </c>
      <c r="B43" s="128" t="s">
        <v>11</v>
      </c>
      <c r="C43" s="76" t="s">
        <v>498</v>
      </c>
      <c r="D43" s="11" t="s">
        <v>29</v>
      </c>
      <c r="E43" s="31"/>
      <c r="F43" s="2">
        <v>321430.78000000003</v>
      </c>
      <c r="G43" s="23"/>
      <c r="H43" s="23"/>
      <c r="I43" s="159"/>
      <c r="J43" s="160"/>
      <c r="K43" s="160"/>
      <c r="L43" s="70"/>
    </row>
    <row r="44" spans="1:12" s="2" customFormat="1" x14ac:dyDescent="0.2">
      <c r="A44" s="89">
        <v>45311</v>
      </c>
      <c r="B44" s="128" t="s">
        <v>11</v>
      </c>
      <c r="C44" s="76" t="s">
        <v>285</v>
      </c>
      <c r="D44" s="11" t="s">
        <v>29</v>
      </c>
      <c r="E44" s="31"/>
      <c r="F44" s="2">
        <v>432077.67</v>
      </c>
      <c r="G44" s="23"/>
      <c r="H44" s="23"/>
      <c r="I44" s="159"/>
      <c r="J44" s="160"/>
      <c r="K44" s="160"/>
      <c r="L44" s="70"/>
    </row>
    <row r="45" spans="1:12" s="2" customFormat="1" x14ac:dyDescent="0.2">
      <c r="A45" s="89">
        <v>45311</v>
      </c>
      <c r="B45" s="128" t="s">
        <v>11</v>
      </c>
      <c r="C45" s="76" t="s">
        <v>32</v>
      </c>
      <c r="D45" s="11" t="s">
        <v>29</v>
      </c>
      <c r="E45" s="31"/>
      <c r="F45" s="2">
        <v>1379620</v>
      </c>
      <c r="G45" s="23"/>
      <c r="H45" s="23"/>
      <c r="I45" s="159"/>
      <c r="J45" s="160"/>
      <c r="K45" s="160"/>
      <c r="L45" s="70"/>
    </row>
    <row r="46" spans="1:12" s="2" customFormat="1" x14ac:dyDescent="0.2">
      <c r="A46" s="89">
        <v>45311</v>
      </c>
      <c r="B46" s="128" t="s">
        <v>11</v>
      </c>
      <c r="C46" s="76" t="s">
        <v>1302</v>
      </c>
      <c r="D46" s="11" t="s">
        <v>29</v>
      </c>
      <c r="E46" s="31"/>
      <c r="F46" s="2">
        <v>1197700</v>
      </c>
      <c r="G46" s="23"/>
      <c r="H46" s="23"/>
      <c r="I46" s="159"/>
      <c r="J46" s="160"/>
      <c r="K46" s="160"/>
      <c r="L46" s="70"/>
    </row>
    <row r="47" spans="1:12" s="2" customFormat="1" x14ac:dyDescent="0.2">
      <c r="A47" s="89">
        <v>45311</v>
      </c>
      <c r="B47" s="128" t="s">
        <v>11</v>
      </c>
      <c r="C47" s="76" t="s">
        <v>1403</v>
      </c>
      <c r="D47" s="11" t="s">
        <v>29</v>
      </c>
      <c r="E47" s="31"/>
      <c r="F47" s="2">
        <v>2775659</v>
      </c>
      <c r="G47" s="23"/>
      <c r="H47" s="23"/>
      <c r="I47" s="159"/>
      <c r="J47" s="160"/>
      <c r="K47" s="160"/>
      <c r="L47" s="70"/>
    </row>
    <row r="48" spans="1:12" s="2" customFormat="1" x14ac:dyDescent="0.2">
      <c r="A48" s="89">
        <v>45311</v>
      </c>
      <c r="B48" s="128" t="s">
        <v>11</v>
      </c>
      <c r="C48" s="76" t="s">
        <v>333</v>
      </c>
      <c r="D48" s="11" t="s">
        <v>29</v>
      </c>
      <c r="E48" s="31"/>
      <c r="F48" s="2">
        <v>2620884</v>
      </c>
      <c r="G48" s="23"/>
      <c r="H48" s="23"/>
      <c r="I48" s="159"/>
      <c r="J48" s="160"/>
      <c r="K48" s="160"/>
      <c r="L48" s="70"/>
    </row>
    <row r="49" spans="1:15" s="2" customFormat="1" x14ac:dyDescent="0.2">
      <c r="A49" s="89">
        <v>45311</v>
      </c>
      <c r="B49" s="128" t="s">
        <v>11</v>
      </c>
      <c r="C49" s="76" t="s">
        <v>799</v>
      </c>
      <c r="D49" s="11" t="s">
        <v>29</v>
      </c>
      <c r="E49" s="31"/>
      <c r="F49" s="2">
        <v>592596</v>
      </c>
      <c r="G49" s="23"/>
      <c r="H49" s="23"/>
      <c r="I49" s="159"/>
      <c r="J49" s="160"/>
      <c r="K49" s="160"/>
      <c r="L49" s="70"/>
    </row>
    <row r="50" spans="1:15" s="2" customFormat="1" x14ac:dyDescent="0.2">
      <c r="A50" s="89">
        <v>45311</v>
      </c>
      <c r="B50" s="128" t="s">
        <v>11</v>
      </c>
      <c r="C50" s="76" t="s">
        <v>696</v>
      </c>
      <c r="D50" s="11" t="s">
        <v>29</v>
      </c>
      <c r="E50" s="31"/>
      <c r="F50" s="2">
        <v>2064282</v>
      </c>
      <c r="G50" s="23"/>
      <c r="H50" s="23"/>
      <c r="I50" s="159"/>
      <c r="J50" s="160"/>
      <c r="K50" s="160"/>
      <c r="L50" s="70"/>
    </row>
    <row r="51" spans="1:15" s="2" customFormat="1" x14ac:dyDescent="0.2">
      <c r="A51" s="89">
        <v>45311</v>
      </c>
      <c r="B51" s="128" t="s">
        <v>11</v>
      </c>
      <c r="C51" s="76" t="s">
        <v>64</v>
      </c>
      <c r="D51" s="11" t="s">
        <v>29</v>
      </c>
      <c r="E51" s="31"/>
      <c r="F51" s="2">
        <f>2950+1475</f>
        <v>4425</v>
      </c>
      <c r="G51" s="23"/>
      <c r="H51" s="23"/>
      <c r="I51" s="159"/>
      <c r="J51" s="160"/>
      <c r="K51" s="160"/>
      <c r="L51" s="70"/>
    </row>
    <row r="52" spans="1:15" s="13" customFormat="1" x14ac:dyDescent="0.2">
      <c r="A52" s="97">
        <v>45311</v>
      </c>
      <c r="B52" s="128" t="s">
        <v>11</v>
      </c>
      <c r="C52" s="94" t="s">
        <v>1953</v>
      </c>
      <c r="D52" s="122" t="s">
        <v>258</v>
      </c>
      <c r="E52" s="95"/>
      <c r="F52" s="13">
        <v>636578</v>
      </c>
      <c r="G52" s="23"/>
      <c r="H52" s="23"/>
      <c r="I52" s="160"/>
      <c r="J52" s="160"/>
      <c r="K52" s="160"/>
      <c r="L52" s="69"/>
    </row>
    <row r="53" spans="1:15" s="2" customFormat="1" x14ac:dyDescent="0.2">
      <c r="A53" s="32"/>
      <c r="B53" s="33"/>
      <c r="C53" s="14"/>
      <c r="D53" s="34"/>
      <c r="E53" s="16">
        <f>SUM(E20:E52)</f>
        <v>14248625.43</v>
      </c>
      <c r="F53" s="16">
        <f>SUM(F20:F52)</f>
        <v>93002214.279999942</v>
      </c>
      <c r="G53" s="1"/>
      <c r="H53" s="1"/>
      <c r="I53" s="1"/>
      <c r="J53" s="38">
        <v>78753588.849999994</v>
      </c>
      <c r="L53" s="92">
        <f>E54-J53</f>
        <v>0</v>
      </c>
      <c r="O53" s="1"/>
    </row>
    <row r="54" spans="1:15" s="2" customFormat="1" x14ac:dyDescent="0.2">
      <c r="A54" s="36"/>
      <c r="B54" s="28" t="s">
        <v>11</v>
      </c>
      <c r="C54" s="19" t="s">
        <v>65</v>
      </c>
      <c r="D54" s="37"/>
      <c r="E54" s="38">
        <f>F53-E53</f>
        <v>78753588.849999934</v>
      </c>
      <c r="F54" s="22"/>
      <c r="G54" s="1"/>
      <c r="H54" s="1"/>
      <c r="I54" s="1"/>
      <c r="J54" s="70"/>
      <c r="K54" s="70"/>
      <c r="L54" s="70"/>
      <c r="O54" s="1"/>
    </row>
    <row r="55" spans="1:15" s="2" customFormat="1" x14ac:dyDescent="0.2">
      <c r="A55" s="36"/>
      <c r="B55" s="28" t="s">
        <v>66</v>
      </c>
      <c r="C55" s="19" t="s">
        <v>67</v>
      </c>
      <c r="D55" s="37"/>
      <c r="E55" s="38">
        <v>11500000</v>
      </c>
      <c r="F55" s="22"/>
      <c r="G55" s="1"/>
      <c r="H55" s="1"/>
      <c r="I55" s="70"/>
      <c r="J55" s="70"/>
      <c r="K55" s="70"/>
      <c r="L55" s="70"/>
      <c r="O55" s="1"/>
    </row>
    <row r="56" spans="1:15" s="2" customFormat="1" x14ac:dyDescent="0.2">
      <c r="A56" s="36"/>
      <c r="B56" s="28" t="s">
        <v>66</v>
      </c>
      <c r="C56" s="43" t="s">
        <v>1457</v>
      </c>
      <c r="D56" s="43"/>
      <c r="E56" s="12">
        <v>400000000</v>
      </c>
      <c r="F56" s="22"/>
      <c r="G56" s="1"/>
      <c r="H56" s="1"/>
      <c r="I56" s="70"/>
      <c r="J56" s="45">
        <v>1151.9100000000001</v>
      </c>
      <c r="K56" s="46"/>
      <c r="L56" s="46"/>
      <c r="O56" s="1"/>
    </row>
    <row r="57" spans="1:15" s="2" customFormat="1" ht="15" x14ac:dyDescent="0.25">
      <c r="A57" s="36"/>
      <c r="B57" s="28"/>
      <c r="C57" s="44" t="s">
        <v>1541</v>
      </c>
      <c r="D57" s="43"/>
      <c r="E57" s="7">
        <f>+E56+E54+E55</f>
        <v>490253588.8499999</v>
      </c>
      <c r="F57" s="22"/>
      <c r="G57" s="1"/>
      <c r="H57" s="1"/>
      <c r="I57" s="103" t="s">
        <v>69</v>
      </c>
      <c r="J57" s="45">
        <v>-58.92</v>
      </c>
      <c r="K57" s="46"/>
      <c r="L57" s="46"/>
      <c r="O57" s="1"/>
    </row>
    <row r="58" spans="1:15" s="2" customFormat="1" ht="15" x14ac:dyDescent="0.25">
      <c r="A58" s="24"/>
      <c r="B58" s="1"/>
      <c r="C58" s="44" t="s">
        <v>1510</v>
      </c>
      <c r="D58" s="25"/>
      <c r="E58" s="156">
        <f>+J20-E55+I16-J16</f>
        <v>9746411.150000006</v>
      </c>
      <c r="G58" s="1"/>
      <c r="H58" s="1"/>
      <c r="I58" s="35">
        <v>1</v>
      </c>
      <c r="J58" s="45">
        <v>29.99</v>
      </c>
      <c r="K58" s="46">
        <f>+J59-D61</f>
        <v>0</v>
      </c>
      <c r="O58" s="1"/>
    </row>
    <row r="59" spans="1:15" s="124" customFormat="1" ht="12.75" customHeight="1" x14ac:dyDescent="0.2">
      <c r="A59" s="24"/>
      <c r="B59" s="1"/>
      <c r="C59" s="56"/>
      <c r="D59" s="56"/>
      <c r="E59" s="104"/>
      <c r="F59" s="2"/>
      <c r="G59" s="166"/>
      <c r="H59" s="166"/>
      <c r="I59" s="70"/>
      <c r="J59" s="49">
        <f>SUM(J56:J58)</f>
        <v>1122.98</v>
      </c>
      <c r="K59" s="46"/>
      <c r="L59" s="46"/>
    </row>
    <row r="60" spans="1:15" s="124" customFormat="1" ht="12.75" customHeight="1" x14ac:dyDescent="0.2">
      <c r="A60" s="24"/>
      <c r="B60" s="1"/>
      <c r="C60" s="78" t="s">
        <v>575</v>
      </c>
      <c r="D60" s="48" t="s">
        <v>576</v>
      </c>
      <c r="E60" s="104"/>
      <c r="F60" s="2"/>
      <c r="G60" s="168"/>
      <c r="H60" s="168"/>
      <c r="I60" s="167"/>
      <c r="J60" s="167"/>
      <c r="K60" s="168"/>
    </row>
    <row r="61" spans="1:15" s="124" customFormat="1" ht="12.75" customHeight="1" x14ac:dyDescent="0.2">
      <c r="A61" s="24"/>
      <c r="B61" s="1"/>
      <c r="C61" s="47" t="s">
        <v>570</v>
      </c>
      <c r="D61" s="111">
        <v>1122.98</v>
      </c>
      <c r="E61" s="104"/>
      <c r="F61" s="2"/>
      <c r="G61" s="168"/>
      <c r="H61" s="168"/>
      <c r="I61" s="110" t="s">
        <v>581</v>
      </c>
      <c r="J61" s="167"/>
      <c r="K61" s="168"/>
    </row>
    <row r="62" spans="1:15" s="124" customFormat="1" ht="12.75" customHeight="1" x14ac:dyDescent="0.2">
      <c r="A62" s="24"/>
      <c r="B62" s="1"/>
      <c r="C62" s="47" t="s">
        <v>931</v>
      </c>
      <c r="D62" s="111">
        <v>131.06</v>
      </c>
      <c r="E62" s="104"/>
      <c r="F62" s="2"/>
      <c r="G62" s="168"/>
      <c r="H62" s="168"/>
      <c r="I62" s="110" t="s">
        <v>580</v>
      </c>
      <c r="J62" s="167"/>
      <c r="K62" s="168"/>
    </row>
    <row r="63" spans="1:15" s="124" customFormat="1" ht="12.75" customHeight="1" x14ac:dyDescent="0.2">
      <c r="A63" s="24"/>
      <c r="B63" s="1"/>
      <c r="C63" s="47" t="s">
        <v>572</v>
      </c>
      <c r="D63" s="111">
        <f>+D100/100000</f>
        <v>542.47667339999998</v>
      </c>
      <c r="E63" s="104"/>
      <c r="F63" s="2"/>
      <c r="G63" s="166"/>
      <c r="H63" s="166"/>
      <c r="I63" s="90" t="s">
        <v>587</v>
      </c>
      <c r="J63" s="167"/>
      <c r="K63" s="168"/>
    </row>
    <row r="64" spans="1:15" s="2" customFormat="1" x14ac:dyDescent="0.2">
      <c r="A64" s="24"/>
      <c r="B64" s="1"/>
      <c r="C64" s="108" t="s">
        <v>578</v>
      </c>
      <c r="D64" s="48">
        <f>SUM(D61:D63)</f>
        <v>1796.5166733999999</v>
      </c>
      <c r="E64" s="104"/>
      <c r="G64" s="30"/>
      <c r="H64" s="30"/>
      <c r="J64" s="13"/>
      <c r="K64" s="13"/>
    </row>
    <row r="65" spans="1:15" s="70" customFormat="1" x14ac:dyDescent="0.2">
      <c r="A65" s="24"/>
      <c r="B65" s="1"/>
      <c r="C65" s="47"/>
      <c r="D65" s="107"/>
      <c r="E65" s="104"/>
      <c r="F65" s="2"/>
      <c r="G65" s="30"/>
      <c r="H65" s="30"/>
      <c r="I65" s="2"/>
    </row>
    <row r="66" spans="1:15" s="70" customFormat="1" x14ac:dyDescent="0.2">
      <c r="A66" s="24"/>
      <c r="B66" s="1"/>
      <c r="C66" s="47" t="s">
        <v>932</v>
      </c>
      <c r="D66" s="111">
        <v>337.91</v>
      </c>
      <c r="E66" s="104"/>
      <c r="F66" s="2"/>
      <c r="G66" s="30"/>
      <c r="H66" s="30"/>
      <c r="I66" s="110" t="s">
        <v>581</v>
      </c>
    </row>
    <row r="67" spans="1:15" s="70" customFormat="1" x14ac:dyDescent="0.2">
      <c r="A67" s="24"/>
      <c r="B67" s="1"/>
      <c r="C67" s="136" t="s">
        <v>1142</v>
      </c>
      <c r="D67" s="111">
        <v>950.68</v>
      </c>
      <c r="E67" s="104"/>
      <c r="F67" s="2"/>
      <c r="G67" s="30"/>
      <c r="H67" s="30"/>
      <c r="I67" s="110" t="s">
        <v>581</v>
      </c>
    </row>
    <row r="68" spans="1:15" s="70" customFormat="1" x14ac:dyDescent="0.2">
      <c r="A68" s="24"/>
      <c r="B68" s="1"/>
      <c r="C68" s="78" t="s">
        <v>579</v>
      </c>
      <c r="D68" s="109">
        <f>D66+D67</f>
        <v>1288.5899999999999</v>
      </c>
      <c r="E68" s="104"/>
      <c r="F68" s="2"/>
      <c r="G68" s="30"/>
      <c r="H68" s="30"/>
    </row>
    <row r="69" spans="1:15" s="70" customFormat="1" x14ac:dyDescent="0.2">
      <c r="A69" s="24"/>
      <c r="B69" s="1"/>
      <c r="C69" s="105"/>
      <c r="D69" s="106"/>
      <c r="E69" s="104"/>
      <c r="F69" s="2"/>
      <c r="G69" s="30"/>
      <c r="H69" s="30"/>
      <c r="J69" s="2"/>
      <c r="K69" s="221" t="str">
        <f>"FROM ( 01-01-2024 to "&amp;TEXT(A5,"dd-mm-yyyy")&amp;" )"</f>
        <v>FROM ( 01-01-2024 to 20-01-2024 )</v>
      </c>
      <c r="L69" s="221"/>
      <c r="M69" s="2"/>
      <c r="N69" s="2"/>
    </row>
    <row r="70" spans="1:15" s="70" customFormat="1" x14ac:dyDescent="0.2">
      <c r="A70" s="24"/>
      <c r="B70" s="1"/>
      <c r="C70" s="78" t="s">
        <v>577</v>
      </c>
      <c r="D70" s="109">
        <f>D61+D68</f>
        <v>2411.5699999999997</v>
      </c>
      <c r="E70" s="104"/>
      <c r="F70" s="2"/>
      <c r="G70" s="30"/>
      <c r="H70" s="30"/>
      <c r="J70" s="113"/>
      <c r="K70" s="113" t="s">
        <v>709</v>
      </c>
      <c r="L70" s="113" t="s">
        <v>710</v>
      </c>
      <c r="M70" s="113" t="s">
        <v>711</v>
      </c>
      <c r="N70" s="113" t="s">
        <v>712</v>
      </c>
    </row>
    <row r="71" spans="1:15" s="70" customFormat="1" x14ac:dyDescent="0.2">
      <c r="A71" s="24"/>
      <c r="B71" s="1"/>
      <c r="C71" s="56"/>
      <c r="D71" s="56"/>
      <c r="E71" s="104"/>
      <c r="F71" s="2"/>
      <c r="G71" s="30"/>
      <c r="H71" s="30"/>
      <c r="J71" s="113" t="s">
        <v>1860</v>
      </c>
      <c r="K71" s="115">
        <v>189.89</v>
      </c>
      <c r="L71" s="115">
        <v>56.31</v>
      </c>
      <c r="M71" s="115">
        <v>58.41</v>
      </c>
      <c r="N71" s="113">
        <f>+K71+M71-L71</f>
        <v>191.98999999999998</v>
      </c>
    </row>
    <row r="72" spans="1:15" s="70" customFormat="1" ht="38.25" x14ac:dyDescent="0.2">
      <c r="A72" s="24"/>
      <c r="B72" s="1"/>
      <c r="C72" s="79" t="str">
        <f>"Particulars ( 01-01-2024 to "&amp;TEXT(A5,"dd-mm-yyyy")&amp;" )"</f>
        <v>Particulars ( 01-01-2024 to 20-01-2024 )</v>
      </c>
      <c r="D72" s="79" t="s">
        <v>7</v>
      </c>
      <c r="E72" s="80" t="s">
        <v>73</v>
      </c>
      <c r="F72" s="80" t="s">
        <v>74</v>
      </c>
      <c r="G72" s="81" t="s">
        <v>75</v>
      </c>
      <c r="H72" s="80" t="s">
        <v>76</v>
      </c>
      <c r="J72" s="113" t="s">
        <v>1861</v>
      </c>
      <c r="K72" s="115">
        <v>1671.12</v>
      </c>
      <c r="L72" s="115">
        <v>542.48</v>
      </c>
      <c r="M72" s="115">
        <v>948.58</v>
      </c>
      <c r="N72" s="113">
        <f>+K72+M72-L72</f>
        <v>2077.2199999999998</v>
      </c>
    </row>
    <row r="73" spans="1:15" s="70" customFormat="1" x14ac:dyDescent="0.2">
      <c r="A73" s="24"/>
      <c r="B73" s="1"/>
      <c r="C73" s="50" t="s">
        <v>444</v>
      </c>
      <c r="D73" s="55">
        <f>+K73</f>
        <v>140.88</v>
      </c>
      <c r="E73" s="55">
        <f>+M73</f>
        <v>337.91</v>
      </c>
      <c r="F73" s="55">
        <f>+L73</f>
        <v>131.06</v>
      </c>
      <c r="G73" s="55">
        <f>+D73+E73-F73</f>
        <v>347.73</v>
      </c>
      <c r="H73" s="55">
        <f>1500-G73</f>
        <v>1152.27</v>
      </c>
      <c r="J73" s="113" t="s">
        <v>707</v>
      </c>
      <c r="K73" s="115">
        <v>140.88</v>
      </c>
      <c r="L73" s="115">
        <v>131.06</v>
      </c>
      <c r="M73" s="115">
        <v>337.91</v>
      </c>
      <c r="N73" s="113">
        <f>+K73+M73-L73</f>
        <v>347.73</v>
      </c>
    </row>
    <row r="74" spans="1:15" s="70" customFormat="1" ht="12.75" customHeight="1" x14ac:dyDescent="0.2">
      <c r="A74" s="24"/>
      <c r="B74" s="1"/>
      <c r="C74" s="50" t="s">
        <v>71</v>
      </c>
      <c r="D74" s="55">
        <f>+K71+K72</f>
        <v>1861.0099999999998</v>
      </c>
      <c r="E74" s="55">
        <f>+M71+M72</f>
        <v>1006.99</v>
      </c>
      <c r="F74" s="55">
        <f>+L71+L72</f>
        <v>598.79</v>
      </c>
      <c r="G74" s="55">
        <f>+D74+E74-F74</f>
        <v>2269.21</v>
      </c>
      <c r="H74" s="55">
        <f>1500+700+200-G74</f>
        <v>130.78999999999996</v>
      </c>
      <c r="J74" s="2"/>
      <c r="K74" s="118">
        <f>SUM(K71:K73)</f>
        <v>2001.8899999999999</v>
      </c>
      <c r="L74" s="118">
        <f>SUM(L71:L73)</f>
        <v>729.84999999999991</v>
      </c>
      <c r="M74" s="118">
        <f>SUM(M71:M73)</f>
        <v>1344.9</v>
      </c>
      <c r="N74" s="118">
        <f>SUM(N71:N73)</f>
        <v>2616.9399999999996</v>
      </c>
    </row>
    <row r="75" spans="1:15" s="70" customFormat="1" ht="12.75" customHeight="1" x14ac:dyDescent="0.2">
      <c r="A75" s="24"/>
      <c r="B75" s="1"/>
      <c r="C75" s="14"/>
      <c r="D75" s="56"/>
      <c r="E75" s="13"/>
      <c r="F75" s="2"/>
      <c r="G75" s="30"/>
      <c r="H75" s="30"/>
    </row>
    <row r="76" spans="1:15" s="70" customFormat="1" ht="12.75" customHeight="1" x14ac:dyDescent="0.2">
      <c r="A76" s="215" t="s">
        <v>80</v>
      </c>
      <c r="B76" s="216"/>
      <c r="C76" s="216"/>
      <c r="D76" s="217"/>
      <c r="E76" s="69"/>
      <c r="G76" s="30"/>
      <c r="H76" s="30"/>
    </row>
    <row r="77" spans="1:15" s="70" customFormat="1" ht="12.75" customHeight="1" x14ac:dyDescent="0.2">
      <c r="A77" s="71" t="s">
        <v>81</v>
      </c>
      <c r="B77" s="71"/>
      <c r="C77" s="72" t="s">
        <v>82</v>
      </c>
      <c r="D77" s="73" t="s">
        <v>83</v>
      </c>
      <c r="E77" s="69"/>
      <c r="G77" s="30"/>
      <c r="H77" s="30"/>
    </row>
    <row r="78" spans="1:15" s="70" customFormat="1" ht="12.75" customHeight="1" x14ac:dyDescent="0.2">
      <c r="A78" s="87">
        <v>45292</v>
      </c>
      <c r="B78" s="120" t="s">
        <v>6</v>
      </c>
      <c r="C78" s="75" t="s">
        <v>1933</v>
      </c>
      <c r="D78" s="88">
        <v>7583470</v>
      </c>
      <c r="E78" s="2"/>
      <c r="F78" s="2"/>
      <c r="G78" s="30"/>
      <c r="H78" s="30"/>
      <c r="I78" s="2"/>
      <c r="J78" s="2"/>
      <c r="K78" s="2"/>
      <c r="L78" s="2"/>
      <c r="M78" s="41"/>
      <c r="N78" s="42"/>
      <c r="O78" s="2"/>
    </row>
    <row r="79" spans="1:15" s="70" customFormat="1" ht="12.75" customHeight="1" x14ac:dyDescent="0.2">
      <c r="A79" s="87">
        <v>45293</v>
      </c>
      <c r="B79" s="120" t="s">
        <v>6</v>
      </c>
      <c r="C79" s="75" t="s">
        <v>1934</v>
      </c>
      <c r="D79" s="88">
        <v>124988</v>
      </c>
      <c r="E79" s="2"/>
      <c r="F79" s="2"/>
      <c r="G79" s="30"/>
      <c r="H79" s="30"/>
      <c r="I79" s="2"/>
      <c r="J79" s="2"/>
      <c r="K79" s="2"/>
      <c r="L79" s="2"/>
      <c r="M79" s="41"/>
      <c r="N79" s="42"/>
      <c r="O79" s="2"/>
    </row>
    <row r="80" spans="1:15" s="70" customFormat="1" ht="12.75" customHeight="1" x14ac:dyDescent="0.2">
      <c r="A80" s="87">
        <v>45294</v>
      </c>
      <c r="B80" s="120" t="s">
        <v>6</v>
      </c>
      <c r="C80" s="75" t="s">
        <v>606</v>
      </c>
      <c r="D80" s="88">
        <v>260191</v>
      </c>
      <c r="E80" s="2"/>
      <c r="F80" s="2"/>
      <c r="G80" s="30"/>
      <c r="H80" s="30"/>
      <c r="I80" s="2"/>
      <c r="J80" s="2"/>
      <c r="K80" s="2"/>
      <c r="L80" s="2"/>
      <c r="M80" s="41"/>
      <c r="N80" s="42"/>
      <c r="O80" s="2"/>
    </row>
    <row r="81" spans="1:15" s="70" customFormat="1" ht="12.75" customHeight="1" x14ac:dyDescent="0.2">
      <c r="A81" s="87">
        <v>45294</v>
      </c>
      <c r="B81" s="120" t="s">
        <v>6</v>
      </c>
      <c r="C81" s="75" t="s">
        <v>888</v>
      </c>
      <c r="D81" s="88">
        <v>2431991.34</v>
      </c>
      <c r="E81" s="2"/>
      <c r="F81" s="2"/>
      <c r="G81" s="30"/>
      <c r="H81" s="30"/>
      <c r="I81" s="2"/>
      <c r="J81" s="2"/>
      <c r="K81" s="2"/>
      <c r="L81" s="2"/>
      <c r="M81" s="41"/>
      <c r="N81" s="42"/>
      <c r="O81" s="2"/>
    </row>
    <row r="82" spans="1:15" s="70" customFormat="1" ht="12.75" customHeight="1" x14ac:dyDescent="0.2">
      <c r="A82" s="87">
        <v>45295</v>
      </c>
      <c r="B82" s="120" t="s">
        <v>6</v>
      </c>
      <c r="C82" s="75" t="s">
        <v>1944</v>
      </c>
      <c r="D82" s="88">
        <v>23655</v>
      </c>
      <c r="E82" s="2"/>
      <c r="F82" s="2"/>
      <c r="G82" s="30"/>
      <c r="H82" s="30"/>
      <c r="I82" s="2"/>
      <c r="J82" s="2"/>
      <c r="K82" s="2"/>
      <c r="L82" s="2"/>
      <c r="M82" s="41"/>
      <c r="N82" s="42"/>
      <c r="O82" s="2"/>
    </row>
    <row r="83" spans="1:15" s="70" customFormat="1" ht="12.75" customHeight="1" x14ac:dyDescent="0.2">
      <c r="A83" s="87">
        <v>45295</v>
      </c>
      <c r="B83" s="120" t="s">
        <v>6</v>
      </c>
      <c r="C83" s="75" t="s">
        <v>1944</v>
      </c>
      <c r="D83" s="88">
        <v>321576</v>
      </c>
      <c r="E83" s="2"/>
      <c r="F83" s="2"/>
      <c r="G83" s="30"/>
      <c r="H83" s="30"/>
      <c r="I83" s="2"/>
      <c r="J83" s="2"/>
      <c r="K83" s="2"/>
      <c r="L83" s="2"/>
      <c r="M83" s="41"/>
      <c r="N83" s="42"/>
      <c r="O83" s="2"/>
    </row>
    <row r="84" spans="1:15" s="70" customFormat="1" ht="12.75" customHeight="1" x14ac:dyDescent="0.2">
      <c r="A84" s="87">
        <v>45295</v>
      </c>
      <c r="B84" s="120" t="s">
        <v>6</v>
      </c>
      <c r="C84" s="75" t="s">
        <v>1944</v>
      </c>
      <c r="D84" s="88">
        <v>430832</v>
      </c>
      <c r="E84" s="2"/>
      <c r="F84" s="2"/>
      <c r="G84" s="30"/>
      <c r="H84" s="30"/>
      <c r="I84" s="2"/>
      <c r="J84" s="2"/>
      <c r="K84" s="2"/>
      <c r="L84" s="2"/>
      <c r="M84" s="41"/>
      <c r="N84" s="42"/>
      <c r="O84" s="2"/>
    </row>
    <row r="85" spans="1:15" s="70" customFormat="1" ht="12.75" customHeight="1" x14ac:dyDescent="0.2">
      <c r="A85" s="87">
        <v>45295</v>
      </c>
      <c r="B85" s="120" t="s">
        <v>6</v>
      </c>
      <c r="C85" s="75" t="s">
        <v>1934</v>
      </c>
      <c r="D85" s="88">
        <v>892589</v>
      </c>
      <c r="E85" s="2"/>
      <c r="F85" s="2"/>
      <c r="G85" s="30"/>
      <c r="H85" s="30"/>
      <c r="I85" s="2"/>
      <c r="J85" s="2"/>
      <c r="K85" s="2"/>
      <c r="L85" s="2"/>
      <c r="M85" s="41"/>
      <c r="N85" s="42"/>
      <c r="O85" s="2"/>
    </row>
    <row r="86" spans="1:15" s="70" customFormat="1" ht="12.75" customHeight="1" x14ac:dyDescent="0.2">
      <c r="A86" s="87">
        <v>45299</v>
      </c>
      <c r="B86" s="120" t="s">
        <v>6</v>
      </c>
      <c r="C86" s="75" t="s">
        <v>1933</v>
      </c>
      <c r="D86" s="88">
        <v>8143487</v>
      </c>
      <c r="E86" s="2"/>
      <c r="F86" s="2"/>
      <c r="G86" s="30"/>
      <c r="H86" s="30"/>
      <c r="I86" s="2"/>
      <c r="J86" s="2"/>
      <c r="K86" s="2"/>
      <c r="L86" s="2"/>
      <c r="M86" s="41"/>
      <c r="N86" s="42"/>
      <c r="O86" s="2"/>
    </row>
    <row r="87" spans="1:15" s="70" customFormat="1" ht="12.75" customHeight="1" x14ac:dyDescent="0.2">
      <c r="A87" s="87">
        <v>45299</v>
      </c>
      <c r="B87" s="120" t="s">
        <v>6</v>
      </c>
      <c r="C87" s="75" t="s">
        <v>606</v>
      </c>
      <c r="D87" s="88">
        <v>487316</v>
      </c>
      <c r="E87" s="2"/>
      <c r="F87" s="2"/>
      <c r="G87" s="30"/>
      <c r="H87" s="30"/>
      <c r="I87" s="2"/>
      <c r="J87" s="2"/>
      <c r="K87" s="2"/>
      <c r="L87" s="2"/>
      <c r="M87" s="41"/>
      <c r="N87" s="42"/>
      <c r="O87" s="2"/>
    </row>
    <row r="88" spans="1:15" s="70" customFormat="1" ht="12.75" customHeight="1" x14ac:dyDescent="0.2">
      <c r="A88" s="87">
        <v>45301</v>
      </c>
      <c r="B88" s="120" t="s">
        <v>6</v>
      </c>
      <c r="C88" s="75" t="s">
        <v>1933</v>
      </c>
      <c r="D88" s="88">
        <v>2690</v>
      </c>
      <c r="E88" s="2"/>
      <c r="F88" s="2"/>
      <c r="G88" s="30"/>
      <c r="H88" s="30"/>
      <c r="I88" s="2"/>
      <c r="J88" s="2"/>
      <c r="K88" s="2"/>
      <c r="L88" s="2"/>
      <c r="M88" s="41"/>
      <c r="N88" s="42"/>
      <c r="O88" s="2"/>
    </row>
    <row r="89" spans="1:15" s="70" customFormat="1" ht="12.75" customHeight="1" x14ac:dyDescent="0.2">
      <c r="A89" s="87">
        <v>45301</v>
      </c>
      <c r="B89" s="120" t="s">
        <v>6</v>
      </c>
      <c r="C89" s="75" t="s">
        <v>1933</v>
      </c>
      <c r="D89" s="88">
        <v>2133516</v>
      </c>
      <c r="E89" s="2"/>
      <c r="F89" s="2"/>
      <c r="G89" s="30"/>
      <c r="H89" s="30"/>
      <c r="I89" s="2"/>
      <c r="J89" s="2"/>
      <c r="K89" s="2"/>
      <c r="L89" s="2"/>
      <c r="M89" s="41"/>
      <c r="N89" s="42"/>
      <c r="O89" s="2"/>
    </row>
    <row r="90" spans="1:15" s="70" customFormat="1" ht="12.75" customHeight="1" x14ac:dyDescent="0.2">
      <c r="A90" s="87">
        <v>45302</v>
      </c>
      <c r="B90" s="120" t="s">
        <v>6</v>
      </c>
      <c r="C90" s="75" t="s">
        <v>1084</v>
      </c>
      <c r="D90" s="88">
        <v>3000000</v>
      </c>
      <c r="E90" s="2"/>
      <c r="F90" s="2"/>
      <c r="G90" s="30"/>
      <c r="H90" s="30"/>
      <c r="I90" s="2"/>
      <c r="J90" s="2"/>
      <c r="K90" s="2"/>
      <c r="L90" s="2"/>
      <c r="M90" s="41"/>
      <c r="N90" s="42"/>
      <c r="O90" s="2"/>
    </row>
    <row r="91" spans="1:15" s="70" customFormat="1" ht="12.75" customHeight="1" x14ac:dyDescent="0.2">
      <c r="A91" s="87">
        <v>45303</v>
      </c>
      <c r="B91" s="120" t="s">
        <v>6</v>
      </c>
      <c r="C91" s="75" t="s">
        <v>1933</v>
      </c>
      <c r="D91" s="88">
        <v>5893097</v>
      </c>
      <c r="E91" s="2"/>
      <c r="F91" s="2"/>
      <c r="G91" s="30"/>
      <c r="H91" s="30"/>
      <c r="I91" s="2"/>
      <c r="J91" s="2"/>
      <c r="K91" s="2"/>
      <c r="L91" s="2"/>
      <c r="M91" s="41"/>
      <c r="N91" s="42"/>
      <c r="O91" s="2"/>
    </row>
    <row r="92" spans="1:15" s="70" customFormat="1" ht="12.75" customHeight="1" x14ac:dyDescent="0.2">
      <c r="A92" s="87">
        <v>45303</v>
      </c>
      <c r="B92" s="120" t="s">
        <v>6</v>
      </c>
      <c r="C92" s="75" t="s">
        <v>1977</v>
      </c>
      <c r="D92" s="88">
        <v>500000</v>
      </c>
      <c r="E92" s="2"/>
      <c r="F92" s="2"/>
      <c r="G92" s="30"/>
      <c r="H92" s="30"/>
      <c r="I92" s="2"/>
      <c r="J92" s="2"/>
      <c r="K92" s="2"/>
      <c r="L92" s="2"/>
      <c r="M92" s="41"/>
      <c r="N92" s="42"/>
      <c r="O92" s="2"/>
    </row>
    <row r="93" spans="1:15" s="70" customFormat="1" ht="12.75" customHeight="1" x14ac:dyDescent="0.2">
      <c r="A93" s="87">
        <v>45307</v>
      </c>
      <c r="B93" s="120" t="s">
        <v>6</v>
      </c>
      <c r="C93" s="75" t="s">
        <v>1933</v>
      </c>
      <c r="D93" s="88">
        <v>3572610</v>
      </c>
      <c r="E93" s="2"/>
      <c r="F93" s="2"/>
      <c r="G93" s="30"/>
      <c r="H93" s="30"/>
      <c r="I93" s="2"/>
      <c r="J93" s="2"/>
      <c r="K93" s="2"/>
      <c r="L93" s="2"/>
      <c r="M93" s="41"/>
      <c r="N93" s="42"/>
      <c r="O93" s="2"/>
    </row>
    <row r="94" spans="1:15" s="70" customFormat="1" ht="12.75" customHeight="1" x14ac:dyDescent="0.2">
      <c r="A94" s="87">
        <v>45307</v>
      </c>
      <c r="B94" s="120" t="s">
        <v>6</v>
      </c>
      <c r="C94" s="75" t="s">
        <v>1944</v>
      </c>
      <c r="D94" s="88">
        <v>4109147</v>
      </c>
      <c r="E94" s="2"/>
      <c r="F94" s="2"/>
      <c r="G94" s="30"/>
      <c r="H94" s="30"/>
      <c r="I94" s="2"/>
      <c r="J94" s="2"/>
      <c r="K94" s="2"/>
      <c r="L94" s="2"/>
      <c r="M94" s="41"/>
      <c r="N94" s="42"/>
      <c r="O94" s="2"/>
    </row>
    <row r="95" spans="1:15" s="70" customFormat="1" ht="12.75" customHeight="1" x14ac:dyDescent="0.2">
      <c r="A95" s="87">
        <v>45307</v>
      </c>
      <c r="B95" s="120" t="s">
        <v>6</v>
      </c>
      <c r="C95" s="75" t="s">
        <v>1944</v>
      </c>
      <c r="D95" s="88">
        <v>1168867</v>
      </c>
      <c r="E95" s="2"/>
      <c r="F95" s="2"/>
      <c r="G95" s="30"/>
      <c r="H95" s="30"/>
      <c r="I95" s="2"/>
      <c r="J95" s="2"/>
      <c r="K95" s="2"/>
      <c r="L95" s="2"/>
      <c r="M95" s="41"/>
      <c r="N95" s="42"/>
      <c r="O95" s="2"/>
    </row>
    <row r="96" spans="1:15" s="70" customFormat="1" ht="12.75" customHeight="1" x14ac:dyDescent="0.2">
      <c r="A96" s="87">
        <v>45307</v>
      </c>
      <c r="B96" s="120" t="s">
        <v>6</v>
      </c>
      <c r="C96" s="75" t="s">
        <v>1988</v>
      </c>
      <c r="D96" s="88">
        <v>175195</v>
      </c>
      <c r="E96" s="2"/>
      <c r="F96" s="2"/>
      <c r="G96" s="30"/>
      <c r="H96" s="30"/>
      <c r="I96" s="2"/>
      <c r="J96" s="2"/>
      <c r="K96" s="2"/>
      <c r="L96" s="2"/>
      <c r="M96" s="41"/>
      <c r="N96" s="42"/>
      <c r="O96" s="2"/>
    </row>
    <row r="97" spans="1:15" s="70" customFormat="1" ht="12.75" customHeight="1" x14ac:dyDescent="0.2">
      <c r="A97" s="87">
        <v>45309</v>
      </c>
      <c r="B97" s="120" t="s">
        <v>6</v>
      </c>
      <c r="C97" s="75" t="s">
        <v>1933</v>
      </c>
      <c r="D97" s="88">
        <v>7480683</v>
      </c>
      <c r="E97" s="2"/>
      <c r="F97" s="2"/>
      <c r="G97" s="30"/>
      <c r="H97" s="30"/>
      <c r="I97" s="2"/>
      <c r="J97" s="2"/>
      <c r="K97" s="2"/>
      <c r="L97" s="2"/>
      <c r="M97" s="41"/>
      <c r="N97" s="42"/>
      <c r="O97" s="2"/>
    </row>
    <row r="98" spans="1:15" s="70" customFormat="1" ht="12.75" customHeight="1" x14ac:dyDescent="0.2">
      <c r="A98" s="87">
        <v>45309</v>
      </c>
      <c r="B98" s="120" t="s">
        <v>6</v>
      </c>
      <c r="C98" s="75" t="s">
        <v>1977</v>
      </c>
      <c r="D98" s="88">
        <v>1511767</v>
      </c>
      <c r="E98" s="2"/>
      <c r="F98" s="2"/>
      <c r="G98" s="30"/>
      <c r="H98" s="30"/>
      <c r="I98" s="2"/>
      <c r="J98" s="2"/>
      <c r="K98" s="2"/>
      <c r="L98" s="2"/>
      <c r="M98" s="41"/>
      <c r="N98" s="42"/>
      <c r="O98" s="2"/>
    </row>
    <row r="99" spans="1:15" s="70" customFormat="1" ht="12.75" customHeight="1" x14ac:dyDescent="0.2">
      <c r="A99" s="87">
        <v>45310</v>
      </c>
      <c r="B99" s="120" t="s">
        <v>6</v>
      </c>
      <c r="C99" s="75" t="s">
        <v>1084</v>
      </c>
      <c r="D99" s="88">
        <v>4000000</v>
      </c>
      <c r="E99" s="2"/>
      <c r="F99" s="2"/>
      <c r="G99" s="30"/>
      <c r="H99" s="30"/>
      <c r="I99" s="2"/>
      <c r="J99" s="2"/>
      <c r="K99" s="2"/>
      <c r="L99" s="2"/>
      <c r="M99" s="41"/>
      <c r="N99" s="42"/>
      <c r="O99" s="2"/>
    </row>
    <row r="100" spans="1:15" s="2" customFormat="1" x14ac:dyDescent="0.2">
      <c r="A100" s="87"/>
      <c r="B100" s="74"/>
      <c r="C100" s="75"/>
      <c r="D100" s="51">
        <f>SUM(D78:D99)</f>
        <v>54247667.340000004</v>
      </c>
      <c r="F100" s="2" t="s">
        <v>396</v>
      </c>
      <c r="G100" s="1"/>
      <c r="H100" s="1"/>
    </row>
    <row r="101" spans="1:15" s="2" customFormat="1" x14ac:dyDescent="0.2">
      <c r="A101" s="24"/>
      <c r="B101" s="1"/>
      <c r="C101" s="14"/>
      <c r="D101" s="56"/>
      <c r="E101" s="13"/>
      <c r="G101" s="1"/>
      <c r="H101" s="1"/>
    </row>
    <row r="102" spans="1:15" s="2" customFormat="1" x14ac:dyDescent="0.2">
      <c r="A102" s="24"/>
      <c r="B102" s="1"/>
      <c r="C102" s="218" t="s">
        <v>77</v>
      </c>
      <c r="D102" s="219"/>
      <c r="E102" s="219"/>
      <c r="F102" s="220"/>
      <c r="I102" s="2" t="s">
        <v>396</v>
      </c>
    </row>
    <row r="103" spans="1:15" s="2" customFormat="1" x14ac:dyDescent="0.2">
      <c r="A103" s="24"/>
      <c r="B103" s="1"/>
      <c r="C103" s="50"/>
      <c r="D103" s="57" t="s">
        <v>78</v>
      </c>
      <c r="E103" s="58" t="s">
        <v>79</v>
      </c>
      <c r="F103" s="57" t="s">
        <v>72</v>
      </c>
      <c r="I103" s="2" t="s">
        <v>396</v>
      </c>
    </row>
    <row r="104" spans="1:15" s="2" customFormat="1" x14ac:dyDescent="0.2">
      <c r="A104" s="24"/>
      <c r="B104" s="1"/>
      <c r="C104" s="59" t="str">
        <f>"01-01-2024 to "&amp;TEXT(A5-2,"dd-mm-yyyy")</f>
        <v>01-01-2024 to 18-01-2024</v>
      </c>
      <c r="D104" s="60">
        <v>1507.82</v>
      </c>
      <c r="E104" s="60">
        <v>403.13</v>
      </c>
      <c r="F104" s="61">
        <f>SUM(D104:E104)</f>
        <v>1910.9499999999998</v>
      </c>
    </row>
    <row r="105" spans="1:15" s="2" customFormat="1" x14ac:dyDescent="0.2">
      <c r="A105" s="24"/>
      <c r="B105" s="1"/>
      <c r="C105" s="62" t="str">
        <f>TEXT(A5-1,"dd-mm-yyyy")</f>
        <v>19-01-2024</v>
      </c>
      <c r="D105" s="60">
        <v>91.74</v>
      </c>
      <c r="E105" s="60">
        <v>22.92</v>
      </c>
      <c r="F105" s="61">
        <f>SUM(D105:E105)</f>
        <v>114.66</v>
      </c>
      <c r="G105" s="1"/>
      <c r="H105" s="1"/>
      <c r="I105" s="53"/>
    </row>
    <row r="106" spans="1:15" s="2" customFormat="1" ht="13.5" thickBot="1" x14ac:dyDescent="0.25">
      <c r="A106" s="24"/>
      <c r="B106" s="1"/>
      <c r="C106" s="63" t="str">
        <f>"01-01-2024 to "&amp;TEXT(A5-1,"dd-mm-yyyy")</f>
        <v>01-01-2024 to 19-01-2024</v>
      </c>
      <c r="D106" s="64">
        <f>SUM(D104:D105)</f>
        <v>1599.56</v>
      </c>
      <c r="E106" s="64">
        <f>SUM(E104:E105)</f>
        <v>426.05</v>
      </c>
      <c r="F106" s="64">
        <f>SUM(F104:F105)</f>
        <v>2025.61</v>
      </c>
      <c r="G106" s="1"/>
      <c r="H106" s="1"/>
      <c r="I106" s="53"/>
    </row>
    <row r="107" spans="1:15" s="2" customFormat="1" ht="13.5" thickTop="1" x14ac:dyDescent="0.2">
      <c r="A107" s="24"/>
      <c r="B107" s="1"/>
      <c r="C107" s="62"/>
      <c r="D107" s="65"/>
      <c r="E107" s="66"/>
      <c r="F107" s="67"/>
      <c r="M107" s="1"/>
      <c r="N107" s="1"/>
    </row>
    <row r="108" spans="1:15" s="2" customFormat="1" x14ac:dyDescent="0.2">
      <c r="A108" s="24"/>
      <c r="B108" s="1"/>
      <c r="C108" s="62" t="str">
        <f>"01-04-2023 to " &amp;C105</f>
        <v>01-04-2023 to 19-01-2024</v>
      </c>
      <c r="D108" s="68">
        <f>+D106+34570.27</f>
        <v>36169.829999999994</v>
      </c>
      <c r="E108" s="68">
        <f>+E106+3831.86</f>
        <v>4257.91</v>
      </c>
      <c r="F108" s="68">
        <f>+F106+38402.13</f>
        <v>40427.74</v>
      </c>
      <c r="G108" s="1"/>
      <c r="H108" s="1"/>
      <c r="M108" s="1"/>
      <c r="N108" s="1"/>
    </row>
    <row r="109" spans="1:15" s="2" customFormat="1" x14ac:dyDescent="0.2">
      <c r="A109" s="24"/>
      <c r="B109" s="1"/>
      <c r="C109" s="52"/>
      <c r="D109" s="85"/>
      <c r="E109" s="53"/>
      <c r="F109" s="53"/>
      <c r="G109" s="1"/>
      <c r="H109" s="1"/>
      <c r="M109" s="1"/>
      <c r="N109" s="1"/>
    </row>
    <row r="110" spans="1:15" s="2" customFormat="1" x14ac:dyDescent="0.2">
      <c r="A110" s="24"/>
      <c r="B110" s="1"/>
      <c r="C110" s="52"/>
      <c r="D110" s="85"/>
      <c r="E110" s="53"/>
      <c r="F110" s="53"/>
      <c r="G110" s="1"/>
      <c r="H110" s="1"/>
      <c r="M110" s="1"/>
      <c r="N110" s="1"/>
    </row>
    <row r="111" spans="1:15" s="2" customFormat="1" x14ac:dyDescent="0.2">
      <c r="A111" s="24"/>
      <c r="B111" s="1"/>
      <c r="C111" s="52"/>
      <c r="D111" s="85"/>
      <c r="E111" s="53"/>
      <c r="F111" s="53"/>
      <c r="G111" s="1"/>
      <c r="H111" s="1"/>
      <c r="M111" s="1"/>
      <c r="N111" s="1"/>
    </row>
    <row r="112" spans="1:15" s="2" customFormat="1" x14ac:dyDescent="0.2">
      <c r="A112" s="24"/>
      <c r="B112" s="1"/>
      <c r="C112" s="52"/>
      <c r="D112" s="85"/>
      <c r="E112" s="53"/>
      <c r="F112" s="53"/>
      <c r="G112" s="1"/>
      <c r="H112" s="1"/>
      <c r="M112" s="1"/>
      <c r="N112" s="1"/>
    </row>
    <row r="113" spans="1:14" s="2" customFormat="1" x14ac:dyDescent="0.2">
      <c r="A113" s="24"/>
      <c r="B113" s="1"/>
      <c r="C113" s="14"/>
      <c r="D113" s="25">
        <f>SUM(D110:D112)</f>
        <v>0</v>
      </c>
      <c r="E113" s="2">
        <f>SUM(E110:E112)</f>
        <v>0</v>
      </c>
      <c r="G113" s="1"/>
      <c r="H113" s="1"/>
      <c r="M113" s="1"/>
      <c r="N113" s="1"/>
    </row>
    <row r="114" spans="1:14" s="2" customFormat="1" x14ac:dyDescent="0.2">
      <c r="A114" s="24"/>
      <c r="B114" s="1"/>
      <c r="C114" s="14"/>
      <c r="D114" s="25"/>
      <c r="G114" s="1"/>
      <c r="H114" s="1"/>
      <c r="M114" s="1"/>
      <c r="N114" s="1"/>
    </row>
    <row r="115" spans="1:14" s="2" customFormat="1" x14ac:dyDescent="0.2">
      <c r="A115" s="24"/>
      <c r="B115" s="1"/>
      <c r="C115" s="14"/>
      <c r="D115" s="25"/>
      <c r="G115" s="1"/>
      <c r="H115" s="1"/>
      <c r="M115" s="1"/>
      <c r="N115" s="1"/>
    </row>
    <row r="116" spans="1:14" s="2" customFormat="1" x14ac:dyDescent="0.2">
      <c r="A116" s="24"/>
      <c r="B116" s="1"/>
      <c r="C116" s="14"/>
      <c r="D116" s="25"/>
      <c r="G116" s="1"/>
      <c r="H116" s="1"/>
      <c r="M116" s="1"/>
      <c r="N116" s="1"/>
    </row>
    <row r="117" spans="1:14" s="2" customFormat="1" x14ac:dyDescent="0.2">
      <c r="A117" s="24"/>
      <c r="B117" s="1"/>
      <c r="C117" s="14"/>
      <c r="D117" s="25"/>
      <c r="G117" s="1"/>
      <c r="H117" s="1"/>
      <c r="M117" s="1"/>
      <c r="N117" s="1"/>
    </row>
    <row r="118" spans="1:14" s="2" customFormat="1" x14ac:dyDescent="0.2">
      <c r="A118" s="24"/>
      <c r="B118" s="1"/>
      <c r="C118" s="14"/>
      <c r="D118" s="25"/>
      <c r="G118" s="1"/>
      <c r="H118" s="1"/>
      <c r="M118" s="1"/>
      <c r="N118" s="1"/>
    </row>
    <row r="119" spans="1:14" s="2" customFormat="1" x14ac:dyDescent="0.2">
      <c r="A119" s="24"/>
      <c r="B119" s="1"/>
      <c r="C119" s="14"/>
      <c r="D119" s="25"/>
      <c r="G119" s="1"/>
      <c r="H119" s="1"/>
      <c r="M119" s="1"/>
      <c r="N119" s="1"/>
    </row>
    <row r="120" spans="1:14" s="2" customFormat="1" x14ac:dyDescent="0.2">
      <c r="A120" s="24"/>
      <c r="B120" s="1"/>
      <c r="C120" s="14"/>
      <c r="D120" s="25"/>
      <c r="G120" s="1"/>
      <c r="H120" s="1"/>
      <c r="M120" s="1"/>
      <c r="N120" s="1"/>
    </row>
    <row r="121" spans="1:14" s="2" customFormat="1" x14ac:dyDescent="0.2">
      <c r="A121" s="24"/>
      <c r="B121" s="1"/>
      <c r="C121" s="14"/>
      <c r="D121" s="25"/>
      <c r="G121" s="1"/>
      <c r="H121" s="1"/>
      <c r="M121" s="1"/>
      <c r="N121" s="1"/>
    </row>
    <row r="122" spans="1:14" s="2" customFormat="1" x14ac:dyDescent="0.2">
      <c r="A122" s="24"/>
      <c r="B122" s="1"/>
      <c r="C122" s="14"/>
      <c r="D122" s="25"/>
      <c r="G122" s="1"/>
      <c r="H122" s="1"/>
      <c r="M122" s="1"/>
      <c r="N122" s="1"/>
    </row>
    <row r="123" spans="1:14" s="2" customFormat="1" x14ac:dyDescent="0.2">
      <c r="A123" s="24"/>
      <c r="B123" s="1"/>
      <c r="C123" s="14"/>
      <c r="D123" s="25"/>
      <c r="G123" s="1"/>
      <c r="H123" s="1"/>
      <c r="M123" s="1"/>
      <c r="N123" s="1"/>
    </row>
    <row r="124" spans="1:14" s="2" customFormat="1" x14ac:dyDescent="0.2">
      <c r="A124" s="24"/>
      <c r="B124" s="1"/>
      <c r="C124" s="14"/>
      <c r="D124" s="25"/>
      <c r="G124" s="1"/>
      <c r="H124" s="1"/>
      <c r="M124" s="1"/>
      <c r="N124" s="1"/>
    </row>
    <row r="125" spans="1:14" s="2" customFormat="1" x14ac:dyDescent="0.2">
      <c r="A125" s="24"/>
      <c r="B125" s="1"/>
      <c r="C125" s="14"/>
      <c r="D125" s="25"/>
      <c r="G125" s="1"/>
      <c r="H125" s="1"/>
      <c r="M125" s="1"/>
      <c r="N125" s="1"/>
    </row>
    <row r="126" spans="1:14" s="2" customFormat="1" x14ac:dyDescent="0.2">
      <c r="A126" s="24"/>
      <c r="B126" s="1"/>
      <c r="C126" s="14"/>
      <c r="D126" s="25"/>
      <c r="G126" s="1"/>
      <c r="H126" s="1"/>
      <c r="M126" s="1"/>
      <c r="N126" s="1"/>
    </row>
    <row r="127" spans="1:14" s="2" customFormat="1" x14ac:dyDescent="0.2">
      <c r="A127" s="24"/>
      <c r="B127" s="1"/>
      <c r="C127" s="14"/>
      <c r="D127" s="25"/>
      <c r="G127" s="1"/>
      <c r="H127" s="1"/>
      <c r="J127" s="1"/>
      <c r="K127" s="1"/>
      <c r="L127" s="1"/>
      <c r="M127" s="1"/>
      <c r="N127" s="1"/>
    </row>
    <row r="128" spans="1:14" s="2" customFormat="1" x14ac:dyDescent="0.2">
      <c r="A128" s="24"/>
      <c r="B128" s="1"/>
      <c r="C128" s="14"/>
      <c r="D128" s="25"/>
      <c r="G128" s="1"/>
      <c r="H128" s="1"/>
    </row>
    <row r="129" spans="1:15" s="2" customFormat="1" x14ac:dyDescent="0.2">
      <c r="A129" s="24"/>
      <c r="B129" s="1"/>
      <c r="C129" s="14"/>
      <c r="D129" s="25"/>
      <c r="G129" s="1"/>
      <c r="H129" s="1"/>
      <c r="J129" s="1"/>
      <c r="K129" s="1"/>
      <c r="L129" s="1"/>
      <c r="M129" s="1"/>
      <c r="N129" s="1"/>
    </row>
    <row r="130" spans="1:15" s="2" customFormat="1" x14ac:dyDescent="0.2">
      <c r="A130" s="24"/>
      <c r="B130" s="1"/>
      <c r="C130" s="14"/>
      <c r="D130" s="25"/>
      <c r="G130" s="54"/>
      <c r="H130" s="54"/>
      <c r="J130" s="1"/>
      <c r="K130" s="1"/>
      <c r="L130" s="1"/>
      <c r="M130" s="1"/>
      <c r="N130" s="1"/>
    </row>
    <row r="131" spans="1:15" s="2" customFormat="1" x14ac:dyDescent="0.2">
      <c r="A131" s="24"/>
      <c r="B131" s="1"/>
      <c r="C131" s="14"/>
      <c r="D131" s="25"/>
      <c r="G131" s="54"/>
      <c r="H131" s="54"/>
      <c r="J131" s="1"/>
      <c r="K131" s="1"/>
      <c r="L131" s="1"/>
      <c r="M131" s="1"/>
      <c r="N131" s="1"/>
    </row>
    <row r="132" spans="1:15" s="2" customFormat="1" x14ac:dyDescent="0.2">
      <c r="A132" s="24"/>
      <c r="B132" s="1"/>
      <c r="C132" s="14"/>
      <c r="D132" s="25"/>
      <c r="G132" s="54"/>
      <c r="H132" s="54"/>
      <c r="J132" s="1"/>
      <c r="K132" s="1"/>
      <c r="L132" s="1"/>
      <c r="M132" s="1"/>
      <c r="N132" s="1"/>
    </row>
    <row r="133" spans="1:15" s="2" customFormat="1" x14ac:dyDescent="0.2">
      <c r="A133" s="24"/>
      <c r="B133" s="1"/>
      <c r="C133" s="14"/>
      <c r="D133" s="25"/>
      <c r="G133" s="54"/>
      <c r="H133" s="54"/>
      <c r="I133" s="2" t="s">
        <v>396</v>
      </c>
      <c r="J133" s="1"/>
      <c r="K133" s="1"/>
      <c r="L133" s="1"/>
      <c r="M133" s="1"/>
      <c r="N133" s="1"/>
      <c r="O133" s="1"/>
    </row>
    <row r="134" spans="1:15" s="2" customFormat="1" x14ac:dyDescent="0.2">
      <c r="A134" s="24"/>
      <c r="B134" s="1"/>
      <c r="C134" s="14"/>
      <c r="D134" s="25"/>
      <c r="G134" s="54"/>
      <c r="H134" s="54"/>
      <c r="I134" s="53"/>
    </row>
    <row r="135" spans="1:15" s="2" customFormat="1" x14ac:dyDescent="0.2">
      <c r="A135" s="24"/>
      <c r="B135" s="1"/>
      <c r="C135" s="14"/>
      <c r="D135" s="25"/>
      <c r="G135" s="54"/>
      <c r="H135" s="54"/>
      <c r="I135" s="53" t="s">
        <v>396</v>
      </c>
      <c r="J135" s="1"/>
      <c r="K135" s="1"/>
      <c r="L135" s="1"/>
      <c r="M135" s="1"/>
      <c r="N135" s="1"/>
      <c r="O135" s="1"/>
    </row>
    <row r="136" spans="1:15" x14ac:dyDescent="0.2">
      <c r="G136" s="54"/>
      <c r="H136" s="54"/>
      <c r="I136" s="53" t="s">
        <v>396</v>
      </c>
      <c r="K136" s="42"/>
    </row>
    <row r="137" spans="1:15" s="2" customFormat="1" x14ac:dyDescent="0.2">
      <c r="A137" s="24"/>
      <c r="B137" s="1"/>
      <c r="C137" s="14"/>
      <c r="D137" s="25"/>
      <c r="G137" s="54"/>
      <c r="H137" s="54"/>
      <c r="I137" s="53"/>
      <c r="J137" s="101"/>
      <c r="K137" s="1"/>
      <c r="L137" s="1"/>
      <c r="M137" s="1"/>
      <c r="N137" s="1"/>
      <c r="O137" s="1"/>
    </row>
    <row r="138" spans="1:15" x14ac:dyDescent="0.2">
      <c r="G138" s="54"/>
      <c r="H138" s="54"/>
      <c r="I138" s="53"/>
    </row>
    <row r="139" spans="1:15" x14ac:dyDescent="0.2">
      <c r="G139" s="54"/>
      <c r="H139" s="54"/>
      <c r="I139" s="53"/>
    </row>
    <row r="140" spans="1:15" x14ac:dyDescent="0.2">
      <c r="G140" s="54"/>
      <c r="H140" s="54"/>
      <c r="I140" s="53"/>
    </row>
  </sheetData>
  <sheetProtection insertRows="0"/>
  <mergeCells count="7">
    <mergeCell ref="K69:L69"/>
    <mergeCell ref="A76:D76"/>
    <mergeCell ref="C102:F102"/>
    <mergeCell ref="A1:H1"/>
    <mergeCell ref="A3:F3"/>
    <mergeCell ref="A9:F9"/>
    <mergeCell ref="A18:F18"/>
  </mergeCells>
  <conditionalFormatting sqref="H73:H74">
    <cfRule type="cellIs" dxfId="115" priority="1" operator="lessThan">
      <formula>0</formula>
    </cfRule>
  </conditionalFormatting>
  <conditionalFormatting sqref="C20">
    <cfRule type="duplicateValues" dxfId="114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900-000000000000}">
  <sheetPr codeName="Sheet529">
    <pageSetUpPr fitToPage="1"/>
  </sheetPr>
  <dimension ref="A1:O138"/>
  <sheetViews>
    <sheetView topLeftCell="A34" zoomScaleNormal="100" workbookViewId="0">
      <selection activeCell="C44" sqref="C44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12.85546875" style="1" customWidth="1"/>
    <col min="9" max="9" width="24.85546875" style="2" bestFit="1" customWidth="1"/>
    <col min="10" max="10" width="21.5703125" style="1" bestFit="1" customWidth="1"/>
    <col min="11" max="11" width="16.85546875" style="1" bestFit="1" customWidth="1"/>
    <col min="12" max="12" width="17.28515625" style="1" bestFit="1" customWidth="1"/>
    <col min="13" max="13" width="13.5703125" style="1" bestFit="1" customWidth="1"/>
    <col min="14" max="14" width="17.42578125" style="1" bestFit="1" customWidth="1"/>
    <col min="15" max="15" width="12.85546875" style="1" bestFit="1" customWidth="1"/>
    <col min="16" max="17" width="9.140625" style="1"/>
    <col min="18" max="18" width="15.5703125" style="1" bestFit="1" customWidth="1"/>
    <col min="19" max="16384" width="9.140625" style="1"/>
  </cols>
  <sheetData>
    <row r="1" spans="1:12" ht="20.25" customHeight="1" x14ac:dyDescent="0.4">
      <c r="A1" s="212" t="s">
        <v>1993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2" ht="12.75" customHeight="1" x14ac:dyDescent="0.4">
      <c r="I2" s="112"/>
      <c r="J2" s="112"/>
    </row>
    <row r="3" spans="1:12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2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2" s="2" customFormat="1" ht="14.25" customHeight="1" x14ac:dyDescent="0.4">
      <c r="A5" s="89">
        <v>45313</v>
      </c>
      <c r="B5" s="9" t="s">
        <v>6</v>
      </c>
      <c r="C5" s="10" t="s">
        <v>7</v>
      </c>
      <c r="D5" s="11"/>
      <c r="E5" s="12">
        <v>565541.23000000045</v>
      </c>
      <c r="F5" s="12"/>
      <c r="G5" s="1"/>
      <c r="H5" s="1"/>
      <c r="I5" s="112"/>
      <c r="J5" s="112"/>
    </row>
    <row r="6" spans="1:12" s="2" customFormat="1" ht="12.75" customHeight="1" x14ac:dyDescent="0.2">
      <c r="D6" s="15" t="s">
        <v>8</v>
      </c>
      <c r="E6" s="16">
        <f>SUM(E5:E5)</f>
        <v>565541.23000000045</v>
      </c>
      <c r="F6" s="16">
        <f>F5</f>
        <v>0</v>
      </c>
      <c r="G6" s="1"/>
      <c r="H6" s="1"/>
      <c r="I6" s="13" t="s">
        <v>1582</v>
      </c>
      <c r="J6" s="13" t="s">
        <v>1583</v>
      </c>
    </row>
    <row r="7" spans="1:12" s="2" customFormat="1" ht="12.75" customHeight="1" x14ac:dyDescent="0.2">
      <c r="A7" s="17"/>
      <c r="B7" s="18"/>
      <c r="C7" s="19" t="s">
        <v>9</v>
      </c>
      <c r="D7" s="20"/>
      <c r="E7" s="21">
        <f>+E6-F6</f>
        <v>565541.23000000045</v>
      </c>
      <c r="F7" s="22"/>
      <c r="G7" s="23"/>
      <c r="H7" s="23"/>
      <c r="I7" s="2">
        <v>13008</v>
      </c>
      <c r="J7" s="2">
        <v>0</v>
      </c>
      <c r="K7" s="176">
        <f>I7-J7</f>
        <v>13008</v>
      </c>
    </row>
    <row r="8" spans="1:12" ht="12.75" customHeight="1" x14ac:dyDescent="0.4">
      <c r="I8" s="112"/>
      <c r="J8" s="112"/>
    </row>
    <row r="9" spans="1:12" ht="18" customHeight="1" x14ac:dyDescent="0.4">
      <c r="A9" s="213" t="s">
        <v>1037</v>
      </c>
      <c r="B9" s="213"/>
      <c r="C9" s="213"/>
      <c r="D9" s="213"/>
      <c r="E9" s="213"/>
      <c r="F9" s="213"/>
      <c r="I9" s="112"/>
      <c r="J9" s="169">
        <f>90000000-60000000</f>
        <v>30000000</v>
      </c>
      <c r="K9" s="169" t="s">
        <v>1508</v>
      </c>
    </row>
    <row r="10" spans="1:12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I10" s="112"/>
      <c r="J10" s="169">
        <v>29504560.359999999</v>
      </c>
      <c r="K10" s="169" t="s">
        <v>1509</v>
      </c>
      <c r="L10" s="124"/>
    </row>
    <row r="11" spans="1:12" s="2" customFormat="1" ht="14.25" customHeight="1" x14ac:dyDescent="0.2">
      <c r="A11" s="89">
        <v>45311</v>
      </c>
      <c r="B11" s="9" t="s">
        <v>6</v>
      </c>
      <c r="C11" s="10" t="s">
        <v>7</v>
      </c>
      <c r="D11" s="11"/>
      <c r="F11" s="12">
        <v>29385773.359999999</v>
      </c>
      <c r="G11" s="1"/>
      <c r="H11" s="1"/>
      <c r="I11" s="130" t="s">
        <v>396</v>
      </c>
      <c r="J11" s="169">
        <f>+J9-J10</f>
        <v>495439.6400000006</v>
      </c>
      <c r="K11" s="169" t="s">
        <v>712</v>
      </c>
      <c r="L11" s="165" t="s">
        <v>1512</v>
      </c>
    </row>
    <row r="12" spans="1:12" s="2" customFormat="1" ht="14.25" customHeight="1" x14ac:dyDescent="0.2">
      <c r="A12" s="89">
        <v>45311</v>
      </c>
      <c r="B12" s="9" t="s">
        <v>6</v>
      </c>
      <c r="C12" s="76" t="s">
        <v>419</v>
      </c>
      <c r="D12" s="11" t="s">
        <v>13</v>
      </c>
      <c r="E12" s="31">
        <v>13008</v>
      </c>
      <c r="F12" s="31"/>
      <c r="G12" s="1"/>
      <c r="H12" s="1"/>
      <c r="I12" s="130"/>
      <c r="J12" s="169"/>
      <c r="K12" s="169"/>
      <c r="L12" s="165"/>
    </row>
    <row r="13" spans="1:12" s="2" customFormat="1" ht="14.25" customHeight="1" x14ac:dyDescent="0.2">
      <c r="A13" s="89">
        <v>45311</v>
      </c>
      <c r="B13" s="9" t="s">
        <v>6</v>
      </c>
      <c r="C13" s="76" t="s">
        <v>1995</v>
      </c>
      <c r="D13" s="11" t="s">
        <v>13</v>
      </c>
      <c r="E13" s="31">
        <v>947.62</v>
      </c>
      <c r="F13" s="31"/>
      <c r="G13" s="1"/>
      <c r="H13" s="1"/>
      <c r="I13" s="130"/>
      <c r="J13" s="169"/>
      <c r="K13" s="169"/>
      <c r="L13" s="165"/>
    </row>
    <row r="14" spans="1:12" s="2" customFormat="1" ht="14.25" customHeight="1" x14ac:dyDescent="0.2">
      <c r="A14" s="89">
        <v>45311</v>
      </c>
      <c r="B14" s="9" t="s">
        <v>6</v>
      </c>
      <c r="C14" s="76" t="s">
        <v>1333</v>
      </c>
      <c r="D14" s="11" t="s">
        <v>13</v>
      </c>
      <c r="E14" s="31">
        <v>8150</v>
      </c>
      <c r="F14" s="31"/>
      <c r="G14" s="1"/>
      <c r="H14" s="1"/>
      <c r="I14" s="130"/>
      <c r="J14" s="169"/>
      <c r="K14" s="169"/>
      <c r="L14" s="165"/>
    </row>
    <row r="15" spans="1:12" s="2" customFormat="1" ht="14.25" customHeight="1" x14ac:dyDescent="0.2">
      <c r="A15" s="89">
        <v>45311</v>
      </c>
      <c r="B15" s="9" t="s">
        <v>6</v>
      </c>
      <c r="C15" s="76" t="s">
        <v>234</v>
      </c>
      <c r="D15" s="11" t="s">
        <v>13</v>
      </c>
      <c r="E15" s="31">
        <v>9944</v>
      </c>
      <c r="F15" s="31"/>
      <c r="G15" s="1"/>
      <c r="H15" s="1"/>
      <c r="I15" s="130"/>
      <c r="J15" s="169"/>
      <c r="K15" s="169"/>
      <c r="L15" s="165"/>
    </row>
    <row r="16" spans="1:12" s="2" customFormat="1" ht="14.25" customHeight="1" x14ac:dyDescent="0.2">
      <c r="A16" s="89">
        <v>45311</v>
      </c>
      <c r="B16" s="9" t="s">
        <v>11</v>
      </c>
      <c r="C16" s="76" t="s">
        <v>1228</v>
      </c>
      <c r="D16" s="11" t="s">
        <v>29</v>
      </c>
      <c r="E16" s="31"/>
      <c r="F16" s="31">
        <v>59992.480000000003</v>
      </c>
      <c r="G16" s="1"/>
      <c r="H16" s="1"/>
      <c r="I16" s="130"/>
      <c r="J16" s="169"/>
      <c r="K16" s="169"/>
      <c r="L16" s="165"/>
    </row>
    <row r="17" spans="1:14" s="2" customFormat="1" ht="14.25" customHeight="1" x14ac:dyDescent="0.2">
      <c r="A17" s="89">
        <v>45311</v>
      </c>
      <c r="B17" s="9" t="s">
        <v>11</v>
      </c>
      <c r="C17" s="76" t="s">
        <v>930</v>
      </c>
      <c r="D17" s="11" t="s">
        <v>29</v>
      </c>
      <c r="E17" s="31"/>
      <c r="F17" s="31">
        <v>1770</v>
      </c>
      <c r="G17" s="1"/>
      <c r="H17" s="1"/>
      <c r="I17" s="130"/>
      <c r="J17" s="169"/>
      <c r="K17" s="169"/>
      <c r="L17" s="165"/>
    </row>
    <row r="18" spans="1:14" s="2" customFormat="1" ht="14.25" customHeight="1" x14ac:dyDescent="0.2">
      <c r="A18" s="89">
        <v>45311</v>
      </c>
      <c r="B18" s="9" t="s">
        <v>11</v>
      </c>
      <c r="C18" s="76" t="s">
        <v>1994</v>
      </c>
      <c r="D18" s="11" t="s">
        <v>29</v>
      </c>
      <c r="E18" s="31"/>
      <c r="F18" s="31">
        <v>1699.28</v>
      </c>
      <c r="G18" s="1"/>
      <c r="H18" s="1"/>
      <c r="I18" s="130"/>
      <c r="J18" s="169"/>
      <c r="K18" s="169"/>
      <c r="L18" s="165"/>
    </row>
    <row r="19" spans="1:14" s="2" customFormat="1" ht="14.25" customHeight="1" x14ac:dyDescent="0.2">
      <c r="A19" s="89">
        <v>45311</v>
      </c>
      <c r="B19" s="9" t="s">
        <v>11</v>
      </c>
      <c r="C19" s="76" t="s">
        <v>96</v>
      </c>
      <c r="D19" s="11" t="s">
        <v>29</v>
      </c>
      <c r="E19" s="31"/>
      <c r="F19" s="31">
        <v>7053</v>
      </c>
      <c r="G19" s="1"/>
      <c r="H19" s="1"/>
      <c r="I19" s="130"/>
      <c r="J19" s="169"/>
      <c r="K19" s="169"/>
      <c r="L19" s="165"/>
    </row>
    <row r="20" spans="1:14" s="2" customFormat="1" ht="14.25" customHeight="1" x14ac:dyDescent="0.2">
      <c r="A20" s="89">
        <v>45311</v>
      </c>
      <c r="B20" s="9" t="s">
        <v>11</v>
      </c>
      <c r="C20" s="76" t="s">
        <v>235</v>
      </c>
      <c r="D20" s="11" t="s">
        <v>29</v>
      </c>
      <c r="E20" s="31"/>
      <c r="F20" s="31">
        <v>5811</v>
      </c>
      <c r="G20" s="1"/>
      <c r="H20" s="1"/>
      <c r="I20" s="130"/>
      <c r="J20" s="169"/>
      <c r="K20" s="169"/>
      <c r="L20" s="165"/>
    </row>
    <row r="21" spans="1:14" s="2" customFormat="1" ht="14.25" customHeight="1" x14ac:dyDescent="0.2">
      <c r="A21" s="89">
        <v>45311</v>
      </c>
      <c r="B21" s="9" t="s">
        <v>11</v>
      </c>
      <c r="C21" s="76" t="s">
        <v>823</v>
      </c>
      <c r="D21" s="11" t="s">
        <v>29</v>
      </c>
      <c r="E21" s="31"/>
      <c r="F21" s="31">
        <v>10393</v>
      </c>
      <c r="G21" s="1"/>
      <c r="H21" s="1"/>
      <c r="I21" s="130"/>
      <c r="J21" s="169"/>
      <c r="K21" s="169"/>
      <c r="L21" s="165"/>
    </row>
    <row r="22" spans="1:14" s="2" customFormat="1" ht="14.25" customHeight="1" x14ac:dyDescent="0.2">
      <c r="A22" s="89">
        <v>45311</v>
      </c>
      <c r="B22" s="9" t="s">
        <v>11</v>
      </c>
      <c r="C22" s="76" t="s">
        <v>342</v>
      </c>
      <c r="D22" s="11" t="s">
        <v>29</v>
      </c>
      <c r="E22" s="31"/>
      <c r="F22" s="31">
        <v>8874.86</v>
      </c>
      <c r="G22" s="1"/>
      <c r="H22" s="1"/>
      <c r="I22" s="130"/>
      <c r="J22" s="169"/>
      <c r="K22" s="169"/>
      <c r="L22" s="165"/>
    </row>
    <row r="23" spans="1:14" s="2" customFormat="1" ht="14.25" customHeight="1" x14ac:dyDescent="0.2">
      <c r="A23" s="89">
        <v>45311</v>
      </c>
      <c r="B23" s="9" t="s">
        <v>11</v>
      </c>
      <c r="C23" s="76" t="s">
        <v>62</v>
      </c>
      <c r="D23" s="11" t="s">
        <v>29</v>
      </c>
      <c r="E23" s="31"/>
      <c r="F23" s="31">
        <v>30000</v>
      </c>
      <c r="G23" s="1"/>
      <c r="H23" s="1"/>
      <c r="I23" s="130"/>
      <c r="J23" s="169"/>
      <c r="K23" s="169"/>
      <c r="L23" s="165"/>
    </row>
    <row r="24" spans="1:14" s="2" customFormat="1" ht="14.25" customHeight="1" x14ac:dyDescent="0.2">
      <c r="A24" s="89">
        <v>45311</v>
      </c>
      <c r="B24" s="9" t="s">
        <v>11</v>
      </c>
      <c r="C24" s="76" t="s">
        <v>232</v>
      </c>
      <c r="D24" s="11" t="s">
        <v>29</v>
      </c>
      <c r="E24" s="31"/>
      <c r="F24" s="31">
        <v>12235</v>
      </c>
      <c r="G24" s="1"/>
      <c r="H24" s="1"/>
      <c r="I24" s="130"/>
      <c r="J24" s="169"/>
      <c r="K24" s="169"/>
      <c r="L24" s="165"/>
    </row>
    <row r="25" spans="1:14" s="2" customFormat="1" ht="14.25" customHeight="1" x14ac:dyDescent="0.2">
      <c r="D25" s="11" t="s">
        <v>8</v>
      </c>
      <c r="E25" s="16">
        <f>SUM(E12:E24)</f>
        <v>32049.620000000003</v>
      </c>
      <c r="F25" s="16">
        <f>SUM(F11:F24)</f>
        <v>29523601.98</v>
      </c>
      <c r="G25" s="1"/>
      <c r="H25" s="1"/>
      <c r="I25" s="143"/>
      <c r="J25" s="130"/>
      <c r="K25" s="143"/>
      <c r="L25" s="143"/>
      <c r="M25" s="143"/>
      <c r="N25" s="143"/>
    </row>
    <row r="26" spans="1:14" s="2" customFormat="1" ht="14.25" customHeight="1" x14ac:dyDescent="0.4">
      <c r="A26" s="17"/>
      <c r="B26" s="18"/>
      <c r="C26" s="96" t="s">
        <v>9</v>
      </c>
      <c r="D26" s="20"/>
      <c r="E26" s="21">
        <f>+F25-E25</f>
        <v>29491552.359999999</v>
      </c>
      <c r="G26" s="1"/>
      <c r="H26" s="1"/>
      <c r="J26" s="112"/>
      <c r="K26" s="153" t="s">
        <v>779</v>
      </c>
    </row>
    <row r="27" spans="1:14" s="2" customFormat="1" ht="14.25" customHeight="1" x14ac:dyDescent="0.2">
      <c r="A27" s="17"/>
      <c r="B27" s="28" t="s">
        <v>66</v>
      </c>
      <c r="C27" s="43" t="s">
        <v>1458</v>
      </c>
      <c r="D27" s="43"/>
      <c r="E27" s="12">
        <f>30000000+60000000</f>
        <v>90000000</v>
      </c>
      <c r="F27" s="22"/>
      <c r="G27" s="1"/>
      <c r="H27" s="1"/>
      <c r="J27" s="40">
        <v>29491552.359999999</v>
      </c>
      <c r="K27" s="154">
        <f>J27-E26</f>
        <v>0</v>
      </c>
    </row>
    <row r="28" spans="1:14" s="2" customFormat="1" ht="14.25" customHeight="1" x14ac:dyDescent="0.25">
      <c r="A28" s="36"/>
      <c r="B28" s="28"/>
      <c r="C28" s="44" t="s">
        <v>1541</v>
      </c>
      <c r="D28" s="43"/>
      <c r="E28" s="7">
        <f>+E26+E27</f>
        <v>119491552.36</v>
      </c>
      <c r="F28" s="22"/>
      <c r="G28" s="1"/>
      <c r="H28" s="1"/>
      <c r="I28" s="13" t="s">
        <v>1582</v>
      </c>
      <c r="J28" s="13" t="s">
        <v>1583</v>
      </c>
    </row>
    <row r="29" spans="1:14" s="2" customFormat="1" ht="14.25" customHeight="1" x14ac:dyDescent="0.25">
      <c r="A29" s="36"/>
      <c r="B29" s="28"/>
      <c r="C29" s="44" t="s">
        <v>1511</v>
      </c>
      <c r="D29" s="43"/>
      <c r="E29" s="38">
        <f>+J11+I7-J7</f>
        <v>508447.6400000006</v>
      </c>
      <c r="F29" s="22"/>
      <c r="G29" s="1"/>
      <c r="H29" s="1"/>
      <c r="I29" s="2">
        <v>1455470</v>
      </c>
      <c r="J29" s="2">
        <v>5464194.6100000003</v>
      </c>
      <c r="K29" s="176">
        <f>I29-J29</f>
        <v>-4008724.6100000003</v>
      </c>
    </row>
    <row r="30" spans="1:14" s="2" customFormat="1" ht="14.25" customHeight="1" x14ac:dyDescent="0.2">
      <c r="A30" s="24"/>
      <c r="B30" s="1"/>
      <c r="C30" s="14"/>
      <c r="D30" s="25"/>
      <c r="G30" s="1"/>
      <c r="H30" s="1"/>
      <c r="J30" s="130"/>
      <c r="K30" s="130"/>
    </row>
    <row r="31" spans="1:14" s="2" customFormat="1" x14ac:dyDescent="0.2">
      <c r="A31" s="214" t="s">
        <v>10</v>
      </c>
      <c r="B31" s="214"/>
      <c r="C31" s="214"/>
      <c r="D31" s="214"/>
      <c r="E31" s="214"/>
      <c r="F31" s="214"/>
      <c r="G31" s="1"/>
      <c r="H31" s="1"/>
      <c r="I31" s="159"/>
      <c r="J31" s="160">
        <v>100000000</v>
      </c>
      <c r="K31" s="160" t="s">
        <v>1506</v>
      </c>
      <c r="L31" s="70"/>
    </row>
    <row r="32" spans="1:14" s="2" customFormat="1" ht="15" x14ac:dyDescent="0.35">
      <c r="A32" s="26" t="s">
        <v>1</v>
      </c>
      <c r="B32" s="27" t="s">
        <v>2</v>
      </c>
      <c r="C32" s="5"/>
      <c r="D32" s="6" t="s">
        <v>3</v>
      </c>
      <c r="E32" s="7" t="s">
        <v>4</v>
      </c>
      <c r="F32" s="7" t="s">
        <v>5</v>
      </c>
      <c r="G32" s="1"/>
      <c r="H32" s="1"/>
      <c r="I32" s="159"/>
      <c r="J32" s="179">
        <v>76766647.140000001</v>
      </c>
      <c r="K32" s="160" t="s">
        <v>1507</v>
      </c>
      <c r="L32" s="70" t="s">
        <v>1512</v>
      </c>
    </row>
    <row r="33" spans="1:12" s="2" customFormat="1" x14ac:dyDescent="0.2">
      <c r="A33" s="89">
        <v>45313</v>
      </c>
      <c r="B33" s="128" t="s">
        <v>11</v>
      </c>
      <c r="C33" s="29" t="s">
        <v>7</v>
      </c>
      <c r="D33" s="25"/>
      <c r="E33" s="31"/>
      <c r="F33" s="2">
        <v>78753588.849999934</v>
      </c>
      <c r="G33" s="23"/>
      <c r="H33" s="23"/>
      <c r="I33" s="159" t="s">
        <v>1505</v>
      </c>
      <c r="J33" s="160">
        <f>+J31-J32</f>
        <v>23233352.859999999</v>
      </c>
      <c r="K33" s="160"/>
      <c r="L33" s="70"/>
    </row>
    <row r="34" spans="1:12" s="2" customFormat="1" x14ac:dyDescent="0.2">
      <c r="A34" s="89">
        <v>45313</v>
      </c>
      <c r="B34" s="128" t="s">
        <v>6</v>
      </c>
      <c r="C34" s="76" t="s">
        <v>15</v>
      </c>
      <c r="D34" s="11" t="s">
        <v>13</v>
      </c>
      <c r="E34" s="31">
        <v>734.93</v>
      </c>
      <c r="G34" s="23"/>
      <c r="H34" s="23"/>
      <c r="I34" s="159"/>
      <c r="J34" s="160"/>
      <c r="K34" s="160"/>
      <c r="L34" s="70"/>
    </row>
    <row r="35" spans="1:12" s="2" customFormat="1" x14ac:dyDescent="0.2">
      <c r="A35" s="89">
        <v>45313</v>
      </c>
      <c r="B35" s="128" t="s">
        <v>6</v>
      </c>
      <c r="C35" s="76" t="s">
        <v>469</v>
      </c>
      <c r="D35" s="11" t="s">
        <v>13</v>
      </c>
      <c r="E35" s="31">
        <v>999000</v>
      </c>
      <c r="G35" s="23"/>
      <c r="H35" s="23"/>
      <c r="I35" s="159"/>
      <c r="J35" s="160"/>
      <c r="K35" s="160"/>
      <c r="L35" s="70"/>
    </row>
    <row r="36" spans="1:12" s="2" customFormat="1" x14ac:dyDescent="0.2">
      <c r="A36" s="89">
        <v>45313</v>
      </c>
      <c r="B36" s="128" t="s">
        <v>6</v>
      </c>
      <c r="C36" s="76" t="s">
        <v>62</v>
      </c>
      <c r="D36" s="11" t="s">
        <v>13</v>
      </c>
      <c r="E36" s="31">
        <v>300000</v>
      </c>
      <c r="G36" s="23"/>
      <c r="H36" s="23"/>
      <c r="I36" s="159"/>
      <c r="J36" s="160"/>
      <c r="K36" s="160"/>
      <c r="L36" s="70"/>
    </row>
    <row r="37" spans="1:12" s="2" customFormat="1" x14ac:dyDescent="0.2">
      <c r="A37" s="89">
        <v>45313</v>
      </c>
      <c r="B37" s="128" t="s">
        <v>6</v>
      </c>
      <c r="C37" s="76" t="s">
        <v>1430</v>
      </c>
      <c r="D37" s="11" t="s">
        <v>13</v>
      </c>
      <c r="E37" s="31">
        <v>9850</v>
      </c>
      <c r="G37" s="23"/>
      <c r="H37" s="23"/>
      <c r="I37" s="159"/>
      <c r="J37" s="160"/>
      <c r="K37" s="160"/>
      <c r="L37" s="70"/>
    </row>
    <row r="38" spans="1:12" s="2" customFormat="1" x14ac:dyDescent="0.2">
      <c r="A38" s="89">
        <v>45313</v>
      </c>
      <c r="B38" s="128" t="s">
        <v>6</v>
      </c>
      <c r="C38" s="76" t="s">
        <v>820</v>
      </c>
      <c r="D38" s="11" t="s">
        <v>13</v>
      </c>
      <c r="E38" s="31">
        <v>11813</v>
      </c>
      <c r="G38" s="23"/>
      <c r="H38" s="23"/>
      <c r="I38" s="159"/>
      <c r="J38" s="160"/>
      <c r="K38" s="160"/>
      <c r="L38" s="70"/>
    </row>
    <row r="39" spans="1:12" s="2" customFormat="1" x14ac:dyDescent="0.2">
      <c r="A39" s="89">
        <v>45313</v>
      </c>
      <c r="B39" s="128" t="s">
        <v>6</v>
      </c>
      <c r="C39" s="76" t="s">
        <v>266</v>
      </c>
      <c r="D39" s="11" t="s">
        <v>13</v>
      </c>
      <c r="E39" s="31">
        <v>500000</v>
      </c>
      <c r="G39" s="23"/>
      <c r="H39" s="23"/>
      <c r="I39" s="159"/>
      <c r="J39" s="160"/>
      <c r="K39" s="160"/>
      <c r="L39" s="70"/>
    </row>
    <row r="40" spans="1:12" s="2" customFormat="1" x14ac:dyDescent="0.2">
      <c r="A40" s="89">
        <v>45313</v>
      </c>
      <c r="B40" s="128" t="s">
        <v>6</v>
      </c>
      <c r="C40" s="76" t="s">
        <v>727</v>
      </c>
      <c r="D40" s="11" t="s">
        <v>13</v>
      </c>
      <c r="E40" s="31">
        <v>250000</v>
      </c>
      <c r="G40" s="23"/>
      <c r="H40" s="23"/>
      <c r="I40" s="159"/>
      <c r="J40" s="160"/>
      <c r="K40" s="160"/>
      <c r="L40" s="70"/>
    </row>
    <row r="41" spans="1:12" s="2" customFormat="1" x14ac:dyDescent="0.2">
      <c r="A41" s="89">
        <v>45313</v>
      </c>
      <c r="B41" s="128" t="s">
        <v>6</v>
      </c>
      <c r="C41" s="76" t="s">
        <v>1996</v>
      </c>
      <c r="D41" s="11" t="s">
        <v>13</v>
      </c>
      <c r="E41" s="31">
        <v>535047</v>
      </c>
      <c r="G41" s="23"/>
      <c r="H41" s="23"/>
      <c r="I41" s="159"/>
      <c r="J41" s="160"/>
      <c r="K41" s="160"/>
      <c r="L41" s="70"/>
    </row>
    <row r="42" spans="1:12" s="2" customFormat="1" x14ac:dyDescent="0.2">
      <c r="A42" s="89">
        <v>45313</v>
      </c>
      <c r="B42" s="128" t="s">
        <v>6</v>
      </c>
      <c r="C42" s="76" t="s">
        <v>200</v>
      </c>
      <c r="D42" s="11" t="s">
        <v>13</v>
      </c>
      <c r="E42" s="31">
        <v>793254</v>
      </c>
      <c r="G42" s="23"/>
      <c r="H42" s="23"/>
      <c r="I42" s="159"/>
      <c r="J42" s="160"/>
      <c r="K42" s="160"/>
      <c r="L42" s="70"/>
    </row>
    <row r="43" spans="1:12" s="2" customFormat="1" x14ac:dyDescent="0.2">
      <c r="A43" s="89">
        <v>45313</v>
      </c>
      <c r="B43" s="128" t="s">
        <v>6</v>
      </c>
      <c r="C43" s="76" t="s">
        <v>27</v>
      </c>
      <c r="D43" s="11" t="s">
        <v>13</v>
      </c>
      <c r="E43" s="31">
        <v>1389480.6000000003</v>
      </c>
      <c r="G43" s="23"/>
      <c r="H43" s="23"/>
      <c r="I43" s="159"/>
      <c r="J43" s="160"/>
      <c r="K43" s="160"/>
      <c r="L43" s="70"/>
    </row>
    <row r="44" spans="1:12" s="2" customFormat="1" x14ac:dyDescent="0.2">
      <c r="A44" s="89">
        <v>45313</v>
      </c>
      <c r="B44" s="128" t="s">
        <v>6</v>
      </c>
      <c r="C44" s="76" t="s">
        <v>15</v>
      </c>
      <c r="D44" s="11" t="s">
        <v>13</v>
      </c>
      <c r="E44" s="31">
        <v>111422.18</v>
      </c>
      <c r="G44" s="23"/>
      <c r="H44" s="23"/>
      <c r="I44" s="159"/>
      <c r="J44" s="160"/>
      <c r="K44" s="160"/>
      <c r="L44" s="70"/>
    </row>
    <row r="45" spans="1:12" s="2" customFormat="1" x14ac:dyDescent="0.2">
      <c r="A45" s="89">
        <v>45313</v>
      </c>
      <c r="B45" s="128" t="s">
        <v>11</v>
      </c>
      <c r="C45" s="76" t="s">
        <v>111</v>
      </c>
      <c r="D45" s="11" t="s">
        <v>29</v>
      </c>
      <c r="E45" s="31"/>
      <c r="F45" s="2">
        <v>3774223.61</v>
      </c>
      <c r="G45" s="23"/>
      <c r="H45" s="23"/>
      <c r="I45" s="159"/>
      <c r="J45" s="160"/>
      <c r="K45" s="160"/>
      <c r="L45" s="70"/>
    </row>
    <row r="46" spans="1:12" s="2" customFormat="1" x14ac:dyDescent="0.2">
      <c r="A46" s="89">
        <v>45313</v>
      </c>
      <c r="B46" s="128" t="s">
        <v>11</v>
      </c>
      <c r="C46" s="76" t="s">
        <v>687</v>
      </c>
      <c r="D46" s="11" t="s">
        <v>29</v>
      </c>
      <c r="E46" s="31"/>
      <c r="F46" s="2">
        <v>1259372</v>
      </c>
      <c r="G46" s="23"/>
      <c r="H46" s="23"/>
      <c r="I46" s="159"/>
      <c r="J46" s="160"/>
      <c r="K46" s="160"/>
      <c r="L46" s="70"/>
    </row>
    <row r="47" spans="1:12" s="2" customFormat="1" x14ac:dyDescent="0.2">
      <c r="A47" s="89">
        <v>45313</v>
      </c>
      <c r="B47" s="128" t="s">
        <v>11</v>
      </c>
      <c r="C47" s="76" t="s">
        <v>284</v>
      </c>
      <c r="D47" s="11" t="s">
        <v>29</v>
      </c>
      <c r="E47" s="31"/>
      <c r="F47" s="2">
        <v>383951</v>
      </c>
      <c r="G47" s="23"/>
      <c r="H47" s="23"/>
      <c r="I47" s="159"/>
      <c r="J47" s="160"/>
      <c r="K47" s="160"/>
      <c r="L47" s="70"/>
    </row>
    <row r="48" spans="1:12" s="2" customFormat="1" x14ac:dyDescent="0.2">
      <c r="A48" s="89">
        <v>45313</v>
      </c>
      <c r="B48" s="128" t="s">
        <v>11</v>
      </c>
      <c r="C48" s="76" t="s">
        <v>64</v>
      </c>
      <c r="D48" s="11" t="s">
        <v>29</v>
      </c>
      <c r="E48" s="31"/>
      <c r="F48" s="2">
        <v>4838</v>
      </c>
      <c r="G48" s="23"/>
      <c r="H48" s="23"/>
      <c r="I48" s="159"/>
      <c r="J48" s="160"/>
      <c r="K48" s="160"/>
      <c r="L48" s="70"/>
    </row>
    <row r="49" spans="1:15" s="2" customFormat="1" x14ac:dyDescent="0.2">
      <c r="A49" s="89">
        <v>45313</v>
      </c>
      <c r="B49" s="128" t="s">
        <v>11</v>
      </c>
      <c r="C49" s="76" t="s">
        <v>550</v>
      </c>
      <c r="D49" s="11" t="s">
        <v>29</v>
      </c>
      <c r="E49" s="31"/>
      <c r="F49" s="2">
        <v>1500000</v>
      </c>
      <c r="G49" s="23"/>
      <c r="H49" s="23"/>
      <c r="I49" s="159"/>
      <c r="J49" s="160"/>
      <c r="K49" s="160"/>
      <c r="L49" s="70"/>
    </row>
    <row r="50" spans="1:15" s="2" customFormat="1" x14ac:dyDescent="0.2">
      <c r="A50" s="32"/>
      <c r="B50" s="33"/>
      <c r="C50" s="14"/>
      <c r="D50" s="34"/>
      <c r="E50" s="16">
        <f>SUM(E33:E49)</f>
        <v>4900601.71</v>
      </c>
      <c r="F50" s="16">
        <f>SUM(F33:F49)</f>
        <v>85675973.459999934</v>
      </c>
      <c r="G50" s="1"/>
      <c r="H50" s="1"/>
      <c r="I50" s="1"/>
      <c r="J50" s="38">
        <v>80775371.75</v>
      </c>
      <c r="L50" s="92">
        <f>E51-J50</f>
        <v>0</v>
      </c>
      <c r="O50" s="1"/>
    </row>
    <row r="51" spans="1:15" s="2" customFormat="1" x14ac:dyDescent="0.2">
      <c r="A51" s="36"/>
      <c r="B51" s="28" t="s">
        <v>11</v>
      </c>
      <c r="C51" s="19" t="s">
        <v>65</v>
      </c>
      <c r="D51" s="37"/>
      <c r="E51" s="38">
        <f>F50-E50</f>
        <v>80775371.74999994</v>
      </c>
      <c r="F51" s="22"/>
      <c r="G51" s="1"/>
      <c r="H51" s="1"/>
      <c r="I51" s="1"/>
      <c r="J51" s="70"/>
      <c r="K51" s="70"/>
      <c r="L51" s="70"/>
      <c r="O51" s="1"/>
    </row>
    <row r="52" spans="1:15" s="2" customFormat="1" x14ac:dyDescent="0.2">
      <c r="A52" s="36"/>
      <c r="B52" s="28" t="s">
        <v>66</v>
      </c>
      <c r="C52" s="19" t="s">
        <v>67</v>
      </c>
      <c r="D52" s="37"/>
      <c r="E52" s="38">
        <v>11500000</v>
      </c>
      <c r="F52" s="22"/>
      <c r="G52" s="1"/>
      <c r="H52" s="1"/>
      <c r="I52" s="70"/>
      <c r="J52" s="70"/>
      <c r="K52" s="70"/>
      <c r="L52" s="70"/>
      <c r="O52" s="1"/>
    </row>
    <row r="53" spans="1:15" s="2" customFormat="1" x14ac:dyDescent="0.2">
      <c r="A53" s="36"/>
      <c r="B53" s="28" t="s">
        <v>66</v>
      </c>
      <c r="C53" s="43" t="s">
        <v>1457</v>
      </c>
      <c r="D53" s="43"/>
      <c r="E53" s="12">
        <v>400000000</v>
      </c>
      <c r="F53" s="22"/>
      <c r="G53" s="1"/>
      <c r="H53" s="1"/>
      <c r="I53" s="70"/>
      <c r="J53" s="45">
        <v>1183.22</v>
      </c>
      <c r="K53" s="46"/>
      <c r="L53" s="46"/>
      <c r="O53" s="1"/>
    </row>
    <row r="54" spans="1:15" s="2" customFormat="1" ht="15" x14ac:dyDescent="0.25">
      <c r="A54" s="36"/>
      <c r="B54" s="28"/>
      <c r="C54" s="44" t="s">
        <v>1541</v>
      </c>
      <c r="D54" s="43"/>
      <c r="E54" s="7">
        <f>+E53+E51+E52</f>
        <v>492275371.74999994</v>
      </c>
      <c r="F54" s="22"/>
      <c r="G54" s="1"/>
      <c r="H54" s="1"/>
      <c r="I54" s="103" t="s">
        <v>69</v>
      </c>
      <c r="J54" s="45">
        <v>-59.07</v>
      </c>
      <c r="K54" s="46"/>
      <c r="L54" s="46"/>
      <c r="O54" s="1"/>
    </row>
    <row r="55" spans="1:15" s="2" customFormat="1" ht="15" x14ac:dyDescent="0.25">
      <c r="A55" s="24"/>
      <c r="B55" s="1"/>
      <c r="C55" s="44" t="s">
        <v>1510</v>
      </c>
      <c r="D55" s="25"/>
      <c r="E55" s="156">
        <f>+J33-E52+I29-J29</f>
        <v>7724628.2499999991</v>
      </c>
      <c r="G55" s="1"/>
      <c r="H55" s="1"/>
      <c r="I55" s="35">
        <v>1</v>
      </c>
      <c r="J55" s="45">
        <v>29.99</v>
      </c>
      <c r="K55" s="46">
        <f>+J56-D58</f>
        <v>0</v>
      </c>
      <c r="O55" s="1"/>
    </row>
    <row r="56" spans="1:15" s="124" customFormat="1" ht="12.75" customHeight="1" x14ac:dyDescent="0.2">
      <c r="A56" s="24"/>
      <c r="B56" s="1"/>
      <c r="C56" s="56"/>
      <c r="D56" s="56"/>
      <c r="E56" s="104"/>
      <c r="F56" s="2"/>
      <c r="G56" s="166"/>
      <c r="H56" s="166"/>
      <c r="I56" s="70"/>
      <c r="J56" s="49">
        <f>SUM(J53:J55)</f>
        <v>1154.1400000000001</v>
      </c>
      <c r="K56" s="46"/>
      <c r="L56" s="46"/>
    </row>
    <row r="57" spans="1:15" s="124" customFormat="1" ht="12.75" customHeight="1" x14ac:dyDescent="0.2">
      <c r="A57" s="24"/>
      <c r="B57" s="1"/>
      <c r="C57" s="78" t="s">
        <v>575</v>
      </c>
      <c r="D57" s="48" t="s">
        <v>576</v>
      </c>
      <c r="E57" s="104"/>
      <c r="F57" s="2"/>
      <c r="G57" s="168"/>
      <c r="H57" s="168"/>
      <c r="I57" s="167"/>
      <c r="J57" s="167"/>
      <c r="K57" s="168"/>
    </row>
    <row r="58" spans="1:15" s="124" customFormat="1" ht="12.75" customHeight="1" x14ac:dyDescent="0.2">
      <c r="A58" s="24"/>
      <c r="B58" s="1"/>
      <c r="C58" s="47" t="s">
        <v>570</v>
      </c>
      <c r="D58" s="111">
        <v>1154.1400000000001</v>
      </c>
      <c r="E58" s="104"/>
      <c r="F58" s="2"/>
      <c r="G58" s="168"/>
      <c r="H58" s="168"/>
      <c r="I58" s="110" t="s">
        <v>581</v>
      </c>
      <c r="J58" s="167"/>
      <c r="K58" s="168"/>
    </row>
    <row r="59" spans="1:15" s="124" customFormat="1" ht="12.75" customHeight="1" x14ac:dyDescent="0.2">
      <c r="A59" s="24"/>
      <c r="B59" s="1"/>
      <c r="C59" s="47" t="s">
        <v>931</v>
      </c>
      <c r="D59" s="111">
        <v>142.22999999999999</v>
      </c>
      <c r="E59" s="104"/>
      <c r="F59" s="2"/>
      <c r="G59" s="168"/>
      <c r="H59" s="168"/>
      <c r="I59" s="110" t="s">
        <v>580</v>
      </c>
      <c r="J59" s="167"/>
      <c r="K59" s="168"/>
    </row>
    <row r="60" spans="1:15" s="124" customFormat="1" ht="12.75" customHeight="1" x14ac:dyDescent="0.2">
      <c r="A60" s="24"/>
      <c r="B60" s="1"/>
      <c r="C60" s="47" t="s">
        <v>572</v>
      </c>
      <c r="D60" s="111">
        <f>+D98/100000</f>
        <v>589.68648800000005</v>
      </c>
      <c r="E60" s="104"/>
      <c r="F60" s="2"/>
      <c r="G60" s="166"/>
      <c r="H60" s="166"/>
      <c r="I60" s="90" t="s">
        <v>587</v>
      </c>
      <c r="J60" s="167"/>
      <c r="K60" s="168"/>
    </row>
    <row r="61" spans="1:15" s="2" customFormat="1" x14ac:dyDescent="0.2">
      <c r="A61" s="24"/>
      <c r="B61" s="1"/>
      <c r="C61" s="108" t="s">
        <v>578</v>
      </c>
      <c r="D61" s="48">
        <f>SUM(D58:D60)</f>
        <v>1886.0564880000002</v>
      </c>
      <c r="E61" s="104"/>
      <c r="G61" s="30"/>
      <c r="H61" s="30"/>
      <c r="J61" s="13"/>
      <c r="K61" s="13"/>
    </row>
    <row r="62" spans="1:15" s="70" customFormat="1" x14ac:dyDescent="0.2">
      <c r="A62" s="24"/>
      <c r="B62" s="1"/>
      <c r="C62" s="47"/>
      <c r="D62" s="107"/>
      <c r="E62" s="104"/>
      <c r="F62" s="2"/>
      <c r="G62" s="30"/>
      <c r="H62" s="30"/>
      <c r="I62" s="2"/>
    </row>
    <row r="63" spans="1:15" s="70" customFormat="1" x14ac:dyDescent="0.2">
      <c r="A63" s="24"/>
      <c r="B63" s="1"/>
      <c r="C63" s="47" t="s">
        <v>932</v>
      </c>
      <c r="D63" s="111">
        <v>337.91</v>
      </c>
      <c r="E63" s="104"/>
      <c r="F63" s="2"/>
      <c r="G63" s="30"/>
      <c r="H63" s="30"/>
      <c r="I63" s="110" t="s">
        <v>581</v>
      </c>
    </row>
    <row r="64" spans="1:15" s="70" customFormat="1" x14ac:dyDescent="0.2">
      <c r="A64" s="24"/>
      <c r="B64" s="1"/>
      <c r="C64" s="136" t="s">
        <v>1142</v>
      </c>
      <c r="D64" s="111">
        <v>965.2</v>
      </c>
      <c r="E64" s="104"/>
      <c r="F64" s="2"/>
      <c r="G64" s="30"/>
      <c r="H64" s="30"/>
      <c r="I64" s="110" t="s">
        <v>581</v>
      </c>
    </row>
    <row r="65" spans="1:15" s="70" customFormat="1" x14ac:dyDescent="0.2">
      <c r="A65" s="24"/>
      <c r="B65" s="1"/>
      <c r="C65" s="78" t="s">
        <v>579</v>
      </c>
      <c r="D65" s="109">
        <f>D63+D64</f>
        <v>1303.1100000000001</v>
      </c>
      <c r="E65" s="104"/>
      <c r="F65" s="2"/>
      <c r="G65" s="30"/>
      <c r="H65" s="30"/>
    </row>
    <row r="66" spans="1:15" s="70" customFormat="1" x14ac:dyDescent="0.2">
      <c r="A66" s="24"/>
      <c r="B66" s="1"/>
      <c r="C66" s="105"/>
      <c r="D66" s="106"/>
      <c r="E66" s="104"/>
      <c r="F66" s="2"/>
      <c r="G66" s="30"/>
      <c r="H66" s="30"/>
      <c r="J66" s="2"/>
      <c r="K66" s="221" t="str">
        <f>"FROM ( 01-01-2024 to "&amp;TEXT(A5,"dd-mm-yyyy")&amp;" )"</f>
        <v>FROM ( 01-01-2024 to 22-01-2024 )</v>
      </c>
      <c r="L66" s="221"/>
      <c r="M66" s="2"/>
      <c r="N66" s="2"/>
    </row>
    <row r="67" spans="1:15" s="70" customFormat="1" x14ac:dyDescent="0.2">
      <c r="A67" s="24"/>
      <c r="B67" s="1"/>
      <c r="C67" s="78" t="s">
        <v>577</v>
      </c>
      <c r="D67" s="109">
        <f>D58+D65</f>
        <v>2457.25</v>
      </c>
      <c r="E67" s="104"/>
      <c r="F67" s="2"/>
      <c r="G67" s="30"/>
      <c r="H67" s="30"/>
      <c r="J67" s="113"/>
      <c r="K67" s="113" t="s">
        <v>709</v>
      </c>
      <c r="L67" s="113" t="s">
        <v>710</v>
      </c>
      <c r="M67" s="113" t="s">
        <v>711</v>
      </c>
      <c r="N67" s="113" t="s">
        <v>712</v>
      </c>
    </row>
    <row r="68" spans="1:15" s="70" customFormat="1" x14ac:dyDescent="0.2">
      <c r="A68" s="24"/>
      <c r="B68" s="1"/>
      <c r="C68" s="56"/>
      <c r="D68" s="56"/>
      <c r="E68" s="104"/>
      <c r="F68" s="2"/>
      <c r="G68" s="30"/>
      <c r="H68" s="30"/>
      <c r="J68" s="113" t="s">
        <v>1860</v>
      </c>
      <c r="K68" s="115">
        <v>189.89</v>
      </c>
      <c r="L68" s="115">
        <v>56.31</v>
      </c>
      <c r="M68" s="115">
        <v>58.41</v>
      </c>
      <c r="N68" s="113">
        <f>+K68+M68-L68</f>
        <v>191.98999999999998</v>
      </c>
    </row>
    <row r="69" spans="1:15" s="70" customFormat="1" ht="38.25" x14ac:dyDescent="0.2">
      <c r="A69" s="24"/>
      <c r="B69" s="1"/>
      <c r="C69" s="79" t="str">
        <f>"Particulars ( 01-01-2024 to "&amp;TEXT(A5,"dd-mm-yyyy")&amp;" )"</f>
        <v>Particulars ( 01-01-2024 to 22-01-2024 )</v>
      </c>
      <c r="D69" s="79" t="s">
        <v>7</v>
      </c>
      <c r="E69" s="80" t="s">
        <v>73</v>
      </c>
      <c r="F69" s="80" t="s">
        <v>74</v>
      </c>
      <c r="G69" s="81" t="s">
        <v>75</v>
      </c>
      <c r="H69" s="80" t="s">
        <v>76</v>
      </c>
      <c r="J69" s="113" t="s">
        <v>1861</v>
      </c>
      <c r="K69" s="115">
        <v>1671.12</v>
      </c>
      <c r="L69" s="115">
        <v>589.69000000000005</v>
      </c>
      <c r="M69" s="115">
        <v>963.1</v>
      </c>
      <c r="N69" s="113">
        <f>+K69+M69-L69</f>
        <v>2044.5299999999997</v>
      </c>
    </row>
    <row r="70" spans="1:15" s="70" customFormat="1" x14ac:dyDescent="0.2">
      <c r="A70" s="24"/>
      <c r="B70" s="1"/>
      <c r="C70" s="50" t="s">
        <v>444</v>
      </c>
      <c r="D70" s="55">
        <f>+K70</f>
        <v>140.88</v>
      </c>
      <c r="E70" s="55">
        <f>+M70</f>
        <v>337.91</v>
      </c>
      <c r="F70" s="55">
        <f>+L70</f>
        <v>142.22999999999999</v>
      </c>
      <c r="G70" s="55">
        <f>+D70+E70-F70</f>
        <v>336.56000000000006</v>
      </c>
      <c r="H70" s="55">
        <f>1500-G70</f>
        <v>1163.44</v>
      </c>
      <c r="J70" s="113" t="s">
        <v>707</v>
      </c>
      <c r="K70" s="115">
        <v>140.88</v>
      </c>
      <c r="L70" s="115">
        <v>142.22999999999999</v>
      </c>
      <c r="M70" s="115">
        <v>337.91</v>
      </c>
      <c r="N70" s="113">
        <f>+K70+M70-L70</f>
        <v>336.56000000000006</v>
      </c>
    </row>
    <row r="71" spans="1:15" s="70" customFormat="1" ht="12.75" customHeight="1" x14ac:dyDescent="0.2">
      <c r="A71" s="24"/>
      <c r="B71" s="1"/>
      <c r="C71" s="50" t="s">
        <v>71</v>
      </c>
      <c r="D71" s="55">
        <f>+K68+K69</f>
        <v>1861.0099999999998</v>
      </c>
      <c r="E71" s="55">
        <f>+M68+M69</f>
        <v>1021.51</v>
      </c>
      <c r="F71" s="55">
        <f>+L68+L69</f>
        <v>646</v>
      </c>
      <c r="G71" s="55">
        <f>+D71+E71-F71</f>
        <v>2236.5199999999995</v>
      </c>
      <c r="H71" s="55">
        <f>1500+700+200-G71</f>
        <v>163.48000000000047</v>
      </c>
      <c r="J71" s="2"/>
      <c r="K71" s="118">
        <f>SUM(K68:K70)</f>
        <v>2001.8899999999999</v>
      </c>
      <c r="L71" s="118">
        <f>SUM(L68:L70)</f>
        <v>788.23</v>
      </c>
      <c r="M71" s="118">
        <f>SUM(M68:M70)</f>
        <v>1359.42</v>
      </c>
      <c r="N71" s="118">
        <f>SUM(N68:N70)</f>
        <v>2573.0799999999995</v>
      </c>
    </row>
    <row r="72" spans="1:15" s="70" customFormat="1" ht="12.75" customHeight="1" x14ac:dyDescent="0.2">
      <c r="A72" s="24"/>
      <c r="B72" s="1"/>
      <c r="C72" s="14"/>
      <c r="D72" s="56"/>
      <c r="E72" s="13"/>
      <c r="F72" s="2"/>
      <c r="G72" s="30"/>
      <c r="H72" s="30"/>
    </row>
    <row r="73" spans="1:15" s="70" customFormat="1" ht="12.75" customHeight="1" x14ac:dyDescent="0.2">
      <c r="A73" s="215" t="s">
        <v>80</v>
      </c>
      <c r="B73" s="216"/>
      <c r="C73" s="216"/>
      <c r="D73" s="217"/>
      <c r="E73" s="69"/>
      <c r="G73" s="30"/>
      <c r="H73" s="30"/>
    </row>
    <row r="74" spans="1:15" s="70" customFormat="1" ht="12.75" customHeight="1" x14ac:dyDescent="0.2">
      <c r="A74" s="71" t="s">
        <v>81</v>
      </c>
      <c r="B74" s="71"/>
      <c r="C74" s="72" t="s">
        <v>82</v>
      </c>
      <c r="D74" s="73" t="s">
        <v>83</v>
      </c>
      <c r="E74" s="69"/>
      <c r="G74" s="30"/>
      <c r="H74" s="30"/>
    </row>
    <row r="75" spans="1:15" s="70" customFormat="1" ht="12.75" customHeight="1" x14ac:dyDescent="0.2">
      <c r="A75" s="87">
        <v>45292</v>
      </c>
      <c r="B75" s="120" t="s">
        <v>6</v>
      </c>
      <c r="C75" s="75" t="s">
        <v>1933</v>
      </c>
      <c r="D75" s="88">
        <v>7583470</v>
      </c>
      <c r="E75" s="2"/>
      <c r="F75" s="2"/>
      <c r="G75" s="30"/>
      <c r="H75" s="30"/>
      <c r="I75" s="2"/>
      <c r="J75" s="2"/>
      <c r="K75" s="2"/>
      <c r="L75" s="2"/>
      <c r="M75" s="41"/>
      <c r="N75" s="42"/>
      <c r="O75" s="2"/>
    </row>
    <row r="76" spans="1:15" s="70" customFormat="1" ht="12.75" customHeight="1" x14ac:dyDescent="0.2">
      <c r="A76" s="87">
        <v>45293</v>
      </c>
      <c r="B76" s="120" t="s">
        <v>6</v>
      </c>
      <c r="C76" s="75" t="s">
        <v>1934</v>
      </c>
      <c r="D76" s="88">
        <v>124988</v>
      </c>
      <c r="E76" s="2"/>
      <c r="F76" s="2"/>
      <c r="G76" s="30"/>
      <c r="H76" s="30"/>
      <c r="I76" s="2"/>
      <c r="J76" s="2"/>
      <c r="K76" s="2"/>
      <c r="L76" s="2"/>
      <c r="M76" s="41"/>
      <c r="N76" s="42"/>
      <c r="O76" s="2"/>
    </row>
    <row r="77" spans="1:15" s="70" customFormat="1" ht="12.75" customHeight="1" x14ac:dyDescent="0.2">
      <c r="A77" s="87">
        <v>45294</v>
      </c>
      <c r="B77" s="120" t="s">
        <v>6</v>
      </c>
      <c r="C77" s="75" t="s">
        <v>606</v>
      </c>
      <c r="D77" s="88">
        <v>260191</v>
      </c>
      <c r="E77" s="2"/>
      <c r="F77" s="2"/>
      <c r="G77" s="30"/>
      <c r="H77" s="30"/>
      <c r="I77" s="2"/>
      <c r="J77" s="2"/>
      <c r="K77" s="2"/>
      <c r="L77" s="2"/>
      <c r="M77" s="41"/>
      <c r="N77" s="42"/>
      <c r="O77" s="2"/>
    </row>
    <row r="78" spans="1:15" s="70" customFormat="1" ht="12.75" customHeight="1" x14ac:dyDescent="0.2">
      <c r="A78" s="87">
        <v>45294</v>
      </c>
      <c r="B78" s="120" t="s">
        <v>6</v>
      </c>
      <c r="C78" s="75" t="s">
        <v>888</v>
      </c>
      <c r="D78" s="88">
        <v>2431991.34</v>
      </c>
      <c r="E78" s="2"/>
      <c r="F78" s="2"/>
      <c r="G78" s="30"/>
      <c r="H78" s="30"/>
      <c r="I78" s="2"/>
      <c r="J78" s="2"/>
      <c r="K78" s="2"/>
      <c r="L78" s="2"/>
      <c r="M78" s="41"/>
      <c r="N78" s="42"/>
      <c r="O78" s="2"/>
    </row>
    <row r="79" spans="1:15" s="70" customFormat="1" ht="12.75" customHeight="1" x14ac:dyDescent="0.2">
      <c r="A79" s="87">
        <v>45295</v>
      </c>
      <c r="B79" s="120" t="s">
        <v>6</v>
      </c>
      <c r="C79" s="75" t="s">
        <v>1944</v>
      </c>
      <c r="D79" s="88">
        <v>23655</v>
      </c>
      <c r="E79" s="2"/>
      <c r="F79" s="2"/>
      <c r="G79" s="30"/>
      <c r="H79" s="30"/>
      <c r="I79" s="2"/>
      <c r="J79" s="2"/>
      <c r="K79" s="2"/>
      <c r="L79" s="2"/>
      <c r="M79" s="41"/>
      <c r="N79" s="42"/>
      <c r="O79" s="2"/>
    </row>
    <row r="80" spans="1:15" s="70" customFormat="1" ht="12.75" customHeight="1" x14ac:dyDescent="0.2">
      <c r="A80" s="87">
        <v>45295</v>
      </c>
      <c r="B80" s="120" t="s">
        <v>6</v>
      </c>
      <c r="C80" s="75" t="s">
        <v>1944</v>
      </c>
      <c r="D80" s="88">
        <v>321576</v>
      </c>
      <c r="E80" s="2"/>
      <c r="F80" s="2"/>
      <c r="G80" s="30"/>
      <c r="H80" s="30"/>
      <c r="I80" s="2"/>
      <c r="J80" s="2"/>
      <c r="K80" s="2"/>
      <c r="L80" s="2"/>
      <c r="M80" s="41"/>
      <c r="N80" s="42"/>
      <c r="O80" s="2"/>
    </row>
    <row r="81" spans="1:15" s="70" customFormat="1" ht="12.75" customHeight="1" x14ac:dyDescent="0.2">
      <c r="A81" s="87">
        <v>45295</v>
      </c>
      <c r="B81" s="120" t="s">
        <v>6</v>
      </c>
      <c r="C81" s="75" t="s">
        <v>1944</v>
      </c>
      <c r="D81" s="88">
        <v>430832</v>
      </c>
      <c r="E81" s="2"/>
      <c r="F81" s="2"/>
      <c r="G81" s="30"/>
      <c r="H81" s="30"/>
      <c r="I81" s="2"/>
      <c r="J81" s="2"/>
      <c r="K81" s="2"/>
      <c r="L81" s="2"/>
      <c r="M81" s="41"/>
      <c r="N81" s="42"/>
      <c r="O81" s="2"/>
    </row>
    <row r="82" spans="1:15" s="70" customFormat="1" ht="12.75" customHeight="1" x14ac:dyDescent="0.2">
      <c r="A82" s="87">
        <v>45295</v>
      </c>
      <c r="B82" s="120" t="s">
        <v>6</v>
      </c>
      <c r="C82" s="75" t="s">
        <v>1934</v>
      </c>
      <c r="D82" s="88">
        <v>892589</v>
      </c>
      <c r="E82" s="2"/>
      <c r="F82" s="2"/>
      <c r="G82" s="30"/>
      <c r="H82" s="30"/>
      <c r="I82" s="2"/>
      <c r="J82" s="2"/>
      <c r="K82" s="2"/>
      <c r="L82" s="2"/>
      <c r="M82" s="41"/>
      <c r="N82" s="42"/>
      <c r="O82" s="2"/>
    </row>
    <row r="83" spans="1:15" s="70" customFormat="1" ht="12.75" customHeight="1" x14ac:dyDescent="0.2">
      <c r="A83" s="87">
        <v>45299</v>
      </c>
      <c r="B83" s="120" t="s">
        <v>6</v>
      </c>
      <c r="C83" s="75" t="s">
        <v>1933</v>
      </c>
      <c r="D83" s="88">
        <v>8143487</v>
      </c>
      <c r="E83" s="2"/>
      <c r="F83" s="2"/>
      <c r="G83" s="30"/>
      <c r="H83" s="30"/>
      <c r="I83" s="2"/>
      <c r="J83" s="2"/>
      <c r="K83" s="2"/>
      <c r="L83" s="2"/>
      <c r="M83" s="41"/>
      <c r="N83" s="42"/>
      <c r="O83" s="2"/>
    </row>
    <row r="84" spans="1:15" s="70" customFormat="1" ht="12.75" customHeight="1" x14ac:dyDescent="0.2">
      <c r="A84" s="87">
        <v>45299</v>
      </c>
      <c r="B84" s="120" t="s">
        <v>6</v>
      </c>
      <c r="C84" s="75" t="s">
        <v>606</v>
      </c>
      <c r="D84" s="88">
        <v>487316</v>
      </c>
      <c r="E84" s="2"/>
      <c r="F84" s="2"/>
      <c r="G84" s="30"/>
      <c r="H84" s="30"/>
      <c r="I84" s="2"/>
      <c r="J84" s="2"/>
      <c r="K84" s="2"/>
      <c r="L84" s="2"/>
      <c r="M84" s="41"/>
      <c r="N84" s="42"/>
      <c r="O84" s="2"/>
    </row>
    <row r="85" spans="1:15" s="70" customFormat="1" ht="12.75" customHeight="1" x14ac:dyDescent="0.2">
      <c r="A85" s="87">
        <v>45301</v>
      </c>
      <c r="B85" s="120" t="s">
        <v>6</v>
      </c>
      <c r="C85" s="75" t="s">
        <v>1933</v>
      </c>
      <c r="D85" s="88">
        <v>2690</v>
      </c>
      <c r="E85" s="2"/>
      <c r="F85" s="2"/>
      <c r="G85" s="30"/>
      <c r="H85" s="30"/>
      <c r="I85" s="2"/>
      <c r="J85" s="2"/>
      <c r="K85" s="2"/>
      <c r="L85" s="2"/>
      <c r="M85" s="41"/>
      <c r="N85" s="42"/>
      <c r="O85" s="2"/>
    </row>
    <row r="86" spans="1:15" s="70" customFormat="1" ht="12.75" customHeight="1" x14ac:dyDescent="0.2">
      <c r="A86" s="87">
        <v>45301</v>
      </c>
      <c r="B86" s="120" t="s">
        <v>6</v>
      </c>
      <c r="C86" s="75" t="s">
        <v>1933</v>
      </c>
      <c r="D86" s="88">
        <v>2133516</v>
      </c>
      <c r="E86" s="2"/>
      <c r="F86" s="2"/>
      <c r="G86" s="30"/>
      <c r="H86" s="30"/>
      <c r="I86" s="2"/>
      <c r="J86" s="2"/>
      <c r="K86" s="2"/>
      <c r="L86" s="2"/>
      <c r="M86" s="41"/>
      <c r="N86" s="42"/>
      <c r="O86" s="2"/>
    </row>
    <row r="87" spans="1:15" s="70" customFormat="1" ht="12.75" customHeight="1" x14ac:dyDescent="0.2">
      <c r="A87" s="87">
        <v>45302</v>
      </c>
      <c r="B87" s="120" t="s">
        <v>6</v>
      </c>
      <c r="C87" s="75" t="s">
        <v>1084</v>
      </c>
      <c r="D87" s="88">
        <v>3000000</v>
      </c>
      <c r="E87" s="2"/>
      <c r="F87" s="2"/>
      <c r="G87" s="30"/>
      <c r="H87" s="30"/>
      <c r="I87" s="2"/>
      <c r="J87" s="2"/>
      <c r="K87" s="2"/>
      <c r="L87" s="2"/>
      <c r="M87" s="41"/>
      <c r="N87" s="42"/>
      <c r="O87" s="2"/>
    </row>
    <row r="88" spans="1:15" s="70" customFormat="1" ht="12.75" customHeight="1" x14ac:dyDescent="0.2">
      <c r="A88" s="87">
        <v>45303</v>
      </c>
      <c r="B88" s="120" t="s">
        <v>6</v>
      </c>
      <c r="C88" s="75" t="s">
        <v>1933</v>
      </c>
      <c r="D88" s="88">
        <v>5893097</v>
      </c>
      <c r="E88" s="2"/>
      <c r="F88" s="2"/>
      <c r="G88" s="30"/>
      <c r="H88" s="30"/>
      <c r="I88" s="2"/>
      <c r="J88" s="2"/>
      <c r="K88" s="2"/>
      <c r="L88" s="2"/>
      <c r="M88" s="41"/>
      <c r="N88" s="42"/>
      <c r="O88" s="2"/>
    </row>
    <row r="89" spans="1:15" s="70" customFormat="1" ht="12.75" customHeight="1" x14ac:dyDescent="0.2">
      <c r="A89" s="87">
        <v>45303</v>
      </c>
      <c r="B89" s="120" t="s">
        <v>6</v>
      </c>
      <c r="C89" s="75" t="s">
        <v>1977</v>
      </c>
      <c r="D89" s="88">
        <v>500000</v>
      </c>
      <c r="E89" s="2"/>
      <c r="F89" s="2"/>
      <c r="G89" s="30"/>
      <c r="H89" s="30"/>
      <c r="I89" s="2"/>
      <c r="J89" s="2"/>
      <c r="K89" s="2"/>
      <c r="L89" s="2"/>
      <c r="M89" s="41"/>
      <c r="N89" s="42"/>
      <c r="O89" s="2"/>
    </row>
    <row r="90" spans="1:15" s="70" customFormat="1" ht="12.75" customHeight="1" x14ac:dyDescent="0.2">
      <c r="A90" s="87">
        <v>45307</v>
      </c>
      <c r="B90" s="120" t="s">
        <v>6</v>
      </c>
      <c r="C90" s="75" t="s">
        <v>1933</v>
      </c>
      <c r="D90" s="88">
        <v>3572610</v>
      </c>
      <c r="E90" s="2"/>
      <c r="F90" s="2"/>
      <c r="G90" s="30"/>
      <c r="H90" s="30"/>
      <c r="I90" s="2"/>
      <c r="J90" s="2"/>
      <c r="K90" s="2"/>
      <c r="L90" s="2"/>
      <c r="M90" s="41"/>
      <c r="N90" s="42"/>
      <c r="O90" s="2"/>
    </row>
    <row r="91" spans="1:15" s="70" customFormat="1" ht="12.75" customHeight="1" x14ac:dyDescent="0.2">
      <c r="A91" s="87">
        <v>45307</v>
      </c>
      <c r="B91" s="120" t="s">
        <v>6</v>
      </c>
      <c r="C91" s="75" t="s">
        <v>1944</v>
      </c>
      <c r="D91" s="88">
        <v>4109147</v>
      </c>
      <c r="E91" s="2"/>
      <c r="F91" s="2"/>
      <c r="G91" s="30"/>
      <c r="H91" s="30"/>
      <c r="I91" s="2"/>
      <c r="J91" s="2"/>
      <c r="K91" s="2"/>
      <c r="L91" s="2"/>
      <c r="M91" s="41"/>
      <c r="N91" s="42"/>
      <c r="O91" s="2"/>
    </row>
    <row r="92" spans="1:15" s="70" customFormat="1" ht="12.75" customHeight="1" x14ac:dyDescent="0.2">
      <c r="A92" s="87">
        <v>45307</v>
      </c>
      <c r="B92" s="120" t="s">
        <v>6</v>
      </c>
      <c r="C92" s="75" t="s">
        <v>1944</v>
      </c>
      <c r="D92" s="88">
        <v>1168867</v>
      </c>
      <c r="E92" s="2"/>
      <c r="F92" s="2"/>
      <c r="G92" s="30"/>
      <c r="H92" s="30"/>
      <c r="I92" s="2"/>
      <c r="J92" s="2"/>
      <c r="K92" s="2"/>
      <c r="L92" s="2"/>
      <c r="M92" s="41"/>
      <c r="N92" s="42"/>
      <c r="O92" s="2"/>
    </row>
    <row r="93" spans="1:15" s="70" customFormat="1" ht="12.75" customHeight="1" x14ac:dyDescent="0.2">
      <c r="A93" s="87">
        <v>45307</v>
      </c>
      <c r="B93" s="120" t="s">
        <v>6</v>
      </c>
      <c r="C93" s="75" t="s">
        <v>1988</v>
      </c>
      <c r="D93" s="88">
        <v>175195</v>
      </c>
      <c r="E93" s="2"/>
      <c r="F93" s="2"/>
      <c r="G93" s="30"/>
      <c r="H93" s="30"/>
      <c r="I93" s="2"/>
      <c r="J93" s="2"/>
      <c r="K93" s="2"/>
      <c r="L93" s="2"/>
      <c r="M93" s="41"/>
      <c r="N93" s="42"/>
      <c r="O93" s="2"/>
    </row>
    <row r="94" spans="1:15" s="70" customFormat="1" ht="12.75" customHeight="1" x14ac:dyDescent="0.2">
      <c r="A94" s="87">
        <v>45309</v>
      </c>
      <c r="B94" s="120" t="s">
        <v>6</v>
      </c>
      <c r="C94" s="75" t="s">
        <v>1933</v>
      </c>
      <c r="D94" s="88">
        <v>7480683</v>
      </c>
      <c r="E94" s="2"/>
      <c r="F94" s="2"/>
      <c r="G94" s="30"/>
      <c r="H94" s="30"/>
      <c r="I94" s="2"/>
      <c r="J94" s="2"/>
      <c r="K94" s="2"/>
      <c r="L94" s="2"/>
      <c r="M94" s="41"/>
      <c r="N94" s="42"/>
      <c r="O94" s="2"/>
    </row>
    <row r="95" spans="1:15" s="70" customFormat="1" ht="12.75" customHeight="1" x14ac:dyDescent="0.2">
      <c r="A95" s="87">
        <v>45309</v>
      </c>
      <c r="B95" s="120" t="s">
        <v>6</v>
      </c>
      <c r="C95" s="75" t="s">
        <v>1977</v>
      </c>
      <c r="D95" s="88">
        <v>1511767</v>
      </c>
      <c r="E95" s="2"/>
      <c r="F95" s="2"/>
      <c r="G95" s="30"/>
      <c r="H95" s="30"/>
      <c r="I95" s="2"/>
      <c r="J95" s="2"/>
      <c r="K95" s="2"/>
      <c r="L95" s="2"/>
      <c r="M95" s="41"/>
      <c r="N95" s="42"/>
      <c r="O95" s="2"/>
    </row>
    <row r="96" spans="1:15" s="70" customFormat="1" ht="12.75" customHeight="1" x14ac:dyDescent="0.2">
      <c r="A96" s="87">
        <v>45310</v>
      </c>
      <c r="B96" s="120" t="s">
        <v>6</v>
      </c>
      <c r="C96" s="75" t="s">
        <v>1084</v>
      </c>
      <c r="D96" s="88">
        <v>4000000</v>
      </c>
      <c r="E96" s="2"/>
      <c r="F96" s="2"/>
      <c r="G96" s="30"/>
      <c r="H96" s="30"/>
      <c r="I96" s="2"/>
      <c r="J96" s="2"/>
      <c r="K96" s="2"/>
      <c r="L96" s="2"/>
      <c r="M96" s="41"/>
      <c r="N96" s="42"/>
      <c r="O96" s="2"/>
    </row>
    <row r="97" spans="1:15" s="70" customFormat="1" ht="12.75" customHeight="1" x14ac:dyDescent="0.2">
      <c r="A97" s="87">
        <v>45311</v>
      </c>
      <c r="B97" s="120" t="s">
        <v>6</v>
      </c>
      <c r="C97" s="75" t="s">
        <v>888</v>
      </c>
      <c r="D97" s="88">
        <v>4720981.46</v>
      </c>
      <c r="E97" s="2"/>
      <c r="F97" s="2"/>
      <c r="G97" s="30"/>
      <c r="H97" s="30"/>
      <c r="I97" s="2"/>
      <c r="J97" s="2"/>
      <c r="K97" s="2"/>
      <c r="L97" s="2"/>
      <c r="M97" s="41"/>
      <c r="N97" s="42"/>
      <c r="O97" s="2"/>
    </row>
    <row r="98" spans="1:15" s="2" customFormat="1" x14ac:dyDescent="0.2">
      <c r="A98" s="87"/>
      <c r="B98" s="74"/>
      <c r="C98" s="75"/>
      <c r="D98" s="51">
        <f>SUM(D75:D97)</f>
        <v>58968648.800000004</v>
      </c>
      <c r="F98" s="2" t="s">
        <v>396</v>
      </c>
      <c r="G98" s="1"/>
      <c r="H98" s="1"/>
    </row>
    <row r="99" spans="1:15" s="2" customFormat="1" x14ac:dyDescent="0.2">
      <c r="A99" s="24"/>
      <c r="B99" s="1"/>
      <c r="C99" s="14"/>
      <c r="D99" s="56"/>
      <c r="E99" s="13"/>
      <c r="G99" s="1"/>
      <c r="H99" s="1"/>
    </row>
    <row r="100" spans="1:15" s="2" customFormat="1" x14ac:dyDescent="0.2">
      <c r="A100" s="24"/>
      <c r="B100" s="1"/>
      <c r="C100" s="218" t="s">
        <v>77</v>
      </c>
      <c r="D100" s="219"/>
      <c r="E100" s="219"/>
      <c r="F100" s="220"/>
      <c r="I100" s="2" t="s">
        <v>396</v>
      </c>
    </row>
    <row r="101" spans="1:15" s="2" customFormat="1" x14ac:dyDescent="0.2">
      <c r="A101" s="24"/>
      <c r="B101" s="1"/>
      <c r="C101" s="50"/>
      <c r="D101" s="57" t="s">
        <v>78</v>
      </c>
      <c r="E101" s="58" t="s">
        <v>79</v>
      </c>
      <c r="F101" s="57" t="s">
        <v>72</v>
      </c>
      <c r="I101" s="2" t="s">
        <v>396</v>
      </c>
    </row>
    <row r="102" spans="1:15" s="2" customFormat="1" x14ac:dyDescent="0.2">
      <c r="A102" s="24"/>
      <c r="B102" s="1"/>
      <c r="C102" s="59" t="str">
        <f>"01-01-2024 to "&amp;TEXT(A5-2,"dd-mm-yyyy")</f>
        <v>01-01-2024 to 20-01-2024</v>
      </c>
      <c r="D102" s="60">
        <v>1757.02</v>
      </c>
      <c r="E102" s="60">
        <v>455.86</v>
      </c>
      <c r="F102" s="61">
        <f>SUM(D102:E102)</f>
        <v>2212.88</v>
      </c>
    </row>
    <row r="103" spans="1:15" s="2" customFormat="1" x14ac:dyDescent="0.2">
      <c r="A103" s="24"/>
      <c r="B103" s="1"/>
      <c r="C103" s="62" t="str">
        <f>TEXT(A5-1,"dd-mm-yyyy")</f>
        <v>21-01-2024</v>
      </c>
      <c r="D103" s="60">
        <v>21.31</v>
      </c>
      <c r="E103" s="60">
        <v>10.199999999999999</v>
      </c>
      <c r="F103" s="61">
        <f>SUM(D103:E103)</f>
        <v>31.509999999999998</v>
      </c>
      <c r="G103" s="1"/>
      <c r="H103" s="1"/>
      <c r="I103" s="53"/>
    </row>
    <row r="104" spans="1:15" s="2" customFormat="1" ht="13.5" thickBot="1" x14ac:dyDescent="0.25">
      <c r="A104" s="24"/>
      <c r="B104" s="1"/>
      <c r="C104" s="63" t="str">
        <f>"01-01-2024 to "&amp;TEXT(A5-1,"dd-mm-yyyy")</f>
        <v>01-01-2024 to 21-01-2024</v>
      </c>
      <c r="D104" s="64">
        <f>SUM(D102:D103)</f>
        <v>1778.33</v>
      </c>
      <c r="E104" s="64">
        <f>SUM(E102:E103)</f>
        <v>466.06</v>
      </c>
      <c r="F104" s="64">
        <f>SUM(F102:F103)</f>
        <v>2244.3900000000003</v>
      </c>
      <c r="G104" s="1"/>
      <c r="H104" s="1"/>
      <c r="I104" s="53"/>
    </row>
    <row r="105" spans="1:15" s="2" customFormat="1" ht="13.5" thickTop="1" x14ac:dyDescent="0.2">
      <c r="A105" s="24"/>
      <c r="B105" s="1"/>
      <c r="C105" s="62"/>
      <c r="D105" s="65"/>
      <c r="E105" s="66"/>
      <c r="F105" s="67"/>
      <c r="M105" s="1"/>
      <c r="N105" s="1"/>
    </row>
    <row r="106" spans="1:15" s="2" customFormat="1" x14ac:dyDescent="0.2">
      <c r="A106" s="24"/>
      <c r="B106" s="1"/>
      <c r="C106" s="62" t="str">
        <f>"01-04-2023 to " &amp;C103</f>
        <v>01-04-2023 to 21-01-2024</v>
      </c>
      <c r="D106" s="68">
        <f>+D104+34570.27</f>
        <v>36348.6</v>
      </c>
      <c r="E106" s="68">
        <f>+E104+3831.86</f>
        <v>4297.92</v>
      </c>
      <c r="F106" s="68">
        <f>+F104+38402.13</f>
        <v>40646.519999999997</v>
      </c>
      <c r="G106" s="1"/>
      <c r="H106" s="1"/>
      <c r="M106" s="1"/>
      <c r="N106" s="1"/>
    </row>
    <row r="107" spans="1:15" s="2" customFormat="1" x14ac:dyDescent="0.2">
      <c r="A107" s="24"/>
      <c r="B107" s="1"/>
      <c r="C107" s="52"/>
      <c r="D107" s="85"/>
      <c r="E107" s="53"/>
      <c r="F107" s="53"/>
      <c r="G107" s="1"/>
      <c r="H107" s="1"/>
      <c r="M107" s="1"/>
      <c r="N107" s="1"/>
    </row>
    <row r="108" spans="1:15" s="2" customFormat="1" x14ac:dyDescent="0.2">
      <c r="A108" s="24"/>
      <c r="B108" s="1"/>
      <c r="C108" s="52"/>
      <c r="D108" s="85"/>
      <c r="E108" s="53"/>
      <c r="F108" s="53"/>
      <c r="G108" s="1"/>
      <c r="H108" s="1"/>
      <c r="M108" s="1"/>
      <c r="N108" s="1"/>
    </row>
    <row r="109" spans="1:15" s="2" customFormat="1" x14ac:dyDescent="0.2">
      <c r="A109" s="24"/>
      <c r="B109" s="1"/>
      <c r="C109" s="52"/>
      <c r="D109" s="85"/>
      <c r="E109" s="53"/>
      <c r="F109" s="53"/>
      <c r="G109" s="1"/>
      <c r="H109" s="1"/>
      <c r="M109" s="1"/>
      <c r="N109" s="1"/>
    </row>
    <row r="110" spans="1:15" s="2" customFormat="1" x14ac:dyDescent="0.2">
      <c r="A110" s="24"/>
      <c r="B110" s="1"/>
      <c r="C110" s="52"/>
      <c r="D110" s="85"/>
      <c r="E110" s="53"/>
      <c r="F110" s="53"/>
      <c r="G110" s="1"/>
      <c r="H110" s="1"/>
      <c r="M110" s="1"/>
      <c r="N110" s="1"/>
    </row>
    <row r="111" spans="1:15" s="2" customFormat="1" x14ac:dyDescent="0.2">
      <c r="A111" s="24"/>
      <c r="B111" s="1"/>
      <c r="C111" s="14"/>
      <c r="D111" s="25">
        <f>SUM(D108:D110)</f>
        <v>0</v>
      </c>
      <c r="E111" s="2">
        <f>SUM(E108:E110)</f>
        <v>0</v>
      </c>
      <c r="G111" s="1"/>
      <c r="H111" s="1"/>
      <c r="M111" s="1"/>
      <c r="N111" s="1"/>
    </row>
    <row r="112" spans="1:15" s="2" customFormat="1" x14ac:dyDescent="0.2">
      <c r="A112" s="24"/>
      <c r="B112" s="1"/>
      <c r="C112" s="14"/>
      <c r="D112" s="25"/>
      <c r="G112" s="1"/>
      <c r="H112" s="1"/>
      <c r="M112" s="1"/>
      <c r="N112" s="1"/>
    </row>
    <row r="113" spans="1:14" s="2" customFormat="1" x14ac:dyDescent="0.2">
      <c r="A113" s="24"/>
      <c r="B113" s="1"/>
      <c r="C113" s="14"/>
      <c r="D113" s="25"/>
      <c r="G113" s="1"/>
      <c r="H113" s="1"/>
      <c r="M113" s="1"/>
      <c r="N113" s="1"/>
    </row>
    <row r="114" spans="1:14" s="2" customFormat="1" x14ac:dyDescent="0.2">
      <c r="A114" s="24"/>
      <c r="B114" s="1"/>
      <c r="C114" s="14"/>
      <c r="D114" s="25"/>
      <c r="G114" s="1"/>
      <c r="H114" s="1"/>
      <c r="M114" s="1"/>
      <c r="N114" s="1"/>
    </row>
    <row r="115" spans="1:14" s="2" customFormat="1" x14ac:dyDescent="0.2">
      <c r="A115" s="24"/>
      <c r="B115" s="1"/>
      <c r="C115" s="14"/>
      <c r="D115" s="25"/>
      <c r="G115" s="1"/>
      <c r="H115" s="1"/>
      <c r="M115" s="1"/>
      <c r="N115" s="1"/>
    </row>
    <row r="116" spans="1:14" s="2" customFormat="1" x14ac:dyDescent="0.2">
      <c r="A116" s="24"/>
      <c r="B116" s="1"/>
      <c r="C116" s="14"/>
      <c r="D116" s="25"/>
      <c r="G116" s="1"/>
      <c r="H116" s="1"/>
      <c r="M116" s="1"/>
      <c r="N116" s="1"/>
    </row>
    <row r="117" spans="1:14" s="2" customFormat="1" x14ac:dyDescent="0.2">
      <c r="A117" s="24"/>
      <c r="B117" s="1"/>
      <c r="C117" s="14"/>
      <c r="D117" s="25"/>
      <c r="G117" s="1"/>
      <c r="H117" s="1"/>
      <c r="M117" s="1"/>
      <c r="N117" s="1"/>
    </row>
    <row r="118" spans="1:14" s="2" customFormat="1" x14ac:dyDescent="0.2">
      <c r="A118" s="24"/>
      <c r="B118" s="1"/>
      <c r="C118" s="14"/>
      <c r="D118" s="25"/>
      <c r="G118" s="1"/>
      <c r="H118" s="1"/>
      <c r="M118" s="1"/>
      <c r="N118" s="1"/>
    </row>
    <row r="119" spans="1:14" s="2" customFormat="1" x14ac:dyDescent="0.2">
      <c r="A119" s="24"/>
      <c r="B119" s="1"/>
      <c r="C119" s="14"/>
      <c r="D119" s="25"/>
      <c r="G119" s="1"/>
      <c r="H119" s="1"/>
      <c r="M119" s="1"/>
      <c r="N119" s="1"/>
    </row>
    <row r="120" spans="1:14" s="2" customFormat="1" x14ac:dyDescent="0.2">
      <c r="A120" s="24"/>
      <c r="B120" s="1"/>
      <c r="C120" s="14"/>
      <c r="D120" s="25"/>
      <c r="G120" s="1"/>
      <c r="H120" s="1"/>
      <c r="M120" s="1"/>
      <c r="N120" s="1"/>
    </row>
    <row r="121" spans="1:14" s="2" customFormat="1" x14ac:dyDescent="0.2">
      <c r="A121" s="24"/>
      <c r="B121" s="1"/>
      <c r="C121" s="14"/>
      <c r="D121" s="25"/>
      <c r="G121" s="1"/>
      <c r="H121" s="1"/>
      <c r="M121" s="1"/>
      <c r="N121" s="1"/>
    </row>
    <row r="122" spans="1:14" s="2" customFormat="1" x14ac:dyDescent="0.2">
      <c r="A122" s="24"/>
      <c r="B122" s="1"/>
      <c r="C122" s="14"/>
      <c r="D122" s="25"/>
      <c r="G122" s="1"/>
      <c r="H122" s="1"/>
      <c r="M122" s="1"/>
      <c r="N122" s="1"/>
    </row>
    <row r="123" spans="1:14" s="2" customFormat="1" x14ac:dyDescent="0.2">
      <c r="A123" s="24"/>
      <c r="B123" s="1"/>
      <c r="C123" s="14"/>
      <c r="D123" s="25"/>
      <c r="G123" s="1"/>
      <c r="H123" s="1"/>
      <c r="M123" s="1"/>
      <c r="N123" s="1"/>
    </row>
    <row r="124" spans="1:14" s="2" customFormat="1" x14ac:dyDescent="0.2">
      <c r="A124" s="24"/>
      <c r="B124" s="1"/>
      <c r="C124" s="14"/>
      <c r="D124" s="25"/>
      <c r="G124" s="1"/>
      <c r="H124" s="1"/>
      <c r="M124" s="1"/>
      <c r="N124" s="1"/>
    </row>
    <row r="125" spans="1:14" s="2" customFormat="1" x14ac:dyDescent="0.2">
      <c r="A125" s="24"/>
      <c r="B125" s="1"/>
      <c r="C125" s="14"/>
      <c r="D125" s="25"/>
      <c r="G125" s="1"/>
      <c r="H125" s="1"/>
      <c r="J125" s="1"/>
      <c r="K125" s="1"/>
      <c r="L125" s="1"/>
      <c r="M125" s="1"/>
      <c r="N125" s="1"/>
    </row>
    <row r="126" spans="1:14" s="2" customFormat="1" x14ac:dyDescent="0.2">
      <c r="A126" s="24"/>
      <c r="B126" s="1"/>
      <c r="C126" s="14"/>
      <c r="D126" s="25"/>
      <c r="G126" s="1"/>
      <c r="H126" s="1"/>
    </row>
    <row r="127" spans="1:14" s="2" customFormat="1" x14ac:dyDescent="0.2">
      <c r="A127" s="24"/>
      <c r="B127" s="1"/>
      <c r="C127" s="14"/>
      <c r="D127" s="25"/>
      <c r="G127" s="1"/>
      <c r="H127" s="1"/>
      <c r="J127" s="1"/>
      <c r="K127" s="1"/>
      <c r="L127" s="1"/>
      <c r="M127" s="1"/>
      <c r="N127" s="1"/>
    </row>
    <row r="128" spans="1:14" s="2" customFormat="1" x14ac:dyDescent="0.2">
      <c r="A128" s="24"/>
      <c r="B128" s="1"/>
      <c r="C128" s="14"/>
      <c r="D128" s="25"/>
      <c r="G128" s="54"/>
      <c r="H128" s="54"/>
      <c r="J128" s="1"/>
      <c r="K128" s="1"/>
      <c r="L128" s="1"/>
      <c r="M128" s="1"/>
      <c r="N128" s="1"/>
    </row>
    <row r="129" spans="1:15" s="2" customFormat="1" x14ac:dyDescent="0.2">
      <c r="A129" s="24"/>
      <c r="B129" s="1"/>
      <c r="C129" s="14"/>
      <c r="D129" s="25"/>
      <c r="G129" s="54"/>
      <c r="H129" s="54"/>
      <c r="J129" s="1"/>
      <c r="K129" s="1"/>
      <c r="L129" s="1"/>
      <c r="M129" s="1"/>
      <c r="N129" s="1"/>
    </row>
    <row r="130" spans="1:15" s="2" customFormat="1" x14ac:dyDescent="0.2">
      <c r="A130" s="24"/>
      <c r="B130" s="1"/>
      <c r="C130" s="14"/>
      <c r="D130" s="25"/>
      <c r="G130" s="54"/>
      <c r="H130" s="54"/>
      <c r="J130" s="1"/>
      <c r="K130" s="1"/>
      <c r="L130" s="1"/>
      <c r="M130" s="1"/>
      <c r="N130" s="1"/>
    </row>
    <row r="131" spans="1:15" s="2" customFormat="1" x14ac:dyDescent="0.2">
      <c r="A131" s="24"/>
      <c r="B131" s="1"/>
      <c r="C131" s="14"/>
      <c r="D131" s="25"/>
      <c r="G131" s="54"/>
      <c r="H131" s="54"/>
      <c r="I131" s="2" t="s">
        <v>396</v>
      </c>
      <c r="J131" s="1"/>
      <c r="K131" s="1"/>
      <c r="L131" s="1"/>
      <c r="M131" s="1"/>
      <c r="N131" s="1"/>
      <c r="O131" s="1"/>
    </row>
    <row r="132" spans="1:15" s="2" customFormat="1" x14ac:dyDescent="0.2">
      <c r="A132" s="24"/>
      <c r="B132" s="1"/>
      <c r="C132" s="14"/>
      <c r="D132" s="25"/>
      <c r="G132" s="54"/>
      <c r="H132" s="54"/>
      <c r="I132" s="53"/>
    </row>
    <row r="133" spans="1:15" s="2" customFormat="1" x14ac:dyDescent="0.2">
      <c r="A133" s="24"/>
      <c r="B133" s="1"/>
      <c r="C133" s="14"/>
      <c r="D133" s="25"/>
      <c r="G133" s="54"/>
      <c r="H133" s="54"/>
      <c r="I133" s="53" t="s">
        <v>396</v>
      </c>
      <c r="J133" s="1"/>
      <c r="K133" s="1"/>
      <c r="L133" s="1"/>
      <c r="M133" s="1"/>
      <c r="N133" s="1"/>
      <c r="O133" s="1"/>
    </row>
    <row r="134" spans="1:15" x14ac:dyDescent="0.2">
      <c r="G134" s="54"/>
      <c r="H134" s="54"/>
      <c r="I134" s="53" t="s">
        <v>396</v>
      </c>
      <c r="K134" s="42"/>
    </row>
    <row r="135" spans="1:15" s="2" customFormat="1" x14ac:dyDescent="0.2">
      <c r="A135" s="24"/>
      <c r="B135" s="1"/>
      <c r="C135" s="14"/>
      <c r="D135" s="25"/>
      <c r="G135" s="54"/>
      <c r="H135" s="54"/>
      <c r="I135" s="53"/>
      <c r="J135" s="101"/>
      <c r="K135" s="1"/>
      <c r="L135" s="1"/>
      <c r="M135" s="1"/>
      <c r="N135" s="1"/>
      <c r="O135" s="1"/>
    </row>
    <row r="136" spans="1:15" x14ac:dyDescent="0.2">
      <c r="G136" s="54"/>
      <c r="H136" s="54"/>
      <c r="I136" s="53"/>
    </row>
    <row r="137" spans="1:15" x14ac:dyDescent="0.2">
      <c r="G137" s="54"/>
      <c r="H137" s="54"/>
      <c r="I137" s="53"/>
    </row>
    <row r="138" spans="1:15" x14ac:dyDescent="0.2">
      <c r="G138" s="54"/>
      <c r="H138" s="54"/>
      <c r="I138" s="53"/>
    </row>
  </sheetData>
  <sheetProtection insertRows="0"/>
  <mergeCells count="7">
    <mergeCell ref="K66:L66"/>
    <mergeCell ref="A73:D73"/>
    <mergeCell ref="C100:F100"/>
    <mergeCell ref="A1:H1"/>
    <mergeCell ref="A3:F3"/>
    <mergeCell ref="A9:F9"/>
    <mergeCell ref="A31:F31"/>
  </mergeCells>
  <conditionalFormatting sqref="H70:H71">
    <cfRule type="cellIs" dxfId="113" priority="1" operator="lessThan">
      <formula>0</formula>
    </cfRule>
  </conditionalFormatting>
  <conditionalFormatting sqref="C33">
    <cfRule type="duplicateValues" dxfId="112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A00-000000000000}">
  <sheetPr codeName="Sheet530">
    <pageSetUpPr fitToPage="1"/>
  </sheetPr>
  <dimension ref="A1:O147"/>
  <sheetViews>
    <sheetView topLeftCell="A42" zoomScaleNormal="100" workbookViewId="0">
      <selection activeCell="E40" sqref="E40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12.85546875" style="1" customWidth="1"/>
    <col min="9" max="9" width="24.85546875" style="2" bestFit="1" customWidth="1"/>
    <col min="10" max="10" width="21.5703125" style="1" bestFit="1" customWidth="1"/>
    <col min="11" max="11" width="16.85546875" style="1" bestFit="1" customWidth="1"/>
    <col min="12" max="12" width="17.28515625" style="1" bestFit="1" customWidth="1"/>
    <col min="13" max="13" width="13.5703125" style="1" bestFit="1" customWidth="1"/>
    <col min="14" max="14" width="17.42578125" style="1" bestFit="1" customWidth="1"/>
    <col min="15" max="15" width="12.85546875" style="1" bestFit="1" customWidth="1"/>
    <col min="16" max="17" width="9.140625" style="1"/>
    <col min="18" max="18" width="15.5703125" style="1" bestFit="1" customWidth="1"/>
    <col min="19" max="16384" width="9.140625" style="1"/>
  </cols>
  <sheetData>
    <row r="1" spans="1:12" ht="20.25" customHeight="1" x14ac:dyDescent="0.4">
      <c r="A1" s="212" t="s">
        <v>1997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2" ht="12.75" customHeight="1" x14ac:dyDescent="0.4">
      <c r="I2" s="112"/>
      <c r="J2" s="112"/>
    </row>
    <row r="3" spans="1:12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2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2" s="2" customFormat="1" ht="14.25" customHeight="1" x14ac:dyDescent="0.4">
      <c r="A5" s="89">
        <v>45314</v>
      </c>
      <c r="B5" s="9" t="s">
        <v>6</v>
      </c>
      <c r="C5" s="10" t="s">
        <v>7</v>
      </c>
      <c r="D5" s="11"/>
      <c r="E5" s="12">
        <v>565541.23000000045</v>
      </c>
      <c r="F5" s="12"/>
      <c r="G5" s="1"/>
      <c r="H5" s="1"/>
      <c r="I5" s="112"/>
      <c r="J5" s="112"/>
    </row>
    <row r="6" spans="1:12" s="2" customFormat="1" ht="12.75" customHeight="1" x14ac:dyDescent="0.2">
      <c r="D6" s="15" t="s">
        <v>8</v>
      </c>
      <c r="E6" s="16">
        <f>SUM(E5:E5)</f>
        <v>565541.23000000045</v>
      </c>
      <c r="F6" s="16">
        <f>F5</f>
        <v>0</v>
      </c>
      <c r="G6" s="1"/>
      <c r="H6" s="1"/>
      <c r="I6" s="13" t="s">
        <v>1582</v>
      </c>
      <c r="J6" s="13" t="s">
        <v>1583</v>
      </c>
    </row>
    <row r="7" spans="1:12" s="2" customFormat="1" ht="12.75" customHeight="1" x14ac:dyDescent="0.2">
      <c r="A7" s="17"/>
      <c r="B7" s="18"/>
      <c r="C7" s="19" t="s">
        <v>9</v>
      </c>
      <c r="D7" s="20"/>
      <c r="E7" s="21">
        <f>+E6-F6</f>
        <v>565541.23000000045</v>
      </c>
      <c r="F7" s="22"/>
      <c r="G7" s="23"/>
      <c r="H7" s="23"/>
      <c r="I7" s="2">
        <v>0</v>
      </c>
      <c r="J7" s="2">
        <v>0</v>
      </c>
      <c r="K7" s="176">
        <f>I7-J7</f>
        <v>0</v>
      </c>
    </row>
    <row r="8" spans="1:12" ht="12.75" customHeight="1" x14ac:dyDescent="0.4">
      <c r="I8" s="112"/>
      <c r="J8" s="112"/>
    </row>
    <row r="9" spans="1:12" ht="18" customHeight="1" x14ac:dyDescent="0.4">
      <c r="A9" s="213" t="s">
        <v>1037</v>
      </c>
      <c r="B9" s="213"/>
      <c r="C9" s="213"/>
      <c r="D9" s="213"/>
      <c r="E9" s="213"/>
      <c r="F9" s="213"/>
      <c r="I9" s="112"/>
      <c r="J9" s="169">
        <f>90000000-60000000</f>
        <v>30000000</v>
      </c>
      <c r="K9" s="169" t="s">
        <v>1508</v>
      </c>
    </row>
    <row r="10" spans="1:12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I10" s="112"/>
      <c r="J10" s="169">
        <v>29754770.359999999</v>
      </c>
      <c r="K10" s="169" t="s">
        <v>1509</v>
      </c>
      <c r="L10" s="124"/>
    </row>
    <row r="11" spans="1:12" s="2" customFormat="1" ht="14.25" customHeight="1" x14ac:dyDescent="0.2">
      <c r="A11" s="89">
        <v>45314</v>
      </c>
      <c r="B11" s="9" t="s">
        <v>6</v>
      </c>
      <c r="C11" s="10" t="s">
        <v>7</v>
      </c>
      <c r="D11" s="11"/>
      <c r="F11" s="12">
        <v>29491552.359999999</v>
      </c>
      <c r="G11" s="1"/>
      <c r="H11" s="1"/>
      <c r="I11" s="130" t="s">
        <v>396</v>
      </c>
      <c r="J11" s="169">
        <f>+J9-J10</f>
        <v>245229.6400000006</v>
      </c>
      <c r="K11" s="169" t="s">
        <v>712</v>
      </c>
      <c r="L11" s="165" t="s">
        <v>1512</v>
      </c>
    </row>
    <row r="12" spans="1:12" s="2" customFormat="1" ht="14.25" customHeight="1" x14ac:dyDescent="0.2">
      <c r="A12" s="89">
        <v>45314</v>
      </c>
      <c r="B12" s="9" t="s">
        <v>11</v>
      </c>
      <c r="C12" s="76" t="s">
        <v>51</v>
      </c>
      <c r="D12" s="11" t="s">
        <v>29</v>
      </c>
      <c r="E12" s="31"/>
      <c r="F12" s="31">
        <v>7465</v>
      </c>
      <c r="G12" s="1"/>
      <c r="H12" s="1"/>
      <c r="I12" s="130"/>
      <c r="J12" s="169"/>
      <c r="K12" s="169"/>
      <c r="L12" s="165"/>
    </row>
    <row r="13" spans="1:12" s="2" customFormat="1" ht="14.25" customHeight="1" x14ac:dyDescent="0.2">
      <c r="A13" s="89">
        <v>45314</v>
      </c>
      <c r="B13" s="9" t="s">
        <v>11</v>
      </c>
      <c r="C13" s="76" t="s">
        <v>344</v>
      </c>
      <c r="D13" s="11" t="s">
        <v>29</v>
      </c>
      <c r="E13" s="31"/>
      <c r="F13" s="31">
        <v>3250</v>
      </c>
      <c r="G13" s="1"/>
      <c r="H13" s="1"/>
      <c r="I13" s="130"/>
      <c r="J13" s="169"/>
      <c r="K13" s="169"/>
      <c r="L13" s="165"/>
    </row>
    <row r="14" spans="1:12" s="2" customFormat="1" ht="14.25" customHeight="1" x14ac:dyDescent="0.2">
      <c r="A14" s="89">
        <v>45314</v>
      </c>
      <c r="B14" s="9" t="s">
        <v>11</v>
      </c>
      <c r="C14" s="76" t="s">
        <v>1998</v>
      </c>
      <c r="D14" s="11" t="s">
        <v>29</v>
      </c>
      <c r="E14" s="31"/>
      <c r="F14" s="31">
        <v>945</v>
      </c>
      <c r="G14" s="1"/>
      <c r="H14" s="1"/>
      <c r="I14" s="130"/>
      <c r="J14" s="169"/>
      <c r="K14" s="169"/>
      <c r="L14" s="165"/>
    </row>
    <row r="15" spans="1:12" s="2" customFormat="1" ht="14.25" customHeight="1" x14ac:dyDescent="0.2">
      <c r="A15" s="89">
        <v>45314</v>
      </c>
      <c r="B15" s="9" t="s">
        <v>11</v>
      </c>
      <c r="C15" s="76" t="s">
        <v>1999</v>
      </c>
      <c r="D15" s="11" t="s">
        <v>29</v>
      </c>
      <c r="E15" s="31"/>
      <c r="F15" s="31">
        <v>5192</v>
      </c>
      <c r="G15" s="1"/>
      <c r="H15" s="1"/>
      <c r="I15" s="130"/>
      <c r="J15" s="169"/>
      <c r="K15" s="169"/>
      <c r="L15" s="165"/>
    </row>
    <row r="16" spans="1:12" s="2" customFormat="1" ht="14.25" customHeight="1" x14ac:dyDescent="0.2">
      <c r="A16" s="89">
        <v>45314</v>
      </c>
      <c r="B16" s="9" t="s">
        <v>11</v>
      </c>
      <c r="C16" s="76" t="s">
        <v>353</v>
      </c>
      <c r="D16" s="11" t="s">
        <v>29</v>
      </c>
      <c r="E16" s="31"/>
      <c r="F16" s="31">
        <v>15900</v>
      </c>
      <c r="G16" s="1"/>
      <c r="H16" s="1"/>
      <c r="I16" s="130"/>
      <c r="J16" s="169"/>
      <c r="K16" s="169"/>
      <c r="L16" s="165"/>
    </row>
    <row r="17" spans="1:14" s="2" customFormat="1" ht="14.25" customHeight="1" x14ac:dyDescent="0.2">
      <c r="A17" s="89">
        <v>45314</v>
      </c>
      <c r="B17" s="9" t="s">
        <v>11</v>
      </c>
      <c r="C17" s="76" t="s">
        <v>2000</v>
      </c>
      <c r="D17" s="11" t="s">
        <v>29</v>
      </c>
      <c r="E17" s="31"/>
      <c r="F17" s="31">
        <v>3186</v>
      </c>
      <c r="G17" s="1"/>
      <c r="H17" s="1"/>
      <c r="I17" s="130"/>
      <c r="J17" s="169"/>
      <c r="K17" s="169"/>
      <c r="L17" s="165"/>
    </row>
    <row r="18" spans="1:14" s="2" customFormat="1" ht="14.25" customHeight="1" x14ac:dyDescent="0.2">
      <c r="A18" s="89">
        <v>45314</v>
      </c>
      <c r="B18" s="9" t="s">
        <v>11</v>
      </c>
      <c r="C18" s="76" t="s">
        <v>62</v>
      </c>
      <c r="D18" s="11" t="s">
        <v>29</v>
      </c>
      <c r="E18" s="31"/>
      <c r="F18" s="31">
        <v>173000</v>
      </c>
      <c r="G18" s="1"/>
      <c r="H18" s="1"/>
      <c r="I18" s="130"/>
      <c r="J18" s="169"/>
      <c r="K18" s="169"/>
      <c r="L18" s="165"/>
    </row>
    <row r="19" spans="1:14" s="2" customFormat="1" ht="14.25" customHeight="1" x14ac:dyDescent="0.2">
      <c r="A19" s="89">
        <v>45314</v>
      </c>
      <c r="B19" s="9" t="s">
        <v>11</v>
      </c>
      <c r="C19" s="76" t="s">
        <v>1035</v>
      </c>
      <c r="D19" s="11" t="s">
        <v>29</v>
      </c>
      <c r="E19" s="31"/>
      <c r="F19" s="31">
        <v>54280</v>
      </c>
      <c r="G19" s="1"/>
      <c r="H19" s="1"/>
      <c r="I19" s="130"/>
      <c r="J19" s="169"/>
      <c r="K19" s="169"/>
      <c r="L19" s="165"/>
    </row>
    <row r="20" spans="1:14" s="2" customFormat="1" ht="14.25" customHeight="1" x14ac:dyDescent="0.2">
      <c r="D20" s="11" t="s">
        <v>8</v>
      </c>
      <c r="E20" s="16">
        <f>SUM(E12:E19)</f>
        <v>0</v>
      </c>
      <c r="F20" s="16">
        <f>SUM(F11:F19)</f>
        <v>29754770.359999999</v>
      </c>
      <c r="G20" s="1"/>
      <c r="H20" s="1"/>
      <c r="I20" s="143"/>
      <c r="J20" s="130"/>
      <c r="K20" s="143"/>
      <c r="L20" s="143"/>
      <c r="M20" s="143"/>
      <c r="N20" s="143"/>
    </row>
    <row r="21" spans="1:14" s="2" customFormat="1" ht="14.25" customHeight="1" x14ac:dyDescent="0.4">
      <c r="A21" s="17"/>
      <c r="B21" s="18"/>
      <c r="C21" s="96" t="s">
        <v>9</v>
      </c>
      <c r="D21" s="20"/>
      <c r="E21" s="21">
        <f>+F20-E20</f>
        <v>29754770.359999999</v>
      </c>
      <c r="G21" s="1"/>
      <c r="H21" s="1"/>
      <c r="J21" s="112"/>
      <c r="K21" s="153" t="s">
        <v>779</v>
      </c>
    </row>
    <row r="22" spans="1:14" s="2" customFormat="1" ht="14.25" customHeight="1" x14ac:dyDescent="0.2">
      <c r="A22" s="17"/>
      <c r="B22" s="28" t="s">
        <v>66</v>
      </c>
      <c r="C22" s="43" t="s">
        <v>1458</v>
      </c>
      <c r="D22" s="43"/>
      <c r="E22" s="12">
        <f>30000000+60000000</f>
        <v>90000000</v>
      </c>
      <c r="F22" s="22"/>
      <c r="G22" s="1"/>
      <c r="H22" s="1"/>
      <c r="J22" s="40">
        <v>29754770.359999999</v>
      </c>
      <c r="K22" s="154">
        <f>J22-E21</f>
        <v>0</v>
      </c>
    </row>
    <row r="23" spans="1:14" s="2" customFormat="1" ht="14.25" customHeight="1" x14ac:dyDescent="0.25">
      <c r="A23" s="36"/>
      <c r="B23" s="28"/>
      <c r="C23" s="44" t="s">
        <v>1541</v>
      </c>
      <c r="D23" s="43"/>
      <c r="E23" s="7">
        <f>+E21+E22</f>
        <v>119754770.36</v>
      </c>
      <c r="F23" s="22"/>
      <c r="G23" s="1"/>
      <c r="H23" s="1"/>
      <c r="I23" s="13" t="s">
        <v>1582</v>
      </c>
      <c r="J23" s="13" t="s">
        <v>1583</v>
      </c>
    </row>
    <row r="24" spans="1:14" s="2" customFormat="1" ht="14.25" customHeight="1" x14ac:dyDescent="0.25">
      <c r="A24" s="36"/>
      <c r="B24" s="28"/>
      <c r="C24" s="44" t="s">
        <v>1511</v>
      </c>
      <c r="D24" s="43"/>
      <c r="E24" s="38">
        <f>+J11+I7-J7</f>
        <v>245229.6400000006</v>
      </c>
      <c r="F24" s="22"/>
      <c r="G24" s="1"/>
      <c r="H24" s="1"/>
      <c r="I24" s="2">
        <v>1455470</v>
      </c>
      <c r="J24" s="2">
        <v>559219</v>
      </c>
      <c r="K24" s="176">
        <f>I24-J24</f>
        <v>896251</v>
      </c>
    </row>
    <row r="25" spans="1:14" s="2" customFormat="1" ht="14.25" customHeight="1" x14ac:dyDescent="0.2">
      <c r="A25" s="24"/>
      <c r="B25" s="1"/>
      <c r="C25" s="14"/>
      <c r="D25" s="25"/>
      <c r="G25" s="1"/>
      <c r="H25" s="1"/>
      <c r="J25" s="130"/>
      <c r="K25" s="130"/>
    </row>
    <row r="26" spans="1:14" s="2" customFormat="1" x14ac:dyDescent="0.2">
      <c r="A26" s="214" t="s">
        <v>10</v>
      </c>
      <c r="B26" s="214"/>
      <c r="C26" s="214"/>
      <c r="D26" s="214"/>
      <c r="E26" s="214"/>
      <c r="F26" s="214"/>
      <c r="G26" s="1"/>
      <c r="H26" s="1"/>
      <c r="I26" s="159"/>
      <c r="J26" s="160">
        <v>100000000</v>
      </c>
      <c r="K26" s="160" t="s">
        <v>1506</v>
      </c>
      <c r="L26" s="70"/>
    </row>
    <row r="27" spans="1:14" s="2" customFormat="1" ht="15" x14ac:dyDescent="0.35">
      <c r="A27" s="26" t="s">
        <v>1</v>
      </c>
      <c r="B27" s="27" t="s">
        <v>2</v>
      </c>
      <c r="C27" s="5"/>
      <c r="D27" s="6" t="s">
        <v>3</v>
      </c>
      <c r="E27" s="7" t="s">
        <v>4</v>
      </c>
      <c r="F27" s="7" t="s">
        <v>5</v>
      </c>
      <c r="G27" s="1"/>
      <c r="H27" s="1"/>
      <c r="I27" s="159"/>
      <c r="J27" s="179">
        <v>80527546.260000005</v>
      </c>
      <c r="K27" s="160" t="s">
        <v>1507</v>
      </c>
      <c r="L27" s="70" t="s">
        <v>1512</v>
      </c>
    </row>
    <row r="28" spans="1:14" s="2" customFormat="1" x14ac:dyDescent="0.2">
      <c r="A28" s="89">
        <v>45314</v>
      </c>
      <c r="B28" s="128" t="s">
        <v>11</v>
      </c>
      <c r="C28" s="29" t="s">
        <v>7</v>
      </c>
      <c r="D28" s="25"/>
      <c r="E28" s="31"/>
      <c r="F28" s="2">
        <v>80775371.74999994</v>
      </c>
      <c r="G28" s="23"/>
      <c r="H28" s="23"/>
      <c r="I28" s="159" t="s">
        <v>1505</v>
      </c>
      <c r="J28" s="160">
        <f>+J26-J27</f>
        <v>19472453.739999995</v>
      </c>
      <c r="K28" s="160"/>
      <c r="L28" s="70"/>
    </row>
    <row r="29" spans="1:14" s="2" customFormat="1" x14ac:dyDescent="0.2">
      <c r="A29" s="89">
        <v>45314</v>
      </c>
      <c r="B29" s="128" t="s">
        <v>6</v>
      </c>
      <c r="C29" s="76" t="s">
        <v>764</v>
      </c>
      <c r="D29" s="11" t="s">
        <v>13</v>
      </c>
      <c r="E29" s="31">
        <v>2508492.77</v>
      </c>
      <c r="G29" s="23"/>
      <c r="H29" s="23"/>
      <c r="I29" s="159"/>
      <c r="J29" s="160"/>
      <c r="K29" s="160"/>
      <c r="L29" s="70"/>
    </row>
    <row r="30" spans="1:14" s="2" customFormat="1" x14ac:dyDescent="0.2">
      <c r="A30" s="89">
        <v>45314</v>
      </c>
      <c r="B30" s="128" t="s">
        <v>6</v>
      </c>
      <c r="C30" s="76" t="s">
        <v>174</v>
      </c>
      <c r="D30" s="11" t="s">
        <v>13</v>
      </c>
      <c r="E30" s="31">
        <v>1614223</v>
      </c>
      <c r="G30" s="23"/>
      <c r="H30" s="23"/>
      <c r="I30" s="159"/>
      <c r="J30" s="160"/>
      <c r="K30" s="160"/>
      <c r="L30" s="70"/>
    </row>
    <row r="31" spans="1:14" s="2" customFormat="1" x14ac:dyDescent="0.2">
      <c r="A31" s="89">
        <v>45314</v>
      </c>
      <c r="B31" s="128" t="s">
        <v>6</v>
      </c>
      <c r="C31" s="76" t="s">
        <v>244</v>
      </c>
      <c r="D31" s="11" t="s">
        <v>13</v>
      </c>
      <c r="E31" s="31">
        <v>435897</v>
      </c>
      <c r="G31" s="23"/>
      <c r="H31" s="23"/>
      <c r="I31" s="159"/>
      <c r="J31" s="160"/>
      <c r="K31" s="160"/>
      <c r="L31" s="70"/>
    </row>
    <row r="32" spans="1:14" s="2" customFormat="1" x14ac:dyDescent="0.2">
      <c r="A32" s="89">
        <v>45314</v>
      </c>
      <c r="B32" s="128" t="s">
        <v>6</v>
      </c>
      <c r="C32" s="76" t="s">
        <v>149</v>
      </c>
      <c r="D32" s="11" t="s">
        <v>13</v>
      </c>
      <c r="E32" s="31">
        <v>261784</v>
      </c>
      <c r="G32" s="23"/>
      <c r="H32" s="23"/>
      <c r="I32" s="159"/>
      <c r="J32" s="160"/>
      <c r="K32" s="160"/>
      <c r="L32" s="70"/>
    </row>
    <row r="33" spans="1:12" s="2" customFormat="1" x14ac:dyDescent="0.2">
      <c r="A33" s="89">
        <v>45314</v>
      </c>
      <c r="B33" s="128" t="s">
        <v>6</v>
      </c>
      <c r="C33" s="76" t="s">
        <v>503</v>
      </c>
      <c r="D33" s="11" t="s">
        <v>13</v>
      </c>
      <c r="E33" s="31">
        <v>47372.84</v>
      </c>
      <c r="G33" s="23"/>
      <c r="H33" s="23"/>
      <c r="I33" s="159"/>
      <c r="J33" s="160"/>
      <c r="K33" s="160"/>
      <c r="L33" s="70"/>
    </row>
    <row r="34" spans="1:12" s="2" customFormat="1" x14ac:dyDescent="0.2">
      <c r="A34" s="89">
        <v>45314</v>
      </c>
      <c r="B34" s="128" t="s">
        <v>6</v>
      </c>
      <c r="C34" s="76" t="s">
        <v>1958</v>
      </c>
      <c r="D34" s="11" t="s">
        <v>13</v>
      </c>
      <c r="E34" s="31">
        <v>91193</v>
      </c>
      <c r="G34" s="23"/>
      <c r="H34" s="23"/>
      <c r="I34" s="159"/>
      <c r="J34" s="160"/>
      <c r="K34" s="160"/>
      <c r="L34" s="70"/>
    </row>
    <row r="35" spans="1:12" s="2" customFormat="1" x14ac:dyDescent="0.2">
      <c r="A35" s="89">
        <v>45314</v>
      </c>
      <c r="B35" s="128" t="s">
        <v>6</v>
      </c>
      <c r="C35" s="76" t="s">
        <v>22</v>
      </c>
      <c r="D35" s="11" t="s">
        <v>13</v>
      </c>
      <c r="E35" s="31">
        <v>72082.460000000006</v>
      </c>
      <c r="G35" s="23"/>
      <c r="H35" s="23"/>
      <c r="I35" s="159"/>
      <c r="J35" s="160"/>
      <c r="K35" s="160"/>
      <c r="L35" s="70"/>
    </row>
    <row r="36" spans="1:12" s="2" customFormat="1" x14ac:dyDescent="0.2">
      <c r="A36" s="89">
        <v>45314</v>
      </c>
      <c r="B36" s="128" t="s">
        <v>6</v>
      </c>
      <c r="C36" s="76" t="s">
        <v>560</v>
      </c>
      <c r="D36" s="11" t="s">
        <v>13</v>
      </c>
      <c r="E36" s="31">
        <v>7204.22</v>
      </c>
      <c r="G36" s="23"/>
      <c r="H36" s="23"/>
      <c r="I36" s="159"/>
      <c r="J36" s="160"/>
      <c r="K36" s="160"/>
      <c r="L36" s="70"/>
    </row>
    <row r="37" spans="1:12" s="2" customFormat="1" x14ac:dyDescent="0.2">
      <c r="A37" s="89">
        <v>45314</v>
      </c>
      <c r="B37" s="128" t="s">
        <v>6</v>
      </c>
      <c r="C37" s="76" t="s">
        <v>2001</v>
      </c>
      <c r="D37" s="11" t="s">
        <v>13</v>
      </c>
      <c r="E37" s="31">
        <v>241851.36</v>
      </c>
      <c r="G37" s="23"/>
      <c r="H37" s="23"/>
      <c r="I37" s="159"/>
      <c r="J37" s="160"/>
      <c r="K37" s="160"/>
      <c r="L37" s="70"/>
    </row>
    <row r="38" spans="1:12" s="2" customFormat="1" x14ac:dyDescent="0.2">
      <c r="A38" s="89">
        <v>45314</v>
      </c>
      <c r="B38" s="128" t="s">
        <v>6</v>
      </c>
      <c r="C38" s="76" t="s">
        <v>1351</v>
      </c>
      <c r="D38" s="11" t="s">
        <v>13</v>
      </c>
      <c r="E38" s="31">
        <v>19805.43</v>
      </c>
      <c r="G38" s="23"/>
      <c r="H38" s="23"/>
      <c r="I38" s="159"/>
      <c r="J38" s="160"/>
      <c r="K38" s="160"/>
      <c r="L38" s="70"/>
    </row>
    <row r="39" spans="1:12" s="2" customFormat="1" x14ac:dyDescent="0.2">
      <c r="A39" s="89">
        <v>45314</v>
      </c>
      <c r="B39" s="128" t="s">
        <v>6</v>
      </c>
      <c r="C39" s="76" t="s">
        <v>266</v>
      </c>
      <c r="D39" s="11" t="s">
        <v>13</v>
      </c>
      <c r="E39" s="31">
        <v>64354</v>
      </c>
      <c r="G39" s="23"/>
      <c r="H39" s="23"/>
      <c r="I39" s="159"/>
      <c r="J39" s="160"/>
      <c r="K39" s="160"/>
      <c r="L39" s="70"/>
    </row>
    <row r="40" spans="1:12" s="2" customFormat="1" x14ac:dyDescent="0.2">
      <c r="A40" s="89">
        <v>45314</v>
      </c>
      <c r="B40" s="128" t="s">
        <v>6</v>
      </c>
      <c r="C40" s="76" t="s">
        <v>283</v>
      </c>
      <c r="D40" s="11" t="s">
        <v>13</v>
      </c>
      <c r="E40" s="31">
        <v>6371755</v>
      </c>
      <c r="G40" s="23"/>
      <c r="H40" s="23"/>
      <c r="I40" s="159"/>
      <c r="J40" s="160"/>
      <c r="K40" s="160"/>
      <c r="L40" s="70"/>
    </row>
    <row r="41" spans="1:12" s="2" customFormat="1" x14ac:dyDescent="0.2">
      <c r="A41" s="89">
        <v>45314</v>
      </c>
      <c r="B41" s="128" t="s">
        <v>6</v>
      </c>
      <c r="C41" s="76" t="s">
        <v>15</v>
      </c>
      <c r="D41" s="11" t="s">
        <v>13</v>
      </c>
      <c r="E41" s="31">
        <v>3179.4</v>
      </c>
      <c r="G41" s="23"/>
      <c r="H41" s="23"/>
      <c r="I41" s="159"/>
      <c r="J41" s="160"/>
      <c r="K41" s="160"/>
      <c r="L41" s="70"/>
    </row>
    <row r="42" spans="1:12" s="2" customFormat="1" x14ac:dyDescent="0.2">
      <c r="A42" s="89">
        <v>45314</v>
      </c>
      <c r="B42" s="128" t="s">
        <v>11</v>
      </c>
      <c r="C42" s="76" t="s">
        <v>64</v>
      </c>
      <c r="D42" s="11" t="s">
        <v>29</v>
      </c>
      <c r="E42" s="31"/>
      <c r="F42" s="2">
        <v>25051.940000000002</v>
      </c>
      <c r="G42" s="23"/>
      <c r="H42" s="23"/>
      <c r="I42" s="159"/>
      <c r="J42" s="160"/>
      <c r="K42" s="160"/>
      <c r="L42" s="70"/>
    </row>
    <row r="43" spans="1:12" s="2" customFormat="1" x14ac:dyDescent="0.2">
      <c r="A43" s="89">
        <v>45314</v>
      </c>
      <c r="B43" s="128" t="s">
        <v>11</v>
      </c>
      <c r="C43" s="76" t="s">
        <v>15</v>
      </c>
      <c r="D43" s="11" t="s">
        <v>29</v>
      </c>
      <c r="E43" s="31"/>
      <c r="F43" s="2">
        <v>23537.07</v>
      </c>
      <c r="G43" s="23"/>
      <c r="H43" s="23"/>
      <c r="I43" s="159"/>
      <c r="J43" s="160"/>
      <c r="K43" s="160"/>
      <c r="L43" s="70"/>
    </row>
    <row r="44" spans="1:12" s="2" customFormat="1" x14ac:dyDescent="0.2">
      <c r="A44" s="89">
        <v>45314</v>
      </c>
      <c r="B44" s="128" t="s">
        <v>11</v>
      </c>
      <c r="C44" s="76" t="s">
        <v>156</v>
      </c>
      <c r="D44" s="11" t="s">
        <v>29</v>
      </c>
      <c r="E44" s="31"/>
      <c r="F44" s="2">
        <v>0.18</v>
      </c>
      <c r="G44" s="23"/>
      <c r="H44" s="23"/>
      <c r="I44" s="159"/>
      <c r="J44" s="160"/>
      <c r="K44" s="160"/>
      <c r="L44" s="70"/>
    </row>
    <row r="45" spans="1:12" s="2" customFormat="1" x14ac:dyDescent="0.2">
      <c r="A45" s="89">
        <v>45314</v>
      </c>
      <c r="B45" s="128" t="s">
        <v>11</v>
      </c>
      <c r="C45" s="76" t="s">
        <v>1734</v>
      </c>
      <c r="D45" s="11" t="s">
        <v>29</v>
      </c>
      <c r="E45" s="31"/>
      <c r="F45" s="2">
        <v>512571</v>
      </c>
      <c r="G45" s="23"/>
      <c r="H45" s="23"/>
      <c r="I45" s="159"/>
      <c r="J45" s="160"/>
      <c r="K45" s="160"/>
      <c r="L45" s="70"/>
    </row>
    <row r="46" spans="1:12" s="2" customFormat="1" x14ac:dyDescent="0.2">
      <c r="A46" s="89">
        <v>45314</v>
      </c>
      <c r="B46" s="128" t="s">
        <v>11</v>
      </c>
      <c r="C46" s="76" t="s">
        <v>127</v>
      </c>
      <c r="D46" s="11" t="s">
        <v>29</v>
      </c>
      <c r="E46" s="31"/>
      <c r="F46" s="2">
        <v>1123356</v>
      </c>
      <c r="G46" s="23"/>
      <c r="H46" s="23"/>
      <c r="I46" s="159"/>
      <c r="J46" s="160"/>
      <c r="K46" s="160"/>
      <c r="L46" s="70"/>
    </row>
    <row r="47" spans="1:12" s="2" customFormat="1" x14ac:dyDescent="0.2">
      <c r="A47" s="89">
        <v>45314</v>
      </c>
      <c r="B47" s="128" t="s">
        <v>11</v>
      </c>
      <c r="C47" s="76" t="s">
        <v>123</v>
      </c>
      <c r="D47" s="11" t="s">
        <v>29</v>
      </c>
      <c r="E47" s="31"/>
      <c r="F47" s="2">
        <v>430809</v>
      </c>
      <c r="G47" s="23"/>
      <c r="H47" s="23"/>
      <c r="I47" s="159"/>
      <c r="J47" s="160"/>
      <c r="K47" s="160"/>
      <c r="L47" s="70"/>
    </row>
    <row r="48" spans="1:12" s="2" customFormat="1" x14ac:dyDescent="0.2">
      <c r="A48" s="89">
        <v>45314</v>
      </c>
      <c r="B48" s="128" t="s">
        <v>11</v>
      </c>
      <c r="C48" s="76" t="s">
        <v>1746</v>
      </c>
      <c r="D48" s="11" t="s">
        <v>29</v>
      </c>
      <c r="E48" s="31"/>
      <c r="F48" s="2">
        <v>275218</v>
      </c>
      <c r="G48" s="23"/>
      <c r="H48" s="23"/>
      <c r="I48" s="159"/>
      <c r="J48" s="160"/>
      <c r="K48" s="160"/>
      <c r="L48" s="70"/>
    </row>
    <row r="49" spans="1:15" s="2" customFormat="1" x14ac:dyDescent="0.2">
      <c r="A49" s="89">
        <v>45314</v>
      </c>
      <c r="B49" s="128" t="s">
        <v>11</v>
      </c>
      <c r="C49" s="76" t="s">
        <v>314</v>
      </c>
      <c r="D49" s="11" t="s">
        <v>29</v>
      </c>
      <c r="E49" s="31"/>
      <c r="F49" s="2">
        <v>193777.8</v>
      </c>
      <c r="G49" s="23"/>
      <c r="H49" s="23"/>
      <c r="I49" s="159"/>
      <c r="J49" s="160"/>
      <c r="K49" s="160"/>
      <c r="L49" s="70"/>
    </row>
    <row r="50" spans="1:15" s="2" customFormat="1" x14ac:dyDescent="0.2">
      <c r="A50" s="89">
        <v>45314</v>
      </c>
      <c r="B50" s="128" t="s">
        <v>11</v>
      </c>
      <c r="C50" s="76" t="s">
        <v>1299</v>
      </c>
      <c r="D50" s="11" t="s">
        <v>29</v>
      </c>
      <c r="E50" s="31"/>
      <c r="F50" s="2">
        <v>355595</v>
      </c>
      <c r="G50" s="23"/>
      <c r="H50" s="23"/>
      <c r="I50" s="159"/>
      <c r="J50" s="160"/>
      <c r="K50" s="160"/>
      <c r="L50" s="70"/>
    </row>
    <row r="51" spans="1:15" s="2" customFormat="1" x14ac:dyDescent="0.2">
      <c r="A51" s="89">
        <v>45314</v>
      </c>
      <c r="B51" s="128" t="s">
        <v>11</v>
      </c>
      <c r="C51" s="76" t="s">
        <v>1404</v>
      </c>
      <c r="D51" s="11" t="s">
        <v>29</v>
      </c>
      <c r="E51" s="31"/>
      <c r="F51" s="2">
        <v>78242</v>
      </c>
      <c r="G51" s="23"/>
      <c r="H51" s="23"/>
      <c r="I51" s="159"/>
      <c r="J51" s="160"/>
      <c r="K51" s="160"/>
      <c r="L51" s="70"/>
    </row>
    <row r="52" spans="1:15" s="2" customFormat="1" x14ac:dyDescent="0.2">
      <c r="A52" s="89">
        <v>45314</v>
      </c>
      <c r="B52" s="128" t="s">
        <v>11</v>
      </c>
      <c r="C52" s="76" t="s">
        <v>443</v>
      </c>
      <c r="D52" s="11" t="s">
        <v>29</v>
      </c>
      <c r="E52" s="31"/>
      <c r="F52" s="2">
        <v>7000000</v>
      </c>
      <c r="G52" s="23"/>
      <c r="H52" s="23"/>
      <c r="I52" s="159"/>
      <c r="J52" s="160"/>
      <c r="K52" s="160"/>
      <c r="L52" s="70"/>
    </row>
    <row r="53" spans="1:15" s="2" customFormat="1" x14ac:dyDescent="0.2">
      <c r="A53" s="89">
        <v>45314</v>
      </c>
      <c r="B53" s="128" t="s">
        <v>11</v>
      </c>
      <c r="C53" s="76" t="s">
        <v>496</v>
      </c>
      <c r="D53" s="11" t="s">
        <v>29</v>
      </c>
      <c r="E53" s="31"/>
      <c r="F53" s="2">
        <v>368160</v>
      </c>
      <c r="G53" s="23"/>
      <c r="H53" s="23"/>
      <c r="I53" s="159"/>
      <c r="J53" s="160"/>
      <c r="K53" s="160"/>
      <c r="L53" s="70"/>
    </row>
    <row r="54" spans="1:15" s="2" customFormat="1" x14ac:dyDescent="0.2">
      <c r="A54" s="89">
        <v>45314</v>
      </c>
      <c r="B54" s="128" t="s">
        <v>11</v>
      </c>
      <c r="C54" s="76" t="s">
        <v>1379</v>
      </c>
      <c r="D54" s="11" t="s">
        <v>29</v>
      </c>
      <c r="E54" s="31"/>
      <c r="F54" s="2">
        <v>144000</v>
      </c>
      <c r="G54" s="23"/>
      <c r="H54" s="23"/>
      <c r="I54" s="159"/>
      <c r="J54" s="160"/>
      <c r="K54" s="160"/>
      <c r="L54" s="70"/>
    </row>
    <row r="55" spans="1:15" s="2" customFormat="1" x14ac:dyDescent="0.2">
      <c r="A55" s="89">
        <v>45314</v>
      </c>
      <c r="B55" s="128" t="s">
        <v>11</v>
      </c>
      <c r="C55" s="76" t="s">
        <v>1380</v>
      </c>
      <c r="D55" s="11" t="s">
        <v>29</v>
      </c>
      <c r="E55" s="31"/>
      <c r="F55" s="2">
        <v>64800</v>
      </c>
      <c r="G55" s="23"/>
      <c r="H55" s="23"/>
      <c r="I55" s="159"/>
      <c r="J55" s="160"/>
      <c r="K55" s="160"/>
      <c r="L55" s="70"/>
    </row>
    <row r="56" spans="1:15" s="2" customFormat="1" x14ac:dyDescent="0.2">
      <c r="A56" s="32"/>
      <c r="B56" s="33"/>
      <c r="C56" s="14"/>
      <c r="D56" s="34"/>
      <c r="E56" s="16">
        <f>SUM(E28:E55)</f>
        <v>11739194.479999999</v>
      </c>
      <c r="F56" s="16">
        <f>SUM(F28:F55)</f>
        <v>91370489.739999935</v>
      </c>
      <c r="G56" s="1"/>
      <c r="H56" s="1"/>
      <c r="I56" s="1"/>
      <c r="J56" s="38">
        <v>79631295.260000005</v>
      </c>
      <c r="L56" s="92">
        <f>E57-J56</f>
        <v>0</v>
      </c>
      <c r="O56" s="1"/>
    </row>
    <row r="57" spans="1:15" s="2" customFormat="1" x14ac:dyDescent="0.2">
      <c r="A57" s="36"/>
      <c r="B57" s="28" t="s">
        <v>11</v>
      </c>
      <c r="C57" s="19" t="s">
        <v>65</v>
      </c>
      <c r="D57" s="37"/>
      <c r="E57" s="38">
        <f>F56-E56</f>
        <v>79631295.259999931</v>
      </c>
      <c r="F57" s="22"/>
      <c r="G57" s="1"/>
      <c r="H57" s="1"/>
      <c r="I57" s="1"/>
      <c r="J57" s="70"/>
      <c r="K57" s="70"/>
      <c r="L57" s="70"/>
      <c r="O57" s="1"/>
    </row>
    <row r="58" spans="1:15" s="2" customFormat="1" x14ac:dyDescent="0.2">
      <c r="A58" s="36"/>
      <c r="B58" s="28" t="s">
        <v>66</v>
      </c>
      <c r="C58" s="19" t="s">
        <v>67</v>
      </c>
      <c r="D58" s="37"/>
      <c r="E58" s="38">
        <v>11500000</v>
      </c>
      <c r="F58" s="22"/>
      <c r="G58" s="1"/>
      <c r="H58" s="1"/>
      <c r="I58" s="70"/>
      <c r="J58" s="70"/>
      <c r="K58" s="70"/>
      <c r="L58" s="70"/>
      <c r="O58" s="1"/>
    </row>
    <row r="59" spans="1:15" s="2" customFormat="1" x14ac:dyDescent="0.2">
      <c r="A59" s="36"/>
      <c r="B59" s="28" t="s">
        <v>66</v>
      </c>
      <c r="C59" s="43" t="s">
        <v>1457</v>
      </c>
      <c r="D59" s="43"/>
      <c r="E59" s="12">
        <v>400000000</v>
      </c>
      <c r="F59" s="22"/>
      <c r="G59" s="1"/>
      <c r="H59" s="1"/>
      <c r="I59" s="70"/>
      <c r="J59" s="45">
        <v>1226.48</v>
      </c>
      <c r="K59" s="46"/>
      <c r="L59" s="46"/>
      <c r="O59" s="1"/>
    </row>
    <row r="60" spans="1:15" s="2" customFormat="1" ht="15" x14ac:dyDescent="0.25">
      <c r="A60" s="36"/>
      <c r="B60" s="28"/>
      <c r="C60" s="44" t="s">
        <v>1541</v>
      </c>
      <c r="D60" s="43"/>
      <c r="E60" s="7">
        <f>+E59+E57+E58</f>
        <v>491131295.25999993</v>
      </c>
      <c r="F60" s="22"/>
      <c r="G60" s="1"/>
      <c r="H60" s="1"/>
      <c r="I60" s="103" t="s">
        <v>69</v>
      </c>
      <c r="J60" s="45">
        <v>-59.07</v>
      </c>
      <c r="K60" s="46"/>
      <c r="L60" s="46"/>
      <c r="O60" s="1"/>
    </row>
    <row r="61" spans="1:15" s="2" customFormat="1" ht="15" x14ac:dyDescent="0.25">
      <c r="A61" s="24"/>
      <c r="B61" s="1"/>
      <c r="C61" s="44" t="s">
        <v>1510</v>
      </c>
      <c r="D61" s="25"/>
      <c r="E61" s="156">
        <f>+J28-E58+I24-J24</f>
        <v>8868704.7399999946</v>
      </c>
      <c r="G61" s="1"/>
      <c r="H61" s="1"/>
      <c r="I61" s="35">
        <v>1</v>
      </c>
      <c r="J61" s="45">
        <v>29.99</v>
      </c>
      <c r="K61" s="46">
        <f>+J62-D64</f>
        <v>0</v>
      </c>
      <c r="O61" s="1"/>
    </row>
    <row r="62" spans="1:15" s="124" customFormat="1" ht="12.75" customHeight="1" x14ac:dyDescent="0.2">
      <c r="A62" s="24"/>
      <c r="B62" s="1"/>
      <c r="C62" s="56"/>
      <c r="D62" s="56"/>
      <c r="E62" s="104"/>
      <c r="F62" s="2"/>
      <c r="G62" s="166"/>
      <c r="H62" s="166"/>
      <c r="I62" s="70"/>
      <c r="J62" s="49">
        <f>SUM(J59:J61)</f>
        <v>1197.4000000000001</v>
      </c>
      <c r="K62" s="46"/>
      <c r="L62" s="46"/>
    </row>
    <row r="63" spans="1:15" s="124" customFormat="1" ht="12.75" customHeight="1" x14ac:dyDescent="0.2">
      <c r="A63" s="24"/>
      <c r="B63" s="1"/>
      <c r="C63" s="78" t="s">
        <v>575</v>
      </c>
      <c r="D63" s="48" t="s">
        <v>576</v>
      </c>
      <c r="E63" s="104"/>
      <c r="F63" s="2"/>
      <c r="G63" s="168"/>
      <c r="H63" s="168"/>
      <c r="I63" s="167"/>
      <c r="J63" s="167"/>
      <c r="K63" s="168"/>
    </row>
    <row r="64" spans="1:15" s="124" customFormat="1" ht="12.75" customHeight="1" x14ac:dyDescent="0.2">
      <c r="A64" s="24"/>
      <c r="B64" s="1"/>
      <c r="C64" s="47" t="s">
        <v>570</v>
      </c>
      <c r="D64" s="111">
        <v>1197.4000000000001</v>
      </c>
      <c r="E64" s="104"/>
      <c r="F64" s="2"/>
      <c r="G64" s="168"/>
      <c r="H64" s="168"/>
      <c r="I64" s="110" t="s">
        <v>581</v>
      </c>
      <c r="J64" s="167"/>
      <c r="K64" s="168"/>
    </row>
    <row r="65" spans="1:14" s="124" customFormat="1" ht="12.75" customHeight="1" x14ac:dyDescent="0.2">
      <c r="A65" s="24"/>
      <c r="B65" s="1"/>
      <c r="C65" s="47" t="s">
        <v>931</v>
      </c>
      <c r="D65" s="111">
        <v>189.7</v>
      </c>
      <c r="E65" s="104"/>
      <c r="F65" s="2"/>
      <c r="G65" s="168"/>
      <c r="H65" s="168"/>
      <c r="I65" s="110" t="s">
        <v>580</v>
      </c>
      <c r="J65" s="167"/>
      <c r="K65" s="168"/>
    </row>
    <row r="66" spans="1:14" s="124" customFormat="1" ht="12.75" customHeight="1" x14ac:dyDescent="0.2">
      <c r="A66" s="24"/>
      <c r="B66" s="1"/>
      <c r="C66" s="47" t="s">
        <v>572</v>
      </c>
      <c r="D66" s="111">
        <f>+D107/100000</f>
        <v>656.82432740000002</v>
      </c>
      <c r="E66" s="104"/>
      <c r="F66" s="2"/>
      <c r="G66" s="166"/>
      <c r="H66" s="166"/>
      <c r="I66" s="90" t="s">
        <v>587</v>
      </c>
      <c r="J66" s="167"/>
      <c r="K66" s="168"/>
    </row>
    <row r="67" spans="1:14" s="2" customFormat="1" x14ac:dyDescent="0.2">
      <c r="A67" s="24"/>
      <c r="B67" s="1"/>
      <c r="C67" s="108" t="s">
        <v>578</v>
      </c>
      <c r="D67" s="48">
        <f>SUM(D64:D66)</f>
        <v>2043.9243274</v>
      </c>
      <c r="E67" s="104"/>
      <c r="G67" s="30"/>
      <c r="H67" s="30"/>
      <c r="J67" s="13"/>
      <c r="K67" s="13"/>
    </row>
    <row r="68" spans="1:14" s="70" customFormat="1" x14ac:dyDescent="0.2">
      <c r="A68" s="24"/>
      <c r="B68" s="1"/>
      <c r="C68" s="47"/>
      <c r="D68" s="107"/>
      <c r="E68" s="104"/>
      <c r="F68" s="2"/>
      <c r="G68" s="30"/>
      <c r="H68" s="30"/>
      <c r="I68" s="2"/>
    </row>
    <row r="69" spans="1:14" s="70" customFormat="1" x14ac:dyDescent="0.2">
      <c r="A69" s="24"/>
      <c r="B69" s="1"/>
      <c r="C69" s="47" t="s">
        <v>932</v>
      </c>
      <c r="D69" s="111">
        <v>401.63</v>
      </c>
      <c r="E69" s="104"/>
      <c r="F69" s="2"/>
      <c r="G69" s="30"/>
      <c r="H69" s="30"/>
      <c r="I69" s="110" t="s">
        <v>581</v>
      </c>
    </row>
    <row r="70" spans="1:14" s="70" customFormat="1" x14ac:dyDescent="0.2">
      <c r="A70" s="24"/>
      <c r="B70" s="1"/>
      <c r="C70" s="136" t="s">
        <v>1142</v>
      </c>
      <c r="D70" s="111">
        <v>990.85</v>
      </c>
      <c r="E70" s="104"/>
      <c r="F70" s="2"/>
      <c r="G70" s="30"/>
      <c r="H70" s="30"/>
      <c r="I70" s="110" t="s">
        <v>581</v>
      </c>
    </row>
    <row r="71" spans="1:14" s="70" customFormat="1" x14ac:dyDescent="0.2">
      <c r="A71" s="24"/>
      <c r="B71" s="1"/>
      <c r="C71" s="78" t="s">
        <v>579</v>
      </c>
      <c r="D71" s="109">
        <f>D69+D70</f>
        <v>1392.48</v>
      </c>
      <c r="E71" s="104"/>
      <c r="F71" s="2"/>
      <c r="G71" s="30"/>
      <c r="H71" s="30"/>
    </row>
    <row r="72" spans="1:14" s="70" customFormat="1" x14ac:dyDescent="0.2">
      <c r="A72" s="24"/>
      <c r="B72" s="1"/>
      <c r="C72" s="105"/>
      <c r="D72" s="106"/>
      <c r="E72" s="104"/>
      <c r="F72" s="2"/>
      <c r="G72" s="30"/>
      <c r="H72" s="30"/>
      <c r="J72" s="2"/>
      <c r="K72" s="221" t="str">
        <f>"FROM ( 01-01-2024 to "&amp;TEXT(A5,"dd-mm-yyyy")&amp;" )"</f>
        <v>FROM ( 01-01-2024 to 23-01-2024 )</v>
      </c>
      <c r="L72" s="221"/>
      <c r="M72" s="2"/>
      <c r="N72" s="2"/>
    </row>
    <row r="73" spans="1:14" s="70" customFormat="1" x14ac:dyDescent="0.2">
      <c r="A73" s="24"/>
      <c r="B73" s="1"/>
      <c r="C73" s="78" t="s">
        <v>577</v>
      </c>
      <c r="D73" s="109">
        <f>D64+D71</f>
        <v>2589.88</v>
      </c>
      <c r="E73" s="104"/>
      <c r="F73" s="2"/>
      <c r="G73" s="30"/>
      <c r="H73" s="30"/>
      <c r="J73" s="113"/>
      <c r="K73" s="113" t="s">
        <v>709</v>
      </c>
      <c r="L73" s="113" t="s">
        <v>710</v>
      </c>
      <c r="M73" s="113" t="s">
        <v>711</v>
      </c>
      <c r="N73" s="113" t="s">
        <v>712</v>
      </c>
    </row>
    <row r="74" spans="1:14" s="70" customFormat="1" x14ac:dyDescent="0.2">
      <c r="A74" s="24"/>
      <c r="B74" s="1"/>
      <c r="C74" s="56"/>
      <c r="D74" s="56"/>
      <c r="E74" s="104"/>
      <c r="F74" s="2"/>
      <c r="G74" s="30"/>
      <c r="H74" s="30"/>
      <c r="J74" s="113" t="s">
        <v>1860</v>
      </c>
      <c r="K74" s="115">
        <v>189.89</v>
      </c>
      <c r="L74" s="115">
        <v>56.31</v>
      </c>
      <c r="M74" s="115">
        <v>58.41</v>
      </c>
      <c r="N74" s="113">
        <f>+K74+M74-L74</f>
        <v>191.98999999999998</v>
      </c>
    </row>
    <row r="75" spans="1:14" s="70" customFormat="1" ht="38.25" x14ac:dyDescent="0.2">
      <c r="A75" s="24"/>
      <c r="B75" s="1"/>
      <c r="C75" s="79" t="str">
        <f>"Particulars ( 01-01-2024 to "&amp;TEXT(A5,"dd-mm-yyyy")&amp;" )"</f>
        <v>Particulars ( 01-01-2024 to 23-01-2024 )</v>
      </c>
      <c r="D75" s="79" t="s">
        <v>7</v>
      </c>
      <c r="E75" s="80" t="s">
        <v>73</v>
      </c>
      <c r="F75" s="80" t="s">
        <v>74</v>
      </c>
      <c r="G75" s="81" t="s">
        <v>75</v>
      </c>
      <c r="H75" s="80" t="s">
        <v>76</v>
      </c>
      <c r="J75" s="113" t="s">
        <v>1861</v>
      </c>
      <c r="K75" s="115">
        <v>1668.25</v>
      </c>
      <c r="L75" s="115">
        <v>656.82</v>
      </c>
      <c r="M75" s="115">
        <v>988.75</v>
      </c>
      <c r="N75" s="113">
        <f>+K75+M75-L75</f>
        <v>2000.1799999999998</v>
      </c>
    </row>
    <row r="76" spans="1:14" s="70" customFormat="1" x14ac:dyDescent="0.2">
      <c r="A76" s="24"/>
      <c r="B76" s="1"/>
      <c r="C76" s="50" t="s">
        <v>444</v>
      </c>
      <c r="D76" s="55">
        <f>+K76</f>
        <v>140.88</v>
      </c>
      <c r="E76" s="55">
        <f>+M76</f>
        <v>401.63</v>
      </c>
      <c r="F76" s="55">
        <f>+L76</f>
        <v>189.7</v>
      </c>
      <c r="G76" s="55">
        <f>+D76+E76-F76</f>
        <v>352.81</v>
      </c>
      <c r="H76" s="55">
        <f>1500-G76</f>
        <v>1147.19</v>
      </c>
      <c r="J76" s="113" t="s">
        <v>707</v>
      </c>
      <c r="K76" s="115">
        <v>140.88</v>
      </c>
      <c r="L76" s="115">
        <v>189.7</v>
      </c>
      <c r="M76" s="115">
        <v>401.63</v>
      </c>
      <c r="N76" s="113">
        <f>+K76+M76-L76</f>
        <v>352.81</v>
      </c>
    </row>
    <row r="77" spans="1:14" s="70" customFormat="1" ht="12.75" customHeight="1" x14ac:dyDescent="0.2">
      <c r="A77" s="24"/>
      <c r="B77" s="1"/>
      <c r="C77" s="50" t="s">
        <v>71</v>
      </c>
      <c r="D77" s="55">
        <f>+K74+K75</f>
        <v>1858.1399999999999</v>
      </c>
      <c r="E77" s="55">
        <f>+M74+M75</f>
        <v>1047.1600000000001</v>
      </c>
      <c r="F77" s="55">
        <f>+L74+L75</f>
        <v>713.13000000000011</v>
      </c>
      <c r="G77" s="55">
        <f>+D77+E77-F77</f>
        <v>2192.17</v>
      </c>
      <c r="H77" s="55">
        <f>1500+700+200-G77</f>
        <v>207.82999999999993</v>
      </c>
      <c r="J77" s="2"/>
      <c r="K77" s="118">
        <f>SUM(K74:K76)</f>
        <v>1999.02</v>
      </c>
      <c r="L77" s="118">
        <f>SUM(L74:L76)</f>
        <v>902.83000000000015</v>
      </c>
      <c r="M77" s="118">
        <f>SUM(M74:M76)</f>
        <v>1448.79</v>
      </c>
      <c r="N77" s="118">
        <f>SUM(N74:N76)</f>
        <v>2544.9799999999996</v>
      </c>
    </row>
    <row r="78" spans="1:14" s="70" customFormat="1" ht="12.75" customHeight="1" x14ac:dyDescent="0.2">
      <c r="A78" s="24"/>
      <c r="B78" s="1"/>
      <c r="C78" s="14"/>
      <c r="D78" s="56"/>
      <c r="E78" s="13"/>
      <c r="F78" s="2"/>
      <c r="G78" s="30"/>
      <c r="H78" s="30"/>
    </row>
    <row r="79" spans="1:14" s="70" customFormat="1" ht="12.75" customHeight="1" x14ac:dyDescent="0.2">
      <c r="A79" s="215" t="s">
        <v>80</v>
      </c>
      <c r="B79" s="216"/>
      <c r="C79" s="216"/>
      <c r="D79" s="217"/>
      <c r="E79" s="69"/>
      <c r="G79" s="30"/>
      <c r="H79" s="30"/>
    </row>
    <row r="80" spans="1:14" s="70" customFormat="1" ht="12.75" customHeight="1" x14ac:dyDescent="0.2">
      <c r="A80" s="71" t="s">
        <v>81</v>
      </c>
      <c r="B80" s="71"/>
      <c r="C80" s="72" t="s">
        <v>82</v>
      </c>
      <c r="D80" s="73" t="s">
        <v>83</v>
      </c>
      <c r="E80" s="69"/>
      <c r="G80" s="30"/>
      <c r="H80" s="30"/>
    </row>
    <row r="81" spans="1:15" s="70" customFormat="1" ht="12.75" customHeight="1" x14ac:dyDescent="0.2">
      <c r="A81" s="87">
        <v>45292</v>
      </c>
      <c r="B81" s="120" t="s">
        <v>6</v>
      </c>
      <c r="C81" s="75" t="s">
        <v>1933</v>
      </c>
      <c r="D81" s="88">
        <v>7583470</v>
      </c>
      <c r="E81" s="2"/>
      <c r="F81" s="2"/>
      <c r="G81" s="30"/>
      <c r="H81" s="30"/>
      <c r="I81" s="2"/>
      <c r="J81" s="2"/>
      <c r="K81" s="2"/>
      <c r="L81" s="2"/>
      <c r="M81" s="41"/>
      <c r="N81" s="42"/>
      <c r="O81" s="2"/>
    </row>
    <row r="82" spans="1:15" s="70" customFormat="1" ht="12.75" customHeight="1" x14ac:dyDescent="0.2">
      <c r="A82" s="87">
        <v>45293</v>
      </c>
      <c r="B82" s="120" t="s">
        <v>6</v>
      </c>
      <c r="C82" s="75" t="s">
        <v>1934</v>
      </c>
      <c r="D82" s="88">
        <v>124988</v>
      </c>
      <c r="E82" s="2"/>
      <c r="F82" s="2"/>
      <c r="G82" s="30"/>
      <c r="H82" s="30"/>
      <c r="I82" s="2"/>
      <c r="J82" s="2"/>
      <c r="K82" s="2"/>
      <c r="L82" s="2"/>
      <c r="M82" s="41"/>
      <c r="N82" s="42"/>
      <c r="O82" s="2"/>
    </row>
    <row r="83" spans="1:15" s="70" customFormat="1" ht="12.75" customHeight="1" x14ac:dyDescent="0.2">
      <c r="A83" s="87">
        <v>45294</v>
      </c>
      <c r="B83" s="120" t="s">
        <v>6</v>
      </c>
      <c r="C83" s="75" t="s">
        <v>606</v>
      </c>
      <c r="D83" s="88">
        <v>260191</v>
      </c>
      <c r="E83" s="2"/>
      <c r="F83" s="2"/>
      <c r="G83" s="30"/>
      <c r="H83" s="30"/>
      <c r="I83" s="2"/>
      <c r="J83" s="2"/>
      <c r="K83" s="2"/>
      <c r="L83" s="2"/>
      <c r="M83" s="41"/>
      <c r="N83" s="42"/>
      <c r="O83" s="2"/>
    </row>
    <row r="84" spans="1:15" s="70" customFormat="1" ht="12.75" customHeight="1" x14ac:dyDescent="0.2">
      <c r="A84" s="87">
        <v>45294</v>
      </c>
      <c r="B84" s="120" t="s">
        <v>6</v>
      </c>
      <c r="C84" s="75" t="s">
        <v>888</v>
      </c>
      <c r="D84" s="88">
        <v>2431991.34</v>
      </c>
      <c r="E84" s="2"/>
      <c r="F84" s="2"/>
      <c r="G84" s="30"/>
      <c r="H84" s="30"/>
      <c r="I84" s="2"/>
      <c r="J84" s="2"/>
      <c r="K84" s="2"/>
      <c r="L84" s="2"/>
      <c r="M84" s="41"/>
      <c r="N84" s="42"/>
      <c r="O84" s="2"/>
    </row>
    <row r="85" spans="1:15" s="70" customFormat="1" ht="12.75" customHeight="1" x14ac:dyDescent="0.2">
      <c r="A85" s="87">
        <v>45295</v>
      </c>
      <c r="B85" s="120" t="s">
        <v>6</v>
      </c>
      <c r="C85" s="75" t="s">
        <v>1944</v>
      </c>
      <c r="D85" s="88">
        <v>23655</v>
      </c>
      <c r="E85" s="2"/>
      <c r="F85" s="2"/>
      <c r="G85" s="30"/>
      <c r="H85" s="30"/>
      <c r="I85" s="2"/>
      <c r="J85" s="2"/>
      <c r="K85" s="2"/>
      <c r="L85" s="2"/>
      <c r="M85" s="41"/>
      <c r="N85" s="42"/>
      <c r="O85" s="2"/>
    </row>
    <row r="86" spans="1:15" s="70" customFormat="1" ht="12.75" customHeight="1" x14ac:dyDescent="0.2">
      <c r="A86" s="87">
        <v>45295</v>
      </c>
      <c r="B86" s="120" t="s">
        <v>6</v>
      </c>
      <c r="C86" s="75" t="s">
        <v>1944</v>
      </c>
      <c r="D86" s="88">
        <v>321576</v>
      </c>
      <c r="E86" s="2"/>
      <c r="F86" s="2"/>
      <c r="G86" s="30"/>
      <c r="H86" s="30"/>
      <c r="I86" s="2"/>
      <c r="J86" s="2"/>
      <c r="K86" s="2"/>
      <c r="L86" s="2"/>
      <c r="M86" s="41"/>
      <c r="N86" s="42"/>
      <c r="O86" s="2"/>
    </row>
    <row r="87" spans="1:15" s="70" customFormat="1" ht="12.75" customHeight="1" x14ac:dyDescent="0.2">
      <c r="A87" s="87">
        <v>45295</v>
      </c>
      <c r="B87" s="120" t="s">
        <v>6</v>
      </c>
      <c r="C87" s="75" t="s">
        <v>1944</v>
      </c>
      <c r="D87" s="88">
        <v>430832</v>
      </c>
      <c r="E87" s="2"/>
      <c r="F87" s="2"/>
      <c r="G87" s="30"/>
      <c r="H87" s="30"/>
      <c r="I87" s="2"/>
      <c r="J87" s="2"/>
      <c r="K87" s="2"/>
      <c r="L87" s="2"/>
      <c r="M87" s="41"/>
      <c r="N87" s="42"/>
      <c r="O87" s="2"/>
    </row>
    <row r="88" spans="1:15" s="70" customFormat="1" ht="12.75" customHeight="1" x14ac:dyDescent="0.2">
      <c r="A88" s="87">
        <v>45295</v>
      </c>
      <c r="B88" s="120" t="s">
        <v>6</v>
      </c>
      <c r="C88" s="75" t="s">
        <v>1934</v>
      </c>
      <c r="D88" s="88">
        <v>892589</v>
      </c>
      <c r="E88" s="2"/>
      <c r="F88" s="2"/>
      <c r="G88" s="30"/>
      <c r="H88" s="30"/>
      <c r="I88" s="2"/>
      <c r="J88" s="2"/>
      <c r="K88" s="2"/>
      <c r="L88" s="2"/>
      <c r="M88" s="41"/>
      <c r="N88" s="42"/>
      <c r="O88" s="2"/>
    </row>
    <row r="89" spans="1:15" s="70" customFormat="1" ht="12.75" customHeight="1" x14ac:dyDescent="0.2">
      <c r="A89" s="87">
        <v>45299</v>
      </c>
      <c r="B89" s="120" t="s">
        <v>6</v>
      </c>
      <c r="C89" s="75" t="s">
        <v>1933</v>
      </c>
      <c r="D89" s="88">
        <v>8143487</v>
      </c>
      <c r="E89" s="2"/>
      <c r="F89" s="2"/>
      <c r="G89" s="30"/>
      <c r="H89" s="30"/>
      <c r="I89" s="2"/>
      <c r="J89" s="2"/>
      <c r="K89" s="2"/>
      <c r="L89" s="2"/>
      <c r="M89" s="41"/>
      <c r="N89" s="42"/>
      <c r="O89" s="2"/>
    </row>
    <row r="90" spans="1:15" s="70" customFormat="1" ht="12.75" customHeight="1" x14ac:dyDescent="0.2">
      <c r="A90" s="87">
        <v>45299</v>
      </c>
      <c r="B90" s="120" t="s">
        <v>6</v>
      </c>
      <c r="C90" s="75" t="s">
        <v>606</v>
      </c>
      <c r="D90" s="88">
        <v>487316</v>
      </c>
      <c r="E90" s="2"/>
      <c r="F90" s="2"/>
      <c r="G90" s="30"/>
      <c r="H90" s="30"/>
      <c r="I90" s="2"/>
      <c r="J90" s="2"/>
      <c r="K90" s="2"/>
      <c r="L90" s="2"/>
      <c r="M90" s="41"/>
      <c r="N90" s="42"/>
      <c r="O90" s="2"/>
    </row>
    <row r="91" spans="1:15" s="70" customFormat="1" ht="12.75" customHeight="1" x14ac:dyDescent="0.2">
      <c r="A91" s="87">
        <v>45301</v>
      </c>
      <c r="B91" s="120" t="s">
        <v>6</v>
      </c>
      <c r="C91" s="75" t="s">
        <v>1933</v>
      </c>
      <c r="D91" s="88">
        <v>2690</v>
      </c>
      <c r="E91" s="2"/>
      <c r="F91" s="2"/>
      <c r="G91" s="30"/>
      <c r="H91" s="30"/>
      <c r="I91" s="2"/>
      <c r="J91" s="2"/>
      <c r="K91" s="2"/>
      <c r="L91" s="2"/>
      <c r="M91" s="41"/>
      <c r="N91" s="42"/>
      <c r="O91" s="2"/>
    </row>
    <row r="92" spans="1:15" s="70" customFormat="1" ht="12.75" customHeight="1" x14ac:dyDescent="0.2">
      <c r="A92" s="87">
        <v>45301</v>
      </c>
      <c r="B92" s="120" t="s">
        <v>6</v>
      </c>
      <c r="C92" s="75" t="s">
        <v>1933</v>
      </c>
      <c r="D92" s="88">
        <v>2133516</v>
      </c>
      <c r="E92" s="2"/>
      <c r="F92" s="2"/>
      <c r="G92" s="30"/>
      <c r="H92" s="30"/>
      <c r="I92" s="2"/>
      <c r="J92" s="2"/>
      <c r="K92" s="2"/>
      <c r="L92" s="2"/>
      <c r="M92" s="41"/>
      <c r="N92" s="42"/>
      <c r="O92" s="2"/>
    </row>
    <row r="93" spans="1:15" s="70" customFormat="1" ht="12.75" customHeight="1" x14ac:dyDescent="0.2">
      <c r="A93" s="87">
        <v>45302</v>
      </c>
      <c r="B93" s="120" t="s">
        <v>6</v>
      </c>
      <c r="C93" s="75" t="s">
        <v>1084</v>
      </c>
      <c r="D93" s="88">
        <v>3000000</v>
      </c>
      <c r="E93" s="2"/>
      <c r="F93" s="2"/>
      <c r="G93" s="30"/>
      <c r="H93" s="30"/>
      <c r="I93" s="2"/>
      <c r="J93" s="2"/>
      <c r="K93" s="2"/>
      <c r="L93" s="2"/>
      <c r="M93" s="41"/>
      <c r="N93" s="42"/>
      <c r="O93" s="2"/>
    </row>
    <row r="94" spans="1:15" s="70" customFormat="1" ht="12.75" customHeight="1" x14ac:dyDescent="0.2">
      <c r="A94" s="87">
        <v>45303</v>
      </c>
      <c r="B94" s="120" t="s">
        <v>6</v>
      </c>
      <c r="C94" s="75" t="s">
        <v>1933</v>
      </c>
      <c r="D94" s="88">
        <v>5893097</v>
      </c>
      <c r="E94" s="2"/>
      <c r="F94" s="2"/>
      <c r="G94" s="30"/>
      <c r="H94" s="30"/>
      <c r="I94" s="2"/>
      <c r="J94" s="2"/>
      <c r="K94" s="2"/>
      <c r="L94" s="2"/>
      <c r="M94" s="41"/>
      <c r="N94" s="42"/>
      <c r="O94" s="2"/>
    </row>
    <row r="95" spans="1:15" s="70" customFormat="1" ht="12.75" customHeight="1" x14ac:dyDescent="0.2">
      <c r="A95" s="87">
        <v>45303</v>
      </c>
      <c r="B95" s="120" t="s">
        <v>6</v>
      </c>
      <c r="C95" s="75" t="s">
        <v>1977</v>
      </c>
      <c r="D95" s="88">
        <v>500000</v>
      </c>
      <c r="E95" s="2"/>
      <c r="F95" s="2"/>
      <c r="G95" s="30"/>
      <c r="H95" s="30"/>
      <c r="I95" s="2"/>
      <c r="J95" s="2"/>
      <c r="K95" s="2"/>
      <c r="L95" s="2"/>
      <c r="M95" s="41"/>
      <c r="N95" s="42"/>
      <c r="O95" s="2"/>
    </row>
    <row r="96" spans="1:15" s="70" customFormat="1" ht="12.75" customHeight="1" x14ac:dyDescent="0.2">
      <c r="A96" s="87">
        <v>45307</v>
      </c>
      <c r="B96" s="120" t="s">
        <v>6</v>
      </c>
      <c r="C96" s="75" t="s">
        <v>1933</v>
      </c>
      <c r="D96" s="88">
        <v>3572610</v>
      </c>
      <c r="E96" s="2"/>
      <c r="F96" s="2"/>
      <c r="G96" s="30"/>
      <c r="H96" s="30"/>
      <c r="I96" s="2"/>
      <c r="J96" s="2"/>
      <c r="K96" s="2"/>
      <c r="L96" s="2"/>
      <c r="M96" s="41"/>
      <c r="N96" s="42"/>
      <c r="O96" s="2"/>
    </row>
    <row r="97" spans="1:15" s="70" customFormat="1" ht="12.75" customHeight="1" x14ac:dyDescent="0.2">
      <c r="A97" s="87">
        <v>45307</v>
      </c>
      <c r="B97" s="120" t="s">
        <v>6</v>
      </c>
      <c r="C97" s="75" t="s">
        <v>1944</v>
      </c>
      <c r="D97" s="88">
        <v>4109147</v>
      </c>
      <c r="E97" s="2"/>
      <c r="F97" s="2"/>
      <c r="G97" s="30"/>
      <c r="H97" s="30"/>
      <c r="I97" s="2"/>
      <c r="J97" s="2"/>
      <c r="K97" s="2"/>
      <c r="L97" s="2"/>
      <c r="M97" s="41"/>
      <c r="N97" s="42"/>
      <c r="O97" s="2"/>
    </row>
    <row r="98" spans="1:15" s="70" customFormat="1" ht="12.75" customHeight="1" x14ac:dyDescent="0.2">
      <c r="A98" s="87">
        <v>45307</v>
      </c>
      <c r="B98" s="120" t="s">
        <v>6</v>
      </c>
      <c r="C98" s="75" t="s">
        <v>1944</v>
      </c>
      <c r="D98" s="88">
        <v>1168867</v>
      </c>
      <c r="E98" s="2"/>
      <c r="F98" s="2"/>
      <c r="G98" s="30"/>
      <c r="H98" s="30"/>
      <c r="I98" s="2"/>
      <c r="J98" s="2"/>
      <c r="K98" s="2"/>
      <c r="L98" s="2"/>
      <c r="M98" s="41"/>
      <c r="N98" s="42"/>
      <c r="O98" s="2"/>
    </row>
    <row r="99" spans="1:15" s="70" customFormat="1" ht="12.75" customHeight="1" x14ac:dyDescent="0.2">
      <c r="A99" s="87">
        <v>45307</v>
      </c>
      <c r="B99" s="120" t="s">
        <v>6</v>
      </c>
      <c r="C99" s="75" t="s">
        <v>1988</v>
      </c>
      <c r="D99" s="88">
        <v>175195</v>
      </c>
      <c r="E99" s="2"/>
      <c r="F99" s="2"/>
      <c r="G99" s="30"/>
      <c r="H99" s="30"/>
      <c r="I99" s="2"/>
      <c r="J99" s="2"/>
      <c r="K99" s="2"/>
      <c r="L99" s="2"/>
      <c r="M99" s="41"/>
      <c r="N99" s="42"/>
      <c r="O99" s="2"/>
    </row>
    <row r="100" spans="1:15" s="70" customFormat="1" ht="12.75" customHeight="1" x14ac:dyDescent="0.2">
      <c r="A100" s="87">
        <v>45309</v>
      </c>
      <c r="B100" s="120" t="s">
        <v>6</v>
      </c>
      <c r="C100" s="75" t="s">
        <v>1933</v>
      </c>
      <c r="D100" s="88">
        <v>7480683</v>
      </c>
      <c r="E100" s="2"/>
      <c r="F100" s="2"/>
      <c r="G100" s="30"/>
      <c r="H100" s="30"/>
      <c r="I100" s="2"/>
      <c r="J100" s="2"/>
      <c r="K100" s="2"/>
      <c r="L100" s="2"/>
      <c r="M100" s="41"/>
      <c r="N100" s="42"/>
      <c r="O100" s="2"/>
    </row>
    <row r="101" spans="1:15" s="70" customFormat="1" ht="12.75" customHeight="1" x14ac:dyDescent="0.2">
      <c r="A101" s="87">
        <v>45309</v>
      </c>
      <c r="B101" s="120" t="s">
        <v>6</v>
      </c>
      <c r="C101" s="75" t="s">
        <v>1977</v>
      </c>
      <c r="D101" s="88">
        <v>1511767</v>
      </c>
      <c r="E101" s="2"/>
      <c r="F101" s="2"/>
      <c r="G101" s="30"/>
      <c r="H101" s="30"/>
      <c r="I101" s="2"/>
      <c r="J101" s="2"/>
      <c r="K101" s="2"/>
      <c r="L101" s="2"/>
      <c r="M101" s="41"/>
      <c r="N101" s="42"/>
      <c r="O101" s="2"/>
    </row>
    <row r="102" spans="1:15" s="70" customFormat="1" ht="12.75" customHeight="1" x14ac:dyDescent="0.2">
      <c r="A102" s="87">
        <v>45310</v>
      </c>
      <c r="B102" s="120" t="s">
        <v>6</v>
      </c>
      <c r="C102" s="75" t="s">
        <v>1084</v>
      </c>
      <c r="D102" s="88">
        <v>4000000</v>
      </c>
      <c r="E102" s="2"/>
      <c r="F102" s="2"/>
      <c r="G102" s="30"/>
      <c r="H102" s="30"/>
      <c r="I102" s="2"/>
      <c r="J102" s="2"/>
      <c r="K102" s="2"/>
      <c r="L102" s="2"/>
      <c r="M102" s="41"/>
      <c r="N102" s="42"/>
      <c r="O102" s="2"/>
    </row>
    <row r="103" spans="1:15" s="70" customFormat="1" ht="12.75" customHeight="1" x14ac:dyDescent="0.2">
      <c r="A103" s="87">
        <v>45311</v>
      </c>
      <c r="B103" s="120" t="s">
        <v>6</v>
      </c>
      <c r="C103" s="75" t="s">
        <v>888</v>
      </c>
      <c r="D103" s="88">
        <v>4720981.46</v>
      </c>
      <c r="E103" s="2"/>
      <c r="F103" s="2"/>
      <c r="G103" s="30"/>
      <c r="H103" s="30"/>
      <c r="I103" s="2"/>
      <c r="J103" s="2"/>
      <c r="K103" s="2"/>
      <c r="L103" s="2"/>
      <c r="M103" s="41"/>
      <c r="N103" s="42"/>
      <c r="O103" s="2"/>
    </row>
    <row r="104" spans="1:15" s="70" customFormat="1" ht="12.75" customHeight="1" x14ac:dyDescent="0.2">
      <c r="A104" s="87">
        <v>45314</v>
      </c>
      <c r="B104" s="120" t="s">
        <v>6</v>
      </c>
      <c r="C104" s="75" t="s">
        <v>1933</v>
      </c>
      <c r="D104" s="88">
        <v>1373756</v>
      </c>
      <c r="E104" s="2"/>
      <c r="F104" s="2"/>
      <c r="G104" s="30"/>
      <c r="H104" s="30"/>
      <c r="I104" s="2"/>
      <c r="J104" s="2"/>
      <c r="K104" s="2"/>
      <c r="L104" s="2"/>
      <c r="M104" s="41"/>
      <c r="N104" s="42"/>
      <c r="O104" s="2"/>
    </row>
    <row r="105" spans="1:15" s="70" customFormat="1" ht="12.75" customHeight="1" x14ac:dyDescent="0.2">
      <c r="A105" s="87">
        <v>45314</v>
      </c>
      <c r="B105" s="120" t="s">
        <v>6</v>
      </c>
      <c r="C105" s="75" t="s">
        <v>1933</v>
      </c>
      <c r="D105" s="88">
        <v>5000341.9400000004</v>
      </c>
      <c r="E105" s="2"/>
      <c r="F105" s="2"/>
      <c r="G105" s="30"/>
      <c r="H105" s="30"/>
      <c r="I105" s="2"/>
      <c r="J105" s="2"/>
      <c r="K105" s="2"/>
      <c r="L105" s="2"/>
      <c r="M105" s="41"/>
      <c r="N105" s="42"/>
      <c r="O105" s="2"/>
    </row>
    <row r="106" spans="1:15" s="70" customFormat="1" ht="12.75" customHeight="1" x14ac:dyDescent="0.2">
      <c r="A106" s="87">
        <v>45314</v>
      </c>
      <c r="B106" s="120" t="s">
        <v>6</v>
      </c>
      <c r="C106" s="75" t="s">
        <v>1933</v>
      </c>
      <c r="D106" s="88">
        <v>339686</v>
      </c>
      <c r="E106" s="2"/>
      <c r="F106" s="2"/>
      <c r="G106" s="30"/>
      <c r="H106" s="30"/>
      <c r="I106" s="2"/>
      <c r="J106" s="2"/>
      <c r="K106" s="2"/>
      <c r="L106" s="2"/>
      <c r="M106" s="41"/>
      <c r="N106" s="42"/>
      <c r="O106" s="2"/>
    </row>
    <row r="107" spans="1:15" s="2" customFormat="1" x14ac:dyDescent="0.2">
      <c r="A107" s="87"/>
      <c r="B107" s="74"/>
      <c r="C107" s="75"/>
      <c r="D107" s="51">
        <f>SUM(D81:D106)</f>
        <v>65682432.740000002</v>
      </c>
      <c r="F107" s="2" t="s">
        <v>396</v>
      </c>
      <c r="G107" s="1"/>
      <c r="H107" s="1"/>
    </row>
    <row r="108" spans="1:15" s="2" customFormat="1" x14ac:dyDescent="0.2">
      <c r="A108" s="24"/>
      <c r="B108" s="1"/>
      <c r="C108" s="14"/>
      <c r="D108" s="56"/>
      <c r="E108" s="13"/>
      <c r="G108" s="1"/>
      <c r="H108" s="1"/>
    </row>
    <row r="109" spans="1:15" s="2" customFormat="1" x14ac:dyDescent="0.2">
      <c r="A109" s="24"/>
      <c r="B109" s="1"/>
      <c r="C109" s="218" t="s">
        <v>77</v>
      </c>
      <c r="D109" s="219"/>
      <c r="E109" s="219"/>
      <c r="F109" s="220"/>
      <c r="I109" s="2" t="s">
        <v>396</v>
      </c>
    </row>
    <row r="110" spans="1:15" s="2" customFormat="1" x14ac:dyDescent="0.2">
      <c r="A110" s="24"/>
      <c r="B110" s="1"/>
      <c r="C110" s="50"/>
      <c r="D110" s="57" t="s">
        <v>78</v>
      </c>
      <c r="E110" s="58" t="s">
        <v>79</v>
      </c>
      <c r="F110" s="57" t="s">
        <v>72</v>
      </c>
      <c r="I110" s="2" t="s">
        <v>396</v>
      </c>
    </row>
    <row r="111" spans="1:15" s="2" customFormat="1" x14ac:dyDescent="0.2">
      <c r="A111" s="24"/>
      <c r="B111" s="1"/>
      <c r="C111" s="59" t="str">
        <f>"01-01-2024 to "&amp;TEXT(A5-2,"dd-mm-yyyy")</f>
        <v>01-01-2024 to 21-01-2024</v>
      </c>
      <c r="D111" s="60">
        <v>1778.33</v>
      </c>
      <c r="E111" s="60">
        <v>466.06</v>
      </c>
      <c r="F111" s="61">
        <f>SUM(D111:E111)</f>
        <v>2244.39</v>
      </c>
    </row>
    <row r="112" spans="1:15" s="2" customFormat="1" x14ac:dyDescent="0.2">
      <c r="A112" s="24"/>
      <c r="B112" s="1"/>
      <c r="C112" s="62" t="str">
        <f>TEXT(A5-1,"dd-mm-yyyy")</f>
        <v>22-01-2024</v>
      </c>
      <c r="D112" s="60">
        <v>87.69</v>
      </c>
      <c r="E112" s="60">
        <v>15.47</v>
      </c>
      <c r="F112" s="61">
        <f>SUM(D112:E112)</f>
        <v>103.16</v>
      </c>
      <c r="G112" s="1"/>
      <c r="H112" s="1"/>
      <c r="I112" s="53"/>
    </row>
    <row r="113" spans="1:14" s="2" customFormat="1" ht="13.5" thickBot="1" x14ac:dyDescent="0.25">
      <c r="A113" s="24"/>
      <c r="B113" s="1"/>
      <c r="C113" s="63" t="str">
        <f>"01-01-2024 to "&amp;TEXT(A5-1,"dd-mm-yyyy")</f>
        <v>01-01-2024 to 22-01-2024</v>
      </c>
      <c r="D113" s="64">
        <f>SUM(D111:D112)</f>
        <v>1866.02</v>
      </c>
      <c r="E113" s="64">
        <f>SUM(E111:E112)</f>
        <v>481.53000000000003</v>
      </c>
      <c r="F113" s="64">
        <f>SUM(F111:F112)</f>
        <v>2347.5499999999997</v>
      </c>
      <c r="G113" s="1"/>
      <c r="H113" s="1"/>
      <c r="I113" s="53"/>
    </row>
    <row r="114" spans="1:14" s="2" customFormat="1" ht="13.5" thickTop="1" x14ac:dyDescent="0.2">
      <c r="A114" s="24"/>
      <c r="B114" s="1"/>
      <c r="C114" s="62"/>
      <c r="D114" s="65"/>
      <c r="E114" s="66"/>
      <c r="F114" s="67"/>
      <c r="M114" s="1"/>
      <c r="N114" s="1"/>
    </row>
    <row r="115" spans="1:14" s="2" customFormat="1" x14ac:dyDescent="0.2">
      <c r="A115" s="24"/>
      <c r="B115" s="1"/>
      <c r="C115" s="62" t="str">
        <f>"01-04-2023 to " &amp;C112</f>
        <v>01-04-2023 to 22-01-2024</v>
      </c>
      <c r="D115" s="68">
        <f>+D113+34570.27</f>
        <v>36436.289999999994</v>
      </c>
      <c r="E115" s="68">
        <f>+E113+3831.86</f>
        <v>4313.3900000000003</v>
      </c>
      <c r="F115" s="68">
        <f>+F113+38402.13</f>
        <v>40749.68</v>
      </c>
      <c r="G115" s="1"/>
      <c r="H115" s="1"/>
      <c r="M115" s="1"/>
      <c r="N115" s="1"/>
    </row>
    <row r="116" spans="1:14" s="2" customFormat="1" x14ac:dyDescent="0.2">
      <c r="A116" s="24"/>
      <c r="B116" s="1"/>
      <c r="C116" s="52"/>
      <c r="D116" s="85"/>
      <c r="E116" s="53"/>
      <c r="F116" s="53"/>
      <c r="G116" s="1"/>
      <c r="H116" s="1"/>
      <c r="M116" s="1"/>
      <c r="N116" s="1"/>
    </row>
    <row r="117" spans="1:14" s="2" customFormat="1" x14ac:dyDescent="0.2">
      <c r="A117" s="24"/>
      <c r="B117" s="1"/>
      <c r="C117" s="52"/>
      <c r="D117" s="85"/>
      <c r="E117" s="53"/>
      <c r="F117" s="53"/>
      <c r="G117" s="1"/>
      <c r="H117" s="1"/>
      <c r="M117" s="1"/>
      <c r="N117" s="1"/>
    </row>
    <row r="118" spans="1:14" s="2" customFormat="1" x14ac:dyDescent="0.2">
      <c r="A118" s="24"/>
      <c r="B118" s="1"/>
      <c r="C118" s="52"/>
      <c r="D118" s="85"/>
      <c r="E118" s="53"/>
      <c r="F118" s="53"/>
      <c r="G118" s="1"/>
      <c r="H118" s="1"/>
      <c r="M118" s="1"/>
      <c r="N118" s="1"/>
    </row>
    <row r="119" spans="1:14" s="2" customFormat="1" x14ac:dyDescent="0.2">
      <c r="A119" s="24"/>
      <c r="B119" s="1"/>
      <c r="C119" s="52"/>
      <c r="D119" s="85"/>
      <c r="E119" s="53"/>
      <c r="F119" s="53"/>
      <c r="G119" s="1"/>
      <c r="H119" s="1"/>
      <c r="M119" s="1"/>
      <c r="N119" s="1"/>
    </row>
    <row r="120" spans="1:14" s="2" customFormat="1" x14ac:dyDescent="0.2">
      <c r="A120" s="24"/>
      <c r="B120" s="1"/>
      <c r="C120" s="14"/>
      <c r="D120" s="25">
        <f>SUM(D117:D119)</f>
        <v>0</v>
      </c>
      <c r="E120" s="2">
        <f>SUM(E117:E119)</f>
        <v>0</v>
      </c>
      <c r="G120" s="1"/>
      <c r="H120" s="1"/>
      <c r="M120" s="1"/>
      <c r="N120" s="1"/>
    </row>
    <row r="121" spans="1:14" s="2" customFormat="1" x14ac:dyDescent="0.2">
      <c r="A121" s="24"/>
      <c r="B121" s="1"/>
      <c r="C121" s="14"/>
      <c r="D121" s="25"/>
      <c r="G121" s="1"/>
      <c r="H121" s="1"/>
      <c r="M121" s="1"/>
      <c r="N121" s="1"/>
    </row>
    <row r="122" spans="1:14" s="2" customFormat="1" x14ac:dyDescent="0.2">
      <c r="A122" s="24"/>
      <c r="B122" s="1"/>
      <c r="C122" s="14"/>
      <c r="D122" s="25"/>
      <c r="G122" s="1"/>
      <c r="H122" s="1"/>
      <c r="M122" s="1"/>
      <c r="N122" s="1"/>
    </row>
    <row r="123" spans="1:14" s="2" customFormat="1" x14ac:dyDescent="0.2">
      <c r="A123" s="24"/>
      <c r="B123" s="1"/>
      <c r="C123" s="14"/>
      <c r="D123" s="25"/>
      <c r="G123" s="1"/>
      <c r="H123" s="1"/>
      <c r="M123" s="1"/>
      <c r="N123" s="1"/>
    </row>
    <row r="124" spans="1:14" s="2" customFormat="1" x14ac:dyDescent="0.2">
      <c r="A124" s="24"/>
      <c r="B124" s="1"/>
      <c r="C124" s="14"/>
      <c r="D124" s="25"/>
      <c r="G124" s="1"/>
      <c r="H124" s="1"/>
      <c r="M124" s="1"/>
      <c r="N124" s="1"/>
    </row>
    <row r="125" spans="1:14" s="2" customFormat="1" x14ac:dyDescent="0.2">
      <c r="A125" s="24"/>
      <c r="B125" s="1"/>
      <c r="C125" s="14"/>
      <c r="D125" s="25"/>
      <c r="G125" s="1"/>
      <c r="H125" s="1"/>
      <c r="M125" s="1"/>
      <c r="N125" s="1"/>
    </row>
    <row r="126" spans="1:14" s="2" customFormat="1" x14ac:dyDescent="0.2">
      <c r="A126" s="24"/>
      <c r="B126" s="1"/>
      <c r="C126" s="14"/>
      <c r="D126" s="25"/>
      <c r="G126" s="1"/>
      <c r="H126" s="1"/>
      <c r="M126" s="1"/>
      <c r="N126" s="1"/>
    </row>
    <row r="127" spans="1:14" s="2" customFormat="1" x14ac:dyDescent="0.2">
      <c r="A127" s="24"/>
      <c r="B127" s="1"/>
      <c r="C127" s="14"/>
      <c r="D127" s="25"/>
      <c r="G127" s="1"/>
      <c r="H127" s="1"/>
      <c r="M127" s="1"/>
      <c r="N127" s="1"/>
    </row>
    <row r="128" spans="1:14" s="2" customFormat="1" x14ac:dyDescent="0.2">
      <c r="A128" s="24"/>
      <c r="B128" s="1"/>
      <c r="C128" s="14"/>
      <c r="D128" s="25"/>
      <c r="G128" s="1"/>
      <c r="H128" s="1"/>
      <c r="M128" s="1"/>
      <c r="N128" s="1"/>
    </row>
    <row r="129" spans="1:15" s="2" customFormat="1" x14ac:dyDescent="0.2">
      <c r="A129" s="24"/>
      <c r="B129" s="1"/>
      <c r="C129" s="14"/>
      <c r="D129" s="25"/>
      <c r="G129" s="1"/>
      <c r="H129" s="1"/>
      <c r="M129" s="1"/>
      <c r="N129" s="1"/>
    </row>
    <row r="130" spans="1:15" s="2" customFormat="1" x14ac:dyDescent="0.2">
      <c r="A130" s="24"/>
      <c r="B130" s="1"/>
      <c r="C130" s="14"/>
      <c r="D130" s="25"/>
      <c r="G130" s="1"/>
      <c r="H130" s="1"/>
      <c r="M130" s="1"/>
      <c r="N130" s="1"/>
    </row>
    <row r="131" spans="1:15" s="2" customFormat="1" x14ac:dyDescent="0.2">
      <c r="A131" s="24"/>
      <c r="B131" s="1"/>
      <c r="C131" s="14"/>
      <c r="D131" s="25"/>
      <c r="G131" s="1"/>
      <c r="H131" s="1"/>
      <c r="M131" s="1"/>
      <c r="N131" s="1"/>
    </row>
    <row r="132" spans="1:15" s="2" customFormat="1" x14ac:dyDescent="0.2">
      <c r="A132" s="24"/>
      <c r="B132" s="1"/>
      <c r="C132" s="14"/>
      <c r="D132" s="25"/>
      <c r="G132" s="1"/>
      <c r="H132" s="1"/>
      <c r="M132" s="1"/>
      <c r="N132" s="1"/>
    </row>
    <row r="133" spans="1:15" s="2" customFormat="1" x14ac:dyDescent="0.2">
      <c r="A133" s="24"/>
      <c r="B133" s="1"/>
      <c r="C133" s="14"/>
      <c r="D133" s="25"/>
      <c r="G133" s="1"/>
      <c r="H133" s="1"/>
      <c r="M133" s="1"/>
      <c r="N133" s="1"/>
    </row>
    <row r="134" spans="1:15" s="2" customFormat="1" x14ac:dyDescent="0.2">
      <c r="A134" s="24"/>
      <c r="B134" s="1"/>
      <c r="C134" s="14"/>
      <c r="D134" s="25"/>
      <c r="G134" s="1"/>
      <c r="H134" s="1"/>
      <c r="J134" s="1"/>
      <c r="K134" s="1"/>
      <c r="L134" s="1"/>
      <c r="M134" s="1"/>
      <c r="N134" s="1"/>
    </row>
    <row r="135" spans="1:15" s="2" customFormat="1" x14ac:dyDescent="0.2">
      <c r="A135" s="24"/>
      <c r="B135" s="1"/>
      <c r="C135" s="14"/>
      <c r="D135" s="25"/>
      <c r="G135" s="1"/>
      <c r="H135" s="1"/>
    </row>
    <row r="136" spans="1:15" s="2" customFormat="1" x14ac:dyDescent="0.2">
      <c r="A136" s="24"/>
      <c r="B136" s="1"/>
      <c r="C136" s="14"/>
      <c r="D136" s="25"/>
      <c r="G136" s="1"/>
      <c r="H136" s="1"/>
      <c r="J136" s="1"/>
      <c r="K136" s="1"/>
      <c r="L136" s="1"/>
      <c r="M136" s="1"/>
      <c r="N136" s="1"/>
    </row>
    <row r="137" spans="1:15" s="2" customFormat="1" x14ac:dyDescent="0.2">
      <c r="A137" s="24"/>
      <c r="B137" s="1"/>
      <c r="C137" s="14"/>
      <c r="D137" s="25"/>
      <c r="G137" s="54"/>
      <c r="H137" s="54"/>
      <c r="J137" s="1"/>
      <c r="K137" s="1"/>
      <c r="L137" s="1"/>
      <c r="M137" s="1"/>
      <c r="N137" s="1"/>
    </row>
    <row r="138" spans="1:15" s="2" customFormat="1" x14ac:dyDescent="0.2">
      <c r="A138" s="24"/>
      <c r="B138" s="1"/>
      <c r="C138" s="14"/>
      <c r="D138" s="25"/>
      <c r="G138" s="54"/>
      <c r="H138" s="54"/>
      <c r="J138" s="1"/>
      <c r="K138" s="1"/>
      <c r="L138" s="1"/>
      <c r="M138" s="1"/>
      <c r="N138" s="1"/>
    </row>
    <row r="139" spans="1:15" s="2" customFormat="1" x14ac:dyDescent="0.2">
      <c r="A139" s="24"/>
      <c r="B139" s="1"/>
      <c r="C139" s="14"/>
      <c r="D139" s="25"/>
      <c r="G139" s="54"/>
      <c r="H139" s="54"/>
      <c r="J139" s="1"/>
      <c r="K139" s="1"/>
      <c r="L139" s="1"/>
      <c r="M139" s="1"/>
      <c r="N139" s="1"/>
    </row>
    <row r="140" spans="1:15" s="2" customFormat="1" x14ac:dyDescent="0.2">
      <c r="A140" s="24"/>
      <c r="B140" s="1"/>
      <c r="C140" s="14"/>
      <c r="D140" s="25"/>
      <c r="G140" s="54"/>
      <c r="H140" s="54"/>
      <c r="I140" s="2" t="s">
        <v>396</v>
      </c>
      <c r="J140" s="1"/>
      <c r="K140" s="1"/>
      <c r="L140" s="1"/>
      <c r="M140" s="1"/>
      <c r="N140" s="1"/>
      <c r="O140" s="1"/>
    </row>
    <row r="141" spans="1:15" s="2" customFormat="1" x14ac:dyDescent="0.2">
      <c r="A141" s="24"/>
      <c r="B141" s="1"/>
      <c r="C141" s="14"/>
      <c r="D141" s="25"/>
      <c r="G141" s="54"/>
      <c r="H141" s="54"/>
      <c r="I141" s="53"/>
    </row>
    <row r="142" spans="1:15" s="2" customFormat="1" x14ac:dyDescent="0.2">
      <c r="A142" s="24"/>
      <c r="B142" s="1"/>
      <c r="C142" s="14"/>
      <c r="D142" s="25"/>
      <c r="G142" s="54"/>
      <c r="H142" s="54"/>
      <c r="I142" s="53" t="s">
        <v>396</v>
      </c>
      <c r="J142" s="1"/>
      <c r="K142" s="1"/>
      <c r="L142" s="1"/>
      <c r="M142" s="1"/>
      <c r="N142" s="1"/>
      <c r="O142" s="1"/>
    </row>
    <row r="143" spans="1:15" x14ac:dyDescent="0.2">
      <c r="G143" s="54"/>
      <c r="H143" s="54"/>
      <c r="I143" s="53" t="s">
        <v>396</v>
      </c>
      <c r="K143" s="42"/>
    </row>
    <row r="144" spans="1:15" s="2" customFormat="1" x14ac:dyDescent="0.2">
      <c r="A144" s="24"/>
      <c r="B144" s="1"/>
      <c r="C144" s="14"/>
      <c r="D144" s="25"/>
      <c r="G144" s="54"/>
      <c r="H144" s="54"/>
      <c r="I144" s="53"/>
      <c r="J144" s="101"/>
      <c r="K144" s="1"/>
      <c r="L144" s="1"/>
      <c r="M144" s="1"/>
      <c r="N144" s="1"/>
      <c r="O144" s="1"/>
    </row>
    <row r="145" spans="7:9" x14ac:dyDescent="0.2">
      <c r="G145" s="54"/>
      <c r="H145" s="54"/>
      <c r="I145" s="53"/>
    </row>
    <row r="146" spans="7:9" x14ac:dyDescent="0.2">
      <c r="G146" s="54"/>
      <c r="H146" s="54"/>
      <c r="I146" s="53"/>
    </row>
    <row r="147" spans="7:9" x14ac:dyDescent="0.2">
      <c r="G147" s="54"/>
      <c r="H147" s="54"/>
      <c r="I147" s="53"/>
    </row>
  </sheetData>
  <sheetProtection insertRows="0"/>
  <mergeCells count="7">
    <mergeCell ref="K72:L72"/>
    <mergeCell ref="A79:D79"/>
    <mergeCell ref="C109:F109"/>
    <mergeCell ref="A1:H1"/>
    <mergeCell ref="A3:F3"/>
    <mergeCell ref="A9:F9"/>
    <mergeCell ref="A26:F26"/>
  </mergeCells>
  <conditionalFormatting sqref="H76:H77">
    <cfRule type="cellIs" dxfId="111" priority="1" operator="lessThan">
      <formula>0</formula>
    </cfRule>
  </conditionalFormatting>
  <conditionalFormatting sqref="C28">
    <cfRule type="duplicateValues" dxfId="110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B00-000000000000}">
  <sheetPr codeName="Sheet531">
    <pageSetUpPr fitToPage="1"/>
  </sheetPr>
  <dimension ref="A1:O161"/>
  <sheetViews>
    <sheetView topLeftCell="A25" zoomScaleNormal="100" workbookViewId="0">
      <selection activeCell="C37" sqref="C37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12.85546875" style="1" customWidth="1"/>
    <col min="9" max="9" width="24.85546875" style="2" bestFit="1" customWidth="1"/>
    <col min="10" max="10" width="21.5703125" style="1" bestFit="1" customWidth="1"/>
    <col min="11" max="11" width="16.85546875" style="1" bestFit="1" customWidth="1"/>
    <col min="12" max="12" width="17.28515625" style="1" bestFit="1" customWidth="1"/>
    <col min="13" max="13" width="13.5703125" style="1" bestFit="1" customWidth="1"/>
    <col min="14" max="14" width="17.42578125" style="1" bestFit="1" customWidth="1"/>
    <col min="15" max="15" width="12.85546875" style="1" bestFit="1" customWidth="1"/>
    <col min="16" max="17" width="9.140625" style="1"/>
    <col min="18" max="18" width="15.5703125" style="1" bestFit="1" customWidth="1"/>
    <col min="19" max="16384" width="9.140625" style="1"/>
  </cols>
  <sheetData>
    <row r="1" spans="1:12" ht="20.25" customHeight="1" x14ac:dyDescent="0.4">
      <c r="A1" s="212" t="s">
        <v>2002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2" ht="12.75" customHeight="1" x14ac:dyDescent="0.4">
      <c r="I2" s="112"/>
      <c r="J2" s="112"/>
    </row>
    <row r="3" spans="1:12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2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2" s="2" customFormat="1" ht="14.25" customHeight="1" x14ac:dyDescent="0.4">
      <c r="A5" s="89">
        <v>45315</v>
      </c>
      <c r="B5" s="9" t="s">
        <v>6</v>
      </c>
      <c r="C5" s="10" t="s">
        <v>7</v>
      </c>
      <c r="D5" s="11"/>
      <c r="E5" s="12">
        <v>565541.23000000045</v>
      </c>
      <c r="F5" s="12"/>
      <c r="G5" s="1"/>
      <c r="H5" s="1"/>
      <c r="I5" s="112"/>
      <c r="J5" s="112"/>
    </row>
    <row r="6" spans="1:12" s="2" customFormat="1" ht="12.75" customHeight="1" x14ac:dyDescent="0.2">
      <c r="D6" s="15" t="s">
        <v>8</v>
      </c>
      <c r="E6" s="16">
        <f>SUM(E5:E5)</f>
        <v>565541.23000000045</v>
      </c>
      <c r="F6" s="16">
        <f>F5</f>
        <v>0</v>
      </c>
      <c r="G6" s="1"/>
      <c r="H6" s="1"/>
      <c r="I6" s="13" t="s">
        <v>1582</v>
      </c>
      <c r="J6" s="13" t="s">
        <v>1583</v>
      </c>
    </row>
    <row r="7" spans="1:12" s="2" customFormat="1" ht="12.75" customHeight="1" x14ac:dyDescent="0.2">
      <c r="A7" s="17"/>
      <c r="B7" s="18"/>
      <c r="C7" s="19" t="s">
        <v>9</v>
      </c>
      <c r="D7" s="20"/>
      <c r="E7" s="21">
        <f>+E6-F6</f>
        <v>565541.23000000045</v>
      </c>
      <c r="F7" s="22"/>
      <c r="G7" s="23"/>
      <c r="H7" s="23"/>
      <c r="I7" s="2">
        <v>0</v>
      </c>
      <c r="J7" s="2">
        <v>3204</v>
      </c>
      <c r="K7" s="176">
        <f>I7-J7</f>
        <v>-3204</v>
      </c>
    </row>
    <row r="8" spans="1:12" ht="12.75" customHeight="1" x14ac:dyDescent="0.4">
      <c r="I8" s="112"/>
      <c r="J8" s="112"/>
    </row>
    <row r="9" spans="1:12" ht="18" customHeight="1" x14ac:dyDescent="0.4">
      <c r="A9" s="213" t="s">
        <v>1037</v>
      </c>
      <c r="B9" s="213"/>
      <c r="C9" s="213"/>
      <c r="D9" s="213"/>
      <c r="E9" s="213"/>
      <c r="F9" s="213"/>
      <c r="I9" s="112"/>
      <c r="J9" s="169">
        <f>90000000-60000000</f>
        <v>30000000</v>
      </c>
      <c r="K9" s="169" t="s">
        <v>1508</v>
      </c>
    </row>
    <row r="10" spans="1:12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I10" s="112"/>
      <c r="J10" s="169">
        <v>29992695.359999999</v>
      </c>
      <c r="K10" s="169" t="s">
        <v>1509</v>
      </c>
      <c r="L10" s="124"/>
    </row>
    <row r="11" spans="1:12" s="2" customFormat="1" ht="14.25" customHeight="1" x14ac:dyDescent="0.2">
      <c r="A11" s="89">
        <v>45315</v>
      </c>
      <c r="B11" s="9" t="s">
        <v>6</v>
      </c>
      <c r="C11" s="10" t="s">
        <v>7</v>
      </c>
      <c r="D11" s="11"/>
      <c r="F11" s="12">
        <v>29754770.359999999</v>
      </c>
      <c r="G11" s="1"/>
      <c r="H11" s="1"/>
      <c r="I11" s="130" t="s">
        <v>396</v>
      </c>
      <c r="J11" s="169">
        <f>+J9-J10</f>
        <v>7304.640000000596</v>
      </c>
      <c r="K11" s="169" t="s">
        <v>712</v>
      </c>
      <c r="L11" s="165" t="s">
        <v>1512</v>
      </c>
    </row>
    <row r="12" spans="1:12" s="2" customFormat="1" ht="14.25" customHeight="1" x14ac:dyDescent="0.2">
      <c r="A12" s="89">
        <v>45315</v>
      </c>
      <c r="B12" s="9" t="s">
        <v>11</v>
      </c>
      <c r="C12" s="76" t="s">
        <v>131</v>
      </c>
      <c r="D12" s="11" t="s">
        <v>29</v>
      </c>
      <c r="E12" s="31"/>
      <c r="F12" s="31">
        <v>28196</v>
      </c>
      <c r="G12" s="1"/>
      <c r="H12" s="1"/>
      <c r="I12" s="130"/>
      <c r="J12" s="169"/>
      <c r="K12" s="169"/>
      <c r="L12" s="165"/>
    </row>
    <row r="13" spans="1:12" s="2" customFormat="1" ht="14.25" customHeight="1" x14ac:dyDescent="0.2">
      <c r="A13" s="89">
        <v>45315</v>
      </c>
      <c r="B13" s="9" t="s">
        <v>11</v>
      </c>
      <c r="C13" s="76" t="s">
        <v>2003</v>
      </c>
      <c r="D13" s="11" t="s">
        <v>29</v>
      </c>
      <c r="E13" s="31"/>
      <c r="F13" s="31">
        <v>100000</v>
      </c>
      <c r="G13" s="1"/>
      <c r="H13" s="1"/>
      <c r="I13" s="130"/>
      <c r="J13" s="169"/>
      <c r="K13" s="169"/>
      <c r="L13" s="165"/>
    </row>
    <row r="14" spans="1:12" s="2" customFormat="1" ht="14.25" customHeight="1" x14ac:dyDescent="0.2">
      <c r="A14" s="89">
        <v>45315</v>
      </c>
      <c r="B14" s="9" t="s">
        <v>11</v>
      </c>
      <c r="C14" s="76" t="s">
        <v>34</v>
      </c>
      <c r="D14" s="11" t="s">
        <v>29</v>
      </c>
      <c r="E14" s="31"/>
      <c r="F14" s="31">
        <v>100000</v>
      </c>
      <c r="G14" s="1"/>
      <c r="H14" s="1"/>
      <c r="I14" s="130"/>
      <c r="J14" s="169"/>
      <c r="K14" s="169"/>
      <c r="L14" s="165"/>
    </row>
    <row r="15" spans="1:12" s="2" customFormat="1" ht="14.25" customHeight="1" x14ac:dyDescent="0.2">
      <c r="A15" s="89">
        <v>45315</v>
      </c>
      <c r="B15" s="9" t="s">
        <v>11</v>
      </c>
      <c r="C15" s="76" t="s">
        <v>345</v>
      </c>
      <c r="D15" s="11" t="s">
        <v>29</v>
      </c>
      <c r="E15" s="31"/>
      <c r="F15" s="31">
        <v>9729</v>
      </c>
      <c r="G15" s="1"/>
      <c r="H15" s="1"/>
      <c r="I15" s="130"/>
      <c r="J15" s="169"/>
      <c r="K15" s="169"/>
      <c r="L15" s="165"/>
    </row>
    <row r="16" spans="1:12" s="2" customFormat="1" ht="14.25" customHeight="1" x14ac:dyDescent="0.2">
      <c r="A16" s="89">
        <v>45315</v>
      </c>
      <c r="B16" s="9" t="s">
        <v>11</v>
      </c>
      <c r="C16" s="76" t="s">
        <v>1312</v>
      </c>
      <c r="D16" s="11" t="s">
        <v>29</v>
      </c>
      <c r="E16" s="31"/>
      <c r="F16" s="31">
        <v>3204</v>
      </c>
      <c r="G16" s="1"/>
      <c r="H16" s="1"/>
      <c r="I16" s="130"/>
      <c r="J16" s="169"/>
      <c r="K16" s="169"/>
      <c r="L16" s="165"/>
    </row>
    <row r="17" spans="1:14" s="2" customFormat="1" ht="14.25" customHeight="1" x14ac:dyDescent="0.2">
      <c r="D17" s="11" t="s">
        <v>8</v>
      </c>
      <c r="E17" s="16">
        <f>SUM(E12:E16)</f>
        <v>0</v>
      </c>
      <c r="F17" s="16">
        <f>SUM(F11:F16)</f>
        <v>29995899.359999999</v>
      </c>
      <c r="G17" s="1"/>
      <c r="H17" s="1"/>
      <c r="I17" s="143"/>
      <c r="J17" s="130"/>
      <c r="K17" s="143"/>
      <c r="L17" s="143"/>
      <c r="M17" s="143"/>
      <c r="N17" s="143"/>
    </row>
    <row r="18" spans="1:14" s="2" customFormat="1" ht="14.25" customHeight="1" x14ac:dyDescent="0.4">
      <c r="A18" s="17"/>
      <c r="B18" s="18"/>
      <c r="C18" s="96" t="s">
        <v>9</v>
      </c>
      <c r="D18" s="20"/>
      <c r="E18" s="21">
        <f>+F17-E17</f>
        <v>29995899.359999999</v>
      </c>
      <c r="G18" s="1"/>
      <c r="H18" s="1"/>
      <c r="J18" s="112"/>
      <c r="K18" s="153" t="s">
        <v>779</v>
      </c>
    </row>
    <row r="19" spans="1:14" s="2" customFormat="1" ht="14.25" customHeight="1" x14ac:dyDescent="0.2">
      <c r="A19" s="17"/>
      <c r="B19" s="28" t="s">
        <v>66</v>
      </c>
      <c r="C19" s="43" t="s">
        <v>1458</v>
      </c>
      <c r="D19" s="43"/>
      <c r="E19" s="12">
        <f>30000000+60000000</f>
        <v>90000000</v>
      </c>
      <c r="F19" s="22"/>
      <c r="G19" s="1"/>
      <c r="H19" s="1"/>
      <c r="J19" s="40">
        <v>29754770.359999999</v>
      </c>
      <c r="K19" s="154">
        <f>J19-E18</f>
        <v>-241129</v>
      </c>
    </row>
    <row r="20" spans="1:14" s="2" customFormat="1" ht="14.25" customHeight="1" x14ac:dyDescent="0.25">
      <c r="A20" s="36"/>
      <c r="B20" s="28"/>
      <c r="C20" s="44" t="s">
        <v>1541</v>
      </c>
      <c r="D20" s="43"/>
      <c r="E20" s="7">
        <f>+E18+E19</f>
        <v>119995899.36</v>
      </c>
      <c r="F20" s="22"/>
      <c r="G20" s="1"/>
      <c r="H20" s="1"/>
      <c r="I20" s="13" t="s">
        <v>1582</v>
      </c>
      <c r="J20" s="13" t="s">
        <v>1583</v>
      </c>
    </row>
    <row r="21" spans="1:14" s="2" customFormat="1" ht="14.25" customHeight="1" x14ac:dyDescent="0.25">
      <c r="A21" s="36"/>
      <c r="B21" s="28"/>
      <c r="C21" s="44" t="s">
        <v>1511</v>
      </c>
      <c r="D21" s="43"/>
      <c r="E21" s="38">
        <f>+J11+I7-J7</f>
        <v>4100.640000000596</v>
      </c>
      <c r="F21" s="22"/>
      <c r="G21" s="1"/>
      <c r="H21" s="1"/>
      <c r="I21" s="2">
        <v>126585</v>
      </c>
      <c r="J21" s="2">
        <v>1970784</v>
      </c>
      <c r="K21" s="176">
        <f>I21-J21</f>
        <v>-1844199</v>
      </c>
    </row>
    <row r="22" spans="1:14" s="2" customFormat="1" ht="14.25" customHeight="1" x14ac:dyDescent="0.2">
      <c r="A22" s="24"/>
      <c r="B22" s="1"/>
      <c r="C22" s="14"/>
      <c r="D22" s="25"/>
      <c r="G22" s="1"/>
      <c r="H22" s="1"/>
      <c r="J22" s="130"/>
      <c r="K22" s="130"/>
    </row>
    <row r="23" spans="1:14" s="2" customFormat="1" x14ac:dyDescent="0.2">
      <c r="A23" s="214" t="s">
        <v>10</v>
      </c>
      <c r="B23" s="214"/>
      <c r="C23" s="214"/>
      <c r="D23" s="214"/>
      <c r="E23" s="214"/>
      <c r="F23" s="214"/>
      <c r="G23" s="1"/>
      <c r="H23" s="1"/>
      <c r="I23" s="159"/>
      <c r="J23" s="160">
        <v>100000000</v>
      </c>
      <c r="K23" s="160" t="s">
        <v>1506</v>
      </c>
      <c r="L23" s="70"/>
    </row>
    <row r="24" spans="1:14" s="2" customFormat="1" ht="15" x14ac:dyDescent="0.35">
      <c r="A24" s="26" t="s">
        <v>1</v>
      </c>
      <c r="B24" s="27" t="s">
        <v>2</v>
      </c>
      <c r="C24" s="5"/>
      <c r="D24" s="6" t="s">
        <v>3</v>
      </c>
      <c r="E24" s="7" t="s">
        <v>4</v>
      </c>
      <c r="F24" s="7" t="s">
        <v>5</v>
      </c>
      <c r="G24" s="1"/>
      <c r="H24" s="1"/>
      <c r="I24" s="159"/>
      <c r="J24" s="179">
        <v>68648205.840000004</v>
      </c>
      <c r="K24" s="160" t="s">
        <v>1507</v>
      </c>
      <c r="L24" s="70" t="s">
        <v>1512</v>
      </c>
    </row>
    <row r="25" spans="1:14" s="2" customFormat="1" x14ac:dyDescent="0.2">
      <c r="A25" s="89">
        <v>45315</v>
      </c>
      <c r="B25" s="128" t="s">
        <v>11</v>
      </c>
      <c r="C25" s="29" t="s">
        <v>7</v>
      </c>
      <c r="D25" s="25"/>
      <c r="E25" s="31"/>
      <c r="F25" s="2">
        <v>79631295.259999931</v>
      </c>
      <c r="G25" s="23"/>
      <c r="H25" s="23"/>
      <c r="I25" s="159" t="s">
        <v>1505</v>
      </c>
      <c r="J25" s="160">
        <f>+J23-J24</f>
        <v>31351794.159999996</v>
      </c>
      <c r="K25" s="160"/>
      <c r="L25" s="70"/>
    </row>
    <row r="26" spans="1:14" s="2" customFormat="1" x14ac:dyDescent="0.2">
      <c r="A26" s="89">
        <v>45315</v>
      </c>
      <c r="B26" s="128" t="s">
        <v>6</v>
      </c>
      <c r="C26" s="76" t="s">
        <v>1259</v>
      </c>
      <c r="D26" s="11" t="s">
        <v>13</v>
      </c>
      <c r="E26" s="31">
        <v>18817</v>
      </c>
      <c r="G26" s="23"/>
      <c r="H26" s="23"/>
      <c r="I26" s="159"/>
      <c r="J26" s="160"/>
      <c r="K26" s="160"/>
      <c r="L26" s="70"/>
    </row>
    <row r="27" spans="1:14" s="2" customFormat="1" x14ac:dyDescent="0.2">
      <c r="A27" s="89">
        <v>45315</v>
      </c>
      <c r="B27" s="128" t="s">
        <v>6</v>
      </c>
      <c r="C27" s="76" t="s">
        <v>2004</v>
      </c>
      <c r="D27" s="11" t="s">
        <v>13</v>
      </c>
      <c r="E27" s="31">
        <v>144742.13</v>
      </c>
      <c r="G27" s="23"/>
      <c r="H27" s="23"/>
      <c r="I27" s="159"/>
      <c r="J27" s="160"/>
      <c r="K27" s="160"/>
      <c r="L27" s="70"/>
    </row>
    <row r="28" spans="1:14" s="2" customFormat="1" x14ac:dyDescent="0.2">
      <c r="A28" s="89">
        <v>45315</v>
      </c>
      <c r="B28" s="128" t="s">
        <v>6</v>
      </c>
      <c r="C28" s="76" t="s">
        <v>474</v>
      </c>
      <c r="D28" s="11" t="s">
        <v>13</v>
      </c>
      <c r="E28" s="31">
        <v>1220426</v>
      </c>
      <c r="G28" s="23"/>
      <c r="H28" s="23"/>
      <c r="I28" s="159"/>
      <c r="J28" s="160"/>
      <c r="K28" s="160"/>
      <c r="L28" s="70"/>
    </row>
    <row r="29" spans="1:14" s="2" customFormat="1" x14ac:dyDescent="0.2">
      <c r="A29" s="89">
        <v>45315</v>
      </c>
      <c r="B29" s="128" t="s">
        <v>6</v>
      </c>
      <c r="C29" s="76" t="s">
        <v>27</v>
      </c>
      <c r="D29" s="11" t="s">
        <v>13</v>
      </c>
      <c r="E29" s="31">
        <v>13677263.789999999</v>
      </c>
      <c r="G29" s="23"/>
      <c r="H29" s="23"/>
      <c r="I29" s="159"/>
      <c r="J29" s="160"/>
      <c r="K29" s="160"/>
      <c r="L29" s="70"/>
    </row>
    <row r="30" spans="1:14" s="2" customFormat="1" x14ac:dyDescent="0.2">
      <c r="A30" s="89">
        <v>45315</v>
      </c>
      <c r="B30" s="128" t="s">
        <v>6</v>
      </c>
      <c r="C30" s="76" t="s">
        <v>633</v>
      </c>
      <c r="D30" s="11" t="s">
        <v>13</v>
      </c>
      <c r="E30" s="31">
        <v>25176</v>
      </c>
      <c r="G30" s="23"/>
      <c r="H30" s="23"/>
      <c r="I30" s="159"/>
      <c r="J30" s="160"/>
      <c r="K30" s="160"/>
      <c r="L30" s="70"/>
    </row>
    <row r="31" spans="1:14" s="2" customFormat="1" x14ac:dyDescent="0.2">
      <c r="A31" s="89">
        <v>45315</v>
      </c>
      <c r="B31" s="128" t="s">
        <v>6</v>
      </c>
      <c r="C31" s="76" t="s">
        <v>556</v>
      </c>
      <c r="D31" s="11" t="s">
        <v>13</v>
      </c>
      <c r="E31" s="31">
        <v>3507</v>
      </c>
      <c r="G31" s="23"/>
      <c r="H31" s="23"/>
      <c r="I31" s="159"/>
      <c r="J31" s="160"/>
      <c r="K31" s="160"/>
      <c r="L31" s="70"/>
    </row>
    <row r="32" spans="1:14" s="2" customFormat="1" x14ac:dyDescent="0.2">
      <c r="A32" s="89">
        <v>45315</v>
      </c>
      <c r="B32" s="128" t="s">
        <v>6</v>
      </c>
      <c r="C32" s="76" t="s">
        <v>771</v>
      </c>
      <c r="D32" s="11" t="s">
        <v>13</v>
      </c>
      <c r="E32" s="31">
        <v>81923</v>
      </c>
      <c r="G32" s="23"/>
      <c r="H32" s="23"/>
      <c r="I32" s="159"/>
      <c r="J32" s="160"/>
      <c r="K32" s="160"/>
      <c r="L32" s="70"/>
    </row>
    <row r="33" spans="1:12" s="2" customFormat="1" x14ac:dyDescent="0.2">
      <c r="A33" s="89">
        <v>45315</v>
      </c>
      <c r="B33" s="128" t="s">
        <v>6</v>
      </c>
      <c r="C33" s="76" t="s">
        <v>85</v>
      </c>
      <c r="D33" s="11" t="s">
        <v>13</v>
      </c>
      <c r="E33" s="31">
        <v>56520</v>
      </c>
      <c r="G33" s="23"/>
      <c r="H33" s="23"/>
      <c r="I33" s="159"/>
      <c r="J33" s="160"/>
      <c r="K33" s="160"/>
      <c r="L33" s="70"/>
    </row>
    <row r="34" spans="1:12" s="2" customFormat="1" x14ac:dyDescent="0.2">
      <c r="A34" s="89">
        <v>45315</v>
      </c>
      <c r="B34" s="128" t="s">
        <v>6</v>
      </c>
      <c r="C34" s="76" t="s">
        <v>299</v>
      </c>
      <c r="D34" s="11" t="s">
        <v>13</v>
      </c>
      <c r="E34" s="31">
        <v>66705</v>
      </c>
      <c r="G34" s="23"/>
      <c r="H34" s="23"/>
      <c r="I34" s="159"/>
      <c r="J34" s="160"/>
      <c r="K34" s="160"/>
      <c r="L34" s="70"/>
    </row>
    <row r="35" spans="1:12" s="2" customFormat="1" x14ac:dyDescent="0.2">
      <c r="A35" s="89">
        <v>45315</v>
      </c>
      <c r="B35" s="128" t="s">
        <v>6</v>
      </c>
      <c r="C35" s="76" t="s">
        <v>993</v>
      </c>
      <c r="D35" s="11" t="s">
        <v>13</v>
      </c>
      <c r="E35" s="31">
        <v>3360</v>
      </c>
      <c r="G35" s="23"/>
      <c r="H35" s="23"/>
      <c r="I35" s="159"/>
      <c r="J35" s="160"/>
      <c r="K35" s="160"/>
      <c r="L35" s="70"/>
    </row>
    <row r="36" spans="1:12" s="2" customFormat="1" x14ac:dyDescent="0.2">
      <c r="A36" s="89">
        <v>45315</v>
      </c>
      <c r="B36" s="128" t="s">
        <v>6</v>
      </c>
      <c r="C36" s="76" t="s">
        <v>583</v>
      </c>
      <c r="D36" s="11" t="s">
        <v>13</v>
      </c>
      <c r="E36" s="31">
        <v>827000</v>
      </c>
      <c r="G36" s="23"/>
      <c r="H36" s="23"/>
      <c r="I36" s="159"/>
      <c r="J36" s="160"/>
      <c r="K36" s="160"/>
      <c r="L36" s="70"/>
    </row>
    <row r="37" spans="1:12" s="2" customFormat="1" x14ac:dyDescent="0.2">
      <c r="A37" s="89">
        <v>45315</v>
      </c>
      <c r="B37" s="128" t="s">
        <v>6</v>
      </c>
      <c r="C37" s="76" t="s">
        <v>1338</v>
      </c>
      <c r="D37" s="11" t="s">
        <v>13</v>
      </c>
      <c r="E37" s="31">
        <v>74544</v>
      </c>
      <c r="G37" s="23"/>
      <c r="H37" s="23"/>
      <c r="I37" s="159"/>
      <c r="J37" s="160"/>
      <c r="K37" s="160"/>
      <c r="L37" s="70"/>
    </row>
    <row r="38" spans="1:12" s="2" customFormat="1" x14ac:dyDescent="0.2">
      <c r="A38" s="89">
        <v>45315</v>
      </c>
      <c r="B38" s="128" t="s">
        <v>6</v>
      </c>
      <c r="C38" s="76" t="s">
        <v>146</v>
      </c>
      <c r="D38" s="11" t="s">
        <v>13</v>
      </c>
      <c r="E38" s="31">
        <v>1691844</v>
      </c>
      <c r="G38" s="23"/>
      <c r="H38" s="23"/>
      <c r="I38" s="159"/>
      <c r="J38" s="160"/>
      <c r="K38" s="160"/>
      <c r="L38" s="70"/>
    </row>
    <row r="39" spans="1:12" s="2" customFormat="1" x14ac:dyDescent="0.2">
      <c r="A39" s="89">
        <v>45315</v>
      </c>
      <c r="B39" s="128" t="s">
        <v>6</v>
      </c>
      <c r="C39" s="76" t="s">
        <v>1916</v>
      </c>
      <c r="D39" s="11" t="s">
        <v>13</v>
      </c>
      <c r="E39" s="31">
        <v>11340</v>
      </c>
      <c r="G39" s="23"/>
      <c r="H39" s="23"/>
      <c r="I39" s="159"/>
      <c r="J39" s="160"/>
      <c r="K39" s="160"/>
      <c r="L39" s="70"/>
    </row>
    <row r="40" spans="1:12" s="2" customFormat="1" x14ac:dyDescent="0.2">
      <c r="A40" s="89">
        <v>45315</v>
      </c>
      <c r="B40" s="128" t="s">
        <v>6</v>
      </c>
      <c r="C40" s="76" t="s">
        <v>165</v>
      </c>
      <c r="D40" s="11" t="s">
        <v>13</v>
      </c>
      <c r="E40" s="31">
        <v>17640</v>
      </c>
      <c r="G40" s="23"/>
      <c r="H40" s="23"/>
      <c r="I40" s="159"/>
      <c r="J40" s="160"/>
      <c r="K40" s="160"/>
      <c r="L40" s="70"/>
    </row>
    <row r="41" spans="1:12" s="2" customFormat="1" x14ac:dyDescent="0.2">
      <c r="A41" s="89">
        <v>45315</v>
      </c>
      <c r="B41" s="128" t="s">
        <v>11</v>
      </c>
      <c r="C41" s="76" t="s">
        <v>64</v>
      </c>
      <c r="D41" s="11" t="s">
        <v>29</v>
      </c>
      <c r="E41" s="31"/>
      <c r="F41" s="2">
        <f>12735.06+234.82</f>
        <v>12969.88</v>
      </c>
      <c r="G41" s="23"/>
      <c r="H41" s="23"/>
      <c r="I41" s="159"/>
      <c r="J41" s="160"/>
      <c r="K41" s="160"/>
      <c r="L41" s="70"/>
    </row>
    <row r="42" spans="1:12" s="2" customFormat="1" x14ac:dyDescent="0.2">
      <c r="A42" s="89">
        <v>45315</v>
      </c>
      <c r="B42" s="128" t="s">
        <v>11</v>
      </c>
      <c r="C42" s="76" t="s">
        <v>393</v>
      </c>
      <c r="D42" s="11" t="s">
        <v>29</v>
      </c>
      <c r="E42" s="31"/>
      <c r="F42" s="2">
        <v>34267</v>
      </c>
      <c r="G42" s="23"/>
      <c r="H42" s="23"/>
      <c r="I42" s="159"/>
      <c r="J42" s="160"/>
      <c r="K42" s="160"/>
      <c r="L42" s="70"/>
    </row>
    <row r="43" spans="1:12" s="2" customFormat="1" x14ac:dyDescent="0.2">
      <c r="A43" s="89">
        <v>45315</v>
      </c>
      <c r="B43" s="128" t="s">
        <v>11</v>
      </c>
      <c r="C43" s="76" t="s">
        <v>687</v>
      </c>
      <c r="D43" s="11" t="s">
        <v>29</v>
      </c>
      <c r="E43" s="31"/>
      <c r="F43" s="2">
        <v>1918929</v>
      </c>
      <c r="G43" s="23"/>
      <c r="H43" s="23"/>
      <c r="I43" s="159"/>
      <c r="J43" s="160"/>
      <c r="K43" s="160"/>
      <c r="L43" s="70"/>
    </row>
    <row r="44" spans="1:12" s="2" customFormat="1" x14ac:dyDescent="0.2">
      <c r="A44" s="89">
        <v>45315</v>
      </c>
      <c r="B44" s="128" t="s">
        <v>11</v>
      </c>
      <c r="C44" s="76" t="s">
        <v>1607</v>
      </c>
      <c r="D44" s="11" t="s">
        <v>29</v>
      </c>
      <c r="E44" s="31"/>
      <c r="F44" s="2">
        <v>21358</v>
      </c>
      <c r="G44" s="23"/>
      <c r="H44" s="23"/>
      <c r="I44" s="159"/>
      <c r="J44" s="160"/>
      <c r="K44" s="160"/>
      <c r="L44" s="70"/>
    </row>
    <row r="45" spans="1:12" s="2" customFormat="1" x14ac:dyDescent="0.2">
      <c r="A45" s="89">
        <v>45315</v>
      </c>
      <c r="B45" s="128" t="s">
        <v>11</v>
      </c>
      <c r="C45" s="76" t="s">
        <v>224</v>
      </c>
      <c r="D45" s="11" t="s">
        <v>29</v>
      </c>
      <c r="E45" s="31"/>
      <c r="F45" s="2">
        <v>45729.919999999998</v>
      </c>
      <c r="G45" s="23"/>
      <c r="H45" s="23"/>
      <c r="I45" s="159"/>
      <c r="J45" s="160"/>
      <c r="K45" s="160"/>
      <c r="L45" s="70"/>
    </row>
    <row r="46" spans="1:12" s="2" customFormat="1" x14ac:dyDescent="0.2">
      <c r="A46" s="89">
        <v>45315</v>
      </c>
      <c r="B46" s="128" t="s">
        <v>11</v>
      </c>
      <c r="C46" s="76" t="s">
        <v>226</v>
      </c>
      <c r="D46" s="11" t="s">
        <v>29</v>
      </c>
      <c r="E46" s="31"/>
      <c r="F46" s="2">
        <v>18255</v>
      </c>
      <c r="G46" s="23"/>
      <c r="H46" s="23"/>
      <c r="I46" s="159"/>
      <c r="J46" s="160"/>
      <c r="K46" s="160"/>
      <c r="L46" s="70"/>
    </row>
    <row r="47" spans="1:12" s="2" customFormat="1" x14ac:dyDescent="0.2">
      <c r="A47" s="89">
        <v>45315</v>
      </c>
      <c r="B47" s="128" t="s">
        <v>11</v>
      </c>
      <c r="C47" s="76" t="s">
        <v>462</v>
      </c>
      <c r="D47" s="11" t="s">
        <v>29</v>
      </c>
      <c r="E47" s="31"/>
      <c r="F47" s="2">
        <v>18608</v>
      </c>
      <c r="G47" s="23"/>
      <c r="H47" s="23"/>
      <c r="I47" s="159"/>
      <c r="J47" s="160"/>
      <c r="K47" s="160"/>
      <c r="L47" s="70"/>
    </row>
    <row r="48" spans="1:12" s="2" customFormat="1" x14ac:dyDescent="0.2">
      <c r="A48" s="89">
        <v>45315</v>
      </c>
      <c r="B48" s="128" t="s">
        <v>11</v>
      </c>
      <c r="C48" s="76" t="s">
        <v>36</v>
      </c>
      <c r="D48" s="11" t="s">
        <v>29</v>
      </c>
      <c r="E48" s="31"/>
      <c r="F48" s="2">
        <v>10277</v>
      </c>
      <c r="G48" s="23"/>
      <c r="H48" s="23"/>
      <c r="I48" s="159"/>
      <c r="J48" s="160"/>
      <c r="K48" s="160"/>
      <c r="L48" s="70"/>
    </row>
    <row r="49" spans="1:12" s="2" customFormat="1" x14ac:dyDescent="0.2">
      <c r="A49" s="89">
        <v>45315</v>
      </c>
      <c r="B49" s="128" t="s">
        <v>11</v>
      </c>
      <c r="C49" s="76" t="s">
        <v>409</v>
      </c>
      <c r="D49" s="11" t="s">
        <v>29</v>
      </c>
      <c r="E49" s="31"/>
      <c r="F49" s="2">
        <v>4380</v>
      </c>
      <c r="G49" s="23"/>
      <c r="H49" s="23"/>
      <c r="I49" s="159"/>
      <c r="J49" s="160"/>
      <c r="K49" s="160"/>
      <c r="L49" s="70"/>
    </row>
    <row r="50" spans="1:12" s="2" customFormat="1" x14ac:dyDescent="0.2">
      <c r="A50" s="89">
        <v>45315</v>
      </c>
      <c r="B50" s="128" t="s">
        <v>11</v>
      </c>
      <c r="C50" s="76" t="s">
        <v>2005</v>
      </c>
      <c r="D50" s="11" t="s">
        <v>29</v>
      </c>
      <c r="E50" s="31"/>
      <c r="F50" s="2">
        <v>46091</v>
      </c>
      <c r="G50" s="23"/>
      <c r="H50" s="23"/>
      <c r="I50" s="159"/>
      <c r="J50" s="160"/>
      <c r="K50" s="160"/>
      <c r="L50" s="70"/>
    </row>
    <row r="51" spans="1:12" s="2" customFormat="1" x14ac:dyDescent="0.2">
      <c r="A51" s="89">
        <v>45315</v>
      </c>
      <c r="B51" s="128" t="s">
        <v>11</v>
      </c>
      <c r="C51" s="76" t="s">
        <v>1188</v>
      </c>
      <c r="D51" s="11" t="s">
        <v>29</v>
      </c>
      <c r="E51" s="31"/>
      <c r="F51" s="2">
        <v>25488</v>
      </c>
      <c r="G51" s="23"/>
      <c r="H51" s="23"/>
      <c r="I51" s="159"/>
      <c r="J51" s="160"/>
      <c r="K51" s="160"/>
      <c r="L51" s="70"/>
    </row>
    <row r="52" spans="1:12" s="2" customFormat="1" x14ac:dyDescent="0.2">
      <c r="A52" s="89">
        <v>45315</v>
      </c>
      <c r="B52" s="128" t="s">
        <v>11</v>
      </c>
      <c r="C52" s="76" t="s">
        <v>436</v>
      </c>
      <c r="D52" s="11" t="s">
        <v>29</v>
      </c>
      <c r="E52" s="31"/>
      <c r="F52" s="2">
        <v>28320</v>
      </c>
      <c r="G52" s="23"/>
      <c r="H52" s="23"/>
      <c r="I52" s="159"/>
      <c r="J52" s="160"/>
      <c r="K52" s="160"/>
      <c r="L52" s="70"/>
    </row>
    <row r="53" spans="1:12" s="2" customFormat="1" x14ac:dyDescent="0.2">
      <c r="A53" s="89">
        <v>45315</v>
      </c>
      <c r="B53" s="128" t="s">
        <v>11</v>
      </c>
      <c r="C53" s="76" t="s">
        <v>392</v>
      </c>
      <c r="D53" s="11" t="s">
        <v>29</v>
      </c>
      <c r="E53" s="31"/>
      <c r="F53" s="2">
        <v>26255</v>
      </c>
      <c r="G53" s="23"/>
      <c r="H53" s="23"/>
      <c r="I53" s="159"/>
      <c r="J53" s="160"/>
      <c r="K53" s="160"/>
      <c r="L53" s="70"/>
    </row>
    <row r="54" spans="1:12" s="2" customFormat="1" x14ac:dyDescent="0.2">
      <c r="A54" s="89">
        <v>45315</v>
      </c>
      <c r="B54" s="128" t="s">
        <v>11</v>
      </c>
      <c r="C54" s="76" t="s">
        <v>38</v>
      </c>
      <c r="D54" s="11" t="s">
        <v>29</v>
      </c>
      <c r="E54" s="31"/>
      <c r="F54" s="2">
        <v>9447.5</v>
      </c>
      <c r="G54" s="23"/>
      <c r="H54" s="23"/>
      <c r="I54" s="159"/>
      <c r="J54" s="160"/>
      <c r="K54" s="160"/>
      <c r="L54" s="70"/>
    </row>
    <row r="55" spans="1:12" s="2" customFormat="1" x14ac:dyDescent="0.2">
      <c r="A55" s="89">
        <v>45315</v>
      </c>
      <c r="B55" s="128" t="s">
        <v>11</v>
      </c>
      <c r="C55" s="76" t="s">
        <v>315</v>
      </c>
      <c r="D55" s="11" t="s">
        <v>29</v>
      </c>
      <c r="E55" s="31"/>
      <c r="F55" s="2">
        <v>28154</v>
      </c>
      <c r="G55" s="23"/>
      <c r="H55" s="23"/>
      <c r="I55" s="159"/>
      <c r="J55" s="160"/>
      <c r="K55" s="160"/>
      <c r="L55" s="70"/>
    </row>
    <row r="56" spans="1:12" s="2" customFormat="1" x14ac:dyDescent="0.2">
      <c r="A56" s="89">
        <v>45315</v>
      </c>
      <c r="B56" s="128" t="s">
        <v>11</v>
      </c>
      <c r="C56" s="76" t="s">
        <v>657</v>
      </c>
      <c r="D56" s="11" t="s">
        <v>29</v>
      </c>
      <c r="E56" s="31"/>
      <c r="F56" s="2">
        <v>45499</v>
      </c>
      <c r="G56" s="23"/>
      <c r="H56" s="23"/>
      <c r="I56" s="159"/>
      <c r="J56" s="160"/>
      <c r="K56" s="160"/>
      <c r="L56" s="70"/>
    </row>
    <row r="57" spans="1:12" s="2" customFormat="1" x14ac:dyDescent="0.2">
      <c r="A57" s="89">
        <v>45315</v>
      </c>
      <c r="B57" s="128" t="s">
        <v>11</v>
      </c>
      <c r="C57" s="76" t="s">
        <v>43</v>
      </c>
      <c r="D57" s="11" t="s">
        <v>29</v>
      </c>
      <c r="E57" s="31"/>
      <c r="F57" s="2">
        <v>14160</v>
      </c>
      <c r="G57" s="23"/>
      <c r="H57" s="23"/>
      <c r="I57" s="159"/>
      <c r="J57" s="160"/>
      <c r="K57" s="160"/>
      <c r="L57" s="70"/>
    </row>
    <row r="58" spans="1:12" s="2" customFormat="1" x14ac:dyDescent="0.2">
      <c r="A58" s="89">
        <v>45315</v>
      </c>
      <c r="B58" s="128" t="s">
        <v>11</v>
      </c>
      <c r="C58" s="76" t="s">
        <v>1341</v>
      </c>
      <c r="D58" s="11" t="s">
        <v>29</v>
      </c>
      <c r="E58" s="31"/>
      <c r="F58" s="2">
        <v>14186.44</v>
      </c>
      <c r="G58" s="23"/>
      <c r="H58" s="23"/>
      <c r="I58" s="159"/>
      <c r="J58" s="160"/>
      <c r="K58" s="160"/>
      <c r="L58" s="70"/>
    </row>
    <row r="59" spans="1:12" s="2" customFormat="1" x14ac:dyDescent="0.2">
      <c r="A59" s="89">
        <v>45315</v>
      </c>
      <c r="B59" s="128" t="s">
        <v>11</v>
      </c>
      <c r="C59" s="76" t="s">
        <v>481</v>
      </c>
      <c r="D59" s="11" t="s">
        <v>29</v>
      </c>
      <c r="E59" s="31"/>
      <c r="F59" s="2">
        <v>205681</v>
      </c>
      <c r="G59" s="23"/>
      <c r="H59" s="23"/>
      <c r="I59" s="159"/>
      <c r="J59" s="160"/>
      <c r="K59" s="160"/>
      <c r="L59" s="70"/>
    </row>
    <row r="60" spans="1:12" s="2" customFormat="1" x14ac:dyDescent="0.2">
      <c r="A60" s="89">
        <v>45315</v>
      </c>
      <c r="B60" s="128" t="s">
        <v>11</v>
      </c>
      <c r="C60" s="76" t="s">
        <v>1833</v>
      </c>
      <c r="D60" s="11" t="s">
        <v>29</v>
      </c>
      <c r="E60" s="31"/>
      <c r="F60" s="2">
        <v>443980</v>
      </c>
      <c r="G60" s="23"/>
      <c r="H60" s="23"/>
      <c r="I60" s="159"/>
      <c r="J60" s="160"/>
      <c r="K60" s="160"/>
      <c r="L60" s="70"/>
    </row>
    <row r="61" spans="1:12" s="2" customFormat="1" x14ac:dyDescent="0.2">
      <c r="A61" s="89">
        <v>45315</v>
      </c>
      <c r="B61" s="128" t="s">
        <v>11</v>
      </c>
      <c r="C61" s="76" t="s">
        <v>2006</v>
      </c>
      <c r="D61" s="11" t="s">
        <v>29</v>
      </c>
      <c r="E61" s="31"/>
      <c r="F61" s="2">
        <v>7805</v>
      </c>
      <c r="G61" s="23"/>
      <c r="H61" s="23"/>
      <c r="I61" s="159"/>
      <c r="J61" s="160"/>
      <c r="K61" s="160"/>
      <c r="L61" s="70"/>
    </row>
    <row r="62" spans="1:12" s="2" customFormat="1" x14ac:dyDescent="0.2">
      <c r="A62" s="89">
        <v>45315</v>
      </c>
      <c r="B62" s="128" t="s">
        <v>11</v>
      </c>
      <c r="C62" s="76" t="s">
        <v>2007</v>
      </c>
      <c r="D62" s="11" t="s">
        <v>29</v>
      </c>
      <c r="E62" s="31"/>
      <c r="F62" s="2">
        <v>3057</v>
      </c>
      <c r="G62" s="23"/>
      <c r="H62" s="23"/>
      <c r="I62" s="159"/>
      <c r="J62" s="160"/>
      <c r="K62" s="160"/>
      <c r="L62" s="70"/>
    </row>
    <row r="63" spans="1:12" s="2" customFormat="1" x14ac:dyDescent="0.2">
      <c r="A63" s="89">
        <v>45315</v>
      </c>
      <c r="B63" s="128" t="s">
        <v>11</v>
      </c>
      <c r="C63" s="76" t="s">
        <v>62</v>
      </c>
      <c r="D63" s="11" t="s">
        <v>29</v>
      </c>
      <c r="E63" s="31"/>
      <c r="F63" s="2">
        <v>100000</v>
      </c>
      <c r="G63" s="23"/>
      <c r="H63" s="23"/>
      <c r="I63" s="159"/>
      <c r="J63" s="160"/>
      <c r="K63" s="160"/>
      <c r="L63" s="70"/>
    </row>
    <row r="64" spans="1:12" s="2" customFormat="1" x14ac:dyDescent="0.2">
      <c r="A64" s="89">
        <v>45315</v>
      </c>
      <c r="B64" s="128" t="s">
        <v>11</v>
      </c>
      <c r="C64" s="76" t="s">
        <v>242</v>
      </c>
      <c r="D64" s="11" t="s">
        <v>29</v>
      </c>
      <c r="E64" s="31"/>
      <c r="F64" s="2">
        <v>17326</v>
      </c>
      <c r="G64" s="23"/>
      <c r="H64" s="23"/>
      <c r="I64" s="159"/>
      <c r="J64" s="160"/>
      <c r="K64" s="160"/>
      <c r="L64" s="70"/>
    </row>
    <row r="65" spans="1:15" s="2" customFormat="1" x14ac:dyDescent="0.2">
      <c r="A65" s="89">
        <v>45315</v>
      </c>
      <c r="B65" s="128" t="s">
        <v>11</v>
      </c>
      <c r="C65" s="76" t="s">
        <v>685</v>
      </c>
      <c r="D65" s="11" t="s">
        <v>29</v>
      </c>
      <c r="E65" s="31"/>
      <c r="F65" s="2">
        <v>172280</v>
      </c>
      <c r="G65" s="23"/>
      <c r="H65" s="23"/>
      <c r="I65" s="159"/>
      <c r="J65" s="160"/>
      <c r="K65" s="160"/>
      <c r="L65" s="70"/>
    </row>
    <row r="66" spans="1:15" s="2" customFormat="1" x14ac:dyDescent="0.2">
      <c r="A66" s="89">
        <v>45315</v>
      </c>
      <c r="B66" s="128" t="s">
        <v>11</v>
      </c>
      <c r="C66" s="76" t="s">
        <v>55</v>
      </c>
      <c r="D66" s="11" t="s">
        <v>29</v>
      </c>
      <c r="E66" s="31"/>
      <c r="F66" s="2">
        <v>1625185.34</v>
      </c>
      <c r="G66" s="23"/>
      <c r="H66" s="23"/>
      <c r="I66" s="159"/>
      <c r="J66" s="160"/>
      <c r="K66" s="160"/>
      <c r="L66" s="70"/>
    </row>
    <row r="67" spans="1:15" s="2" customFormat="1" x14ac:dyDescent="0.2">
      <c r="A67" s="89">
        <v>45315</v>
      </c>
      <c r="B67" s="128" t="s">
        <v>11</v>
      </c>
      <c r="C67" s="76" t="s">
        <v>2008</v>
      </c>
      <c r="D67" s="11" t="s">
        <v>29</v>
      </c>
      <c r="E67" s="31"/>
      <c r="F67" s="2">
        <v>772590</v>
      </c>
      <c r="G67" s="23"/>
      <c r="H67" s="23"/>
      <c r="I67" s="159"/>
      <c r="J67" s="160"/>
      <c r="K67" s="160"/>
      <c r="L67" s="70"/>
    </row>
    <row r="68" spans="1:15" s="2" customFormat="1" x14ac:dyDescent="0.2">
      <c r="A68" s="89">
        <v>45315</v>
      </c>
      <c r="B68" s="128" t="s">
        <v>11</v>
      </c>
      <c r="C68" s="76" t="s">
        <v>443</v>
      </c>
      <c r="D68" s="11" t="s">
        <v>29</v>
      </c>
      <c r="E68" s="31"/>
      <c r="F68" s="2">
        <v>3000000</v>
      </c>
      <c r="G68" s="23"/>
      <c r="H68" s="23"/>
      <c r="I68" s="159"/>
      <c r="J68" s="160"/>
      <c r="K68" s="160"/>
      <c r="L68" s="70"/>
    </row>
    <row r="69" spans="1:15" s="2" customFormat="1" x14ac:dyDescent="0.2">
      <c r="A69" s="89">
        <v>45315</v>
      </c>
      <c r="B69" s="128" t="s">
        <v>11</v>
      </c>
      <c r="C69" s="76" t="s">
        <v>1979</v>
      </c>
      <c r="D69" s="11" t="s">
        <v>29</v>
      </c>
      <c r="E69" s="31"/>
      <c r="F69" s="2">
        <v>111638.42</v>
      </c>
      <c r="G69" s="23"/>
      <c r="H69" s="23"/>
      <c r="I69" s="159"/>
      <c r="J69" s="160"/>
      <c r="K69" s="160"/>
      <c r="L69" s="70"/>
    </row>
    <row r="70" spans="1:15" s="2" customFormat="1" x14ac:dyDescent="0.2">
      <c r="A70" s="32"/>
      <c r="B70" s="33"/>
      <c r="C70" s="14"/>
      <c r="D70" s="34"/>
      <c r="E70" s="16">
        <f>SUM(E25:E69)</f>
        <v>17920807.919999998</v>
      </c>
      <c r="F70" s="16">
        <f>SUM(F25:F69)</f>
        <v>88413212.759999931</v>
      </c>
      <c r="G70" s="1"/>
      <c r="H70" s="1"/>
      <c r="I70" s="1"/>
      <c r="J70" s="38">
        <v>70492404.840000004</v>
      </c>
      <c r="L70" s="92">
        <f>E71-J70</f>
        <v>0</v>
      </c>
      <c r="O70" s="1"/>
    </row>
    <row r="71" spans="1:15" s="2" customFormat="1" x14ac:dyDescent="0.2">
      <c r="A71" s="36"/>
      <c r="B71" s="28" t="s">
        <v>11</v>
      </c>
      <c r="C71" s="19" t="s">
        <v>65</v>
      </c>
      <c r="D71" s="37"/>
      <c r="E71" s="38">
        <f>F70-E70</f>
        <v>70492404.839999929</v>
      </c>
      <c r="F71" s="22"/>
      <c r="G71" s="1"/>
      <c r="H71" s="1"/>
      <c r="I71" s="1"/>
      <c r="J71" s="70"/>
      <c r="K71" s="70"/>
      <c r="L71" s="70"/>
      <c r="O71" s="1"/>
    </row>
    <row r="72" spans="1:15" s="2" customFormat="1" x14ac:dyDescent="0.2">
      <c r="A72" s="36"/>
      <c r="B72" s="28" t="s">
        <v>66</v>
      </c>
      <c r="C72" s="19" t="s">
        <v>67</v>
      </c>
      <c r="D72" s="37"/>
      <c r="E72" s="38">
        <v>11500000</v>
      </c>
      <c r="F72" s="22"/>
      <c r="G72" s="1"/>
      <c r="H72" s="1"/>
      <c r="I72" s="70"/>
      <c r="J72" s="70"/>
      <c r="K72" s="70"/>
      <c r="L72" s="70"/>
      <c r="O72" s="1"/>
    </row>
    <row r="73" spans="1:15" s="2" customFormat="1" x14ac:dyDescent="0.2">
      <c r="A73" s="36"/>
      <c r="B73" s="28" t="s">
        <v>66</v>
      </c>
      <c r="C73" s="43" t="s">
        <v>1457</v>
      </c>
      <c r="D73" s="43"/>
      <c r="E73" s="12">
        <v>400000000</v>
      </c>
      <c r="F73" s="22"/>
      <c r="G73" s="1"/>
      <c r="H73" s="1"/>
      <c r="I73" s="70"/>
      <c r="J73" s="45">
        <v>1267.29</v>
      </c>
      <c r="K73" s="46"/>
      <c r="L73" s="46"/>
      <c r="O73" s="1"/>
    </row>
    <row r="74" spans="1:15" s="2" customFormat="1" ht="15" x14ac:dyDescent="0.25">
      <c r="A74" s="36"/>
      <c r="B74" s="28"/>
      <c r="C74" s="44" t="s">
        <v>1541</v>
      </c>
      <c r="D74" s="43"/>
      <c r="E74" s="7">
        <f>+E73+E71+E72</f>
        <v>481992404.83999991</v>
      </c>
      <c r="F74" s="22"/>
      <c r="G74" s="1"/>
      <c r="H74" s="1"/>
      <c r="I74" s="103" t="s">
        <v>69</v>
      </c>
      <c r="J74" s="45">
        <v>-60.18</v>
      </c>
      <c r="K74" s="46"/>
      <c r="L74" s="46"/>
      <c r="O74" s="1"/>
    </row>
    <row r="75" spans="1:15" s="2" customFormat="1" ht="15" x14ac:dyDescent="0.25">
      <c r="A75" s="24"/>
      <c r="B75" s="1"/>
      <c r="C75" s="44" t="s">
        <v>1510</v>
      </c>
      <c r="D75" s="25"/>
      <c r="E75" s="156">
        <f>+J25-E72+I21-J21</f>
        <v>18007595.159999996</v>
      </c>
      <c r="G75" s="1"/>
      <c r="H75" s="1"/>
      <c r="I75" s="35">
        <v>1</v>
      </c>
      <c r="J75" s="45">
        <v>29.99</v>
      </c>
      <c r="K75" s="46">
        <f>+J76-D78</f>
        <v>0</v>
      </c>
      <c r="O75" s="1"/>
    </row>
    <row r="76" spans="1:15" s="124" customFormat="1" ht="12.75" customHeight="1" x14ac:dyDescent="0.2">
      <c r="A76" s="24"/>
      <c r="B76" s="1"/>
      <c r="C76" s="56"/>
      <c r="D76" s="56"/>
      <c r="E76" s="104"/>
      <c r="F76" s="2"/>
      <c r="G76" s="166"/>
      <c r="H76" s="166"/>
      <c r="I76" s="70"/>
      <c r="J76" s="49">
        <f>SUM(J73:J75)</f>
        <v>1237.0999999999999</v>
      </c>
      <c r="K76" s="46"/>
      <c r="L76" s="46"/>
    </row>
    <row r="77" spans="1:15" s="124" customFormat="1" ht="12.75" customHeight="1" x14ac:dyDescent="0.2">
      <c r="A77" s="24"/>
      <c r="B77" s="1"/>
      <c r="C77" s="78" t="s">
        <v>575</v>
      </c>
      <c r="D77" s="48" t="s">
        <v>576</v>
      </c>
      <c r="E77" s="104"/>
      <c r="F77" s="2"/>
      <c r="G77" s="168"/>
      <c r="H77" s="168"/>
      <c r="I77" s="167"/>
      <c r="J77" s="167"/>
      <c r="K77" s="168"/>
    </row>
    <row r="78" spans="1:15" s="124" customFormat="1" ht="12.75" customHeight="1" x14ac:dyDescent="0.2">
      <c r="A78" s="24"/>
      <c r="B78" s="1"/>
      <c r="C78" s="47" t="s">
        <v>570</v>
      </c>
      <c r="D78" s="111">
        <v>1237.0999999999999</v>
      </c>
      <c r="E78" s="104"/>
      <c r="F78" s="2"/>
      <c r="G78" s="168"/>
      <c r="H78" s="168"/>
      <c r="I78" s="110" t="s">
        <v>581</v>
      </c>
      <c r="J78" s="167"/>
      <c r="K78" s="168"/>
    </row>
    <row r="79" spans="1:15" s="124" customFormat="1" ht="12.75" customHeight="1" x14ac:dyDescent="0.2">
      <c r="A79" s="24"/>
      <c r="B79" s="1"/>
      <c r="C79" s="47" t="s">
        <v>931</v>
      </c>
      <c r="D79" s="111">
        <v>189.7</v>
      </c>
      <c r="E79" s="104"/>
      <c r="F79" s="2"/>
      <c r="G79" s="168"/>
      <c r="H79" s="168"/>
      <c r="I79" s="110" t="s">
        <v>580</v>
      </c>
      <c r="J79" s="167"/>
      <c r="K79" s="168"/>
    </row>
    <row r="80" spans="1:15" s="124" customFormat="1" ht="12.75" customHeight="1" x14ac:dyDescent="0.2">
      <c r="A80" s="24"/>
      <c r="B80" s="1"/>
      <c r="C80" s="47" t="s">
        <v>572</v>
      </c>
      <c r="D80" s="111">
        <f>+D121/100000</f>
        <v>656.82432740000002</v>
      </c>
      <c r="E80" s="104"/>
      <c r="F80" s="2"/>
      <c r="G80" s="166"/>
      <c r="H80" s="166"/>
      <c r="I80" s="90" t="s">
        <v>587</v>
      </c>
      <c r="J80" s="167"/>
      <c r="K80" s="168"/>
    </row>
    <row r="81" spans="1:15" s="2" customFormat="1" x14ac:dyDescent="0.2">
      <c r="A81" s="24"/>
      <c r="B81" s="1"/>
      <c r="C81" s="108" t="s">
        <v>578</v>
      </c>
      <c r="D81" s="48">
        <f>SUM(D78:D80)</f>
        <v>2083.6243273999999</v>
      </c>
      <c r="E81" s="104"/>
      <c r="G81" s="30"/>
      <c r="H81" s="30"/>
      <c r="J81" s="13"/>
      <c r="K81" s="13"/>
    </row>
    <row r="82" spans="1:15" s="70" customFormat="1" x14ac:dyDescent="0.2">
      <c r="A82" s="24"/>
      <c r="B82" s="1"/>
      <c r="C82" s="47"/>
      <c r="D82" s="107"/>
      <c r="E82" s="104"/>
      <c r="F82" s="2"/>
      <c r="G82" s="30"/>
      <c r="H82" s="30"/>
      <c r="I82" s="2"/>
    </row>
    <row r="83" spans="1:15" s="70" customFormat="1" x14ac:dyDescent="0.2">
      <c r="A83" s="24"/>
      <c r="B83" s="1"/>
      <c r="C83" s="47" t="s">
        <v>932</v>
      </c>
      <c r="D83" s="111">
        <v>401.63</v>
      </c>
      <c r="E83" s="104"/>
      <c r="F83" s="2"/>
      <c r="G83" s="30"/>
      <c r="H83" s="30"/>
      <c r="I83" s="110" t="s">
        <v>581</v>
      </c>
    </row>
    <row r="84" spans="1:15" s="70" customFormat="1" x14ac:dyDescent="0.2">
      <c r="A84" s="24"/>
      <c r="B84" s="1"/>
      <c r="C84" s="136" t="s">
        <v>1142</v>
      </c>
      <c r="D84" s="111">
        <v>1130.81</v>
      </c>
      <c r="E84" s="104"/>
      <c r="F84" s="2"/>
      <c r="G84" s="30"/>
      <c r="H84" s="30"/>
      <c r="I84" s="110" t="s">
        <v>581</v>
      </c>
    </row>
    <row r="85" spans="1:15" s="70" customFormat="1" x14ac:dyDescent="0.2">
      <c r="A85" s="24"/>
      <c r="B85" s="1"/>
      <c r="C85" s="78" t="s">
        <v>579</v>
      </c>
      <c r="D85" s="109">
        <f>D83+D84</f>
        <v>1532.44</v>
      </c>
      <c r="E85" s="104"/>
      <c r="F85" s="2"/>
      <c r="G85" s="30"/>
      <c r="H85" s="30"/>
    </row>
    <row r="86" spans="1:15" s="70" customFormat="1" x14ac:dyDescent="0.2">
      <c r="A86" s="24"/>
      <c r="B86" s="1"/>
      <c r="C86" s="105"/>
      <c r="D86" s="106"/>
      <c r="E86" s="104"/>
      <c r="F86" s="2"/>
      <c r="G86" s="30"/>
      <c r="H86" s="30"/>
      <c r="J86" s="2"/>
      <c r="K86" s="221" t="str">
        <f>"FROM ( 01-01-2024 to "&amp;TEXT(A5,"dd-mm-yyyy")&amp;" )"</f>
        <v>FROM ( 01-01-2024 to 24-01-2024 )</v>
      </c>
      <c r="L86" s="221"/>
      <c r="M86" s="2"/>
      <c r="N86" s="2"/>
    </row>
    <row r="87" spans="1:15" s="70" customFormat="1" x14ac:dyDescent="0.2">
      <c r="A87" s="24"/>
      <c r="B87" s="1"/>
      <c r="C87" s="78" t="s">
        <v>577</v>
      </c>
      <c r="D87" s="109">
        <f>D78+D85</f>
        <v>2769.54</v>
      </c>
      <c r="E87" s="104"/>
      <c r="F87" s="2"/>
      <c r="G87" s="30"/>
      <c r="H87" s="30"/>
      <c r="J87" s="113"/>
      <c r="K87" s="113" t="s">
        <v>709</v>
      </c>
      <c r="L87" s="113" t="s">
        <v>710</v>
      </c>
      <c r="M87" s="113" t="s">
        <v>711</v>
      </c>
      <c r="N87" s="113" t="s">
        <v>712</v>
      </c>
    </row>
    <row r="88" spans="1:15" s="70" customFormat="1" x14ac:dyDescent="0.2">
      <c r="A88" s="24"/>
      <c r="B88" s="1"/>
      <c r="C88" s="56"/>
      <c r="D88" s="56"/>
      <c r="E88" s="104"/>
      <c r="F88" s="2"/>
      <c r="G88" s="30"/>
      <c r="H88" s="30"/>
      <c r="J88" s="113" t="s">
        <v>1860</v>
      </c>
      <c r="K88" s="115">
        <v>189.89</v>
      </c>
      <c r="L88" s="115">
        <v>56.31</v>
      </c>
      <c r="M88" s="115">
        <v>58.41</v>
      </c>
      <c r="N88" s="113">
        <f>+K88+M88-L88</f>
        <v>191.98999999999998</v>
      </c>
    </row>
    <row r="89" spans="1:15" s="70" customFormat="1" ht="38.25" x14ac:dyDescent="0.2">
      <c r="A89" s="24"/>
      <c r="B89" s="1"/>
      <c r="C89" s="79" t="str">
        <f>"Particulars ( 01-01-2024 to "&amp;TEXT(A5,"dd-mm-yyyy")&amp;" )"</f>
        <v>Particulars ( 01-01-2024 to 24-01-2024 )</v>
      </c>
      <c r="D89" s="79" t="s">
        <v>7</v>
      </c>
      <c r="E89" s="80" t="s">
        <v>73</v>
      </c>
      <c r="F89" s="80" t="s">
        <v>74</v>
      </c>
      <c r="G89" s="81" t="s">
        <v>75</v>
      </c>
      <c r="H89" s="80" t="s">
        <v>76</v>
      </c>
      <c r="J89" s="113" t="s">
        <v>1861</v>
      </c>
      <c r="K89" s="115">
        <v>1669.02</v>
      </c>
      <c r="L89" s="115">
        <v>656.82</v>
      </c>
      <c r="M89" s="115">
        <v>1128.71</v>
      </c>
      <c r="N89" s="113">
        <f>+K89+M89-L89</f>
        <v>2140.91</v>
      </c>
    </row>
    <row r="90" spans="1:15" s="70" customFormat="1" x14ac:dyDescent="0.2">
      <c r="A90" s="24"/>
      <c r="B90" s="1"/>
      <c r="C90" s="50" t="s">
        <v>444</v>
      </c>
      <c r="D90" s="55">
        <f>+K90</f>
        <v>140.88</v>
      </c>
      <c r="E90" s="55">
        <f>+M90</f>
        <v>401.63</v>
      </c>
      <c r="F90" s="55">
        <f>+L90</f>
        <v>189.7</v>
      </c>
      <c r="G90" s="55">
        <f>+D90+E90-F90</f>
        <v>352.81</v>
      </c>
      <c r="H90" s="55">
        <f>1500-G90</f>
        <v>1147.19</v>
      </c>
      <c r="J90" s="113" t="s">
        <v>707</v>
      </c>
      <c r="K90" s="115">
        <v>140.88</v>
      </c>
      <c r="L90" s="115">
        <v>189.7</v>
      </c>
      <c r="M90" s="115">
        <v>401.63</v>
      </c>
      <c r="N90" s="113">
        <f>+K90+M90-L90</f>
        <v>352.81</v>
      </c>
    </row>
    <row r="91" spans="1:15" s="70" customFormat="1" ht="12.75" customHeight="1" x14ac:dyDescent="0.2">
      <c r="A91" s="24"/>
      <c r="B91" s="1"/>
      <c r="C91" s="50" t="s">
        <v>71</v>
      </c>
      <c r="D91" s="55">
        <f>+K88+K89</f>
        <v>1858.9099999999999</v>
      </c>
      <c r="E91" s="55">
        <f>+M88+M89</f>
        <v>1187.1200000000001</v>
      </c>
      <c r="F91" s="55">
        <f>+L88+L89</f>
        <v>713.13000000000011</v>
      </c>
      <c r="G91" s="55">
        <f>+D91+E91-F91</f>
        <v>2332.8999999999996</v>
      </c>
      <c r="H91" s="55">
        <f>1500+700+200-G91</f>
        <v>67.100000000000364</v>
      </c>
      <c r="J91" s="2"/>
      <c r="K91" s="118">
        <f>SUM(K88:K90)</f>
        <v>1999.79</v>
      </c>
      <c r="L91" s="118">
        <f>SUM(L88:L90)</f>
        <v>902.83000000000015</v>
      </c>
      <c r="M91" s="118">
        <f>SUM(M88:M90)</f>
        <v>1588.75</v>
      </c>
      <c r="N91" s="118">
        <f>SUM(N88:N90)</f>
        <v>2685.7099999999996</v>
      </c>
    </row>
    <row r="92" spans="1:15" s="70" customFormat="1" ht="12.75" customHeight="1" x14ac:dyDescent="0.2">
      <c r="A92" s="24"/>
      <c r="B92" s="1"/>
      <c r="C92" s="14"/>
      <c r="D92" s="56"/>
      <c r="E92" s="13"/>
      <c r="F92" s="2"/>
      <c r="G92" s="30"/>
      <c r="H92" s="30"/>
    </row>
    <row r="93" spans="1:15" s="70" customFormat="1" ht="12.75" customHeight="1" x14ac:dyDescent="0.2">
      <c r="A93" s="215" t="s">
        <v>80</v>
      </c>
      <c r="B93" s="216"/>
      <c r="C93" s="216"/>
      <c r="D93" s="217"/>
      <c r="E93" s="69"/>
      <c r="G93" s="30"/>
      <c r="H93" s="30"/>
    </row>
    <row r="94" spans="1:15" s="70" customFormat="1" ht="12.75" customHeight="1" x14ac:dyDescent="0.2">
      <c r="A94" s="71" t="s">
        <v>81</v>
      </c>
      <c r="B94" s="71"/>
      <c r="C94" s="72" t="s">
        <v>82</v>
      </c>
      <c r="D94" s="73" t="s">
        <v>83</v>
      </c>
      <c r="E94" s="69"/>
      <c r="G94" s="30"/>
      <c r="H94" s="30"/>
    </row>
    <row r="95" spans="1:15" s="70" customFormat="1" ht="12.75" customHeight="1" x14ac:dyDescent="0.2">
      <c r="A95" s="87">
        <v>45292</v>
      </c>
      <c r="B95" s="120" t="s">
        <v>6</v>
      </c>
      <c r="C95" s="75" t="s">
        <v>1933</v>
      </c>
      <c r="D95" s="88">
        <v>7583470</v>
      </c>
      <c r="E95" s="2"/>
      <c r="F95" s="2"/>
      <c r="G95" s="30"/>
      <c r="H95" s="30"/>
      <c r="I95" s="2"/>
      <c r="J95" s="2"/>
      <c r="K95" s="2"/>
      <c r="L95" s="2"/>
      <c r="M95" s="41"/>
      <c r="N95" s="42"/>
      <c r="O95" s="2"/>
    </row>
    <row r="96" spans="1:15" s="70" customFormat="1" ht="12.75" customHeight="1" x14ac:dyDescent="0.2">
      <c r="A96" s="87">
        <v>45293</v>
      </c>
      <c r="B96" s="120" t="s">
        <v>6</v>
      </c>
      <c r="C96" s="75" t="s">
        <v>1934</v>
      </c>
      <c r="D96" s="88">
        <v>124988</v>
      </c>
      <c r="E96" s="2"/>
      <c r="F96" s="2"/>
      <c r="G96" s="30"/>
      <c r="H96" s="30"/>
      <c r="I96" s="2"/>
      <c r="J96" s="2"/>
      <c r="K96" s="2"/>
      <c r="L96" s="2"/>
      <c r="M96" s="41"/>
      <c r="N96" s="42"/>
      <c r="O96" s="2"/>
    </row>
    <row r="97" spans="1:15" s="70" customFormat="1" ht="12.75" customHeight="1" x14ac:dyDescent="0.2">
      <c r="A97" s="87">
        <v>45294</v>
      </c>
      <c r="B97" s="120" t="s">
        <v>6</v>
      </c>
      <c r="C97" s="75" t="s">
        <v>606</v>
      </c>
      <c r="D97" s="88">
        <v>260191</v>
      </c>
      <c r="E97" s="2"/>
      <c r="F97" s="2"/>
      <c r="G97" s="30"/>
      <c r="H97" s="30"/>
      <c r="I97" s="2"/>
      <c r="J97" s="2"/>
      <c r="K97" s="2"/>
      <c r="L97" s="2"/>
      <c r="M97" s="41"/>
      <c r="N97" s="42"/>
      <c r="O97" s="2"/>
    </row>
    <row r="98" spans="1:15" s="70" customFormat="1" ht="12.75" customHeight="1" x14ac:dyDescent="0.2">
      <c r="A98" s="87">
        <v>45294</v>
      </c>
      <c r="B98" s="120" t="s">
        <v>6</v>
      </c>
      <c r="C98" s="75" t="s">
        <v>888</v>
      </c>
      <c r="D98" s="88">
        <v>2431991.34</v>
      </c>
      <c r="E98" s="2"/>
      <c r="F98" s="2"/>
      <c r="G98" s="30"/>
      <c r="H98" s="30"/>
      <c r="I98" s="2"/>
      <c r="J98" s="2"/>
      <c r="K98" s="2"/>
      <c r="L98" s="2"/>
      <c r="M98" s="41"/>
      <c r="N98" s="42"/>
      <c r="O98" s="2"/>
    </row>
    <row r="99" spans="1:15" s="70" customFormat="1" ht="12.75" customHeight="1" x14ac:dyDescent="0.2">
      <c r="A99" s="87">
        <v>45295</v>
      </c>
      <c r="B99" s="120" t="s">
        <v>6</v>
      </c>
      <c r="C99" s="75" t="s">
        <v>1944</v>
      </c>
      <c r="D99" s="88">
        <v>23655</v>
      </c>
      <c r="E99" s="2"/>
      <c r="F99" s="2"/>
      <c r="G99" s="30"/>
      <c r="H99" s="30"/>
      <c r="I99" s="2"/>
      <c r="J99" s="2"/>
      <c r="K99" s="2"/>
      <c r="L99" s="2"/>
      <c r="M99" s="41"/>
      <c r="N99" s="42"/>
      <c r="O99" s="2"/>
    </row>
    <row r="100" spans="1:15" s="70" customFormat="1" ht="12.75" customHeight="1" x14ac:dyDescent="0.2">
      <c r="A100" s="87">
        <v>45295</v>
      </c>
      <c r="B100" s="120" t="s">
        <v>6</v>
      </c>
      <c r="C100" s="75" t="s">
        <v>1944</v>
      </c>
      <c r="D100" s="88">
        <v>321576</v>
      </c>
      <c r="E100" s="2"/>
      <c r="F100" s="2"/>
      <c r="G100" s="30"/>
      <c r="H100" s="30"/>
      <c r="I100" s="2"/>
      <c r="J100" s="2"/>
      <c r="K100" s="2"/>
      <c r="L100" s="2"/>
      <c r="M100" s="41"/>
      <c r="N100" s="42"/>
      <c r="O100" s="2"/>
    </row>
    <row r="101" spans="1:15" s="70" customFormat="1" ht="12.75" customHeight="1" x14ac:dyDescent="0.2">
      <c r="A101" s="87">
        <v>45295</v>
      </c>
      <c r="B101" s="120" t="s">
        <v>6</v>
      </c>
      <c r="C101" s="75" t="s">
        <v>1944</v>
      </c>
      <c r="D101" s="88">
        <v>430832</v>
      </c>
      <c r="E101" s="2"/>
      <c r="F101" s="2"/>
      <c r="G101" s="30"/>
      <c r="H101" s="30"/>
      <c r="I101" s="2"/>
      <c r="J101" s="2"/>
      <c r="K101" s="2"/>
      <c r="L101" s="2"/>
      <c r="M101" s="41"/>
      <c r="N101" s="42"/>
      <c r="O101" s="2"/>
    </row>
    <row r="102" spans="1:15" s="70" customFormat="1" ht="12.75" customHeight="1" x14ac:dyDescent="0.2">
      <c r="A102" s="87">
        <v>45295</v>
      </c>
      <c r="B102" s="120" t="s">
        <v>6</v>
      </c>
      <c r="C102" s="75" t="s">
        <v>1934</v>
      </c>
      <c r="D102" s="88">
        <v>892589</v>
      </c>
      <c r="E102" s="2"/>
      <c r="F102" s="2"/>
      <c r="G102" s="30"/>
      <c r="H102" s="30"/>
      <c r="I102" s="2"/>
      <c r="J102" s="2"/>
      <c r="K102" s="2"/>
      <c r="L102" s="2"/>
      <c r="M102" s="41"/>
      <c r="N102" s="42"/>
      <c r="O102" s="2"/>
    </row>
    <row r="103" spans="1:15" s="70" customFormat="1" ht="12.75" customHeight="1" x14ac:dyDescent="0.2">
      <c r="A103" s="87">
        <v>45299</v>
      </c>
      <c r="B103" s="120" t="s">
        <v>6</v>
      </c>
      <c r="C103" s="75" t="s">
        <v>1933</v>
      </c>
      <c r="D103" s="88">
        <v>8143487</v>
      </c>
      <c r="E103" s="2"/>
      <c r="F103" s="2"/>
      <c r="G103" s="30"/>
      <c r="H103" s="30"/>
      <c r="I103" s="2"/>
      <c r="J103" s="2"/>
      <c r="K103" s="2"/>
      <c r="L103" s="2"/>
      <c r="M103" s="41"/>
      <c r="N103" s="42"/>
      <c r="O103" s="2"/>
    </row>
    <row r="104" spans="1:15" s="70" customFormat="1" ht="12.75" customHeight="1" x14ac:dyDescent="0.2">
      <c r="A104" s="87">
        <v>45299</v>
      </c>
      <c r="B104" s="120" t="s">
        <v>6</v>
      </c>
      <c r="C104" s="75" t="s">
        <v>606</v>
      </c>
      <c r="D104" s="88">
        <v>487316</v>
      </c>
      <c r="E104" s="2"/>
      <c r="F104" s="2"/>
      <c r="G104" s="30"/>
      <c r="H104" s="30"/>
      <c r="I104" s="2"/>
      <c r="J104" s="2"/>
      <c r="K104" s="2"/>
      <c r="L104" s="2"/>
      <c r="M104" s="41"/>
      <c r="N104" s="42"/>
      <c r="O104" s="2"/>
    </row>
    <row r="105" spans="1:15" s="70" customFormat="1" ht="12.75" customHeight="1" x14ac:dyDescent="0.2">
      <c r="A105" s="87">
        <v>45301</v>
      </c>
      <c r="B105" s="120" t="s">
        <v>6</v>
      </c>
      <c r="C105" s="75" t="s">
        <v>1933</v>
      </c>
      <c r="D105" s="88">
        <v>2690</v>
      </c>
      <c r="E105" s="2"/>
      <c r="F105" s="2"/>
      <c r="G105" s="30"/>
      <c r="H105" s="30"/>
      <c r="I105" s="2"/>
      <c r="J105" s="2"/>
      <c r="K105" s="2"/>
      <c r="L105" s="2"/>
      <c r="M105" s="41"/>
      <c r="N105" s="42"/>
      <c r="O105" s="2"/>
    </row>
    <row r="106" spans="1:15" s="70" customFormat="1" ht="12.75" customHeight="1" x14ac:dyDescent="0.2">
      <c r="A106" s="87">
        <v>45301</v>
      </c>
      <c r="B106" s="120" t="s">
        <v>6</v>
      </c>
      <c r="C106" s="75" t="s">
        <v>1933</v>
      </c>
      <c r="D106" s="88">
        <v>2133516</v>
      </c>
      <c r="E106" s="2"/>
      <c r="F106" s="2"/>
      <c r="G106" s="30"/>
      <c r="H106" s="30"/>
      <c r="I106" s="2"/>
      <c r="J106" s="2"/>
      <c r="K106" s="2"/>
      <c r="L106" s="2"/>
      <c r="M106" s="41"/>
      <c r="N106" s="42"/>
      <c r="O106" s="2"/>
    </row>
    <row r="107" spans="1:15" s="70" customFormat="1" ht="12.75" customHeight="1" x14ac:dyDescent="0.2">
      <c r="A107" s="87">
        <v>45302</v>
      </c>
      <c r="B107" s="120" t="s">
        <v>6</v>
      </c>
      <c r="C107" s="75" t="s">
        <v>1084</v>
      </c>
      <c r="D107" s="88">
        <v>3000000</v>
      </c>
      <c r="E107" s="2"/>
      <c r="F107" s="2"/>
      <c r="G107" s="30"/>
      <c r="H107" s="30"/>
      <c r="I107" s="2"/>
      <c r="J107" s="2"/>
      <c r="K107" s="2"/>
      <c r="L107" s="2"/>
      <c r="M107" s="41"/>
      <c r="N107" s="42"/>
      <c r="O107" s="2"/>
    </row>
    <row r="108" spans="1:15" s="70" customFormat="1" ht="12.75" customHeight="1" x14ac:dyDescent="0.2">
      <c r="A108" s="87">
        <v>45303</v>
      </c>
      <c r="B108" s="120" t="s">
        <v>6</v>
      </c>
      <c r="C108" s="75" t="s">
        <v>1933</v>
      </c>
      <c r="D108" s="88">
        <v>5893097</v>
      </c>
      <c r="E108" s="2"/>
      <c r="F108" s="2"/>
      <c r="G108" s="30"/>
      <c r="H108" s="30"/>
      <c r="I108" s="2"/>
      <c r="J108" s="2"/>
      <c r="K108" s="2"/>
      <c r="L108" s="2"/>
      <c r="M108" s="41"/>
      <c r="N108" s="42"/>
      <c r="O108" s="2"/>
    </row>
    <row r="109" spans="1:15" s="70" customFormat="1" ht="12.75" customHeight="1" x14ac:dyDescent="0.2">
      <c r="A109" s="87">
        <v>45303</v>
      </c>
      <c r="B109" s="120" t="s">
        <v>6</v>
      </c>
      <c r="C109" s="75" t="s">
        <v>1977</v>
      </c>
      <c r="D109" s="88">
        <v>500000</v>
      </c>
      <c r="E109" s="2"/>
      <c r="F109" s="2"/>
      <c r="G109" s="30"/>
      <c r="H109" s="30"/>
      <c r="I109" s="2"/>
      <c r="J109" s="2"/>
      <c r="K109" s="2"/>
      <c r="L109" s="2"/>
      <c r="M109" s="41"/>
      <c r="N109" s="42"/>
      <c r="O109" s="2"/>
    </row>
    <row r="110" spans="1:15" s="70" customFormat="1" ht="12.75" customHeight="1" x14ac:dyDescent="0.2">
      <c r="A110" s="87">
        <v>45307</v>
      </c>
      <c r="B110" s="120" t="s">
        <v>6</v>
      </c>
      <c r="C110" s="75" t="s">
        <v>1933</v>
      </c>
      <c r="D110" s="88">
        <v>3572610</v>
      </c>
      <c r="E110" s="2"/>
      <c r="F110" s="2"/>
      <c r="G110" s="30"/>
      <c r="H110" s="30"/>
      <c r="I110" s="2"/>
      <c r="J110" s="2"/>
      <c r="K110" s="2"/>
      <c r="L110" s="2"/>
      <c r="M110" s="41"/>
      <c r="N110" s="42"/>
      <c r="O110" s="2"/>
    </row>
    <row r="111" spans="1:15" s="70" customFormat="1" ht="12.75" customHeight="1" x14ac:dyDescent="0.2">
      <c r="A111" s="87">
        <v>45307</v>
      </c>
      <c r="B111" s="120" t="s">
        <v>6</v>
      </c>
      <c r="C111" s="75" t="s">
        <v>1944</v>
      </c>
      <c r="D111" s="88">
        <v>4109147</v>
      </c>
      <c r="E111" s="2"/>
      <c r="F111" s="2"/>
      <c r="G111" s="30"/>
      <c r="H111" s="30"/>
      <c r="I111" s="2"/>
      <c r="J111" s="2"/>
      <c r="K111" s="2"/>
      <c r="L111" s="2"/>
      <c r="M111" s="41"/>
      <c r="N111" s="42"/>
      <c r="O111" s="2"/>
    </row>
    <row r="112" spans="1:15" s="70" customFormat="1" ht="12.75" customHeight="1" x14ac:dyDescent="0.2">
      <c r="A112" s="87">
        <v>45307</v>
      </c>
      <c r="B112" s="120" t="s">
        <v>6</v>
      </c>
      <c r="C112" s="75" t="s">
        <v>1944</v>
      </c>
      <c r="D112" s="88">
        <v>1168867</v>
      </c>
      <c r="E112" s="2"/>
      <c r="F112" s="2"/>
      <c r="G112" s="30"/>
      <c r="H112" s="30"/>
      <c r="I112" s="2"/>
      <c r="J112" s="2"/>
      <c r="K112" s="2"/>
      <c r="L112" s="2"/>
      <c r="M112" s="41"/>
      <c r="N112" s="42"/>
      <c r="O112" s="2"/>
    </row>
    <row r="113" spans="1:15" s="70" customFormat="1" ht="12.75" customHeight="1" x14ac:dyDescent="0.2">
      <c r="A113" s="87">
        <v>45307</v>
      </c>
      <c r="B113" s="120" t="s">
        <v>6</v>
      </c>
      <c r="C113" s="75" t="s">
        <v>1988</v>
      </c>
      <c r="D113" s="88">
        <v>175195</v>
      </c>
      <c r="E113" s="2"/>
      <c r="F113" s="2"/>
      <c r="G113" s="30"/>
      <c r="H113" s="30"/>
      <c r="I113" s="2"/>
      <c r="J113" s="2"/>
      <c r="K113" s="2"/>
      <c r="L113" s="2"/>
      <c r="M113" s="41"/>
      <c r="N113" s="42"/>
      <c r="O113" s="2"/>
    </row>
    <row r="114" spans="1:15" s="70" customFormat="1" ht="12.75" customHeight="1" x14ac:dyDescent="0.2">
      <c r="A114" s="87">
        <v>45309</v>
      </c>
      <c r="B114" s="120" t="s">
        <v>6</v>
      </c>
      <c r="C114" s="75" t="s">
        <v>1933</v>
      </c>
      <c r="D114" s="88">
        <v>7480683</v>
      </c>
      <c r="E114" s="2"/>
      <c r="F114" s="2"/>
      <c r="G114" s="30"/>
      <c r="H114" s="30"/>
      <c r="I114" s="2"/>
      <c r="J114" s="2"/>
      <c r="K114" s="2"/>
      <c r="L114" s="2"/>
      <c r="M114" s="41"/>
      <c r="N114" s="42"/>
      <c r="O114" s="2"/>
    </row>
    <row r="115" spans="1:15" s="70" customFormat="1" ht="12.75" customHeight="1" x14ac:dyDescent="0.2">
      <c r="A115" s="87">
        <v>45309</v>
      </c>
      <c r="B115" s="120" t="s">
        <v>6</v>
      </c>
      <c r="C115" s="75" t="s">
        <v>1977</v>
      </c>
      <c r="D115" s="88">
        <v>1511767</v>
      </c>
      <c r="E115" s="2"/>
      <c r="F115" s="2"/>
      <c r="G115" s="30"/>
      <c r="H115" s="30"/>
      <c r="I115" s="2"/>
      <c r="J115" s="2"/>
      <c r="K115" s="2"/>
      <c r="L115" s="2"/>
      <c r="M115" s="41"/>
      <c r="N115" s="42"/>
      <c r="O115" s="2"/>
    </row>
    <row r="116" spans="1:15" s="70" customFormat="1" ht="12.75" customHeight="1" x14ac:dyDescent="0.2">
      <c r="A116" s="87">
        <v>45310</v>
      </c>
      <c r="B116" s="120" t="s">
        <v>6</v>
      </c>
      <c r="C116" s="75" t="s">
        <v>1084</v>
      </c>
      <c r="D116" s="88">
        <v>4000000</v>
      </c>
      <c r="E116" s="2"/>
      <c r="F116" s="2"/>
      <c r="G116" s="30"/>
      <c r="H116" s="30"/>
      <c r="I116" s="2"/>
      <c r="J116" s="2"/>
      <c r="K116" s="2"/>
      <c r="L116" s="2"/>
      <c r="M116" s="41"/>
      <c r="N116" s="42"/>
      <c r="O116" s="2"/>
    </row>
    <row r="117" spans="1:15" s="70" customFormat="1" ht="12.75" customHeight="1" x14ac:dyDescent="0.2">
      <c r="A117" s="87">
        <v>45311</v>
      </c>
      <c r="B117" s="120" t="s">
        <v>6</v>
      </c>
      <c r="C117" s="75" t="s">
        <v>888</v>
      </c>
      <c r="D117" s="88">
        <v>4720981.46</v>
      </c>
      <c r="E117" s="2"/>
      <c r="F117" s="2"/>
      <c r="G117" s="30"/>
      <c r="H117" s="30"/>
      <c r="I117" s="2"/>
      <c r="J117" s="2"/>
      <c r="K117" s="2"/>
      <c r="L117" s="2"/>
      <c r="M117" s="41"/>
      <c r="N117" s="42"/>
      <c r="O117" s="2"/>
    </row>
    <row r="118" spans="1:15" s="70" customFormat="1" ht="12.75" customHeight="1" x14ac:dyDescent="0.2">
      <c r="A118" s="87">
        <v>45314</v>
      </c>
      <c r="B118" s="120" t="s">
        <v>6</v>
      </c>
      <c r="C118" s="75" t="s">
        <v>1933</v>
      </c>
      <c r="D118" s="88">
        <v>1373756</v>
      </c>
      <c r="E118" s="2"/>
      <c r="F118" s="2"/>
      <c r="G118" s="30"/>
      <c r="H118" s="30"/>
      <c r="I118" s="2"/>
      <c r="J118" s="2"/>
      <c r="K118" s="2"/>
      <c r="L118" s="2"/>
      <c r="M118" s="41"/>
      <c r="N118" s="42"/>
      <c r="O118" s="2"/>
    </row>
    <row r="119" spans="1:15" s="70" customFormat="1" ht="12.75" customHeight="1" x14ac:dyDescent="0.2">
      <c r="A119" s="87">
        <v>45314</v>
      </c>
      <c r="B119" s="120" t="s">
        <v>6</v>
      </c>
      <c r="C119" s="75" t="s">
        <v>1933</v>
      </c>
      <c r="D119" s="88">
        <v>5000341.9400000004</v>
      </c>
      <c r="E119" s="2"/>
      <c r="F119" s="2"/>
      <c r="G119" s="30"/>
      <c r="H119" s="30"/>
      <c r="I119" s="2"/>
      <c r="J119" s="2"/>
      <c r="K119" s="2"/>
      <c r="L119" s="2"/>
      <c r="M119" s="41"/>
      <c r="N119" s="42"/>
      <c r="O119" s="2"/>
    </row>
    <row r="120" spans="1:15" s="70" customFormat="1" ht="12.75" customHeight="1" x14ac:dyDescent="0.2">
      <c r="A120" s="87">
        <v>45314</v>
      </c>
      <c r="B120" s="120" t="s">
        <v>6</v>
      </c>
      <c r="C120" s="75" t="s">
        <v>1933</v>
      </c>
      <c r="D120" s="88">
        <v>339686</v>
      </c>
      <c r="E120" s="2"/>
      <c r="F120" s="2"/>
      <c r="G120" s="30"/>
      <c r="H120" s="30"/>
      <c r="I120" s="2"/>
      <c r="J120" s="2"/>
      <c r="K120" s="2"/>
      <c r="L120" s="2"/>
      <c r="M120" s="41"/>
      <c r="N120" s="42"/>
      <c r="O120" s="2"/>
    </row>
    <row r="121" spans="1:15" s="2" customFormat="1" x14ac:dyDescent="0.2">
      <c r="A121" s="87"/>
      <c r="B121" s="74"/>
      <c r="C121" s="75"/>
      <c r="D121" s="51">
        <f>SUM(D95:D120)</f>
        <v>65682432.740000002</v>
      </c>
      <c r="F121" s="2" t="s">
        <v>396</v>
      </c>
      <c r="G121" s="1"/>
      <c r="H121" s="1"/>
    </row>
    <row r="122" spans="1:15" s="2" customFormat="1" x14ac:dyDescent="0.2">
      <c r="A122" s="24"/>
      <c r="B122" s="1"/>
      <c r="C122" s="14"/>
      <c r="D122" s="56"/>
      <c r="E122" s="13"/>
      <c r="G122" s="1"/>
      <c r="H122" s="1"/>
    </row>
    <row r="123" spans="1:15" s="2" customFormat="1" x14ac:dyDescent="0.2">
      <c r="A123" s="24"/>
      <c r="B123" s="1"/>
      <c r="C123" s="218" t="s">
        <v>77</v>
      </c>
      <c r="D123" s="219"/>
      <c r="E123" s="219"/>
      <c r="F123" s="220"/>
      <c r="I123" s="2" t="s">
        <v>396</v>
      </c>
    </row>
    <row r="124" spans="1:15" s="2" customFormat="1" x14ac:dyDescent="0.2">
      <c r="A124" s="24"/>
      <c r="B124" s="1"/>
      <c r="C124" s="50"/>
      <c r="D124" s="57" t="s">
        <v>78</v>
      </c>
      <c r="E124" s="58" t="s">
        <v>79</v>
      </c>
      <c r="F124" s="57" t="s">
        <v>72</v>
      </c>
      <c r="I124" s="2" t="s">
        <v>396</v>
      </c>
    </row>
    <row r="125" spans="1:15" s="2" customFormat="1" x14ac:dyDescent="0.2">
      <c r="A125" s="24"/>
      <c r="B125" s="1"/>
      <c r="C125" s="59" t="str">
        <f>"01-01-2024 to "&amp;TEXT(A5-2,"dd-mm-yyyy")</f>
        <v>01-01-2024 to 22-01-2024</v>
      </c>
      <c r="D125" s="60">
        <v>1866.02</v>
      </c>
      <c r="E125" s="60">
        <v>481.53</v>
      </c>
      <c r="F125" s="61">
        <f>SUM(D125:E125)</f>
        <v>2347.5500000000002</v>
      </c>
    </row>
    <row r="126" spans="1:15" s="2" customFormat="1" x14ac:dyDescent="0.2">
      <c r="A126" s="24"/>
      <c r="B126" s="1"/>
      <c r="C126" s="62" t="str">
        <f>TEXT(A5-1,"dd-mm-yyyy")</f>
        <v>23-01-2024</v>
      </c>
      <c r="D126" s="60">
        <v>64.959999999999994</v>
      </c>
      <c r="E126" s="60">
        <v>22.51</v>
      </c>
      <c r="F126" s="61">
        <f>SUM(D126:E126)</f>
        <v>87.47</v>
      </c>
      <c r="G126" s="1"/>
      <c r="H126" s="1"/>
      <c r="I126" s="53"/>
    </row>
    <row r="127" spans="1:15" s="2" customFormat="1" ht="13.5" thickBot="1" x14ac:dyDescent="0.25">
      <c r="A127" s="24"/>
      <c r="B127" s="1"/>
      <c r="C127" s="63" t="str">
        <f>"01-01-2024 to "&amp;TEXT(A5-1,"dd-mm-yyyy")</f>
        <v>01-01-2024 to 23-01-2024</v>
      </c>
      <c r="D127" s="64">
        <f>SUM(D125:D126)</f>
        <v>1930.98</v>
      </c>
      <c r="E127" s="64">
        <f>SUM(E125:E126)</f>
        <v>504.03999999999996</v>
      </c>
      <c r="F127" s="64">
        <f>SUM(F125:F126)</f>
        <v>2435.02</v>
      </c>
      <c r="G127" s="1"/>
      <c r="H127" s="1"/>
      <c r="I127" s="53"/>
    </row>
    <row r="128" spans="1:15" s="2" customFormat="1" ht="13.5" thickTop="1" x14ac:dyDescent="0.2">
      <c r="A128" s="24"/>
      <c r="B128" s="1"/>
      <c r="C128" s="62"/>
      <c r="D128" s="65"/>
      <c r="E128" s="66"/>
      <c r="F128" s="67"/>
      <c r="M128" s="1"/>
      <c r="N128" s="1"/>
    </row>
    <row r="129" spans="1:14" s="2" customFormat="1" x14ac:dyDescent="0.2">
      <c r="A129" s="24"/>
      <c r="B129" s="1"/>
      <c r="C129" s="62" t="str">
        <f>"01-04-2023 to " &amp;C126</f>
        <v>01-04-2023 to 23-01-2024</v>
      </c>
      <c r="D129" s="68">
        <f>+D127+34570.27</f>
        <v>36501.25</v>
      </c>
      <c r="E129" s="68">
        <f>+E127+3831.86</f>
        <v>4335.8999999999996</v>
      </c>
      <c r="F129" s="68">
        <f>+F127+38402.13</f>
        <v>40837.149999999994</v>
      </c>
      <c r="G129" s="1"/>
      <c r="H129" s="1"/>
      <c r="M129" s="1"/>
      <c r="N129" s="1"/>
    </row>
    <row r="130" spans="1:14" s="2" customFormat="1" x14ac:dyDescent="0.2">
      <c r="A130" s="24"/>
      <c r="B130" s="1"/>
      <c r="C130" s="52"/>
      <c r="D130" s="85"/>
      <c r="E130" s="53"/>
      <c r="F130" s="53"/>
      <c r="G130" s="1"/>
      <c r="H130" s="1"/>
      <c r="M130" s="1"/>
      <c r="N130" s="1"/>
    </row>
    <row r="131" spans="1:14" s="2" customFormat="1" x14ac:dyDescent="0.2">
      <c r="A131" s="24"/>
      <c r="B131" s="1"/>
      <c r="C131" s="52"/>
      <c r="D131" s="85"/>
      <c r="E131" s="53"/>
      <c r="F131" s="53"/>
      <c r="G131" s="1"/>
      <c r="H131" s="1"/>
      <c r="M131" s="1"/>
      <c r="N131" s="1"/>
    </row>
    <row r="132" spans="1:14" s="2" customFormat="1" x14ac:dyDescent="0.2">
      <c r="A132" s="24"/>
      <c r="B132" s="1"/>
      <c r="C132" s="52"/>
      <c r="D132" s="85"/>
      <c r="E132" s="53"/>
      <c r="F132" s="53"/>
      <c r="G132" s="1"/>
      <c r="H132" s="1"/>
      <c r="M132" s="1"/>
      <c r="N132" s="1"/>
    </row>
    <row r="133" spans="1:14" s="2" customFormat="1" x14ac:dyDescent="0.2">
      <c r="A133" s="24"/>
      <c r="B133" s="1"/>
      <c r="C133" s="52"/>
      <c r="D133" s="85"/>
      <c r="E133" s="53"/>
      <c r="F133" s="53"/>
      <c r="G133" s="1"/>
      <c r="H133" s="1"/>
      <c r="M133" s="1"/>
      <c r="N133" s="1"/>
    </row>
    <row r="134" spans="1:14" s="2" customFormat="1" x14ac:dyDescent="0.2">
      <c r="A134" s="24"/>
      <c r="B134" s="1"/>
      <c r="C134" s="14"/>
      <c r="D134" s="25">
        <f>SUM(D131:D133)</f>
        <v>0</v>
      </c>
      <c r="E134" s="2">
        <f>SUM(E131:E133)</f>
        <v>0</v>
      </c>
      <c r="G134" s="1"/>
      <c r="H134" s="1"/>
      <c r="M134" s="1"/>
      <c r="N134" s="1"/>
    </row>
    <row r="135" spans="1:14" s="2" customFormat="1" x14ac:dyDescent="0.2">
      <c r="A135" s="24"/>
      <c r="B135" s="1"/>
      <c r="C135" s="14"/>
      <c r="D135" s="25"/>
      <c r="G135" s="1"/>
      <c r="H135" s="1"/>
      <c r="M135" s="1"/>
      <c r="N135" s="1"/>
    </row>
    <row r="136" spans="1:14" s="2" customFormat="1" x14ac:dyDescent="0.2">
      <c r="A136" s="24"/>
      <c r="B136" s="1"/>
      <c r="C136" s="14"/>
      <c r="D136" s="25"/>
      <c r="G136" s="1"/>
      <c r="H136" s="1"/>
      <c r="M136" s="1"/>
      <c r="N136" s="1"/>
    </row>
    <row r="137" spans="1:14" s="2" customFormat="1" x14ac:dyDescent="0.2">
      <c r="A137" s="24"/>
      <c r="B137" s="1"/>
      <c r="C137" s="14"/>
      <c r="D137" s="25"/>
      <c r="G137" s="1"/>
      <c r="H137" s="1"/>
      <c r="M137" s="1"/>
      <c r="N137" s="1"/>
    </row>
    <row r="138" spans="1:14" s="2" customFormat="1" x14ac:dyDescent="0.2">
      <c r="A138" s="24"/>
      <c r="B138" s="1"/>
      <c r="C138" s="14"/>
      <c r="D138" s="25"/>
      <c r="G138" s="1"/>
      <c r="H138" s="1"/>
      <c r="M138" s="1"/>
      <c r="N138" s="1"/>
    </row>
    <row r="139" spans="1:14" s="2" customFormat="1" x14ac:dyDescent="0.2">
      <c r="A139" s="24"/>
      <c r="B139" s="1"/>
      <c r="C139" s="14"/>
      <c r="D139" s="25"/>
      <c r="G139" s="1"/>
      <c r="H139" s="1"/>
      <c r="M139" s="1"/>
      <c r="N139" s="1"/>
    </row>
    <row r="140" spans="1:14" s="2" customFormat="1" x14ac:dyDescent="0.2">
      <c r="A140" s="24"/>
      <c r="B140" s="1"/>
      <c r="C140" s="14"/>
      <c r="D140" s="25"/>
      <c r="G140" s="1"/>
      <c r="H140" s="1"/>
      <c r="M140" s="1"/>
      <c r="N140" s="1"/>
    </row>
    <row r="141" spans="1:14" s="2" customFormat="1" x14ac:dyDescent="0.2">
      <c r="A141" s="24"/>
      <c r="B141" s="1"/>
      <c r="C141" s="14"/>
      <c r="D141" s="25"/>
      <c r="G141" s="1"/>
      <c r="H141" s="1"/>
      <c r="M141" s="1"/>
      <c r="N141" s="1"/>
    </row>
    <row r="142" spans="1:14" s="2" customFormat="1" x14ac:dyDescent="0.2">
      <c r="A142" s="24"/>
      <c r="B142" s="1"/>
      <c r="C142" s="14"/>
      <c r="D142" s="25"/>
      <c r="G142" s="1"/>
      <c r="H142" s="1"/>
      <c r="M142" s="1"/>
      <c r="N142" s="1"/>
    </row>
    <row r="143" spans="1:14" s="2" customFormat="1" x14ac:dyDescent="0.2">
      <c r="A143" s="24"/>
      <c r="B143" s="1"/>
      <c r="C143" s="14"/>
      <c r="D143" s="25"/>
      <c r="G143" s="1"/>
      <c r="H143" s="1"/>
      <c r="M143" s="1"/>
      <c r="N143" s="1"/>
    </row>
    <row r="144" spans="1:14" s="2" customFormat="1" x14ac:dyDescent="0.2">
      <c r="A144" s="24"/>
      <c r="B144" s="1"/>
      <c r="C144" s="14"/>
      <c r="D144" s="25"/>
      <c r="G144" s="1"/>
      <c r="H144" s="1"/>
      <c r="M144" s="1"/>
      <c r="N144" s="1"/>
    </row>
    <row r="145" spans="1:15" s="2" customFormat="1" x14ac:dyDescent="0.2">
      <c r="A145" s="24"/>
      <c r="B145" s="1"/>
      <c r="C145" s="14"/>
      <c r="D145" s="25"/>
      <c r="G145" s="1"/>
      <c r="H145" s="1"/>
      <c r="M145" s="1"/>
      <c r="N145" s="1"/>
    </row>
    <row r="146" spans="1:15" s="2" customFormat="1" x14ac:dyDescent="0.2">
      <c r="A146" s="24"/>
      <c r="B146" s="1"/>
      <c r="C146" s="14"/>
      <c r="D146" s="25"/>
      <c r="G146" s="1"/>
      <c r="H146" s="1"/>
      <c r="M146" s="1"/>
      <c r="N146" s="1"/>
    </row>
    <row r="147" spans="1:15" s="2" customFormat="1" x14ac:dyDescent="0.2">
      <c r="A147" s="24"/>
      <c r="B147" s="1"/>
      <c r="C147" s="14"/>
      <c r="D147" s="25"/>
      <c r="G147" s="1"/>
      <c r="H147" s="1"/>
      <c r="M147" s="1"/>
      <c r="N147" s="1"/>
    </row>
    <row r="148" spans="1:15" s="2" customFormat="1" x14ac:dyDescent="0.2">
      <c r="A148" s="24"/>
      <c r="B148" s="1"/>
      <c r="C148" s="14"/>
      <c r="D148" s="25"/>
      <c r="G148" s="1"/>
      <c r="H148" s="1"/>
      <c r="J148" s="1"/>
      <c r="K148" s="1"/>
      <c r="L148" s="1"/>
      <c r="M148" s="1"/>
      <c r="N148" s="1"/>
    </row>
    <row r="149" spans="1:15" s="2" customFormat="1" x14ac:dyDescent="0.2">
      <c r="A149" s="24"/>
      <c r="B149" s="1"/>
      <c r="C149" s="14"/>
      <c r="D149" s="25"/>
      <c r="G149" s="1"/>
      <c r="H149" s="1"/>
    </row>
    <row r="150" spans="1:15" s="2" customFormat="1" x14ac:dyDescent="0.2">
      <c r="A150" s="24"/>
      <c r="B150" s="1"/>
      <c r="C150" s="14"/>
      <c r="D150" s="25"/>
      <c r="G150" s="1"/>
      <c r="H150" s="1"/>
      <c r="J150" s="1"/>
      <c r="K150" s="1"/>
      <c r="L150" s="1"/>
      <c r="M150" s="1"/>
      <c r="N150" s="1"/>
    </row>
    <row r="151" spans="1:15" s="2" customFormat="1" x14ac:dyDescent="0.2">
      <c r="A151" s="24"/>
      <c r="B151" s="1"/>
      <c r="C151" s="14"/>
      <c r="D151" s="25"/>
      <c r="G151" s="54"/>
      <c r="H151" s="54"/>
      <c r="J151" s="1"/>
      <c r="K151" s="1"/>
      <c r="L151" s="1"/>
      <c r="M151" s="1"/>
      <c r="N151" s="1"/>
    </row>
    <row r="152" spans="1:15" s="2" customFormat="1" x14ac:dyDescent="0.2">
      <c r="A152" s="24"/>
      <c r="B152" s="1"/>
      <c r="C152" s="14"/>
      <c r="D152" s="25"/>
      <c r="G152" s="54"/>
      <c r="H152" s="54"/>
      <c r="J152" s="1"/>
      <c r="K152" s="1"/>
      <c r="L152" s="1"/>
      <c r="M152" s="1"/>
      <c r="N152" s="1"/>
    </row>
    <row r="153" spans="1:15" s="2" customFormat="1" x14ac:dyDescent="0.2">
      <c r="A153" s="24"/>
      <c r="B153" s="1"/>
      <c r="C153" s="14"/>
      <c r="D153" s="25"/>
      <c r="G153" s="54"/>
      <c r="H153" s="54"/>
      <c r="J153" s="1"/>
      <c r="K153" s="1"/>
      <c r="L153" s="1"/>
      <c r="M153" s="1"/>
      <c r="N153" s="1"/>
    </row>
    <row r="154" spans="1:15" s="2" customFormat="1" x14ac:dyDescent="0.2">
      <c r="A154" s="24"/>
      <c r="B154" s="1"/>
      <c r="C154" s="14"/>
      <c r="D154" s="25"/>
      <c r="G154" s="54"/>
      <c r="H154" s="54"/>
      <c r="I154" s="2" t="s">
        <v>396</v>
      </c>
      <c r="J154" s="1"/>
      <c r="K154" s="1"/>
      <c r="L154" s="1"/>
      <c r="M154" s="1"/>
      <c r="N154" s="1"/>
      <c r="O154" s="1"/>
    </row>
    <row r="155" spans="1:15" s="2" customFormat="1" x14ac:dyDescent="0.2">
      <c r="A155" s="24"/>
      <c r="B155" s="1"/>
      <c r="C155" s="14"/>
      <c r="D155" s="25"/>
      <c r="G155" s="54"/>
      <c r="H155" s="54"/>
      <c r="I155" s="53"/>
    </row>
    <row r="156" spans="1:15" s="2" customFormat="1" x14ac:dyDescent="0.2">
      <c r="A156" s="24"/>
      <c r="B156" s="1"/>
      <c r="C156" s="14"/>
      <c r="D156" s="25"/>
      <c r="G156" s="54"/>
      <c r="H156" s="54"/>
      <c r="I156" s="53" t="s">
        <v>396</v>
      </c>
      <c r="J156" s="1"/>
      <c r="K156" s="1"/>
      <c r="L156" s="1"/>
      <c r="M156" s="1"/>
      <c r="N156" s="1"/>
      <c r="O156" s="1"/>
    </row>
    <row r="157" spans="1:15" x14ac:dyDescent="0.2">
      <c r="G157" s="54"/>
      <c r="H157" s="54"/>
      <c r="I157" s="53" t="s">
        <v>396</v>
      </c>
      <c r="K157" s="42"/>
    </row>
    <row r="158" spans="1:15" s="2" customFormat="1" x14ac:dyDescent="0.2">
      <c r="A158" s="24"/>
      <c r="B158" s="1"/>
      <c r="C158" s="14"/>
      <c r="D158" s="25"/>
      <c r="G158" s="54"/>
      <c r="H158" s="54"/>
      <c r="I158" s="53"/>
      <c r="J158" s="101"/>
      <c r="K158" s="1"/>
      <c r="L158" s="1"/>
      <c r="M158" s="1"/>
      <c r="N158" s="1"/>
      <c r="O158" s="1"/>
    </row>
    <row r="159" spans="1:15" x14ac:dyDescent="0.2">
      <c r="G159" s="54"/>
      <c r="H159" s="54"/>
      <c r="I159" s="53"/>
    </row>
    <row r="160" spans="1:15" x14ac:dyDescent="0.2">
      <c r="G160" s="54"/>
      <c r="H160" s="54"/>
      <c r="I160" s="53"/>
    </row>
    <row r="161" spans="7:9" x14ac:dyDescent="0.2">
      <c r="G161" s="54"/>
      <c r="H161" s="54"/>
      <c r="I161" s="53"/>
    </row>
  </sheetData>
  <sheetProtection insertRows="0"/>
  <mergeCells count="7">
    <mergeCell ref="K86:L86"/>
    <mergeCell ref="A93:D93"/>
    <mergeCell ref="C123:F123"/>
    <mergeCell ref="A1:H1"/>
    <mergeCell ref="A3:F3"/>
    <mergeCell ref="A9:F9"/>
    <mergeCell ref="A23:F23"/>
  </mergeCells>
  <conditionalFormatting sqref="H90:H91">
    <cfRule type="cellIs" dxfId="109" priority="1" operator="lessThan">
      <formula>0</formula>
    </cfRule>
  </conditionalFormatting>
  <conditionalFormatting sqref="C25">
    <cfRule type="duplicateValues" dxfId="108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C00-000000000000}">
  <sheetPr codeName="Sheet532">
    <pageSetUpPr fitToPage="1"/>
  </sheetPr>
  <dimension ref="A1:O150"/>
  <sheetViews>
    <sheetView topLeftCell="D37" zoomScaleNormal="100" workbookViewId="0">
      <selection activeCell="J55" sqref="J55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12.85546875" style="1" customWidth="1"/>
    <col min="9" max="9" width="24.85546875" style="2" bestFit="1" customWidth="1"/>
    <col min="10" max="10" width="21.5703125" style="1" bestFit="1" customWidth="1"/>
    <col min="11" max="11" width="16.85546875" style="1" bestFit="1" customWidth="1"/>
    <col min="12" max="12" width="17.28515625" style="1" bestFit="1" customWidth="1"/>
    <col min="13" max="13" width="13.5703125" style="1" bestFit="1" customWidth="1"/>
    <col min="14" max="14" width="17.42578125" style="1" bestFit="1" customWidth="1"/>
    <col min="15" max="15" width="12.85546875" style="1" bestFit="1" customWidth="1"/>
    <col min="16" max="17" width="9.140625" style="1"/>
    <col min="18" max="18" width="15.5703125" style="1" bestFit="1" customWidth="1"/>
    <col min="19" max="16384" width="9.140625" style="1"/>
  </cols>
  <sheetData>
    <row r="1" spans="1:12" ht="20.25" customHeight="1" x14ac:dyDescent="0.4">
      <c r="A1" s="212" t="s">
        <v>2009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2" ht="12.75" customHeight="1" x14ac:dyDescent="0.4">
      <c r="I2" s="112"/>
      <c r="J2" s="112"/>
    </row>
    <row r="3" spans="1:12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2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2" s="2" customFormat="1" ht="14.25" customHeight="1" x14ac:dyDescent="0.4">
      <c r="A5" s="89">
        <v>45316</v>
      </c>
      <c r="B5" s="9" t="s">
        <v>6</v>
      </c>
      <c r="C5" s="10" t="s">
        <v>7</v>
      </c>
      <c r="D5" s="11"/>
      <c r="E5" s="12">
        <v>565541.23000000045</v>
      </c>
      <c r="F5" s="12"/>
      <c r="G5" s="1"/>
      <c r="H5" s="1"/>
      <c r="I5" s="112"/>
      <c r="J5" s="112"/>
    </row>
    <row r="6" spans="1:12" s="2" customFormat="1" ht="12.75" customHeight="1" x14ac:dyDescent="0.2">
      <c r="D6" s="15" t="s">
        <v>8</v>
      </c>
      <c r="E6" s="16">
        <f>SUM(E5:E5)</f>
        <v>565541.23000000045</v>
      </c>
      <c r="F6" s="16">
        <f>F5</f>
        <v>0</v>
      </c>
      <c r="G6" s="1"/>
      <c r="H6" s="1"/>
      <c r="I6" s="13" t="s">
        <v>1582</v>
      </c>
      <c r="J6" s="13" t="s">
        <v>1583</v>
      </c>
    </row>
    <row r="7" spans="1:12" s="2" customFormat="1" ht="12.75" customHeight="1" x14ac:dyDescent="0.2">
      <c r="A7" s="17"/>
      <c r="B7" s="18"/>
      <c r="C7" s="19" t="s">
        <v>9</v>
      </c>
      <c r="D7" s="20"/>
      <c r="E7" s="21">
        <f>+E6-F6</f>
        <v>565541.23000000045</v>
      </c>
      <c r="F7" s="22"/>
      <c r="G7" s="23"/>
      <c r="H7" s="23"/>
      <c r="I7" s="2">
        <v>0</v>
      </c>
      <c r="J7" s="2">
        <v>0</v>
      </c>
      <c r="K7" s="176">
        <f>I7-J7</f>
        <v>0</v>
      </c>
    </row>
    <row r="8" spans="1:12" ht="12.75" customHeight="1" x14ac:dyDescent="0.4">
      <c r="I8" s="112"/>
      <c r="J8" s="112"/>
    </row>
    <row r="9" spans="1:12" ht="18" customHeight="1" x14ac:dyDescent="0.4">
      <c r="A9" s="213" t="s">
        <v>1037</v>
      </c>
      <c r="B9" s="213"/>
      <c r="C9" s="213"/>
      <c r="D9" s="213"/>
      <c r="E9" s="213"/>
      <c r="F9" s="213"/>
      <c r="I9" s="112"/>
      <c r="J9" s="169">
        <f>90000000-60000000</f>
        <v>30000000</v>
      </c>
      <c r="K9" s="169" t="s">
        <v>1508</v>
      </c>
    </row>
    <row r="10" spans="1:12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I10" s="112"/>
      <c r="J10" s="169">
        <v>29638726.260000002</v>
      </c>
      <c r="K10" s="169" t="s">
        <v>1509</v>
      </c>
      <c r="L10" s="124"/>
    </row>
    <row r="11" spans="1:12" s="2" customFormat="1" ht="14.25" customHeight="1" x14ac:dyDescent="0.2">
      <c r="A11" s="89">
        <v>45316</v>
      </c>
      <c r="B11" s="9" t="s">
        <v>6</v>
      </c>
      <c r="C11" s="10" t="s">
        <v>7</v>
      </c>
      <c r="D11" s="11"/>
      <c r="F11" s="12">
        <v>29995899.359999999</v>
      </c>
      <c r="G11" s="1"/>
      <c r="H11" s="1"/>
      <c r="I11" s="130" t="s">
        <v>396</v>
      </c>
      <c r="J11" s="169">
        <f>+J9-J10</f>
        <v>361273.73999999836</v>
      </c>
      <c r="K11" s="169" t="s">
        <v>712</v>
      </c>
      <c r="L11" s="165" t="s">
        <v>1512</v>
      </c>
    </row>
    <row r="12" spans="1:12" s="2" customFormat="1" ht="14.25" customHeight="1" x14ac:dyDescent="0.2">
      <c r="A12" s="89">
        <v>45316</v>
      </c>
      <c r="B12" s="9" t="s">
        <v>6</v>
      </c>
      <c r="C12" s="76" t="s">
        <v>1170</v>
      </c>
      <c r="D12" s="11" t="s">
        <v>13</v>
      </c>
      <c r="E12" s="31">
        <v>1000000</v>
      </c>
      <c r="F12" s="31"/>
      <c r="G12" s="1"/>
      <c r="H12" s="1"/>
      <c r="I12" s="130"/>
      <c r="J12" s="169"/>
      <c r="K12" s="169"/>
      <c r="L12" s="165"/>
    </row>
    <row r="13" spans="1:12" s="2" customFormat="1" ht="14.25" customHeight="1" x14ac:dyDescent="0.2">
      <c r="A13" s="89">
        <v>45316</v>
      </c>
      <c r="B13" s="9" t="s">
        <v>11</v>
      </c>
      <c r="C13" s="76" t="s">
        <v>792</v>
      </c>
      <c r="D13" s="11" t="s">
        <v>29</v>
      </c>
      <c r="E13" s="31"/>
      <c r="F13" s="31">
        <v>47303</v>
      </c>
      <c r="G13" s="1"/>
      <c r="H13" s="1"/>
      <c r="I13" s="130"/>
      <c r="J13" s="169"/>
      <c r="K13" s="169"/>
      <c r="L13" s="165"/>
    </row>
    <row r="14" spans="1:12" s="2" customFormat="1" ht="14.25" customHeight="1" x14ac:dyDescent="0.2">
      <c r="A14" s="89">
        <v>45316</v>
      </c>
      <c r="B14" s="9" t="s">
        <v>11</v>
      </c>
      <c r="C14" s="76" t="s">
        <v>628</v>
      </c>
      <c r="D14" s="11" t="s">
        <v>29</v>
      </c>
      <c r="E14" s="31"/>
      <c r="F14" s="31">
        <v>19552</v>
      </c>
      <c r="G14" s="1"/>
      <c r="H14" s="1"/>
      <c r="I14" s="130"/>
      <c r="J14" s="169"/>
      <c r="K14" s="169"/>
      <c r="L14" s="165"/>
    </row>
    <row r="15" spans="1:12" s="2" customFormat="1" ht="14.25" customHeight="1" x14ac:dyDescent="0.2">
      <c r="A15" s="89">
        <v>45316</v>
      </c>
      <c r="B15" s="9" t="s">
        <v>11</v>
      </c>
      <c r="C15" s="76" t="s">
        <v>603</v>
      </c>
      <c r="D15" s="11" t="s">
        <v>29</v>
      </c>
      <c r="E15" s="31"/>
      <c r="F15" s="31">
        <v>25608</v>
      </c>
      <c r="G15" s="1"/>
      <c r="H15" s="1"/>
      <c r="I15" s="130"/>
      <c r="J15" s="169"/>
      <c r="K15" s="169"/>
      <c r="L15" s="165"/>
    </row>
    <row r="16" spans="1:12" s="2" customFormat="1" ht="14.25" customHeight="1" x14ac:dyDescent="0.2">
      <c r="A16" s="89">
        <v>45316</v>
      </c>
      <c r="B16" s="9" t="s">
        <v>11</v>
      </c>
      <c r="C16" s="76" t="s">
        <v>610</v>
      </c>
      <c r="D16" s="11" t="s">
        <v>29</v>
      </c>
      <c r="E16" s="31"/>
      <c r="F16" s="31">
        <v>47672</v>
      </c>
      <c r="G16" s="1"/>
      <c r="H16" s="1"/>
      <c r="I16" s="130"/>
      <c r="J16" s="169"/>
      <c r="K16" s="169"/>
      <c r="L16" s="165"/>
    </row>
    <row r="17" spans="1:12" s="2" customFormat="1" ht="14.25" customHeight="1" x14ac:dyDescent="0.2">
      <c r="A17" s="89">
        <v>45316</v>
      </c>
      <c r="B17" s="9" t="s">
        <v>11</v>
      </c>
      <c r="C17" s="76" t="s">
        <v>2010</v>
      </c>
      <c r="D17" s="11" t="s">
        <v>29</v>
      </c>
      <c r="E17" s="31"/>
      <c r="F17" s="31">
        <v>44604</v>
      </c>
      <c r="G17" s="1"/>
      <c r="H17" s="1"/>
      <c r="I17" s="130"/>
      <c r="J17" s="169"/>
      <c r="K17" s="169"/>
      <c r="L17" s="165"/>
    </row>
    <row r="18" spans="1:12" s="2" customFormat="1" ht="14.25" customHeight="1" x14ac:dyDescent="0.2">
      <c r="A18" s="89">
        <v>45316</v>
      </c>
      <c r="B18" s="9" t="s">
        <v>11</v>
      </c>
      <c r="C18" s="76" t="s">
        <v>951</v>
      </c>
      <c r="D18" s="11" t="s">
        <v>29</v>
      </c>
      <c r="E18" s="31"/>
      <c r="F18" s="31">
        <v>2500</v>
      </c>
      <c r="G18" s="1"/>
      <c r="H18" s="1"/>
      <c r="I18" s="130"/>
      <c r="J18" s="169"/>
      <c r="K18" s="169"/>
      <c r="L18" s="165"/>
    </row>
    <row r="19" spans="1:12" s="2" customFormat="1" ht="14.25" customHeight="1" x14ac:dyDescent="0.2">
      <c r="A19" s="89">
        <v>45316</v>
      </c>
      <c r="B19" s="9" t="s">
        <v>11</v>
      </c>
      <c r="C19" s="76" t="s">
        <v>1628</v>
      </c>
      <c r="D19" s="11" t="s">
        <v>29</v>
      </c>
      <c r="E19" s="31"/>
      <c r="F19" s="31">
        <v>5373</v>
      </c>
      <c r="G19" s="1"/>
      <c r="H19" s="1"/>
      <c r="I19" s="130"/>
      <c r="J19" s="169"/>
      <c r="K19" s="169"/>
      <c r="L19" s="165"/>
    </row>
    <row r="20" spans="1:12" s="2" customFormat="1" ht="14.25" customHeight="1" x14ac:dyDescent="0.2">
      <c r="A20" s="89">
        <v>45316</v>
      </c>
      <c r="B20" s="9" t="s">
        <v>11</v>
      </c>
      <c r="C20" s="76" t="s">
        <v>1068</v>
      </c>
      <c r="D20" s="11" t="s">
        <v>29</v>
      </c>
      <c r="E20" s="31"/>
      <c r="F20" s="31">
        <v>21581</v>
      </c>
      <c r="G20" s="1"/>
      <c r="H20" s="1"/>
      <c r="I20" s="130"/>
      <c r="J20" s="169"/>
      <c r="K20" s="169"/>
      <c r="L20" s="165"/>
    </row>
    <row r="21" spans="1:12" s="2" customFormat="1" ht="14.25" customHeight="1" x14ac:dyDescent="0.2">
      <c r="A21" s="89">
        <v>45316</v>
      </c>
      <c r="B21" s="9" t="s">
        <v>11</v>
      </c>
      <c r="C21" s="76" t="s">
        <v>626</v>
      </c>
      <c r="D21" s="11" t="s">
        <v>29</v>
      </c>
      <c r="E21" s="31"/>
      <c r="F21" s="31">
        <v>7098</v>
      </c>
      <c r="G21" s="1"/>
      <c r="H21" s="1"/>
      <c r="I21" s="130"/>
      <c r="J21" s="169"/>
      <c r="K21" s="169"/>
      <c r="L21" s="165"/>
    </row>
    <row r="22" spans="1:12" s="2" customFormat="1" ht="14.25" customHeight="1" x14ac:dyDescent="0.2">
      <c r="A22" s="89">
        <v>45316</v>
      </c>
      <c r="B22" s="9" t="s">
        <v>11</v>
      </c>
      <c r="C22" s="76" t="s">
        <v>738</v>
      </c>
      <c r="D22" s="11" t="s">
        <v>29</v>
      </c>
      <c r="E22" s="31"/>
      <c r="F22" s="31">
        <v>59889.440000000002</v>
      </c>
      <c r="G22" s="1"/>
      <c r="H22" s="1"/>
      <c r="I22" s="130"/>
      <c r="J22" s="169"/>
      <c r="K22" s="169"/>
      <c r="L22" s="165"/>
    </row>
    <row r="23" spans="1:12" s="2" customFormat="1" ht="14.25" customHeight="1" x14ac:dyDescent="0.2">
      <c r="A23" s="89">
        <v>45316</v>
      </c>
      <c r="B23" s="9" t="s">
        <v>11</v>
      </c>
      <c r="C23" s="76" t="s">
        <v>309</v>
      </c>
      <c r="D23" s="11" t="s">
        <v>29</v>
      </c>
      <c r="E23" s="31"/>
      <c r="F23" s="31">
        <v>47628</v>
      </c>
      <c r="G23" s="1"/>
      <c r="H23" s="1"/>
      <c r="I23" s="130"/>
      <c r="J23" s="169"/>
      <c r="K23" s="169"/>
      <c r="L23" s="165"/>
    </row>
    <row r="24" spans="1:12" s="2" customFormat="1" ht="14.25" customHeight="1" x14ac:dyDescent="0.2">
      <c r="A24" s="89">
        <v>45316</v>
      </c>
      <c r="B24" s="9" t="s">
        <v>11</v>
      </c>
      <c r="C24" s="76" t="s">
        <v>124</v>
      </c>
      <c r="D24" s="11" t="s">
        <v>29</v>
      </c>
      <c r="E24" s="31"/>
      <c r="F24" s="31">
        <v>65000</v>
      </c>
      <c r="G24" s="1"/>
      <c r="H24" s="1"/>
      <c r="I24" s="130"/>
      <c r="J24" s="169"/>
      <c r="K24" s="169"/>
      <c r="L24" s="165"/>
    </row>
    <row r="25" spans="1:12" s="2" customFormat="1" ht="14.25" customHeight="1" x14ac:dyDescent="0.2">
      <c r="A25" s="89">
        <v>45316</v>
      </c>
      <c r="B25" s="9" t="s">
        <v>11</v>
      </c>
      <c r="C25" s="76" t="s">
        <v>243</v>
      </c>
      <c r="D25" s="11" t="s">
        <v>29</v>
      </c>
      <c r="E25" s="31"/>
      <c r="F25" s="31">
        <v>2946.46</v>
      </c>
      <c r="G25" s="1"/>
      <c r="H25" s="1"/>
      <c r="I25" s="130"/>
      <c r="J25" s="169"/>
      <c r="K25" s="169"/>
      <c r="L25" s="165"/>
    </row>
    <row r="26" spans="1:12" s="2" customFormat="1" ht="14.25" customHeight="1" x14ac:dyDescent="0.2">
      <c r="A26" s="89">
        <v>45316</v>
      </c>
      <c r="B26" s="9" t="s">
        <v>11</v>
      </c>
      <c r="C26" s="76" t="s">
        <v>2011</v>
      </c>
      <c r="D26" s="11" t="s">
        <v>29</v>
      </c>
      <c r="E26" s="31"/>
      <c r="F26" s="31">
        <v>11805</v>
      </c>
      <c r="G26" s="1"/>
      <c r="H26" s="1"/>
      <c r="I26" s="130"/>
      <c r="J26" s="169"/>
      <c r="K26" s="169"/>
      <c r="L26" s="165"/>
    </row>
    <row r="27" spans="1:12" s="2" customFormat="1" ht="14.25" customHeight="1" x14ac:dyDescent="0.2">
      <c r="A27" s="89">
        <v>45316</v>
      </c>
      <c r="B27" s="9" t="s">
        <v>11</v>
      </c>
      <c r="C27" s="76" t="s">
        <v>2012</v>
      </c>
      <c r="D27" s="11" t="s">
        <v>29</v>
      </c>
      <c r="E27" s="31"/>
      <c r="F27" s="31">
        <v>15225</v>
      </c>
      <c r="G27" s="1"/>
      <c r="H27" s="1"/>
      <c r="I27" s="130"/>
      <c r="J27" s="169"/>
      <c r="K27" s="169"/>
      <c r="L27" s="165"/>
    </row>
    <row r="28" spans="1:12" s="2" customFormat="1" ht="14.25" customHeight="1" x14ac:dyDescent="0.2">
      <c r="A28" s="89">
        <v>45316</v>
      </c>
      <c r="B28" s="9" t="s">
        <v>11</v>
      </c>
      <c r="C28" s="76" t="s">
        <v>1658</v>
      </c>
      <c r="D28" s="11" t="s">
        <v>29</v>
      </c>
      <c r="E28" s="31"/>
      <c r="F28" s="31">
        <v>100665</v>
      </c>
      <c r="G28" s="1"/>
      <c r="H28" s="1"/>
      <c r="I28" s="130"/>
      <c r="J28" s="169"/>
      <c r="K28" s="169"/>
      <c r="L28" s="165"/>
    </row>
    <row r="29" spans="1:12" s="2" customFormat="1" ht="14.25" customHeight="1" x14ac:dyDescent="0.2">
      <c r="A29" s="89">
        <v>45316</v>
      </c>
      <c r="B29" s="9" t="s">
        <v>11</v>
      </c>
      <c r="C29" s="76" t="s">
        <v>52</v>
      </c>
      <c r="D29" s="11" t="s">
        <v>29</v>
      </c>
      <c r="E29" s="31"/>
      <c r="F29" s="31">
        <v>38420</v>
      </c>
      <c r="G29" s="1"/>
      <c r="H29" s="1"/>
      <c r="I29" s="130"/>
      <c r="J29" s="169"/>
      <c r="K29" s="169"/>
      <c r="L29" s="165"/>
    </row>
    <row r="30" spans="1:12" s="2" customFormat="1" ht="14.25" customHeight="1" x14ac:dyDescent="0.2">
      <c r="A30" s="89">
        <v>45316</v>
      </c>
      <c r="B30" s="9" t="s">
        <v>11</v>
      </c>
      <c r="C30" s="76" t="s">
        <v>1943</v>
      </c>
      <c r="D30" s="11" t="s">
        <v>29</v>
      </c>
      <c r="E30" s="31"/>
      <c r="F30" s="31">
        <v>35680</v>
      </c>
      <c r="G30" s="1"/>
      <c r="H30" s="1"/>
      <c r="I30" s="130"/>
      <c r="J30" s="169"/>
      <c r="K30" s="169"/>
      <c r="L30" s="165"/>
    </row>
    <row r="31" spans="1:12" s="2" customFormat="1" ht="14.25" customHeight="1" x14ac:dyDescent="0.2">
      <c r="A31" s="89">
        <v>45316</v>
      </c>
      <c r="B31" s="9" t="s">
        <v>11</v>
      </c>
      <c r="C31" s="76" t="s">
        <v>287</v>
      </c>
      <c r="D31" s="11" t="s">
        <v>29</v>
      </c>
      <c r="E31" s="31"/>
      <c r="F31" s="31">
        <v>10917</v>
      </c>
      <c r="G31" s="1"/>
      <c r="H31" s="1"/>
      <c r="I31" s="130"/>
      <c r="J31" s="169"/>
      <c r="K31" s="169"/>
      <c r="L31" s="165"/>
    </row>
    <row r="32" spans="1:12" s="2" customFormat="1" ht="14.25" customHeight="1" x14ac:dyDescent="0.2">
      <c r="A32" s="89">
        <v>45316</v>
      </c>
      <c r="B32" s="9" t="s">
        <v>11</v>
      </c>
      <c r="C32" s="76" t="s">
        <v>2013</v>
      </c>
      <c r="D32" s="11" t="s">
        <v>29</v>
      </c>
      <c r="E32" s="31"/>
      <c r="F32" s="31">
        <v>33360</v>
      </c>
      <c r="G32" s="1"/>
      <c r="H32" s="1"/>
      <c r="I32" s="130"/>
      <c r="J32" s="169"/>
      <c r="K32" s="169"/>
      <c r="L32" s="165"/>
    </row>
    <row r="33" spans="1:14" s="2" customFormat="1" ht="14.25" customHeight="1" x14ac:dyDescent="0.2">
      <c r="D33" s="11" t="s">
        <v>8</v>
      </c>
      <c r="E33" s="16">
        <f>SUM(E12:E32)</f>
        <v>1000000</v>
      </c>
      <c r="F33" s="16">
        <f>SUM(F11:F32)</f>
        <v>30638726.260000002</v>
      </c>
      <c r="G33" s="1"/>
      <c r="H33" s="1"/>
      <c r="I33" s="143"/>
      <c r="J33" s="130"/>
      <c r="K33" s="143"/>
      <c r="L33" s="143"/>
      <c r="M33" s="143"/>
      <c r="N33" s="143"/>
    </row>
    <row r="34" spans="1:14" s="2" customFormat="1" ht="14.25" customHeight="1" x14ac:dyDescent="0.4">
      <c r="A34" s="17"/>
      <c r="B34" s="18"/>
      <c r="C34" s="96" t="s">
        <v>9</v>
      </c>
      <c r="D34" s="20"/>
      <c r="E34" s="21">
        <f>+F33-E33</f>
        <v>29638726.260000002</v>
      </c>
      <c r="G34" s="1"/>
      <c r="H34" s="1"/>
      <c r="J34" s="112"/>
      <c r="K34" s="153" t="s">
        <v>779</v>
      </c>
    </row>
    <row r="35" spans="1:14" s="2" customFormat="1" ht="14.25" customHeight="1" x14ac:dyDescent="0.2">
      <c r="A35" s="17"/>
      <c r="B35" s="28" t="s">
        <v>66</v>
      </c>
      <c r="C35" s="43" t="s">
        <v>1458</v>
      </c>
      <c r="D35" s="43"/>
      <c r="E35" s="12">
        <f>30000000+60000000</f>
        <v>90000000</v>
      </c>
      <c r="F35" s="22"/>
      <c r="G35" s="1"/>
      <c r="H35" s="1"/>
      <c r="J35" s="40">
        <v>29638726.260000002</v>
      </c>
      <c r="K35" s="154">
        <f>J35-E34</f>
        <v>0</v>
      </c>
    </row>
    <row r="36" spans="1:14" s="2" customFormat="1" ht="14.25" customHeight="1" x14ac:dyDescent="0.25">
      <c r="A36" s="36"/>
      <c r="B36" s="28"/>
      <c r="C36" s="44" t="s">
        <v>1541</v>
      </c>
      <c r="D36" s="43"/>
      <c r="E36" s="7">
        <f>+E34+E35</f>
        <v>119638726.26000001</v>
      </c>
      <c r="F36" s="22"/>
      <c r="G36" s="1"/>
      <c r="H36" s="1"/>
      <c r="I36" s="13" t="s">
        <v>1582</v>
      </c>
      <c r="J36" s="13" t="s">
        <v>1583</v>
      </c>
    </row>
    <row r="37" spans="1:14" s="2" customFormat="1" ht="14.25" customHeight="1" x14ac:dyDescent="0.25">
      <c r="A37" s="36"/>
      <c r="B37" s="28"/>
      <c r="C37" s="44" t="s">
        <v>1511</v>
      </c>
      <c r="D37" s="43"/>
      <c r="E37" s="38">
        <f>+J11+I7-J7</f>
        <v>361273.73999999836</v>
      </c>
      <c r="F37" s="22"/>
      <c r="G37" s="1"/>
      <c r="H37" s="1"/>
      <c r="I37" s="2">
        <v>240757</v>
      </c>
      <c r="J37" s="2">
        <v>600116</v>
      </c>
      <c r="K37" s="176">
        <f>I37-J37</f>
        <v>-359359</v>
      </c>
    </row>
    <row r="38" spans="1:14" s="2" customFormat="1" ht="14.25" customHeight="1" x14ac:dyDescent="0.2">
      <c r="A38" s="24"/>
      <c r="B38" s="1"/>
      <c r="C38" s="14"/>
      <c r="D38" s="25"/>
      <c r="G38" s="1"/>
      <c r="H38" s="1"/>
      <c r="J38" s="130"/>
      <c r="K38" s="130"/>
    </row>
    <row r="39" spans="1:14" s="2" customFormat="1" x14ac:dyDescent="0.2">
      <c r="A39" s="214" t="s">
        <v>10</v>
      </c>
      <c r="B39" s="214"/>
      <c r="C39" s="214"/>
      <c r="D39" s="214"/>
      <c r="E39" s="214"/>
      <c r="F39" s="214"/>
      <c r="G39" s="1"/>
      <c r="H39" s="1"/>
      <c r="I39" s="159"/>
      <c r="J39" s="160">
        <v>100000000</v>
      </c>
      <c r="K39" s="160" t="s">
        <v>1506</v>
      </c>
      <c r="L39" s="70"/>
    </row>
    <row r="40" spans="1:14" s="2" customFormat="1" ht="15" x14ac:dyDescent="0.35">
      <c r="A40" s="26" t="s">
        <v>1</v>
      </c>
      <c r="B40" s="27" t="s">
        <v>2</v>
      </c>
      <c r="C40" s="5"/>
      <c r="D40" s="6" t="s">
        <v>3</v>
      </c>
      <c r="E40" s="7" t="s">
        <v>4</v>
      </c>
      <c r="F40" s="7" t="s">
        <v>5</v>
      </c>
      <c r="G40" s="1"/>
      <c r="H40" s="1"/>
      <c r="I40" s="159"/>
      <c r="J40" s="179">
        <v>73175668.599999994</v>
      </c>
      <c r="K40" s="160" t="s">
        <v>1507</v>
      </c>
      <c r="L40" s="70" t="s">
        <v>1512</v>
      </c>
    </row>
    <row r="41" spans="1:14" s="2" customFormat="1" x14ac:dyDescent="0.2">
      <c r="A41" s="89">
        <v>45316</v>
      </c>
      <c r="B41" s="128" t="s">
        <v>11</v>
      </c>
      <c r="C41" s="29" t="s">
        <v>7</v>
      </c>
      <c r="D41" s="25"/>
      <c r="E41" s="31"/>
      <c r="F41" s="2">
        <v>70492404.839999929</v>
      </c>
      <c r="G41" s="23"/>
      <c r="H41" s="23"/>
      <c r="I41" s="159" t="s">
        <v>1505</v>
      </c>
      <c r="J41" s="160">
        <f>+J39-J40</f>
        <v>26824331.400000006</v>
      </c>
      <c r="K41" s="160"/>
      <c r="L41" s="70"/>
    </row>
    <row r="42" spans="1:14" s="2" customFormat="1" x14ac:dyDescent="0.2">
      <c r="A42" s="89">
        <v>45316</v>
      </c>
      <c r="B42" s="128" t="s">
        <v>6</v>
      </c>
      <c r="C42" s="76" t="s">
        <v>146</v>
      </c>
      <c r="D42" s="11" t="s">
        <v>13</v>
      </c>
      <c r="E42" s="31">
        <v>189059.84</v>
      </c>
      <c r="G42" s="23"/>
      <c r="H42" s="23"/>
      <c r="I42" s="159"/>
      <c r="J42" s="160"/>
      <c r="K42" s="160"/>
      <c r="L42" s="70"/>
    </row>
    <row r="43" spans="1:14" s="2" customFormat="1" x14ac:dyDescent="0.2">
      <c r="A43" s="89">
        <v>45316</v>
      </c>
      <c r="B43" s="128" t="s">
        <v>6</v>
      </c>
      <c r="C43" s="76" t="s">
        <v>1708</v>
      </c>
      <c r="D43" s="11" t="s">
        <v>13</v>
      </c>
      <c r="E43" s="31">
        <v>47250</v>
      </c>
      <c r="G43" s="23"/>
      <c r="H43" s="23"/>
      <c r="I43" s="159"/>
      <c r="J43" s="160"/>
      <c r="K43" s="160"/>
      <c r="L43" s="70"/>
    </row>
    <row r="44" spans="1:14" s="2" customFormat="1" x14ac:dyDescent="0.2">
      <c r="A44" s="89">
        <v>45316</v>
      </c>
      <c r="B44" s="128" t="s">
        <v>6</v>
      </c>
      <c r="C44" s="76" t="s">
        <v>19</v>
      </c>
      <c r="D44" s="11" t="s">
        <v>13</v>
      </c>
      <c r="E44" s="31">
        <v>21781</v>
      </c>
      <c r="G44" s="23"/>
      <c r="H44" s="23"/>
      <c r="I44" s="159"/>
      <c r="J44" s="160"/>
      <c r="K44" s="160"/>
      <c r="L44" s="70"/>
    </row>
    <row r="45" spans="1:14" s="2" customFormat="1" x14ac:dyDescent="0.2">
      <c r="A45" s="89">
        <v>45316</v>
      </c>
      <c r="B45" s="128" t="s">
        <v>6</v>
      </c>
      <c r="C45" s="76" t="s">
        <v>24</v>
      </c>
      <c r="D45" s="11" t="s">
        <v>13</v>
      </c>
      <c r="E45" s="31">
        <v>34092</v>
      </c>
      <c r="G45" s="23"/>
      <c r="H45" s="23"/>
      <c r="I45" s="159"/>
      <c r="J45" s="160"/>
      <c r="K45" s="160"/>
      <c r="L45" s="70"/>
    </row>
    <row r="46" spans="1:14" s="2" customFormat="1" x14ac:dyDescent="0.2">
      <c r="A46" s="89">
        <v>45316</v>
      </c>
      <c r="B46" s="128" t="s">
        <v>6</v>
      </c>
      <c r="C46" s="76" t="s">
        <v>1241</v>
      </c>
      <c r="D46" s="11" t="s">
        <v>13</v>
      </c>
      <c r="E46" s="31">
        <v>170692</v>
      </c>
      <c r="G46" s="23"/>
      <c r="H46" s="23"/>
      <c r="I46" s="159"/>
      <c r="J46" s="160"/>
      <c r="K46" s="160"/>
      <c r="L46" s="70"/>
    </row>
    <row r="47" spans="1:14" s="2" customFormat="1" x14ac:dyDescent="0.2">
      <c r="A47" s="89">
        <v>45316</v>
      </c>
      <c r="B47" s="128" t="s">
        <v>6</v>
      </c>
      <c r="C47" s="76" t="s">
        <v>1958</v>
      </c>
      <c r="D47" s="11" t="s">
        <v>13</v>
      </c>
      <c r="E47" s="31">
        <v>20318</v>
      </c>
      <c r="G47" s="23"/>
      <c r="H47" s="23"/>
      <c r="I47" s="159"/>
      <c r="J47" s="160"/>
      <c r="K47" s="160"/>
      <c r="L47" s="70"/>
    </row>
    <row r="48" spans="1:14" s="2" customFormat="1" x14ac:dyDescent="0.2">
      <c r="A48" s="89">
        <v>45316</v>
      </c>
      <c r="B48" s="128" t="s">
        <v>6</v>
      </c>
      <c r="C48" s="76" t="s">
        <v>2014</v>
      </c>
      <c r="D48" s="11" t="s">
        <v>13</v>
      </c>
      <c r="E48" s="31">
        <v>300000</v>
      </c>
      <c r="G48" s="23"/>
      <c r="H48" s="23"/>
      <c r="I48" s="159"/>
      <c r="J48" s="160"/>
      <c r="K48" s="160"/>
      <c r="L48" s="70"/>
    </row>
    <row r="49" spans="1:15" s="2" customFormat="1" x14ac:dyDescent="0.2">
      <c r="A49" s="89">
        <v>45316</v>
      </c>
      <c r="B49" s="128" t="s">
        <v>6</v>
      </c>
      <c r="C49" s="76" t="s">
        <v>1786</v>
      </c>
      <c r="D49" s="11" t="s">
        <v>13</v>
      </c>
      <c r="E49" s="31">
        <v>100000</v>
      </c>
      <c r="G49" s="23"/>
      <c r="H49" s="23"/>
      <c r="I49" s="159"/>
      <c r="J49" s="160"/>
      <c r="K49" s="160"/>
      <c r="L49" s="70"/>
    </row>
    <row r="50" spans="1:15" s="2" customFormat="1" x14ac:dyDescent="0.2">
      <c r="A50" s="89">
        <v>45316</v>
      </c>
      <c r="B50" s="128" t="s">
        <v>11</v>
      </c>
      <c r="C50" s="76" t="s">
        <v>64</v>
      </c>
      <c r="D50" s="11" t="s">
        <v>29</v>
      </c>
      <c r="E50" s="31"/>
      <c r="F50" s="2">
        <v>23.6</v>
      </c>
      <c r="G50" s="23"/>
      <c r="H50" s="23"/>
      <c r="I50" s="159"/>
      <c r="J50" s="160"/>
      <c r="K50" s="160"/>
      <c r="L50" s="70"/>
    </row>
    <row r="51" spans="1:15" s="2" customFormat="1" x14ac:dyDescent="0.2">
      <c r="A51" s="89">
        <v>45316</v>
      </c>
      <c r="B51" s="128" t="s">
        <v>11</v>
      </c>
      <c r="C51" s="76" t="s">
        <v>687</v>
      </c>
      <c r="D51" s="11" t="s">
        <v>29</v>
      </c>
      <c r="E51" s="31"/>
      <c r="F51" s="2">
        <v>548261</v>
      </c>
      <c r="G51" s="23"/>
      <c r="H51" s="23"/>
      <c r="I51" s="159"/>
      <c r="J51" s="160"/>
      <c r="K51" s="160"/>
      <c r="L51" s="70"/>
    </row>
    <row r="52" spans="1:15" s="2" customFormat="1" x14ac:dyDescent="0.2">
      <c r="A52" s="89">
        <v>45316</v>
      </c>
      <c r="B52" s="128" t="s">
        <v>11</v>
      </c>
      <c r="C52" s="76" t="s">
        <v>107</v>
      </c>
      <c r="D52" s="11" t="s">
        <v>29</v>
      </c>
      <c r="E52" s="31"/>
      <c r="F52" s="2">
        <v>669175.39</v>
      </c>
      <c r="G52" s="23"/>
      <c r="H52" s="23"/>
      <c r="I52" s="159"/>
      <c r="J52" s="160"/>
      <c r="K52" s="160"/>
      <c r="L52" s="70"/>
    </row>
    <row r="53" spans="1:15" s="2" customFormat="1" x14ac:dyDescent="0.2">
      <c r="A53" s="89">
        <v>45316</v>
      </c>
      <c r="B53" s="128" t="s">
        <v>11</v>
      </c>
      <c r="C53" s="76" t="s">
        <v>558</v>
      </c>
      <c r="D53" s="11" t="s">
        <v>29</v>
      </c>
      <c r="E53" s="31"/>
      <c r="F53" s="2">
        <v>1708355.61</v>
      </c>
      <c r="G53" s="23"/>
      <c r="H53" s="23"/>
      <c r="I53" s="159"/>
      <c r="J53" s="160"/>
      <c r="K53" s="160"/>
      <c r="L53" s="70"/>
    </row>
    <row r="54" spans="1:15" s="2" customFormat="1" x14ac:dyDescent="0.2">
      <c r="A54" s="89">
        <v>45316</v>
      </c>
      <c r="B54" s="128" t="s">
        <v>11</v>
      </c>
      <c r="C54" s="76" t="s">
        <v>944</v>
      </c>
      <c r="D54" s="11" t="s">
        <v>29</v>
      </c>
      <c r="E54" s="31"/>
      <c r="F54" s="2">
        <v>1000000</v>
      </c>
      <c r="G54" s="23"/>
      <c r="H54" s="23"/>
      <c r="I54" s="159"/>
      <c r="J54" s="160"/>
      <c r="K54" s="160"/>
      <c r="L54" s="70"/>
    </row>
    <row r="55" spans="1:15" s="2" customFormat="1" x14ac:dyDescent="0.2">
      <c r="A55" s="32"/>
      <c r="B55" s="33"/>
      <c r="C55" s="14"/>
      <c r="D55" s="34"/>
      <c r="E55" s="16">
        <f>SUM(E41:E54)</f>
        <v>883192.84</v>
      </c>
      <c r="F55" s="16">
        <f>SUM(F41:F54)</f>
        <v>74418220.439999923</v>
      </c>
      <c r="G55" s="1"/>
      <c r="H55" s="1"/>
      <c r="I55" s="1"/>
      <c r="J55" s="38">
        <v>73535027.599999994</v>
      </c>
      <c r="L55" s="92">
        <f>E56-J55</f>
        <v>0</v>
      </c>
      <c r="O55" s="1"/>
    </row>
    <row r="56" spans="1:15" s="2" customFormat="1" x14ac:dyDescent="0.2">
      <c r="A56" s="36"/>
      <c r="B56" s="28" t="s">
        <v>11</v>
      </c>
      <c r="C56" s="19" t="s">
        <v>65</v>
      </c>
      <c r="D56" s="37"/>
      <c r="E56" s="38">
        <f>F55-E55</f>
        <v>73535027.59999992</v>
      </c>
      <c r="F56" s="22"/>
      <c r="G56" s="1"/>
      <c r="H56" s="1"/>
      <c r="I56" s="1"/>
      <c r="J56" s="70"/>
      <c r="K56" s="70"/>
      <c r="L56" s="70"/>
      <c r="O56" s="1"/>
    </row>
    <row r="57" spans="1:15" s="2" customFormat="1" x14ac:dyDescent="0.2">
      <c r="A57" s="36"/>
      <c r="B57" s="28" t="s">
        <v>66</v>
      </c>
      <c r="C57" s="19" t="s">
        <v>67</v>
      </c>
      <c r="D57" s="37"/>
      <c r="E57" s="38">
        <v>11500000</v>
      </c>
      <c r="F57" s="22"/>
      <c r="G57" s="1"/>
      <c r="H57" s="1"/>
      <c r="I57" s="70"/>
      <c r="J57" s="70"/>
      <c r="K57" s="70"/>
      <c r="L57" s="70"/>
      <c r="O57" s="1"/>
    </row>
    <row r="58" spans="1:15" s="2" customFormat="1" x14ac:dyDescent="0.2">
      <c r="A58" s="36"/>
      <c r="B58" s="28" t="s">
        <v>66</v>
      </c>
      <c r="C58" s="43" t="s">
        <v>1457</v>
      </c>
      <c r="D58" s="43"/>
      <c r="E58" s="12">
        <v>400000000</v>
      </c>
      <c r="F58" s="22"/>
      <c r="G58" s="1"/>
      <c r="H58" s="1"/>
      <c r="I58" s="70"/>
      <c r="J58" s="45">
        <v>1290.99</v>
      </c>
      <c r="K58" s="46"/>
      <c r="L58" s="46"/>
      <c r="O58" s="1"/>
    </row>
    <row r="59" spans="1:15" s="2" customFormat="1" ht="15" x14ac:dyDescent="0.25">
      <c r="A59" s="36"/>
      <c r="B59" s="28"/>
      <c r="C59" s="44" t="s">
        <v>1541</v>
      </c>
      <c r="D59" s="43"/>
      <c r="E59" s="7">
        <f>+E58+E56+E57</f>
        <v>485035027.5999999</v>
      </c>
      <c r="F59" s="22"/>
      <c r="G59" s="1"/>
      <c r="H59" s="1"/>
      <c r="I59" s="103" t="s">
        <v>69</v>
      </c>
      <c r="J59" s="45">
        <v>-60.18</v>
      </c>
      <c r="K59" s="46"/>
      <c r="L59" s="46"/>
      <c r="O59" s="1"/>
    </row>
    <row r="60" spans="1:15" s="2" customFormat="1" ht="15" x14ac:dyDescent="0.25">
      <c r="A60" s="24"/>
      <c r="B60" s="1"/>
      <c r="C60" s="44" t="s">
        <v>1510</v>
      </c>
      <c r="D60" s="25"/>
      <c r="E60" s="156">
        <f>+J41-E57+I37-J37</f>
        <v>14964972.400000006</v>
      </c>
      <c r="G60" s="1"/>
      <c r="H60" s="1"/>
      <c r="I60" s="35">
        <v>1</v>
      </c>
      <c r="J60" s="45">
        <v>29.99</v>
      </c>
      <c r="K60" s="46">
        <f>+J61-D63</f>
        <v>0</v>
      </c>
      <c r="O60" s="1"/>
    </row>
    <row r="61" spans="1:15" s="124" customFormat="1" ht="12.75" customHeight="1" x14ac:dyDescent="0.2">
      <c r="A61" s="24"/>
      <c r="B61" s="1"/>
      <c r="C61" s="56"/>
      <c r="D61" s="56"/>
      <c r="E61" s="104"/>
      <c r="F61" s="2"/>
      <c r="G61" s="166"/>
      <c r="H61" s="166"/>
      <c r="I61" s="70"/>
      <c r="J61" s="49">
        <f>SUM(J58:J60)</f>
        <v>1260.8</v>
      </c>
      <c r="K61" s="46"/>
      <c r="L61" s="46"/>
    </row>
    <row r="62" spans="1:15" s="124" customFormat="1" ht="12.75" customHeight="1" x14ac:dyDescent="0.2">
      <c r="A62" s="24"/>
      <c r="B62" s="1"/>
      <c r="C62" s="78" t="s">
        <v>575</v>
      </c>
      <c r="D62" s="48" t="s">
        <v>576</v>
      </c>
      <c r="E62" s="104"/>
      <c r="F62" s="2"/>
      <c r="G62" s="168"/>
      <c r="H62" s="168"/>
      <c r="I62" s="167"/>
      <c r="J62" s="167"/>
      <c r="K62" s="168"/>
    </row>
    <row r="63" spans="1:15" s="124" customFormat="1" ht="12.75" customHeight="1" x14ac:dyDescent="0.2">
      <c r="A63" s="24"/>
      <c r="B63" s="1"/>
      <c r="C63" s="47" t="s">
        <v>570</v>
      </c>
      <c r="D63" s="111">
        <v>1260.8</v>
      </c>
      <c r="E63" s="104"/>
      <c r="F63" s="2"/>
      <c r="G63" s="168"/>
      <c r="H63" s="168"/>
      <c r="I63" s="110" t="s">
        <v>581</v>
      </c>
      <c r="J63" s="167"/>
      <c r="K63" s="168"/>
    </row>
    <row r="64" spans="1:15" s="124" customFormat="1" ht="12.75" customHeight="1" x14ac:dyDescent="0.2">
      <c r="A64" s="24"/>
      <c r="B64" s="1"/>
      <c r="C64" s="47" t="s">
        <v>931</v>
      </c>
      <c r="D64" s="111">
        <v>254.58</v>
      </c>
      <c r="E64" s="104"/>
      <c r="F64" s="2"/>
      <c r="G64" s="168"/>
      <c r="H64" s="168"/>
      <c r="I64" s="110" t="s">
        <v>580</v>
      </c>
      <c r="J64" s="167"/>
      <c r="K64" s="168"/>
    </row>
    <row r="65" spans="1:15" s="124" customFormat="1" ht="12.75" customHeight="1" x14ac:dyDescent="0.2">
      <c r="A65" s="24"/>
      <c r="B65" s="1"/>
      <c r="C65" s="47" t="s">
        <v>572</v>
      </c>
      <c r="D65" s="111">
        <f>+D110/100000</f>
        <v>863.96746740000015</v>
      </c>
      <c r="E65" s="104"/>
      <c r="F65" s="2"/>
      <c r="G65" s="166"/>
      <c r="H65" s="166"/>
      <c r="I65" s="90" t="s">
        <v>587</v>
      </c>
      <c r="J65" s="167"/>
      <c r="K65" s="168"/>
    </row>
    <row r="66" spans="1:15" s="2" customFormat="1" x14ac:dyDescent="0.2">
      <c r="A66" s="24"/>
      <c r="B66" s="1"/>
      <c r="C66" s="108" t="s">
        <v>578</v>
      </c>
      <c r="D66" s="48">
        <f>SUM(D63:D65)</f>
        <v>2379.3474673999999</v>
      </c>
      <c r="E66" s="104"/>
      <c r="G66" s="30"/>
      <c r="H66" s="30"/>
      <c r="J66" s="13"/>
      <c r="K66" s="13"/>
    </row>
    <row r="67" spans="1:15" s="70" customFormat="1" x14ac:dyDescent="0.2">
      <c r="A67" s="24"/>
      <c r="B67" s="1"/>
      <c r="C67" s="47"/>
      <c r="D67" s="107"/>
      <c r="E67" s="104"/>
      <c r="F67" s="2"/>
      <c r="G67" s="30"/>
      <c r="H67" s="30"/>
      <c r="I67" s="2"/>
    </row>
    <row r="68" spans="1:15" s="70" customFormat="1" x14ac:dyDescent="0.2">
      <c r="A68" s="24"/>
      <c r="B68" s="1"/>
      <c r="C68" s="47" t="s">
        <v>932</v>
      </c>
      <c r="D68" s="111">
        <v>401.63</v>
      </c>
      <c r="E68" s="104"/>
      <c r="F68" s="2"/>
      <c r="G68" s="30"/>
      <c r="H68" s="30"/>
      <c r="I68" s="110" t="s">
        <v>581</v>
      </c>
    </row>
    <row r="69" spans="1:15" s="70" customFormat="1" x14ac:dyDescent="0.2">
      <c r="A69" s="24"/>
      <c r="B69" s="1"/>
      <c r="C69" s="136" t="s">
        <v>1142</v>
      </c>
      <c r="D69" s="111">
        <v>1130.81</v>
      </c>
      <c r="E69" s="104"/>
      <c r="F69" s="2"/>
      <c r="G69" s="30"/>
      <c r="H69" s="30"/>
      <c r="I69" s="110" t="s">
        <v>581</v>
      </c>
    </row>
    <row r="70" spans="1:15" s="70" customFormat="1" x14ac:dyDescent="0.2">
      <c r="A70" s="24"/>
      <c r="B70" s="1"/>
      <c r="C70" s="78" t="s">
        <v>579</v>
      </c>
      <c r="D70" s="109">
        <f>D68+D69</f>
        <v>1532.44</v>
      </c>
      <c r="E70" s="104"/>
      <c r="F70" s="2"/>
      <c r="G70" s="30"/>
      <c r="H70" s="30"/>
    </row>
    <row r="71" spans="1:15" s="70" customFormat="1" x14ac:dyDescent="0.2">
      <c r="A71" s="24"/>
      <c r="B71" s="1"/>
      <c r="C71" s="105"/>
      <c r="D71" s="106"/>
      <c r="E71" s="104"/>
      <c r="F71" s="2"/>
      <c r="G71" s="30"/>
      <c r="H71" s="30"/>
      <c r="J71" s="2"/>
      <c r="K71" s="221" t="str">
        <f>"FROM ( 01-01-2024 to "&amp;TEXT(A5,"dd-mm-yyyy")&amp;" )"</f>
        <v>FROM ( 01-01-2024 to 25-01-2024 )</v>
      </c>
      <c r="L71" s="221"/>
      <c r="M71" s="2"/>
      <c r="N71" s="2"/>
    </row>
    <row r="72" spans="1:15" s="70" customFormat="1" x14ac:dyDescent="0.2">
      <c r="A72" s="24"/>
      <c r="B72" s="1"/>
      <c r="C72" s="78" t="s">
        <v>577</v>
      </c>
      <c r="D72" s="109">
        <f>D63+D70</f>
        <v>2793.24</v>
      </c>
      <c r="E72" s="104"/>
      <c r="F72" s="2"/>
      <c r="G72" s="30"/>
      <c r="H72" s="30"/>
      <c r="J72" s="113"/>
      <c r="K72" s="113" t="s">
        <v>709</v>
      </c>
      <c r="L72" s="113" t="s">
        <v>710</v>
      </c>
      <c r="M72" s="113" t="s">
        <v>711</v>
      </c>
      <c r="N72" s="113" t="s">
        <v>712</v>
      </c>
    </row>
    <row r="73" spans="1:15" s="70" customFormat="1" x14ac:dyDescent="0.2">
      <c r="A73" s="24"/>
      <c r="B73" s="1"/>
      <c r="C73" s="56"/>
      <c r="D73" s="56"/>
      <c r="E73" s="104"/>
      <c r="F73" s="2"/>
      <c r="G73" s="30"/>
      <c r="H73" s="30"/>
      <c r="J73" s="113" t="s">
        <v>1860</v>
      </c>
      <c r="K73" s="115">
        <v>189.89</v>
      </c>
      <c r="L73" s="115">
        <v>56.31</v>
      </c>
      <c r="M73" s="115">
        <v>58.41</v>
      </c>
      <c r="N73" s="113">
        <f>+K73+M73-L73</f>
        <v>191.98999999999998</v>
      </c>
    </row>
    <row r="74" spans="1:15" s="70" customFormat="1" ht="38.25" x14ac:dyDescent="0.2">
      <c r="A74" s="24"/>
      <c r="B74" s="1"/>
      <c r="C74" s="79" t="str">
        <f>"Particulars ( 01-01-2024 to "&amp;TEXT(A5,"dd-mm-yyyy")&amp;" )"</f>
        <v>Particulars ( 01-01-2024 to 25-01-2024 )</v>
      </c>
      <c r="D74" s="79" t="s">
        <v>7</v>
      </c>
      <c r="E74" s="80" t="s">
        <v>73</v>
      </c>
      <c r="F74" s="80" t="s">
        <v>74</v>
      </c>
      <c r="G74" s="81" t="s">
        <v>75</v>
      </c>
      <c r="H74" s="80" t="s">
        <v>76</v>
      </c>
      <c r="J74" s="113" t="s">
        <v>1861</v>
      </c>
      <c r="K74" s="115">
        <v>1669.02</v>
      </c>
      <c r="L74" s="115">
        <v>863.97</v>
      </c>
      <c r="M74" s="115">
        <v>1128.71</v>
      </c>
      <c r="N74" s="113">
        <f>+K74+M74-L74</f>
        <v>1933.76</v>
      </c>
    </row>
    <row r="75" spans="1:15" s="70" customFormat="1" x14ac:dyDescent="0.2">
      <c r="A75" s="24"/>
      <c r="B75" s="1"/>
      <c r="C75" s="50" t="s">
        <v>444</v>
      </c>
      <c r="D75" s="55">
        <f>+K75</f>
        <v>140.88</v>
      </c>
      <c r="E75" s="55">
        <f>+M75</f>
        <v>401.63</v>
      </c>
      <c r="F75" s="55">
        <f>+L75</f>
        <v>254.58</v>
      </c>
      <c r="G75" s="55">
        <f>+D75+E75-F75</f>
        <v>287.92999999999995</v>
      </c>
      <c r="H75" s="55">
        <f>1500-G75</f>
        <v>1212.0700000000002</v>
      </c>
      <c r="J75" s="113" t="s">
        <v>707</v>
      </c>
      <c r="K75" s="115">
        <v>140.88</v>
      </c>
      <c r="L75" s="115">
        <v>254.58</v>
      </c>
      <c r="M75" s="115">
        <v>401.63</v>
      </c>
      <c r="N75" s="113">
        <f>+K75+M75-L75</f>
        <v>287.92999999999995</v>
      </c>
    </row>
    <row r="76" spans="1:15" s="70" customFormat="1" ht="12.75" customHeight="1" x14ac:dyDescent="0.2">
      <c r="A76" s="24"/>
      <c r="B76" s="1"/>
      <c r="C76" s="50" t="s">
        <v>71</v>
      </c>
      <c r="D76" s="55">
        <f>+K73+K74</f>
        <v>1858.9099999999999</v>
      </c>
      <c r="E76" s="55">
        <f>+M73+M74</f>
        <v>1187.1200000000001</v>
      </c>
      <c r="F76" s="55">
        <f>+L73+L74</f>
        <v>920.28</v>
      </c>
      <c r="G76" s="55">
        <f>+D76+E76-F76</f>
        <v>2125.75</v>
      </c>
      <c r="H76" s="55">
        <f>1500+700+200-G76</f>
        <v>274.25</v>
      </c>
      <c r="J76" s="2"/>
      <c r="K76" s="118">
        <f>SUM(K73:K75)</f>
        <v>1999.79</v>
      </c>
      <c r="L76" s="118">
        <f>SUM(L73:L75)</f>
        <v>1174.8599999999999</v>
      </c>
      <c r="M76" s="118">
        <f>SUM(M73:M75)</f>
        <v>1588.75</v>
      </c>
      <c r="N76" s="118">
        <f>SUM(N73:N75)</f>
        <v>2413.6799999999998</v>
      </c>
    </row>
    <row r="77" spans="1:15" s="70" customFormat="1" ht="12.75" customHeight="1" x14ac:dyDescent="0.2">
      <c r="A77" s="24"/>
      <c r="B77" s="1"/>
      <c r="C77" s="14"/>
      <c r="D77" s="56"/>
      <c r="E77" s="13"/>
      <c r="F77" s="2"/>
      <c r="G77" s="30"/>
      <c r="H77" s="30"/>
    </row>
    <row r="78" spans="1:15" s="70" customFormat="1" ht="12.75" customHeight="1" x14ac:dyDescent="0.2">
      <c r="A78" s="215" t="s">
        <v>80</v>
      </c>
      <c r="B78" s="216"/>
      <c r="C78" s="216"/>
      <c r="D78" s="217"/>
      <c r="E78" s="69"/>
      <c r="G78" s="30"/>
      <c r="H78" s="30"/>
    </row>
    <row r="79" spans="1:15" s="70" customFormat="1" ht="12.75" customHeight="1" x14ac:dyDescent="0.2">
      <c r="A79" s="71" t="s">
        <v>81</v>
      </c>
      <c r="B79" s="71"/>
      <c r="C79" s="72" t="s">
        <v>82</v>
      </c>
      <c r="D79" s="73" t="s">
        <v>83</v>
      </c>
      <c r="E79" s="69"/>
      <c r="G79" s="30"/>
      <c r="H79" s="30"/>
    </row>
    <row r="80" spans="1:15" s="70" customFormat="1" ht="12.75" customHeight="1" x14ac:dyDescent="0.2">
      <c r="A80" s="87">
        <v>45292</v>
      </c>
      <c r="B80" s="120" t="s">
        <v>6</v>
      </c>
      <c r="C80" s="75" t="s">
        <v>1933</v>
      </c>
      <c r="D80" s="88">
        <v>7583470</v>
      </c>
      <c r="E80" s="2"/>
      <c r="F80" s="2"/>
      <c r="G80" s="30"/>
      <c r="H80" s="30"/>
      <c r="I80" s="2"/>
      <c r="J80" s="2"/>
      <c r="K80" s="2"/>
      <c r="L80" s="2"/>
      <c r="M80" s="41"/>
      <c r="N80" s="42"/>
      <c r="O80" s="2"/>
    </row>
    <row r="81" spans="1:15" s="70" customFormat="1" ht="12.75" customHeight="1" x14ac:dyDescent="0.2">
      <c r="A81" s="87">
        <v>45293</v>
      </c>
      <c r="B81" s="120" t="s">
        <v>6</v>
      </c>
      <c r="C81" s="75" t="s">
        <v>1934</v>
      </c>
      <c r="D81" s="88">
        <v>124988</v>
      </c>
      <c r="E81" s="2"/>
      <c r="F81" s="2"/>
      <c r="G81" s="30"/>
      <c r="H81" s="30"/>
      <c r="I81" s="2"/>
      <c r="J81" s="2"/>
      <c r="K81" s="2"/>
      <c r="L81" s="2"/>
      <c r="M81" s="41"/>
      <c r="N81" s="42"/>
      <c r="O81" s="2"/>
    </row>
    <row r="82" spans="1:15" s="70" customFormat="1" ht="12.75" customHeight="1" x14ac:dyDescent="0.2">
      <c r="A82" s="87">
        <v>45294</v>
      </c>
      <c r="B82" s="120" t="s">
        <v>6</v>
      </c>
      <c r="C82" s="75" t="s">
        <v>606</v>
      </c>
      <c r="D82" s="88">
        <v>260191</v>
      </c>
      <c r="E82" s="2"/>
      <c r="F82" s="2"/>
      <c r="G82" s="30"/>
      <c r="H82" s="30"/>
      <c r="I82" s="2"/>
      <c r="J82" s="2"/>
      <c r="K82" s="2"/>
      <c r="L82" s="2"/>
      <c r="M82" s="41"/>
      <c r="N82" s="42"/>
      <c r="O82" s="2"/>
    </row>
    <row r="83" spans="1:15" s="70" customFormat="1" ht="12.75" customHeight="1" x14ac:dyDescent="0.2">
      <c r="A83" s="87">
        <v>45294</v>
      </c>
      <c r="B83" s="120" t="s">
        <v>6</v>
      </c>
      <c r="C83" s="75" t="s">
        <v>888</v>
      </c>
      <c r="D83" s="88">
        <v>2431991.34</v>
      </c>
      <c r="E83" s="2"/>
      <c r="F83" s="2"/>
      <c r="G83" s="30"/>
      <c r="H83" s="30"/>
      <c r="I83" s="2"/>
      <c r="J83" s="2"/>
      <c r="K83" s="2"/>
      <c r="L83" s="2"/>
      <c r="M83" s="41"/>
      <c r="N83" s="42"/>
      <c r="O83" s="2"/>
    </row>
    <row r="84" spans="1:15" s="70" customFormat="1" ht="12.75" customHeight="1" x14ac:dyDescent="0.2">
      <c r="A84" s="87">
        <v>45295</v>
      </c>
      <c r="B84" s="120" t="s">
        <v>6</v>
      </c>
      <c r="C84" s="75" t="s">
        <v>1944</v>
      </c>
      <c r="D84" s="88">
        <v>23655</v>
      </c>
      <c r="E84" s="2"/>
      <c r="F84" s="2"/>
      <c r="G84" s="30"/>
      <c r="H84" s="30"/>
      <c r="I84" s="2"/>
      <c r="J84" s="2"/>
      <c r="K84" s="2"/>
      <c r="L84" s="2"/>
      <c r="M84" s="41"/>
      <c r="N84" s="42"/>
      <c r="O84" s="2"/>
    </row>
    <row r="85" spans="1:15" s="70" customFormat="1" ht="12.75" customHeight="1" x14ac:dyDescent="0.2">
      <c r="A85" s="87">
        <v>45295</v>
      </c>
      <c r="B85" s="120" t="s">
        <v>6</v>
      </c>
      <c r="C85" s="75" t="s">
        <v>1944</v>
      </c>
      <c r="D85" s="88">
        <v>321576</v>
      </c>
      <c r="E85" s="2"/>
      <c r="F85" s="2"/>
      <c r="G85" s="30"/>
      <c r="H85" s="30"/>
      <c r="I85" s="2"/>
      <c r="J85" s="2"/>
      <c r="K85" s="2"/>
      <c r="L85" s="2"/>
      <c r="M85" s="41"/>
      <c r="N85" s="42"/>
      <c r="O85" s="2"/>
    </row>
    <row r="86" spans="1:15" s="70" customFormat="1" ht="12.75" customHeight="1" x14ac:dyDescent="0.2">
      <c r="A86" s="87">
        <v>45295</v>
      </c>
      <c r="B86" s="120" t="s">
        <v>6</v>
      </c>
      <c r="C86" s="75" t="s">
        <v>1944</v>
      </c>
      <c r="D86" s="88">
        <v>430832</v>
      </c>
      <c r="E86" s="2"/>
      <c r="F86" s="2"/>
      <c r="G86" s="30"/>
      <c r="H86" s="30"/>
      <c r="I86" s="2"/>
      <c r="J86" s="2"/>
      <c r="K86" s="2"/>
      <c r="L86" s="2"/>
      <c r="M86" s="41"/>
      <c r="N86" s="42"/>
      <c r="O86" s="2"/>
    </row>
    <row r="87" spans="1:15" s="70" customFormat="1" ht="12.75" customHeight="1" x14ac:dyDescent="0.2">
      <c r="A87" s="87">
        <v>45295</v>
      </c>
      <c r="B87" s="120" t="s">
        <v>6</v>
      </c>
      <c r="C87" s="75" t="s">
        <v>1934</v>
      </c>
      <c r="D87" s="88">
        <v>892589</v>
      </c>
      <c r="E87" s="2"/>
      <c r="F87" s="2"/>
      <c r="G87" s="30"/>
      <c r="H87" s="30"/>
      <c r="I87" s="2"/>
      <c r="J87" s="2"/>
      <c r="K87" s="2"/>
      <c r="L87" s="2"/>
      <c r="M87" s="41"/>
      <c r="N87" s="42"/>
      <c r="O87" s="2"/>
    </row>
    <row r="88" spans="1:15" s="70" customFormat="1" ht="12.75" customHeight="1" x14ac:dyDescent="0.2">
      <c r="A88" s="87">
        <v>45299</v>
      </c>
      <c r="B88" s="120" t="s">
        <v>6</v>
      </c>
      <c r="C88" s="75" t="s">
        <v>1933</v>
      </c>
      <c r="D88" s="88">
        <v>8143487</v>
      </c>
      <c r="E88" s="2"/>
      <c r="F88" s="2"/>
      <c r="G88" s="30"/>
      <c r="H88" s="30"/>
      <c r="I88" s="2"/>
      <c r="J88" s="2"/>
      <c r="K88" s="2"/>
      <c r="L88" s="2"/>
      <c r="M88" s="41"/>
      <c r="N88" s="42"/>
      <c r="O88" s="2"/>
    </row>
    <row r="89" spans="1:15" s="70" customFormat="1" ht="12.75" customHeight="1" x14ac:dyDescent="0.2">
      <c r="A89" s="87">
        <v>45299</v>
      </c>
      <c r="B89" s="120" t="s">
        <v>6</v>
      </c>
      <c r="C89" s="75" t="s">
        <v>606</v>
      </c>
      <c r="D89" s="88">
        <v>487316</v>
      </c>
      <c r="E89" s="2"/>
      <c r="F89" s="2"/>
      <c r="G89" s="30"/>
      <c r="H89" s="30"/>
      <c r="I89" s="2"/>
      <c r="J89" s="2"/>
      <c r="K89" s="2"/>
      <c r="L89" s="2"/>
      <c r="M89" s="41"/>
      <c r="N89" s="42"/>
      <c r="O89" s="2"/>
    </row>
    <row r="90" spans="1:15" s="70" customFormat="1" ht="12.75" customHeight="1" x14ac:dyDescent="0.2">
      <c r="A90" s="87">
        <v>45301</v>
      </c>
      <c r="B90" s="120" t="s">
        <v>6</v>
      </c>
      <c r="C90" s="75" t="s">
        <v>1933</v>
      </c>
      <c r="D90" s="88">
        <v>2690</v>
      </c>
      <c r="E90" s="2"/>
      <c r="F90" s="2"/>
      <c r="G90" s="30"/>
      <c r="H90" s="30"/>
      <c r="I90" s="2"/>
      <c r="J90" s="2"/>
      <c r="K90" s="2"/>
      <c r="L90" s="2"/>
      <c r="M90" s="41"/>
      <c r="N90" s="42"/>
      <c r="O90" s="2"/>
    </row>
    <row r="91" spans="1:15" s="70" customFormat="1" ht="12.75" customHeight="1" x14ac:dyDescent="0.2">
      <c r="A91" s="87">
        <v>45301</v>
      </c>
      <c r="B91" s="120" t="s">
        <v>6</v>
      </c>
      <c r="C91" s="75" t="s">
        <v>1933</v>
      </c>
      <c r="D91" s="88">
        <v>2133516</v>
      </c>
      <c r="E91" s="2"/>
      <c r="F91" s="2"/>
      <c r="G91" s="30"/>
      <c r="H91" s="30"/>
      <c r="I91" s="2"/>
      <c r="J91" s="2"/>
      <c r="K91" s="2"/>
      <c r="L91" s="2"/>
      <c r="M91" s="41"/>
      <c r="N91" s="42"/>
      <c r="O91" s="2"/>
    </row>
    <row r="92" spans="1:15" s="70" customFormat="1" ht="12.75" customHeight="1" x14ac:dyDescent="0.2">
      <c r="A92" s="87">
        <v>45302</v>
      </c>
      <c r="B92" s="120" t="s">
        <v>6</v>
      </c>
      <c r="C92" s="75" t="s">
        <v>1084</v>
      </c>
      <c r="D92" s="88">
        <v>3000000</v>
      </c>
      <c r="E92" s="2"/>
      <c r="F92" s="2"/>
      <c r="G92" s="30"/>
      <c r="H92" s="30"/>
      <c r="I92" s="2"/>
      <c r="J92" s="2"/>
      <c r="K92" s="2"/>
      <c r="L92" s="2"/>
      <c r="M92" s="41"/>
      <c r="N92" s="42"/>
      <c r="O92" s="2"/>
    </row>
    <row r="93" spans="1:15" s="70" customFormat="1" ht="12.75" customHeight="1" x14ac:dyDescent="0.2">
      <c r="A93" s="87">
        <v>45303</v>
      </c>
      <c r="B93" s="120" t="s">
        <v>6</v>
      </c>
      <c r="C93" s="75" t="s">
        <v>1933</v>
      </c>
      <c r="D93" s="88">
        <v>5893097</v>
      </c>
      <c r="E93" s="2"/>
      <c r="F93" s="2"/>
      <c r="G93" s="30"/>
      <c r="H93" s="30"/>
      <c r="I93" s="2"/>
      <c r="J93" s="2"/>
      <c r="K93" s="2"/>
      <c r="L93" s="2"/>
      <c r="M93" s="41"/>
      <c r="N93" s="42"/>
      <c r="O93" s="2"/>
    </row>
    <row r="94" spans="1:15" s="70" customFormat="1" ht="12.75" customHeight="1" x14ac:dyDescent="0.2">
      <c r="A94" s="87">
        <v>45303</v>
      </c>
      <c r="B94" s="120" t="s">
        <v>6</v>
      </c>
      <c r="C94" s="75" t="s">
        <v>1977</v>
      </c>
      <c r="D94" s="88">
        <v>500000</v>
      </c>
      <c r="E94" s="2"/>
      <c r="F94" s="2"/>
      <c r="G94" s="30"/>
      <c r="H94" s="30"/>
      <c r="I94" s="2"/>
      <c r="J94" s="2"/>
      <c r="K94" s="2"/>
      <c r="L94" s="2"/>
      <c r="M94" s="41"/>
      <c r="N94" s="42"/>
      <c r="O94" s="2"/>
    </row>
    <row r="95" spans="1:15" s="70" customFormat="1" ht="12.75" customHeight="1" x14ac:dyDescent="0.2">
      <c r="A95" s="87">
        <v>45307</v>
      </c>
      <c r="B95" s="120" t="s">
        <v>6</v>
      </c>
      <c r="C95" s="75" t="s">
        <v>1933</v>
      </c>
      <c r="D95" s="88">
        <v>3572610</v>
      </c>
      <c r="E95" s="2"/>
      <c r="F95" s="2"/>
      <c r="G95" s="30"/>
      <c r="H95" s="30"/>
      <c r="I95" s="2"/>
      <c r="J95" s="2"/>
      <c r="K95" s="2"/>
      <c r="L95" s="2"/>
      <c r="M95" s="41"/>
      <c r="N95" s="42"/>
      <c r="O95" s="2"/>
    </row>
    <row r="96" spans="1:15" s="70" customFormat="1" ht="12.75" customHeight="1" x14ac:dyDescent="0.2">
      <c r="A96" s="87">
        <v>45307</v>
      </c>
      <c r="B96" s="120" t="s">
        <v>6</v>
      </c>
      <c r="C96" s="75" t="s">
        <v>1944</v>
      </c>
      <c r="D96" s="88">
        <v>4109147</v>
      </c>
      <c r="E96" s="2"/>
      <c r="F96" s="2"/>
      <c r="G96" s="30"/>
      <c r="H96" s="30"/>
      <c r="I96" s="2"/>
      <c r="J96" s="2"/>
      <c r="K96" s="2"/>
      <c r="L96" s="2"/>
      <c r="M96" s="41"/>
      <c r="N96" s="42"/>
      <c r="O96" s="2"/>
    </row>
    <row r="97" spans="1:15" s="70" customFormat="1" ht="12.75" customHeight="1" x14ac:dyDescent="0.2">
      <c r="A97" s="87">
        <v>45307</v>
      </c>
      <c r="B97" s="120" t="s">
        <v>6</v>
      </c>
      <c r="C97" s="75" t="s">
        <v>1944</v>
      </c>
      <c r="D97" s="88">
        <v>1168867</v>
      </c>
      <c r="E97" s="2"/>
      <c r="F97" s="2"/>
      <c r="G97" s="30"/>
      <c r="H97" s="30"/>
      <c r="I97" s="2"/>
      <c r="J97" s="2"/>
      <c r="K97" s="2"/>
      <c r="L97" s="2"/>
      <c r="M97" s="41"/>
      <c r="N97" s="42"/>
      <c r="O97" s="2"/>
    </row>
    <row r="98" spans="1:15" s="70" customFormat="1" ht="12.75" customHeight="1" x14ac:dyDescent="0.2">
      <c r="A98" s="87">
        <v>45307</v>
      </c>
      <c r="B98" s="120" t="s">
        <v>6</v>
      </c>
      <c r="C98" s="75" t="s">
        <v>1988</v>
      </c>
      <c r="D98" s="88">
        <v>175195</v>
      </c>
      <c r="E98" s="2"/>
      <c r="F98" s="2"/>
      <c r="G98" s="30"/>
      <c r="H98" s="30"/>
      <c r="I98" s="2"/>
      <c r="J98" s="2"/>
      <c r="K98" s="2"/>
      <c r="L98" s="2"/>
      <c r="M98" s="41"/>
      <c r="N98" s="42"/>
      <c r="O98" s="2"/>
    </row>
    <row r="99" spans="1:15" s="70" customFormat="1" ht="12.75" customHeight="1" x14ac:dyDescent="0.2">
      <c r="A99" s="87">
        <v>45309</v>
      </c>
      <c r="B99" s="120" t="s">
        <v>6</v>
      </c>
      <c r="C99" s="75" t="s">
        <v>1933</v>
      </c>
      <c r="D99" s="88">
        <v>7480683</v>
      </c>
      <c r="E99" s="2"/>
      <c r="F99" s="2"/>
      <c r="G99" s="30"/>
      <c r="H99" s="30"/>
      <c r="I99" s="2"/>
      <c r="J99" s="2"/>
      <c r="K99" s="2"/>
      <c r="L99" s="2"/>
      <c r="M99" s="41"/>
      <c r="N99" s="42"/>
      <c r="O99" s="2"/>
    </row>
    <row r="100" spans="1:15" s="70" customFormat="1" ht="12.75" customHeight="1" x14ac:dyDescent="0.2">
      <c r="A100" s="87">
        <v>45309</v>
      </c>
      <c r="B100" s="120" t="s">
        <v>6</v>
      </c>
      <c r="C100" s="75" t="s">
        <v>1977</v>
      </c>
      <c r="D100" s="88">
        <v>1511767</v>
      </c>
      <c r="E100" s="2"/>
      <c r="F100" s="2"/>
      <c r="G100" s="30"/>
      <c r="H100" s="30"/>
      <c r="I100" s="2"/>
      <c r="J100" s="2"/>
      <c r="K100" s="2"/>
      <c r="L100" s="2"/>
      <c r="M100" s="41"/>
      <c r="N100" s="42"/>
      <c r="O100" s="2"/>
    </row>
    <row r="101" spans="1:15" s="70" customFormat="1" ht="12.75" customHeight="1" x14ac:dyDescent="0.2">
      <c r="A101" s="87">
        <v>45310</v>
      </c>
      <c r="B101" s="120" t="s">
        <v>6</v>
      </c>
      <c r="C101" s="75" t="s">
        <v>1084</v>
      </c>
      <c r="D101" s="88">
        <v>4000000</v>
      </c>
      <c r="E101" s="2"/>
      <c r="F101" s="2"/>
      <c r="G101" s="30"/>
      <c r="H101" s="30"/>
      <c r="I101" s="2"/>
      <c r="J101" s="2"/>
      <c r="K101" s="2"/>
      <c r="L101" s="2"/>
      <c r="M101" s="41"/>
      <c r="N101" s="42"/>
      <c r="O101" s="2"/>
    </row>
    <row r="102" spans="1:15" s="70" customFormat="1" ht="12.75" customHeight="1" x14ac:dyDescent="0.2">
      <c r="A102" s="87">
        <v>45311</v>
      </c>
      <c r="B102" s="120" t="s">
        <v>6</v>
      </c>
      <c r="C102" s="75" t="s">
        <v>888</v>
      </c>
      <c r="D102" s="88">
        <v>4720981.46</v>
      </c>
      <c r="E102" s="2"/>
      <c r="F102" s="2"/>
      <c r="G102" s="30"/>
      <c r="H102" s="30"/>
      <c r="I102" s="2"/>
      <c r="J102" s="2"/>
      <c r="K102" s="2"/>
      <c r="L102" s="2"/>
      <c r="M102" s="41"/>
      <c r="N102" s="42"/>
      <c r="O102" s="2"/>
    </row>
    <row r="103" spans="1:15" s="70" customFormat="1" ht="12.75" customHeight="1" x14ac:dyDescent="0.2">
      <c r="A103" s="87">
        <v>45314</v>
      </c>
      <c r="B103" s="120" t="s">
        <v>6</v>
      </c>
      <c r="C103" s="75" t="s">
        <v>1933</v>
      </c>
      <c r="D103" s="88">
        <v>1373756</v>
      </c>
      <c r="E103" s="2"/>
      <c r="F103" s="2"/>
      <c r="G103" s="30"/>
      <c r="H103" s="30"/>
      <c r="I103" s="2"/>
      <c r="J103" s="2"/>
      <c r="K103" s="2"/>
      <c r="L103" s="2"/>
      <c r="M103" s="41"/>
      <c r="N103" s="42"/>
      <c r="O103" s="2"/>
    </row>
    <row r="104" spans="1:15" s="70" customFormat="1" ht="12.75" customHeight="1" x14ac:dyDescent="0.2">
      <c r="A104" s="87">
        <v>45314</v>
      </c>
      <c r="B104" s="120" t="s">
        <v>6</v>
      </c>
      <c r="C104" s="75" t="s">
        <v>1933</v>
      </c>
      <c r="D104" s="88">
        <v>5000341.9400000004</v>
      </c>
      <c r="E104" s="2"/>
      <c r="F104" s="2"/>
      <c r="G104" s="30"/>
      <c r="H104" s="30"/>
      <c r="I104" s="2"/>
      <c r="J104" s="2"/>
      <c r="K104" s="2"/>
      <c r="L104" s="2"/>
      <c r="M104" s="41"/>
      <c r="N104" s="42"/>
      <c r="O104" s="2"/>
    </row>
    <row r="105" spans="1:15" s="70" customFormat="1" ht="12.75" customHeight="1" x14ac:dyDescent="0.2">
      <c r="A105" s="87">
        <v>45314</v>
      </c>
      <c r="B105" s="120" t="s">
        <v>6</v>
      </c>
      <c r="C105" s="75" t="s">
        <v>1933</v>
      </c>
      <c r="D105" s="88">
        <v>339686</v>
      </c>
      <c r="E105" s="2"/>
      <c r="F105" s="2"/>
      <c r="G105" s="30"/>
      <c r="H105" s="30"/>
      <c r="I105" s="2"/>
      <c r="J105" s="2"/>
      <c r="K105" s="2"/>
      <c r="L105" s="2"/>
      <c r="M105" s="41"/>
      <c r="N105" s="42"/>
      <c r="O105" s="2"/>
    </row>
    <row r="106" spans="1:15" s="70" customFormat="1" ht="12.75" customHeight="1" x14ac:dyDescent="0.2">
      <c r="A106" s="87">
        <v>45315</v>
      </c>
      <c r="B106" s="120" t="s">
        <v>6</v>
      </c>
      <c r="C106" s="75" t="s">
        <v>467</v>
      </c>
      <c r="D106" s="88">
        <v>4536269</v>
      </c>
      <c r="E106" s="2"/>
      <c r="F106" s="2"/>
      <c r="G106" s="30"/>
      <c r="H106" s="30"/>
      <c r="I106" s="2"/>
      <c r="J106" s="2"/>
      <c r="K106" s="2"/>
      <c r="L106" s="2"/>
      <c r="M106" s="41"/>
      <c r="N106" s="42"/>
      <c r="O106" s="2"/>
    </row>
    <row r="107" spans="1:15" s="70" customFormat="1" ht="12.75" customHeight="1" x14ac:dyDescent="0.2">
      <c r="A107" s="87">
        <v>45316</v>
      </c>
      <c r="B107" s="120" t="s">
        <v>6</v>
      </c>
      <c r="C107" s="75" t="s">
        <v>1933</v>
      </c>
      <c r="D107" s="88">
        <v>8050467</v>
      </c>
      <c r="E107" s="2"/>
      <c r="F107" s="2"/>
      <c r="G107" s="30"/>
      <c r="H107" s="30"/>
      <c r="I107" s="2"/>
      <c r="J107" s="2"/>
      <c r="K107" s="2"/>
      <c r="L107" s="2"/>
      <c r="M107" s="41"/>
      <c r="N107" s="42"/>
      <c r="O107" s="2"/>
    </row>
    <row r="108" spans="1:15" s="70" customFormat="1" ht="12.75" customHeight="1" x14ac:dyDescent="0.2">
      <c r="A108" s="87">
        <v>45316</v>
      </c>
      <c r="B108" s="120" t="s">
        <v>6</v>
      </c>
      <c r="C108" s="75" t="s">
        <v>606</v>
      </c>
      <c r="D108" s="88">
        <v>7067955</v>
      </c>
      <c r="E108" s="2"/>
      <c r="F108" s="2"/>
      <c r="G108" s="30"/>
      <c r="H108" s="30"/>
      <c r="I108" s="2"/>
      <c r="J108" s="2"/>
      <c r="K108" s="2"/>
      <c r="L108" s="2"/>
      <c r="M108" s="41"/>
      <c r="N108" s="42"/>
      <c r="O108" s="2"/>
    </row>
    <row r="109" spans="1:15" s="70" customFormat="1" ht="12.75" customHeight="1" x14ac:dyDescent="0.2">
      <c r="A109" s="87">
        <v>45316</v>
      </c>
      <c r="B109" s="120" t="s">
        <v>6</v>
      </c>
      <c r="C109" s="75" t="s">
        <v>606</v>
      </c>
      <c r="D109" s="88">
        <v>1059623</v>
      </c>
      <c r="E109" s="2"/>
      <c r="F109" s="2"/>
      <c r="G109" s="30"/>
      <c r="H109" s="30"/>
      <c r="I109" s="2"/>
      <c r="J109" s="2"/>
      <c r="K109" s="2"/>
      <c r="L109" s="2"/>
      <c r="M109" s="41"/>
      <c r="N109" s="42"/>
      <c r="O109" s="2"/>
    </row>
    <row r="110" spans="1:15" s="2" customFormat="1" x14ac:dyDescent="0.2">
      <c r="A110" s="87"/>
      <c r="B110" s="74"/>
      <c r="C110" s="75"/>
      <c r="D110" s="51">
        <f>SUM(D80:D109)</f>
        <v>86396746.74000001</v>
      </c>
      <c r="F110" s="2" t="s">
        <v>396</v>
      </c>
      <c r="G110" s="1"/>
      <c r="H110" s="1"/>
    </row>
    <row r="111" spans="1:15" s="2" customFormat="1" x14ac:dyDescent="0.2">
      <c r="A111" s="24"/>
      <c r="B111" s="1"/>
      <c r="C111" s="14"/>
      <c r="D111" s="56"/>
      <c r="E111" s="13"/>
      <c r="G111" s="1"/>
      <c r="H111" s="1"/>
    </row>
    <row r="112" spans="1:15" s="2" customFormat="1" x14ac:dyDescent="0.2">
      <c r="A112" s="24"/>
      <c r="B112" s="1"/>
      <c r="C112" s="218" t="s">
        <v>77</v>
      </c>
      <c r="D112" s="219"/>
      <c r="E112" s="219"/>
      <c r="F112" s="220"/>
      <c r="I112" s="2" t="s">
        <v>396</v>
      </c>
    </row>
    <row r="113" spans="1:14" s="2" customFormat="1" x14ac:dyDescent="0.2">
      <c r="A113" s="24"/>
      <c r="B113" s="1"/>
      <c r="C113" s="50"/>
      <c r="D113" s="57" t="s">
        <v>78</v>
      </c>
      <c r="E113" s="58" t="s">
        <v>79</v>
      </c>
      <c r="F113" s="57" t="s">
        <v>72</v>
      </c>
      <c r="I113" s="2" t="s">
        <v>396</v>
      </c>
    </row>
    <row r="114" spans="1:14" s="2" customFormat="1" x14ac:dyDescent="0.2">
      <c r="A114" s="24"/>
      <c r="B114" s="1"/>
      <c r="C114" s="59" t="str">
        <f>"01-01-2024 to "&amp;TEXT(A5-2,"dd-mm-yyyy")</f>
        <v>01-01-2024 to 23-01-2024</v>
      </c>
      <c r="D114" s="60">
        <v>1930.95</v>
      </c>
      <c r="E114" s="60">
        <v>504.03</v>
      </c>
      <c r="F114" s="61">
        <f>SUM(D114:E114)</f>
        <v>2434.98</v>
      </c>
    </row>
    <row r="115" spans="1:14" s="2" customFormat="1" x14ac:dyDescent="0.2">
      <c r="A115" s="24"/>
      <c r="B115" s="1"/>
      <c r="C115" s="62" t="str">
        <f>TEXT(A5-1,"dd-mm-yyyy")</f>
        <v>24-01-2024</v>
      </c>
      <c r="D115" s="60">
        <v>69.349999999999994</v>
      </c>
      <c r="E115" s="60">
        <v>19.59</v>
      </c>
      <c r="F115" s="61">
        <f>SUM(D115:E115)</f>
        <v>88.94</v>
      </c>
      <c r="G115" s="1"/>
      <c r="H115" s="1"/>
      <c r="I115" s="53"/>
    </row>
    <row r="116" spans="1:14" s="2" customFormat="1" ht="13.5" thickBot="1" x14ac:dyDescent="0.25">
      <c r="A116" s="24"/>
      <c r="B116" s="1"/>
      <c r="C116" s="63" t="str">
        <f>"01-01-2024 to "&amp;TEXT(A5-1,"dd-mm-yyyy")</f>
        <v>01-01-2024 to 24-01-2024</v>
      </c>
      <c r="D116" s="64">
        <f>SUM(D114:D115)</f>
        <v>2000.3</v>
      </c>
      <c r="E116" s="64">
        <f>SUM(E114:E115)</f>
        <v>523.62</v>
      </c>
      <c r="F116" s="64">
        <f>SUM(F114:F115)</f>
        <v>2523.92</v>
      </c>
      <c r="G116" s="1"/>
      <c r="H116" s="1"/>
      <c r="I116" s="53"/>
    </row>
    <row r="117" spans="1:14" s="2" customFormat="1" ht="13.5" thickTop="1" x14ac:dyDescent="0.2">
      <c r="A117" s="24"/>
      <c r="B117" s="1"/>
      <c r="C117" s="62"/>
      <c r="D117" s="65"/>
      <c r="E117" s="66"/>
      <c r="F117" s="67"/>
      <c r="M117" s="1"/>
      <c r="N117" s="1"/>
    </row>
    <row r="118" spans="1:14" s="2" customFormat="1" x14ac:dyDescent="0.2">
      <c r="A118" s="24"/>
      <c r="B118" s="1"/>
      <c r="C118" s="62" t="str">
        <f>"01-04-2023 to " &amp;C115</f>
        <v>01-04-2023 to 24-01-2024</v>
      </c>
      <c r="D118" s="68">
        <f>+D116+34570.27</f>
        <v>36570.57</v>
      </c>
      <c r="E118" s="68">
        <f>+E116+3831.86</f>
        <v>4355.4800000000005</v>
      </c>
      <c r="F118" s="68">
        <f>+F116+38402.13</f>
        <v>40926.049999999996</v>
      </c>
      <c r="G118" s="1"/>
      <c r="H118" s="1"/>
      <c r="M118" s="1"/>
      <c r="N118" s="1"/>
    </row>
    <row r="119" spans="1:14" s="2" customFormat="1" x14ac:dyDescent="0.2">
      <c r="A119" s="24"/>
      <c r="B119" s="1"/>
      <c r="C119" s="52"/>
      <c r="D119" s="85"/>
      <c r="E119" s="53"/>
      <c r="F119" s="53"/>
      <c r="G119" s="1"/>
      <c r="H119" s="1"/>
      <c r="M119" s="1"/>
      <c r="N119" s="1"/>
    </row>
    <row r="120" spans="1:14" s="2" customFormat="1" x14ac:dyDescent="0.2">
      <c r="A120" s="24"/>
      <c r="B120" s="1"/>
      <c r="C120" s="52"/>
      <c r="D120" s="85"/>
      <c r="E120" s="53"/>
      <c r="F120" s="53"/>
      <c r="G120" s="1"/>
      <c r="H120" s="1"/>
      <c r="M120" s="1"/>
      <c r="N120" s="1"/>
    </row>
    <row r="121" spans="1:14" s="2" customFormat="1" x14ac:dyDescent="0.2">
      <c r="A121" s="24"/>
      <c r="B121" s="1"/>
      <c r="C121" s="52"/>
      <c r="D121" s="85"/>
      <c r="E121" s="53"/>
      <c r="F121" s="53"/>
      <c r="G121" s="1"/>
      <c r="H121" s="1"/>
      <c r="M121" s="1"/>
      <c r="N121" s="1"/>
    </row>
    <row r="122" spans="1:14" s="2" customFormat="1" x14ac:dyDescent="0.2">
      <c r="A122" s="24"/>
      <c r="B122" s="1"/>
      <c r="C122" s="52"/>
      <c r="D122" s="85"/>
      <c r="E122" s="53"/>
      <c r="F122" s="53"/>
      <c r="G122" s="1"/>
      <c r="H122" s="1"/>
      <c r="M122" s="1"/>
      <c r="N122" s="1"/>
    </row>
    <row r="123" spans="1:14" s="2" customFormat="1" x14ac:dyDescent="0.2">
      <c r="A123" s="24"/>
      <c r="B123" s="1"/>
      <c r="C123" s="14"/>
      <c r="D123" s="25">
        <f>SUM(D120:D122)</f>
        <v>0</v>
      </c>
      <c r="E123" s="2">
        <f>SUM(E120:E122)</f>
        <v>0</v>
      </c>
      <c r="G123" s="1"/>
      <c r="H123" s="1"/>
      <c r="M123" s="1"/>
      <c r="N123" s="1"/>
    </row>
    <row r="124" spans="1:14" s="2" customFormat="1" x14ac:dyDescent="0.2">
      <c r="A124" s="24"/>
      <c r="B124" s="1"/>
      <c r="C124" s="14"/>
      <c r="D124" s="25"/>
      <c r="G124" s="1"/>
      <c r="H124" s="1"/>
      <c r="M124" s="1"/>
      <c r="N124" s="1"/>
    </row>
    <row r="125" spans="1:14" s="2" customFormat="1" x14ac:dyDescent="0.2">
      <c r="A125" s="24"/>
      <c r="B125" s="1"/>
      <c r="C125" s="14"/>
      <c r="D125" s="25"/>
      <c r="G125" s="1"/>
      <c r="H125" s="1"/>
      <c r="M125" s="1"/>
      <c r="N125" s="1"/>
    </row>
    <row r="126" spans="1:14" s="2" customFormat="1" x14ac:dyDescent="0.2">
      <c r="A126" s="24"/>
      <c r="B126" s="1"/>
      <c r="C126" s="14"/>
      <c r="D126" s="25"/>
      <c r="G126" s="1"/>
      <c r="H126" s="1"/>
      <c r="M126" s="1"/>
      <c r="N126" s="1"/>
    </row>
    <row r="127" spans="1:14" s="2" customFormat="1" x14ac:dyDescent="0.2">
      <c r="A127" s="24"/>
      <c r="B127" s="1"/>
      <c r="C127" s="14"/>
      <c r="D127" s="25"/>
      <c r="G127" s="1"/>
      <c r="H127" s="1"/>
      <c r="M127" s="1"/>
      <c r="N127" s="1"/>
    </row>
    <row r="128" spans="1:14" s="2" customFormat="1" x14ac:dyDescent="0.2">
      <c r="A128" s="24"/>
      <c r="B128" s="1"/>
      <c r="C128" s="14"/>
      <c r="D128" s="25"/>
      <c r="G128" s="1"/>
      <c r="H128" s="1"/>
      <c r="M128" s="1"/>
      <c r="N128" s="1"/>
    </row>
    <row r="129" spans="1:15" s="2" customFormat="1" x14ac:dyDescent="0.2">
      <c r="A129" s="24"/>
      <c r="B129" s="1"/>
      <c r="C129" s="14"/>
      <c r="D129" s="25"/>
      <c r="G129" s="1"/>
      <c r="H129" s="1"/>
      <c r="M129" s="1"/>
      <c r="N129" s="1"/>
    </row>
    <row r="130" spans="1:15" s="2" customFormat="1" x14ac:dyDescent="0.2">
      <c r="A130" s="24"/>
      <c r="B130" s="1"/>
      <c r="C130" s="14"/>
      <c r="D130" s="25"/>
      <c r="G130" s="1"/>
      <c r="H130" s="1"/>
      <c r="M130" s="1"/>
      <c r="N130" s="1"/>
    </row>
    <row r="131" spans="1:15" s="2" customFormat="1" x14ac:dyDescent="0.2">
      <c r="A131" s="24"/>
      <c r="B131" s="1"/>
      <c r="C131" s="14"/>
      <c r="D131" s="25"/>
      <c r="G131" s="1"/>
      <c r="H131" s="1"/>
      <c r="M131" s="1"/>
      <c r="N131" s="1"/>
    </row>
    <row r="132" spans="1:15" s="2" customFormat="1" x14ac:dyDescent="0.2">
      <c r="A132" s="24"/>
      <c r="B132" s="1"/>
      <c r="C132" s="14"/>
      <c r="D132" s="25"/>
      <c r="G132" s="1"/>
      <c r="H132" s="1"/>
      <c r="M132" s="1"/>
      <c r="N132" s="1"/>
    </row>
    <row r="133" spans="1:15" s="2" customFormat="1" x14ac:dyDescent="0.2">
      <c r="A133" s="24"/>
      <c r="B133" s="1"/>
      <c r="C133" s="14"/>
      <c r="D133" s="25"/>
      <c r="G133" s="1"/>
      <c r="H133" s="1"/>
      <c r="M133" s="1"/>
      <c r="N133" s="1"/>
    </row>
    <row r="134" spans="1:15" s="2" customFormat="1" x14ac:dyDescent="0.2">
      <c r="A134" s="24"/>
      <c r="B134" s="1"/>
      <c r="C134" s="14"/>
      <c r="D134" s="25"/>
      <c r="G134" s="1"/>
      <c r="H134" s="1"/>
      <c r="M134" s="1"/>
      <c r="N134" s="1"/>
    </row>
    <row r="135" spans="1:15" s="2" customFormat="1" x14ac:dyDescent="0.2">
      <c r="A135" s="24"/>
      <c r="B135" s="1"/>
      <c r="C135" s="14"/>
      <c r="D135" s="25"/>
      <c r="G135" s="1"/>
      <c r="H135" s="1"/>
      <c r="M135" s="1"/>
      <c r="N135" s="1"/>
    </row>
    <row r="136" spans="1:15" s="2" customFormat="1" x14ac:dyDescent="0.2">
      <c r="A136" s="24"/>
      <c r="B136" s="1"/>
      <c r="C136" s="14"/>
      <c r="D136" s="25"/>
      <c r="G136" s="1"/>
      <c r="H136" s="1"/>
      <c r="M136" s="1"/>
      <c r="N136" s="1"/>
    </row>
    <row r="137" spans="1:15" s="2" customFormat="1" x14ac:dyDescent="0.2">
      <c r="A137" s="24"/>
      <c r="B137" s="1"/>
      <c r="C137" s="14"/>
      <c r="D137" s="25"/>
      <c r="G137" s="1"/>
      <c r="H137" s="1"/>
      <c r="J137" s="1"/>
      <c r="K137" s="1"/>
      <c r="L137" s="1"/>
      <c r="M137" s="1"/>
      <c r="N137" s="1"/>
    </row>
    <row r="138" spans="1:15" s="2" customFormat="1" x14ac:dyDescent="0.2">
      <c r="A138" s="24"/>
      <c r="B138" s="1"/>
      <c r="C138" s="14"/>
      <c r="D138" s="25"/>
      <c r="G138" s="1"/>
      <c r="H138" s="1"/>
    </row>
    <row r="139" spans="1:15" s="2" customFormat="1" x14ac:dyDescent="0.2">
      <c r="A139" s="24"/>
      <c r="B139" s="1"/>
      <c r="C139" s="14"/>
      <c r="D139" s="25"/>
      <c r="G139" s="1"/>
      <c r="H139" s="1"/>
      <c r="J139" s="1"/>
      <c r="K139" s="1"/>
      <c r="L139" s="1"/>
      <c r="M139" s="1"/>
      <c r="N139" s="1"/>
    </row>
    <row r="140" spans="1:15" s="2" customFormat="1" x14ac:dyDescent="0.2">
      <c r="A140" s="24"/>
      <c r="B140" s="1"/>
      <c r="C140" s="14"/>
      <c r="D140" s="25"/>
      <c r="G140" s="54"/>
      <c r="H140" s="54"/>
      <c r="J140" s="1"/>
      <c r="K140" s="1"/>
      <c r="L140" s="1"/>
      <c r="M140" s="1"/>
      <c r="N140" s="1"/>
    </row>
    <row r="141" spans="1:15" s="2" customFormat="1" x14ac:dyDescent="0.2">
      <c r="A141" s="24"/>
      <c r="B141" s="1"/>
      <c r="C141" s="14"/>
      <c r="D141" s="25"/>
      <c r="G141" s="54"/>
      <c r="H141" s="54"/>
      <c r="J141" s="1"/>
      <c r="K141" s="1"/>
      <c r="L141" s="1"/>
      <c r="M141" s="1"/>
      <c r="N141" s="1"/>
    </row>
    <row r="142" spans="1:15" s="2" customFormat="1" x14ac:dyDescent="0.2">
      <c r="A142" s="24"/>
      <c r="B142" s="1"/>
      <c r="C142" s="14"/>
      <c r="D142" s="25"/>
      <c r="G142" s="54"/>
      <c r="H142" s="54"/>
      <c r="J142" s="1"/>
      <c r="K142" s="1"/>
      <c r="L142" s="1"/>
      <c r="M142" s="1"/>
      <c r="N142" s="1"/>
    </row>
    <row r="143" spans="1:15" s="2" customFormat="1" x14ac:dyDescent="0.2">
      <c r="A143" s="24"/>
      <c r="B143" s="1"/>
      <c r="C143" s="14"/>
      <c r="D143" s="25"/>
      <c r="G143" s="54"/>
      <c r="H143" s="54"/>
      <c r="I143" s="2" t="s">
        <v>396</v>
      </c>
      <c r="J143" s="1"/>
      <c r="K143" s="1"/>
      <c r="L143" s="1"/>
      <c r="M143" s="1"/>
      <c r="N143" s="1"/>
      <c r="O143" s="1"/>
    </row>
    <row r="144" spans="1:15" s="2" customFormat="1" x14ac:dyDescent="0.2">
      <c r="A144" s="24"/>
      <c r="B144" s="1"/>
      <c r="C144" s="14"/>
      <c r="D144" s="25"/>
      <c r="G144" s="54"/>
      <c r="H144" s="54"/>
      <c r="I144" s="53"/>
    </row>
    <row r="145" spans="1:15" s="2" customFormat="1" x14ac:dyDescent="0.2">
      <c r="A145" s="24"/>
      <c r="B145" s="1"/>
      <c r="C145" s="14"/>
      <c r="D145" s="25"/>
      <c r="G145" s="54"/>
      <c r="H145" s="54"/>
      <c r="I145" s="53" t="s">
        <v>396</v>
      </c>
      <c r="J145" s="1"/>
      <c r="K145" s="1"/>
      <c r="L145" s="1"/>
      <c r="M145" s="1"/>
      <c r="N145" s="1"/>
      <c r="O145" s="1"/>
    </row>
    <row r="146" spans="1:15" x14ac:dyDescent="0.2">
      <c r="G146" s="54"/>
      <c r="H146" s="54"/>
      <c r="I146" s="53" t="s">
        <v>396</v>
      </c>
      <c r="K146" s="42"/>
    </row>
    <row r="147" spans="1:15" s="2" customFormat="1" x14ac:dyDescent="0.2">
      <c r="A147" s="24"/>
      <c r="B147" s="1"/>
      <c r="C147" s="14"/>
      <c r="D147" s="25"/>
      <c r="G147" s="54"/>
      <c r="H147" s="54"/>
      <c r="I147" s="53"/>
      <c r="J147" s="101"/>
      <c r="K147" s="1"/>
      <c r="L147" s="1"/>
      <c r="M147" s="1"/>
      <c r="N147" s="1"/>
      <c r="O147" s="1"/>
    </row>
    <row r="148" spans="1:15" x14ac:dyDescent="0.2">
      <c r="G148" s="54"/>
      <c r="H148" s="54"/>
      <c r="I148" s="53"/>
    </row>
    <row r="149" spans="1:15" x14ac:dyDescent="0.2">
      <c r="G149" s="54"/>
      <c r="H149" s="54"/>
      <c r="I149" s="53"/>
    </row>
    <row r="150" spans="1:15" x14ac:dyDescent="0.2">
      <c r="G150" s="54"/>
      <c r="H150" s="54"/>
      <c r="I150" s="53"/>
    </row>
  </sheetData>
  <sheetProtection insertRows="0"/>
  <mergeCells count="7">
    <mergeCell ref="K71:L71"/>
    <mergeCell ref="A78:D78"/>
    <mergeCell ref="C112:F112"/>
    <mergeCell ref="A1:H1"/>
    <mergeCell ref="A3:F3"/>
    <mergeCell ref="A9:F9"/>
    <mergeCell ref="A39:F39"/>
  </mergeCells>
  <conditionalFormatting sqref="H75:H76">
    <cfRule type="cellIs" dxfId="107" priority="1" operator="lessThan">
      <formula>0</formula>
    </cfRule>
  </conditionalFormatting>
  <conditionalFormatting sqref="C41">
    <cfRule type="duplicateValues" dxfId="106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D00-000000000000}">
  <sheetPr codeName="Sheet533">
    <pageSetUpPr fitToPage="1"/>
  </sheetPr>
  <dimension ref="A1:O139"/>
  <sheetViews>
    <sheetView topLeftCell="A15" zoomScaleNormal="100" workbookViewId="0">
      <selection activeCell="E22" sqref="E22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12.85546875" style="1" customWidth="1"/>
    <col min="9" max="9" width="24.85546875" style="2" bestFit="1" customWidth="1"/>
    <col min="10" max="10" width="21.5703125" style="1" bestFit="1" customWidth="1"/>
    <col min="11" max="11" width="16.85546875" style="1" bestFit="1" customWidth="1"/>
    <col min="12" max="12" width="17.28515625" style="1" bestFit="1" customWidth="1"/>
    <col min="13" max="13" width="13.5703125" style="1" bestFit="1" customWidth="1"/>
    <col min="14" max="14" width="17.42578125" style="1" bestFit="1" customWidth="1"/>
    <col min="15" max="15" width="12.85546875" style="1" bestFit="1" customWidth="1"/>
    <col min="16" max="17" width="9.140625" style="1"/>
    <col min="18" max="18" width="15.5703125" style="1" bestFit="1" customWidth="1"/>
    <col min="19" max="16384" width="9.140625" style="1"/>
  </cols>
  <sheetData>
    <row r="1" spans="1:14" ht="20.25" customHeight="1" x14ac:dyDescent="0.4">
      <c r="A1" s="212" t="s">
        <v>2015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4" ht="12.75" customHeight="1" x14ac:dyDescent="0.4">
      <c r="I2" s="112"/>
      <c r="J2" s="112"/>
    </row>
    <row r="3" spans="1:14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4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4" s="2" customFormat="1" ht="14.25" customHeight="1" x14ac:dyDescent="0.4">
      <c r="A5" s="89">
        <v>45318</v>
      </c>
      <c r="B5" s="9" t="s">
        <v>6</v>
      </c>
      <c r="C5" s="10" t="s">
        <v>7</v>
      </c>
      <c r="D5" s="11"/>
      <c r="E5" s="12">
        <v>565541.23000000045</v>
      </c>
      <c r="F5" s="12"/>
      <c r="G5" s="1"/>
      <c r="H5" s="1"/>
      <c r="I5" s="112"/>
      <c r="J5" s="112"/>
    </row>
    <row r="6" spans="1:14" s="2" customFormat="1" ht="12.75" customHeight="1" x14ac:dyDescent="0.2">
      <c r="D6" s="15" t="s">
        <v>8</v>
      </c>
      <c r="E6" s="16">
        <f>SUM(E5:E5)</f>
        <v>565541.23000000045</v>
      </c>
      <c r="F6" s="16">
        <f>F5</f>
        <v>0</v>
      </c>
      <c r="G6" s="1"/>
      <c r="H6" s="1"/>
      <c r="I6" s="13" t="s">
        <v>1582</v>
      </c>
      <c r="J6" s="13" t="s">
        <v>1583</v>
      </c>
    </row>
    <row r="7" spans="1:14" s="2" customFormat="1" ht="12.75" customHeight="1" x14ac:dyDescent="0.2">
      <c r="A7" s="17"/>
      <c r="B7" s="18"/>
      <c r="C7" s="19" t="s">
        <v>9</v>
      </c>
      <c r="D7" s="20"/>
      <c r="E7" s="21">
        <f>+E6-F6</f>
        <v>565541.23000000045</v>
      </c>
      <c r="F7" s="22"/>
      <c r="G7" s="23"/>
      <c r="H7" s="23"/>
      <c r="I7" s="2">
        <v>0</v>
      </c>
      <c r="J7" s="2">
        <v>0</v>
      </c>
      <c r="K7" s="176">
        <f>I7-J7</f>
        <v>0</v>
      </c>
    </row>
    <row r="8" spans="1:14" ht="12.75" customHeight="1" x14ac:dyDescent="0.4">
      <c r="I8" s="112"/>
      <c r="J8" s="112"/>
    </row>
    <row r="9" spans="1:14" ht="18" customHeight="1" x14ac:dyDescent="0.4">
      <c r="A9" s="213" t="s">
        <v>1037</v>
      </c>
      <c r="B9" s="213"/>
      <c r="C9" s="213"/>
      <c r="D9" s="213"/>
      <c r="E9" s="213"/>
      <c r="F9" s="213"/>
      <c r="I9" s="112"/>
      <c r="J9" s="169">
        <f>90000000-60000000</f>
        <v>30000000</v>
      </c>
      <c r="K9" s="169" t="s">
        <v>1508</v>
      </c>
    </row>
    <row r="10" spans="1:14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I10" s="112"/>
      <c r="J10" s="169">
        <v>29619553.260000002</v>
      </c>
      <c r="K10" s="169" t="s">
        <v>1509</v>
      </c>
      <c r="L10" s="124"/>
    </row>
    <row r="11" spans="1:14" s="2" customFormat="1" ht="14.25" customHeight="1" x14ac:dyDescent="0.2">
      <c r="A11" s="89">
        <v>45318</v>
      </c>
      <c r="B11" s="9" t="s">
        <v>6</v>
      </c>
      <c r="C11" s="10" t="s">
        <v>7</v>
      </c>
      <c r="D11" s="11"/>
      <c r="F11" s="12">
        <v>29638726.260000002</v>
      </c>
      <c r="G11" s="1"/>
      <c r="H11" s="1"/>
      <c r="I11" s="130" t="s">
        <v>396</v>
      </c>
      <c r="J11" s="169">
        <f>+J9-J10</f>
        <v>380446.73999999836</v>
      </c>
      <c r="K11" s="169" t="s">
        <v>712</v>
      </c>
      <c r="L11" s="165" t="s">
        <v>1512</v>
      </c>
    </row>
    <row r="12" spans="1:14" s="2" customFormat="1" ht="14.25" customHeight="1" x14ac:dyDescent="0.2">
      <c r="A12" s="89">
        <v>45318</v>
      </c>
      <c r="B12" s="9" t="s">
        <v>6</v>
      </c>
      <c r="C12" s="76" t="s">
        <v>158</v>
      </c>
      <c r="D12" s="11" t="s">
        <v>13</v>
      </c>
      <c r="E12" s="31">
        <v>19173</v>
      </c>
      <c r="F12" s="31"/>
      <c r="G12" s="1"/>
      <c r="H12" s="1"/>
      <c r="I12" s="130"/>
      <c r="J12" s="169"/>
      <c r="K12" s="169"/>
      <c r="L12" s="165"/>
    </row>
    <row r="13" spans="1:14" s="2" customFormat="1" ht="14.25" customHeight="1" x14ac:dyDescent="0.2">
      <c r="D13" s="11" t="s">
        <v>8</v>
      </c>
      <c r="E13" s="16">
        <f>SUM(E12:E12)</f>
        <v>19173</v>
      </c>
      <c r="F13" s="16">
        <f>SUM(F11:F12)</f>
        <v>29638726.260000002</v>
      </c>
      <c r="G13" s="1"/>
      <c r="H13" s="1"/>
      <c r="I13" s="143"/>
      <c r="J13" s="130"/>
      <c r="K13" s="143"/>
      <c r="L13" s="143"/>
      <c r="M13" s="143"/>
      <c r="N13" s="143"/>
    </row>
    <row r="14" spans="1:14" s="2" customFormat="1" ht="14.25" customHeight="1" x14ac:dyDescent="0.4">
      <c r="A14" s="17"/>
      <c r="B14" s="18"/>
      <c r="C14" s="96" t="s">
        <v>9</v>
      </c>
      <c r="D14" s="20"/>
      <c r="E14" s="21">
        <f>+F13-E13</f>
        <v>29619553.260000002</v>
      </c>
      <c r="G14" s="1"/>
      <c r="H14" s="1"/>
      <c r="J14" s="112"/>
      <c r="K14" s="153" t="s">
        <v>779</v>
      </c>
    </row>
    <row r="15" spans="1:14" s="2" customFormat="1" ht="14.25" customHeight="1" x14ac:dyDescent="0.2">
      <c r="A15" s="17"/>
      <c r="B15" s="28" t="s">
        <v>66</v>
      </c>
      <c r="C15" s="43" t="s">
        <v>1458</v>
      </c>
      <c r="D15" s="43"/>
      <c r="E15" s="12">
        <f>30000000+60000000</f>
        <v>90000000</v>
      </c>
      <c r="F15" s="22"/>
      <c r="G15" s="1"/>
      <c r="H15" s="1"/>
      <c r="J15" s="40">
        <v>29619553.260000002</v>
      </c>
      <c r="K15" s="154">
        <f>J15-E14</f>
        <v>0</v>
      </c>
    </row>
    <row r="16" spans="1:14" s="2" customFormat="1" ht="14.25" customHeight="1" x14ac:dyDescent="0.25">
      <c r="A16" s="36"/>
      <c r="B16" s="28"/>
      <c r="C16" s="44" t="s">
        <v>1541</v>
      </c>
      <c r="D16" s="43"/>
      <c r="E16" s="7">
        <f>+E14+E15</f>
        <v>119619553.26000001</v>
      </c>
      <c r="F16" s="22"/>
      <c r="G16" s="1"/>
      <c r="H16" s="1"/>
      <c r="I16" s="13" t="s">
        <v>1582</v>
      </c>
      <c r="J16" s="13" t="s">
        <v>1583</v>
      </c>
    </row>
    <row r="17" spans="1:12" s="2" customFormat="1" ht="14.25" customHeight="1" x14ac:dyDescent="0.25">
      <c r="A17" s="36"/>
      <c r="B17" s="28"/>
      <c r="C17" s="44" t="s">
        <v>1511</v>
      </c>
      <c r="D17" s="43"/>
      <c r="E17" s="38">
        <f>+J11+I7-J7</f>
        <v>380446.73999999836</v>
      </c>
      <c r="F17" s="22"/>
      <c r="G17" s="1"/>
      <c r="H17" s="1"/>
      <c r="I17" s="2">
        <v>2633857</v>
      </c>
      <c r="J17" s="2">
        <v>4112789</v>
      </c>
      <c r="K17" s="176">
        <f>I17-J17</f>
        <v>-1478932</v>
      </c>
    </row>
    <row r="18" spans="1:12" s="2" customFormat="1" ht="14.25" customHeight="1" x14ac:dyDescent="0.2">
      <c r="A18" s="24"/>
      <c r="B18" s="1"/>
      <c r="C18" s="14"/>
      <c r="D18" s="25"/>
      <c r="G18" s="1"/>
      <c r="H18" s="1"/>
      <c r="J18" s="130"/>
      <c r="K18" s="130"/>
    </row>
    <row r="19" spans="1:12" s="2" customFormat="1" x14ac:dyDescent="0.2">
      <c r="A19" s="214" t="s">
        <v>10</v>
      </c>
      <c r="B19" s="214"/>
      <c r="C19" s="214"/>
      <c r="D19" s="214"/>
      <c r="E19" s="214"/>
      <c r="F19" s="214"/>
      <c r="G19" s="1"/>
      <c r="H19" s="1"/>
      <c r="I19" s="159"/>
      <c r="J19" s="160">
        <v>100000000</v>
      </c>
      <c r="K19" s="160" t="s">
        <v>1506</v>
      </c>
      <c r="L19" s="70"/>
    </row>
    <row r="20" spans="1:12" s="2" customFormat="1" ht="15" x14ac:dyDescent="0.35">
      <c r="A20" s="26" t="s">
        <v>1</v>
      </c>
      <c r="B20" s="27" t="s">
        <v>2</v>
      </c>
      <c r="C20" s="5"/>
      <c r="D20" s="6" t="s">
        <v>3</v>
      </c>
      <c r="E20" s="7" t="s">
        <v>4</v>
      </c>
      <c r="F20" s="7" t="s">
        <v>5</v>
      </c>
      <c r="G20" s="1"/>
      <c r="H20" s="1"/>
      <c r="I20" s="159"/>
      <c r="J20" s="179">
        <v>68082632.75</v>
      </c>
      <c r="K20" s="160" t="s">
        <v>1507</v>
      </c>
      <c r="L20" s="70" t="s">
        <v>1512</v>
      </c>
    </row>
    <row r="21" spans="1:12" s="2" customFormat="1" x14ac:dyDescent="0.2">
      <c r="A21" s="89">
        <v>45318</v>
      </c>
      <c r="B21" s="128" t="s">
        <v>11</v>
      </c>
      <c r="C21" s="29" t="s">
        <v>7</v>
      </c>
      <c r="D21" s="25"/>
      <c r="E21" s="31"/>
      <c r="F21" s="2">
        <v>73535027.59999992</v>
      </c>
      <c r="G21" s="23"/>
      <c r="H21" s="23"/>
      <c r="I21" s="159" t="s">
        <v>1505</v>
      </c>
      <c r="J21" s="160">
        <f>+J19-J20</f>
        <v>31917367.25</v>
      </c>
      <c r="K21" s="160"/>
      <c r="L21" s="70"/>
    </row>
    <row r="22" spans="1:12" s="2" customFormat="1" x14ac:dyDescent="0.2">
      <c r="A22" s="89">
        <v>45318</v>
      </c>
      <c r="B22" s="128" t="s">
        <v>6</v>
      </c>
      <c r="C22" s="76" t="s">
        <v>2016</v>
      </c>
      <c r="D22" s="11" t="s">
        <v>13</v>
      </c>
      <c r="E22" s="31">
        <v>2393100</v>
      </c>
      <c r="G22" s="23"/>
      <c r="H22" s="23"/>
      <c r="I22" s="159"/>
      <c r="J22" s="160"/>
      <c r="K22" s="160"/>
      <c r="L22" s="70"/>
    </row>
    <row r="23" spans="1:12" s="2" customFormat="1" x14ac:dyDescent="0.2">
      <c r="A23" s="89">
        <v>45318</v>
      </c>
      <c r="B23" s="128" t="s">
        <v>6</v>
      </c>
      <c r="C23" s="76" t="s">
        <v>332</v>
      </c>
      <c r="D23" s="11" t="s">
        <v>13</v>
      </c>
      <c r="E23" s="31">
        <v>4248</v>
      </c>
      <c r="G23" s="23"/>
      <c r="H23" s="23"/>
      <c r="I23" s="159"/>
      <c r="J23" s="160"/>
      <c r="K23" s="160"/>
      <c r="L23" s="70"/>
    </row>
    <row r="24" spans="1:12" s="2" customFormat="1" x14ac:dyDescent="0.2">
      <c r="A24" s="89">
        <v>45318</v>
      </c>
      <c r="B24" s="128" t="s">
        <v>6</v>
      </c>
      <c r="C24" s="76" t="s">
        <v>178</v>
      </c>
      <c r="D24" s="11" t="s">
        <v>13</v>
      </c>
      <c r="E24" s="31">
        <v>614189</v>
      </c>
      <c r="G24" s="23"/>
      <c r="H24" s="23"/>
      <c r="I24" s="159"/>
      <c r="J24" s="160"/>
      <c r="K24" s="160"/>
      <c r="L24" s="70"/>
    </row>
    <row r="25" spans="1:12" s="2" customFormat="1" x14ac:dyDescent="0.2">
      <c r="A25" s="89">
        <v>45318</v>
      </c>
      <c r="B25" s="128" t="s">
        <v>6</v>
      </c>
      <c r="C25" s="76" t="s">
        <v>247</v>
      </c>
      <c r="D25" s="11" t="s">
        <v>13</v>
      </c>
      <c r="E25" s="31">
        <v>1960000</v>
      </c>
      <c r="G25" s="23"/>
      <c r="H25" s="23"/>
      <c r="I25" s="159"/>
      <c r="J25" s="160"/>
      <c r="K25" s="160"/>
      <c r="L25" s="70"/>
    </row>
    <row r="26" spans="1:12" s="2" customFormat="1" x14ac:dyDescent="0.2">
      <c r="A26" s="89">
        <v>45318</v>
      </c>
      <c r="B26" s="128" t="s">
        <v>6</v>
      </c>
      <c r="C26" s="76" t="s">
        <v>174</v>
      </c>
      <c r="D26" s="11" t="s">
        <v>13</v>
      </c>
      <c r="E26" s="31">
        <v>10653</v>
      </c>
      <c r="G26" s="23"/>
      <c r="H26" s="23"/>
      <c r="I26" s="159"/>
      <c r="J26" s="160"/>
      <c r="K26" s="160"/>
      <c r="L26" s="70"/>
    </row>
    <row r="27" spans="1:12" s="2" customFormat="1" x14ac:dyDescent="0.2">
      <c r="A27" s="89">
        <v>45318</v>
      </c>
      <c r="B27" s="128" t="s">
        <v>6</v>
      </c>
      <c r="C27" s="76" t="s">
        <v>15</v>
      </c>
      <c r="D27" s="11" t="s">
        <v>13</v>
      </c>
      <c r="E27" s="31">
        <v>49031.51</v>
      </c>
      <c r="G27" s="23"/>
      <c r="H27" s="23"/>
      <c r="I27" s="159"/>
      <c r="J27" s="160"/>
      <c r="K27" s="160"/>
      <c r="L27" s="70"/>
    </row>
    <row r="28" spans="1:12" s="2" customFormat="1" x14ac:dyDescent="0.2">
      <c r="A28" s="89">
        <v>45318</v>
      </c>
      <c r="B28" s="128" t="s">
        <v>6</v>
      </c>
      <c r="C28" s="76" t="s">
        <v>773</v>
      </c>
      <c r="D28" s="11" t="s">
        <v>13</v>
      </c>
      <c r="E28" s="31">
        <v>2263317.1</v>
      </c>
      <c r="G28" s="23"/>
      <c r="H28" s="23"/>
      <c r="I28" s="159"/>
      <c r="J28" s="160"/>
      <c r="K28" s="160"/>
      <c r="L28" s="70"/>
    </row>
    <row r="29" spans="1:12" s="2" customFormat="1" x14ac:dyDescent="0.2">
      <c r="A29" s="89">
        <v>45318</v>
      </c>
      <c r="B29" s="128" t="s">
        <v>6</v>
      </c>
      <c r="C29" s="76" t="s">
        <v>749</v>
      </c>
      <c r="D29" s="11" t="s">
        <v>13</v>
      </c>
      <c r="E29" s="31">
        <v>1545479.32</v>
      </c>
      <c r="G29" s="23"/>
      <c r="H29" s="23"/>
      <c r="I29" s="159"/>
      <c r="J29" s="160"/>
      <c r="K29" s="160"/>
      <c r="L29" s="70"/>
    </row>
    <row r="30" spans="1:12" s="2" customFormat="1" x14ac:dyDescent="0.2">
      <c r="A30" s="89">
        <v>45318</v>
      </c>
      <c r="B30" s="128" t="s">
        <v>6</v>
      </c>
      <c r="C30" s="76" t="s">
        <v>759</v>
      </c>
      <c r="D30" s="11" t="s">
        <v>13</v>
      </c>
      <c r="E30" s="31">
        <v>852568.81</v>
      </c>
      <c r="G30" s="23"/>
      <c r="H30" s="23"/>
      <c r="I30" s="159"/>
      <c r="J30" s="160"/>
      <c r="K30" s="160"/>
      <c r="L30" s="70"/>
    </row>
    <row r="31" spans="1:12" s="2" customFormat="1" x14ac:dyDescent="0.2">
      <c r="A31" s="89">
        <v>45318</v>
      </c>
      <c r="B31" s="128" t="s">
        <v>6</v>
      </c>
      <c r="C31" s="76" t="s">
        <v>1925</v>
      </c>
      <c r="D31" s="11" t="s">
        <v>13</v>
      </c>
      <c r="E31" s="31">
        <v>1583315.83</v>
      </c>
      <c r="G31" s="23"/>
      <c r="H31" s="23"/>
      <c r="I31" s="159"/>
      <c r="J31" s="160"/>
      <c r="K31" s="160"/>
      <c r="L31" s="70"/>
    </row>
    <row r="32" spans="1:12" s="2" customFormat="1" x14ac:dyDescent="0.2">
      <c r="A32" s="89">
        <v>45318</v>
      </c>
      <c r="B32" s="128" t="s">
        <v>6</v>
      </c>
      <c r="C32" s="76" t="s">
        <v>667</v>
      </c>
      <c r="D32" s="11" t="s">
        <v>13</v>
      </c>
      <c r="E32" s="31">
        <v>108631</v>
      </c>
      <c r="G32" s="23"/>
      <c r="H32" s="23"/>
      <c r="I32" s="159"/>
      <c r="J32" s="160"/>
      <c r="K32" s="160"/>
      <c r="L32" s="70"/>
    </row>
    <row r="33" spans="1:15" s="2" customFormat="1" x14ac:dyDescent="0.2">
      <c r="A33" s="89">
        <v>45318</v>
      </c>
      <c r="B33" s="128" t="s">
        <v>6</v>
      </c>
      <c r="C33" s="76" t="s">
        <v>1959</v>
      </c>
      <c r="D33" s="11" t="s">
        <v>13</v>
      </c>
      <c r="E33" s="31">
        <v>26825</v>
      </c>
      <c r="G33" s="23"/>
      <c r="H33" s="23"/>
      <c r="I33" s="159"/>
      <c r="J33" s="160"/>
      <c r="K33" s="160"/>
      <c r="L33" s="70"/>
    </row>
    <row r="34" spans="1:15" s="2" customFormat="1" x14ac:dyDescent="0.2">
      <c r="A34" s="89">
        <v>45318</v>
      </c>
      <c r="B34" s="128" t="s">
        <v>6</v>
      </c>
      <c r="C34" s="76" t="s">
        <v>1940</v>
      </c>
      <c r="D34" s="11" t="s">
        <v>13</v>
      </c>
      <c r="E34" s="31">
        <v>840</v>
      </c>
      <c r="G34" s="23"/>
      <c r="H34" s="23"/>
      <c r="I34" s="159"/>
      <c r="J34" s="160"/>
      <c r="K34" s="160"/>
      <c r="L34" s="70"/>
    </row>
    <row r="35" spans="1:15" s="2" customFormat="1" x14ac:dyDescent="0.2">
      <c r="A35" s="89">
        <v>45318</v>
      </c>
      <c r="B35" s="128" t="s">
        <v>11</v>
      </c>
      <c r="C35" s="76" t="s">
        <v>64</v>
      </c>
      <c r="D35" s="11" t="s">
        <v>29</v>
      </c>
      <c r="E35" s="31"/>
      <c r="F35" s="2">
        <v>11015.720000000001</v>
      </c>
      <c r="G35" s="23"/>
      <c r="H35" s="23"/>
      <c r="I35" s="159"/>
      <c r="J35" s="160"/>
      <c r="K35" s="160"/>
      <c r="L35" s="70"/>
    </row>
    <row r="36" spans="1:15" s="2" customFormat="1" x14ac:dyDescent="0.2">
      <c r="A36" s="89">
        <v>45318</v>
      </c>
      <c r="B36" s="128" t="s">
        <v>11</v>
      </c>
      <c r="C36" s="76" t="s">
        <v>1746</v>
      </c>
      <c r="D36" s="11" t="s">
        <v>29</v>
      </c>
      <c r="E36" s="31"/>
      <c r="F36" s="2">
        <v>913448</v>
      </c>
      <c r="G36" s="23"/>
      <c r="H36" s="23"/>
      <c r="I36" s="159"/>
      <c r="J36" s="160"/>
      <c r="K36" s="160"/>
      <c r="L36" s="70"/>
    </row>
    <row r="37" spans="1:15" s="2" customFormat="1" x14ac:dyDescent="0.2">
      <c r="A37" s="89">
        <v>45318</v>
      </c>
      <c r="B37" s="128" t="s">
        <v>11</v>
      </c>
      <c r="C37" s="76" t="s">
        <v>442</v>
      </c>
      <c r="D37" s="11" t="s">
        <v>29</v>
      </c>
      <c r="E37" s="31"/>
      <c r="F37" s="2">
        <v>1910953</v>
      </c>
      <c r="G37" s="23"/>
      <c r="H37" s="23"/>
      <c r="I37" s="159"/>
      <c r="J37" s="160"/>
      <c r="K37" s="160"/>
      <c r="L37" s="70"/>
    </row>
    <row r="38" spans="1:15" s="2" customFormat="1" x14ac:dyDescent="0.2">
      <c r="A38" s="89">
        <v>45318</v>
      </c>
      <c r="B38" s="128" t="s">
        <v>11</v>
      </c>
      <c r="C38" s="76" t="s">
        <v>147</v>
      </c>
      <c r="D38" s="11" t="s">
        <v>29</v>
      </c>
      <c r="E38" s="31"/>
      <c r="F38" s="2">
        <v>3150420</v>
      </c>
      <c r="G38" s="23"/>
      <c r="H38" s="23"/>
      <c r="I38" s="159"/>
      <c r="J38" s="160"/>
      <c r="K38" s="160"/>
      <c r="L38" s="70"/>
    </row>
    <row r="39" spans="1:15" s="2" customFormat="1" x14ac:dyDescent="0.2">
      <c r="A39" s="89">
        <v>45318</v>
      </c>
      <c r="B39" s="128" t="s">
        <v>11</v>
      </c>
      <c r="C39" s="76" t="s">
        <v>63</v>
      </c>
      <c r="D39" s="11" t="s">
        <v>29</v>
      </c>
      <c r="E39" s="31"/>
      <c r="F39" s="2">
        <v>1500000</v>
      </c>
      <c r="G39" s="23"/>
      <c r="H39" s="23"/>
      <c r="I39" s="159"/>
      <c r="J39" s="160"/>
      <c r="K39" s="160"/>
      <c r="L39" s="70"/>
    </row>
    <row r="40" spans="1:15" s="2" customFormat="1" x14ac:dyDescent="0.2">
      <c r="A40" s="89">
        <v>45318</v>
      </c>
      <c r="B40" s="128" t="s">
        <v>11</v>
      </c>
      <c r="C40" s="76" t="s">
        <v>1472</v>
      </c>
      <c r="D40" s="11" t="s">
        <v>29</v>
      </c>
      <c r="E40" s="31"/>
      <c r="F40" s="2">
        <v>752680</v>
      </c>
      <c r="G40" s="23"/>
      <c r="H40" s="23"/>
      <c r="I40" s="159"/>
      <c r="J40" s="160"/>
      <c r="K40" s="160"/>
      <c r="L40" s="70"/>
    </row>
    <row r="41" spans="1:15" s="2" customFormat="1" x14ac:dyDescent="0.2">
      <c r="A41" s="89">
        <v>45318</v>
      </c>
      <c r="B41" s="128" t="s">
        <v>11</v>
      </c>
      <c r="C41" s="76" t="s">
        <v>1348</v>
      </c>
      <c r="D41" s="11" t="s">
        <v>29</v>
      </c>
      <c r="E41" s="31"/>
      <c r="F41" s="2">
        <v>2599225</v>
      </c>
      <c r="G41" s="23"/>
      <c r="H41" s="23"/>
      <c r="I41" s="159"/>
      <c r="J41" s="160"/>
      <c r="K41" s="160"/>
      <c r="L41" s="70"/>
    </row>
    <row r="42" spans="1:15" s="2" customFormat="1" x14ac:dyDescent="0.2">
      <c r="A42" s="89">
        <v>45318</v>
      </c>
      <c r="B42" s="128" t="s">
        <v>11</v>
      </c>
      <c r="C42" s="76" t="s">
        <v>214</v>
      </c>
      <c r="D42" s="11" t="s">
        <v>29</v>
      </c>
      <c r="E42" s="31"/>
      <c r="F42" s="2">
        <v>472741</v>
      </c>
      <c r="G42" s="23"/>
      <c r="H42" s="23"/>
      <c r="I42" s="159"/>
      <c r="J42" s="160"/>
      <c r="K42" s="160"/>
      <c r="L42" s="70"/>
    </row>
    <row r="43" spans="1:15" s="2" customFormat="1" x14ac:dyDescent="0.2">
      <c r="A43" s="32"/>
      <c r="B43" s="33"/>
      <c r="C43" s="14"/>
      <c r="D43" s="34"/>
      <c r="E43" s="16">
        <f>SUM(E21:E42)</f>
        <v>11412198.57</v>
      </c>
      <c r="F43" s="16">
        <f>SUM(F21:F42)</f>
        <v>84845510.319999918</v>
      </c>
      <c r="G43" s="1"/>
      <c r="H43" s="1"/>
      <c r="I43" s="1"/>
      <c r="J43" s="38">
        <v>71040211.75</v>
      </c>
      <c r="L43" s="92">
        <f>E44-J43</f>
        <v>2393099.9999999106</v>
      </c>
      <c r="O43" s="1"/>
    </row>
    <row r="44" spans="1:15" s="2" customFormat="1" x14ac:dyDescent="0.2">
      <c r="A44" s="36"/>
      <c r="B44" s="28" t="s">
        <v>11</v>
      </c>
      <c r="C44" s="19" t="s">
        <v>65</v>
      </c>
      <c r="D44" s="37"/>
      <c r="E44" s="38">
        <f>F43-E43</f>
        <v>73433311.749999911</v>
      </c>
      <c r="F44" s="22"/>
      <c r="G44" s="1"/>
      <c r="H44" s="1"/>
      <c r="I44" s="1"/>
      <c r="J44" s="70"/>
      <c r="K44" s="70"/>
      <c r="L44" s="70"/>
      <c r="O44" s="1"/>
    </row>
    <row r="45" spans="1:15" s="2" customFormat="1" x14ac:dyDescent="0.2">
      <c r="A45" s="36"/>
      <c r="B45" s="28" t="s">
        <v>66</v>
      </c>
      <c r="C45" s="19" t="s">
        <v>67</v>
      </c>
      <c r="D45" s="37"/>
      <c r="E45" s="38">
        <v>11500000</v>
      </c>
      <c r="F45" s="22"/>
      <c r="G45" s="1"/>
      <c r="H45" s="1"/>
      <c r="I45" s="70"/>
      <c r="J45" s="70"/>
      <c r="K45" s="70"/>
      <c r="L45" s="70"/>
      <c r="O45" s="1"/>
    </row>
    <row r="46" spans="1:15" s="2" customFormat="1" x14ac:dyDescent="0.2">
      <c r="A46" s="36"/>
      <c r="B46" s="28" t="s">
        <v>66</v>
      </c>
      <c r="C46" s="43" t="s">
        <v>1457</v>
      </c>
      <c r="D46" s="43"/>
      <c r="E46" s="12">
        <v>400000000</v>
      </c>
      <c r="F46" s="22"/>
      <c r="G46" s="1"/>
      <c r="H46" s="1"/>
      <c r="I46" s="70"/>
      <c r="J46" s="45">
        <v>1348.62</v>
      </c>
      <c r="K46" s="46"/>
      <c r="L46" s="46"/>
      <c r="O46" s="1"/>
    </row>
    <row r="47" spans="1:15" s="2" customFormat="1" ht="15" x14ac:dyDescent="0.25">
      <c r="A47" s="36"/>
      <c r="B47" s="28"/>
      <c r="C47" s="44" t="s">
        <v>1541</v>
      </c>
      <c r="D47" s="43"/>
      <c r="E47" s="7">
        <f>+E46+E44+E45</f>
        <v>484933311.74999988</v>
      </c>
      <c r="F47" s="22"/>
      <c r="G47" s="1"/>
      <c r="H47" s="1"/>
      <c r="I47" s="103" t="s">
        <v>69</v>
      </c>
      <c r="J47" s="45">
        <v>-91.69</v>
      </c>
      <c r="K47" s="46"/>
      <c r="L47" s="46"/>
      <c r="O47" s="1"/>
    </row>
    <row r="48" spans="1:15" s="2" customFormat="1" ht="15" x14ac:dyDescent="0.25">
      <c r="A48" s="24"/>
      <c r="B48" s="1"/>
      <c r="C48" s="44" t="s">
        <v>1510</v>
      </c>
      <c r="D48" s="25"/>
      <c r="E48" s="156">
        <f>+J21-E45+I17-J17</f>
        <v>18938435.25</v>
      </c>
      <c r="G48" s="1"/>
      <c r="H48" s="1"/>
      <c r="I48" s="35">
        <v>1</v>
      </c>
      <c r="J48" s="45">
        <v>60.77</v>
      </c>
      <c r="K48" s="46">
        <f>+J49-D51</f>
        <v>0</v>
      </c>
      <c r="O48" s="1"/>
    </row>
    <row r="49" spans="1:14" s="124" customFormat="1" ht="12.75" customHeight="1" x14ac:dyDescent="0.2">
      <c r="A49" s="24"/>
      <c r="B49" s="1"/>
      <c r="C49" s="56"/>
      <c r="D49" s="56"/>
      <c r="E49" s="104"/>
      <c r="F49" s="2"/>
      <c r="G49" s="166"/>
      <c r="H49" s="166"/>
      <c r="I49" s="70"/>
      <c r="J49" s="49">
        <f>SUM(J46:J48)</f>
        <v>1317.6999999999998</v>
      </c>
      <c r="K49" s="46"/>
      <c r="L49" s="46"/>
    </row>
    <row r="50" spans="1:14" s="124" customFormat="1" ht="12.75" customHeight="1" x14ac:dyDescent="0.2">
      <c r="A50" s="24"/>
      <c r="B50" s="1"/>
      <c r="C50" s="78" t="s">
        <v>575</v>
      </c>
      <c r="D50" s="48" t="s">
        <v>576</v>
      </c>
      <c r="E50" s="104"/>
      <c r="F50" s="2"/>
      <c r="G50" s="168"/>
      <c r="H50" s="168"/>
      <c r="I50" s="167"/>
      <c r="J50" s="167"/>
      <c r="K50" s="168"/>
    </row>
    <row r="51" spans="1:14" s="124" customFormat="1" ht="12.75" customHeight="1" x14ac:dyDescent="0.2">
      <c r="A51" s="24"/>
      <c r="B51" s="1"/>
      <c r="C51" s="47" t="s">
        <v>570</v>
      </c>
      <c r="D51" s="111">
        <v>1317.7</v>
      </c>
      <c r="E51" s="104"/>
      <c r="F51" s="2"/>
      <c r="G51" s="168"/>
      <c r="H51" s="168"/>
      <c r="I51" s="110" t="s">
        <v>581</v>
      </c>
      <c r="J51" s="167"/>
      <c r="K51" s="168"/>
    </row>
    <row r="52" spans="1:14" s="124" customFormat="1" ht="12.75" customHeight="1" x14ac:dyDescent="0.2">
      <c r="A52" s="24"/>
      <c r="B52" s="1"/>
      <c r="C52" s="47" t="s">
        <v>931</v>
      </c>
      <c r="D52" s="111">
        <v>254.58</v>
      </c>
      <c r="E52" s="104"/>
      <c r="F52" s="2"/>
      <c r="G52" s="168"/>
      <c r="H52" s="168"/>
      <c r="I52" s="110" t="s">
        <v>580</v>
      </c>
      <c r="J52" s="167"/>
      <c r="K52" s="168"/>
    </row>
    <row r="53" spans="1:14" s="124" customFormat="1" ht="12.75" customHeight="1" x14ac:dyDescent="0.2">
      <c r="A53" s="24"/>
      <c r="B53" s="1"/>
      <c r="C53" s="47" t="s">
        <v>572</v>
      </c>
      <c r="D53" s="111">
        <f>+D99/100000</f>
        <v>898.0385874000001</v>
      </c>
      <c r="E53" s="104"/>
      <c r="F53" s="2"/>
      <c r="G53" s="166"/>
      <c r="H53" s="166"/>
      <c r="I53" s="90" t="s">
        <v>587</v>
      </c>
      <c r="J53" s="167"/>
      <c r="K53" s="168"/>
    </row>
    <row r="54" spans="1:14" s="2" customFormat="1" x14ac:dyDescent="0.2">
      <c r="A54" s="24"/>
      <c r="B54" s="1"/>
      <c r="C54" s="108" t="s">
        <v>578</v>
      </c>
      <c r="D54" s="48">
        <f>SUM(D51:D53)</f>
        <v>2470.3185874000001</v>
      </c>
      <c r="E54" s="104"/>
      <c r="G54" s="30"/>
      <c r="H54" s="30"/>
      <c r="J54" s="13"/>
      <c r="K54" s="13"/>
    </row>
    <row r="55" spans="1:14" s="70" customFormat="1" x14ac:dyDescent="0.2">
      <c r="A55" s="24"/>
      <c r="B55" s="1"/>
      <c r="C55" s="47"/>
      <c r="D55" s="107"/>
      <c r="E55" s="104"/>
      <c r="F55" s="2"/>
      <c r="G55" s="30"/>
      <c r="H55" s="30"/>
      <c r="I55" s="2"/>
    </row>
    <row r="56" spans="1:14" s="70" customFormat="1" x14ac:dyDescent="0.2">
      <c r="A56" s="24"/>
      <c r="B56" s="1"/>
      <c r="C56" s="47" t="s">
        <v>932</v>
      </c>
      <c r="D56" s="111">
        <v>401.63</v>
      </c>
      <c r="E56" s="104"/>
      <c r="F56" s="2"/>
      <c r="G56" s="30"/>
      <c r="H56" s="30"/>
      <c r="I56" s="110" t="s">
        <v>581</v>
      </c>
    </row>
    <row r="57" spans="1:14" s="70" customFormat="1" x14ac:dyDescent="0.2">
      <c r="A57" s="24"/>
      <c r="B57" s="1"/>
      <c r="C57" s="136" t="s">
        <v>1142</v>
      </c>
      <c r="D57" s="111">
        <v>1194.19</v>
      </c>
      <c r="E57" s="104"/>
      <c r="F57" s="2"/>
      <c r="G57" s="30"/>
      <c r="H57" s="30"/>
      <c r="I57" s="110" t="s">
        <v>581</v>
      </c>
    </row>
    <row r="58" spans="1:14" s="70" customFormat="1" x14ac:dyDescent="0.2">
      <c r="A58" s="24"/>
      <c r="B58" s="1"/>
      <c r="C58" s="78" t="s">
        <v>579</v>
      </c>
      <c r="D58" s="109">
        <f>D56+D57</f>
        <v>1595.8200000000002</v>
      </c>
      <c r="E58" s="104"/>
      <c r="F58" s="2"/>
      <c r="G58" s="30"/>
      <c r="H58" s="30"/>
    </row>
    <row r="59" spans="1:14" s="70" customFormat="1" x14ac:dyDescent="0.2">
      <c r="A59" s="24"/>
      <c r="B59" s="1"/>
      <c r="C59" s="105"/>
      <c r="D59" s="106"/>
      <c r="E59" s="104"/>
      <c r="F59" s="2"/>
      <c r="G59" s="30"/>
      <c r="H59" s="30"/>
      <c r="J59" s="2"/>
      <c r="K59" s="221" t="str">
        <f>"FROM ( 01-01-2024 to "&amp;TEXT(A5,"dd-mm-yyyy")&amp;" )"</f>
        <v>FROM ( 01-01-2024 to 27-01-2024 )</v>
      </c>
      <c r="L59" s="221"/>
      <c r="M59" s="2"/>
      <c r="N59" s="2"/>
    </row>
    <row r="60" spans="1:14" s="70" customFormat="1" x14ac:dyDescent="0.2">
      <c r="A60" s="24"/>
      <c r="B60" s="1"/>
      <c r="C60" s="78" t="s">
        <v>577</v>
      </c>
      <c r="D60" s="109">
        <f>D51+D58</f>
        <v>2913.5200000000004</v>
      </c>
      <c r="E60" s="104"/>
      <c r="F60" s="2"/>
      <c r="G60" s="30"/>
      <c r="H60" s="30"/>
      <c r="J60" s="113"/>
      <c r="K60" s="113" t="s">
        <v>709</v>
      </c>
      <c r="L60" s="113" t="s">
        <v>710</v>
      </c>
      <c r="M60" s="113" t="s">
        <v>711</v>
      </c>
      <c r="N60" s="113" t="s">
        <v>712</v>
      </c>
    </row>
    <row r="61" spans="1:14" s="70" customFormat="1" x14ac:dyDescent="0.2">
      <c r="A61" s="24"/>
      <c r="B61" s="1"/>
      <c r="C61" s="56"/>
      <c r="D61" s="56"/>
      <c r="E61" s="104"/>
      <c r="F61" s="2"/>
      <c r="G61" s="30"/>
      <c r="H61" s="30"/>
      <c r="J61" s="113" t="s">
        <v>1860</v>
      </c>
      <c r="K61" s="115">
        <v>189.89</v>
      </c>
      <c r="L61" s="115">
        <v>56.31</v>
      </c>
      <c r="M61" s="115">
        <v>58.41</v>
      </c>
      <c r="N61" s="113">
        <f>+K61+M61-L61</f>
        <v>191.98999999999998</v>
      </c>
    </row>
    <row r="62" spans="1:14" s="70" customFormat="1" ht="38.25" x14ac:dyDescent="0.2">
      <c r="A62" s="24"/>
      <c r="B62" s="1"/>
      <c r="C62" s="79" t="str">
        <f>"Particulars ( 01-01-2024 to "&amp;TEXT(A5,"dd-mm-yyyy")&amp;" )"</f>
        <v>Particulars ( 01-01-2024 to 27-01-2024 )</v>
      </c>
      <c r="D62" s="79" t="s">
        <v>7</v>
      </c>
      <c r="E62" s="80" t="s">
        <v>73</v>
      </c>
      <c r="F62" s="80" t="s">
        <v>74</v>
      </c>
      <c r="G62" s="81" t="s">
        <v>75</v>
      </c>
      <c r="H62" s="80" t="s">
        <v>76</v>
      </c>
      <c r="J62" s="113" t="s">
        <v>1861</v>
      </c>
      <c r="K62" s="115">
        <v>1669.02</v>
      </c>
      <c r="L62" s="115">
        <v>898.04</v>
      </c>
      <c r="M62" s="115">
        <v>1192.0899999999999</v>
      </c>
      <c r="N62" s="113">
        <f>+K62+M62-L62</f>
        <v>1963.0699999999997</v>
      </c>
    </row>
    <row r="63" spans="1:14" s="70" customFormat="1" x14ac:dyDescent="0.2">
      <c r="A63" s="24"/>
      <c r="B63" s="1"/>
      <c r="C63" s="50" t="s">
        <v>444</v>
      </c>
      <c r="D63" s="55">
        <f>+K63</f>
        <v>140.88</v>
      </c>
      <c r="E63" s="55">
        <f>+M63</f>
        <v>401.63</v>
      </c>
      <c r="F63" s="55">
        <f>+L63</f>
        <v>254.58</v>
      </c>
      <c r="G63" s="55">
        <f>+D63+E63-F63</f>
        <v>287.92999999999995</v>
      </c>
      <c r="H63" s="55">
        <f>1500-G63</f>
        <v>1212.0700000000002</v>
      </c>
      <c r="J63" s="113" t="s">
        <v>707</v>
      </c>
      <c r="K63" s="115">
        <v>140.88</v>
      </c>
      <c r="L63" s="115">
        <v>254.58</v>
      </c>
      <c r="M63" s="115">
        <v>401.63</v>
      </c>
      <c r="N63" s="113">
        <f>+K63+M63-L63</f>
        <v>287.92999999999995</v>
      </c>
    </row>
    <row r="64" spans="1:14" s="70" customFormat="1" ht="12.75" customHeight="1" x14ac:dyDescent="0.2">
      <c r="A64" s="24"/>
      <c r="B64" s="1"/>
      <c r="C64" s="50" t="s">
        <v>71</v>
      </c>
      <c r="D64" s="55">
        <f>+K61+K62</f>
        <v>1858.9099999999999</v>
      </c>
      <c r="E64" s="55">
        <f>+M61+M62</f>
        <v>1250.5</v>
      </c>
      <c r="F64" s="55">
        <f>+L61+L62</f>
        <v>954.34999999999991</v>
      </c>
      <c r="G64" s="55">
        <f>+D64+E64-F64</f>
        <v>2155.06</v>
      </c>
      <c r="H64" s="55">
        <f>1500+700+200-G64</f>
        <v>244.94000000000005</v>
      </c>
      <c r="J64" s="2"/>
      <c r="K64" s="118">
        <f>SUM(K61:K63)</f>
        <v>1999.79</v>
      </c>
      <c r="L64" s="118">
        <f>SUM(L61:L63)</f>
        <v>1208.9299999999998</v>
      </c>
      <c r="M64" s="118">
        <f>SUM(M61:M63)</f>
        <v>1652.13</v>
      </c>
      <c r="N64" s="118">
        <f>SUM(N61:N63)</f>
        <v>2442.9899999999993</v>
      </c>
    </row>
    <row r="65" spans="1:15" s="70" customFormat="1" ht="12.75" customHeight="1" x14ac:dyDescent="0.2">
      <c r="A65" s="24"/>
      <c r="B65" s="1"/>
      <c r="C65" s="14"/>
      <c r="D65" s="56"/>
      <c r="E65" s="13"/>
      <c r="F65" s="2"/>
      <c r="G65" s="30"/>
      <c r="H65" s="30"/>
    </row>
    <row r="66" spans="1:15" s="70" customFormat="1" ht="12.75" customHeight="1" x14ac:dyDescent="0.2">
      <c r="A66" s="215" t="s">
        <v>80</v>
      </c>
      <c r="B66" s="216"/>
      <c r="C66" s="216"/>
      <c r="D66" s="217"/>
      <c r="E66" s="69"/>
      <c r="G66" s="30"/>
      <c r="H66" s="30"/>
    </row>
    <row r="67" spans="1:15" s="70" customFormat="1" ht="12.75" customHeight="1" x14ac:dyDescent="0.2">
      <c r="A67" s="71" t="s">
        <v>81</v>
      </c>
      <c r="B67" s="71"/>
      <c r="C67" s="72" t="s">
        <v>82</v>
      </c>
      <c r="D67" s="73" t="s">
        <v>83</v>
      </c>
      <c r="E67" s="69"/>
      <c r="G67" s="30"/>
      <c r="H67" s="30"/>
    </row>
    <row r="68" spans="1:15" s="70" customFormat="1" ht="12.75" customHeight="1" x14ac:dyDescent="0.2">
      <c r="A68" s="87">
        <v>45292</v>
      </c>
      <c r="B68" s="120" t="s">
        <v>6</v>
      </c>
      <c r="C68" s="75" t="s">
        <v>1933</v>
      </c>
      <c r="D68" s="88">
        <v>7583470</v>
      </c>
      <c r="E68" s="2"/>
      <c r="F68" s="2"/>
      <c r="G68" s="30"/>
      <c r="H68" s="30"/>
      <c r="I68" s="2"/>
      <c r="J68" s="2"/>
      <c r="K68" s="2"/>
      <c r="L68" s="2"/>
      <c r="M68" s="41"/>
      <c r="N68" s="42"/>
      <c r="O68" s="2"/>
    </row>
    <row r="69" spans="1:15" s="70" customFormat="1" ht="12.75" customHeight="1" x14ac:dyDescent="0.2">
      <c r="A69" s="87">
        <v>45293</v>
      </c>
      <c r="B69" s="120" t="s">
        <v>6</v>
      </c>
      <c r="C69" s="75" t="s">
        <v>1934</v>
      </c>
      <c r="D69" s="88">
        <v>124988</v>
      </c>
      <c r="E69" s="2"/>
      <c r="F69" s="2"/>
      <c r="G69" s="30"/>
      <c r="H69" s="30"/>
      <c r="I69" s="2"/>
      <c r="J69" s="2"/>
      <c r="K69" s="2"/>
      <c r="L69" s="2"/>
      <c r="M69" s="41"/>
      <c r="N69" s="42"/>
      <c r="O69" s="2"/>
    </row>
    <row r="70" spans="1:15" s="70" customFormat="1" ht="12.75" customHeight="1" x14ac:dyDescent="0.2">
      <c r="A70" s="87">
        <v>45294</v>
      </c>
      <c r="B70" s="120" t="s">
        <v>6</v>
      </c>
      <c r="C70" s="75" t="s">
        <v>606</v>
      </c>
      <c r="D70" s="88">
        <v>260191</v>
      </c>
      <c r="E70" s="2"/>
      <c r="F70" s="2"/>
      <c r="G70" s="30"/>
      <c r="H70" s="30"/>
      <c r="I70" s="2"/>
      <c r="J70" s="2"/>
      <c r="K70" s="2"/>
      <c r="L70" s="2"/>
      <c r="M70" s="41"/>
      <c r="N70" s="42"/>
      <c r="O70" s="2"/>
    </row>
    <row r="71" spans="1:15" s="70" customFormat="1" ht="12.75" customHeight="1" x14ac:dyDescent="0.2">
      <c r="A71" s="87">
        <v>45294</v>
      </c>
      <c r="B71" s="120" t="s">
        <v>6</v>
      </c>
      <c r="C71" s="75" t="s">
        <v>888</v>
      </c>
      <c r="D71" s="88">
        <v>2431991.34</v>
      </c>
      <c r="E71" s="2"/>
      <c r="F71" s="2"/>
      <c r="G71" s="30"/>
      <c r="H71" s="30"/>
      <c r="I71" s="2"/>
      <c r="J71" s="2"/>
      <c r="K71" s="2"/>
      <c r="L71" s="2"/>
      <c r="M71" s="41"/>
      <c r="N71" s="42"/>
      <c r="O71" s="2"/>
    </row>
    <row r="72" spans="1:15" s="70" customFormat="1" ht="12.75" customHeight="1" x14ac:dyDescent="0.2">
      <c r="A72" s="87">
        <v>45295</v>
      </c>
      <c r="B72" s="120" t="s">
        <v>6</v>
      </c>
      <c r="C72" s="75" t="s">
        <v>1944</v>
      </c>
      <c r="D72" s="88">
        <v>23655</v>
      </c>
      <c r="E72" s="2"/>
      <c r="F72" s="2"/>
      <c r="G72" s="30"/>
      <c r="H72" s="30"/>
      <c r="I72" s="2"/>
      <c r="J72" s="2"/>
      <c r="K72" s="2"/>
      <c r="L72" s="2"/>
      <c r="M72" s="41"/>
      <c r="N72" s="42"/>
      <c r="O72" s="2"/>
    </row>
    <row r="73" spans="1:15" s="70" customFormat="1" ht="12.75" customHeight="1" x14ac:dyDescent="0.2">
      <c r="A73" s="87">
        <v>45295</v>
      </c>
      <c r="B73" s="120" t="s">
        <v>6</v>
      </c>
      <c r="C73" s="75" t="s">
        <v>1944</v>
      </c>
      <c r="D73" s="88">
        <v>321576</v>
      </c>
      <c r="E73" s="2"/>
      <c r="F73" s="2"/>
      <c r="G73" s="30"/>
      <c r="H73" s="30"/>
      <c r="I73" s="2"/>
      <c r="J73" s="2"/>
      <c r="K73" s="2"/>
      <c r="L73" s="2"/>
      <c r="M73" s="41"/>
      <c r="N73" s="42"/>
      <c r="O73" s="2"/>
    </row>
    <row r="74" spans="1:15" s="70" customFormat="1" ht="12.75" customHeight="1" x14ac:dyDescent="0.2">
      <c r="A74" s="87">
        <v>45295</v>
      </c>
      <c r="B74" s="120" t="s">
        <v>6</v>
      </c>
      <c r="C74" s="75" t="s">
        <v>1944</v>
      </c>
      <c r="D74" s="88">
        <v>430832</v>
      </c>
      <c r="E74" s="2"/>
      <c r="F74" s="2"/>
      <c r="G74" s="30"/>
      <c r="H74" s="30"/>
      <c r="I74" s="2"/>
      <c r="J74" s="2"/>
      <c r="K74" s="2"/>
      <c r="L74" s="2"/>
      <c r="M74" s="41"/>
      <c r="N74" s="42"/>
      <c r="O74" s="2"/>
    </row>
    <row r="75" spans="1:15" s="70" customFormat="1" ht="12.75" customHeight="1" x14ac:dyDescent="0.2">
      <c r="A75" s="87">
        <v>45295</v>
      </c>
      <c r="B75" s="120" t="s">
        <v>6</v>
      </c>
      <c r="C75" s="75" t="s">
        <v>1934</v>
      </c>
      <c r="D75" s="88">
        <v>892589</v>
      </c>
      <c r="E75" s="2"/>
      <c r="F75" s="2"/>
      <c r="G75" s="30"/>
      <c r="H75" s="30"/>
      <c r="I75" s="2"/>
      <c r="J75" s="2"/>
      <c r="K75" s="2"/>
      <c r="L75" s="2"/>
      <c r="M75" s="41"/>
      <c r="N75" s="42"/>
      <c r="O75" s="2"/>
    </row>
    <row r="76" spans="1:15" s="70" customFormat="1" ht="12.75" customHeight="1" x14ac:dyDescent="0.2">
      <c r="A76" s="87">
        <v>45299</v>
      </c>
      <c r="B76" s="120" t="s">
        <v>6</v>
      </c>
      <c r="C76" s="75" t="s">
        <v>1933</v>
      </c>
      <c r="D76" s="88">
        <v>8143487</v>
      </c>
      <c r="E76" s="2"/>
      <c r="F76" s="2"/>
      <c r="G76" s="30"/>
      <c r="H76" s="30"/>
      <c r="I76" s="2"/>
      <c r="J76" s="2"/>
      <c r="K76" s="2"/>
      <c r="L76" s="2"/>
      <c r="M76" s="41"/>
      <c r="N76" s="42"/>
      <c r="O76" s="2"/>
    </row>
    <row r="77" spans="1:15" s="70" customFormat="1" ht="12.75" customHeight="1" x14ac:dyDescent="0.2">
      <c r="A77" s="87">
        <v>45299</v>
      </c>
      <c r="B77" s="120" t="s">
        <v>6</v>
      </c>
      <c r="C77" s="75" t="s">
        <v>606</v>
      </c>
      <c r="D77" s="88">
        <v>487316</v>
      </c>
      <c r="E77" s="2"/>
      <c r="F77" s="2"/>
      <c r="G77" s="30"/>
      <c r="H77" s="30"/>
      <c r="I77" s="2"/>
      <c r="J77" s="2"/>
      <c r="K77" s="2"/>
      <c r="L77" s="2"/>
      <c r="M77" s="41"/>
      <c r="N77" s="42"/>
      <c r="O77" s="2"/>
    </row>
    <row r="78" spans="1:15" s="70" customFormat="1" ht="12.75" customHeight="1" x14ac:dyDescent="0.2">
      <c r="A78" s="87">
        <v>45301</v>
      </c>
      <c r="B78" s="120" t="s">
        <v>6</v>
      </c>
      <c r="C78" s="75" t="s">
        <v>1933</v>
      </c>
      <c r="D78" s="88">
        <v>2690</v>
      </c>
      <c r="E78" s="2"/>
      <c r="F78" s="2"/>
      <c r="G78" s="30"/>
      <c r="H78" s="30"/>
      <c r="I78" s="2"/>
      <c r="J78" s="2"/>
      <c r="K78" s="2"/>
      <c r="L78" s="2"/>
      <c r="M78" s="41"/>
      <c r="N78" s="42"/>
      <c r="O78" s="2"/>
    </row>
    <row r="79" spans="1:15" s="70" customFormat="1" ht="12.75" customHeight="1" x14ac:dyDescent="0.2">
      <c r="A79" s="87">
        <v>45301</v>
      </c>
      <c r="B79" s="120" t="s">
        <v>6</v>
      </c>
      <c r="C79" s="75" t="s">
        <v>1933</v>
      </c>
      <c r="D79" s="88">
        <v>2133516</v>
      </c>
      <c r="E79" s="2"/>
      <c r="F79" s="2"/>
      <c r="G79" s="30"/>
      <c r="H79" s="30"/>
      <c r="I79" s="2"/>
      <c r="J79" s="2"/>
      <c r="K79" s="2"/>
      <c r="L79" s="2"/>
      <c r="M79" s="41"/>
      <c r="N79" s="42"/>
      <c r="O79" s="2"/>
    </row>
    <row r="80" spans="1:15" s="70" customFormat="1" ht="12.75" customHeight="1" x14ac:dyDescent="0.2">
      <c r="A80" s="87">
        <v>45302</v>
      </c>
      <c r="B80" s="120" t="s">
        <v>6</v>
      </c>
      <c r="C80" s="75" t="s">
        <v>1084</v>
      </c>
      <c r="D80" s="88">
        <v>3000000</v>
      </c>
      <c r="E80" s="2"/>
      <c r="F80" s="2"/>
      <c r="G80" s="30"/>
      <c r="H80" s="30"/>
      <c r="I80" s="2"/>
      <c r="J80" s="2"/>
      <c r="K80" s="2"/>
      <c r="L80" s="2"/>
      <c r="M80" s="41"/>
      <c r="N80" s="42"/>
      <c r="O80" s="2"/>
    </row>
    <row r="81" spans="1:15" s="70" customFormat="1" ht="12.75" customHeight="1" x14ac:dyDescent="0.2">
      <c r="A81" s="87">
        <v>45303</v>
      </c>
      <c r="B81" s="120" t="s">
        <v>6</v>
      </c>
      <c r="C81" s="75" t="s">
        <v>1933</v>
      </c>
      <c r="D81" s="88">
        <v>5893097</v>
      </c>
      <c r="E81" s="2"/>
      <c r="F81" s="2"/>
      <c r="G81" s="30"/>
      <c r="H81" s="30"/>
      <c r="I81" s="2"/>
      <c r="J81" s="2"/>
      <c r="K81" s="2"/>
      <c r="L81" s="2"/>
      <c r="M81" s="41"/>
      <c r="N81" s="42"/>
      <c r="O81" s="2"/>
    </row>
    <row r="82" spans="1:15" s="70" customFormat="1" ht="12.75" customHeight="1" x14ac:dyDescent="0.2">
      <c r="A82" s="87">
        <v>45303</v>
      </c>
      <c r="B82" s="120" t="s">
        <v>6</v>
      </c>
      <c r="C82" s="75" t="s">
        <v>1977</v>
      </c>
      <c r="D82" s="88">
        <v>500000</v>
      </c>
      <c r="E82" s="2"/>
      <c r="F82" s="2"/>
      <c r="G82" s="30"/>
      <c r="H82" s="30"/>
      <c r="I82" s="2"/>
      <c r="J82" s="2"/>
      <c r="K82" s="2"/>
      <c r="L82" s="2"/>
      <c r="M82" s="41"/>
      <c r="N82" s="42"/>
      <c r="O82" s="2"/>
    </row>
    <row r="83" spans="1:15" s="70" customFormat="1" ht="12.75" customHeight="1" x14ac:dyDescent="0.2">
      <c r="A83" s="87">
        <v>45307</v>
      </c>
      <c r="B83" s="120" t="s">
        <v>6</v>
      </c>
      <c r="C83" s="75" t="s">
        <v>1933</v>
      </c>
      <c r="D83" s="88">
        <v>3572610</v>
      </c>
      <c r="E83" s="2"/>
      <c r="F83" s="2"/>
      <c r="G83" s="30"/>
      <c r="H83" s="30"/>
      <c r="I83" s="2"/>
      <c r="J83" s="2"/>
      <c r="K83" s="2"/>
      <c r="L83" s="2"/>
      <c r="M83" s="41"/>
      <c r="N83" s="42"/>
      <c r="O83" s="2"/>
    </row>
    <row r="84" spans="1:15" s="70" customFormat="1" ht="12.75" customHeight="1" x14ac:dyDescent="0.2">
      <c r="A84" s="87">
        <v>45307</v>
      </c>
      <c r="B84" s="120" t="s">
        <v>6</v>
      </c>
      <c r="C84" s="75" t="s">
        <v>1944</v>
      </c>
      <c r="D84" s="88">
        <v>4109147</v>
      </c>
      <c r="E84" s="2"/>
      <c r="F84" s="2"/>
      <c r="G84" s="30"/>
      <c r="H84" s="30"/>
      <c r="I84" s="2"/>
      <c r="J84" s="2"/>
      <c r="K84" s="2"/>
      <c r="L84" s="2"/>
      <c r="M84" s="41"/>
      <c r="N84" s="42"/>
      <c r="O84" s="2"/>
    </row>
    <row r="85" spans="1:15" s="70" customFormat="1" ht="12.75" customHeight="1" x14ac:dyDescent="0.2">
      <c r="A85" s="87">
        <v>45307</v>
      </c>
      <c r="B85" s="120" t="s">
        <v>6</v>
      </c>
      <c r="C85" s="75" t="s">
        <v>1944</v>
      </c>
      <c r="D85" s="88">
        <v>1168867</v>
      </c>
      <c r="E85" s="2"/>
      <c r="F85" s="2"/>
      <c r="G85" s="30"/>
      <c r="H85" s="30"/>
      <c r="I85" s="2"/>
      <c r="J85" s="2"/>
      <c r="K85" s="2"/>
      <c r="L85" s="2"/>
      <c r="M85" s="41"/>
      <c r="N85" s="42"/>
      <c r="O85" s="2"/>
    </row>
    <row r="86" spans="1:15" s="70" customFormat="1" ht="12.75" customHeight="1" x14ac:dyDescent="0.2">
      <c r="A86" s="87">
        <v>45307</v>
      </c>
      <c r="B86" s="120" t="s">
        <v>6</v>
      </c>
      <c r="C86" s="75" t="s">
        <v>1988</v>
      </c>
      <c r="D86" s="88">
        <v>175195</v>
      </c>
      <c r="E86" s="2"/>
      <c r="F86" s="2"/>
      <c r="G86" s="30"/>
      <c r="H86" s="30"/>
      <c r="I86" s="2"/>
      <c r="J86" s="2"/>
      <c r="K86" s="2"/>
      <c r="L86" s="2"/>
      <c r="M86" s="41"/>
      <c r="N86" s="42"/>
      <c r="O86" s="2"/>
    </row>
    <row r="87" spans="1:15" s="70" customFormat="1" ht="12.75" customHeight="1" x14ac:dyDescent="0.2">
      <c r="A87" s="87">
        <v>45309</v>
      </c>
      <c r="B87" s="120" t="s">
        <v>6</v>
      </c>
      <c r="C87" s="75" t="s">
        <v>1933</v>
      </c>
      <c r="D87" s="88">
        <v>7480683</v>
      </c>
      <c r="E87" s="2"/>
      <c r="F87" s="2"/>
      <c r="G87" s="30"/>
      <c r="H87" s="30"/>
      <c r="I87" s="2"/>
      <c r="J87" s="2"/>
      <c r="K87" s="2"/>
      <c r="L87" s="2"/>
      <c r="M87" s="41"/>
      <c r="N87" s="42"/>
      <c r="O87" s="2"/>
    </row>
    <row r="88" spans="1:15" s="70" customFormat="1" ht="12.75" customHeight="1" x14ac:dyDescent="0.2">
      <c r="A88" s="87">
        <v>45309</v>
      </c>
      <c r="B88" s="120" t="s">
        <v>6</v>
      </c>
      <c r="C88" s="75" t="s">
        <v>1977</v>
      </c>
      <c r="D88" s="88">
        <v>1511767</v>
      </c>
      <c r="E88" s="2"/>
      <c r="F88" s="2"/>
      <c r="G88" s="30"/>
      <c r="H88" s="30"/>
      <c r="I88" s="2"/>
      <c r="J88" s="2"/>
      <c r="K88" s="2"/>
      <c r="L88" s="2"/>
      <c r="M88" s="41"/>
      <c r="N88" s="42"/>
      <c r="O88" s="2"/>
    </row>
    <row r="89" spans="1:15" s="70" customFormat="1" ht="12.75" customHeight="1" x14ac:dyDescent="0.2">
      <c r="A89" s="87">
        <v>45310</v>
      </c>
      <c r="B89" s="120" t="s">
        <v>6</v>
      </c>
      <c r="C89" s="75" t="s">
        <v>1084</v>
      </c>
      <c r="D89" s="88">
        <v>4000000</v>
      </c>
      <c r="E89" s="2"/>
      <c r="F89" s="2"/>
      <c r="G89" s="30"/>
      <c r="H89" s="30"/>
      <c r="I89" s="2"/>
      <c r="J89" s="2"/>
      <c r="K89" s="2"/>
      <c r="L89" s="2"/>
      <c r="M89" s="41"/>
      <c r="N89" s="42"/>
      <c r="O89" s="2"/>
    </row>
    <row r="90" spans="1:15" s="70" customFormat="1" ht="12.75" customHeight="1" x14ac:dyDescent="0.2">
      <c r="A90" s="87">
        <v>45311</v>
      </c>
      <c r="B90" s="120" t="s">
        <v>6</v>
      </c>
      <c r="C90" s="75" t="s">
        <v>888</v>
      </c>
      <c r="D90" s="88">
        <v>4720981.46</v>
      </c>
      <c r="E90" s="2"/>
      <c r="F90" s="2"/>
      <c r="G90" s="30"/>
      <c r="H90" s="30"/>
      <c r="I90" s="2"/>
      <c r="J90" s="2"/>
      <c r="K90" s="2"/>
      <c r="L90" s="2"/>
      <c r="M90" s="41"/>
      <c r="N90" s="42"/>
      <c r="O90" s="2"/>
    </row>
    <row r="91" spans="1:15" s="70" customFormat="1" ht="12.75" customHeight="1" x14ac:dyDescent="0.2">
      <c r="A91" s="87">
        <v>45314</v>
      </c>
      <c r="B91" s="120" t="s">
        <v>6</v>
      </c>
      <c r="C91" s="75" t="s">
        <v>1933</v>
      </c>
      <c r="D91" s="88">
        <v>1373756</v>
      </c>
      <c r="E91" s="2"/>
      <c r="F91" s="2"/>
      <c r="G91" s="30"/>
      <c r="H91" s="30"/>
      <c r="I91" s="2"/>
      <c r="J91" s="2"/>
      <c r="K91" s="2"/>
      <c r="L91" s="2"/>
      <c r="M91" s="41"/>
      <c r="N91" s="42"/>
      <c r="O91" s="2"/>
    </row>
    <row r="92" spans="1:15" s="70" customFormat="1" ht="12.75" customHeight="1" x14ac:dyDescent="0.2">
      <c r="A92" s="87">
        <v>45314</v>
      </c>
      <c r="B92" s="120" t="s">
        <v>6</v>
      </c>
      <c r="C92" s="75" t="s">
        <v>1933</v>
      </c>
      <c r="D92" s="88">
        <v>5000341.9400000004</v>
      </c>
      <c r="E92" s="2"/>
      <c r="F92" s="2"/>
      <c r="G92" s="30"/>
      <c r="H92" s="30"/>
      <c r="I92" s="2"/>
      <c r="J92" s="2"/>
      <c r="K92" s="2"/>
      <c r="L92" s="2"/>
      <c r="M92" s="41"/>
      <c r="N92" s="42"/>
      <c r="O92" s="2"/>
    </row>
    <row r="93" spans="1:15" s="70" customFormat="1" ht="12.75" customHeight="1" x14ac:dyDescent="0.2">
      <c r="A93" s="87">
        <v>45314</v>
      </c>
      <c r="B93" s="120" t="s">
        <v>6</v>
      </c>
      <c r="C93" s="75" t="s">
        <v>1933</v>
      </c>
      <c r="D93" s="88">
        <v>339686</v>
      </c>
      <c r="E93" s="2"/>
      <c r="F93" s="2"/>
      <c r="G93" s="30"/>
      <c r="H93" s="30"/>
      <c r="I93" s="2"/>
      <c r="J93" s="2"/>
      <c r="K93" s="2"/>
      <c r="L93" s="2"/>
      <c r="M93" s="41"/>
      <c r="N93" s="42"/>
      <c r="O93" s="2"/>
    </row>
    <row r="94" spans="1:15" s="70" customFormat="1" ht="12.75" customHeight="1" x14ac:dyDescent="0.2">
      <c r="A94" s="87">
        <v>45315</v>
      </c>
      <c r="B94" s="120" t="s">
        <v>6</v>
      </c>
      <c r="C94" s="75" t="s">
        <v>467</v>
      </c>
      <c r="D94" s="88">
        <v>4536269</v>
      </c>
      <c r="E94" s="2"/>
      <c r="F94" s="2"/>
      <c r="G94" s="30"/>
      <c r="H94" s="30"/>
      <c r="I94" s="2"/>
      <c r="J94" s="2"/>
      <c r="K94" s="2"/>
      <c r="L94" s="2"/>
      <c r="M94" s="41"/>
      <c r="N94" s="42"/>
      <c r="O94" s="2"/>
    </row>
    <row r="95" spans="1:15" s="70" customFormat="1" ht="12.75" customHeight="1" x14ac:dyDescent="0.2">
      <c r="A95" s="87">
        <v>45316</v>
      </c>
      <c r="B95" s="120" t="s">
        <v>6</v>
      </c>
      <c r="C95" s="75" t="s">
        <v>1933</v>
      </c>
      <c r="D95" s="88">
        <v>8050467</v>
      </c>
      <c r="E95" s="2"/>
      <c r="F95" s="2"/>
      <c r="G95" s="30"/>
      <c r="H95" s="30"/>
      <c r="I95" s="2"/>
      <c r="J95" s="2"/>
      <c r="K95" s="2"/>
      <c r="L95" s="2"/>
      <c r="M95" s="41"/>
      <c r="N95" s="42"/>
      <c r="O95" s="2"/>
    </row>
    <row r="96" spans="1:15" s="70" customFormat="1" ht="12.75" customHeight="1" x14ac:dyDescent="0.2">
      <c r="A96" s="87">
        <v>45316</v>
      </c>
      <c r="B96" s="120" t="s">
        <v>6</v>
      </c>
      <c r="C96" s="75" t="s">
        <v>606</v>
      </c>
      <c r="D96" s="88">
        <v>7067955</v>
      </c>
      <c r="E96" s="2"/>
      <c r="F96" s="2"/>
      <c r="G96" s="30"/>
      <c r="H96" s="30"/>
      <c r="I96" s="2"/>
      <c r="J96" s="2"/>
      <c r="K96" s="2"/>
      <c r="L96" s="2"/>
      <c r="M96" s="41"/>
      <c r="N96" s="42"/>
      <c r="O96" s="2"/>
    </row>
    <row r="97" spans="1:15" s="70" customFormat="1" ht="12.75" customHeight="1" x14ac:dyDescent="0.2">
      <c r="A97" s="87">
        <v>45316</v>
      </c>
      <c r="B97" s="120" t="s">
        <v>6</v>
      </c>
      <c r="C97" s="75" t="s">
        <v>606</v>
      </c>
      <c r="D97" s="88">
        <v>1059623</v>
      </c>
      <c r="E97" s="2"/>
      <c r="F97" s="2"/>
      <c r="G97" s="30"/>
      <c r="H97" s="30"/>
      <c r="I97" s="2"/>
      <c r="J97" s="2"/>
      <c r="K97" s="2"/>
      <c r="L97" s="2"/>
      <c r="M97" s="41"/>
      <c r="N97" s="42"/>
      <c r="O97" s="2"/>
    </row>
    <row r="98" spans="1:15" s="70" customFormat="1" ht="12.75" customHeight="1" x14ac:dyDescent="0.2">
      <c r="A98" s="87">
        <v>45316</v>
      </c>
      <c r="B98" s="120" t="s">
        <v>6</v>
      </c>
      <c r="C98" s="75" t="s">
        <v>1084</v>
      </c>
      <c r="D98" s="88">
        <v>3407112</v>
      </c>
      <c r="E98" s="2"/>
      <c r="F98" s="2"/>
      <c r="G98" s="30"/>
      <c r="H98" s="30"/>
      <c r="I98" s="2"/>
      <c r="J98" s="2"/>
      <c r="K98" s="2"/>
      <c r="L98" s="2"/>
      <c r="M98" s="41"/>
      <c r="N98" s="42"/>
      <c r="O98" s="2"/>
    </row>
    <row r="99" spans="1:15" s="2" customFormat="1" x14ac:dyDescent="0.2">
      <c r="A99" s="87"/>
      <c r="B99" s="74"/>
      <c r="C99" s="75"/>
      <c r="D99" s="51">
        <f>SUM(D68:D98)</f>
        <v>89803858.74000001</v>
      </c>
      <c r="F99" s="2" t="s">
        <v>396</v>
      </c>
      <c r="G99" s="1"/>
      <c r="H99" s="1"/>
    </row>
    <row r="100" spans="1:15" s="2" customFormat="1" x14ac:dyDescent="0.2">
      <c r="A100" s="24"/>
      <c r="B100" s="1"/>
      <c r="C100" s="14"/>
      <c r="D100" s="56"/>
      <c r="E100" s="13"/>
      <c r="G100" s="1"/>
      <c r="H100" s="1"/>
    </row>
    <row r="101" spans="1:15" s="2" customFormat="1" x14ac:dyDescent="0.2">
      <c r="A101" s="24"/>
      <c r="B101" s="1"/>
      <c r="C101" s="218" t="s">
        <v>77</v>
      </c>
      <c r="D101" s="219"/>
      <c r="E101" s="219"/>
      <c r="F101" s="220"/>
      <c r="I101" s="2" t="s">
        <v>396</v>
      </c>
    </row>
    <row r="102" spans="1:15" s="2" customFormat="1" x14ac:dyDescent="0.2">
      <c r="A102" s="24"/>
      <c r="B102" s="1"/>
      <c r="C102" s="50"/>
      <c r="D102" s="57" t="s">
        <v>78</v>
      </c>
      <c r="E102" s="58" t="s">
        <v>79</v>
      </c>
      <c r="F102" s="57" t="s">
        <v>72</v>
      </c>
      <c r="I102" s="2" t="s">
        <v>396</v>
      </c>
    </row>
    <row r="103" spans="1:15" s="2" customFormat="1" x14ac:dyDescent="0.2">
      <c r="A103" s="24"/>
      <c r="B103" s="1"/>
      <c r="C103" s="59" t="str">
        <f>"01-01-2024 to "&amp;TEXT(A5-2,"dd-mm-yyyy")</f>
        <v>01-01-2024 to 25-01-2024</v>
      </c>
      <c r="D103" s="60">
        <v>2102.4499999999998</v>
      </c>
      <c r="E103" s="60">
        <v>554.49</v>
      </c>
      <c r="F103" s="61">
        <f>SUM(D103:E103)</f>
        <v>2656.9399999999996</v>
      </c>
    </row>
    <row r="104" spans="1:15" s="2" customFormat="1" x14ac:dyDescent="0.2">
      <c r="A104" s="24"/>
      <c r="B104" s="1"/>
      <c r="C104" s="62" t="str">
        <f>TEXT(A5-1,"dd-mm-yyyy")</f>
        <v>26-01-2024</v>
      </c>
      <c r="D104" s="60">
        <v>0</v>
      </c>
      <c r="E104" s="60">
        <v>0</v>
      </c>
      <c r="F104" s="61">
        <f>SUM(D104:E104)</f>
        <v>0</v>
      </c>
      <c r="G104" s="1"/>
      <c r="H104" s="1"/>
      <c r="I104" s="53"/>
    </row>
    <row r="105" spans="1:15" s="2" customFormat="1" ht="13.5" thickBot="1" x14ac:dyDescent="0.25">
      <c r="A105" s="24"/>
      <c r="B105" s="1"/>
      <c r="C105" s="63" t="str">
        <f>"01-01-2024 to "&amp;TEXT(A5-1,"dd-mm-yyyy")</f>
        <v>01-01-2024 to 26-01-2024</v>
      </c>
      <c r="D105" s="64">
        <f>SUM(D103:D104)</f>
        <v>2102.4499999999998</v>
      </c>
      <c r="E105" s="64">
        <f>SUM(E103:E104)</f>
        <v>554.49</v>
      </c>
      <c r="F105" s="64">
        <f>SUM(F103:F104)</f>
        <v>2656.9399999999996</v>
      </c>
      <c r="G105" s="1"/>
      <c r="H105" s="1"/>
      <c r="I105" s="53"/>
    </row>
    <row r="106" spans="1:15" s="2" customFormat="1" ht="13.5" thickTop="1" x14ac:dyDescent="0.2">
      <c r="A106" s="24"/>
      <c r="B106" s="1"/>
      <c r="C106" s="62"/>
      <c r="D106" s="65"/>
      <c r="E106" s="66"/>
      <c r="F106" s="67"/>
      <c r="M106" s="1"/>
      <c r="N106" s="1"/>
    </row>
    <row r="107" spans="1:15" s="2" customFormat="1" x14ac:dyDescent="0.2">
      <c r="A107" s="24"/>
      <c r="B107" s="1"/>
      <c r="C107" s="62" t="str">
        <f>"01-04-2023 to " &amp;C104</f>
        <v>01-04-2023 to 26-01-2024</v>
      </c>
      <c r="D107" s="68">
        <f>+D105+34570.27</f>
        <v>36672.719999999994</v>
      </c>
      <c r="E107" s="68">
        <f>+E105+3831.86</f>
        <v>4386.3500000000004</v>
      </c>
      <c r="F107" s="68">
        <f>+F105+38402.13</f>
        <v>41059.07</v>
      </c>
      <c r="G107" s="1"/>
      <c r="H107" s="1"/>
      <c r="M107" s="1"/>
      <c r="N107" s="1"/>
    </row>
    <row r="108" spans="1:15" s="2" customFormat="1" x14ac:dyDescent="0.2">
      <c r="A108" s="24"/>
      <c r="B108" s="1"/>
      <c r="C108" s="52"/>
      <c r="D108" s="85"/>
      <c r="E108" s="53"/>
      <c r="F108" s="53"/>
      <c r="G108" s="1"/>
      <c r="H108" s="1"/>
      <c r="M108" s="1"/>
      <c r="N108" s="1"/>
    </row>
    <row r="109" spans="1:15" s="2" customFormat="1" x14ac:dyDescent="0.2">
      <c r="A109" s="24"/>
      <c r="B109" s="1"/>
      <c r="C109" s="52"/>
      <c r="D109" s="85"/>
      <c r="E109" s="53"/>
      <c r="F109" s="53"/>
      <c r="G109" s="1"/>
      <c r="H109" s="1"/>
      <c r="M109" s="1"/>
      <c r="N109" s="1"/>
    </row>
    <row r="110" spans="1:15" s="2" customFormat="1" x14ac:dyDescent="0.2">
      <c r="A110" s="24"/>
      <c r="B110" s="1"/>
      <c r="C110" s="52"/>
      <c r="D110" s="85"/>
      <c r="E110" s="53"/>
      <c r="F110" s="53"/>
      <c r="G110" s="1"/>
      <c r="H110" s="1"/>
      <c r="M110" s="1"/>
      <c r="N110" s="1"/>
    </row>
    <row r="111" spans="1:15" s="2" customFormat="1" x14ac:dyDescent="0.2">
      <c r="A111" s="24"/>
      <c r="B111" s="1"/>
      <c r="C111" s="52"/>
      <c r="D111" s="85"/>
      <c r="E111" s="53"/>
      <c r="F111" s="53"/>
      <c r="G111" s="1"/>
      <c r="H111" s="1"/>
      <c r="M111" s="1"/>
      <c r="N111" s="1"/>
    </row>
    <row r="112" spans="1:15" s="2" customFormat="1" x14ac:dyDescent="0.2">
      <c r="A112" s="24"/>
      <c r="B112" s="1"/>
      <c r="C112" s="14"/>
      <c r="D112" s="25">
        <f>SUM(D109:D111)</f>
        <v>0</v>
      </c>
      <c r="E112" s="2">
        <f>SUM(E109:E111)</f>
        <v>0</v>
      </c>
      <c r="G112" s="1"/>
      <c r="H112" s="1"/>
      <c r="M112" s="1"/>
      <c r="N112" s="1"/>
    </row>
    <row r="113" spans="1:14" s="2" customFormat="1" x14ac:dyDescent="0.2">
      <c r="A113" s="24"/>
      <c r="B113" s="1"/>
      <c r="C113" s="14"/>
      <c r="D113" s="25"/>
      <c r="G113" s="1"/>
      <c r="H113" s="1"/>
      <c r="M113" s="1"/>
      <c r="N113" s="1"/>
    </row>
    <row r="114" spans="1:14" s="2" customFormat="1" x14ac:dyDescent="0.2">
      <c r="A114" s="24"/>
      <c r="B114" s="1"/>
      <c r="C114" s="14"/>
      <c r="D114" s="25"/>
      <c r="G114" s="1"/>
      <c r="H114" s="1"/>
      <c r="M114" s="1"/>
      <c r="N114" s="1"/>
    </row>
    <row r="115" spans="1:14" s="2" customFormat="1" x14ac:dyDescent="0.2">
      <c r="A115" s="24"/>
      <c r="B115" s="1"/>
      <c r="C115" s="14"/>
      <c r="D115" s="25"/>
      <c r="G115" s="1"/>
      <c r="H115" s="1"/>
      <c r="M115" s="1"/>
      <c r="N115" s="1"/>
    </row>
    <row r="116" spans="1:14" s="2" customFormat="1" x14ac:dyDescent="0.2">
      <c r="A116" s="24"/>
      <c r="B116" s="1"/>
      <c r="C116" s="14"/>
      <c r="D116" s="25"/>
      <c r="G116" s="1"/>
      <c r="H116" s="1"/>
      <c r="M116" s="1"/>
      <c r="N116" s="1"/>
    </row>
    <row r="117" spans="1:14" s="2" customFormat="1" x14ac:dyDescent="0.2">
      <c r="A117" s="24"/>
      <c r="B117" s="1"/>
      <c r="C117" s="14"/>
      <c r="D117" s="25"/>
      <c r="G117" s="1"/>
      <c r="H117" s="1"/>
      <c r="M117" s="1"/>
      <c r="N117" s="1"/>
    </row>
    <row r="118" spans="1:14" s="2" customFormat="1" x14ac:dyDescent="0.2">
      <c r="A118" s="24"/>
      <c r="B118" s="1"/>
      <c r="C118" s="14"/>
      <c r="D118" s="25"/>
      <c r="G118" s="1"/>
      <c r="H118" s="1"/>
      <c r="M118" s="1"/>
      <c r="N118" s="1"/>
    </row>
    <row r="119" spans="1:14" s="2" customFormat="1" x14ac:dyDescent="0.2">
      <c r="A119" s="24"/>
      <c r="B119" s="1"/>
      <c r="C119" s="14"/>
      <c r="D119" s="25"/>
      <c r="G119" s="1"/>
      <c r="H119" s="1"/>
      <c r="M119" s="1"/>
      <c r="N119" s="1"/>
    </row>
    <row r="120" spans="1:14" s="2" customFormat="1" x14ac:dyDescent="0.2">
      <c r="A120" s="24"/>
      <c r="B120" s="1"/>
      <c r="C120" s="14"/>
      <c r="D120" s="25"/>
      <c r="G120" s="1"/>
      <c r="H120" s="1"/>
      <c r="M120" s="1"/>
      <c r="N120" s="1"/>
    </row>
    <row r="121" spans="1:14" s="2" customFormat="1" x14ac:dyDescent="0.2">
      <c r="A121" s="24"/>
      <c r="B121" s="1"/>
      <c r="C121" s="14"/>
      <c r="D121" s="25"/>
      <c r="G121" s="1"/>
      <c r="H121" s="1"/>
      <c r="M121" s="1"/>
      <c r="N121" s="1"/>
    </row>
    <row r="122" spans="1:14" s="2" customFormat="1" x14ac:dyDescent="0.2">
      <c r="A122" s="24"/>
      <c r="B122" s="1"/>
      <c r="C122" s="14"/>
      <c r="D122" s="25"/>
      <c r="G122" s="1"/>
      <c r="H122" s="1"/>
      <c r="M122" s="1"/>
      <c r="N122" s="1"/>
    </row>
    <row r="123" spans="1:14" s="2" customFormat="1" x14ac:dyDescent="0.2">
      <c r="A123" s="24"/>
      <c r="B123" s="1"/>
      <c r="C123" s="14"/>
      <c r="D123" s="25"/>
      <c r="G123" s="1"/>
      <c r="H123" s="1"/>
      <c r="M123" s="1"/>
      <c r="N123" s="1"/>
    </row>
    <row r="124" spans="1:14" s="2" customFormat="1" x14ac:dyDescent="0.2">
      <c r="A124" s="24"/>
      <c r="B124" s="1"/>
      <c r="C124" s="14"/>
      <c r="D124" s="25"/>
      <c r="G124" s="1"/>
      <c r="H124" s="1"/>
      <c r="M124" s="1"/>
      <c r="N124" s="1"/>
    </row>
    <row r="125" spans="1:14" s="2" customFormat="1" x14ac:dyDescent="0.2">
      <c r="A125" s="24"/>
      <c r="B125" s="1"/>
      <c r="C125" s="14"/>
      <c r="D125" s="25"/>
      <c r="G125" s="1"/>
      <c r="H125" s="1"/>
      <c r="M125" s="1"/>
      <c r="N125" s="1"/>
    </row>
    <row r="126" spans="1:14" s="2" customFormat="1" x14ac:dyDescent="0.2">
      <c r="A126" s="24"/>
      <c r="B126" s="1"/>
      <c r="C126" s="14"/>
      <c r="D126" s="25"/>
      <c r="G126" s="1"/>
      <c r="H126" s="1"/>
      <c r="J126" s="1"/>
      <c r="K126" s="1"/>
      <c r="L126" s="1"/>
      <c r="M126" s="1"/>
      <c r="N126" s="1"/>
    </row>
    <row r="127" spans="1:14" s="2" customFormat="1" x14ac:dyDescent="0.2">
      <c r="A127" s="24"/>
      <c r="B127" s="1"/>
      <c r="C127" s="14"/>
      <c r="D127" s="25"/>
      <c r="G127" s="1"/>
      <c r="H127" s="1"/>
    </row>
    <row r="128" spans="1:14" s="2" customFormat="1" x14ac:dyDescent="0.2">
      <c r="A128" s="24"/>
      <c r="B128" s="1"/>
      <c r="C128" s="14"/>
      <c r="D128" s="25"/>
      <c r="G128" s="1"/>
      <c r="H128" s="1"/>
      <c r="J128" s="1"/>
      <c r="K128" s="1"/>
      <c r="L128" s="1"/>
      <c r="M128" s="1"/>
      <c r="N128" s="1"/>
    </row>
    <row r="129" spans="1:15" s="2" customFormat="1" x14ac:dyDescent="0.2">
      <c r="A129" s="24"/>
      <c r="B129" s="1"/>
      <c r="C129" s="14"/>
      <c r="D129" s="25"/>
      <c r="G129" s="54"/>
      <c r="H129" s="54"/>
      <c r="J129" s="1"/>
      <c r="K129" s="1"/>
      <c r="L129" s="1"/>
      <c r="M129" s="1"/>
      <c r="N129" s="1"/>
    </row>
    <row r="130" spans="1:15" s="2" customFormat="1" x14ac:dyDescent="0.2">
      <c r="A130" s="24"/>
      <c r="B130" s="1"/>
      <c r="C130" s="14"/>
      <c r="D130" s="25"/>
      <c r="G130" s="54"/>
      <c r="H130" s="54"/>
      <c r="J130" s="1"/>
      <c r="K130" s="1"/>
      <c r="L130" s="1"/>
      <c r="M130" s="1"/>
      <c r="N130" s="1"/>
    </row>
    <row r="131" spans="1:15" s="2" customFormat="1" x14ac:dyDescent="0.2">
      <c r="A131" s="24"/>
      <c r="B131" s="1"/>
      <c r="C131" s="14"/>
      <c r="D131" s="25"/>
      <c r="G131" s="54"/>
      <c r="H131" s="54"/>
      <c r="J131" s="1"/>
      <c r="K131" s="1"/>
      <c r="L131" s="1"/>
      <c r="M131" s="1"/>
      <c r="N131" s="1"/>
    </row>
    <row r="132" spans="1:15" s="2" customFormat="1" x14ac:dyDescent="0.2">
      <c r="A132" s="24"/>
      <c r="B132" s="1"/>
      <c r="C132" s="14"/>
      <c r="D132" s="25"/>
      <c r="G132" s="54"/>
      <c r="H132" s="54"/>
      <c r="I132" s="2" t="s">
        <v>396</v>
      </c>
      <c r="J132" s="1"/>
      <c r="K132" s="1"/>
      <c r="L132" s="1"/>
      <c r="M132" s="1"/>
      <c r="N132" s="1"/>
      <c r="O132" s="1"/>
    </row>
    <row r="133" spans="1:15" s="2" customFormat="1" x14ac:dyDescent="0.2">
      <c r="A133" s="24"/>
      <c r="B133" s="1"/>
      <c r="C133" s="14"/>
      <c r="D133" s="25"/>
      <c r="G133" s="54"/>
      <c r="H133" s="54"/>
      <c r="I133" s="53"/>
    </row>
    <row r="134" spans="1:15" s="2" customFormat="1" x14ac:dyDescent="0.2">
      <c r="A134" s="24"/>
      <c r="B134" s="1"/>
      <c r="C134" s="14"/>
      <c r="D134" s="25"/>
      <c r="G134" s="54"/>
      <c r="H134" s="54"/>
      <c r="I134" s="53" t="s">
        <v>396</v>
      </c>
      <c r="J134" s="1"/>
      <c r="K134" s="1"/>
      <c r="L134" s="1"/>
      <c r="M134" s="1"/>
      <c r="N134" s="1"/>
      <c r="O134" s="1"/>
    </row>
    <row r="135" spans="1:15" x14ac:dyDescent="0.2">
      <c r="G135" s="54"/>
      <c r="H135" s="54"/>
      <c r="I135" s="53" t="s">
        <v>396</v>
      </c>
      <c r="K135" s="42"/>
    </row>
    <row r="136" spans="1:15" s="2" customFormat="1" x14ac:dyDescent="0.2">
      <c r="A136" s="24"/>
      <c r="B136" s="1"/>
      <c r="C136" s="14"/>
      <c r="D136" s="25"/>
      <c r="G136" s="54"/>
      <c r="H136" s="54"/>
      <c r="I136" s="53"/>
      <c r="J136" s="101"/>
      <c r="K136" s="1"/>
      <c r="L136" s="1"/>
      <c r="M136" s="1"/>
      <c r="N136" s="1"/>
      <c r="O136" s="1"/>
    </row>
    <row r="137" spans="1:15" x14ac:dyDescent="0.2">
      <c r="G137" s="54"/>
      <c r="H137" s="54"/>
      <c r="I137" s="53"/>
    </row>
    <row r="138" spans="1:15" x14ac:dyDescent="0.2">
      <c r="G138" s="54"/>
      <c r="H138" s="54"/>
      <c r="I138" s="53"/>
    </row>
    <row r="139" spans="1:15" x14ac:dyDescent="0.2">
      <c r="G139" s="54"/>
      <c r="H139" s="54"/>
      <c r="I139" s="53"/>
    </row>
  </sheetData>
  <sheetProtection insertRows="0"/>
  <mergeCells count="7">
    <mergeCell ref="K59:L59"/>
    <mergeCell ref="A66:D66"/>
    <mergeCell ref="C101:F101"/>
    <mergeCell ref="A1:H1"/>
    <mergeCell ref="A3:F3"/>
    <mergeCell ref="A9:F9"/>
    <mergeCell ref="A19:F19"/>
  </mergeCells>
  <conditionalFormatting sqref="H63:H64">
    <cfRule type="cellIs" dxfId="105" priority="1" operator="lessThan">
      <formula>0</formula>
    </cfRule>
  </conditionalFormatting>
  <conditionalFormatting sqref="C21">
    <cfRule type="duplicateValues" dxfId="104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E00-000000000000}">
  <sheetPr codeName="Sheet534">
    <pageSetUpPr fitToPage="1"/>
  </sheetPr>
  <dimension ref="A1:O152"/>
  <sheetViews>
    <sheetView topLeftCell="A19" zoomScaleNormal="100" workbookViewId="0">
      <selection activeCell="C39" sqref="C39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12.85546875" style="1" customWidth="1"/>
    <col min="9" max="9" width="24.85546875" style="2" bestFit="1" customWidth="1"/>
    <col min="10" max="10" width="21.5703125" style="1" bestFit="1" customWidth="1"/>
    <col min="11" max="11" width="16.85546875" style="1" bestFit="1" customWidth="1"/>
    <col min="12" max="12" width="17.28515625" style="1" bestFit="1" customWidth="1"/>
    <col min="13" max="13" width="13.5703125" style="1" bestFit="1" customWidth="1"/>
    <col min="14" max="14" width="17.42578125" style="1" bestFit="1" customWidth="1"/>
    <col min="15" max="15" width="12.85546875" style="1" bestFit="1" customWidth="1"/>
    <col min="16" max="17" width="9.140625" style="1"/>
    <col min="18" max="18" width="15.5703125" style="1" bestFit="1" customWidth="1"/>
    <col min="19" max="16384" width="9.140625" style="1"/>
  </cols>
  <sheetData>
    <row r="1" spans="1:14" ht="20.25" customHeight="1" x14ac:dyDescent="0.4">
      <c r="A1" s="212" t="s">
        <v>2017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4" ht="12.75" customHeight="1" x14ac:dyDescent="0.4">
      <c r="I2" s="112"/>
      <c r="J2" s="112"/>
    </row>
    <row r="3" spans="1:14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4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4" s="2" customFormat="1" ht="14.25" customHeight="1" x14ac:dyDescent="0.4">
      <c r="A5" s="89">
        <v>45320</v>
      </c>
      <c r="B5" s="9" t="s">
        <v>6</v>
      </c>
      <c r="C5" s="10" t="s">
        <v>7</v>
      </c>
      <c r="D5" s="11"/>
      <c r="E5" s="12">
        <v>565541.23000000045</v>
      </c>
      <c r="F5" s="12"/>
      <c r="G5" s="1"/>
      <c r="H5" s="1"/>
      <c r="I5" s="112"/>
      <c r="J5" s="112"/>
    </row>
    <row r="6" spans="1:14" s="2" customFormat="1" ht="12.75" customHeight="1" x14ac:dyDescent="0.2">
      <c r="D6" s="15" t="s">
        <v>8</v>
      </c>
      <c r="E6" s="16">
        <f>SUM(E5:E5)</f>
        <v>565541.23000000045</v>
      </c>
      <c r="F6" s="16">
        <f>F5</f>
        <v>0</v>
      </c>
      <c r="G6" s="1"/>
      <c r="H6" s="1"/>
      <c r="I6" s="13" t="s">
        <v>1582</v>
      </c>
      <c r="J6" s="13" t="s">
        <v>1583</v>
      </c>
    </row>
    <row r="7" spans="1:14" s="2" customFormat="1" ht="12.75" customHeight="1" x14ac:dyDescent="0.2">
      <c r="A7" s="17"/>
      <c r="B7" s="18"/>
      <c r="C7" s="19" t="s">
        <v>9</v>
      </c>
      <c r="D7" s="20"/>
      <c r="E7" s="21">
        <f>+E6-F6</f>
        <v>565541.23000000045</v>
      </c>
      <c r="F7" s="22"/>
      <c r="G7" s="23"/>
      <c r="H7" s="23"/>
      <c r="I7" s="2">
        <v>561110</v>
      </c>
      <c r="J7" s="2">
        <v>0</v>
      </c>
      <c r="K7" s="176">
        <f>I7-J7</f>
        <v>561110</v>
      </c>
    </row>
    <row r="8" spans="1:14" ht="12.75" customHeight="1" x14ac:dyDescent="0.4">
      <c r="I8" s="112"/>
      <c r="J8" s="112"/>
    </row>
    <row r="9" spans="1:14" ht="18" customHeight="1" x14ac:dyDescent="0.4">
      <c r="A9" s="213" t="s">
        <v>1037</v>
      </c>
      <c r="B9" s="213"/>
      <c r="C9" s="213"/>
      <c r="D9" s="213"/>
      <c r="E9" s="213"/>
      <c r="F9" s="213"/>
      <c r="I9" s="112"/>
      <c r="J9" s="169">
        <f>90000000-60000000</f>
        <v>30000000</v>
      </c>
      <c r="K9" s="169" t="s">
        <v>1508</v>
      </c>
    </row>
    <row r="10" spans="1:14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I10" s="112"/>
      <c r="J10" s="169">
        <v>25619553.260000002</v>
      </c>
      <c r="K10" s="169" t="s">
        <v>1509</v>
      </c>
      <c r="L10" s="124"/>
    </row>
    <row r="11" spans="1:14" s="2" customFormat="1" ht="14.25" customHeight="1" x14ac:dyDescent="0.2">
      <c r="A11" s="89">
        <v>45320</v>
      </c>
      <c r="B11" s="9" t="s">
        <v>6</v>
      </c>
      <c r="C11" s="10" t="s">
        <v>7</v>
      </c>
      <c r="D11" s="11"/>
      <c r="F11" s="12">
        <v>29619553.260000002</v>
      </c>
      <c r="G11" s="1"/>
      <c r="H11" s="1"/>
      <c r="I11" s="130" t="s">
        <v>396</v>
      </c>
      <c r="J11" s="169">
        <f>+J9-J10</f>
        <v>4380446.7399999984</v>
      </c>
      <c r="K11" s="169" t="s">
        <v>712</v>
      </c>
      <c r="L11" s="165" t="s">
        <v>1512</v>
      </c>
    </row>
    <row r="12" spans="1:14" s="2" customFormat="1" ht="14.25" customHeight="1" x14ac:dyDescent="0.2">
      <c r="A12" s="89">
        <v>45320</v>
      </c>
      <c r="B12" s="9" t="s">
        <v>6</v>
      </c>
      <c r="C12" s="76" t="s">
        <v>766</v>
      </c>
      <c r="D12" s="11" t="s">
        <v>13</v>
      </c>
      <c r="E12" s="31">
        <v>561110</v>
      </c>
      <c r="F12" s="31"/>
      <c r="G12" s="1"/>
      <c r="H12" s="1"/>
      <c r="I12" s="130"/>
      <c r="J12" s="169"/>
      <c r="K12" s="169"/>
      <c r="L12" s="165"/>
    </row>
    <row r="13" spans="1:14" s="2" customFormat="1" ht="14.25" customHeight="1" x14ac:dyDescent="0.2">
      <c r="A13" s="89">
        <v>45320</v>
      </c>
      <c r="B13" s="9" t="s">
        <v>6</v>
      </c>
      <c r="C13" s="76" t="s">
        <v>1170</v>
      </c>
      <c r="D13" s="11" t="s">
        <v>13</v>
      </c>
      <c r="E13" s="31">
        <v>4000000</v>
      </c>
      <c r="F13" s="31"/>
      <c r="G13" s="1"/>
      <c r="H13" s="1"/>
      <c r="I13" s="130"/>
      <c r="J13" s="169"/>
      <c r="K13" s="169"/>
      <c r="L13" s="165"/>
    </row>
    <row r="14" spans="1:14" s="2" customFormat="1" ht="14.25" customHeight="1" x14ac:dyDescent="0.2">
      <c r="D14" s="11" t="s">
        <v>8</v>
      </c>
      <c r="E14" s="16">
        <f>SUM(E12:E13)</f>
        <v>4561110</v>
      </c>
      <c r="F14" s="16">
        <f>SUM(F11:F12)</f>
        <v>29619553.260000002</v>
      </c>
      <c r="G14" s="1"/>
      <c r="H14" s="1"/>
      <c r="I14" s="143"/>
      <c r="J14" s="130"/>
      <c r="K14" s="143"/>
      <c r="L14" s="143"/>
      <c r="M14" s="143"/>
      <c r="N14" s="143"/>
    </row>
    <row r="15" spans="1:14" s="2" customFormat="1" ht="14.25" customHeight="1" x14ac:dyDescent="0.4">
      <c r="A15" s="17"/>
      <c r="B15" s="18"/>
      <c r="C15" s="96" t="s">
        <v>9</v>
      </c>
      <c r="D15" s="20"/>
      <c r="E15" s="21">
        <f>+F14-E14</f>
        <v>25058443.260000002</v>
      </c>
      <c r="G15" s="1"/>
      <c r="H15" s="1"/>
      <c r="J15" s="112"/>
      <c r="K15" s="153" t="s">
        <v>779</v>
      </c>
    </row>
    <row r="16" spans="1:14" s="2" customFormat="1" ht="14.25" customHeight="1" x14ac:dyDescent="0.2">
      <c r="A16" s="17"/>
      <c r="B16" s="28" t="s">
        <v>66</v>
      </c>
      <c r="C16" s="43" t="s">
        <v>1458</v>
      </c>
      <c r="D16" s="43"/>
      <c r="E16" s="12">
        <f>30000000+60000000</f>
        <v>90000000</v>
      </c>
      <c r="F16" s="22"/>
      <c r="G16" s="1"/>
      <c r="H16" s="1"/>
      <c r="J16" s="40">
        <v>25058443.260000002</v>
      </c>
      <c r="K16" s="154">
        <f>J16-E15</f>
        <v>0</v>
      </c>
    </row>
    <row r="17" spans="1:12" s="2" customFormat="1" ht="14.25" customHeight="1" x14ac:dyDescent="0.25">
      <c r="A17" s="36"/>
      <c r="B17" s="28"/>
      <c r="C17" s="44" t="s">
        <v>1541</v>
      </c>
      <c r="D17" s="43"/>
      <c r="E17" s="7">
        <f>+E15+E16</f>
        <v>115058443.26000001</v>
      </c>
      <c r="F17" s="22"/>
      <c r="G17" s="1"/>
      <c r="H17" s="1"/>
      <c r="I17" s="13" t="s">
        <v>1582</v>
      </c>
      <c r="J17" s="13" t="s">
        <v>1583</v>
      </c>
    </row>
    <row r="18" spans="1:12" s="2" customFormat="1" ht="14.25" customHeight="1" x14ac:dyDescent="0.25">
      <c r="A18" s="36"/>
      <c r="B18" s="28"/>
      <c r="C18" s="44" t="s">
        <v>1511</v>
      </c>
      <c r="D18" s="43"/>
      <c r="E18" s="38">
        <f>+J11+I7-J7</f>
        <v>4941556.7399999984</v>
      </c>
      <c r="F18" s="22"/>
      <c r="G18" s="1"/>
      <c r="H18" s="1"/>
      <c r="I18" s="2">
        <v>1933367</v>
      </c>
      <c r="J18" s="2">
        <v>2627128</v>
      </c>
      <c r="K18" s="176">
        <f>I18-J18</f>
        <v>-693761</v>
      </c>
    </row>
    <row r="19" spans="1:12" s="2" customFormat="1" ht="14.25" customHeight="1" x14ac:dyDescent="0.2">
      <c r="A19" s="24"/>
      <c r="B19" s="1"/>
      <c r="C19" s="14"/>
      <c r="D19" s="25"/>
      <c r="G19" s="1"/>
      <c r="H19" s="1"/>
      <c r="J19" s="130"/>
      <c r="K19" s="130"/>
    </row>
    <row r="20" spans="1:12" s="2" customFormat="1" x14ac:dyDescent="0.2">
      <c r="A20" s="214" t="s">
        <v>10</v>
      </c>
      <c r="B20" s="214"/>
      <c r="C20" s="214"/>
      <c r="D20" s="214"/>
      <c r="E20" s="214"/>
      <c r="F20" s="214"/>
      <c r="G20" s="1"/>
      <c r="H20" s="1"/>
      <c r="I20" s="159"/>
      <c r="J20" s="160">
        <v>100000000</v>
      </c>
      <c r="K20" s="160" t="s">
        <v>1506</v>
      </c>
      <c r="L20" s="70"/>
    </row>
    <row r="21" spans="1:12" s="2" customFormat="1" ht="15" x14ac:dyDescent="0.35">
      <c r="A21" s="26" t="s">
        <v>1</v>
      </c>
      <c r="B21" s="27" t="s">
        <v>2</v>
      </c>
      <c r="C21" s="5"/>
      <c r="D21" s="6" t="s">
        <v>3</v>
      </c>
      <c r="E21" s="7" t="s">
        <v>4</v>
      </c>
      <c r="F21" s="7" t="s">
        <v>5</v>
      </c>
      <c r="G21" s="1"/>
      <c r="H21" s="1"/>
      <c r="I21" s="159"/>
      <c r="J21" s="179">
        <v>77900154.629999995</v>
      </c>
      <c r="K21" s="160" t="s">
        <v>1507</v>
      </c>
      <c r="L21" s="70" t="s">
        <v>1512</v>
      </c>
    </row>
    <row r="22" spans="1:12" s="2" customFormat="1" x14ac:dyDescent="0.2">
      <c r="A22" s="89">
        <v>45320</v>
      </c>
      <c r="B22" s="128" t="s">
        <v>11</v>
      </c>
      <c r="C22" s="29" t="s">
        <v>7</v>
      </c>
      <c r="D22" s="25"/>
      <c r="E22" s="31"/>
      <c r="F22" s="2">
        <v>73433311.749999911</v>
      </c>
      <c r="G22" s="23"/>
      <c r="H22" s="23"/>
      <c r="I22" s="159" t="s">
        <v>1505</v>
      </c>
      <c r="J22" s="160">
        <f>+J20-J21</f>
        <v>22099845.370000005</v>
      </c>
      <c r="K22" s="160"/>
      <c r="L22" s="70"/>
    </row>
    <row r="23" spans="1:12" s="2" customFormat="1" x14ac:dyDescent="0.2">
      <c r="A23" s="89">
        <v>45320</v>
      </c>
      <c r="B23" s="128" t="s">
        <v>6</v>
      </c>
      <c r="C23" s="76" t="s">
        <v>434</v>
      </c>
      <c r="D23" s="11" t="s">
        <v>13</v>
      </c>
      <c r="E23" s="31">
        <v>216864</v>
      </c>
      <c r="G23" s="23"/>
      <c r="H23" s="23"/>
      <c r="I23" s="159"/>
      <c r="J23" s="160"/>
      <c r="K23" s="160"/>
      <c r="L23" s="70"/>
    </row>
    <row r="24" spans="1:12" s="2" customFormat="1" x14ac:dyDescent="0.2">
      <c r="A24" s="89">
        <v>45320</v>
      </c>
      <c r="B24" s="128" t="s">
        <v>6</v>
      </c>
      <c r="C24" s="76" t="s">
        <v>1517</v>
      </c>
      <c r="D24" s="11" t="s">
        <v>13</v>
      </c>
      <c r="E24" s="31">
        <v>232421</v>
      </c>
      <c r="G24" s="23"/>
      <c r="H24" s="23"/>
      <c r="I24" s="159"/>
      <c r="J24" s="160"/>
      <c r="K24" s="160"/>
      <c r="L24" s="70"/>
    </row>
    <row r="25" spans="1:12" s="2" customFormat="1" x14ac:dyDescent="0.2">
      <c r="A25" s="89">
        <v>45320</v>
      </c>
      <c r="B25" s="128" t="s">
        <v>6</v>
      </c>
      <c r="C25" s="76" t="s">
        <v>611</v>
      </c>
      <c r="D25" s="11" t="s">
        <v>13</v>
      </c>
      <c r="E25" s="31">
        <v>11498</v>
      </c>
      <c r="G25" s="23"/>
      <c r="H25" s="23"/>
      <c r="I25" s="159"/>
      <c r="J25" s="160"/>
      <c r="K25" s="160"/>
      <c r="L25" s="70"/>
    </row>
    <row r="26" spans="1:12" s="2" customFormat="1" x14ac:dyDescent="0.2">
      <c r="A26" s="89">
        <v>45320</v>
      </c>
      <c r="B26" s="128" t="s">
        <v>6</v>
      </c>
      <c r="C26" s="76" t="s">
        <v>1963</v>
      </c>
      <c r="D26" s="11" t="s">
        <v>13</v>
      </c>
      <c r="E26" s="31">
        <v>14826</v>
      </c>
      <c r="G26" s="23"/>
      <c r="H26" s="23"/>
      <c r="I26" s="159"/>
      <c r="J26" s="160"/>
      <c r="K26" s="160"/>
      <c r="L26" s="70"/>
    </row>
    <row r="27" spans="1:12" s="2" customFormat="1" x14ac:dyDescent="0.2">
      <c r="A27" s="89">
        <v>45320</v>
      </c>
      <c r="B27" s="128" t="s">
        <v>6</v>
      </c>
      <c r="C27" s="76" t="s">
        <v>1533</v>
      </c>
      <c r="D27" s="11" t="s">
        <v>13</v>
      </c>
      <c r="E27" s="31">
        <v>1100011</v>
      </c>
      <c r="G27" s="23"/>
      <c r="H27" s="23"/>
      <c r="I27" s="159"/>
      <c r="J27" s="160"/>
      <c r="K27" s="160"/>
      <c r="L27" s="70"/>
    </row>
    <row r="28" spans="1:12" s="2" customFormat="1" x14ac:dyDescent="0.2">
      <c r="A28" s="89">
        <v>45320</v>
      </c>
      <c r="B28" s="128" t="s">
        <v>6</v>
      </c>
      <c r="C28" s="76" t="s">
        <v>694</v>
      </c>
      <c r="D28" s="11" t="s">
        <v>13</v>
      </c>
      <c r="E28" s="31">
        <v>700000</v>
      </c>
      <c r="G28" s="23"/>
      <c r="H28" s="23"/>
      <c r="I28" s="159"/>
      <c r="J28" s="160"/>
      <c r="K28" s="160"/>
      <c r="L28" s="70"/>
    </row>
    <row r="29" spans="1:12" s="2" customFormat="1" x14ac:dyDescent="0.2">
      <c r="A29" s="89">
        <v>45320</v>
      </c>
      <c r="B29" s="128" t="s">
        <v>6</v>
      </c>
      <c r="C29" s="76" t="s">
        <v>822</v>
      </c>
      <c r="D29" s="11" t="s">
        <v>13</v>
      </c>
      <c r="E29" s="31">
        <v>12600</v>
      </c>
      <c r="G29" s="23"/>
      <c r="H29" s="23"/>
      <c r="I29" s="159"/>
      <c r="J29" s="160"/>
      <c r="K29" s="160"/>
      <c r="L29" s="70"/>
    </row>
    <row r="30" spans="1:12" s="2" customFormat="1" x14ac:dyDescent="0.2">
      <c r="A30" s="89">
        <v>45320</v>
      </c>
      <c r="B30" s="128" t="s">
        <v>6</v>
      </c>
      <c r="C30" s="76" t="s">
        <v>1954</v>
      </c>
      <c r="D30" s="11" t="s">
        <v>13</v>
      </c>
      <c r="E30" s="31">
        <v>50000</v>
      </c>
      <c r="G30" s="23"/>
      <c r="H30" s="23"/>
      <c r="I30" s="159"/>
      <c r="J30" s="160"/>
      <c r="K30" s="160"/>
      <c r="L30" s="70"/>
    </row>
    <row r="31" spans="1:12" s="2" customFormat="1" x14ac:dyDescent="0.2">
      <c r="A31" s="89">
        <v>45320</v>
      </c>
      <c r="B31" s="128" t="s">
        <v>6</v>
      </c>
      <c r="C31" s="76" t="s">
        <v>249</v>
      </c>
      <c r="D31" s="11" t="s">
        <v>13</v>
      </c>
      <c r="E31" s="31">
        <v>55930</v>
      </c>
      <c r="G31" s="23"/>
      <c r="H31" s="23"/>
      <c r="I31" s="159"/>
      <c r="J31" s="160"/>
      <c r="K31" s="160"/>
      <c r="L31" s="70"/>
    </row>
    <row r="32" spans="1:12" s="2" customFormat="1" x14ac:dyDescent="0.2">
      <c r="A32" s="89">
        <v>45320</v>
      </c>
      <c r="B32" s="128" t="s">
        <v>6</v>
      </c>
      <c r="C32" s="76" t="s">
        <v>316</v>
      </c>
      <c r="D32" s="11" t="s">
        <v>13</v>
      </c>
      <c r="E32" s="31">
        <v>981651</v>
      </c>
      <c r="G32" s="23"/>
      <c r="H32" s="23"/>
      <c r="I32" s="159"/>
      <c r="J32" s="160"/>
      <c r="K32" s="160"/>
      <c r="L32" s="70"/>
    </row>
    <row r="33" spans="1:12" s="2" customFormat="1" x14ac:dyDescent="0.2">
      <c r="A33" s="89">
        <v>45320</v>
      </c>
      <c r="B33" s="128" t="s">
        <v>6</v>
      </c>
      <c r="C33" s="76" t="s">
        <v>1959</v>
      </c>
      <c r="D33" s="11" t="s">
        <v>13</v>
      </c>
      <c r="E33" s="31">
        <v>18046</v>
      </c>
      <c r="G33" s="23"/>
      <c r="H33" s="23"/>
      <c r="I33" s="159"/>
      <c r="J33" s="160"/>
      <c r="K33" s="160"/>
      <c r="L33" s="70"/>
    </row>
    <row r="34" spans="1:12" s="2" customFormat="1" x14ac:dyDescent="0.2">
      <c r="A34" s="89">
        <v>45320</v>
      </c>
      <c r="B34" s="128" t="s">
        <v>6</v>
      </c>
      <c r="C34" s="76" t="s">
        <v>120</v>
      </c>
      <c r="D34" s="11" t="s">
        <v>13</v>
      </c>
      <c r="E34" s="31">
        <f>959101+830826</f>
        <v>1789927</v>
      </c>
      <c r="G34" s="23"/>
      <c r="H34" s="23"/>
      <c r="I34" s="159"/>
      <c r="J34" s="160"/>
      <c r="K34" s="160"/>
      <c r="L34" s="70"/>
    </row>
    <row r="35" spans="1:12" s="2" customFormat="1" x14ac:dyDescent="0.2">
      <c r="A35" s="89">
        <v>45320</v>
      </c>
      <c r="B35" s="128" t="s">
        <v>6</v>
      </c>
      <c r="C35" s="76" t="s">
        <v>24</v>
      </c>
      <c r="D35" s="11" t="s">
        <v>13</v>
      </c>
      <c r="E35" s="31">
        <v>29267</v>
      </c>
      <c r="G35" s="23"/>
      <c r="H35" s="23"/>
      <c r="I35" s="159"/>
      <c r="J35" s="160"/>
      <c r="K35" s="160"/>
      <c r="L35" s="70"/>
    </row>
    <row r="36" spans="1:12" s="2" customFormat="1" x14ac:dyDescent="0.2">
      <c r="A36" s="89">
        <v>45320</v>
      </c>
      <c r="B36" s="128" t="s">
        <v>6</v>
      </c>
      <c r="C36" s="76" t="s">
        <v>19</v>
      </c>
      <c r="D36" s="11" t="s">
        <v>13</v>
      </c>
      <c r="E36" s="31">
        <f>4720+11243</f>
        <v>15963</v>
      </c>
      <c r="G36" s="23"/>
      <c r="H36" s="23"/>
      <c r="I36" s="159"/>
      <c r="J36" s="160"/>
      <c r="K36" s="160"/>
      <c r="L36" s="70"/>
    </row>
    <row r="37" spans="1:12" s="2" customFormat="1" x14ac:dyDescent="0.2">
      <c r="A37" s="89">
        <v>45320</v>
      </c>
      <c r="B37" s="128" t="s">
        <v>6</v>
      </c>
      <c r="C37" s="76" t="s">
        <v>15</v>
      </c>
      <c r="D37" s="11" t="s">
        <v>13</v>
      </c>
      <c r="E37" s="31">
        <f>48997.31+15224.49</f>
        <v>64221.799999999996</v>
      </c>
      <c r="G37" s="23"/>
      <c r="H37" s="23"/>
      <c r="I37" s="159"/>
      <c r="J37" s="160"/>
      <c r="K37" s="160"/>
      <c r="L37" s="70"/>
    </row>
    <row r="38" spans="1:12" s="2" customFormat="1" x14ac:dyDescent="0.2">
      <c r="A38" s="89">
        <v>45320</v>
      </c>
      <c r="B38" s="128" t="s">
        <v>6</v>
      </c>
      <c r="C38" s="76" t="s">
        <v>1953</v>
      </c>
      <c r="D38" s="11" t="s">
        <v>13</v>
      </c>
      <c r="E38" s="31">
        <v>636578</v>
      </c>
      <c r="G38" s="23"/>
      <c r="H38" s="23"/>
      <c r="I38" s="159"/>
      <c r="J38" s="160"/>
      <c r="K38" s="160"/>
      <c r="L38" s="70"/>
    </row>
    <row r="39" spans="1:12" s="2" customFormat="1" x14ac:dyDescent="0.2">
      <c r="A39" s="89">
        <v>45320</v>
      </c>
      <c r="B39" s="128" t="s">
        <v>6</v>
      </c>
      <c r="C39" s="76" t="s">
        <v>27</v>
      </c>
      <c r="D39" s="11" t="s">
        <v>13</v>
      </c>
      <c r="E39" s="31">
        <f>531403.7+7921.7</f>
        <v>539325.39999999991</v>
      </c>
      <c r="G39" s="23"/>
      <c r="H39" s="23"/>
      <c r="I39" s="159"/>
      <c r="J39" s="160"/>
      <c r="K39" s="160"/>
      <c r="L39" s="70"/>
    </row>
    <row r="40" spans="1:12" s="2" customFormat="1" x14ac:dyDescent="0.2">
      <c r="A40" s="89">
        <v>45320</v>
      </c>
      <c r="B40" s="128" t="s">
        <v>11</v>
      </c>
      <c r="C40" s="76" t="s">
        <v>64</v>
      </c>
      <c r="D40" s="11" t="s">
        <v>29</v>
      </c>
      <c r="E40" s="31"/>
      <c r="F40" s="2">
        <v>7.08</v>
      </c>
      <c r="G40" s="23"/>
      <c r="H40" s="23"/>
      <c r="I40" s="159"/>
      <c r="J40" s="160"/>
      <c r="K40" s="160"/>
      <c r="L40" s="70"/>
    </row>
    <row r="41" spans="1:12" s="2" customFormat="1" x14ac:dyDescent="0.2">
      <c r="A41" s="89">
        <v>45320</v>
      </c>
      <c r="B41" s="128" t="s">
        <v>11</v>
      </c>
      <c r="C41" s="76" t="s">
        <v>1734</v>
      </c>
      <c r="D41" s="11" t="s">
        <v>29</v>
      </c>
      <c r="E41" s="31"/>
      <c r="F41" s="2">
        <v>708147</v>
      </c>
      <c r="G41" s="23"/>
      <c r="H41" s="23"/>
      <c r="I41" s="159"/>
      <c r="J41" s="160"/>
      <c r="K41" s="160"/>
      <c r="L41" s="70"/>
    </row>
    <row r="42" spans="1:12" s="2" customFormat="1" x14ac:dyDescent="0.2">
      <c r="A42" s="89">
        <v>45320</v>
      </c>
      <c r="B42" s="128" t="s">
        <v>11</v>
      </c>
      <c r="C42" s="76" t="s">
        <v>687</v>
      </c>
      <c r="D42" s="11" t="s">
        <v>29</v>
      </c>
      <c r="E42" s="31"/>
      <c r="F42" s="2">
        <v>405417</v>
      </c>
      <c r="G42" s="23"/>
      <c r="H42" s="23"/>
      <c r="I42" s="159"/>
      <c r="J42" s="160"/>
      <c r="K42" s="160"/>
      <c r="L42" s="70"/>
    </row>
    <row r="43" spans="1:12" s="2" customFormat="1" x14ac:dyDescent="0.2">
      <c r="A43" s="89">
        <v>45320</v>
      </c>
      <c r="B43" s="128" t="s">
        <v>11</v>
      </c>
      <c r="C43" s="76" t="s">
        <v>39</v>
      </c>
      <c r="D43" s="11" t="s">
        <v>29</v>
      </c>
      <c r="E43" s="31"/>
      <c r="F43" s="2">
        <v>23814</v>
      </c>
      <c r="G43" s="23"/>
      <c r="H43" s="23"/>
      <c r="I43" s="159"/>
      <c r="J43" s="160"/>
      <c r="K43" s="160"/>
      <c r="L43" s="70"/>
    </row>
    <row r="44" spans="1:12" s="2" customFormat="1" x14ac:dyDescent="0.2">
      <c r="A44" s="89">
        <v>45320</v>
      </c>
      <c r="B44" s="128" t="s">
        <v>11</v>
      </c>
      <c r="C44" s="76" t="s">
        <v>453</v>
      </c>
      <c r="D44" s="11" t="s">
        <v>29</v>
      </c>
      <c r="E44" s="31"/>
      <c r="F44" s="2">
        <v>70920</v>
      </c>
      <c r="G44" s="23"/>
      <c r="H44" s="23"/>
      <c r="I44" s="159"/>
      <c r="J44" s="160"/>
      <c r="K44" s="160"/>
      <c r="L44" s="70"/>
    </row>
    <row r="45" spans="1:12" s="2" customFormat="1" x14ac:dyDescent="0.2">
      <c r="A45" s="89">
        <v>45320</v>
      </c>
      <c r="B45" s="128" t="s">
        <v>11</v>
      </c>
      <c r="C45" s="76" t="s">
        <v>944</v>
      </c>
      <c r="D45" s="11" t="s">
        <v>29</v>
      </c>
      <c r="E45" s="31"/>
      <c r="F45" s="2">
        <v>4000000</v>
      </c>
      <c r="G45" s="23"/>
      <c r="H45" s="23"/>
      <c r="I45" s="159"/>
      <c r="J45" s="160"/>
      <c r="K45" s="160"/>
      <c r="L45" s="70"/>
    </row>
    <row r="46" spans="1:12" s="2" customFormat="1" x14ac:dyDescent="0.2">
      <c r="A46" s="89">
        <v>45320</v>
      </c>
      <c r="B46" s="128" t="s">
        <v>11</v>
      </c>
      <c r="C46" s="76" t="s">
        <v>63</v>
      </c>
      <c r="D46" s="11" t="s">
        <v>29</v>
      </c>
      <c r="E46" s="31"/>
      <c r="F46" s="2">
        <v>3000000</v>
      </c>
      <c r="G46" s="23"/>
      <c r="H46" s="23"/>
      <c r="I46" s="159"/>
      <c r="J46" s="160"/>
      <c r="K46" s="160"/>
      <c r="L46" s="70"/>
    </row>
    <row r="47" spans="1:12" s="2" customFormat="1" x14ac:dyDescent="0.2">
      <c r="A47" s="89">
        <v>45320</v>
      </c>
      <c r="B47" s="128" t="s">
        <v>11</v>
      </c>
      <c r="C47" s="76" t="s">
        <v>814</v>
      </c>
      <c r="D47" s="11" t="s">
        <v>29</v>
      </c>
      <c r="E47" s="31"/>
      <c r="F47" s="2">
        <v>52041</v>
      </c>
      <c r="G47" s="23"/>
      <c r="H47" s="23"/>
      <c r="I47" s="159"/>
      <c r="J47" s="160"/>
      <c r="K47" s="160"/>
      <c r="L47" s="70"/>
    </row>
    <row r="48" spans="1:12" s="2" customFormat="1" x14ac:dyDescent="0.2">
      <c r="A48" s="89">
        <v>45320</v>
      </c>
      <c r="B48" s="128" t="s">
        <v>11</v>
      </c>
      <c r="C48" s="76" t="s">
        <v>56</v>
      </c>
      <c r="D48" s="11" t="s">
        <v>29</v>
      </c>
      <c r="E48" s="31"/>
      <c r="F48" s="2">
        <v>56146</v>
      </c>
      <c r="G48" s="23"/>
      <c r="H48" s="23"/>
      <c r="I48" s="159"/>
      <c r="J48" s="160"/>
      <c r="K48" s="160"/>
      <c r="L48" s="70"/>
    </row>
    <row r="49" spans="1:15" s="2" customFormat="1" x14ac:dyDescent="0.2">
      <c r="A49" s="89">
        <v>45320</v>
      </c>
      <c r="B49" s="128" t="s">
        <v>11</v>
      </c>
      <c r="C49" s="76" t="s">
        <v>937</v>
      </c>
      <c r="D49" s="11" t="s">
        <v>29</v>
      </c>
      <c r="E49" s="31"/>
      <c r="F49" s="2">
        <v>4720</v>
      </c>
      <c r="G49" s="23"/>
      <c r="H49" s="23"/>
      <c r="I49" s="159"/>
      <c r="J49" s="160"/>
      <c r="K49" s="160"/>
      <c r="L49" s="70"/>
    </row>
    <row r="50" spans="1:15" s="2" customFormat="1" x14ac:dyDescent="0.2">
      <c r="A50" s="89">
        <v>45320</v>
      </c>
      <c r="B50" s="128" t="s">
        <v>11</v>
      </c>
      <c r="C50" s="76" t="s">
        <v>57</v>
      </c>
      <c r="D50" s="11" t="s">
        <v>29</v>
      </c>
      <c r="E50" s="31"/>
      <c r="F50" s="2">
        <v>2000000</v>
      </c>
      <c r="G50" s="23"/>
      <c r="H50" s="23"/>
      <c r="I50" s="159"/>
      <c r="J50" s="160"/>
      <c r="K50" s="160"/>
      <c r="L50" s="70"/>
    </row>
    <row r="51" spans="1:15" s="2" customFormat="1" x14ac:dyDescent="0.2">
      <c r="A51" s="89">
        <v>45320</v>
      </c>
      <c r="B51" s="128" t="s">
        <v>11</v>
      </c>
      <c r="C51" s="76" t="s">
        <v>32</v>
      </c>
      <c r="D51" s="11" t="s">
        <v>29</v>
      </c>
      <c r="E51" s="31"/>
      <c r="F51" s="2">
        <v>1030835</v>
      </c>
      <c r="G51" s="23"/>
      <c r="H51" s="23"/>
      <c r="I51" s="159"/>
      <c r="J51" s="160"/>
      <c r="K51" s="160"/>
      <c r="L51" s="70"/>
    </row>
    <row r="52" spans="1:15" s="2" customFormat="1" x14ac:dyDescent="0.2">
      <c r="A52" s="89">
        <v>45320</v>
      </c>
      <c r="B52" s="128" t="s">
        <v>11</v>
      </c>
      <c r="C52" s="76" t="s">
        <v>62</v>
      </c>
      <c r="D52" s="11" t="s">
        <v>29</v>
      </c>
      <c r="E52" s="31"/>
      <c r="F52" s="2">
        <v>20000</v>
      </c>
      <c r="G52" s="23"/>
      <c r="H52" s="23"/>
      <c r="I52" s="159"/>
      <c r="J52" s="160"/>
      <c r="K52" s="160"/>
      <c r="L52" s="70"/>
    </row>
    <row r="53" spans="1:15" s="2" customFormat="1" x14ac:dyDescent="0.2">
      <c r="A53" s="89">
        <v>45320</v>
      </c>
      <c r="B53" s="128" t="s">
        <v>11</v>
      </c>
      <c r="C53" s="76" t="s">
        <v>346</v>
      </c>
      <c r="D53" s="11" t="s">
        <v>29</v>
      </c>
      <c r="E53" s="31"/>
      <c r="F53" s="2">
        <v>254050</v>
      </c>
      <c r="G53" s="23"/>
      <c r="H53" s="23"/>
      <c r="I53" s="159"/>
      <c r="J53" s="160"/>
      <c r="K53" s="160"/>
      <c r="L53" s="70"/>
    </row>
    <row r="54" spans="1:15" s="2" customFormat="1" x14ac:dyDescent="0.2">
      <c r="A54" s="89">
        <v>45320</v>
      </c>
      <c r="B54" s="128" t="s">
        <v>11</v>
      </c>
      <c r="C54" s="76" t="s">
        <v>691</v>
      </c>
      <c r="D54" s="11" t="s">
        <v>29</v>
      </c>
      <c r="E54" s="31"/>
      <c r="F54" s="2">
        <v>3636</v>
      </c>
      <c r="G54" s="23"/>
      <c r="H54" s="23"/>
      <c r="I54" s="159"/>
      <c r="J54" s="160"/>
      <c r="K54" s="160"/>
      <c r="L54" s="70"/>
    </row>
    <row r="55" spans="1:15" s="2" customFormat="1" x14ac:dyDescent="0.2">
      <c r="A55" s="32"/>
      <c r="B55" s="33"/>
      <c r="C55" s="14"/>
      <c r="D55" s="34"/>
      <c r="E55" s="16">
        <f>SUM(E22:E54)</f>
        <v>6469129.1999999993</v>
      </c>
      <c r="F55" s="16">
        <f>SUM(F22:F54)</f>
        <v>85063044.829999909</v>
      </c>
      <c r="G55" s="1"/>
      <c r="H55" s="1"/>
      <c r="I55" s="1"/>
      <c r="J55" s="38">
        <v>78593915.629999995</v>
      </c>
      <c r="L55" s="92">
        <f>E56-J55</f>
        <v>0</v>
      </c>
      <c r="O55" s="1"/>
    </row>
    <row r="56" spans="1:15" s="2" customFormat="1" x14ac:dyDescent="0.2">
      <c r="A56" s="36"/>
      <c r="B56" s="28" t="s">
        <v>11</v>
      </c>
      <c r="C56" s="19" t="s">
        <v>65</v>
      </c>
      <c r="D56" s="37"/>
      <c r="E56" s="38">
        <f>F55-E55</f>
        <v>78593915.629999906</v>
      </c>
      <c r="F56" s="22"/>
      <c r="G56" s="1"/>
      <c r="H56" s="1"/>
      <c r="I56" s="1"/>
      <c r="J56" s="70"/>
      <c r="K56" s="70"/>
      <c r="L56" s="70"/>
      <c r="O56" s="1"/>
    </row>
    <row r="57" spans="1:15" s="2" customFormat="1" x14ac:dyDescent="0.2">
      <c r="A57" s="36"/>
      <c r="B57" s="28" t="s">
        <v>66</v>
      </c>
      <c r="C57" s="19" t="s">
        <v>67</v>
      </c>
      <c r="D57" s="37"/>
      <c r="E57" s="38">
        <v>11500000</v>
      </c>
      <c r="F57" s="22"/>
      <c r="G57" s="1"/>
      <c r="H57" s="1"/>
      <c r="I57" s="70"/>
      <c r="J57" s="70"/>
      <c r="K57" s="70"/>
      <c r="L57" s="70"/>
      <c r="O57" s="1"/>
    </row>
    <row r="58" spans="1:15" s="2" customFormat="1" x14ac:dyDescent="0.2">
      <c r="A58" s="36"/>
      <c r="B58" s="28" t="s">
        <v>66</v>
      </c>
      <c r="C58" s="43" t="s">
        <v>1457</v>
      </c>
      <c r="D58" s="43"/>
      <c r="E58" s="12">
        <v>400000000</v>
      </c>
      <c r="F58" s="22"/>
      <c r="G58" s="1"/>
      <c r="H58" s="1"/>
      <c r="I58" s="70"/>
      <c r="J58" s="45">
        <v>1376.38</v>
      </c>
      <c r="K58" s="46"/>
      <c r="L58" s="46"/>
      <c r="O58" s="1"/>
    </row>
    <row r="59" spans="1:15" s="2" customFormat="1" ht="15" x14ac:dyDescent="0.25">
      <c r="A59" s="36"/>
      <c r="B59" s="28"/>
      <c r="C59" s="44" t="s">
        <v>1541</v>
      </c>
      <c r="D59" s="43"/>
      <c r="E59" s="7">
        <f>+E58+E56+E57</f>
        <v>490093915.62999988</v>
      </c>
      <c r="F59" s="22"/>
      <c r="G59" s="1"/>
      <c r="H59" s="1"/>
      <c r="I59" s="103" t="s">
        <v>69</v>
      </c>
      <c r="J59" s="45">
        <v>-91.69</v>
      </c>
      <c r="K59" s="46"/>
      <c r="L59" s="46"/>
      <c r="O59" s="1"/>
    </row>
    <row r="60" spans="1:15" s="2" customFormat="1" ht="15" x14ac:dyDescent="0.25">
      <c r="A60" s="24"/>
      <c r="B60" s="1"/>
      <c r="C60" s="44" t="s">
        <v>1510</v>
      </c>
      <c r="D60" s="25"/>
      <c r="E60" s="156">
        <f>+J22-E57+I18-J18</f>
        <v>9906084.3700000048</v>
      </c>
      <c r="G60" s="1"/>
      <c r="H60" s="1"/>
      <c r="I60" s="35">
        <v>1</v>
      </c>
      <c r="J60" s="45">
        <v>60.77</v>
      </c>
      <c r="K60" s="46">
        <f>+J61-D63</f>
        <v>0</v>
      </c>
      <c r="O60" s="1"/>
    </row>
    <row r="61" spans="1:15" s="124" customFormat="1" ht="12.75" customHeight="1" x14ac:dyDescent="0.2">
      <c r="A61" s="24"/>
      <c r="B61" s="1"/>
      <c r="C61" s="56"/>
      <c r="D61" s="56"/>
      <c r="E61" s="104"/>
      <c r="F61" s="2"/>
      <c r="G61" s="166"/>
      <c r="H61" s="166"/>
      <c r="I61" s="70"/>
      <c r="J61" s="49">
        <f>SUM(J58:J60)</f>
        <v>1345.46</v>
      </c>
      <c r="K61" s="46"/>
      <c r="L61" s="46"/>
    </row>
    <row r="62" spans="1:15" s="124" customFormat="1" ht="12.75" customHeight="1" x14ac:dyDescent="0.2">
      <c r="A62" s="24"/>
      <c r="B62" s="1"/>
      <c r="C62" s="78" t="s">
        <v>575</v>
      </c>
      <c r="D62" s="48" t="s">
        <v>576</v>
      </c>
      <c r="E62" s="104"/>
      <c r="F62" s="2"/>
      <c r="G62" s="168"/>
      <c r="H62" s="168"/>
      <c r="I62" s="167"/>
      <c r="J62" s="167"/>
      <c r="K62" s="168"/>
    </row>
    <row r="63" spans="1:15" s="124" customFormat="1" ht="12.75" customHeight="1" x14ac:dyDescent="0.2">
      <c r="A63" s="24"/>
      <c r="B63" s="1"/>
      <c r="C63" s="47" t="s">
        <v>570</v>
      </c>
      <c r="D63" s="111">
        <v>1345.46</v>
      </c>
      <c r="E63" s="104"/>
      <c r="F63" s="2"/>
      <c r="G63" s="168"/>
      <c r="H63" s="168"/>
      <c r="I63" s="110" t="s">
        <v>581</v>
      </c>
      <c r="J63" s="167"/>
      <c r="K63" s="168"/>
    </row>
    <row r="64" spans="1:15" s="124" customFormat="1" ht="12.75" customHeight="1" x14ac:dyDescent="0.2">
      <c r="A64" s="24"/>
      <c r="B64" s="1"/>
      <c r="C64" s="47" t="s">
        <v>931</v>
      </c>
      <c r="D64" s="111">
        <v>254.58</v>
      </c>
      <c r="E64" s="104"/>
      <c r="F64" s="2"/>
      <c r="G64" s="168"/>
      <c r="H64" s="168"/>
      <c r="I64" s="110" t="s">
        <v>580</v>
      </c>
      <c r="J64" s="167"/>
      <c r="K64" s="168"/>
    </row>
    <row r="65" spans="1:15" s="124" customFormat="1" ht="12.75" customHeight="1" x14ac:dyDescent="0.2">
      <c r="A65" s="24"/>
      <c r="B65" s="1"/>
      <c r="C65" s="47" t="s">
        <v>572</v>
      </c>
      <c r="D65" s="111">
        <f>+D112/100000</f>
        <v>928.22658740000008</v>
      </c>
      <c r="E65" s="104"/>
      <c r="F65" s="2"/>
      <c r="G65" s="166"/>
      <c r="H65" s="166"/>
      <c r="I65" s="90" t="s">
        <v>587</v>
      </c>
      <c r="J65" s="167"/>
      <c r="K65" s="168"/>
    </row>
    <row r="66" spans="1:15" s="2" customFormat="1" x14ac:dyDescent="0.2">
      <c r="A66" s="24"/>
      <c r="B66" s="1"/>
      <c r="C66" s="108" t="s">
        <v>578</v>
      </c>
      <c r="D66" s="48">
        <f>SUM(D63:D65)</f>
        <v>2528.2665873999999</v>
      </c>
      <c r="E66" s="104"/>
      <c r="G66" s="30"/>
      <c r="H66" s="30"/>
      <c r="J66" s="13"/>
      <c r="K66" s="13"/>
    </row>
    <row r="67" spans="1:15" s="70" customFormat="1" x14ac:dyDescent="0.2">
      <c r="A67" s="24"/>
      <c r="B67" s="1"/>
      <c r="C67" s="47"/>
      <c r="D67" s="107"/>
      <c r="E67" s="104"/>
      <c r="F67" s="2"/>
      <c r="G67" s="30"/>
      <c r="H67" s="30"/>
      <c r="I67" s="2"/>
    </row>
    <row r="68" spans="1:15" s="70" customFormat="1" x14ac:dyDescent="0.2">
      <c r="A68" s="24"/>
      <c r="B68" s="1"/>
      <c r="C68" s="47" t="s">
        <v>932</v>
      </c>
      <c r="D68" s="111">
        <v>401.63</v>
      </c>
      <c r="E68" s="104"/>
      <c r="F68" s="2"/>
      <c r="G68" s="30"/>
      <c r="H68" s="30"/>
      <c r="I68" s="110" t="s">
        <v>581</v>
      </c>
    </row>
    <row r="69" spans="1:15" s="70" customFormat="1" x14ac:dyDescent="0.2">
      <c r="A69" s="24"/>
      <c r="B69" s="1"/>
      <c r="C69" s="136" t="s">
        <v>1142</v>
      </c>
      <c r="D69" s="111">
        <v>1199.58</v>
      </c>
      <c r="E69" s="104"/>
      <c r="F69" s="2"/>
      <c r="G69" s="30"/>
      <c r="H69" s="30"/>
      <c r="I69" s="110" t="s">
        <v>581</v>
      </c>
    </row>
    <row r="70" spans="1:15" s="70" customFormat="1" x14ac:dyDescent="0.2">
      <c r="A70" s="24"/>
      <c r="B70" s="1"/>
      <c r="C70" s="78" t="s">
        <v>579</v>
      </c>
      <c r="D70" s="109">
        <f>D68+D69</f>
        <v>1601.21</v>
      </c>
      <c r="E70" s="104"/>
      <c r="F70" s="2"/>
      <c r="G70" s="30"/>
      <c r="H70" s="30"/>
    </row>
    <row r="71" spans="1:15" s="70" customFormat="1" x14ac:dyDescent="0.2">
      <c r="A71" s="24"/>
      <c r="B71" s="1"/>
      <c r="C71" s="105"/>
      <c r="D71" s="106"/>
      <c r="E71" s="104"/>
      <c r="F71" s="2"/>
      <c r="G71" s="30"/>
      <c r="H71" s="30"/>
      <c r="J71" s="2"/>
      <c r="K71" s="221" t="str">
        <f>"FROM ( 01-01-2024 to "&amp;TEXT(A5,"dd-mm-yyyy")&amp;" )"</f>
        <v>FROM ( 01-01-2024 to 29-01-2024 )</v>
      </c>
      <c r="L71" s="221"/>
      <c r="M71" s="2"/>
      <c r="N71" s="2"/>
    </row>
    <row r="72" spans="1:15" s="70" customFormat="1" x14ac:dyDescent="0.2">
      <c r="A72" s="24"/>
      <c r="B72" s="1"/>
      <c r="C72" s="78" t="s">
        <v>577</v>
      </c>
      <c r="D72" s="109">
        <f>D63+D70</f>
        <v>2946.67</v>
      </c>
      <c r="E72" s="104"/>
      <c r="F72" s="2"/>
      <c r="G72" s="30"/>
      <c r="H72" s="30"/>
      <c r="J72" s="113"/>
      <c r="K72" s="113" t="s">
        <v>709</v>
      </c>
      <c r="L72" s="113" t="s">
        <v>710</v>
      </c>
      <c r="M72" s="113" t="s">
        <v>711</v>
      </c>
      <c r="N72" s="113" t="s">
        <v>712</v>
      </c>
    </row>
    <row r="73" spans="1:15" s="70" customFormat="1" x14ac:dyDescent="0.2">
      <c r="A73" s="24"/>
      <c r="B73" s="1"/>
      <c r="C73" s="56"/>
      <c r="D73" s="56"/>
      <c r="E73" s="104"/>
      <c r="F73" s="2"/>
      <c r="G73" s="30"/>
      <c r="H73" s="30"/>
      <c r="J73" s="113" t="s">
        <v>1860</v>
      </c>
      <c r="K73" s="115">
        <v>189.89</v>
      </c>
      <c r="L73" s="115">
        <v>56.31</v>
      </c>
      <c r="M73" s="115">
        <v>58.41</v>
      </c>
      <c r="N73" s="113">
        <f>+K73+M73-L73</f>
        <v>191.98999999999998</v>
      </c>
    </row>
    <row r="74" spans="1:15" s="70" customFormat="1" ht="38.25" x14ac:dyDescent="0.2">
      <c r="A74" s="24"/>
      <c r="B74" s="1"/>
      <c r="C74" s="79" t="str">
        <f>"Particulars ( 01-01-2024 to "&amp;TEXT(A5,"dd-mm-yyyy")&amp;" )"</f>
        <v>Particulars ( 01-01-2024 to 29-01-2024 )</v>
      </c>
      <c r="D74" s="79" t="s">
        <v>7</v>
      </c>
      <c r="E74" s="80" t="s">
        <v>73</v>
      </c>
      <c r="F74" s="80" t="s">
        <v>74</v>
      </c>
      <c r="G74" s="81" t="s">
        <v>75</v>
      </c>
      <c r="H74" s="80" t="s">
        <v>76</v>
      </c>
      <c r="J74" s="113" t="s">
        <v>1861</v>
      </c>
      <c r="K74" s="115">
        <v>1669.02</v>
      </c>
      <c r="L74" s="115">
        <v>928.23</v>
      </c>
      <c r="M74" s="115">
        <v>1197.48</v>
      </c>
      <c r="N74" s="113">
        <f>+K74+M74-L74</f>
        <v>1938.27</v>
      </c>
    </row>
    <row r="75" spans="1:15" s="70" customFormat="1" x14ac:dyDescent="0.2">
      <c r="A75" s="24"/>
      <c r="B75" s="1"/>
      <c r="C75" s="50" t="s">
        <v>444</v>
      </c>
      <c r="D75" s="55">
        <f>+K75</f>
        <v>140.88</v>
      </c>
      <c r="E75" s="55">
        <f>+M75</f>
        <v>401.63</v>
      </c>
      <c r="F75" s="55">
        <f>+L75</f>
        <v>254.58</v>
      </c>
      <c r="G75" s="55">
        <f>+D75+E75-F75</f>
        <v>287.92999999999995</v>
      </c>
      <c r="H75" s="55">
        <f>1500-G75</f>
        <v>1212.0700000000002</v>
      </c>
      <c r="J75" s="113" t="s">
        <v>707</v>
      </c>
      <c r="K75" s="115">
        <v>140.88</v>
      </c>
      <c r="L75" s="115">
        <v>254.58</v>
      </c>
      <c r="M75" s="115">
        <v>401.63</v>
      </c>
      <c r="N75" s="113">
        <f>+K75+M75-L75</f>
        <v>287.92999999999995</v>
      </c>
    </row>
    <row r="76" spans="1:15" s="70" customFormat="1" ht="12.75" customHeight="1" x14ac:dyDescent="0.2">
      <c r="A76" s="24"/>
      <c r="B76" s="1"/>
      <c r="C76" s="50" t="s">
        <v>71</v>
      </c>
      <c r="D76" s="55">
        <f>+K73+K74</f>
        <v>1858.9099999999999</v>
      </c>
      <c r="E76" s="55">
        <f>+M73+M74</f>
        <v>1255.8900000000001</v>
      </c>
      <c r="F76" s="55">
        <f>+L73+L74</f>
        <v>984.54</v>
      </c>
      <c r="G76" s="55">
        <f>+D76+E76-F76</f>
        <v>2130.2600000000002</v>
      </c>
      <c r="H76" s="55">
        <f>1500+700+200-G76</f>
        <v>269.73999999999978</v>
      </c>
      <c r="J76" s="2"/>
      <c r="K76" s="118">
        <f>SUM(K73:K75)</f>
        <v>1999.79</v>
      </c>
      <c r="L76" s="118">
        <f>SUM(L73:L75)</f>
        <v>1239.1199999999999</v>
      </c>
      <c r="M76" s="118">
        <f>SUM(M73:M75)</f>
        <v>1657.52</v>
      </c>
      <c r="N76" s="118">
        <f>SUM(N73:N75)</f>
        <v>2418.1899999999996</v>
      </c>
    </row>
    <row r="77" spans="1:15" s="70" customFormat="1" ht="12.75" customHeight="1" x14ac:dyDescent="0.2">
      <c r="A77" s="24"/>
      <c r="B77" s="1"/>
      <c r="C77" s="14"/>
      <c r="D77" s="56"/>
      <c r="E77" s="13"/>
      <c r="F77" s="2"/>
      <c r="G77" s="30"/>
      <c r="H77" s="30"/>
    </row>
    <row r="78" spans="1:15" s="70" customFormat="1" ht="12.75" customHeight="1" x14ac:dyDescent="0.2">
      <c r="A78" s="215" t="s">
        <v>80</v>
      </c>
      <c r="B78" s="216"/>
      <c r="C78" s="216"/>
      <c r="D78" s="217"/>
      <c r="E78" s="69"/>
      <c r="G78" s="30"/>
      <c r="H78" s="30"/>
    </row>
    <row r="79" spans="1:15" s="70" customFormat="1" ht="12.75" customHeight="1" x14ac:dyDescent="0.2">
      <c r="A79" s="71" t="s">
        <v>81</v>
      </c>
      <c r="B79" s="71"/>
      <c r="C79" s="72" t="s">
        <v>82</v>
      </c>
      <c r="D79" s="73" t="s">
        <v>83</v>
      </c>
      <c r="E79" s="69"/>
      <c r="G79" s="30"/>
      <c r="H79" s="30"/>
    </row>
    <row r="80" spans="1:15" s="70" customFormat="1" ht="12.75" customHeight="1" x14ac:dyDescent="0.2">
      <c r="A80" s="87">
        <v>45292</v>
      </c>
      <c r="B80" s="120" t="s">
        <v>6</v>
      </c>
      <c r="C80" s="75" t="s">
        <v>1933</v>
      </c>
      <c r="D80" s="88">
        <v>7583470</v>
      </c>
      <c r="E80" s="2"/>
      <c r="F80" s="2"/>
      <c r="G80" s="30"/>
      <c r="H80" s="30"/>
      <c r="I80" s="2"/>
      <c r="J80" s="2"/>
      <c r="K80" s="2"/>
      <c r="L80" s="2"/>
      <c r="M80" s="41"/>
      <c r="N80" s="42"/>
      <c r="O80" s="2"/>
    </row>
    <row r="81" spans="1:15" s="70" customFormat="1" ht="12.75" customHeight="1" x14ac:dyDescent="0.2">
      <c r="A81" s="87">
        <v>45293</v>
      </c>
      <c r="B81" s="120" t="s">
        <v>6</v>
      </c>
      <c r="C81" s="75" t="s">
        <v>1934</v>
      </c>
      <c r="D81" s="88">
        <v>124988</v>
      </c>
      <c r="E81" s="2"/>
      <c r="F81" s="2"/>
      <c r="G81" s="30"/>
      <c r="H81" s="30"/>
      <c r="I81" s="2"/>
      <c r="J81" s="2"/>
      <c r="K81" s="2"/>
      <c r="L81" s="2"/>
      <c r="M81" s="41"/>
      <c r="N81" s="42"/>
      <c r="O81" s="2"/>
    </row>
    <row r="82" spans="1:15" s="70" customFormat="1" ht="12.75" customHeight="1" x14ac:dyDescent="0.2">
      <c r="A82" s="87">
        <v>45294</v>
      </c>
      <c r="B82" s="120" t="s">
        <v>6</v>
      </c>
      <c r="C82" s="75" t="s">
        <v>606</v>
      </c>
      <c r="D82" s="88">
        <v>260191</v>
      </c>
      <c r="E82" s="2"/>
      <c r="F82" s="2"/>
      <c r="G82" s="30"/>
      <c r="H82" s="30"/>
      <c r="I82" s="2"/>
      <c r="J82" s="2"/>
      <c r="K82" s="2"/>
      <c r="L82" s="2"/>
      <c r="M82" s="41"/>
      <c r="N82" s="42"/>
      <c r="O82" s="2"/>
    </row>
    <row r="83" spans="1:15" s="70" customFormat="1" ht="12.75" customHeight="1" x14ac:dyDescent="0.2">
      <c r="A83" s="87">
        <v>45294</v>
      </c>
      <c r="B83" s="120" t="s">
        <v>6</v>
      </c>
      <c r="C83" s="75" t="s">
        <v>888</v>
      </c>
      <c r="D83" s="88">
        <v>2431991.34</v>
      </c>
      <c r="E83" s="2"/>
      <c r="F83" s="2"/>
      <c r="G83" s="30"/>
      <c r="H83" s="30"/>
      <c r="I83" s="2"/>
      <c r="J83" s="2"/>
      <c r="K83" s="2"/>
      <c r="L83" s="2"/>
      <c r="M83" s="41"/>
      <c r="N83" s="42"/>
      <c r="O83" s="2"/>
    </row>
    <row r="84" spans="1:15" s="70" customFormat="1" ht="12.75" customHeight="1" x14ac:dyDescent="0.2">
      <c r="A84" s="87">
        <v>45295</v>
      </c>
      <c r="B84" s="120" t="s">
        <v>6</v>
      </c>
      <c r="C84" s="75" t="s">
        <v>1944</v>
      </c>
      <c r="D84" s="88">
        <v>23655</v>
      </c>
      <c r="E84" s="2"/>
      <c r="F84" s="2"/>
      <c r="G84" s="30"/>
      <c r="H84" s="30"/>
      <c r="I84" s="2"/>
      <c r="J84" s="2"/>
      <c r="K84" s="2"/>
      <c r="L84" s="2"/>
      <c r="M84" s="41"/>
      <c r="N84" s="42"/>
      <c r="O84" s="2"/>
    </row>
    <row r="85" spans="1:15" s="70" customFormat="1" ht="12.75" customHeight="1" x14ac:dyDescent="0.2">
      <c r="A85" s="87">
        <v>45295</v>
      </c>
      <c r="B85" s="120" t="s">
        <v>6</v>
      </c>
      <c r="C85" s="75" t="s">
        <v>1944</v>
      </c>
      <c r="D85" s="88">
        <v>321576</v>
      </c>
      <c r="E85" s="2"/>
      <c r="F85" s="2"/>
      <c r="G85" s="30"/>
      <c r="H85" s="30"/>
      <c r="I85" s="2"/>
      <c r="J85" s="2"/>
      <c r="K85" s="2"/>
      <c r="L85" s="2"/>
      <c r="M85" s="41"/>
      <c r="N85" s="42"/>
      <c r="O85" s="2"/>
    </row>
    <row r="86" spans="1:15" s="70" customFormat="1" ht="12.75" customHeight="1" x14ac:dyDescent="0.2">
      <c r="A86" s="87">
        <v>45295</v>
      </c>
      <c r="B86" s="120" t="s">
        <v>6</v>
      </c>
      <c r="C86" s="75" t="s">
        <v>1944</v>
      </c>
      <c r="D86" s="88">
        <v>430832</v>
      </c>
      <c r="E86" s="2"/>
      <c r="F86" s="2"/>
      <c r="G86" s="30"/>
      <c r="H86" s="30"/>
      <c r="I86" s="2"/>
      <c r="J86" s="2"/>
      <c r="K86" s="2"/>
      <c r="L86" s="2"/>
      <c r="M86" s="41"/>
      <c r="N86" s="42"/>
      <c r="O86" s="2"/>
    </row>
    <row r="87" spans="1:15" s="70" customFormat="1" ht="12.75" customHeight="1" x14ac:dyDescent="0.2">
      <c r="A87" s="87">
        <v>45295</v>
      </c>
      <c r="B87" s="120" t="s">
        <v>6</v>
      </c>
      <c r="C87" s="75" t="s">
        <v>1934</v>
      </c>
      <c r="D87" s="88">
        <v>892589</v>
      </c>
      <c r="E87" s="2"/>
      <c r="F87" s="2"/>
      <c r="G87" s="30"/>
      <c r="H87" s="30"/>
      <c r="I87" s="2"/>
      <c r="J87" s="2"/>
      <c r="K87" s="2"/>
      <c r="L87" s="2"/>
      <c r="M87" s="41"/>
      <c r="N87" s="42"/>
      <c r="O87" s="2"/>
    </row>
    <row r="88" spans="1:15" s="70" customFormat="1" ht="12.75" customHeight="1" x14ac:dyDescent="0.2">
      <c r="A88" s="87">
        <v>45299</v>
      </c>
      <c r="B88" s="120" t="s">
        <v>6</v>
      </c>
      <c r="C88" s="75" t="s">
        <v>1933</v>
      </c>
      <c r="D88" s="88">
        <v>8143487</v>
      </c>
      <c r="E88" s="2"/>
      <c r="F88" s="2"/>
      <c r="G88" s="30"/>
      <c r="H88" s="30"/>
      <c r="I88" s="2"/>
      <c r="J88" s="2"/>
      <c r="K88" s="2"/>
      <c r="L88" s="2"/>
      <c r="M88" s="41"/>
      <c r="N88" s="42"/>
      <c r="O88" s="2"/>
    </row>
    <row r="89" spans="1:15" s="70" customFormat="1" ht="12.75" customHeight="1" x14ac:dyDescent="0.2">
      <c r="A89" s="87">
        <v>45299</v>
      </c>
      <c r="B89" s="120" t="s">
        <v>6</v>
      </c>
      <c r="C89" s="75" t="s">
        <v>606</v>
      </c>
      <c r="D89" s="88">
        <v>487316</v>
      </c>
      <c r="E89" s="2"/>
      <c r="F89" s="2"/>
      <c r="G89" s="30"/>
      <c r="H89" s="30"/>
      <c r="I89" s="2"/>
      <c r="J89" s="2"/>
      <c r="K89" s="2"/>
      <c r="L89" s="2"/>
      <c r="M89" s="41"/>
      <c r="N89" s="42"/>
      <c r="O89" s="2"/>
    </row>
    <row r="90" spans="1:15" s="70" customFormat="1" ht="12.75" customHeight="1" x14ac:dyDescent="0.2">
      <c r="A90" s="87">
        <v>45301</v>
      </c>
      <c r="B90" s="120" t="s">
        <v>6</v>
      </c>
      <c r="C90" s="75" t="s">
        <v>1933</v>
      </c>
      <c r="D90" s="88">
        <v>2690</v>
      </c>
      <c r="E90" s="2"/>
      <c r="F90" s="2"/>
      <c r="G90" s="30"/>
      <c r="H90" s="30"/>
      <c r="I90" s="2"/>
      <c r="J90" s="2"/>
      <c r="K90" s="2"/>
      <c r="L90" s="2"/>
      <c r="M90" s="41"/>
      <c r="N90" s="42"/>
      <c r="O90" s="2"/>
    </row>
    <row r="91" spans="1:15" s="70" customFormat="1" ht="12.75" customHeight="1" x14ac:dyDescent="0.2">
      <c r="A91" s="87">
        <v>45301</v>
      </c>
      <c r="B91" s="120" t="s">
        <v>6</v>
      </c>
      <c r="C91" s="75" t="s">
        <v>1933</v>
      </c>
      <c r="D91" s="88">
        <v>2133516</v>
      </c>
      <c r="E91" s="2"/>
      <c r="F91" s="2"/>
      <c r="G91" s="30"/>
      <c r="H91" s="30"/>
      <c r="I91" s="2"/>
      <c r="J91" s="2"/>
      <c r="K91" s="2"/>
      <c r="L91" s="2"/>
      <c r="M91" s="41"/>
      <c r="N91" s="42"/>
      <c r="O91" s="2"/>
    </row>
    <row r="92" spans="1:15" s="70" customFormat="1" ht="12.75" customHeight="1" x14ac:dyDescent="0.2">
      <c r="A92" s="87">
        <v>45302</v>
      </c>
      <c r="B92" s="120" t="s">
        <v>6</v>
      </c>
      <c r="C92" s="75" t="s">
        <v>1084</v>
      </c>
      <c r="D92" s="88">
        <v>3000000</v>
      </c>
      <c r="E92" s="2"/>
      <c r="F92" s="2"/>
      <c r="G92" s="30"/>
      <c r="H92" s="30"/>
      <c r="I92" s="2"/>
      <c r="J92" s="2"/>
      <c r="K92" s="2"/>
      <c r="L92" s="2"/>
      <c r="M92" s="41"/>
      <c r="N92" s="42"/>
      <c r="O92" s="2"/>
    </row>
    <row r="93" spans="1:15" s="70" customFormat="1" ht="12.75" customHeight="1" x14ac:dyDescent="0.2">
      <c r="A93" s="87">
        <v>45303</v>
      </c>
      <c r="B93" s="120" t="s">
        <v>6</v>
      </c>
      <c r="C93" s="75" t="s">
        <v>1933</v>
      </c>
      <c r="D93" s="88">
        <v>5893097</v>
      </c>
      <c r="E93" s="2"/>
      <c r="F93" s="2"/>
      <c r="G93" s="30"/>
      <c r="H93" s="30"/>
      <c r="I93" s="2"/>
      <c r="J93" s="2"/>
      <c r="K93" s="2"/>
      <c r="L93" s="2"/>
      <c r="M93" s="41"/>
      <c r="N93" s="42"/>
      <c r="O93" s="2"/>
    </row>
    <row r="94" spans="1:15" s="70" customFormat="1" ht="12.75" customHeight="1" x14ac:dyDescent="0.2">
      <c r="A94" s="87">
        <v>45303</v>
      </c>
      <c r="B94" s="120" t="s">
        <v>6</v>
      </c>
      <c r="C94" s="75" t="s">
        <v>1977</v>
      </c>
      <c r="D94" s="88">
        <v>500000</v>
      </c>
      <c r="E94" s="2"/>
      <c r="F94" s="2"/>
      <c r="G94" s="30"/>
      <c r="H94" s="30"/>
      <c r="I94" s="2"/>
      <c r="J94" s="2"/>
      <c r="K94" s="2"/>
      <c r="L94" s="2"/>
      <c r="M94" s="41"/>
      <c r="N94" s="42"/>
      <c r="O94" s="2"/>
    </row>
    <row r="95" spans="1:15" s="70" customFormat="1" ht="12.75" customHeight="1" x14ac:dyDescent="0.2">
      <c r="A95" s="87">
        <v>45307</v>
      </c>
      <c r="B95" s="120" t="s">
        <v>6</v>
      </c>
      <c r="C95" s="75" t="s">
        <v>1933</v>
      </c>
      <c r="D95" s="88">
        <v>3572610</v>
      </c>
      <c r="E95" s="2"/>
      <c r="F95" s="2"/>
      <c r="G95" s="30"/>
      <c r="H95" s="30"/>
      <c r="I95" s="2"/>
      <c r="J95" s="2"/>
      <c r="K95" s="2"/>
      <c r="L95" s="2"/>
      <c r="M95" s="41"/>
      <c r="N95" s="42"/>
      <c r="O95" s="2"/>
    </row>
    <row r="96" spans="1:15" s="70" customFormat="1" ht="12.75" customHeight="1" x14ac:dyDescent="0.2">
      <c r="A96" s="87">
        <v>45307</v>
      </c>
      <c r="B96" s="120" t="s">
        <v>6</v>
      </c>
      <c r="C96" s="75" t="s">
        <v>1944</v>
      </c>
      <c r="D96" s="88">
        <v>4109147</v>
      </c>
      <c r="E96" s="2"/>
      <c r="F96" s="2"/>
      <c r="G96" s="30"/>
      <c r="H96" s="30"/>
      <c r="I96" s="2"/>
      <c r="J96" s="2"/>
      <c r="K96" s="2"/>
      <c r="L96" s="2"/>
      <c r="M96" s="41"/>
      <c r="N96" s="42"/>
      <c r="O96" s="2"/>
    </row>
    <row r="97" spans="1:15" s="70" customFormat="1" ht="12.75" customHeight="1" x14ac:dyDescent="0.2">
      <c r="A97" s="87">
        <v>45307</v>
      </c>
      <c r="B97" s="120" t="s">
        <v>6</v>
      </c>
      <c r="C97" s="75" t="s">
        <v>1944</v>
      </c>
      <c r="D97" s="88">
        <v>1168867</v>
      </c>
      <c r="E97" s="2"/>
      <c r="F97" s="2"/>
      <c r="G97" s="30"/>
      <c r="H97" s="30"/>
      <c r="I97" s="2"/>
      <c r="J97" s="2"/>
      <c r="K97" s="2"/>
      <c r="L97" s="2"/>
      <c r="M97" s="41"/>
      <c r="N97" s="42"/>
      <c r="O97" s="2"/>
    </row>
    <row r="98" spans="1:15" s="70" customFormat="1" ht="12.75" customHeight="1" x14ac:dyDescent="0.2">
      <c r="A98" s="87">
        <v>45307</v>
      </c>
      <c r="B98" s="120" t="s">
        <v>6</v>
      </c>
      <c r="C98" s="75" t="s">
        <v>1988</v>
      </c>
      <c r="D98" s="88">
        <v>175195</v>
      </c>
      <c r="E98" s="2"/>
      <c r="F98" s="2"/>
      <c r="G98" s="30"/>
      <c r="H98" s="30"/>
      <c r="I98" s="2"/>
      <c r="J98" s="2"/>
      <c r="K98" s="2"/>
      <c r="L98" s="2"/>
      <c r="M98" s="41"/>
      <c r="N98" s="42"/>
      <c r="O98" s="2"/>
    </row>
    <row r="99" spans="1:15" s="70" customFormat="1" ht="12.75" customHeight="1" x14ac:dyDescent="0.2">
      <c r="A99" s="87">
        <v>45309</v>
      </c>
      <c r="B99" s="120" t="s">
        <v>6</v>
      </c>
      <c r="C99" s="75" t="s">
        <v>1933</v>
      </c>
      <c r="D99" s="88">
        <v>7480683</v>
      </c>
      <c r="E99" s="2"/>
      <c r="F99" s="2"/>
      <c r="G99" s="30"/>
      <c r="H99" s="30"/>
      <c r="I99" s="2"/>
      <c r="J99" s="2"/>
      <c r="K99" s="2"/>
      <c r="L99" s="2"/>
      <c r="M99" s="41"/>
      <c r="N99" s="42"/>
      <c r="O99" s="2"/>
    </row>
    <row r="100" spans="1:15" s="70" customFormat="1" ht="12.75" customHeight="1" x14ac:dyDescent="0.2">
      <c r="A100" s="87">
        <v>45309</v>
      </c>
      <c r="B100" s="120" t="s">
        <v>6</v>
      </c>
      <c r="C100" s="75" t="s">
        <v>1977</v>
      </c>
      <c r="D100" s="88">
        <v>1511767</v>
      </c>
      <c r="E100" s="2"/>
      <c r="F100" s="2"/>
      <c r="G100" s="30"/>
      <c r="H100" s="30"/>
      <c r="I100" s="2"/>
      <c r="J100" s="2"/>
      <c r="K100" s="2"/>
      <c r="L100" s="2"/>
      <c r="M100" s="41"/>
      <c r="N100" s="42"/>
      <c r="O100" s="2"/>
    </row>
    <row r="101" spans="1:15" s="70" customFormat="1" ht="12.75" customHeight="1" x14ac:dyDescent="0.2">
      <c r="A101" s="87">
        <v>45310</v>
      </c>
      <c r="B101" s="120" t="s">
        <v>6</v>
      </c>
      <c r="C101" s="75" t="s">
        <v>1084</v>
      </c>
      <c r="D101" s="88">
        <v>4000000</v>
      </c>
      <c r="E101" s="2"/>
      <c r="F101" s="2"/>
      <c r="G101" s="30"/>
      <c r="H101" s="30"/>
      <c r="I101" s="2"/>
      <c r="J101" s="2"/>
      <c r="K101" s="2"/>
      <c r="L101" s="2"/>
      <c r="M101" s="41"/>
      <c r="N101" s="42"/>
      <c r="O101" s="2"/>
    </row>
    <row r="102" spans="1:15" s="70" customFormat="1" ht="12.75" customHeight="1" x14ac:dyDescent="0.2">
      <c r="A102" s="87">
        <v>45311</v>
      </c>
      <c r="B102" s="120" t="s">
        <v>6</v>
      </c>
      <c r="C102" s="75" t="s">
        <v>888</v>
      </c>
      <c r="D102" s="88">
        <v>4720981.46</v>
      </c>
      <c r="E102" s="2"/>
      <c r="F102" s="2"/>
      <c r="G102" s="30"/>
      <c r="H102" s="30"/>
      <c r="I102" s="2"/>
      <c r="J102" s="2"/>
      <c r="K102" s="2"/>
      <c r="L102" s="2"/>
      <c r="M102" s="41"/>
      <c r="N102" s="42"/>
      <c r="O102" s="2"/>
    </row>
    <row r="103" spans="1:15" s="70" customFormat="1" ht="12.75" customHeight="1" x14ac:dyDescent="0.2">
      <c r="A103" s="87">
        <v>45314</v>
      </c>
      <c r="B103" s="120" t="s">
        <v>6</v>
      </c>
      <c r="C103" s="75" t="s">
        <v>1933</v>
      </c>
      <c r="D103" s="88">
        <v>1373756</v>
      </c>
      <c r="E103" s="2"/>
      <c r="F103" s="2"/>
      <c r="G103" s="30"/>
      <c r="H103" s="30"/>
      <c r="I103" s="2"/>
      <c r="J103" s="2"/>
      <c r="K103" s="2"/>
      <c r="L103" s="2"/>
      <c r="M103" s="41"/>
      <c r="N103" s="42"/>
      <c r="O103" s="2"/>
    </row>
    <row r="104" spans="1:15" s="70" customFormat="1" ht="12.75" customHeight="1" x14ac:dyDescent="0.2">
      <c r="A104" s="87">
        <v>45314</v>
      </c>
      <c r="B104" s="120" t="s">
        <v>6</v>
      </c>
      <c r="C104" s="75" t="s">
        <v>1933</v>
      </c>
      <c r="D104" s="88">
        <v>5000341.9400000004</v>
      </c>
      <c r="E104" s="2"/>
      <c r="F104" s="2"/>
      <c r="G104" s="30"/>
      <c r="H104" s="30"/>
      <c r="I104" s="2"/>
      <c r="J104" s="2"/>
      <c r="K104" s="2"/>
      <c r="L104" s="2"/>
      <c r="M104" s="41"/>
      <c r="N104" s="42"/>
      <c r="O104" s="2"/>
    </row>
    <row r="105" spans="1:15" s="70" customFormat="1" ht="12.75" customHeight="1" x14ac:dyDescent="0.2">
      <c r="A105" s="87">
        <v>45314</v>
      </c>
      <c r="B105" s="120" t="s">
        <v>6</v>
      </c>
      <c r="C105" s="75" t="s">
        <v>1933</v>
      </c>
      <c r="D105" s="88">
        <v>339686</v>
      </c>
      <c r="E105" s="2"/>
      <c r="F105" s="2"/>
      <c r="G105" s="30"/>
      <c r="H105" s="30"/>
      <c r="I105" s="2"/>
      <c r="J105" s="2"/>
      <c r="K105" s="2"/>
      <c r="L105" s="2"/>
      <c r="M105" s="41"/>
      <c r="N105" s="42"/>
      <c r="O105" s="2"/>
    </row>
    <row r="106" spans="1:15" s="70" customFormat="1" ht="12.75" customHeight="1" x14ac:dyDescent="0.2">
      <c r="A106" s="87">
        <v>45315</v>
      </c>
      <c r="B106" s="120" t="s">
        <v>6</v>
      </c>
      <c r="C106" s="75" t="s">
        <v>467</v>
      </c>
      <c r="D106" s="88">
        <v>4536269</v>
      </c>
      <c r="E106" s="2"/>
      <c r="F106" s="2"/>
      <c r="G106" s="30"/>
      <c r="H106" s="30"/>
      <c r="I106" s="2"/>
      <c r="J106" s="2"/>
      <c r="K106" s="2"/>
      <c r="L106" s="2"/>
      <c r="M106" s="41"/>
      <c r="N106" s="42"/>
      <c r="O106" s="2"/>
    </row>
    <row r="107" spans="1:15" s="70" customFormat="1" ht="12.75" customHeight="1" x14ac:dyDescent="0.2">
      <c r="A107" s="87">
        <v>45316</v>
      </c>
      <c r="B107" s="120" t="s">
        <v>6</v>
      </c>
      <c r="C107" s="75" t="s">
        <v>1933</v>
      </c>
      <c r="D107" s="88">
        <v>8050467</v>
      </c>
      <c r="E107" s="2"/>
      <c r="F107" s="2"/>
      <c r="G107" s="30"/>
      <c r="H107" s="30"/>
      <c r="I107" s="2"/>
      <c r="J107" s="2"/>
      <c r="K107" s="2"/>
      <c r="L107" s="2"/>
      <c r="M107" s="41"/>
      <c r="N107" s="42"/>
      <c r="O107" s="2"/>
    </row>
    <row r="108" spans="1:15" s="70" customFormat="1" ht="12.75" customHeight="1" x14ac:dyDescent="0.2">
      <c r="A108" s="87">
        <v>45316</v>
      </c>
      <c r="B108" s="120" t="s">
        <v>6</v>
      </c>
      <c r="C108" s="75" t="s">
        <v>606</v>
      </c>
      <c r="D108" s="88">
        <v>7067955</v>
      </c>
      <c r="E108" s="2"/>
      <c r="F108" s="2"/>
      <c r="G108" s="30"/>
      <c r="H108" s="30"/>
      <c r="I108" s="2"/>
      <c r="J108" s="2"/>
      <c r="K108" s="2"/>
      <c r="L108" s="2"/>
      <c r="M108" s="41"/>
      <c r="N108" s="42"/>
      <c r="O108" s="2"/>
    </row>
    <row r="109" spans="1:15" s="70" customFormat="1" ht="12.75" customHeight="1" x14ac:dyDescent="0.2">
      <c r="A109" s="87">
        <v>45316</v>
      </c>
      <c r="B109" s="120" t="s">
        <v>6</v>
      </c>
      <c r="C109" s="75" t="s">
        <v>606</v>
      </c>
      <c r="D109" s="88">
        <v>1059623</v>
      </c>
      <c r="E109" s="2"/>
      <c r="F109" s="2"/>
      <c r="G109" s="30"/>
      <c r="H109" s="30"/>
      <c r="I109" s="2"/>
      <c r="J109" s="2"/>
      <c r="K109" s="2"/>
      <c r="L109" s="2"/>
      <c r="M109" s="41"/>
      <c r="N109" s="42"/>
      <c r="O109" s="2"/>
    </row>
    <row r="110" spans="1:15" s="70" customFormat="1" ht="12.75" customHeight="1" x14ac:dyDescent="0.2">
      <c r="A110" s="87">
        <v>45316</v>
      </c>
      <c r="B110" s="120" t="s">
        <v>6</v>
      </c>
      <c r="C110" s="75" t="s">
        <v>1084</v>
      </c>
      <c r="D110" s="88">
        <v>3407112</v>
      </c>
      <c r="E110" s="2"/>
      <c r="F110" s="2"/>
      <c r="G110" s="30"/>
      <c r="H110" s="30"/>
      <c r="I110" s="2"/>
      <c r="J110" s="2"/>
      <c r="K110" s="2"/>
      <c r="L110" s="2"/>
      <c r="M110" s="41"/>
      <c r="N110" s="42"/>
      <c r="O110" s="2"/>
    </row>
    <row r="111" spans="1:15" s="70" customFormat="1" ht="12.75" customHeight="1" x14ac:dyDescent="0.2">
      <c r="A111" s="87">
        <v>45320</v>
      </c>
      <c r="B111" s="120" t="s">
        <v>6</v>
      </c>
      <c r="C111" s="75" t="s">
        <v>1933</v>
      </c>
      <c r="D111" s="88">
        <v>3018800</v>
      </c>
      <c r="E111" s="2"/>
      <c r="F111" s="2"/>
      <c r="G111" s="30"/>
      <c r="H111" s="30"/>
      <c r="I111" s="2"/>
      <c r="J111" s="2"/>
      <c r="K111" s="2"/>
      <c r="L111" s="2"/>
      <c r="M111" s="41"/>
      <c r="N111" s="42"/>
      <c r="O111" s="2"/>
    </row>
    <row r="112" spans="1:15" s="2" customFormat="1" x14ac:dyDescent="0.2">
      <c r="A112" s="87"/>
      <c r="B112" s="74"/>
      <c r="C112" s="75"/>
      <c r="D112" s="51">
        <f>SUM(D80:D111)</f>
        <v>92822658.74000001</v>
      </c>
      <c r="F112" s="2" t="s">
        <v>396</v>
      </c>
      <c r="G112" s="1"/>
      <c r="H112" s="1"/>
    </row>
    <row r="113" spans="1:14" s="2" customFormat="1" x14ac:dyDescent="0.2">
      <c r="A113" s="24"/>
      <c r="B113" s="1"/>
      <c r="C113" s="14"/>
      <c r="D113" s="56"/>
      <c r="E113" s="13"/>
      <c r="G113" s="1"/>
      <c r="H113" s="1"/>
    </row>
    <row r="114" spans="1:14" s="2" customFormat="1" x14ac:dyDescent="0.2">
      <c r="A114" s="24"/>
      <c r="B114" s="1"/>
      <c r="C114" s="218" t="s">
        <v>77</v>
      </c>
      <c r="D114" s="219"/>
      <c r="E114" s="219"/>
      <c r="F114" s="220"/>
      <c r="I114" s="2" t="s">
        <v>396</v>
      </c>
    </row>
    <row r="115" spans="1:14" s="2" customFormat="1" x14ac:dyDescent="0.2">
      <c r="A115" s="24"/>
      <c r="B115" s="1"/>
      <c r="C115" s="50"/>
      <c r="D115" s="57" t="s">
        <v>78</v>
      </c>
      <c r="E115" s="58" t="s">
        <v>79</v>
      </c>
      <c r="F115" s="57" t="s">
        <v>72</v>
      </c>
      <c r="I115" s="2" t="s">
        <v>396</v>
      </c>
    </row>
    <row r="116" spans="1:14" s="2" customFormat="1" x14ac:dyDescent="0.2">
      <c r="A116" s="24"/>
      <c r="B116" s="1"/>
      <c r="C116" s="59" t="str">
        <f>"01-01-2024 to "&amp;TEXT(A5-2,"dd-mm-yyyy")</f>
        <v>01-01-2024 to 27-01-2024</v>
      </c>
      <c r="D116" s="60">
        <v>2261.9899999999998</v>
      </c>
      <c r="E116" s="60">
        <v>570.55999999999995</v>
      </c>
      <c r="F116" s="61">
        <f>SUM(D116:E116)</f>
        <v>2832.5499999999997</v>
      </c>
    </row>
    <row r="117" spans="1:14" s="2" customFormat="1" x14ac:dyDescent="0.2">
      <c r="A117" s="24"/>
      <c r="B117" s="1"/>
      <c r="C117" s="62" t="str">
        <f>TEXT(A5-1,"dd-mm-yyyy")</f>
        <v>28-01-2024</v>
      </c>
      <c r="D117" s="60">
        <v>0</v>
      </c>
      <c r="E117" s="60">
        <v>0</v>
      </c>
      <c r="F117" s="61">
        <f>SUM(D117:E117)</f>
        <v>0</v>
      </c>
      <c r="G117" s="1"/>
      <c r="H117" s="1"/>
      <c r="I117" s="53"/>
    </row>
    <row r="118" spans="1:14" s="2" customFormat="1" ht="13.5" thickBot="1" x14ac:dyDescent="0.25">
      <c r="A118" s="24"/>
      <c r="B118" s="1"/>
      <c r="C118" s="63" t="str">
        <f>"01-01-2024 to "&amp;TEXT(A5-1,"dd-mm-yyyy")</f>
        <v>01-01-2024 to 28-01-2024</v>
      </c>
      <c r="D118" s="64">
        <f>SUM(D116:D117)</f>
        <v>2261.9899999999998</v>
      </c>
      <c r="E118" s="64">
        <f>SUM(E116:E117)</f>
        <v>570.55999999999995</v>
      </c>
      <c r="F118" s="64">
        <f>SUM(F116:F117)</f>
        <v>2832.5499999999997</v>
      </c>
      <c r="G118" s="1"/>
      <c r="H118" s="1"/>
      <c r="I118" s="53"/>
    </row>
    <row r="119" spans="1:14" s="2" customFormat="1" ht="13.5" thickTop="1" x14ac:dyDescent="0.2">
      <c r="A119" s="24"/>
      <c r="B119" s="1"/>
      <c r="C119" s="62"/>
      <c r="D119" s="65"/>
      <c r="E119" s="66"/>
      <c r="F119" s="67"/>
      <c r="M119" s="1"/>
      <c r="N119" s="1"/>
    </row>
    <row r="120" spans="1:14" s="2" customFormat="1" x14ac:dyDescent="0.2">
      <c r="A120" s="24"/>
      <c r="B120" s="1"/>
      <c r="C120" s="62" t="str">
        <f>"01-04-2023 to " &amp;C117</f>
        <v>01-04-2023 to 28-01-2024</v>
      </c>
      <c r="D120" s="68">
        <f>+D118+34570.27</f>
        <v>36832.259999999995</v>
      </c>
      <c r="E120" s="68">
        <f>+E118+3831.86</f>
        <v>4402.42</v>
      </c>
      <c r="F120" s="68">
        <f>+F118+38402.13</f>
        <v>41234.68</v>
      </c>
      <c r="G120" s="1"/>
      <c r="H120" s="1"/>
      <c r="M120" s="1"/>
      <c r="N120" s="1"/>
    </row>
    <row r="121" spans="1:14" s="2" customFormat="1" x14ac:dyDescent="0.2">
      <c r="A121" s="24"/>
      <c r="B121" s="1"/>
      <c r="C121" s="52"/>
      <c r="D121" s="85"/>
      <c r="E121" s="53"/>
      <c r="F121" s="53"/>
      <c r="G121" s="1"/>
      <c r="H121" s="1"/>
      <c r="M121" s="1"/>
      <c r="N121" s="1"/>
    </row>
    <row r="122" spans="1:14" s="2" customFormat="1" x14ac:dyDescent="0.2">
      <c r="A122" s="24"/>
      <c r="B122" s="1"/>
      <c r="C122" s="52"/>
      <c r="D122" s="85"/>
      <c r="E122" s="53"/>
      <c r="F122" s="53"/>
      <c r="G122" s="1"/>
      <c r="H122" s="1"/>
      <c r="M122" s="1"/>
      <c r="N122" s="1"/>
    </row>
    <row r="123" spans="1:14" s="2" customFormat="1" x14ac:dyDescent="0.2">
      <c r="A123" s="24"/>
      <c r="B123" s="1"/>
      <c r="C123" s="52"/>
      <c r="D123" s="85"/>
      <c r="E123" s="53"/>
      <c r="F123" s="53"/>
      <c r="G123" s="1"/>
      <c r="H123" s="1"/>
      <c r="M123" s="1"/>
      <c r="N123" s="1"/>
    </row>
    <row r="124" spans="1:14" s="2" customFormat="1" x14ac:dyDescent="0.2">
      <c r="A124" s="24"/>
      <c r="B124" s="1"/>
      <c r="C124" s="52"/>
      <c r="D124" s="85"/>
      <c r="E124" s="53"/>
      <c r="F124" s="53"/>
      <c r="G124" s="1"/>
      <c r="H124" s="1"/>
      <c r="M124" s="1"/>
      <c r="N124" s="1"/>
    </row>
    <row r="125" spans="1:14" s="2" customFormat="1" x14ac:dyDescent="0.2">
      <c r="A125" s="24"/>
      <c r="B125" s="1"/>
      <c r="C125" s="14"/>
      <c r="D125" s="25">
        <f>SUM(D122:D124)</f>
        <v>0</v>
      </c>
      <c r="E125" s="2">
        <f>SUM(E122:E124)</f>
        <v>0</v>
      </c>
      <c r="G125" s="1"/>
      <c r="H125" s="1"/>
      <c r="M125" s="1"/>
      <c r="N125" s="1"/>
    </row>
    <row r="126" spans="1:14" s="2" customFormat="1" x14ac:dyDescent="0.2">
      <c r="A126" s="24"/>
      <c r="B126" s="1"/>
      <c r="C126" s="14"/>
      <c r="D126" s="25"/>
      <c r="G126" s="1"/>
      <c r="H126" s="1"/>
      <c r="M126" s="1"/>
      <c r="N126" s="1"/>
    </row>
    <row r="127" spans="1:14" s="2" customFormat="1" x14ac:dyDescent="0.2">
      <c r="A127" s="24"/>
      <c r="B127" s="1"/>
      <c r="C127" s="14"/>
      <c r="D127" s="25"/>
      <c r="G127" s="1"/>
      <c r="H127" s="1"/>
      <c r="M127" s="1"/>
      <c r="N127" s="1"/>
    </row>
    <row r="128" spans="1:14" s="2" customFormat="1" x14ac:dyDescent="0.2">
      <c r="A128" s="24"/>
      <c r="B128" s="1"/>
      <c r="C128" s="14"/>
      <c r="D128" s="25"/>
      <c r="G128" s="1"/>
      <c r="H128" s="1"/>
      <c r="M128" s="1"/>
      <c r="N128" s="1"/>
    </row>
    <row r="129" spans="1:14" s="2" customFormat="1" x14ac:dyDescent="0.2">
      <c r="A129" s="24"/>
      <c r="B129" s="1"/>
      <c r="C129" s="14"/>
      <c r="D129" s="25"/>
      <c r="G129" s="1"/>
      <c r="H129" s="1"/>
      <c r="M129" s="1"/>
      <c r="N129" s="1"/>
    </row>
    <row r="130" spans="1:14" s="2" customFormat="1" x14ac:dyDescent="0.2">
      <c r="A130" s="24"/>
      <c r="B130" s="1"/>
      <c r="C130" s="14"/>
      <c r="D130" s="25"/>
      <c r="G130" s="1"/>
      <c r="H130" s="1"/>
      <c r="M130" s="1"/>
      <c r="N130" s="1"/>
    </row>
    <row r="131" spans="1:14" s="2" customFormat="1" x14ac:dyDescent="0.2">
      <c r="A131" s="24"/>
      <c r="B131" s="1"/>
      <c r="C131" s="14"/>
      <c r="D131" s="25"/>
      <c r="G131" s="1"/>
      <c r="H131" s="1"/>
      <c r="M131" s="1"/>
      <c r="N131" s="1"/>
    </row>
    <row r="132" spans="1:14" s="2" customFormat="1" x14ac:dyDescent="0.2">
      <c r="A132" s="24"/>
      <c r="B132" s="1"/>
      <c r="C132" s="14"/>
      <c r="D132" s="25"/>
      <c r="G132" s="1"/>
      <c r="H132" s="1"/>
      <c r="M132" s="1"/>
      <c r="N132" s="1"/>
    </row>
    <row r="133" spans="1:14" s="2" customFormat="1" x14ac:dyDescent="0.2">
      <c r="A133" s="24"/>
      <c r="B133" s="1"/>
      <c r="C133" s="14"/>
      <c r="D133" s="25"/>
      <c r="G133" s="1"/>
      <c r="H133" s="1"/>
      <c r="M133" s="1"/>
      <c r="N133" s="1"/>
    </row>
    <row r="134" spans="1:14" s="2" customFormat="1" x14ac:dyDescent="0.2">
      <c r="A134" s="24"/>
      <c r="B134" s="1"/>
      <c r="C134" s="14"/>
      <c r="D134" s="25"/>
      <c r="G134" s="1"/>
      <c r="H134" s="1"/>
      <c r="M134" s="1"/>
      <c r="N134" s="1"/>
    </row>
    <row r="135" spans="1:14" s="2" customFormat="1" x14ac:dyDescent="0.2">
      <c r="A135" s="24"/>
      <c r="B135" s="1"/>
      <c r="C135" s="14"/>
      <c r="D135" s="25"/>
      <c r="G135" s="1"/>
      <c r="H135" s="1"/>
      <c r="M135" s="1"/>
      <c r="N135" s="1"/>
    </row>
    <row r="136" spans="1:14" s="2" customFormat="1" x14ac:dyDescent="0.2">
      <c r="A136" s="24"/>
      <c r="B136" s="1"/>
      <c r="C136" s="14"/>
      <c r="D136" s="25"/>
      <c r="G136" s="1"/>
      <c r="H136" s="1"/>
      <c r="M136" s="1"/>
      <c r="N136" s="1"/>
    </row>
    <row r="137" spans="1:14" s="2" customFormat="1" x14ac:dyDescent="0.2">
      <c r="A137" s="24"/>
      <c r="B137" s="1"/>
      <c r="C137" s="14"/>
      <c r="D137" s="25"/>
      <c r="G137" s="1"/>
      <c r="H137" s="1"/>
      <c r="M137" s="1"/>
      <c r="N137" s="1"/>
    </row>
    <row r="138" spans="1:14" s="2" customFormat="1" x14ac:dyDescent="0.2">
      <c r="A138" s="24"/>
      <c r="B138" s="1"/>
      <c r="C138" s="14"/>
      <c r="D138" s="25"/>
      <c r="G138" s="1"/>
      <c r="H138" s="1"/>
      <c r="M138" s="1"/>
      <c r="N138" s="1"/>
    </row>
    <row r="139" spans="1:14" s="2" customFormat="1" x14ac:dyDescent="0.2">
      <c r="A139" s="24"/>
      <c r="B139" s="1"/>
      <c r="C139" s="14"/>
      <c r="D139" s="25"/>
      <c r="G139" s="1"/>
      <c r="H139" s="1"/>
      <c r="J139" s="1"/>
      <c r="K139" s="1"/>
      <c r="L139" s="1"/>
      <c r="M139" s="1"/>
      <c r="N139" s="1"/>
    </row>
    <row r="140" spans="1:14" s="2" customFormat="1" x14ac:dyDescent="0.2">
      <c r="A140" s="24"/>
      <c r="B140" s="1"/>
      <c r="C140" s="14"/>
      <c r="D140" s="25"/>
      <c r="G140" s="1"/>
      <c r="H140" s="1"/>
    </row>
    <row r="141" spans="1:14" s="2" customFormat="1" x14ac:dyDescent="0.2">
      <c r="A141" s="24"/>
      <c r="B141" s="1"/>
      <c r="C141" s="14"/>
      <c r="D141" s="25"/>
      <c r="G141" s="1"/>
      <c r="H141" s="1"/>
      <c r="J141" s="1"/>
      <c r="K141" s="1"/>
      <c r="L141" s="1"/>
      <c r="M141" s="1"/>
      <c r="N141" s="1"/>
    </row>
    <row r="142" spans="1:14" s="2" customFormat="1" x14ac:dyDescent="0.2">
      <c r="A142" s="24"/>
      <c r="B142" s="1"/>
      <c r="C142" s="14"/>
      <c r="D142" s="25"/>
      <c r="G142" s="54"/>
      <c r="H142" s="54"/>
      <c r="J142" s="1"/>
      <c r="K142" s="1"/>
      <c r="L142" s="1"/>
      <c r="M142" s="1"/>
      <c r="N142" s="1"/>
    </row>
    <row r="143" spans="1:14" s="2" customFormat="1" x14ac:dyDescent="0.2">
      <c r="A143" s="24"/>
      <c r="B143" s="1"/>
      <c r="C143" s="14"/>
      <c r="D143" s="25"/>
      <c r="G143" s="54"/>
      <c r="H143" s="54"/>
      <c r="J143" s="1"/>
      <c r="K143" s="1"/>
      <c r="L143" s="1"/>
      <c r="M143" s="1"/>
      <c r="N143" s="1"/>
    </row>
    <row r="144" spans="1:14" s="2" customFormat="1" x14ac:dyDescent="0.2">
      <c r="A144" s="24"/>
      <c r="B144" s="1"/>
      <c r="C144" s="14"/>
      <c r="D144" s="25"/>
      <c r="G144" s="54"/>
      <c r="H144" s="54"/>
      <c r="J144" s="1"/>
      <c r="K144" s="1"/>
      <c r="L144" s="1"/>
      <c r="M144" s="1"/>
      <c r="N144" s="1"/>
    </row>
    <row r="145" spans="1:15" s="2" customFormat="1" x14ac:dyDescent="0.2">
      <c r="A145" s="24"/>
      <c r="B145" s="1"/>
      <c r="C145" s="14"/>
      <c r="D145" s="25"/>
      <c r="G145" s="54"/>
      <c r="H145" s="54"/>
      <c r="I145" s="2" t="s">
        <v>396</v>
      </c>
      <c r="J145" s="1"/>
      <c r="K145" s="1"/>
      <c r="L145" s="1"/>
      <c r="M145" s="1"/>
      <c r="N145" s="1"/>
      <c r="O145" s="1"/>
    </row>
    <row r="146" spans="1:15" s="2" customFormat="1" x14ac:dyDescent="0.2">
      <c r="A146" s="24"/>
      <c r="B146" s="1"/>
      <c r="C146" s="14"/>
      <c r="D146" s="25"/>
      <c r="G146" s="54"/>
      <c r="H146" s="54"/>
      <c r="I146" s="53"/>
    </row>
    <row r="147" spans="1:15" s="2" customFormat="1" x14ac:dyDescent="0.2">
      <c r="A147" s="24"/>
      <c r="B147" s="1"/>
      <c r="C147" s="14"/>
      <c r="D147" s="25"/>
      <c r="G147" s="54"/>
      <c r="H147" s="54"/>
      <c r="I147" s="53" t="s">
        <v>396</v>
      </c>
      <c r="J147" s="1"/>
      <c r="K147" s="1"/>
      <c r="L147" s="1"/>
      <c r="M147" s="1"/>
      <c r="N147" s="1"/>
      <c r="O147" s="1"/>
    </row>
    <row r="148" spans="1:15" x14ac:dyDescent="0.2">
      <c r="G148" s="54"/>
      <c r="H148" s="54"/>
      <c r="I148" s="53" t="s">
        <v>396</v>
      </c>
      <c r="K148" s="42"/>
    </row>
    <row r="149" spans="1:15" s="2" customFormat="1" x14ac:dyDescent="0.2">
      <c r="A149" s="24"/>
      <c r="B149" s="1"/>
      <c r="C149" s="14"/>
      <c r="D149" s="25"/>
      <c r="G149" s="54"/>
      <c r="H149" s="54"/>
      <c r="I149" s="53"/>
      <c r="J149" s="101"/>
      <c r="K149" s="1"/>
      <c r="L149" s="1"/>
      <c r="M149" s="1"/>
      <c r="N149" s="1"/>
      <c r="O149" s="1"/>
    </row>
    <row r="150" spans="1:15" x14ac:dyDescent="0.2">
      <c r="G150" s="54"/>
      <c r="H150" s="54"/>
      <c r="I150" s="53"/>
    </row>
    <row r="151" spans="1:15" x14ac:dyDescent="0.2">
      <c r="G151" s="54"/>
      <c r="H151" s="54"/>
      <c r="I151" s="53"/>
    </row>
    <row r="152" spans="1:15" x14ac:dyDescent="0.2">
      <c r="G152" s="54"/>
      <c r="H152" s="54"/>
      <c r="I152" s="53"/>
    </row>
  </sheetData>
  <sheetProtection insertRows="0"/>
  <mergeCells count="7">
    <mergeCell ref="K71:L71"/>
    <mergeCell ref="A78:D78"/>
    <mergeCell ref="C114:F114"/>
    <mergeCell ref="A1:H1"/>
    <mergeCell ref="A3:F3"/>
    <mergeCell ref="A9:F9"/>
    <mergeCell ref="A20:F20"/>
  </mergeCells>
  <conditionalFormatting sqref="H75:H76">
    <cfRule type="cellIs" dxfId="103" priority="1" operator="lessThan">
      <formula>0</formula>
    </cfRule>
  </conditionalFormatting>
  <conditionalFormatting sqref="C22">
    <cfRule type="duplicateValues" dxfId="102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F00-000000000000}">
  <sheetPr codeName="Sheet535">
    <pageSetUpPr fitToPage="1"/>
  </sheetPr>
  <dimension ref="A1:O140"/>
  <sheetViews>
    <sheetView topLeftCell="A31" zoomScaleNormal="100" workbookViewId="0">
      <selection activeCell="A28" sqref="A28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12.85546875" style="1" customWidth="1"/>
    <col min="9" max="9" width="24.85546875" style="2" bestFit="1" customWidth="1"/>
    <col min="10" max="10" width="21.5703125" style="1" bestFit="1" customWidth="1"/>
    <col min="11" max="11" width="16.85546875" style="1" bestFit="1" customWidth="1"/>
    <col min="12" max="12" width="17.28515625" style="1" bestFit="1" customWidth="1"/>
    <col min="13" max="13" width="13.5703125" style="1" bestFit="1" customWidth="1"/>
    <col min="14" max="14" width="17.42578125" style="1" bestFit="1" customWidth="1"/>
    <col min="15" max="15" width="12.85546875" style="1" bestFit="1" customWidth="1"/>
    <col min="16" max="17" width="9.140625" style="1"/>
    <col min="18" max="18" width="15.5703125" style="1" bestFit="1" customWidth="1"/>
    <col min="19" max="16384" width="9.140625" style="1"/>
  </cols>
  <sheetData>
    <row r="1" spans="1:14" ht="20.25" customHeight="1" x14ac:dyDescent="0.4">
      <c r="A1" s="212" t="s">
        <v>2018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4" ht="12.75" customHeight="1" x14ac:dyDescent="0.4">
      <c r="I2" s="112"/>
      <c r="J2" s="112"/>
    </row>
    <row r="3" spans="1:14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4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4" s="2" customFormat="1" ht="14.25" customHeight="1" x14ac:dyDescent="0.4">
      <c r="A5" s="89">
        <v>45321</v>
      </c>
      <c r="B5" s="9" t="s">
        <v>6</v>
      </c>
      <c r="C5" s="10" t="s">
        <v>7</v>
      </c>
      <c r="D5" s="11"/>
      <c r="E5" s="12">
        <v>565541.23000000045</v>
      </c>
      <c r="F5" s="12"/>
      <c r="G5" s="1"/>
      <c r="H5" s="1"/>
      <c r="I5" s="112"/>
      <c r="J5" s="112"/>
    </row>
    <row r="6" spans="1:14" s="2" customFormat="1" ht="12.75" customHeight="1" x14ac:dyDescent="0.2">
      <c r="D6" s="15" t="s">
        <v>8</v>
      </c>
      <c r="E6" s="16">
        <f>SUM(E5:E5)</f>
        <v>565541.23000000045</v>
      </c>
      <c r="F6" s="16">
        <f>F5</f>
        <v>0</v>
      </c>
      <c r="G6" s="1"/>
      <c r="H6" s="1"/>
      <c r="I6" s="13" t="s">
        <v>1582</v>
      </c>
      <c r="J6" s="13" t="s">
        <v>1583</v>
      </c>
    </row>
    <row r="7" spans="1:14" s="2" customFormat="1" ht="12.75" customHeight="1" x14ac:dyDescent="0.2">
      <c r="A7" s="17"/>
      <c r="B7" s="18"/>
      <c r="C7" s="19" t="s">
        <v>9</v>
      </c>
      <c r="D7" s="20"/>
      <c r="E7" s="21">
        <f>+E6-F6</f>
        <v>565541.23000000045</v>
      </c>
      <c r="F7" s="22"/>
      <c r="G7" s="23"/>
      <c r="H7" s="23"/>
      <c r="I7" s="2">
        <v>0</v>
      </c>
      <c r="J7" s="2">
        <v>0</v>
      </c>
      <c r="K7" s="176">
        <f>I7-J7</f>
        <v>0</v>
      </c>
    </row>
    <row r="8" spans="1:14" ht="12.75" customHeight="1" x14ac:dyDescent="0.4">
      <c r="I8" s="112"/>
      <c r="J8" s="112"/>
    </row>
    <row r="9" spans="1:14" ht="18" customHeight="1" x14ac:dyDescent="0.4">
      <c r="A9" s="213" t="s">
        <v>1037</v>
      </c>
      <c r="B9" s="213"/>
      <c r="C9" s="213"/>
      <c r="D9" s="213"/>
      <c r="E9" s="213"/>
      <c r="F9" s="213"/>
      <c r="I9" s="112"/>
      <c r="J9" s="169">
        <f>90000000-60000000</f>
        <v>30000000</v>
      </c>
      <c r="K9" s="169" t="s">
        <v>1508</v>
      </c>
    </row>
    <row r="10" spans="1:14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I10" s="112"/>
      <c r="J10" s="169">
        <v>25750012.559999999</v>
      </c>
      <c r="K10" s="169" t="s">
        <v>1509</v>
      </c>
      <c r="L10" s="124"/>
    </row>
    <row r="11" spans="1:14" s="2" customFormat="1" ht="14.25" customHeight="1" x14ac:dyDescent="0.2">
      <c r="A11" s="89">
        <v>45321</v>
      </c>
      <c r="B11" s="9" t="s">
        <v>6</v>
      </c>
      <c r="C11" s="10" t="s">
        <v>7</v>
      </c>
      <c r="D11" s="11"/>
      <c r="F11" s="12">
        <v>25058443.260000002</v>
      </c>
      <c r="G11" s="1"/>
      <c r="H11" s="1"/>
      <c r="I11" s="130" t="s">
        <v>396</v>
      </c>
      <c r="J11" s="169">
        <f>+J9-J10</f>
        <v>4249987.4400000013</v>
      </c>
      <c r="K11" s="169" t="s">
        <v>712</v>
      </c>
      <c r="L11" s="165" t="s">
        <v>1512</v>
      </c>
    </row>
    <row r="12" spans="1:14" s="2" customFormat="1" ht="14.25" customHeight="1" x14ac:dyDescent="0.2">
      <c r="A12" s="89">
        <v>45321</v>
      </c>
      <c r="B12" s="9" t="s">
        <v>6</v>
      </c>
      <c r="C12" s="76" t="s">
        <v>1647</v>
      </c>
      <c r="D12" s="11" t="s">
        <v>13</v>
      </c>
      <c r="E12" s="31">
        <v>5444</v>
      </c>
      <c r="F12" s="31"/>
      <c r="G12" s="1"/>
      <c r="H12" s="1"/>
      <c r="I12" s="130"/>
      <c r="J12" s="169"/>
      <c r="K12" s="169"/>
      <c r="L12" s="165"/>
    </row>
    <row r="13" spans="1:14" s="2" customFormat="1" ht="14.25" customHeight="1" x14ac:dyDescent="0.2">
      <c r="A13" s="89">
        <v>45321</v>
      </c>
      <c r="B13" s="9" t="s">
        <v>11</v>
      </c>
      <c r="C13" s="76" t="s">
        <v>1502</v>
      </c>
      <c r="D13" s="11" t="s">
        <v>29</v>
      </c>
      <c r="E13" s="31"/>
      <c r="F13" s="31">
        <v>212213</v>
      </c>
      <c r="G13" s="1"/>
      <c r="H13" s="1"/>
      <c r="I13" s="130"/>
      <c r="J13" s="169"/>
      <c r="K13" s="169"/>
      <c r="L13" s="165"/>
    </row>
    <row r="14" spans="1:14" s="2" customFormat="1" ht="14.25" customHeight="1" x14ac:dyDescent="0.2">
      <c r="A14" s="89">
        <v>45321</v>
      </c>
      <c r="B14" s="9" t="s">
        <v>11</v>
      </c>
      <c r="C14" s="76" t="s">
        <v>2019</v>
      </c>
      <c r="D14" s="11" t="s">
        <v>29</v>
      </c>
      <c r="E14" s="31"/>
      <c r="F14" s="31">
        <v>484800</v>
      </c>
      <c r="G14" s="1"/>
      <c r="H14" s="1"/>
      <c r="I14" s="130"/>
      <c r="J14" s="169"/>
      <c r="K14" s="169"/>
      <c r="L14" s="165"/>
    </row>
    <row r="15" spans="1:14" s="2" customFormat="1" ht="14.25" customHeight="1" x14ac:dyDescent="0.2">
      <c r="D15" s="11" t="s">
        <v>8</v>
      </c>
      <c r="E15" s="16">
        <f>SUM(E12:E14)</f>
        <v>5444</v>
      </c>
      <c r="F15" s="16">
        <f>SUM(F11:F14)</f>
        <v>25755456.260000002</v>
      </c>
      <c r="G15" s="1"/>
      <c r="H15" s="1"/>
      <c r="I15" s="143"/>
      <c r="J15" s="130"/>
      <c r="K15" s="143"/>
      <c r="L15" s="143"/>
      <c r="M15" s="143"/>
      <c r="N15" s="143"/>
    </row>
    <row r="16" spans="1:14" s="2" customFormat="1" ht="14.25" customHeight="1" x14ac:dyDescent="0.4">
      <c r="A16" s="17"/>
      <c r="B16" s="18"/>
      <c r="C16" s="96" t="s">
        <v>9</v>
      </c>
      <c r="D16" s="20"/>
      <c r="E16" s="21">
        <f>+F15-E15</f>
        <v>25750012.260000002</v>
      </c>
      <c r="G16" s="1"/>
      <c r="H16" s="1"/>
      <c r="J16" s="112"/>
      <c r="K16" s="153" t="s">
        <v>779</v>
      </c>
    </row>
    <row r="17" spans="1:12" s="2" customFormat="1" ht="14.25" customHeight="1" x14ac:dyDescent="0.2">
      <c r="A17" s="17"/>
      <c r="B17" s="28" t="s">
        <v>66</v>
      </c>
      <c r="C17" s="43" t="s">
        <v>1458</v>
      </c>
      <c r="D17" s="43"/>
      <c r="E17" s="12">
        <f>30000000+60000000</f>
        <v>90000000</v>
      </c>
      <c r="F17" s="22"/>
      <c r="G17" s="1"/>
      <c r="H17" s="1"/>
      <c r="J17" s="40">
        <v>25750012.559999999</v>
      </c>
      <c r="K17" s="154">
        <f>J17-E16</f>
        <v>0.29999999701976776</v>
      </c>
    </row>
    <row r="18" spans="1:12" s="2" customFormat="1" ht="14.25" customHeight="1" x14ac:dyDescent="0.25">
      <c r="A18" s="36"/>
      <c r="B18" s="28"/>
      <c r="C18" s="44" t="s">
        <v>1541</v>
      </c>
      <c r="D18" s="43"/>
      <c r="E18" s="7">
        <f>+E16+E17</f>
        <v>115750012.26000001</v>
      </c>
      <c r="F18" s="22"/>
      <c r="G18" s="1"/>
      <c r="H18" s="1"/>
      <c r="I18" s="13" t="s">
        <v>1582</v>
      </c>
      <c r="J18" s="13" t="s">
        <v>1583</v>
      </c>
    </row>
    <row r="19" spans="1:12" s="2" customFormat="1" ht="14.25" customHeight="1" x14ac:dyDescent="0.25">
      <c r="A19" s="36"/>
      <c r="B19" s="28"/>
      <c r="C19" s="44" t="s">
        <v>1511</v>
      </c>
      <c r="D19" s="43"/>
      <c r="E19" s="38">
        <f>+J11+I7-J7</f>
        <v>4249987.4400000013</v>
      </c>
      <c r="F19" s="22"/>
      <c r="G19" s="1"/>
      <c r="H19" s="1"/>
      <c r="I19" s="2">
        <v>1933367</v>
      </c>
      <c r="J19" s="2">
        <v>13229638.800000001</v>
      </c>
      <c r="K19" s="176">
        <f>I19-J19</f>
        <v>-11296271.800000001</v>
      </c>
    </row>
    <row r="20" spans="1:12" s="2" customFormat="1" ht="14.25" customHeight="1" x14ac:dyDescent="0.2">
      <c r="A20" s="24"/>
      <c r="B20" s="1"/>
      <c r="C20" s="14"/>
      <c r="D20" s="25"/>
      <c r="G20" s="1"/>
      <c r="H20" s="1"/>
      <c r="J20" s="130"/>
      <c r="K20" s="130"/>
    </row>
    <row r="21" spans="1:12" s="2" customFormat="1" x14ac:dyDescent="0.2">
      <c r="A21" s="214" t="s">
        <v>10</v>
      </c>
      <c r="B21" s="214"/>
      <c r="C21" s="214"/>
      <c r="D21" s="214"/>
      <c r="E21" s="214"/>
      <c r="F21" s="214"/>
      <c r="G21" s="1"/>
      <c r="H21" s="1"/>
      <c r="I21" s="159"/>
      <c r="J21" s="160">
        <v>100000000</v>
      </c>
      <c r="K21" s="160" t="s">
        <v>1506</v>
      </c>
      <c r="L21" s="70"/>
    </row>
    <row r="22" spans="1:12" s="2" customFormat="1" ht="15" x14ac:dyDescent="0.35">
      <c r="A22" s="26" t="s">
        <v>1</v>
      </c>
      <c r="B22" s="27" t="s">
        <v>2</v>
      </c>
      <c r="C22" s="5"/>
      <c r="D22" s="6" t="s">
        <v>3</v>
      </c>
      <c r="E22" s="7" t="s">
        <v>4</v>
      </c>
      <c r="F22" s="7" t="s">
        <v>5</v>
      </c>
      <c r="G22" s="1"/>
      <c r="H22" s="1"/>
      <c r="I22" s="159"/>
      <c r="J22" s="179">
        <v>70847464.010000005</v>
      </c>
      <c r="K22" s="160" t="s">
        <v>1507</v>
      </c>
      <c r="L22" s="70" t="s">
        <v>1512</v>
      </c>
    </row>
    <row r="23" spans="1:12" s="2" customFormat="1" x14ac:dyDescent="0.2">
      <c r="A23" s="89">
        <v>45321</v>
      </c>
      <c r="B23" s="128" t="s">
        <v>11</v>
      </c>
      <c r="C23" s="29" t="s">
        <v>7</v>
      </c>
      <c r="D23" s="25"/>
      <c r="E23" s="31"/>
      <c r="F23" s="2">
        <v>78593915.629999906</v>
      </c>
      <c r="G23" s="23"/>
      <c r="H23" s="23"/>
      <c r="I23" s="159" t="s">
        <v>1505</v>
      </c>
      <c r="J23" s="160">
        <f>+J21-J22</f>
        <v>29152535.989999995</v>
      </c>
      <c r="K23" s="160"/>
      <c r="L23" s="70"/>
    </row>
    <row r="24" spans="1:12" s="2" customFormat="1" x14ac:dyDescent="0.2">
      <c r="A24" s="89">
        <v>45321</v>
      </c>
      <c r="B24" s="128" t="s">
        <v>6</v>
      </c>
      <c r="C24" s="76" t="s">
        <v>2020</v>
      </c>
      <c r="D24" s="11" t="s">
        <v>13</v>
      </c>
      <c r="E24" s="31">
        <v>2961</v>
      </c>
      <c r="G24" s="23"/>
      <c r="H24" s="23"/>
      <c r="I24" s="159"/>
      <c r="J24" s="160"/>
      <c r="K24" s="160"/>
      <c r="L24" s="70"/>
    </row>
    <row r="25" spans="1:12" s="2" customFormat="1" x14ac:dyDescent="0.2">
      <c r="A25" s="89">
        <v>45321</v>
      </c>
      <c r="B25" s="128" t="s">
        <v>6</v>
      </c>
      <c r="C25" s="76" t="s">
        <v>318</v>
      </c>
      <c r="D25" s="11" t="s">
        <v>13</v>
      </c>
      <c r="E25" s="31">
        <v>1598536</v>
      </c>
      <c r="G25" s="23"/>
      <c r="H25" s="23"/>
      <c r="I25" s="159"/>
      <c r="J25" s="160"/>
      <c r="K25" s="160"/>
      <c r="L25" s="70"/>
    </row>
    <row r="26" spans="1:12" s="2" customFormat="1" x14ac:dyDescent="0.2">
      <c r="A26" s="89">
        <v>45321</v>
      </c>
      <c r="B26" s="128" t="s">
        <v>6</v>
      </c>
      <c r="C26" s="76" t="s">
        <v>760</v>
      </c>
      <c r="D26" s="11" t="s">
        <v>13</v>
      </c>
      <c r="E26" s="31">
        <v>4696719.5999999996</v>
      </c>
      <c r="G26" s="23"/>
      <c r="H26" s="23"/>
      <c r="I26" s="159"/>
      <c r="J26" s="160"/>
      <c r="K26" s="160"/>
      <c r="L26" s="70"/>
    </row>
    <row r="27" spans="1:12" s="2" customFormat="1" x14ac:dyDescent="0.2">
      <c r="A27" s="89">
        <v>45321</v>
      </c>
      <c r="B27" s="128" t="s">
        <v>6</v>
      </c>
      <c r="C27" s="76" t="s">
        <v>174</v>
      </c>
      <c r="D27" s="11" t="s">
        <v>13</v>
      </c>
      <c r="E27" s="31">
        <v>2894977</v>
      </c>
      <c r="G27" s="23"/>
      <c r="H27" s="23"/>
      <c r="I27" s="159"/>
      <c r="J27" s="160"/>
      <c r="K27" s="160"/>
      <c r="L27" s="70"/>
    </row>
    <row r="28" spans="1:12" s="2" customFormat="1" x14ac:dyDescent="0.2">
      <c r="A28" s="89">
        <v>45321</v>
      </c>
      <c r="B28" s="128" t="s">
        <v>6</v>
      </c>
      <c r="C28" s="76" t="s">
        <v>27</v>
      </c>
      <c r="D28" s="11" t="s">
        <v>13</v>
      </c>
      <c r="E28" s="31">
        <v>30841</v>
      </c>
      <c r="G28" s="23"/>
      <c r="H28" s="23"/>
      <c r="I28" s="159"/>
      <c r="J28" s="160"/>
      <c r="K28" s="160"/>
      <c r="L28" s="70"/>
    </row>
    <row r="29" spans="1:12" s="2" customFormat="1" x14ac:dyDescent="0.2">
      <c r="A29" s="89">
        <v>45321</v>
      </c>
      <c r="B29" s="128" t="s">
        <v>6</v>
      </c>
      <c r="C29" s="76" t="s">
        <v>64</v>
      </c>
      <c r="D29" s="11" t="s">
        <v>29</v>
      </c>
      <c r="E29" s="31"/>
      <c r="F29" s="2">
        <v>1487.98</v>
      </c>
      <c r="G29" s="23"/>
      <c r="H29" s="23"/>
      <c r="I29" s="159"/>
      <c r="J29" s="160"/>
      <c r="K29" s="160"/>
      <c r="L29" s="70"/>
    </row>
    <row r="30" spans="1:12" s="2" customFormat="1" x14ac:dyDescent="0.2">
      <c r="A30" s="89">
        <v>45321</v>
      </c>
      <c r="B30" s="128" t="s">
        <v>11</v>
      </c>
      <c r="C30" s="76" t="s">
        <v>1734</v>
      </c>
      <c r="D30" s="11" t="s">
        <v>29</v>
      </c>
      <c r="E30" s="31"/>
      <c r="F30" s="2">
        <v>475640</v>
      </c>
      <c r="G30" s="23"/>
      <c r="H30" s="23"/>
      <c r="I30" s="159"/>
      <c r="J30" s="160"/>
      <c r="K30" s="160"/>
      <c r="L30" s="70"/>
    </row>
    <row r="31" spans="1:12" s="2" customFormat="1" x14ac:dyDescent="0.2">
      <c r="A31" s="89">
        <v>45321</v>
      </c>
      <c r="B31" s="128" t="s">
        <v>11</v>
      </c>
      <c r="C31" s="76" t="s">
        <v>284</v>
      </c>
      <c r="D31" s="11" t="s">
        <v>29</v>
      </c>
      <c r="E31" s="31"/>
      <c r="F31" s="2">
        <v>16522</v>
      </c>
      <c r="G31" s="23"/>
      <c r="H31" s="23"/>
      <c r="I31" s="159"/>
      <c r="J31" s="160"/>
      <c r="K31" s="160"/>
      <c r="L31" s="70"/>
    </row>
    <row r="32" spans="1:12" s="2" customFormat="1" x14ac:dyDescent="0.2">
      <c r="A32" s="89">
        <v>45321</v>
      </c>
      <c r="B32" s="128" t="s">
        <v>11</v>
      </c>
      <c r="C32" s="76" t="s">
        <v>436</v>
      </c>
      <c r="D32" s="11" t="s">
        <v>29</v>
      </c>
      <c r="E32" s="31"/>
      <c r="F32" s="2">
        <v>7670</v>
      </c>
      <c r="G32" s="23"/>
      <c r="H32" s="23"/>
      <c r="I32" s="159"/>
      <c r="J32" s="160"/>
      <c r="K32" s="160"/>
      <c r="L32" s="70"/>
    </row>
    <row r="33" spans="1:15" s="2" customFormat="1" x14ac:dyDescent="0.2">
      <c r="A33" s="89">
        <v>45321</v>
      </c>
      <c r="B33" s="128" t="s">
        <v>11</v>
      </c>
      <c r="C33" s="76" t="s">
        <v>626</v>
      </c>
      <c r="D33" s="11" t="s">
        <v>29</v>
      </c>
      <c r="E33" s="31"/>
      <c r="F33" s="2">
        <v>12338</v>
      </c>
      <c r="G33" s="23"/>
      <c r="H33" s="23"/>
      <c r="I33" s="159"/>
      <c r="J33" s="160"/>
      <c r="K33" s="160"/>
      <c r="L33" s="70"/>
    </row>
    <row r="34" spans="1:15" s="2" customFormat="1" x14ac:dyDescent="0.2">
      <c r="A34" s="89">
        <v>45321</v>
      </c>
      <c r="B34" s="128" t="s">
        <v>11</v>
      </c>
      <c r="C34" s="76" t="s">
        <v>193</v>
      </c>
      <c r="D34" s="11" t="s">
        <v>29</v>
      </c>
      <c r="E34" s="31"/>
      <c r="F34" s="2">
        <v>2175351</v>
      </c>
      <c r="G34" s="23"/>
      <c r="H34" s="23"/>
      <c r="I34" s="159"/>
      <c r="J34" s="160"/>
      <c r="K34" s="160"/>
      <c r="L34" s="70"/>
    </row>
    <row r="35" spans="1:15" s="2" customFormat="1" x14ac:dyDescent="0.2">
      <c r="A35" s="89">
        <v>45321</v>
      </c>
      <c r="B35" s="128" t="s">
        <v>11</v>
      </c>
      <c r="C35" s="76" t="s">
        <v>745</v>
      </c>
      <c r="D35" s="11" t="s">
        <v>29</v>
      </c>
      <c r="E35" s="31"/>
      <c r="F35" s="2">
        <v>2518531</v>
      </c>
      <c r="G35" s="23"/>
      <c r="H35" s="23"/>
      <c r="I35" s="159"/>
      <c r="J35" s="160"/>
      <c r="K35" s="160"/>
      <c r="L35" s="70"/>
    </row>
    <row r="36" spans="1:15" s="2" customFormat="1" x14ac:dyDescent="0.2">
      <c r="A36" s="89">
        <v>45321</v>
      </c>
      <c r="B36" s="128" t="s">
        <v>11</v>
      </c>
      <c r="C36" s="76" t="s">
        <v>790</v>
      </c>
      <c r="D36" s="11" t="s">
        <v>29</v>
      </c>
      <c r="E36" s="31"/>
      <c r="F36" s="2">
        <v>940205</v>
      </c>
      <c r="G36" s="23"/>
      <c r="H36" s="23"/>
      <c r="I36" s="159"/>
      <c r="J36" s="160"/>
      <c r="K36" s="160"/>
      <c r="L36" s="70"/>
    </row>
    <row r="37" spans="1:15" s="2" customFormat="1" x14ac:dyDescent="0.2">
      <c r="A37" s="89">
        <v>45321</v>
      </c>
      <c r="B37" s="128" t="s">
        <v>11</v>
      </c>
      <c r="C37" s="76" t="s">
        <v>1856</v>
      </c>
      <c r="D37" s="11" t="s">
        <v>29</v>
      </c>
      <c r="E37" s="31"/>
      <c r="F37" s="2">
        <v>243973.8</v>
      </c>
      <c r="G37" s="23"/>
      <c r="H37" s="23"/>
      <c r="I37" s="159"/>
      <c r="J37" s="160"/>
      <c r="K37" s="160"/>
      <c r="L37" s="70"/>
    </row>
    <row r="38" spans="1:15" s="2" customFormat="1" x14ac:dyDescent="0.2">
      <c r="A38" s="89">
        <v>45321</v>
      </c>
      <c r="B38" s="128" t="s">
        <v>11</v>
      </c>
      <c r="C38" s="76" t="s">
        <v>849</v>
      </c>
      <c r="D38" s="11" t="s">
        <v>29</v>
      </c>
      <c r="E38" s="31"/>
      <c r="F38" s="2">
        <v>365062</v>
      </c>
      <c r="G38" s="23"/>
      <c r="H38" s="23"/>
      <c r="I38" s="159"/>
      <c r="J38" s="160"/>
      <c r="K38" s="160"/>
      <c r="L38" s="70"/>
    </row>
    <row r="39" spans="1:15" s="2" customFormat="1" x14ac:dyDescent="0.2">
      <c r="A39" s="89">
        <v>45321</v>
      </c>
      <c r="B39" s="128" t="s">
        <v>11</v>
      </c>
      <c r="C39" s="76" t="s">
        <v>300</v>
      </c>
      <c r="D39" s="11" t="s">
        <v>29</v>
      </c>
      <c r="E39" s="31"/>
      <c r="F39" s="2">
        <v>337263</v>
      </c>
      <c r="G39" s="23"/>
      <c r="H39" s="23"/>
      <c r="I39" s="159"/>
      <c r="J39" s="160"/>
      <c r="K39" s="160"/>
      <c r="L39" s="70"/>
    </row>
    <row r="40" spans="1:15" s="2" customFormat="1" x14ac:dyDescent="0.2">
      <c r="A40" s="89">
        <v>45321</v>
      </c>
      <c r="B40" s="128" t="s">
        <v>11</v>
      </c>
      <c r="C40" s="76" t="s">
        <v>2021</v>
      </c>
      <c r="D40" s="11" t="s">
        <v>29</v>
      </c>
      <c r="E40" s="31"/>
      <c r="F40" s="2">
        <v>107160</v>
      </c>
      <c r="G40" s="23"/>
      <c r="H40" s="23"/>
      <c r="I40" s="159"/>
      <c r="J40" s="160"/>
      <c r="K40" s="160"/>
      <c r="L40" s="70"/>
    </row>
    <row r="41" spans="1:15" s="2" customFormat="1" x14ac:dyDescent="0.2">
      <c r="A41" s="89">
        <v>45321</v>
      </c>
      <c r="B41" s="128" t="s">
        <v>11</v>
      </c>
      <c r="C41" s="76" t="s">
        <v>50</v>
      </c>
      <c r="D41" s="11" t="s">
        <v>29</v>
      </c>
      <c r="E41" s="31"/>
      <c r="F41" s="2">
        <v>440960</v>
      </c>
      <c r="G41" s="23"/>
      <c r="H41" s="23"/>
      <c r="I41" s="159"/>
      <c r="J41" s="160"/>
      <c r="K41" s="160"/>
      <c r="L41" s="70"/>
    </row>
    <row r="42" spans="1:15" s="2" customFormat="1" x14ac:dyDescent="0.2">
      <c r="A42" s="89">
        <v>45321</v>
      </c>
      <c r="B42" s="128" t="s">
        <v>11</v>
      </c>
      <c r="C42" s="76" t="s">
        <v>1403</v>
      </c>
      <c r="D42" s="11" t="s">
        <v>29</v>
      </c>
      <c r="E42" s="31"/>
      <c r="F42" s="2">
        <v>5131691</v>
      </c>
      <c r="G42" s="23"/>
      <c r="H42" s="23"/>
      <c r="I42" s="159"/>
      <c r="J42" s="160"/>
      <c r="K42" s="160"/>
      <c r="L42" s="70"/>
    </row>
    <row r="43" spans="1:15" s="2" customFormat="1" x14ac:dyDescent="0.2">
      <c r="A43" s="32"/>
      <c r="B43" s="33"/>
      <c r="C43" s="14"/>
      <c r="D43" s="34"/>
      <c r="E43" s="16">
        <f>SUM(E23:E42)</f>
        <v>9224034.5999999996</v>
      </c>
      <c r="F43" s="16">
        <f>SUM(F23:F42)</f>
        <v>91367770.409999907</v>
      </c>
      <c r="G43" s="1"/>
      <c r="H43" s="1"/>
      <c r="I43" s="1"/>
      <c r="J43" s="38">
        <v>82143735.810000002</v>
      </c>
      <c r="L43" s="92">
        <f>E44-J43</f>
        <v>0</v>
      </c>
      <c r="O43" s="1"/>
    </row>
    <row r="44" spans="1:15" s="2" customFormat="1" x14ac:dyDescent="0.2">
      <c r="A44" s="36"/>
      <c r="B44" s="28" t="s">
        <v>11</v>
      </c>
      <c r="C44" s="19" t="s">
        <v>65</v>
      </c>
      <c r="D44" s="37"/>
      <c r="E44" s="38">
        <f>F43-E43</f>
        <v>82143735.809999913</v>
      </c>
      <c r="F44" s="22"/>
      <c r="G44" s="1"/>
      <c r="H44" s="1"/>
      <c r="I44" s="1"/>
      <c r="J44" s="70"/>
      <c r="K44" s="70"/>
      <c r="L44" s="70"/>
      <c r="O44" s="1"/>
    </row>
    <row r="45" spans="1:15" s="2" customFormat="1" x14ac:dyDescent="0.2">
      <c r="A45" s="36"/>
      <c r="B45" s="28" t="s">
        <v>66</v>
      </c>
      <c r="C45" s="19" t="s">
        <v>67</v>
      </c>
      <c r="D45" s="37"/>
      <c r="E45" s="38">
        <v>11500000</v>
      </c>
      <c r="F45" s="22"/>
      <c r="G45" s="1"/>
      <c r="H45" s="1"/>
      <c r="I45" s="70"/>
      <c r="J45" s="70"/>
      <c r="K45" s="70"/>
      <c r="L45" s="70"/>
      <c r="O45" s="1"/>
    </row>
    <row r="46" spans="1:15" s="2" customFormat="1" x14ac:dyDescent="0.2">
      <c r="A46" s="36"/>
      <c r="B46" s="28" t="s">
        <v>66</v>
      </c>
      <c r="C46" s="43" t="s">
        <v>1457</v>
      </c>
      <c r="D46" s="43"/>
      <c r="E46" s="12">
        <v>400000000</v>
      </c>
      <c r="F46" s="22"/>
      <c r="G46" s="1"/>
      <c r="H46" s="1"/>
      <c r="I46" s="70"/>
      <c r="J46" s="45">
        <v>1461.57</v>
      </c>
      <c r="K46" s="46"/>
      <c r="L46" s="46"/>
      <c r="O46" s="1"/>
    </row>
    <row r="47" spans="1:15" s="2" customFormat="1" ht="15" x14ac:dyDescent="0.25">
      <c r="A47" s="36"/>
      <c r="B47" s="28"/>
      <c r="C47" s="44" t="s">
        <v>1541</v>
      </c>
      <c r="D47" s="43"/>
      <c r="E47" s="7">
        <f>+E46+E44+E45</f>
        <v>493643735.80999994</v>
      </c>
      <c r="F47" s="22"/>
      <c r="G47" s="1"/>
      <c r="H47" s="1"/>
      <c r="I47" s="103" t="s">
        <v>69</v>
      </c>
      <c r="J47" s="45">
        <v>-89.85</v>
      </c>
      <c r="K47" s="46"/>
      <c r="L47" s="46"/>
      <c r="O47" s="1"/>
    </row>
    <row r="48" spans="1:15" s="2" customFormat="1" ht="15" x14ac:dyDescent="0.25">
      <c r="A48" s="24"/>
      <c r="B48" s="1"/>
      <c r="C48" s="44" t="s">
        <v>1510</v>
      </c>
      <c r="D48" s="25"/>
      <c r="E48" s="156">
        <f>+J23-E45+I19-J19</f>
        <v>6356264.1899999939</v>
      </c>
      <c r="G48" s="1"/>
      <c r="H48" s="1"/>
      <c r="I48" s="35">
        <v>1</v>
      </c>
      <c r="J48" s="45">
        <v>60.77</v>
      </c>
      <c r="K48" s="46">
        <f>+J49-D51</f>
        <v>0</v>
      </c>
      <c r="O48" s="1"/>
    </row>
    <row r="49" spans="1:14" s="124" customFormat="1" ht="12.75" customHeight="1" x14ac:dyDescent="0.2">
      <c r="A49" s="24"/>
      <c r="B49" s="1"/>
      <c r="C49" s="56"/>
      <c r="D49" s="56"/>
      <c r="E49" s="104"/>
      <c r="F49" s="2"/>
      <c r="G49" s="166"/>
      <c r="H49" s="166"/>
      <c r="I49" s="70"/>
      <c r="J49" s="49">
        <f>SUM(J46:J48)</f>
        <v>1432.49</v>
      </c>
      <c r="K49" s="46"/>
      <c r="L49" s="46"/>
    </row>
    <row r="50" spans="1:14" s="124" customFormat="1" ht="12.75" customHeight="1" x14ac:dyDescent="0.2">
      <c r="A50" s="24"/>
      <c r="B50" s="1"/>
      <c r="C50" s="78" t="s">
        <v>575</v>
      </c>
      <c r="D50" s="48" t="s">
        <v>576</v>
      </c>
      <c r="E50" s="104"/>
      <c r="F50" s="2"/>
      <c r="G50" s="168"/>
      <c r="H50" s="168"/>
      <c r="I50" s="167"/>
      <c r="J50" s="167"/>
      <c r="K50" s="168"/>
    </row>
    <row r="51" spans="1:14" s="124" customFormat="1" ht="12.75" customHeight="1" x14ac:dyDescent="0.2">
      <c r="A51" s="24"/>
      <c r="B51" s="1"/>
      <c r="C51" s="47" t="s">
        <v>570</v>
      </c>
      <c r="D51" s="111">
        <v>1432.49</v>
      </c>
      <c r="E51" s="104"/>
      <c r="F51" s="2"/>
      <c r="G51" s="168"/>
      <c r="H51" s="168"/>
      <c r="I51" s="110" t="s">
        <v>581</v>
      </c>
      <c r="J51" s="167"/>
      <c r="K51" s="168"/>
    </row>
    <row r="52" spans="1:14" s="124" customFormat="1" ht="12.75" customHeight="1" x14ac:dyDescent="0.2">
      <c r="A52" s="24"/>
      <c r="B52" s="1"/>
      <c r="C52" s="47" t="s">
        <v>931</v>
      </c>
      <c r="D52" s="111">
        <v>254.58</v>
      </c>
      <c r="E52" s="104"/>
      <c r="F52" s="2"/>
      <c r="G52" s="168"/>
      <c r="H52" s="168"/>
      <c r="I52" s="110" t="s">
        <v>580</v>
      </c>
      <c r="J52" s="167"/>
      <c r="K52" s="168"/>
    </row>
    <row r="53" spans="1:14" s="124" customFormat="1" ht="12.75" customHeight="1" x14ac:dyDescent="0.2">
      <c r="A53" s="24"/>
      <c r="B53" s="1"/>
      <c r="C53" s="47" t="s">
        <v>572</v>
      </c>
      <c r="D53" s="111">
        <f>+D100/100000</f>
        <v>928.22658740000008</v>
      </c>
      <c r="E53" s="104"/>
      <c r="F53" s="2"/>
      <c r="G53" s="166"/>
      <c r="H53" s="166"/>
      <c r="I53" s="90" t="s">
        <v>587</v>
      </c>
      <c r="J53" s="167"/>
      <c r="K53" s="168"/>
    </row>
    <row r="54" spans="1:14" s="2" customFormat="1" x14ac:dyDescent="0.2">
      <c r="A54" s="24"/>
      <c r="B54" s="1"/>
      <c r="C54" s="108" t="s">
        <v>578</v>
      </c>
      <c r="D54" s="48">
        <f>SUM(D51:D53)</f>
        <v>2615.2965874000001</v>
      </c>
      <c r="E54" s="104"/>
      <c r="G54" s="30"/>
      <c r="H54" s="30"/>
      <c r="J54" s="13"/>
      <c r="K54" s="13"/>
    </row>
    <row r="55" spans="1:14" s="70" customFormat="1" x14ac:dyDescent="0.2">
      <c r="A55" s="24"/>
      <c r="B55" s="1"/>
      <c r="C55" s="47"/>
      <c r="D55" s="107"/>
      <c r="E55" s="104"/>
      <c r="F55" s="2"/>
      <c r="G55" s="30"/>
      <c r="H55" s="30"/>
      <c r="I55" s="2"/>
    </row>
    <row r="56" spans="1:14" s="70" customFormat="1" x14ac:dyDescent="0.2">
      <c r="A56" s="24"/>
      <c r="B56" s="1"/>
      <c r="C56" s="47" t="s">
        <v>932</v>
      </c>
      <c r="D56" s="111">
        <v>401.63</v>
      </c>
      <c r="E56" s="104"/>
      <c r="F56" s="2"/>
      <c r="G56" s="30"/>
      <c r="H56" s="30"/>
      <c r="I56" s="110" t="s">
        <v>581</v>
      </c>
    </row>
    <row r="57" spans="1:14" s="70" customFormat="1" x14ac:dyDescent="0.2">
      <c r="A57" s="24"/>
      <c r="B57" s="1"/>
      <c r="C57" s="136" t="s">
        <v>1142</v>
      </c>
      <c r="D57" s="111">
        <v>1247.92</v>
      </c>
      <c r="E57" s="104"/>
      <c r="F57" s="2"/>
      <c r="G57" s="30"/>
      <c r="H57" s="30"/>
      <c r="I57" s="110" t="s">
        <v>581</v>
      </c>
    </row>
    <row r="58" spans="1:14" s="70" customFormat="1" x14ac:dyDescent="0.2">
      <c r="A58" s="24"/>
      <c r="B58" s="1"/>
      <c r="C58" s="78" t="s">
        <v>579</v>
      </c>
      <c r="D58" s="109">
        <f>D56+D57</f>
        <v>1649.5500000000002</v>
      </c>
      <c r="E58" s="104"/>
      <c r="F58" s="2"/>
      <c r="G58" s="30"/>
      <c r="H58" s="30"/>
    </row>
    <row r="59" spans="1:14" s="70" customFormat="1" x14ac:dyDescent="0.2">
      <c r="A59" s="24"/>
      <c r="B59" s="1"/>
      <c r="C59" s="105"/>
      <c r="D59" s="106"/>
      <c r="E59" s="104"/>
      <c r="F59" s="2"/>
      <c r="G59" s="30"/>
      <c r="H59" s="30"/>
      <c r="J59" s="2"/>
      <c r="K59" s="221" t="str">
        <f>"FROM ( 01-01-2024 to "&amp;TEXT(A5,"dd-mm-yyyy")&amp;" )"</f>
        <v>FROM ( 01-01-2024 to 30-01-2024 )</v>
      </c>
      <c r="L59" s="221"/>
      <c r="M59" s="2"/>
      <c r="N59" s="2"/>
    </row>
    <row r="60" spans="1:14" s="70" customFormat="1" x14ac:dyDescent="0.2">
      <c r="A60" s="24"/>
      <c r="B60" s="1"/>
      <c r="C60" s="78" t="s">
        <v>577</v>
      </c>
      <c r="D60" s="109">
        <f>D51+D58</f>
        <v>3082.04</v>
      </c>
      <c r="E60" s="104"/>
      <c r="F60" s="2"/>
      <c r="G60" s="30"/>
      <c r="H60" s="30"/>
      <c r="J60" s="113"/>
      <c r="K60" s="113" t="s">
        <v>709</v>
      </c>
      <c r="L60" s="113" t="s">
        <v>710</v>
      </c>
      <c r="M60" s="113" t="s">
        <v>711</v>
      </c>
      <c r="N60" s="113" t="s">
        <v>712</v>
      </c>
    </row>
    <row r="61" spans="1:14" s="70" customFormat="1" x14ac:dyDescent="0.2">
      <c r="A61" s="24"/>
      <c r="B61" s="1"/>
      <c r="C61" s="56"/>
      <c r="D61" s="56"/>
      <c r="E61" s="104"/>
      <c r="F61" s="2"/>
      <c r="G61" s="30"/>
      <c r="H61" s="30"/>
      <c r="J61" s="113" t="s">
        <v>1860</v>
      </c>
      <c r="K61" s="115">
        <v>189.89</v>
      </c>
      <c r="L61" s="115">
        <v>56.31</v>
      </c>
      <c r="M61" s="115">
        <v>58.41</v>
      </c>
      <c r="N61" s="113">
        <f>+K61+M61-L61</f>
        <v>191.98999999999998</v>
      </c>
    </row>
    <row r="62" spans="1:14" s="70" customFormat="1" ht="38.25" x14ac:dyDescent="0.2">
      <c r="A62" s="24"/>
      <c r="B62" s="1"/>
      <c r="C62" s="79" t="str">
        <f>"Particulars ( 01-01-2024 to "&amp;TEXT(A5,"dd-mm-yyyy")&amp;" )"</f>
        <v>Particulars ( 01-01-2024 to 30-01-2024 )</v>
      </c>
      <c r="D62" s="79" t="s">
        <v>7</v>
      </c>
      <c r="E62" s="80" t="s">
        <v>73</v>
      </c>
      <c r="F62" s="80" t="s">
        <v>74</v>
      </c>
      <c r="G62" s="81" t="s">
        <v>75</v>
      </c>
      <c r="H62" s="80" t="s">
        <v>76</v>
      </c>
      <c r="J62" s="113" t="s">
        <v>1861</v>
      </c>
      <c r="K62" s="115">
        <v>1669.02</v>
      </c>
      <c r="L62" s="115">
        <v>928.23</v>
      </c>
      <c r="M62" s="115">
        <v>1245.82</v>
      </c>
      <c r="N62" s="113">
        <f>+K62+M62-L62</f>
        <v>1986.6100000000001</v>
      </c>
    </row>
    <row r="63" spans="1:14" s="70" customFormat="1" x14ac:dyDescent="0.2">
      <c r="A63" s="24"/>
      <c r="B63" s="1"/>
      <c r="C63" s="50" t="s">
        <v>444</v>
      </c>
      <c r="D63" s="55">
        <f>+K63</f>
        <v>140.88</v>
      </c>
      <c r="E63" s="55">
        <f>+M63</f>
        <v>401.63</v>
      </c>
      <c r="F63" s="55">
        <f>+L63</f>
        <v>254.58</v>
      </c>
      <c r="G63" s="55">
        <f>+D63+E63-F63</f>
        <v>287.92999999999995</v>
      </c>
      <c r="H63" s="55">
        <f>1500-G63</f>
        <v>1212.0700000000002</v>
      </c>
      <c r="J63" s="113" t="s">
        <v>707</v>
      </c>
      <c r="K63" s="115">
        <v>140.88</v>
      </c>
      <c r="L63" s="115">
        <v>254.58</v>
      </c>
      <c r="M63" s="115">
        <v>401.63</v>
      </c>
      <c r="N63" s="113">
        <f>+K63+M63-L63</f>
        <v>287.92999999999995</v>
      </c>
    </row>
    <row r="64" spans="1:14" s="70" customFormat="1" ht="12.75" customHeight="1" x14ac:dyDescent="0.2">
      <c r="A64" s="24"/>
      <c r="B64" s="1"/>
      <c r="C64" s="50" t="s">
        <v>71</v>
      </c>
      <c r="D64" s="55">
        <f>+K61+K62</f>
        <v>1858.9099999999999</v>
      </c>
      <c r="E64" s="55">
        <f>+M61+M62</f>
        <v>1304.23</v>
      </c>
      <c r="F64" s="55">
        <f>+L61+L62</f>
        <v>984.54</v>
      </c>
      <c r="G64" s="55">
        <f>+D64+E64-F64</f>
        <v>2178.6</v>
      </c>
      <c r="H64" s="55">
        <f>1500+700+200-G64</f>
        <v>221.40000000000009</v>
      </c>
      <c r="J64" s="2"/>
      <c r="K64" s="118">
        <f>SUM(K61:K63)</f>
        <v>1999.79</v>
      </c>
      <c r="L64" s="118">
        <f>SUM(L61:L63)</f>
        <v>1239.1199999999999</v>
      </c>
      <c r="M64" s="118">
        <f>SUM(M61:M63)</f>
        <v>1705.8600000000001</v>
      </c>
      <c r="N64" s="118">
        <f>SUM(N61:N63)</f>
        <v>2466.5299999999997</v>
      </c>
    </row>
    <row r="65" spans="1:15" s="70" customFormat="1" ht="12.75" customHeight="1" x14ac:dyDescent="0.2">
      <c r="A65" s="24"/>
      <c r="B65" s="1"/>
      <c r="C65" s="14"/>
      <c r="D65" s="56"/>
      <c r="E65" s="13"/>
      <c r="F65" s="2"/>
      <c r="G65" s="30"/>
      <c r="H65" s="30"/>
    </row>
    <row r="66" spans="1:15" s="70" customFormat="1" ht="12.75" customHeight="1" x14ac:dyDescent="0.2">
      <c r="A66" s="215" t="s">
        <v>80</v>
      </c>
      <c r="B66" s="216"/>
      <c r="C66" s="216"/>
      <c r="D66" s="217"/>
      <c r="E66" s="69"/>
      <c r="G66" s="30"/>
      <c r="H66" s="30"/>
    </row>
    <row r="67" spans="1:15" s="70" customFormat="1" ht="12.75" customHeight="1" x14ac:dyDescent="0.2">
      <c r="A67" s="71" t="s">
        <v>81</v>
      </c>
      <c r="B67" s="71"/>
      <c r="C67" s="72" t="s">
        <v>82</v>
      </c>
      <c r="D67" s="73" t="s">
        <v>83</v>
      </c>
      <c r="E67" s="69"/>
      <c r="G67" s="30"/>
      <c r="H67" s="30"/>
    </row>
    <row r="68" spans="1:15" s="70" customFormat="1" ht="12.75" customHeight="1" x14ac:dyDescent="0.2">
      <c r="A68" s="87">
        <v>45292</v>
      </c>
      <c r="B68" s="120" t="s">
        <v>6</v>
      </c>
      <c r="C68" s="75" t="s">
        <v>1933</v>
      </c>
      <c r="D68" s="88">
        <v>7583470</v>
      </c>
      <c r="E68" s="2"/>
      <c r="F68" s="2"/>
      <c r="G68" s="30"/>
      <c r="H68" s="30"/>
      <c r="I68" s="2"/>
      <c r="J68" s="2"/>
      <c r="K68" s="2"/>
      <c r="L68" s="2"/>
      <c r="M68" s="41"/>
      <c r="N68" s="42"/>
      <c r="O68" s="2"/>
    </row>
    <row r="69" spans="1:15" s="70" customFormat="1" ht="12.75" customHeight="1" x14ac:dyDescent="0.2">
      <c r="A69" s="87">
        <v>45293</v>
      </c>
      <c r="B69" s="120" t="s">
        <v>6</v>
      </c>
      <c r="C69" s="75" t="s">
        <v>1934</v>
      </c>
      <c r="D69" s="88">
        <v>124988</v>
      </c>
      <c r="E69" s="2"/>
      <c r="F69" s="2"/>
      <c r="G69" s="30"/>
      <c r="H69" s="30"/>
      <c r="I69" s="2"/>
      <c r="J69" s="2"/>
      <c r="K69" s="2"/>
      <c r="L69" s="2"/>
      <c r="M69" s="41"/>
      <c r="N69" s="42"/>
      <c r="O69" s="2"/>
    </row>
    <row r="70" spans="1:15" s="70" customFormat="1" ht="12.75" customHeight="1" x14ac:dyDescent="0.2">
      <c r="A70" s="87">
        <v>45294</v>
      </c>
      <c r="B70" s="120" t="s">
        <v>6</v>
      </c>
      <c r="C70" s="75" t="s">
        <v>606</v>
      </c>
      <c r="D70" s="88">
        <v>260191</v>
      </c>
      <c r="E70" s="2"/>
      <c r="F70" s="2"/>
      <c r="G70" s="30"/>
      <c r="H70" s="30"/>
      <c r="I70" s="2"/>
      <c r="J70" s="2"/>
      <c r="K70" s="2"/>
      <c r="L70" s="2"/>
      <c r="M70" s="41"/>
      <c r="N70" s="42"/>
      <c r="O70" s="2"/>
    </row>
    <row r="71" spans="1:15" s="70" customFormat="1" ht="12.75" customHeight="1" x14ac:dyDescent="0.2">
      <c r="A71" s="87">
        <v>45294</v>
      </c>
      <c r="B71" s="120" t="s">
        <v>6</v>
      </c>
      <c r="C71" s="75" t="s">
        <v>888</v>
      </c>
      <c r="D71" s="88">
        <v>2431991.34</v>
      </c>
      <c r="E71" s="2"/>
      <c r="F71" s="2"/>
      <c r="G71" s="30"/>
      <c r="H71" s="30"/>
      <c r="I71" s="2"/>
      <c r="J71" s="2"/>
      <c r="K71" s="2"/>
      <c r="L71" s="2"/>
      <c r="M71" s="41"/>
      <c r="N71" s="42"/>
      <c r="O71" s="2"/>
    </row>
    <row r="72" spans="1:15" s="70" customFormat="1" ht="12.75" customHeight="1" x14ac:dyDescent="0.2">
      <c r="A72" s="87">
        <v>45295</v>
      </c>
      <c r="B72" s="120" t="s">
        <v>6</v>
      </c>
      <c r="C72" s="75" t="s">
        <v>1944</v>
      </c>
      <c r="D72" s="88">
        <v>23655</v>
      </c>
      <c r="E72" s="2"/>
      <c r="F72" s="2"/>
      <c r="G72" s="30"/>
      <c r="H72" s="30"/>
      <c r="I72" s="2"/>
      <c r="J72" s="2"/>
      <c r="K72" s="2"/>
      <c r="L72" s="2"/>
      <c r="M72" s="41"/>
      <c r="N72" s="42"/>
      <c r="O72" s="2"/>
    </row>
    <row r="73" spans="1:15" s="70" customFormat="1" ht="12.75" customHeight="1" x14ac:dyDescent="0.2">
      <c r="A73" s="87">
        <v>45295</v>
      </c>
      <c r="B73" s="120" t="s">
        <v>6</v>
      </c>
      <c r="C73" s="75" t="s">
        <v>1944</v>
      </c>
      <c r="D73" s="88">
        <v>321576</v>
      </c>
      <c r="E73" s="2"/>
      <c r="F73" s="2"/>
      <c r="G73" s="30"/>
      <c r="H73" s="30"/>
      <c r="I73" s="2"/>
      <c r="J73" s="2"/>
      <c r="K73" s="2"/>
      <c r="L73" s="2"/>
      <c r="M73" s="41"/>
      <c r="N73" s="42"/>
      <c r="O73" s="2"/>
    </row>
    <row r="74" spans="1:15" s="70" customFormat="1" ht="12.75" customHeight="1" x14ac:dyDescent="0.2">
      <c r="A74" s="87">
        <v>45295</v>
      </c>
      <c r="B74" s="120" t="s">
        <v>6</v>
      </c>
      <c r="C74" s="75" t="s">
        <v>1944</v>
      </c>
      <c r="D74" s="88">
        <v>430832</v>
      </c>
      <c r="E74" s="2"/>
      <c r="F74" s="2"/>
      <c r="G74" s="30"/>
      <c r="H74" s="30"/>
      <c r="I74" s="2"/>
      <c r="J74" s="2"/>
      <c r="K74" s="2"/>
      <c r="L74" s="2"/>
      <c r="M74" s="41"/>
      <c r="N74" s="42"/>
      <c r="O74" s="2"/>
    </row>
    <row r="75" spans="1:15" s="70" customFormat="1" ht="12.75" customHeight="1" x14ac:dyDescent="0.2">
      <c r="A75" s="87">
        <v>45295</v>
      </c>
      <c r="B75" s="120" t="s">
        <v>6</v>
      </c>
      <c r="C75" s="75" t="s">
        <v>1934</v>
      </c>
      <c r="D75" s="88">
        <v>892589</v>
      </c>
      <c r="E75" s="2"/>
      <c r="F75" s="2"/>
      <c r="G75" s="30"/>
      <c r="H75" s="30"/>
      <c r="I75" s="2"/>
      <c r="J75" s="2"/>
      <c r="K75" s="2"/>
      <c r="L75" s="2"/>
      <c r="M75" s="41"/>
      <c r="N75" s="42"/>
      <c r="O75" s="2"/>
    </row>
    <row r="76" spans="1:15" s="70" customFormat="1" ht="12.75" customHeight="1" x14ac:dyDescent="0.2">
      <c r="A76" s="87">
        <v>45299</v>
      </c>
      <c r="B76" s="120" t="s">
        <v>6</v>
      </c>
      <c r="C76" s="75" t="s">
        <v>1933</v>
      </c>
      <c r="D76" s="88">
        <v>8143487</v>
      </c>
      <c r="E76" s="2"/>
      <c r="F76" s="2"/>
      <c r="G76" s="30"/>
      <c r="H76" s="30"/>
      <c r="I76" s="2"/>
      <c r="J76" s="2"/>
      <c r="K76" s="2"/>
      <c r="L76" s="2"/>
      <c r="M76" s="41"/>
      <c r="N76" s="42"/>
      <c r="O76" s="2"/>
    </row>
    <row r="77" spans="1:15" s="70" customFormat="1" ht="12.75" customHeight="1" x14ac:dyDescent="0.2">
      <c r="A77" s="87">
        <v>45299</v>
      </c>
      <c r="B77" s="120" t="s">
        <v>6</v>
      </c>
      <c r="C77" s="75" t="s">
        <v>606</v>
      </c>
      <c r="D77" s="88">
        <v>487316</v>
      </c>
      <c r="E77" s="2"/>
      <c r="F77" s="2"/>
      <c r="G77" s="30"/>
      <c r="H77" s="30"/>
      <c r="I77" s="2"/>
      <c r="J77" s="2"/>
      <c r="K77" s="2"/>
      <c r="L77" s="2"/>
      <c r="M77" s="41"/>
      <c r="N77" s="42"/>
      <c r="O77" s="2"/>
    </row>
    <row r="78" spans="1:15" s="70" customFormat="1" ht="12.75" customHeight="1" x14ac:dyDescent="0.2">
      <c r="A78" s="87">
        <v>45301</v>
      </c>
      <c r="B78" s="120" t="s">
        <v>6</v>
      </c>
      <c r="C78" s="75" t="s">
        <v>1933</v>
      </c>
      <c r="D78" s="88">
        <v>2690</v>
      </c>
      <c r="E78" s="2"/>
      <c r="F78" s="2"/>
      <c r="G78" s="30"/>
      <c r="H78" s="30"/>
      <c r="I78" s="2"/>
      <c r="J78" s="2"/>
      <c r="K78" s="2"/>
      <c r="L78" s="2"/>
      <c r="M78" s="41"/>
      <c r="N78" s="42"/>
      <c r="O78" s="2"/>
    </row>
    <row r="79" spans="1:15" s="70" customFormat="1" ht="12.75" customHeight="1" x14ac:dyDescent="0.2">
      <c r="A79" s="87">
        <v>45301</v>
      </c>
      <c r="B79" s="120" t="s">
        <v>6</v>
      </c>
      <c r="C79" s="75" t="s">
        <v>1933</v>
      </c>
      <c r="D79" s="88">
        <v>2133516</v>
      </c>
      <c r="E79" s="2"/>
      <c r="F79" s="2"/>
      <c r="G79" s="30"/>
      <c r="H79" s="30"/>
      <c r="I79" s="2"/>
      <c r="J79" s="2"/>
      <c r="K79" s="2"/>
      <c r="L79" s="2"/>
      <c r="M79" s="41"/>
      <c r="N79" s="42"/>
      <c r="O79" s="2"/>
    </row>
    <row r="80" spans="1:15" s="70" customFormat="1" ht="12.75" customHeight="1" x14ac:dyDescent="0.2">
      <c r="A80" s="87">
        <v>45302</v>
      </c>
      <c r="B80" s="120" t="s">
        <v>6</v>
      </c>
      <c r="C80" s="75" t="s">
        <v>1084</v>
      </c>
      <c r="D80" s="88">
        <v>3000000</v>
      </c>
      <c r="E80" s="2"/>
      <c r="F80" s="2"/>
      <c r="G80" s="30"/>
      <c r="H80" s="30"/>
      <c r="I80" s="2"/>
      <c r="J80" s="2"/>
      <c r="K80" s="2"/>
      <c r="L80" s="2"/>
      <c r="M80" s="41"/>
      <c r="N80" s="42"/>
      <c r="O80" s="2"/>
    </row>
    <row r="81" spans="1:15" s="70" customFormat="1" ht="12.75" customHeight="1" x14ac:dyDescent="0.2">
      <c r="A81" s="87">
        <v>45303</v>
      </c>
      <c r="B81" s="120" t="s">
        <v>6</v>
      </c>
      <c r="C81" s="75" t="s">
        <v>1933</v>
      </c>
      <c r="D81" s="88">
        <v>5893097</v>
      </c>
      <c r="E81" s="2"/>
      <c r="F81" s="2"/>
      <c r="G81" s="30"/>
      <c r="H81" s="30"/>
      <c r="I81" s="2"/>
      <c r="J81" s="2"/>
      <c r="K81" s="2"/>
      <c r="L81" s="2"/>
      <c r="M81" s="41"/>
      <c r="N81" s="42"/>
      <c r="O81" s="2"/>
    </row>
    <row r="82" spans="1:15" s="70" customFormat="1" ht="12.75" customHeight="1" x14ac:dyDescent="0.2">
      <c r="A82" s="87">
        <v>45303</v>
      </c>
      <c r="B82" s="120" t="s">
        <v>6</v>
      </c>
      <c r="C82" s="75" t="s">
        <v>1977</v>
      </c>
      <c r="D82" s="88">
        <v>500000</v>
      </c>
      <c r="E82" s="2"/>
      <c r="F82" s="2"/>
      <c r="G82" s="30"/>
      <c r="H82" s="30"/>
      <c r="I82" s="2"/>
      <c r="J82" s="2"/>
      <c r="K82" s="2"/>
      <c r="L82" s="2"/>
      <c r="M82" s="41"/>
      <c r="N82" s="42"/>
      <c r="O82" s="2"/>
    </row>
    <row r="83" spans="1:15" s="70" customFormat="1" ht="12.75" customHeight="1" x14ac:dyDescent="0.2">
      <c r="A83" s="87">
        <v>45307</v>
      </c>
      <c r="B83" s="120" t="s">
        <v>6</v>
      </c>
      <c r="C83" s="75" t="s">
        <v>1933</v>
      </c>
      <c r="D83" s="88">
        <v>3572610</v>
      </c>
      <c r="E83" s="2"/>
      <c r="F83" s="2"/>
      <c r="G83" s="30"/>
      <c r="H83" s="30"/>
      <c r="I83" s="2"/>
      <c r="J83" s="2"/>
      <c r="K83" s="2"/>
      <c r="L83" s="2"/>
      <c r="M83" s="41"/>
      <c r="N83" s="42"/>
      <c r="O83" s="2"/>
    </row>
    <row r="84" spans="1:15" s="70" customFormat="1" ht="12.75" customHeight="1" x14ac:dyDescent="0.2">
      <c r="A84" s="87">
        <v>45307</v>
      </c>
      <c r="B84" s="120" t="s">
        <v>6</v>
      </c>
      <c r="C84" s="75" t="s">
        <v>1944</v>
      </c>
      <c r="D84" s="88">
        <v>4109147</v>
      </c>
      <c r="E84" s="2"/>
      <c r="F84" s="2"/>
      <c r="G84" s="30"/>
      <c r="H84" s="30"/>
      <c r="I84" s="2"/>
      <c r="J84" s="2"/>
      <c r="K84" s="2"/>
      <c r="L84" s="2"/>
      <c r="M84" s="41"/>
      <c r="N84" s="42"/>
      <c r="O84" s="2"/>
    </row>
    <row r="85" spans="1:15" s="70" customFormat="1" ht="12.75" customHeight="1" x14ac:dyDescent="0.2">
      <c r="A85" s="87">
        <v>45307</v>
      </c>
      <c r="B85" s="120" t="s">
        <v>6</v>
      </c>
      <c r="C85" s="75" t="s">
        <v>1944</v>
      </c>
      <c r="D85" s="88">
        <v>1168867</v>
      </c>
      <c r="E85" s="2"/>
      <c r="F85" s="2"/>
      <c r="G85" s="30"/>
      <c r="H85" s="30"/>
      <c r="I85" s="2"/>
      <c r="J85" s="2"/>
      <c r="K85" s="2"/>
      <c r="L85" s="2"/>
      <c r="M85" s="41"/>
      <c r="N85" s="42"/>
      <c r="O85" s="2"/>
    </row>
    <row r="86" spans="1:15" s="70" customFormat="1" ht="12.75" customHeight="1" x14ac:dyDescent="0.2">
      <c r="A86" s="87">
        <v>45307</v>
      </c>
      <c r="B86" s="120" t="s">
        <v>6</v>
      </c>
      <c r="C86" s="75" t="s">
        <v>1988</v>
      </c>
      <c r="D86" s="88">
        <v>175195</v>
      </c>
      <c r="E86" s="2"/>
      <c r="F86" s="2"/>
      <c r="G86" s="30"/>
      <c r="H86" s="30"/>
      <c r="I86" s="2"/>
      <c r="J86" s="2"/>
      <c r="K86" s="2"/>
      <c r="L86" s="2"/>
      <c r="M86" s="41"/>
      <c r="N86" s="42"/>
      <c r="O86" s="2"/>
    </row>
    <row r="87" spans="1:15" s="70" customFormat="1" ht="12.75" customHeight="1" x14ac:dyDescent="0.2">
      <c r="A87" s="87">
        <v>45309</v>
      </c>
      <c r="B87" s="120" t="s">
        <v>6</v>
      </c>
      <c r="C87" s="75" t="s">
        <v>1933</v>
      </c>
      <c r="D87" s="88">
        <v>7480683</v>
      </c>
      <c r="E87" s="2"/>
      <c r="F87" s="2"/>
      <c r="G87" s="30"/>
      <c r="H87" s="30"/>
      <c r="I87" s="2"/>
      <c r="J87" s="2"/>
      <c r="K87" s="2"/>
      <c r="L87" s="2"/>
      <c r="M87" s="41"/>
      <c r="N87" s="42"/>
      <c r="O87" s="2"/>
    </row>
    <row r="88" spans="1:15" s="70" customFormat="1" ht="12.75" customHeight="1" x14ac:dyDescent="0.2">
      <c r="A88" s="87">
        <v>45309</v>
      </c>
      <c r="B88" s="120" t="s">
        <v>6</v>
      </c>
      <c r="C88" s="75" t="s">
        <v>1977</v>
      </c>
      <c r="D88" s="88">
        <v>1511767</v>
      </c>
      <c r="E88" s="2"/>
      <c r="F88" s="2"/>
      <c r="G88" s="30"/>
      <c r="H88" s="30"/>
      <c r="I88" s="2"/>
      <c r="J88" s="2"/>
      <c r="K88" s="2"/>
      <c r="L88" s="2"/>
      <c r="M88" s="41"/>
      <c r="N88" s="42"/>
      <c r="O88" s="2"/>
    </row>
    <row r="89" spans="1:15" s="70" customFormat="1" ht="12.75" customHeight="1" x14ac:dyDescent="0.2">
      <c r="A89" s="87">
        <v>45310</v>
      </c>
      <c r="B89" s="120" t="s">
        <v>6</v>
      </c>
      <c r="C89" s="75" t="s">
        <v>1084</v>
      </c>
      <c r="D89" s="88">
        <v>4000000</v>
      </c>
      <c r="E89" s="2"/>
      <c r="F89" s="2"/>
      <c r="G89" s="30"/>
      <c r="H89" s="30"/>
      <c r="I89" s="2"/>
      <c r="J89" s="2"/>
      <c r="K89" s="2"/>
      <c r="L89" s="2"/>
      <c r="M89" s="41"/>
      <c r="N89" s="42"/>
      <c r="O89" s="2"/>
    </row>
    <row r="90" spans="1:15" s="70" customFormat="1" ht="12.75" customHeight="1" x14ac:dyDescent="0.2">
      <c r="A90" s="87">
        <v>45311</v>
      </c>
      <c r="B90" s="120" t="s">
        <v>6</v>
      </c>
      <c r="C90" s="75" t="s">
        <v>888</v>
      </c>
      <c r="D90" s="88">
        <v>4720981.46</v>
      </c>
      <c r="E90" s="2"/>
      <c r="F90" s="2"/>
      <c r="G90" s="30"/>
      <c r="H90" s="30"/>
      <c r="I90" s="2"/>
      <c r="J90" s="2"/>
      <c r="K90" s="2"/>
      <c r="L90" s="2"/>
      <c r="M90" s="41"/>
      <c r="N90" s="42"/>
      <c r="O90" s="2"/>
    </row>
    <row r="91" spans="1:15" s="70" customFormat="1" ht="12.75" customHeight="1" x14ac:dyDescent="0.2">
      <c r="A91" s="87">
        <v>45314</v>
      </c>
      <c r="B91" s="120" t="s">
        <v>6</v>
      </c>
      <c r="C91" s="75" t="s">
        <v>1933</v>
      </c>
      <c r="D91" s="88">
        <v>1373756</v>
      </c>
      <c r="E91" s="2"/>
      <c r="F91" s="2"/>
      <c r="G91" s="30"/>
      <c r="H91" s="30"/>
      <c r="I91" s="2"/>
      <c r="J91" s="2"/>
      <c r="K91" s="2"/>
      <c r="L91" s="2"/>
      <c r="M91" s="41"/>
      <c r="N91" s="42"/>
      <c r="O91" s="2"/>
    </row>
    <row r="92" spans="1:15" s="70" customFormat="1" ht="12.75" customHeight="1" x14ac:dyDescent="0.2">
      <c r="A92" s="87">
        <v>45314</v>
      </c>
      <c r="B92" s="120" t="s">
        <v>6</v>
      </c>
      <c r="C92" s="75" t="s">
        <v>1933</v>
      </c>
      <c r="D92" s="88">
        <v>5000341.9400000004</v>
      </c>
      <c r="E92" s="2"/>
      <c r="F92" s="2"/>
      <c r="G92" s="30"/>
      <c r="H92" s="30"/>
      <c r="I92" s="2"/>
      <c r="J92" s="2"/>
      <c r="K92" s="2"/>
      <c r="L92" s="2"/>
      <c r="M92" s="41"/>
      <c r="N92" s="42"/>
      <c r="O92" s="2"/>
    </row>
    <row r="93" spans="1:15" s="70" customFormat="1" ht="12.75" customHeight="1" x14ac:dyDescent="0.2">
      <c r="A93" s="87">
        <v>45314</v>
      </c>
      <c r="B93" s="120" t="s">
        <v>6</v>
      </c>
      <c r="C93" s="75" t="s">
        <v>1933</v>
      </c>
      <c r="D93" s="88">
        <v>339686</v>
      </c>
      <c r="E93" s="2"/>
      <c r="F93" s="2"/>
      <c r="G93" s="30"/>
      <c r="H93" s="30"/>
      <c r="I93" s="2"/>
      <c r="J93" s="2"/>
      <c r="K93" s="2"/>
      <c r="L93" s="2"/>
      <c r="M93" s="41"/>
      <c r="N93" s="42"/>
      <c r="O93" s="2"/>
    </row>
    <row r="94" spans="1:15" s="70" customFormat="1" ht="12.75" customHeight="1" x14ac:dyDescent="0.2">
      <c r="A94" s="87">
        <v>45315</v>
      </c>
      <c r="B94" s="120" t="s">
        <v>6</v>
      </c>
      <c r="C94" s="75" t="s">
        <v>467</v>
      </c>
      <c r="D94" s="88">
        <v>4536269</v>
      </c>
      <c r="E94" s="2"/>
      <c r="F94" s="2"/>
      <c r="G94" s="30"/>
      <c r="H94" s="30"/>
      <c r="I94" s="2"/>
      <c r="J94" s="2"/>
      <c r="K94" s="2"/>
      <c r="L94" s="2"/>
      <c r="M94" s="41"/>
      <c r="N94" s="42"/>
      <c r="O94" s="2"/>
    </row>
    <row r="95" spans="1:15" s="70" customFormat="1" ht="12.75" customHeight="1" x14ac:dyDescent="0.2">
      <c r="A95" s="87">
        <v>45316</v>
      </c>
      <c r="B95" s="120" t="s">
        <v>6</v>
      </c>
      <c r="C95" s="75" t="s">
        <v>1933</v>
      </c>
      <c r="D95" s="88">
        <v>8050467</v>
      </c>
      <c r="E95" s="2"/>
      <c r="F95" s="2"/>
      <c r="G95" s="30"/>
      <c r="H95" s="30"/>
      <c r="I95" s="2"/>
      <c r="J95" s="2"/>
      <c r="K95" s="2"/>
      <c r="L95" s="2"/>
      <c r="M95" s="41"/>
      <c r="N95" s="42"/>
      <c r="O95" s="2"/>
    </row>
    <row r="96" spans="1:15" s="70" customFormat="1" ht="12.75" customHeight="1" x14ac:dyDescent="0.2">
      <c r="A96" s="87">
        <v>45316</v>
      </c>
      <c r="B96" s="120" t="s">
        <v>6</v>
      </c>
      <c r="C96" s="75" t="s">
        <v>606</v>
      </c>
      <c r="D96" s="88">
        <v>7067955</v>
      </c>
      <c r="E96" s="2"/>
      <c r="F96" s="2"/>
      <c r="G96" s="30"/>
      <c r="H96" s="30"/>
      <c r="I96" s="2"/>
      <c r="J96" s="2"/>
      <c r="K96" s="2"/>
      <c r="L96" s="2"/>
      <c r="M96" s="41"/>
      <c r="N96" s="42"/>
      <c r="O96" s="2"/>
    </row>
    <row r="97" spans="1:15" s="70" customFormat="1" ht="12.75" customHeight="1" x14ac:dyDescent="0.2">
      <c r="A97" s="87">
        <v>45316</v>
      </c>
      <c r="B97" s="120" t="s">
        <v>6</v>
      </c>
      <c r="C97" s="75" t="s">
        <v>606</v>
      </c>
      <c r="D97" s="88">
        <v>1059623</v>
      </c>
      <c r="E97" s="2"/>
      <c r="F97" s="2"/>
      <c r="G97" s="30"/>
      <c r="H97" s="30"/>
      <c r="I97" s="2"/>
      <c r="J97" s="2"/>
      <c r="K97" s="2"/>
      <c r="L97" s="2"/>
      <c r="M97" s="41"/>
      <c r="N97" s="42"/>
      <c r="O97" s="2"/>
    </row>
    <row r="98" spans="1:15" s="70" customFormat="1" ht="12.75" customHeight="1" x14ac:dyDescent="0.2">
      <c r="A98" s="87">
        <v>45316</v>
      </c>
      <c r="B98" s="120" t="s">
        <v>6</v>
      </c>
      <c r="C98" s="75" t="s">
        <v>1084</v>
      </c>
      <c r="D98" s="88">
        <v>3407112</v>
      </c>
      <c r="E98" s="2"/>
      <c r="F98" s="2"/>
      <c r="G98" s="30"/>
      <c r="H98" s="30"/>
      <c r="I98" s="2"/>
      <c r="J98" s="2"/>
      <c r="K98" s="2"/>
      <c r="L98" s="2"/>
      <c r="M98" s="41"/>
      <c r="N98" s="42"/>
      <c r="O98" s="2"/>
    </row>
    <row r="99" spans="1:15" s="70" customFormat="1" ht="12.75" customHeight="1" x14ac:dyDescent="0.2">
      <c r="A99" s="87">
        <v>45320</v>
      </c>
      <c r="B99" s="120" t="s">
        <v>6</v>
      </c>
      <c r="C99" s="75" t="s">
        <v>1933</v>
      </c>
      <c r="D99" s="88">
        <v>3018800</v>
      </c>
      <c r="E99" s="2"/>
      <c r="F99" s="2"/>
      <c r="G99" s="30"/>
      <c r="H99" s="30"/>
      <c r="I99" s="2"/>
      <c r="J99" s="2"/>
      <c r="K99" s="2"/>
      <c r="L99" s="2"/>
      <c r="M99" s="41"/>
      <c r="N99" s="42"/>
      <c r="O99" s="2"/>
    </row>
    <row r="100" spans="1:15" s="2" customFormat="1" x14ac:dyDescent="0.2">
      <c r="A100" s="87"/>
      <c r="B100" s="74"/>
      <c r="C100" s="75"/>
      <c r="D100" s="51">
        <f>SUM(D68:D99)</f>
        <v>92822658.74000001</v>
      </c>
      <c r="F100" s="2" t="s">
        <v>396</v>
      </c>
      <c r="G100" s="1"/>
      <c r="H100" s="1"/>
    </row>
    <row r="101" spans="1:15" s="2" customFormat="1" x14ac:dyDescent="0.2">
      <c r="A101" s="24"/>
      <c r="B101" s="1"/>
      <c r="C101" s="14"/>
      <c r="D101" s="56"/>
      <c r="E101" s="13"/>
      <c r="G101" s="1"/>
      <c r="H101" s="1"/>
    </row>
    <row r="102" spans="1:15" s="2" customFormat="1" x14ac:dyDescent="0.2">
      <c r="A102" s="24"/>
      <c r="B102" s="1"/>
      <c r="C102" s="218" t="s">
        <v>77</v>
      </c>
      <c r="D102" s="219"/>
      <c r="E102" s="219"/>
      <c r="F102" s="220"/>
      <c r="I102" s="2" t="s">
        <v>396</v>
      </c>
    </row>
    <row r="103" spans="1:15" s="2" customFormat="1" x14ac:dyDescent="0.2">
      <c r="A103" s="24"/>
      <c r="B103" s="1"/>
      <c r="C103" s="50"/>
      <c r="D103" s="57" t="s">
        <v>78</v>
      </c>
      <c r="E103" s="58" t="s">
        <v>79</v>
      </c>
      <c r="F103" s="57" t="s">
        <v>72</v>
      </c>
      <c r="I103" s="2" t="s">
        <v>396</v>
      </c>
    </row>
    <row r="104" spans="1:15" s="2" customFormat="1" x14ac:dyDescent="0.2">
      <c r="A104" s="24"/>
      <c r="B104" s="1"/>
      <c r="C104" s="59" t="str">
        <f>"01-01-2024 to "&amp;TEXT(A5-2,"dd-mm-yyyy")</f>
        <v>01-01-2024 to 28-01-2024</v>
      </c>
      <c r="D104" s="60">
        <v>2261.9899999999998</v>
      </c>
      <c r="E104" s="60">
        <v>570.55999999999995</v>
      </c>
      <c r="F104" s="61">
        <f>SUM(D104:E104)</f>
        <v>2832.5499999999997</v>
      </c>
    </row>
    <row r="105" spans="1:15" s="2" customFormat="1" x14ac:dyDescent="0.2">
      <c r="A105" s="24"/>
      <c r="B105" s="1"/>
      <c r="C105" s="62" t="str">
        <f>TEXT(A5-1,"dd-mm-yyyy")</f>
        <v>29-01-2024</v>
      </c>
      <c r="D105" s="60">
        <v>22.62</v>
      </c>
      <c r="E105" s="60">
        <v>30.72</v>
      </c>
      <c r="F105" s="61">
        <f>SUM(D105:E105)</f>
        <v>53.34</v>
      </c>
      <c r="G105" s="1"/>
      <c r="H105" s="1"/>
      <c r="I105" s="53"/>
    </row>
    <row r="106" spans="1:15" s="2" customFormat="1" ht="13.5" thickBot="1" x14ac:dyDescent="0.25">
      <c r="A106" s="24"/>
      <c r="B106" s="1"/>
      <c r="C106" s="63" t="str">
        <f>"01-01-2024 to "&amp;TEXT(A5-1,"dd-mm-yyyy")</f>
        <v>01-01-2024 to 29-01-2024</v>
      </c>
      <c r="D106" s="64">
        <f>SUM(D104:D105)</f>
        <v>2284.6099999999997</v>
      </c>
      <c r="E106" s="64">
        <f>SUM(E104:E105)</f>
        <v>601.28</v>
      </c>
      <c r="F106" s="64">
        <f>SUM(F104:F105)</f>
        <v>2885.89</v>
      </c>
      <c r="G106" s="1"/>
      <c r="H106" s="1"/>
      <c r="I106" s="53"/>
    </row>
    <row r="107" spans="1:15" s="2" customFormat="1" ht="13.5" thickTop="1" x14ac:dyDescent="0.2">
      <c r="A107" s="24"/>
      <c r="B107" s="1"/>
      <c r="C107" s="62"/>
      <c r="D107" s="65"/>
      <c r="E107" s="66"/>
      <c r="F107" s="67"/>
      <c r="M107" s="1"/>
      <c r="N107" s="1"/>
    </row>
    <row r="108" spans="1:15" s="2" customFormat="1" x14ac:dyDescent="0.2">
      <c r="A108" s="24"/>
      <c r="B108" s="1"/>
      <c r="C108" s="62" t="str">
        <f>"01-04-2023 to " &amp;C105</f>
        <v>01-04-2023 to 29-01-2024</v>
      </c>
      <c r="D108" s="68">
        <f>+D106+34570.27</f>
        <v>36854.879999999997</v>
      </c>
      <c r="E108" s="68">
        <f>+E106+3831.86</f>
        <v>4433.1400000000003</v>
      </c>
      <c r="F108" s="68">
        <f>+F106+38402.13</f>
        <v>41288.019999999997</v>
      </c>
      <c r="G108" s="1"/>
      <c r="H108" s="1"/>
      <c r="M108" s="1"/>
      <c r="N108" s="1"/>
    </row>
    <row r="109" spans="1:15" s="2" customFormat="1" x14ac:dyDescent="0.2">
      <c r="A109" s="24"/>
      <c r="B109" s="1"/>
      <c r="C109" s="52"/>
      <c r="D109" s="85"/>
      <c r="E109" s="53"/>
      <c r="F109" s="53"/>
      <c r="G109" s="1"/>
      <c r="H109" s="1"/>
      <c r="M109" s="1"/>
      <c r="N109" s="1"/>
    </row>
    <row r="110" spans="1:15" s="2" customFormat="1" x14ac:dyDescent="0.2">
      <c r="A110" s="24"/>
      <c r="B110" s="1"/>
      <c r="C110" s="52"/>
      <c r="D110" s="85"/>
      <c r="E110" s="53"/>
      <c r="F110" s="53"/>
      <c r="G110" s="1"/>
      <c r="H110" s="1"/>
      <c r="M110" s="1"/>
      <c r="N110" s="1"/>
    </row>
    <row r="111" spans="1:15" s="2" customFormat="1" x14ac:dyDescent="0.2">
      <c r="A111" s="24"/>
      <c r="B111" s="1"/>
      <c r="C111" s="52"/>
      <c r="D111" s="85"/>
      <c r="E111" s="53"/>
      <c r="F111" s="53"/>
      <c r="G111" s="1"/>
      <c r="H111" s="1"/>
      <c r="M111" s="1"/>
      <c r="N111" s="1"/>
    </row>
    <row r="112" spans="1:15" s="2" customFormat="1" x14ac:dyDescent="0.2">
      <c r="A112" s="24"/>
      <c r="B112" s="1"/>
      <c r="C112" s="52"/>
      <c r="D112" s="85"/>
      <c r="E112" s="53"/>
      <c r="F112" s="53"/>
      <c r="G112" s="1"/>
      <c r="H112" s="1"/>
      <c r="M112" s="1"/>
      <c r="N112" s="1"/>
    </row>
    <row r="113" spans="1:14" s="2" customFormat="1" x14ac:dyDescent="0.2">
      <c r="A113" s="24"/>
      <c r="B113" s="1"/>
      <c r="C113" s="14"/>
      <c r="D113" s="25">
        <f>SUM(D110:D112)</f>
        <v>0</v>
      </c>
      <c r="E113" s="2">
        <f>SUM(E110:E112)</f>
        <v>0</v>
      </c>
      <c r="G113" s="1"/>
      <c r="H113" s="1"/>
      <c r="M113" s="1"/>
      <c r="N113" s="1"/>
    </row>
    <row r="114" spans="1:14" s="2" customFormat="1" x14ac:dyDescent="0.2">
      <c r="A114" s="24"/>
      <c r="B114" s="1"/>
      <c r="C114" s="14"/>
      <c r="D114" s="25"/>
      <c r="G114" s="1"/>
      <c r="H114" s="1"/>
      <c r="M114" s="1"/>
      <c r="N114" s="1"/>
    </row>
    <row r="115" spans="1:14" s="2" customFormat="1" x14ac:dyDescent="0.2">
      <c r="A115" s="24"/>
      <c r="B115" s="1"/>
      <c r="C115" s="14"/>
      <c r="D115" s="25"/>
      <c r="G115" s="1"/>
      <c r="H115" s="1"/>
      <c r="M115" s="1"/>
      <c r="N115" s="1"/>
    </row>
    <row r="116" spans="1:14" s="2" customFormat="1" x14ac:dyDescent="0.2">
      <c r="A116" s="24"/>
      <c r="B116" s="1"/>
      <c r="C116" s="14"/>
      <c r="D116" s="25"/>
      <c r="G116" s="1"/>
      <c r="H116" s="1"/>
      <c r="M116" s="1"/>
      <c r="N116" s="1"/>
    </row>
    <row r="117" spans="1:14" s="2" customFormat="1" x14ac:dyDescent="0.2">
      <c r="A117" s="24"/>
      <c r="B117" s="1"/>
      <c r="C117" s="14"/>
      <c r="D117" s="25"/>
      <c r="G117" s="1"/>
      <c r="H117" s="1"/>
      <c r="M117" s="1"/>
      <c r="N117" s="1"/>
    </row>
    <row r="118" spans="1:14" s="2" customFormat="1" x14ac:dyDescent="0.2">
      <c r="A118" s="24"/>
      <c r="B118" s="1"/>
      <c r="C118" s="14"/>
      <c r="D118" s="25"/>
      <c r="G118" s="1"/>
      <c r="H118" s="1"/>
      <c r="M118" s="1"/>
      <c r="N118" s="1"/>
    </row>
    <row r="119" spans="1:14" s="2" customFormat="1" x14ac:dyDescent="0.2">
      <c r="A119" s="24"/>
      <c r="B119" s="1"/>
      <c r="C119" s="14"/>
      <c r="D119" s="25"/>
      <c r="G119" s="1"/>
      <c r="H119" s="1"/>
      <c r="M119" s="1"/>
      <c r="N119" s="1"/>
    </row>
    <row r="120" spans="1:14" s="2" customFormat="1" x14ac:dyDescent="0.2">
      <c r="A120" s="24"/>
      <c r="B120" s="1"/>
      <c r="C120" s="14"/>
      <c r="D120" s="25"/>
      <c r="G120" s="1"/>
      <c r="H120" s="1"/>
      <c r="M120" s="1"/>
      <c r="N120" s="1"/>
    </row>
    <row r="121" spans="1:14" s="2" customFormat="1" x14ac:dyDescent="0.2">
      <c r="A121" s="24"/>
      <c r="B121" s="1"/>
      <c r="C121" s="14"/>
      <c r="D121" s="25"/>
      <c r="G121" s="1"/>
      <c r="H121" s="1"/>
      <c r="M121" s="1"/>
      <c r="N121" s="1"/>
    </row>
    <row r="122" spans="1:14" s="2" customFormat="1" x14ac:dyDescent="0.2">
      <c r="A122" s="24"/>
      <c r="B122" s="1"/>
      <c r="C122" s="14"/>
      <c r="D122" s="25"/>
      <c r="G122" s="1"/>
      <c r="H122" s="1"/>
      <c r="M122" s="1"/>
      <c r="N122" s="1"/>
    </row>
    <row r="123" spans="1:14" s="2" customFormat="1" x14ac:dyDescent="0.2">
      <c r="A123" s="24"/>
      <c r="B123" s="1"/>
      <c r="C123" s="14"/>
      <c r="D123" s="25"/>
      <c r="G123" s="1"/>
      <c r="H123" s="1"/>
      <c r="M123" s="1"/>
      <c r="N123" s="1"/>
    </row>
    <row r="124" spans="1:14" s="2" customFormat="1" x14ac:dyDescent="0.2">
      <c r="A124" s="24"/>
      <c r="B124" s="1"/>
      <c r="C124" s="14"/>
      <c r="D124" s="25"/>
      <c r="G124" s="1"/>
      <c r="H124" s="1"/>
      <c r="M124" s="1"/>
      <c r="N124" s="1"/>
    </row>
    <row r="125" spans="1:14" s="2" customFormat="1" x14ac:dyDescent="0.2">
      <c r="A125" s="24"/>
      <c r="B125" s="1"/>
      <c r="C125" s="14"/>
      <c r="D125" s="25"/>
      <c r="G125" s="1"/>
      <c r="H125" s="1"/>
      <c r="M125" s="1"/>
      <c r="N125" s="1"/>
    </row>
    <row r="126" spans="1:14" s="2" customFormat="1" x14ac:dyDescent="0.2">
      <c r="A126" s="24"/>
      <c r="B126" s="1"/>
      <c r="C126" s="14"/>
      <c r="D126" s="25"/>
      <c r="G126" s="1"/>
      <c r="H126" s="1"/>
      <c r="M126" s="1"/>
      <c r="N126" s="1"/>
    </row>
    <row r="127" spans="1:14" s="2" customFormat="1" x14ac:dyDescent="0.2">
      <c r="A127" s="24"/>
      <c r="B127" s="1"/>
      <c r="C127" s="14"/>
      <c r="D127" s="25"/>
      <c r="G127" s="1"/>
      <c r="H127" s="1"/>
      <c r="J127" s="1"/>
      <c r="K127" s="1"/>
      <c r="L127" s="1"/>
      <c r="M127" s="1"/>
      <c r="N127" s="1"/>
    </row>
    <row r="128" spans="1:14" s="2" customFormat="1" x14ac:dyDescent="0.2">
      <c r="A128" s="24"/>
      <c r="B128" s="1"/>
      <c r="C128" s="14"/>
      <c r="D128" s="25"/>
      <c r="G128" s="1"/>
      <c r="H128" s="1"/>
    </row>
    <row r="129" spans="1:15" s="2" customFormat="1" x14ac:dyDescent="0.2">
      <c r="A129" s="24"/>
      <c r="B129" s="1"/>
      <c r="C129" s="14"/>
      <c r="D129" s="25"/>
      <c r="G129" s="1"/>
      <c r="H129" s="1"/>
      <c r="J129" s="1"/>
      <c r="K129" s="1"/>
      <c r="L129" s="1"/>
      <c r="M129" s="1"/>
      <c r="N129" s="1"/>
    </row>
    <row r="130" spans="1:15" s="2" customFormat="1" x14ac:dyDescent="0.2">
      <c r="A130" s="24"/>
      <c r="B130" s="1"/>
      <c r="C130" s="14"/>
      <c r="D130" s="25"/>
      <c r="G130" s="54"/>
      <c r="H130" s="54"/>
      <c r="J130" s="1"/>
      <c r="K130" s="1"/>
      <c r="L130" s="1"/>
      <c r="M130" s="1"/>
      <c r="N130" s="1"/>
    </row>
    <row r="131" spans="1:15" s="2" customFormat="1" x14ac:dyDescent="0.2">
      <c r="A131" s="24"/>
      <c r="B131" s="1"/>
      <c r="C131" s="14"/>
      <c r="D131" s="25"/>
      <c r="G131" s="54"/>
      <c r="H131" s="54"/>
      <c r="J131" s="1"/>
      <c r="K131" s="1"/>
      <c r="L131" s="1"/>
      <c r="M131" s="1"/>
      <c r="N131" s="1"/>
    </row>
    <row r="132" spans="1:15" s="2" customFormat="1" x14ac:dyDescent="0.2">
      <c r="A132" s="24"/>
      <c r="B132" s="1"/>
      <c r="C132" s="14"/>
      <c r="D132" s="25"/>
      <c r="G132" s="54"/>
      <c r="H132" s="54"/>
      <c r="J132" s="1"/>
      <c r="K132" s="1"/>
      <c r="L132" s="1"/>
      <c r="M132" s="1"/>
      <c r="N132" s="1"/>
    </row>
    <row r="133" spans="1:15" s="2" customFormat="1" x14ac:dyDescent="0.2">
      <c r="A133" s="24"/>
      <c r="B133" s="1"/>
      <c r="C133" s="14"/>
      <c r="D133" s="25"/>
      <c r="G133" s="54"/>
      <c r="H133" s="54"/>
      <c r="I133" s="2" t="s">
        <v>396</v>
      </c>
      <c r="J133" s="1"/>
      <c r="K133" s="1"/>
      <c r="L133" s="1"/>
      <c r="M133" s="1"/>
      <c r="N133" s="1"/>
      <c r="O133" s="1"/>
    </row>
    <row r="134" spans="1:15" s="2" customFormat="1" x14ac:dyDescent="0.2">
      <c r="A134" s="24"/>
      <c r="B134" s="1"/>
      <c r="C134" s="14"/>
      <c r="D134" s="25"/>
      <c r="G134" s="54"/>
      <c r="H134" s="54"/>
      <c r="I134" s="53"/>
    </row>
    <row r="135" spans="1:15" s="2" customFormat="1" x14ac:dyDescent="0.2">
      <c r="A135" s="24"/>
      <c r="B135" s="1"/>
      <c r="C135" s="14"/>
      <c r="D135" s="25"/>
      <c r="G135" s="54"/>
      <c r="H135" s="54"/>
      <c r="I135" s="53" t="s">
        <v>396</v>
      </c>
      <c r="J135" s="1"/>
      <c r="K135" s="1"/>
      <c r="L135" s="1"/>
      <c r="M135" s="1"/>
      <c r="N135" s="1"/>
      <c r="O135" s="1"/>
    </row>
    <row r="136" spans="1:15" x14ac:dyDescent="0.2">
      <c r="G136" s="54"/>
      <c r="H136" s="54"/>
      <c r="I136" s="53" t="s">
        <v>396</v>
      </c>
      <c r="K136" s="42"/>
    </row>
    <row r="137" spans="1:15" s="2" customFormat="1" x14ac:dyDescent="0.2">
      <c r="A137" s="24"/>
      <c r="B137" s="1"/>
      <c r="C137" s="14"/>
      <c r="D137" s="25"/>
      <c r="G137" s="54"/>
      <c r="H137" s="54"/>
      <c r="I137" s="53"/>
      <c r="J137" s="101"/>
      <c r="K137" s="1"/>
      <c r="L137" s="1"/>
      <c r="M137" s="1"/>
      <c r="N137" s="1"/>
      <c r="O137" s="1"/>
    </row>
    <row r="138" spans="1:15" x14ac:dyDescent="0.2">
      <c r="G138" s="54"/>
      <c r="H138" s="54"/>
      <c r="I138" s="53"/>
    </row>
    <row r="139" spans="1:15" x14ac:dyDescent="0.2">
      <c r="G139" s="54"/>
      <c r="H139" s="54"/>
      <c r="I139" s="53"/>
    </row>
    <row r="140" spans="1:15" x14ac:dyDescent="0.2">
      <c r="G140" s="54"/>
      <c r="H140" s="54"/>
      <c r="I140" s="53"/>
    </row>
  </sheetData>
  <sheetProtection insertRows="0"/>
  <mergeCells count="7">
    <mergeCell ref="K59:L59"/>
    <mergeCell ref="A66:D66"/>
    <mergeCell ref="C102:F102"/>
    <mergeCell ref="A1:H1"/>
    <mergeCell ref="A3:F3"/>
    <mergeCell ref="A9:F9"/>
    <mergeCell ref="A21:F21"/>
  </mergeCells>
  <conditionalFormatting sqref="H63:H64">
    <cfRule type="cellIs" dxfId="101" priority="1" operator="lessThan">
      <formula>0</formula>
    </cfRule>
  </conditionalFormatting>
  <conditionalFormatting sqref="C23">
    <cfRule type="duplicateValues" dxfId="100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F000-000000000000}">
  <sheetPr codeName="Sheet536">
    <pageSetUpPr fitToPage="1"/>
  </sheetPr>
  <dimension ref="A1:O158"/>
  <sheetViews>
    <sheetView topLeftCell="A98" zoomScaleNormal="100" workbookViewId="0">
      <selection activeCell="C114" sqref="C114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12.85546875" style="1" customWidth="1"/>
    <col min="9" max="9" width="24.85546875" style="2" bestFit="1" customWidth="1"/>
    <col min="10" max="10" width="21.5703125" style="1" bestFit="1" customWidth="1"/>
    <col min="11" max="11" width="16.85546875" style="1" bestFit="1" customWidth="1"/>
    <col min="12" max="12" width="17.28515625" style="1" bestFit="1" customWidth="1"/>
    <col min="13" max="13" width="13.5703125" style="1" bestFit="1" customWidth="1"/>
    <col min="14" max="14" width="17.42578125" style="1" bestFit="1" customWidth="1"/>
    <col min="15" max="15" width="12.85546875" style="1" bestFit="1" customWidth="1"/>
    <col min="16" max="17" width="9.140625" style="1"/>
    <col min="18" max="18" width="15.5703125" style="1" bestFit="1" customWidth="1"/>
    <col min="19" max="16384" width="9.140625" style="1"/>
  </cols>
  <sheetData>
    <row r="1" spans="1:14" ht="20.25" customHeight="1" x14ac:dyDescent="0.4">
      <c r="A1" s="212" t="s">
        <v>2022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4" ht="12.75" customHeight="1" x14ac:dyDescent="0.4">
      <c r="I2" s="112"/>
      <c r="J2" s="112"/>
    </row>
    <row r="3" spans="1:14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4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4" s="2" customFormat="1" ht="14.25" customHeight="1" x14ac:dyDescent="0.4">
      <c r="A5" s="89">
        <v>45322</v>
      </c>
      <c r="B5" s="9" t="s">
        <v>6</v>
      </c>
      <c r="C5" s="10" t="s">
        <v>7</v>
      </c>
      <c r="D5" s="11"/>
      <c r="E5" s="12">
        <v>565541.23000000045</v>
      </c>
      <c r="F5" s="12"/>
      <c r="G5" s="1"/>
      <c r="H5" s="1"/>
      <c r="I5" s="112"/>
      <c r="J5" s="112"/>
    </row>
    <row r="6" spans="1:14" s="2" customFormat="1" ht="12.75" customHeight="1" x14ac:dyDescent="0.2">
      <c r="D6" s="15" t="s">
        <v>8</v>
      </c>
      <c r="E6" s="16">
        <f>SUM(E5:E5)</f>
        <v>565541.23000000045</v>
      </c>
      <c r="F6" s="16">
        <f>F5</f>
        <v>0</v>
      </c>
      <c r="G6" s="1"/>
      <c r="H6" s="1"/>
      <c r="I6" s="13" t="s">
        <v>1582</v>
      </c>
      <c r="J6" s="13" t="s">
        <v>1583</v>
      </c>
    </row>
    <row r="7" spans="1:14" s="2" customFormat="1" ht="12.75" customHeight="1" x14ac:dyDescent="0.2">
      <c r="A7" s="17"/>
      <c r="B7" s="18"/>
      <c r="C7" s="19" t="s">
        <v>9</v>
      </c>
      <c r="D7" s="20"/>
      <c r="E7" s="21">
        <f>+E6-F6</f>
        <v>565541.23000000045</v>
      </c>
      <c r="F7" s="22"/>
      <c r="G7" s="23"/>
      <c r="H7" s="23"/>
      <c r="I7" s="2">
        <v>0</v>
      </c>
      <c r="J7" s="2">
        <v>0</v>
      </c>
      <c r="K7" s="176">
        <f>I7-J7</f>
        <v>0</v>
      </c>
    </row>
    <row r="8" spans="1:14" ht="12.75" customHeight="1" x14ac:dyDescent="0.4">
      <c r="I8" s="112"/>
      <c r="J8" s="112"/>
    </row>
    <row r="9" spans="1:14" ht="18" customHeight="1" x14ac:dyDescent="0.4">
      <c r="A9" s="213" t="s">
        <v>1037</v>
      </c>
      <c r="B9" s="213"/>
      <c r="C9" s="213"/>
      <c r="D9" s="213"/>
      <c r="E9" s="213"/>
      <c r="F9" s="213"/>
      <c r="I9" s="112"/>
      <c r="J9" s="169">
        <f>90000000-60000000</f>
        <v>30000000</v>
      </c>
      <c r="K9" s="169" t="s">
        <v>1508</v>
      </c>
    </row>
    <row r="10" spans="1:14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I10" s="112"/>
      <c r="J10" s="169">
        <v>28625521.719999999</v>
      </c>
      <c r="K10" s="169" t="s">
        <v>1509</v>
      </c>
      <c r="L10" s="124"/>
    </row>
    <row r="11" spans="1:14" s="2" customFormat="1" ht="14.25" customHeight="1" x14ac:dyDescent="0.2">
      <c r="A11" s="89">
        <v>45322</v>
      </c>
      <c r="B11" s="9" t="s">
        <v>6</v>
      </c>
      <c r="C11" s="10" t="s">
        <v>7</v>
      </c>
      <c r="D11" s="11"/>
      <c r="F11" s="12">
        <v>25750012.260000002</v>
      </c>
      <c r="G11" s="1"/>
      <c r="H11" s="1"/>
      <c r="I11" s="130" t="s">
        <v>396</v>
      </c>
      <c r="J11" s="169">
        <f>+J9-J10</f>
        <v>1374478.2800000012</v>
      </c>
      <c r="K11" s="169" t="s">
        <v>712</v>
      </c>
      <c r="L11" s="165" t="s">
        <v>1512</v>
      </c>
    </row>
    <row r="12" spans="1:14" s="2" customFormat="1" ht="14.25" customHeight="1" x14ac:dyDescent="0.2">
      <c r="A12" s="89">
        <v>45322</v>
      </c>
      <c r="B12" s="9" t="s">
        <v>6</v>
      </c>
      <c r="C12" s="76" t="s">
        <v>1647</v>
      </c>
      <c r="D12" s="11" t="s">
        <v>13</v>
      </c>
      <c r="E12" s="31">
        <v>302836</v>
      </c>
      <c r="F12" s="31"/>
      <c r="G12" s="1"/>
      <c r="H12" s="1"/>
      <c r="I12" s="130"/>
      <c r="J12" s="169"/>
      <c r="K12" s="169"/>
      <c r="L12" s="165"/>
    </row>
    <row r="13" spans="1:14" s="2" customFormat="1" ht="14.25" customHeight="1" x14ac:dyDescent="0.2">
      <c r="A13" s="89">
        <v>45322</v>
      </c>
      <c r="B13" s="9" t="s">
        <v>11</v>
      </c>
      <c r="C13" s="76" t="s">
        <v>2023</v>
      </c>
      <c r="D13" s="11" t="s">
        <v>29</v>
      </c>
      <c r="E13" s="31"/>
      <c r="F13" s="31">
        <v>3178345.46</v>
      </c>
      <c r="G13" s="1"/>
      <c r="H13" s="1"/>
      <c r="I13" s="130"/>
      <c r="J13" s="169"/>
      <c r="K13" s="169"/>
      <c r="L13" s="165"/>
    </row>
    <row r="14" spans="1:14" s="2" customFormat="1" ht="14.25" customHeight="1" x14ac:dyDescent="0.2">
      <c r="D14" s="11" t="s">
        <v>8</v>
      </c>
      <c r="E14" s="16">
        <f>SUM(E12:E13)</f>
        <v>302836</v>
      </c>
      <c r="F14" s="16">
        <f>SUM(F11:F13)</f>
        <v>28928357.720000003</v>
      </c>
      <c r="G14" s="1"/>
      <c r="H14" s="1"/>
      <c r="I14" s="143"/>
      <c r="J14" s="130"/>
      <c r="K14" s="143"/>
      <c r="L14" s="143"/>
      <c r="M14" s="143"/>
      <c r="N14" s="143"/>
    </row>
    <row r="15" spans="1:14" s="2" customFormat="1" ht="14.25" customHeight="1" x14ac:dyDescent="0.4">
      <c r="A15" s="17"/>
      <c r="B15" s="18"/>
      <c r="C15" s="96" t="s">
        <v>9</v>
      </c>
      <c r="D15" s="20"/>
      <c r="E15" s="21">
        <f>+F14-E14</f>
        <v>28625521.720000003</v>
      </c>
      <c r="G15" s="1"/>
      <c r="H15" s="1"/>
      <c r="J15" s="112"/>
      <c r="K15" s="153" t="s">
        <v>779</v>
      </c>
    </row>
    <row r="16" spans="1:14" s="2" customFormat="1" ht="14.25" customHeight="1" x14ac:dyDescent="0.2">
      <c r="A16" s="17"/>
      <c r="B16" s="28" t="s">
        <v>66</v>
      </c>
      <c r="C16" s="43" t="s">
        <v>1458</v>
      </c>
      <c r="D16" s="43"/>
      <c r="E16" s="12">
        <f>30000000+60000000</f>
        <v>90000000</v>
      </c>
      <c r="F16" s="22"/>
      <c r="G16" s="1"/>
      <c r="H16" s="1"/>
      <c r="J16" s="40">
        <v>28625521.719999999</v>
      </c>
      <c r="K16" s="154">
        <f>J16-E15</f>
        <v>0</v>
      </c>
    </row>
    <row r="17" spans="1:12" s="2" customFormat="1" ht="14.25" customHeight="1" x14ac:dyDescent="0.25">
      <c r="A17" s="36"/>
      <c r="B17" s="28"/>
      <c r="C17" s="44" t="s">
        <v>1541</v>
      </c>
      <c r="D17" s="43"/>
      <c r="E17" s="7">
        <f>+E15+E16</f>
        <v>118625521.72</v>
      </c>
      <c r="F17" s="22"/>
      <c r="G17" s="1"/>
      <c r="H17" s="1"/>
      <c r="I17" s="13" t="s">
        <v>1582</v>
      </c>
      <c r="J17" s="13" t="s">
        <v>1583</v>
      </c>
    </row>
    <row r="18" spans="1:12" s="2" customFormat="1" ht="14.25" customHeight="1" x14ac:dyDescent="0.25">
      <c r="A18" s="36"/>
      <c r="B18" s="28"/>
      <c r="C18" s="44" t="s">
        <v>1511</v>
      </c>
      <c r="D18" s="43"/>
      <c r="E18" s="38">
        <f>+J11+I7-J7</f>
        <v>1374478.2800000012</v>
      </c>
      <c r="F18" s="22"/>
      <c r="G18" s="1"/>
      <c r="H18" s="1"/>
      <c r="I18" s="2">
        <v>744554</v>
      </c>
      <c r="J18" s="2">
        <v>8609996.1600000001</v>
      </c>
      <c r="K18" s="176">
        <f>I18-J18</f>
        <v>-7865442.1600000001</v>
      </c>
    </row>
    <row r="19" spans="1:12" s="2" customFormat="1" ht="14.25" customHeight="1" x14ac:dyDescent="0.2">
      <c r="A19" s="24"/>
      <c r="B19" s="1"/>
      <c r="C19" s="14"/>
      <c r="D19" s="25"/>
      <c r="G19" s="1"/>
      <c r="H19" s="1"/>
      <c r="J19" s="130"/>
      <c r="K19" s="130"/>
    </row>
    <row r="20" spans="1:12" s="2" customFormat="1" x14ac:dyDescent="0.2">
      <c r="A20" s="214" t="s">
        <v>10</v>
      </c>
      <c r="B20" s="214"/>
      <c r="C20" s="214"/>
      <c r="D20" s="214"/>
      <c r="E20" s="214"/>
      <c r="F20" s="214"/>
      <c r="G20" s="1"/>
      <c r="H20" s="1"/>
      <c r="I20" s="159"/>
      <c r="J20" s="160">
        <v>100000000</v>
      </c>
      <c r="K20" s="160" t="s">
        <v>1506</v>
      </c>
      <c r="L20" s="70"/>
    </row>
    <row r="21" spans="1:12" s="2" customFormat="1" ht="15" x14ac:dyDescent="0.35">
      <c r="A21" s="26" t="s">
        <v>1</v>
      </c>
      <c r="B21" s="27" t="s">
        <v>2</v>
      </c>
      <c r="C21" s="5"/>
      <c r="D21" s="6" t="s">
        <v>3</v>
      </c>
      <c r="E21" s="7" t="s">
        <v>4</v>
      </c>
      <c r="F21" s="7" t="s">
        <v>5</v>
      </c>
      <c r="G21" s="1"/>
      <c r="H21" s="1"/>
      <c r="I21" s="159"/>
      <c r="J21" s="179">
        <v>65785951.210000001</v>
      </c>
      <c r="K21" s="160" t="s">
        <v>1507</v>
      </c>
      <c r="L21" s="70" t="s">
        <v>1512</v>
      </c>
    </row>
    <row r="22" spans="1:12" s="2" customFormat="1" x14ac:dyDescent="0.2">
      <c r="A22" s="89">
        <v>45322</v>
      </c>
      <c r="B22" s="128" t="s">
        <v>11</v>
      </c>
      <c r="C22" s="29" t="s">
        <v>7</v>
      </c>
      <c r="D22" s="25"/>
      <c r="E22" s="31"/>
      <c r="F22" s="2">
        <v>82143735.809999913</v>
      </c>
      <c r="G22" s="23"/>
      <c r="H22" s="23"/>
      <c r="I22" s="159" t="s">
        <v>1505</v>
      </c>
      <c r="J22" s="160">
        <f>+J20-J21</f>
        <v>34214048.789999999</v>
      </c>
      <c r="K22" s="160"/>
      <c r="L22" s="70"/>
    </row>
    <row r="23" spans="1:12" s="2" customFormat="1" x14ac:dyDescent="0.2">
      <c r="A23" s="89">
        <v>45322</v>
      </c>
      <c r="B23" s="128" t="s">
        <v>6</v>
      </c>
      <c r="C23" s="76" t="s">
        <v>547</v>
      </c>
      <c r="D23" s="11" t="s">
        <v>13</v>
      </c>
      <c r="E23" s="31">
        <v>107982</v>
      </c>
      <c r="G23" s="23"/>
      <c r="H23" s="23"/>
      <c r="I23" s="159"/>
      <c r="J23" s="160"/>
      <c r="K23" s="160"/>
      <c r="L23" s="70"/>
    </row>
    <row r="24" spans="1:12" s="2" customFormat="1" x14ac:dyDescent="0.2">
      <c r="A24" s="89">
        <v>45322</v>
      </c>
      <c r="B24" s="128" t="s">
        <v>6</v>
      </c>
      <c r="C24" s="76" t="s">
        <v>213</v>
      </c>
      <c r="D24" s="11" t="s">
        <v>13</v>
      </c>
      <c r="E24" s="31">
        <v>13427</v>
      </c>
      <c r="G24" s="23"/>
      <c r="H24" s="23"/>
      <c r="I24" s="159"/>
      <c r="J24" s="160"/>
      <c r="K24" s="160"/>
      <c r="L24" s="70"/>
    </row>
    <row r="25" spans="1:12" s="2" customFormat="1" x14ac:dyDescent="0.2">
      <c r="A25" s="89">
        <v>45322</v>
      </c>
      <c r="B25" s="128" t="s">
        <v>6</v>
      </c>
      <c r="C25" s="76" t="s">
        <v>843</v>
      </c>
      <c r="D25" s="11" t="s">
        <v>13</v>
      </c>
      <c r="E25" s="31">
        <v>322782</v>
      </c>
      <c r="G25" s="23"/>
      <c r="H25" s="23"/>
      <c r="I25" s="159"/>
      <c r="J25" s="160"/>
      <c r="K25" s="160"/>
      <c r="L25" s="70"/>
    </row>
    <row r="26" spans="1:12" s="2" customFormat="1" x14ac:dyDescent="0.2">
      <c r="A26" s="89">
        <v>45322</v>
      </c>
      <c r="B26" s="128" t="s">
        <v>6</v>
      </c>
      <c r="C26" s="76" t="s">
        <v>149</v>
      </c>
      <c r="D26" s="11" t="s">
        <v>13</v>
      </c>
      <c r="E26" s="31">
        <v>204841</v>
      </c>
      <c r="G26" s="23"/>
      <c r="H26" s="23"/>
      <c r="I26" s="159"/>
      <c r="J26" s="160"/>
      <c r="K26" s="160"/>
      <c r="L26" s="70"/>
    </row>
    <row r="27" spans="1:12" s="2" customFormat="1" x14ac:dyDescent="0.2">
      <c r="A27" s="89">
        <v>45322</v>
      </c>
      <c r="B27" s="128" t="s">
        <v>6</v>
      </c>
      <c r="C27" s="76" t="s">
        <v>366</v>
      </c>
      <c r="D27" s="11" t="s">
        <v>13</v>
      </c>
      <c r="E27" s="31">
        <v>3824206</v>
      </c>
      <c r="G27" s="23"/>
      <c r="H27" s="23"/>
      <c r="I27" s="159"/>
      <c r="J27" s="160"/>
      <c r="K27" s="160"/>
      <c r="L27" s="70"/>
    </row>
    <row r="28" spans="1:12" s="2" customFormat="1" x14ac:dyDescent="0.2">
      <c r="A28" s="89">
        <v>45322</v>
      </c>
      <c r="B28" s="128" t="s">
        <v>6</v>
      </c>
      <c r="C28" s="76" t="s">
        <v>17</v>
      </c>
      <c r="D28" s="11" t="s">
        <v>13</v>
      </c>
      <c r="E28" s="31">
        <v>18048</v>
      </c>
      <c r="G28" s="23"/>
      <c r="H28" s="23"/>
      <c r="I28" s="159"/>
      <c r="J28" s="160"/>
      <c r="K28" s="160"/>
      <c r="L28" s="70"/>
    </row>
    <row r="29" spans="1:12" s="2" customFormat="1" x14ac:dyDescent="0.2">
      <c r="A29" s="89">
        <v>45322</v>
      </c>
      <c r="B29" s="128" t="s">
        <v>6</v>
      </c>
      <c r="C29" s="76" t="s">
        <v>264</v>
      </c>
      <c r="D29" s="11" t="s">
        <v>13</v>
      </c>
      <c r="E29" s="31">
        <v>1000000</v>
      </c>
      <c r="G29" s="23"/>
      <c r="H29" s="23"/>
      <c r="I29" s="159"/>
      <c r="J29" s="160"/>
      <c r="K29" s="160"/>
      <c r="L29" s="70"/>
    </row>
    <row r="30" spans="1:12" s="2" customFormat="1" x14ac:dyDescent="0.2">
      <c r="A30" s="89">
        <v>45322</v>
      </c>
      <c r="B30" s="128" t="s">
        <v>6</v>
      </c>
      <c r="C30" s="76" t="s">
        <v>1778</v>
      </c>
      <c r="D30" s="11" t="s">
        <v>13</v>
      </c>
      <c r="E30" s="31">
        <v>508579</v>
      </c>
      <c r="G30" s="23"/>
      <c r="H30" s="23"/>
      <c r="I30" s="159"/>
      <c r="J30" s="160"/>
      <c r="K30" s="160"/>
      <c r="L30" s="70"/>
    </row>
    <row r="31" spans="1:12" s="2" customFormat="1" x14ac:dyDescent="0.2">
      <c r="A31" s="89">
        <v>45322</v>
      </c>
      <c r="B31" s="128" t="s">
        <v>6</v>
      </c>
      <c r="C31" s="76" t="s">
        <v>497</v>
      </c>
      <c r="D31" s="11" t="s">
        <v>13</v>
      </c>
      <c r="E31" s="31">
        <v>1365990.38</v>
      </c>
      <c r="G31" s="23"/>
      <c r="H31" s="23"/>
      <c r="I31" s="159"/>
      <c r="J31" s="160"/>
      <c r="K31" s="160"/>
      <c r="L31" s="70"/>
    </row>
    <row r="32" spans="1:12" s="2" customFormat="1" x14ac:dyDescent="0.2">
      <c r="A32" s="89">
        <v>45322</v>
      </c>
      <c r="B32" s="128" t="s">
        <v>6</v>
      </c>
      <c r="C32" s="76" t="s">
        <v>2024</v>
      </c>
      <c r="D32" s="11" t="s">
        <v>13</v>
      </c>
      <c r="E32" s="31">
        <v>142250</v>
      </c>
      <c r="G32" s="23"/>
      <c r="H32" s="23"/>
      <c r="I32" s="159"/>
      <c r="J32" s="160"/>
      <c r="K32" s="160"/>
      <c r="L32" s="70"/>
    </row>
    <row r="33" spans="1:12" s="2" customFormat="1" x14ac:dyDescent="0.2">
      <c r="A33" s="89">
        <v>45322</v>
      </c>
      <c r="B33" s="128" t="s">
        <v>6</v>
      </c>
      <c r="C33" s="76" t="s">
        <v>785</v>
      </c>
      <c r="D33" s="11" t="s">
        <v>13</v>
      </c>
      <c r="E33" s="31">
        <v>1240820</v>
      </c>
      <c r="G33" s="23"/>
      <c r="H33" s="23"/>
      <c r="I33" s="159"/>
      <c r="J33" s="160"/>
      <c r="K33" s="160"/>
      <c r="L33" s="70"/>
    </row>
    <row r="34" spans="1:12" s="2" customFormat="1" x14ac:dyDescent="0.2">
      <c r="A34" s="89">
        <v>45322</v>
      </c>
      <c r="B34" s="128" t="s">
        <v>6</v>
      </c>
      <c r="C34" s="76" t="s">
        <v>1808</v>
      </c>
      <c r="D34" s="11" t="s">
        <v>13</v>
      </c>
      <c r="E34" s="31">
        <v>8029609</v>
      </c>
      <c r="G34" s="23"/>
      <c r="H34" s="23"/>
      <c r="I34" s="159"/>
      <c r="J34" s="160"/>
      <c r="K34" s="160"/>
      <c r="L34" s="70"/>
    </row>
    <row r="35" spans="1:12" s="2" customFormat="1" x14ac:dyDescent="0.2">
      <c r="A35" s="89">
        <v>45322</v>
      </c>
      <c r="B35" s="128" t="s">
        <v>6</v>
      </c>
      <c r="C35" s="76" t="s">
        <v>332</v>
      </c>
      <c r="D35" s="11" t="s">
        <v>13</v>
      </c>
      <c r="E35" s="31">
        <v>8550</v>
      </c>
      <c r="G35" s="23"/>
      <c r="H35" s="23"/>
      <c r="I35" s="159"/>
      <c r="J35" s="160"/>
      <c r="K35" s="160"/>
      <c r="L35" s="70"/>
    </row>
    <row r="36" spans="1:12" s="2" customFormat="1" x14ac:dyDescent="0.2">
      <c r="A36" s="89">
        <v>45322</v>
      </c>
      <c r="B36" s="128" t="s">
        <v>6</v>
      </c>
      <c r="C36" s="76" t="s">
        <v>1953</v>
      </c>
      <c r="D36" s="11" t="s">
        <v>13</v>
      </c>
      <c r="E36" s="31">
        <v>375455</v>
      </c>
      <c r="G36" s="23"/>
      <c r="H36" s="23"/>
      <c r="I36" s="159"/>
      <c r="J36" s="160"/>
      <c r="K36" s="160"/>
      <c r="L36" s="70"/>
    </row>
    <row r="37" spans="1:12" s="2" customFormat="1" x14ac:dyDescent="0.2">
      <c r="A37" s="89">
        <v>45322</v>
      </c>
      <c r="B37" s="128" t="s">
        <v>6</v>
      </c>
      <c r="C37" s="76" t="s">
        <v>1497</v>
      </c>
      <c r="D37" s="11" t="s">
        <v>13</v>
      </c>
      <c r="E37" s="31">
        <v>26431</v>
      </c>
      <c r="G37" s="23"/>
      <c r="H37" s="23"/>
      <c r="I37" s="159"/>
      <c r="J37" s="160"/>
      <c r="K37" s="160"/>
      <c r="L37" s="70"/>
    </row>
    <row r="38" spans="1:12" s="2" customFormat="1" x14ac:dyDescent="0.2">
      <c r="A38" s="89">
        <v>45322</v>
      </c>
      <c r="B38" s="128" t="s">
        <v>6</v>
      </c>
      <c r="C38" s="76" t="s">
        <v>1192</v>
      </c>
      <c r="D38" s="11" t="s">
        <v>13</v>
      </c>
      <c r="E38" s="31">
        <v>69405</v>
      </c>
      <c r="G38" s="23"/>
      <c r="H38" s="23"/>
      <c r="I38" s="159"/>
      <c r="J38" s="160"/>
      <c r="K38" s="160"/>
      <c r="L38" s="70"/>
    </row>
    <row r="39" spans="1:12" s="2" customFormat="1" x14ac:dyDescent="0.2">
      <c r="A39" s="89">
        <v>45322</v>
      </c>
      <c r="B39" s="128" t="s">
        <v>6</v>
      </c>
      <c r="C39" s="76" t="s">
        <v>1804</v>
      </c>
      <c r="D39" s="11" t="s">
        <v>13</v>
      </c>
      <c r="E39" s="31">
        <v>273263</v>
      </c>
      <c r="G39" s="23"/>
      <c r="H39" s="23"/>
      <c r="I39" s="159"/>
      <c r="J39" s="160"/>
      <c r="K39" s="160"/>
      <c r="L39" s="70"/>
    </row>
    <row r="40" spans="1:12" s="2" customFormat="1" x14ac:dyDescent="0.2">
      <c r="A40" s="89">
        <v>45322</v>
      </c>
      <c r="B40" s="128" t="s">
        <v>6</v>
      </c>
      <c r="C40" s="76" t="s">
        <v>200</v>
      </c>
      <c r="D40" s="11" t="s">
        <v>13</v>
      </c>
      <c r="E40" s="31">
        <v>1507058</v>
      </c>
      <c r="G40" s="23"/>
      <c r="H40" s="23"/>
      <c r="I40" s="159"/>
      <c r="J40" s="160"/>
      <c r="K40" s="160"/>
      <c r="L40" s="70"/>
    </row>
    <row r="41" spans="1:12" s="2" customFormat="1" x14ac:dyDescent="0.2">
      <c r="A41" s="89">
        <v>45322</v>
      </c>
      <c r="B41" s="128" t="s">
        <v>6</v>
      </c>
      <c r="C41" s="76" t="s">
        <v>1996</v>
      </c>
      <c r="D41" s="11" t="s">
        <v>13</v>
      </c>
      <c r="E41" s="31">
        <v>466530</v>
      </c>
      <c r="G41" s="23"/>
      <c r="H41" s="23"/>
      <c r="I41" s="159"/>
      <c r="J41" s="160"/>
      <c r="K41" s="160"/>
      <c r="L41" s="70"/>
    </row>
    <row r="42" spans="1:12" s="2" customFormat="1" x14ac:dyDescent="0.2">
      <c r="A42" s="89">
        <v>45322</v>
      </c>
      <c r="B42" s="128" t="s">
        <v>6</v>
      </c>
      <c r="C42" s="76" t="s">
        <v>121</v>
      </c>
      <c r="D42" s="11" t="s">
        <v>13</v>
      </c>
      <c r="E42" s="31">
        <v>500000</v>
      </c>
      <c r="G42" s="23"/>
      <c r="H42" s="23"/>
      <c r="I42" s="159"/>
      <c r="J42" s="160"/>
      <c r="K42" s="160"/>
      <c r="L42" s="70"/>
    </row>
    <row r="43" spans="1:12" s="2" customFormat="1" x14ac:dyDescent="0.2">
      <c r="A43" s="89">
        <v>45322</v>
      </c>
      <c r="B43" s="128" t="s">
        <v>6</v>
      </c>
      <c r="C43" s="76" t="s">
        <v>27</v>
      </c>
      <c r="D43" s="11" t="s">
        <v>13</v>
      </c>
      <c r="E43" s="31">
        <v>1657228.2000000002</v>
      </c>
      <c r="G43" s="23"/>
      <c r="H43" s="23"/>
      <c r="I43" s="159"/>
      <c r="J43" s="160"/>
      <c r="K43" s="160"/>
      <c r="L43" s="70"/>
    </row>
    <row r="44" spans="1:12" s="2" customFormat="1" x14ac:dyDescent="0.2">
      <c r="A44" s="89">
        <v>45322</v>
      </c>
      <c r="B44" s="128" t="s">
        <v>6</v>
      </c>
      <c r="C44" s="76" t="s">
        <v>1397</v>
      </c>
      <c r="D44" s="11" t="s">
        <v>13</v>
      </c>
      <c r="E44" s="31">
        <v>2363</v>
      </c>
      <c r="G44" s="23"/>
      <c r="H44" s="23"/>
      <c r="I44" s="159"/>
      <c r="J44" s="160"/>
      <c r="K44" s="160"/>
      <c r="L44" s="70"/>
    </row>
    <row r="45" spans="1:12" s="2" customFormat="1" x14ac:dyDescent="0.2">
      <c r="A45" s="89">
        <v>45322</v>
      </c>
      <c r="B45" s="128" t="s">
        <v>11</v>
      </c>
      <c r="C45" s="76" t="s">
        <v>15</v>
      </c>
      <c r="D45" s="11" t="s">
        <v>13</v>
      </c>
      <c r="E45" s="31">
        <v>143364.96</v>
      </c>
      <c r="G45" s="23"/>
      <c r="H45" s="23"/>
      <c r="I45" s="159"/>
      <c r="J45" s="160"/>
      <c r="K45" s="160"/>
      <c r="L45" s="70"/>
    </row>
    <row r="46" spans="1:12" s="2" customFormat="1" x14ac:dyDescent="0.2">
      <c r="A46" s="89">
        <v>45322</v>
      </c>
      <c r="B46" s="128" t="s">
        <v>11</v>
      </c>
      <c r="C46" s="76" t="s">
        <v>64</v>
      </c>
      <c r="D46" s="11" t="s">
        <v>29</v>
      </c>
      <c r="E46" s="31"/>
      <c r="F46" s="2">
        <v>12519.93</v>
      </c>
      <c r="G46" s="23"/>
      <c r="H46" s="23"/>
      <c r="I46" s="159"/>
      <c r="J46" s="160"/>
      <c r="K46" s="160"/>
      <c r="L46" s="70"/>
    </row>
    <row r="47" spans="1:12" s="2" customFormat="1" x14ac:dyDescent="0.2">
      <c r="A47" s="89">
        <v>45322</v>
      </c>
      <c r="B47" s="128" t="s">
        <v>11</v>
      </c>
      <c r="C47" s="76" t="s">
        <v>15</v>
      </c>
      <c r="D47" s="11" t="s">
        <v>29</v>
      </c>
      <c r="E47" s="31"/>
      <c r="F47" s="2">
        <v>130515.57</v>
      </c>
      <c r="G47" s="23"/>
      <c r="H47" s="23"/>
      <c r="I47" s="159"/>
      <c r="J47" s="160"/>
      <c r="K47" s="160"/>
      <c r="L47" s="70"/>
    </row>
    <row r="48" spans="1:12" s="2" customFormat="1" x14ac:dyDescent="0.2">
      <c r="A48" s="89">
        <v>45322</v>
      </c>
      <c r="B48" s="128" t="s">
        <v>11</v>
      </c>
      <c r="C48" s="76" t="s">
        <v>733</v>
      </c>
      <c r="D48" s="11" t="s">
        <v>29</v>
      </c>
      <c r="E48" s="31"/>
      <c r="F48" s="2">
        <v>2321805</v>
      </c>
      <c r="G48" s="23"/>
      <c r="H48" s="23"/>
      <c r="I48" s="159"/>
      <c r="J48" s="160"/>
      <c r="K48" s="160"/>
      <c r="L48" s="70"/>
    </row>
    <row r="49" spans="1:15" s="2" customFormat="1" x14ac:dyDescent="0.2">
      <c r="A49" s="89">
        <v>45322</v>
      </c>
      <c r="B49" s="128" t="s">
        <v>11</v>
      </c>
      <c r="C49" s="76" t="s">
        <v>732</v>
      </c>
      <c r="D49" s="11" t="s">
        <v>29</v>
      </c>
      <c r="E49" s="31"/>
      <c r="F49" s="2">
        <v>3482708</v>
      </c>
      <c r="G49" s="23"/>
      <c r="H49" s="23"/>
      <c r="I49" s="159"/>
      <c r="J49" s="160"/>
      <c r="K49" s="160"/>
      <c r="L49" s="70"/>
    </row>
    <row r="50" spans="1:15" s="2" customFormat="1" x14ac:dyDescent="0.2">
      <c r="A50" s="89">
        <v>45322</v>
      </c>
      <c r="B50" s="128" t="s">
        <v>11</v>
      </c>
      <c r="C50" s="76" t="s">
        <v>1838</v>
      </c>
      <c r="D50" s="11" t="s">
        <v>29</v>
      </c>
      <c r="E50" s="31"/>
      <c r="F50" s="2">
        <v>107014</v>
      </c>
      <c r="G50" s="23"/>
      <c r="H50" s="23"/>
      <c r="I50" s="159"/>
      <c r="J50" s="160"/>
      <c r="K50" s="160"/>
      <c r="L50" s="70"/>
    </row>
    <row r="51" spans="1:15" s="2" customFormat="1" x14ac:dyDescent="0.2">
      <c r="A51" s="89">
        <v>45322</v>
      </c>
      <c r="B51" s="128" t="s">
        <v>11</v>
      </c>
      <c r="C51" s="76" t="s">
        <v>111</v>
      </c>
      <c r="D51" s="11" t="s">
        <v>29</v>
      </c>
      <c r="E51" s="31"/>
      <c r="F51" s="2">
        <v>911848.16</v>
      </c>
      <c r="G51" s="23"/>
      <c r="H51" s="23"/>
      <c r="I51" s="159"/>
      <c r="J51" s="160"/>
      <c r="K51" s="160"/>
      <c r="L51" s="70"/>
    </row>
    <row r="52" spans="1:15" s="2" customFormat="1" x14ac:dyDescent="0.2">
      <c r="A52" s="89">
        <v>45322</v>
      </c>
      <c r="B52" s="128" t="s">
        <v>11</v>
      </c>
      <c r="C52" s="76" t="s">
        <v>2025</v>
      </c>
      <c r="D52" s="11" t="s">
        <v>29</v>
      </c>
      <c r="E52" s="31"/>
      <c r="F52" s="2">
        <v>870722</v>
      </c>
      <c r="G52" s="23"/>
      <c r="H52" s="23"/>
      <c r="I52" s="159"/>
      <c r="J52" s="160"/>
      <c r="K52" s="160"/>
      <c r="L52" s="70"/>
    </row>
    <row r="53" spans="1:15" s="2" customFormat="1" x14ac:dyDescent="0.2">
      <c r="A53" s="89">
        <v>45322</v>
      </c>
      <c r="B53" s="128" t="s">
        <v>11</v>
      </c>
      <c r="C53" s="76" t="s">
        <v>1269</v>
      </c>
      <c r="D53" s="11" t="s">
        <v>29</v>
      </c>
      <c r="E53" s="31"/>
      <c r="F53" s="2">
        <v>458627</v>
      </c>
      <c r="G53" s="23"/>
      <c r="H53" s="23"/>
      <c r="I53" s="159"/>
      <c r="J53" s="160"/>
      <c r="K53" s="160"/>
      <c r="L53" s="70"/>
    </row>
    <row r="54" spans="1:15" s="2" customFormat="1" x14ac:dyDescent="0.2">
      <c r="A54" s="89">
        <v>45322</v>
      </c>
      <c r="B54" s="128" t="s">
        <v>11</v>
      </c>
      <c r="C54" s="76" t="s">
        <v>1771</v>
      </c>
      <c r="D54" s="11" t="s">
        <v>29</v>
      </c>
      <c r="E54" s="31"/>
      <c r="F54" s="2">
        <v>5020067</v>
      </c>
      <c r="G54" s="23"/>
      <c r="H54" s="23"/>
      <c r="I54" s="159"/>
      <c r="J54" s="160"/>
      <c r="K54" s="160"/>
      <c r="L54" s="70"/>
    </row>
    <row r="55" spans="1:15" s="2" customFormat="1" x14ac:dyDescent="0.2">
      <c r="A55" s="89">
        <v>45322</v>
      </c>
      <c r="B55" s="128" t="s">
        <v>11</v>
      </c>
      <c r="C55" s="76" t="s">
        <v>156</v>
      </c>
      <c r="D55" s="11" t="s">
        <v>29</v>
      </c>
      <c r="E55" s="31"/>
      <c r="F55" s="2">
        <v>13.44</v>
      </c>
      <c r="G55" s="23"/>
      <c r="H55" s="23"/>
      <c r="I55" s="159"/>
      <c r="J55" s="160"/>
      <c r="K55" s="160"/>
      <c r="L55" s="70"/>
    </row>
    <row r="56" spans="1:15" s="2" customFormat="1" x14ac:dyDescent="0.2">
      <c r="A56" s="32"/>
      <c r="B56" s="33"/>
      <c r="C56" s="14"/>
      <c r="D56" s="34"/>
      <c r="E56" s="16">
        <f>SUM(E22:E55)</f>
        <v>21808182.539999999</v>
      </c>
      <c r="F56" s="16">
        <f>SUM(F22:F55)</f>
        <v>95459575.909999907</v>
      </c>
      <c r="G56" s="1"/>
      <c r="H56" s="1"/>
      <c r="I56" s="1"/>
      <c r="J56" s="38">
        <v>73651393.370000005</v>
      </c>
      <c r="L56" s="92">
        <f>E57-J56</f>
        <v>0</v>
      </c>
      <c r="O56" s="1"/>
    </row>
    <row r="57" spans="1:15" s="2" customFormat="1" x14ac:dyDescent="0.2">
      <c r="A57" s="36"/>
      <c r="B57" s="28" t="s">
        <v>11</v>
      </c>
      <c r="C57" s="19" t="s">
        <v>65</v>
      </c>
      <c r="D57" s="37"/>
      <c r="E57" s="38">
        <f>F56-E56</f>
        <v>73651393.369999915</v>
      </c>
      <c r="F57" s="22"/>
      <c r="G57" s="1"/>
      <c r="H57" s="1"/>
      <c r="I57" s="1"/>
      <c r="J57" s="70"/>
      <c r="K57" s="70"/>
      <c r="L57" s="70"/>
      <c r="O57" s="1"/>
    </row>
    <row r="58" spans="1:15" s="2" customFormat="1" x14ac:dyDescent="0.2">
      <c r="A58" s="36"/>
      <c r="B58" s="28" t="s">
        <v>66</v>
      </c>
      <c r="C58" s="19" t="s">
        <v>67</v>
      </c>
      <c r="D58" s="37"/>
      <c r="E58" s="38">
        <v>11500000</v>
      </c>
      <c r="F58" s="22"/>
      <c r="G58" s="1"/>
      <c r="H58" s="1"/>
      <c r="I58" s="70"/>
      <c r="J58" s="70"/>
      <c r="K58" s="70"/>
      <c r="L58" s="70"/>
      <c r="O58" s="1"/>
    </row>
    <row r="59" spans="1:15" s="2" customFormat="1" x14ac:dyDescent="0.2">
      <c r="A59" s="36"/>
      <c r="B59" s="28" t="s">
        <v>66</v>
      </c>
      <c r="C59" s="43" t="s">
        <v>1457</v>
      </c>
      <c r="D59" s="43"/>
      <c r="E59" s="12">
        <v>400000000</v>
      </c>
      <c r="F59" s="22"/>
      <c r="G59" s="1"/>
      <c r="H59" s="1"/>
      <c r="I59" s="70"/>
      <c r="J59" s="45">
        <v>1594.61</v>
      </c>
      <c r="K59" s="46"/>
      <c r="L59" s="46"/>
      <c r="O59" s="1"/>
    </row>
    <row r="60" spans="1:15" s="2" customFormat="1" ht="15" x14ac:dyDescent="0.25">
      <c r="A60" s="36"/>
      <c r="B60" s="28"/>
      <c r="C60" s="44" t="s">
        <v>1541</v>
      </c>
      <c r="D60" s="43"/>
      <c r="E60" s="7">
        <f>+E59+E57+E58</f>
        <v>485151393.36999989</v>
      </c>
      <c r="F60" s="22"/>
      <c r="G60" s="1"/>
      <c r="H60" s="1"/>
      <c r="I60" s="103" t="s">
        <v>69</v>
      </c>
      <c r="J60" s="45">
        <v>-90.12</v>
      </c>
      <c r="K60" s="46"/>
      <c r="L60" s="46"/>
      <c r="O60" s="1"/>
    </row>
    <row r="61" spans="1:15" s="2" customFormat="1" ht="15" x14ac:dyDescent="0.25">
      <c r="A61" s="24"/>
      <c r="B61" s="1"/>
      <c r="C61" s="44" t="s">
        <v>1510</v>
      </c>
      <c r="D61" s="25"/>
      <c r="E61" s="156">
        <f>+J22-E58+I18-J18</f>
        <v>14848606.629999999</v>
      </c>
      <c r="G61" s="1"/>
      <c r="H61" s="1"/>
      <c r="I61" s="35">
        <v>1</v>
      </c>
      <c r="J61" s="45">
        <v>60.77</v>
      </c>
      <c r="K61" s="46">
        <f>+J62-D64</f>
        <v>0</v>
      </c>
      <c r="O61" s="1"/>
    </row>
    <row r="62" spans="1:15" s="124" customFormat="1" ht="12.75" customHeight="1" x14ac:dyDescent="0.2">
      <c r="A62" s="24"/>
      <c r="B62" s="1"/>
      <c r="C62" s="56"/>
      <c r="D62" s="56"/>
      <c r="E62" s="104"/>
      <c r="F62" s="2"/>
      <c r="G62" s="166"/>
      <c r="H62" s="166"/>
      <c r="I62" s="70"/>
      <c r="J62" s="49">
        <f>SUM(J59:J61)</f>
        <v>1565.2599999999998</v>
      </c>
      <c r="K62" s="46"/>
      <c r="L62" s="46"/>
    </row>
    <row r="63" spans="1:15" s="124" customFormat="1" ht="12.75" customHeight="1" x14ac:dyDescent="0.2">
      <c r="A63" s="24"/>
      <c r="B63" s="1"/>
      <c r="C63" s="78" t="s">
        <v>575</v>
      </c>
      <c r="D63" s="48" t="s">
        <v>576</v>
      </c>
      <c r="E63" s="104"/>
      <c r="F63" s="2"/>
      <c r="G63" s="168"/>
      <c r="H63" s="168"/>
      <c r="I63" s="167"/>
      <c r="J63" s="167"/>
      <c r="K63" s="168"/>
    </row>
    <row r="64" spans="1:15" s="124" customFormat="1" ht="12.75" customHeight="1" x14ac:dyDescent="0.2">
      <c r="A64" s="24"/>
      <c r="B64" s="1"/>
      <c r="C64" s="47" t="s">
        <v>570</v>
      </c>
      <c r="D64" s="111">
        <v>1565.26</v>
      </c>
      <c r="E64" s="104"/>
      <c r="F64" s="2"/>
      <c r="G64" s="168"/>
      <c r="H64" s="168"/>
      <c r="I64" s="110" t="s">
        <v>581</v>
      </c>
      <c r="J64" s="167"/>
      <c r="K64" s="168"/>
    </row>
    <row r="65" spans="1:14" s="124" customFormat="1" ht="12.75" customHeight="1" x14ac:dyDescent="0.2">
      <c r="A65" s="24"/>
      <c r="B65" s="1"/>
      <c r="C65" s="47" t="s">
        <v>931</v>
      </c>
      <c r="D65" s="111">
        <v>254.58</v>
      </c>
      <c r="E65" s="104"/>
      <c r="F65" s="2"/>
      <c r="G65" s="168"/>
      <c r="H65" s="168"/>
      <c r="I65" s="110" t="s">
        <v>580</v>
      </c>
      <c r="J65" s="167"/>
      <c r="K65" s="168"/>
    </row>
    <row r="66" spans="1:14" s="124" customFormat="1" ht="12.75" customHeight="1" x14ac:dyDescent="0.2">
      <c r="A66" s="24"/>
      <c r="B66" s="1"/>
      <c r="C66" s="47" t="s">
        <v>572</v>
      </c>
      <c r="D66" s="111">
        <f>+D118/100000</f>
        <v>1050.4951174</v>
      </c>
      <c r="E66" s="104"/>
      <c r="F66" s="2"/>
      <c r="G66" s="166"/>
      <c r="H66" s="166"/>
      <c r="I66" s="90" t="s">
        <v>587</v>
      </c>
      <c r="J66" s="167"/>
      <c r="K66" s="168"/>
    </row>
    <row r="67" spans="1:14" s="2" customFormat="1" x14ac:dyDescent="0.2">
      <c r="A67" s="24"/>
      <c r="B67" s="1"/>
      <c r="C67" s="108" t="s">
        <v>578</v>
      </c>
      <c r="D67" s="48">
        <f>SUM(D64:D66)</f>
        <v>2870.3351173999999</v>
      </c>
      <c r="E67" s="104"/>
      <c r="G67" s="30"/>
      <c r="H67" s="30"/>
      <c r="J67" s="13"/>
      <c r="K67" s="13"/>
    </row>
    <row r="68" spans="1:14" s="70" customFormat="1" x14ac:dyDescent="0.2">
      <c r="A68" s="24"/>
      <c r="B68" s="1"/>
      <c r="C68" s="47"/>
      <c r="D68" s="107"/>
      <c r="E68" s="104"/>
      <c r="F68" s="2"/>
      <c r="G68" s="30"/>
      <c r="H68" s="30"/>
      <c r="I68" s="2"/>
    </row>
    <row r="69" spans="1:14" s="70" customFormat="1" x14ac:dyDescent="0.2">
      <c r="A69" s="24"/>
      <c r="B69" s="1"/>
      <c r="C69" s="47" t="s">
        <v>932</v>
      </c>
      <c r="D69" s="111">
        <v>494.33</v>
      </c>
      <c r="E69" s="104"/>
      <c r="F69" s="2"/>
      <c r="G69" s="30"/>
      <c r="H69" s="30"/>
      <c r="I69" s="110" t="s">
        <v>581</v>
      </c>
    </row>
    <row r="70" spans="1:14" s="70" customFormat="1" x14ac:dyDescent="0.2">
      <c r="A70" s="24"/>
      <c r="B70" s="1"/>
      <c r="C70" s="136" t="s">
        <v>1142</v>
      </c>
      <c r="D70" s="111">
        <v>1264.49</v>
      </c>
      <c r="E70" s="104"/>
      <c r="F70" s="2"/>
      <c r="G70" s="30"/>
      <c r="H70" s="30"/>
      <c r="I70" s="110" t="s">
        <v>581</v>
      </c>
    </row>
    <row r="71" spans="1:14" s="70" customFormat="1" x14ac:dyDescent="0.2">
      <c r="A71" s="24"/>
      <c r="B71" s="1"/>
      <c r="C71" s="78" t="s">
        <v>579</v>
      </c>
      <c r="D71" s="109">
        <f>D69+D70</f>
        <v>1758.82</v>
      </c>
      <c r="E71" s="104"/>
      <c r="F71" s="2"/>
      <c r="G71" s="30"/>
      <c r="H71" s="30"/>
    </row>
    <row r="72" spans="1:14" s="70" customFormat="1" x14ac:dyDescent="0.2">
      <c r="A72" s="24"/>
      <c r="B72" s="1"/>
      <c r="C72" s="105"/>
      <c r="D72" s="106"/>
      <c r="E72" s="104"/>
      <c r="F72" s="2"/>
      <c r="G72" s="30"/>
      <c r="H72" s="30"/>
      <c r="J72" s="2"/>
      <c r="K72" s="221" t="str">
        <f>"FROM ( 01-01-2024 to "&amp;TEXT(A5,"dd-mm-yyyy")&amp;" )"</f>
        <v>FROM ( 01-01-2024 to 31-01-2024 )</v>
      </c>
      <c r="L72" s="221"/>
      <c r="M72" s="2"/>
      <c r="N72" s="2"/>
    </row>
    <row r="73" spans="1:14" s="70" customFormat="1" x14ac:dyDescent="0.2">
      <c r="A73" s="24"/>
      <c r="B73" s="1"/>
      <c r="C73" s="78" t="s">
        <v>577</v>
      </c>
      <c r="D73" s="109">
        <f>D64+D71</f>
        <v>3324.08</v>
      </c>
      <c r="E73" s="104"/>
      <c r="F73" s="2"/>
      <c r="G73" s="30"/>
      <c r="H73" s="30"/>
      <c r="J73" s="113"/>
      <c r="K73" s="113" t="s">
        <v>709</v>
      </c>
      <c r="L73" s="113" t="s">
        <v>710</v>
      </c>
      <c r="M73" s="113" t="s">
        <v>711</v>
      </c>
      <c r="N73" s="113" t="s">
        <v>712</v>
      </c>
    </row>
    <row r="74" spans="1:14" s="70" customFormat="1" x14ac:dyDescent="0.2">
      <c r="A74" s="24"/>
      <c r="B74" s="1"/>
      <c r="C74" s="56"/>
      <c r="D74" s="56"/>
      <c r="E74" s="104"/>
      <c r="F74" s="2"/>
      <c r="G74" s="30"/>
      <c r="H74" s="30"/>
      <c r="J74" s="113" t="s">
        <v>1860</v>
      </c>
      <c r="K74" s="115">
        <v>189.89</v>
      </c>
      <c r="L74" s="115">
        <v>56.31</v>
      </c>
      <c r="M74" s="115">
        <v>58.41</v>
      </c>
      <c r="N74" s="113">
        <f>+K74+M74-L74</f>
        <v>191.98999999999998</v>
      </c>
    </row>
    <row r="75" spans="1:14" s="70" customFormat="1" ht="38.25" x14ac:dyDescent="0.2">
      <c r="A75" s="24"/>
      <c r="B75" s="1"/>
      <c r="C75" s="79" t="str">
        <f>"Particulars ( 01-01-2024 to "&amp;TEXT(A5,"dd-mm-yyyy")&amp;" )"</f>
        <v>Particulars ( 01-01-2024 to 31-01-2024 )</v>
      </c>
      <c r="D75" s="79" t="s">
        <v>7</v>
      </c>
      <c r="E75" s="80" t="s">
        <v>73</v>
      </c>
      <c r="F75" s="80" t="s">
        <v>74</v>
      </c>
      <c r="G75" s="81" t="s">
        <v>75</v>
      </c>
      <c r="H75" s="80" t="s">
        <v>76</v>
      </c>
      <c r="J75" s="113" t="s">
        <v>1861</v>
      </c>
      <c r="K75" s="115">
        <v>1669.02</v>
      </c>
      <c r="L75" s="115">
        <v>1050.5</v>
      </c>
      <c r="M75" s="115">
        <v>1262.3900000000001</v>
      </c>
      <c r="N75" s="113">
        <f>+K75+M75-L75</f>
        <v>1880.9099999999999</v>
      </c>
    </row>
    <row r="76" spans="1:14" s="70" customFormat="1" x14ac:dyDescent="0.2">
      <c r="A76" s="24"/>
      <c r="B76" s="1"/>
      <c r="C76" s="50" t="s">
        <v>444</v>
      </c>
      <c r="D76" s="55">
        <f>+K76</f>
        <v>140.88</v>
      </c>
      <c r="E76" s="55">
        <f>+M76</f>
        <v>494.33</v>
      </c>
      <c r="F76" s="55">
        <f>+L76</f>
        <v>254.58</v>
      </c>
      <c r="G76" s="55">
        <f>+D76+E76-F76</f>
        <v>380.63</v>
      </c>
      <c r="H76" s="55">
        <f>1500-G76</f>
        <v>1119.3699999999999</v>
      </c>
      <c r="J76" s="113" t="s">
        <v>707</v>
      </c>
      <c r="K76" s="115">
        <v>140.88</v>
      </c>
      <c r="L76" s="115">
        <v>254.58</v>
      </c>
      <c r="M76" s="115">
        <v>494.33</v>
      </c>
      <c r="N76" s="113">
        <f>+K76+M76-L76</f>
        <v>380.63</v>
      </c>
    </row>
    <row r="77" spans="1:14" s="70" customFormat="1" ht="12.75" customHeight="1" x14ac:dyDescent="0.2">
      <c r="A77" s="24"/>
      <c r="B77" s="1"/>
      <c r="C77" s="50" t="s">
        <v>71</v>
      </c>
      <c r="D77" s="55">
        <f>+K74+K75</f>
        <v>1858.9099999999999</v>
      </c>
      <c r="E77" s="55">
        <f>+M74+M75</f>
        <v>1320.8000000000002</v>
      </c>
      <c r="F77" s="55">
        <f>+L74+L75</f>
        <v>1106.81</v>
      </c>
      <c r="G77" s="55">
        <f>+D77+E77-F77</f>
        <v>2072.9</v>
      </c>
      <c r="H77" s="55">
        <f>1500+700+200-G77</f>
        <v>327.09999999999991</v>
      </c>
      <c r="J77" s="2"/>
      <c r="K77" s="118">
        <f>SUM(K74:K76)</f>
        <v>1999.79</v>
      </c>
      <c r="L77" s="118">
        <f>SUM(L74:L76)</f>
        <v>1361.3899999999999</v>
      </c>
      <c r="M77" s="118">
        <f>SUM(M74:M76)</f>
        <v>1815.13</v>
      </c>
      <c r="N77" s="118">
        <f>SUM(N74:N76)</f>
        <v>2453.5299999999997</v>
      </c>
    </row>
    <row r="78" spans="1:14" s="70" customFormat="1" ht="12.75" customHeight="1" x14ac:dyDescent="0.2">
      <c r="A78" s="24"/>
      <c r="B78" s="1"/>
      <c r="C78" s="14"/>
      <c r="D78" s="56"/>
      <c r="E78" s="13"/>
      <c r="F78" s="2"/>
      <c r="G78" s="30"/>
      <c r="H78" s="30"/>
    </row>
    <row r="79" spans="1:14" s="70" customFormat="1" ht="12.75" customHeight="1" x14ac:dyDescent="0.2">
      <c r="A79" s="215" t="s">
        <v>80</v>
      </c>
      <c r="B79" s="216"/>
      <c r="C79" s="216"/>
      <c r="D79" s="217"/>
      <c r="E79" s="69"/>
      <c r="G79" s="30"/>
      <c r="H79" s="30"/>
    </row>
    <row r="80" spans="1:14" s="70" customFormat="1" ht="12.75" customHeight="1" x14ac:dyDescent="0.2">
      <c r="A80" s="71" t="s">
        <v>81</v>
      </c>
      <c r="B80" s="71"/>
      <c r="C80" s="72" t="s">
        <v>82</v>
      </c>
      <c r="D80" s="73" t="s">
        <v>83</v>
      </c>
      <c r="E80" s="69"/>
      <c r="G80" s="30"/>
      <c r="H80" s="30"/>
    </row>
    <row r="81" spans="1:15" s="70" customFormat="1" ht="12.75" customHeight="1" x14ac:dyDescent="0.2">
      <c r="A81" s="87">
        <v>45292</v>
      </c>
      <c r="B81" s="120" t="s">
        <v>6</v>
      </c>
      <c r="C81" s="75" t="s">
        <v>1933</v>
      </c>
      <c r="D81" s="88">
        <v>7583470</v>
      </c>
      <c r="E81" s="2"/>
      <c r="F81" s="2"/>
      <c r="G81" s="30"/>
      <c r="H81" s="30"/>
      <c r="I81" s="2"/>
      <c r="J81" s="2"/>
      <c r="K81" s="2"/>
      <c r="L81" s="2"/>
      <c r="M81" s="41"/>
      <c r="N81" s="42"/>
      <c r="O81" s="2"/>
    </row>
    <row r="82" spans="1:15" s="70" customFormat="1" ht="12.75" customHeight="1" x14ac:dyDescent="0.2">
      <c r="A82" s="87">
        <v>45293</v>
      </c>
      <c r="B82" s="120" t="s">
        <v>6</v>
      </c>
      <c r="C82" s="75" t="s">
        <v>1934</v>
      </c>
      <c r="D82" s="88">
        <v>124988</v>
      </c>
      <c r="E82" s="2"/>
      <c r="F82" s="2"/>
      <c r="G82" s="30"/>
      <c r="H82" s="30"/>
      <c r="I82" s="2"/>
      <c r="J82" s="2"/>
      <c r="K82" s="2"/>
      <c r="L82" s="2"/>
      <c r="M82" s="41"/>
      <c r="N82" s="42"/>
      <c r="O82" s="2"/>
    </row>
    <row r="83" spans="1:15" s="70" customFormat="1" ht="12.75" customHeight="1" x14ac:dyDescent="0.2">
      <c r="A83" s="87">
        <v>45294</v>
      </c>
      <c r="B83" s="120" t="s">
        <v>6</v>
      </c>
      <c r="C83" s="75" t="s">
        <v>606</v>
      </c>
      <c r="D83" s="88">
        <v>260191</v>
      </c>
      <c r="E83" s="2"/>
      <c r="F83" s="2"/>
      <c r="G83" s="30"/>
      <c r="H83" s="30"/>
      <c r="I83" s="2"/>
      <c r="J83" s="2"/>
      <c r="K83" s="2"/>
      <c r="L83" s="2"/>
      <c r="M83" s="41"/>
      <c r="N83" s="42"/>
      <c r="O83" s="2"/>
    </row>
    <row r="84" spans="1:15" s="70" customFormat="1" ht="12.75" customHeight="1" x14ac:dyDescent="0.2">
      <c r="A84" s="87">
        <v>45294</v>
      </c>
      <c r="B84" s="120" t="s">
        <v>6</v>
      </c>
      <c r="C84" s="75" t="s">
        <v>888</v>
      </c>
      <c r="D84" s="88">
        <v>2431991.34</v>
      </c>
      <c r="E84" s="2"/>
      <c r="F84" s="2"/>
      <c r="G84" s="30"/>
      <c r="H84" s="30"/>
      <c r="I84" s="2"/>
      <c r="J84" s="2"/>
      <c r="K84" s="2"/>
      <c r="L84" s="2"/>
      <c r="M84" s="41"/>
      <c r="N84" s="42"/>
      <c r="O84" s="2"/>
    </row>
    <row r="85" spans="1:15" s="70" customFormat="1" ht="12.75" customHeight="1" x14ac:dyDescent="0.2">
      <c r="A85" s="87">
        <v>45295</v>
      </c>
      <c r="B85" s="120" t="s">
        <v>6</v>
      </c>
      <c r="C85" s="75" t="s">
        <v>1944</v>
      </c>
      <c r="D85" s="88">
        <v>23655</v>
      </c>
      <c r="E85" s="2"/>
      <c r="F85" s="2"/>
      <c r="G85" s="30"/>
      <c r="H85" s="30"/>
      <c r="I85" s="2"/>
      <c r="J85" s="2"/>
      <c r="K85" s="2"/>
      <c r="L85" s="2"/>
      <c r="M85" s="41"/>
      <c r="N85" s="42"/>
      <c r="O85" s="2"/>
    </row>
    <row r="86" spans="1:15" s="70" customFormat="1" ht="12.75" customHeight="1" x14ac:dyDescent="0.2">
      <c r="A86" s="87">
        <v>45295</v>
      </c>
      <c r="B86" s="120" t="s">
        <v>6</v>
      </c>
      <c r="C86" s="75" t="s">
        <v>1944</v>
      </c>
      <c r="D86" s="88">
        <v>321576</v>
      </c>
      <c r="E86" s="2"/>
      <c r="F86" s="2"/>
      <c r="G86" s="30"/>
      <c r="H86" s="30"/>
      <c r="I86" s="2"/>
      <c r="J86" s="2"/>
      <c r="K86" s="2"/>
      <c r="L86" s="2"/>
      <c r="M86" s="41"/>
      <c r="N86" s="42"/>
      <c r="O86" s="2"/>
    </row>
    <row r="87" spans="1:15" s="70" customFormat="1" ht="12.75" customHeight="1" x14ac:dyDescent="0.2">
      <c r="A87" s="87">
        <v>45295</v>
      </c>
      <c r="B87" s="120" t="s">
        <v>6</v>
      </c>
      <c r="C87" s="75" t="s">
        <v>1944</v>
      </c>
      <c r="D87" s="88">
        <v>430832</v>
      </c>
      <c r="E87" s="2"/>
      <c r="F87" s="2"/>
      <c r="G87" s="30"/>
      <c r="H87" s="30"/>
      <c r="I87" s="2"/>
      <c r="J87" s="2"/>
      <c r="K87" s="2"/>
      <c r="L87" s="2"/>
      <c r="M87" s="41"/>
      <c r="N87" s="42"/>
      <c r="O87" s="2"/>
    </row>
    <row r="88" spans="1:15" s="70" customFormat="1" ht="12.75" customHeight="1" x14ac:dyDescent="0.2">
      <c r="A88" s="87">
        <v>45295</v>
      </c>
      <c r="B88" s="120" t="s">
        <v>6</v>
      </c>
      <c r="C88" s="75" t="s">
        <v>1934</v>
      </c>
      <c r="D88" s="88">
        <v>892589</v>
      </c>
      <c r="E88" s="2"/>
      <c r="F88" s="2"/>
      <c r="G88" s="30"/>
      <c r="H88" s="30"/>
      <c r="I88" s="2"/>
      <c r="J88" s="2"/>
      <c r="K88" s="2"/>
      <c r="L88" s="2"/>
      <c r="M88" s="41"/>
      <c r="N88" s="42"/>
      <c r="O88" s="2"/>
    </row>
    <row r="89" spans="1:15" s="70" customFormat="1" ht="12.75" customHeight="1" x14ac:dyDescent="0.2">
      <c r="A89" s="87">
        <v>45299</v>
      </c>
      <c r="B89" s="120" t="s">
        <v>6</v>
      </c>
      <c r="C89" s="75" t="s">
        <v>1933</v>
      </c>
      <c r="D89" s="88">
        <v>8143487</v>
      </c>
      <c r="E89" s="2"/>
      <c r="F89" s="2"/>
      <c r="G89" s="30"/>
      <c r="H89" s="30"/>
      <c r="I89" s="2"/>
      <c r="J89" s="2"/>
      <c r="K89" s="2"/>
      <c r="L89" s="2"/>
      <c r="M89" s="41"/>
      <c r="N89" s="42"/>
      <c r="O89" s="2"/>
    </row>
    <row r="90" spans="1:15" s="70" customFormat="1" ht="12.75" customHeight="1" x14ac:dyDescent="0.2">
      <c r="A90" s="87">
        <v>45299</v>
      </c>
      <c r="B90" s="120" t="s">
        <v>6</v>
      </c>
      <c r="C90" s="75" t="s">
        <v>606</v>
      </c>
      <c r="D90" s="88">
        <v>487316</v>
      </c>
      <c r="E90" s="2"/>
      <c r="F90" s="2"/>
      <c r="G90" s="30"/>
      <c r="H90" s="30"/>
      <c r="I90" s="2"/>
      <c r="J90" s="2"/>
      <c r="K90" s="2"/>
      <c r="L90" s="2"/>
      <c r="M90" s="41"/>
      <c r="N90" s="42"/>
      <c r="O90" s="2"/>
    </row>
    <row r="91" spans="1:15" s="70" customFormat="1" ht="12.75" customHeight="1" x14ac:dyDescent="0.2">
      <c r="A91" s="87">
        <v>45301</v>
      </c>
      <c r="B91" s="120" t="s">
        <v>6</v>
      </c>
      <c r="C91" s="75" t="s">
        <v>1933</v>
      </c>
      <c r="D91" s="88">
        <v>2690</v>
      </c>
      <c r="E91" s="2"/>
      <c r="F91" s="2"/>
      <c r="G91" s="30"/>
      <c r="H91" s="30"/>
      <c r="I91" s="2"/>
      <c r="J91" s="2"/>
      <c r="K91" s="2"/>
      <c r="L91" s="2"/>
      <c r="M91" s="41"/>
      <c r="N91" s="42"/>
      <c r="O91" s="2"/>
    </row>
    <row r="92" spans="1:15" s="70" customFormat="1" ht="12.75" customHeight="1" x14ac:dyDescent="0.2">
      <c r="A92" s="87">
        <v>45301</v>
      </c>
      <c r="B92" s="120" t="s">
        <v>6</v>
      </c>
      <c r="C92" s="75" t="s">
        <v>1933</v>
      </c>
      <c r="D92" s="88">
        <v>2133516</v>
      </c>
      <c r="E92" s="2"/>
      <c r="F92" s="2"/>
      <c r="G92" s="30"/>
      <c r="H92" s="30"/>
      <c r="I92" s="2"/>
      <c r="J92" s="2"/>
      <c r="K92" s="2"/>
      <c r="L92" s="2"/>
      <c r="M92" s="41"/>
      <c r="N92" s="42"/>
      <c r="O92" s="2"/>
    </row>
    <row r="93" spans="1:15" s="70" customFormat="1" ht="12.75" customHeight="1" x14ac:dyDescent="0.2">
      <c r="A93" s="87">
        <v>45302</v>
      </c>
      <c r="B93" s="120" t="s">
        <v>6</v>
      </c>
      <c r="C93" s="75" t="s">
        <v>1084</v>
      </c>
      <c r="D93" s="88">
        <v>3000000</v>
      </c>
      <c r="E93" s="2"/>
      <c r="F93" s="2"/>
      <c r="G93" s="30"/>
      <c r="H93" s="30"/>
      <c r="I93" s="2"/>
      <c r="J93" s="2"/>
      <c r="K93" s="2"/>
      <c r="L93" s="2"/>
      <c r="M93" s="41"/>
      <c r="N93" s="42"/>
      <c r="O93" s="2"/>
    </row>
    <row r="94" spans="1:15" s="70" customFormat="1" ht="12.75" customHeight="1" x14ac:dyDescent="0.2">
      <c r="A94" s="87">
        <v>45303</v>
      </c>
      <c r="B94" s="120" t="s">
        <v>6</v>
      </c>
      <c r="C94" s="75" t="s">
        <v>1933</v>
      </c>
      <c r="D94" s="88">
        <v>5893097</v>
      </c>
      <c r="E94" s="2"/>
      <c r="F94" s="2"/>
      <c r="G94" s="30"/>
      <c r="H94" s="30"/>
      <c r="I94" s="2"/>
      <c r="J94" s="2"/>
      <c r="K94" s="2"/>
      <c r="L94" s="2"/>
      <c r="M94" s="41"/>
      <c r="N94" s="42"/>
      <c r="O94" s="2"/>
    </row>
    <row r="95" spans="1:15" s="70" customFormat="1" ht="12.75" customHeight="1" x14ac:dyDescent="0.2">
      <c r="A95" s="87">
        <v>45303</v>
      </c>
      <c r="B95" s="120" t="s">
        <v>6</v>
      </c>
      <c r="C95" s="75" t="s">
        <v>1977</v>
      </c>
      <c r="D95" s="88">
        <v>500000</v>
      </c>
      <c r="E95" s="2"/>
      <c r="F95" s="2"/>
      <c r="G95" s="30"/>
      <c r="H95" s="30"/>
      <c r="I95" s="2"/>
      <c r="J95" s="2"/>
      <c r="K95" s="2"/>
      <c r="L95" s="2"/>
      <c r="M95" s="41"/>
      <c r="N95" s="42"/>
      <c r="O95" s="2"/>
    </row>
    <row r="96" spans="1:15" s="70" customFormat="1" ht="12.75" customHeight="1" x14ac:dyDescent="0.2">
      <c r="A96" s="87">
        <v>45307</v>
      </c>
      <c r="B96" s="120" t="s">
        <v>6</v>
      </c>
      <c r="C96" s="75" t="s">
        <v>1933</v>
      </c>
      <c r="D96" s="88">
        <v>3572610</v>
      </c>
      <c r="E96" s="2"/>
      <c r="F96" s="2"/>
      <c r="G96" s="30"/>
      <c r="H96" s="30"/>
      <c r="I96" s="2"/>
      <c r="J96" s="2"/>
      <c r="K96" s="2"/>
      <c r="L96" s="2"/>
      <c r="M96" s="41"/>
      <c r="N96" s="42"/>
      <c r="O96" s="2"/>
    </row>
    <row r="97" spans="1:15" s="70" customFormat="1" ht="12.75" customHeight="1" x14ac:dyDescent="0.2">
      <c r="A97" s="87">
        <v>45307</v>
      </c>
      <c r="B97" s="120" t="s">
        <v>6</v>
      </c>
      <c r="C97" s="75" t="s">
        <v>1944</v>
      </c>
      <c r="D97" s="88">
        <v>4109147</v>
      </c>
      <c r="E97" s="2"/>
      <c r="F97" s="2"/>
      <c r="G97" s="30"/>
      <c r="H97" s="30"/>
      <c r="I97" s="2"/>
      <c r="J97" s="2"/>
      <c r="K97" s="2"/>
      <c r="L97" s="2"/>
      <c r="M97" s="41"/>
      <c r="N97" s="42"/>
      <c r="O97" s="2"/>
    </row>
    <row r="98" spans="1:15" s="70" customFormat="1" ht="12.75" customHeight="1" x14ac:dyDescent="0.2">
      <c r="A98" s="87">
        <v>45307</v>
      </c>
      <c r="B98" s="120" t="s">
        <v>6</v>
      </c>
      <c r="C98" s="75" t="s">
        <v>1944</v>
      </c>
      <c r="D98" s="88">
        <v>1168867</v>
      </c>
      <c r="E98" s="2"/>
      <c r="F98" s="2"/>
      <c r="G98" s="30"/>
      <c r="H98" s="30"/>
      <c r="I98" s="2"/>
      <c r="J98" s="2"/>
      <c r="K98" s="2"/>
      <c r="L98" s="2"/>
      <c r="M98" s="41"/>
      <c r="N98" s="42"/>
      <c r="O98" s="2"/>
    </row>
    <row r="99" spans="1:15" s="70" customFormat="1" ht="12.75" customHeight="1" x14ac:dyDescent="0.2">
      <c r="A99" s="87">
        <v>45307</v>
      </c>
      <c r="B99" s="120" t="s">
        <v>6</v>
      </c>
      <c r="C99" s="75" t="s">
        <v>1988</v>
      </c>
      <c r="D99" s="88">
        <v>175195</v>
      </c>
      <c r="E99" s="2"/>
      <c r="F99" s="2"/>
      <c r="G99" s="30"/>
      <c r="H99" s="30"/>
      <c r="I99" s="2"/>
      <c r="J99" s="2"/>
      <c r="K99" s="2"/>
      <c r="L99" s="2"/>
      <c r="M99" s="41"/>
      <c r="N99" s="42"/>
      <c r="O99" s="2"/>
    </row>
    <row r="100" spans="1:15" s="70" customFormat="1" ht="12.75" customHeight="1" x14ac:dyDescent="0.2">
      <c r="A100" s="87">
        <v>45309</v>
      </c>
      <c r="B100" s="120" t="s">
        <v>6</v>
      </c>
      <c r="C100" s="75" t="s">
        <v>1933</v>
      </c>
      <c r="D100" s="88">
        <v>7480683</v>
      </c>
      <c r="E100" s="2"/>
      <c r="F100" s="2"/>
      <c r="G100" s="30"/>
      <c r="H100" s="30"/>
      <c r="I100" s="2"/>
      <c r="J100" s="2"/>
      <c r="K100" s="2"/>
      <c r="L100" s="2"/>
      <c r="M100" s="41"/>
      <c r="N100" s="42"/>
      <c r="O100" s="2"/>
    </row>
    <row r="101" spans="1:15" s="70" customFormat="1" ht="12.75" customHeight="1" x14ac:dyDescent="0.2">
      <c r="A101" s="87">
        <v>45309</v>
      </c>
      <c r="B101" s="120" t="s">
        <v>6</v>
      </c>
      <c r="C101" s="75" t="s">
        <v>1977</v>
      </c>
      <c r="D101" s="88">
        <v>1511767</v>
      </c>
      <c r="E101" s="2"/>
      <c r="F101" s="2"/>
      <c r="G101" s="30"/>
      <c r="H101" s="30"/>
      <c r="I101" s="2"/>
      <c r="J101" s="2"/>
      <c r="K101" s="2"/>
      <c r="L101" s="2"/>
      <c r="M101" s="41"/>
      <c r="N101" s="42"/>
      <c r="O101" s="2"/>
    </row>
    <row r="102" spans="1:15" s="70" customFormat="1" ht="12.75" customHeight="1" x14ac:dyDescent="0.2">
      <c r="A102" s="87">
        <v>45310</v>
      </c>
      <c r="B102" s="120" t="s">
        <v>6</v>
      </c>
      <c r="C102" s="75" t="s">
        <v>1084</v>
      </c>
      <c r="D102" s="88">
        <v>4000000</v>
      </c>
      <c r="E102" s="2"/>
      <c r="F102" s="2"/>
      <c r="G102" s="30"/>
      <c r="H102" s="30"/>
      <c r="I102" s="2"/>
      <c r="J102" s="2"/>
      <c r="K102" s="2"/>
      <c r="L102" s="2"/>
      <c r="M102" s="41"/>
      <c r="N102" s="42"/>
      <c r="O102" s="2"/>
    </row>
    <row r="103" spans="1:15" s="70" customFormat="1" ht="12.75" customHeight="1" x14ac:dyDescent="0.2">
      <c r="A103" s="87">
        <v>45311</v>
      </c>
      <c r="B103" s="120" t="s">
        <v>6</v>
      </c>
      <c r="C103" s="75" t="s">
        <v>888</v>
      </c>
      <c r="D103" s="88">
        <v>4720981.46</v>
      </c>
      <c r="E103" s="2"/>
      <c r="F103" s="2"/>
      <c r="G103" s="30"/>
      <c r="H103" s="30"/>
      <c r="I103" s="2"/>
      <c r="J103" s="2"/>
      <c r="K103" s="2"/>
      <c r="L103" s="2"/>
      <c r="M103" s="41"/>
      <c r="N103" s="42"/>
      <c r="O103" s="2"/>
    </row>
    <row r="104" spans="1:15" s="70" customFormat="1" ht="12.75" customHeight="1" x14ac:dyDescent="0.2">
      <c r="A104" s="87">
        <v>45314</v>
      </c>
      <c r="B104" s="120" t="s">
        <v>6</v>
      </c>
      <c r="C104" s="75" t="s">
        <v>1933</v>
      </c>
      <c r="D104" s="88">
        <v>1373756</v>
      </c>
      <c r="E104" s="2"/>
      <c r="F104" s="2"/>
      <c r="G104" s="30"/>
      <c r="H104" s="30"/>
      <c r="I104" s="2"/>
      <c r="J104" s="2"/>
      <c r="K104" s="2"/>
      <c r="L104" s="2"/>
      <c r="M104" s="41"/>
      <c r="N104" s="42"/>
      <c r="O104" s="2"/>
    </row>
    <row r="105" spans="1:15" s="70" customFormat="1" ht="12.75" customHeight="1" x14ac:dyDescent="0.2">
      <c r="A105" s="87">
        <v>45314</v>
      </c>
      <c r="B105" s="120" t="s">
        <v>6</v>
      </c>
      <c r="C105" s="75" t="s">
        <v>1933</v>
      </c>
      <c r="D105" s="88">
        <v>5000341.9400000004</v>
      </c>
      <c r="E105" s="2"/>
      <c r="F105" s="2"/>
      <c r="G105" s="30"/>
      <c r="H105" s="30"/>
      <c r="I105" s="2"/>
      <c r="J105" s="2"/>
      <c r="K105" s="2"/>
      <c r="L105" s="2"/>
      <c r="M105" s="41"/>
      <c r="N105" s="42"/>
      <c r="O105" s="2"/>
    </row>
    <row r="106" spans="1:15" s="70" customFormat="1" ht="12.75" customHeight="1" x14ac:dyDescent="0.2">
      <c r="A106" s="87">
        <v>45314</v>
      </c>
      <c r="B106" s="120" t="s">
        <v>6</v>
      </c>
      <c r="C106" s="75" t="s">
        <v>1933</v>
      </c>
      <c r="D106" s="88">
        <v>339686</v>
      </c>
      <c r="E106" s="2"/>
      <c r="F106" s="2"/>
      <c r="G106" s="30"/>
      <c r="H106" s="30"/>
      <c r="I106" s="2"/>
      <c r="J106" s="2"/>
      <c r="K106" s="2"/>
      <c r="L106" s="2"/>
      <c r="M106" s="41"/>
      <c r="N106" s="42"/>
      <c r="O106" s="2"/>
    </row>
    <row r="107" spans="1:15" s="70" customFormat="1" ht="12.75" customHeight="1" x14ac:dyDescent="0.2">
      <c r="A107" s="87">
        <v>45315</v>
      </c>
      <c r="B107" s="120" t="s">
        <v>6</v>
      </c>
      <c r="C107" s="75" t="s">
        <v>467</v>
      </c>
      <c r="D107" s="88">
        <v>4536269</v>
      </c>
      <c r="E107" s="2"/>
      <c r="F107" s="2"/>
      <c r="G107" s="30"/>
      <c r="H107" s="30"/>
      <c r="I107" s="2"/>
      <c r="J107" s="2"/>
      <c r="K107" s="2"/>
      <c r="L107" s="2"/>
      <c r="M107" s="41"/>
      <c r="N107" s="42"/>
      <c r="O107" s="2"/>
    </row>
    <row r="108" spans="1:15" s="70" customFormat="1" ht="12.75" customHeight="1" x14ac:dyDescent="0.2">
      <c r="A108" s="87">
        <v>45316</v>
      </c>
      <c r="B108" s="120" t="s">
        <v>6</v>
      </c>
      <c r="C108" s="75" t="s">
        <v>1933</v>
      </c>
      <c r="D108" s="88">
        <v>8050467</v>
      </c>
      <c r="E108" s="2"/>
      <c r="F108" s="2"/>
      <c r="G108" s="30"/>
      <c r="H108" s="30"/>
      <c r="I108" s="2"/>
      <c r="J108" s="2"/>
      <c r="K108" s="2"/>
      <c r="L108" s="2"/>
      <c r="M108" s="41"/>
      <c r="N108" s="42"/>
      <c r="O108" s="2"/>
    </row>
    <row r="109" spans="1:15" s="70" customFormat="1" ht="12.75" customHeight="1" x14ac:dyDescent="0.2">
      <c r="A109" s="87">
        <v>45316</v>
      </c>
      <c r="B109" s="120" t="s">
        <v>6</v>
      </c>
      <c r="C109" s="75" t="s">
        <v>606</v>
      </c>
      <c r="D109" s="88">
        <v>7067955</v>
      </c>
      <c r="E109" s="2"/>
      <c r="F109" s="2"/>
      <c r="G109" s="30"/>
      <c r="H109" s="30"/>
      <c r="I109" s="2"/>
      <c r="J109" s="2"/>
      <c r="K109" s="2"/>
      <c r="L109" s="2"/>
      <c r="M109" s="41"/>
      <c r="N109" s="42"/>
      <c r="O109" s="2"/>
    </row>
    <row r="110" spans="1:15" s="70" customFormat="1" ht="12.75" customHeight="1" x14ac:dyDescent="0.2">
      <c r="A110" s="87">
        <v>45316</v>
      </c>
      <c r="B110" s="120" t="s">
        <v>6</v>
      </c>
      <c r="C110" s="75" t="s">
        <v>606</v>
      </c>
      <c r="D110" s="88">
        <v>1059623</v>
      </c>
      <c r="E110" s="2"/>
      <c r="F110" s="2"/>
      <c r="G110" s="30"/>
      <c r="H110" s="30"/>
      <c r="I110" s="2"/>
      <c r="J110" s="2"/>
      <c r="K110" s="2"/>
      <c r="L110" s="2"/>
      <c r="M110" s="41"/>
      <c r="N110" s="42"/>
      <c r="O110" s="2"/>
    </row>
    <row r="111" spans="1:15" s="70" customFormat="1" ht="12.75" customHeight="1" x14ac:dyDescent="0.2">
      <c r="A111" s="87">
        <v>45316</v>
      </c>
      <c r="B111" s="120" t="s">
        <v>6</v>
      </c>
      <c r="C111" s="75" t="s">
        <v>1084</v>
      </c>
      <c r="D111" s="88">
        <v>3407112</v>
      </c>
      <c r="E111" s="2"/>
      <c r="F111" s="2"/>
      <c r="G111" s="30"/>
      <c r="H111" s="30"/>
      <c r="I111" s="2"/>
      <c r="J111" s="2"/>
      <c r="K111" s="2"/>
      <c r="L111" s="2"/>
      <c r="M111" s="41"/>
      <c r="N111" s="42"/>
      <c r="O111" s="2"/>
    </row>
    <row r="112" spans="1:15" s="70" customFormat="1" ht="12.75" customHeight="1" x14ac:dyDescent="0.2">
      <c r="A112" s="87">
        <v>45320</v>
      </c>
      <c r="B112" s="120" t="s">
        <v>6</v>
      </c>
      <c r="C112" s="75" t="s">
        <v>1933</v>
      </c>
      <c r="D112" s="88">
        <v>3018800</v>
      </c>
      <c r="E112" s="2"/>
      <c r="F112" s="2"/>
      <c r="G112" s="30"/>
      <c r="H112" s="30"/>
      <c r="I112" s="2"/>
      <c r="J112" s="2"/>
      <c r="K112" s="2"/>
      <c r="L112" s="2"/>
      <c r="M112" s="41"/>
      <c r="N112" s="42"/>
      <c r="O112" s="2"/>
    </row>
    <row r="113" spans="1:15" s="70" customFormat="1" ht="12.75" customHeight="1" x14ac:dyDescent="0.2">
      <c r="A113" s="87">
        <v>45320</v>
      </c>
      <c r="B113" s="120" t="s">
        <v>6</v>
      </c>
      <c r="C113" s="75" t="s">
        <v>606</v>
      </c>
      <c r="D113" s="88">
        <v>2147206</v>
      </c>
      <c r="E113" s="2"/>
      <c r="F113" s="2"/>
      <c r="G113" s="30"/>
      <c r="H113" s="30"/>
      <c r="I113" s="2"/>
      <c r="J113" s="2"/>
      <c r="K113" s="2"/>
      <c r="L113" s="2"/>
      <c r="M113" s="41"/>
      <c r="N113" s="42"/>
      <c r="O113" s="2"/>
    </row>
    <row r="114" spans="1:15" s="70" customFormat="1" ht="12.75" customHeight="1" x14ac:dyDescent="0.2">
      <c r="A114" s="87">
        <v>45321</v>
      </c>
      <c r="B114" s="120" t="s">
        <v>6</v>
      </c>
      <c r="C114" s="75" t="s">
        <v>1934</v>
      </c>
      <c r="D114" s="88">
        <v>55749</v>
      </c>
      <c r="E114" s="2"/>
      <c r="F114" s="2"/>
      <c r="G114" s="30"/>
      <c r="H114" s="30"/>
      <c r="I114" s="2"/>
      <c r="J114" s="2"/>
      <c r="K114" s="2"/>
      <c r="L114" s="2"/>
      <c r="M114" s="41"/>
      <c r="N114" s="42"/>
      <c r="O114" s="2"/>
    </row>
    <row r="115" spans="1:15" s="70" customFormat="1" ht="12.75" customHeight="1" x14ac:dyDescent="0.2">
      <c r="A115" s="87">
        <v>45322</v>
      </c>
      <c r="B115" s="120" t="s">
        <v>6</v>
      </c>
      <c r="C115" s="75" t="s">
        <v>1933</v>
      </c>
      <c r="D115" s="88">
        <v>2521794</v>
      </c>
      <c r="E115" s="2"/>
      <c r="F115" s="2"/>
      <c r="G115" s="30"/>
      <c r="H115" s="30"/>
      <c r="I115" s="2"/>
      <c r="J115" s="2"/>
      <c r="K115" s="2"/>
      <c r="L115" s="2"/>
      <c r="M115" s="41"/>
      <c r="N115" s="42"/>
      <c r="O115" s="2"/>
    </row>
    <row r="116" spans="1:15" s="70" customFormat="1" ht="12.75" customHeight="1" x14ac:dyDescent="0.2">
      <c r="A116" s="87">
        <v>45322</v>
      </c>
      <c r="B116" s="120" t="s">
        <v>6</v>
      </c>
      <c r="C116" s="75" t="s">
        <v>1933</v>
      </c>
      <c r="D116" s="88">
        <v>7471263</v>
      </c>
      <c r="E116" s="2"/>
      <c r="F116" s="2"/>
      <c r="G116" s="30"/>
      <c r="H116" s="30"/>
      <c r="I116" s="2"/>
      <c r="J116" s="2"/>
      <c r="K116" s="2"/>
      <c r="L116" s="2"/>
      <c r="M116" s="41"/>
      <c r="N116" s="42"/>
      <c r="O116" s="2"/>
    </row>
    <row r="117" spans="1:15" s="70" customFormat="1" ht="12.75" customHeight="1" x14ac:dyDescent="0.2">
      <c r="A117" s="87">
        <v>45316</v>
      </c>
      <c r="B117" s="120" t="s">
        <v>6</v>
      </c>
      <c r="C117" s="75" t="s">
        <v>271</v>
      </c>
      <c r="D117" s="88">
        <f>6924+23917</f>
        <v>30841</v>
      </c>
      <c r="E117" s="2"/>
      <c r="F117" s="2" t="s">
        <v>396</v>
      </c>
      <c r="G117" s="30"/>
      <c r="H117" s="30"/>
      <c r="I117" s="2"/>
      <c r="J117" s="2"/>
      <c r="K117" s="2"/>
      <c r="L117" s="2"/>
      <c r="M117" s="41"/>
      <c r="N117" s="42"/>
      <c r="O117" s="2"/>
    </row>
    <row r="118" spans="1:15" s="2" customFormat="1" x14ac:dyDescent="0.2">
      <c r="A118" s="87"/>
      <c r="B118" s="74"/>
      <c r="C118" s="75"/>
      <c r="D118" s="51">
        <f>SUM(D81:D117)</f>
        <v>105049511.74000001</v>
      </c>
      <c r="F118" s="2" t="s">
        <v>396</v>
      </c>
      <c r="G118" s="1"/>
      <c r="H118" s="1"/>
    </row>
    <row r="119" spans="1:15" s="2" customFormat="1" x14ac:dyDescent="0.2">
      <c r="A119" s="24"/>
      <c r="B119" s="1"/>
      <c r="C119" s="14"/>
      <c r="D119" s="56"/>
      <c r="E119" s="13"/>
      <c r="G119" s="1"/>
      <c r="H119" s="1"/>
    </row>
    <row r="120" spans="1:15" s="2" customFormat="1" x14ac:dyDescent="0.2">
      <c r="A120" s="24"/>
      <c r="B120" s="1"/>
      <c r="C120" s="218" t="s">
        <v>77</v>
      </c>
      <c r="D120" s="219"/>
      <c r="E120" s="219"/>
      <c r="F120" s="220"/>
      <c r="I120" s="2" t="s">
        <v>396</v>
      </c>
    </row>
    <row r="121" spans="1:15" s="2" customFormat="1" x14ac:dyDescent="0.2">
      <c r="A121" s="24"/>
      <c r="B121" s="1"/>
      <c r="C121" s="50"/>
      <c r="D121" s="57" t="s">
        <v>78</v>
      </c>
      <c r="E121" s="58" t="s">
        <v>79</v>
      </c>
      <c r="F121" s="57" t="s">
        <v>72</v>
      </c>
      <c r="I121" s="2" t="s">
        <v>396</v>
      </c>
    </row>
    <row r="122" spans="1:15" s="2" customFormat="1" x14ac:dyDescent="0.2">
      <c r="A122" s="24"/>
      <c r="B122" s="1"/>
      <c r="C122" s="59" t="str">
        <f>"01-01-2024 to "&amp;TEXT(A5-2,"dd-mm-yyyy")</f>
        <v>01-01-2024 to 29-01-2024</v>
      </c>
      <c r="D122" s="60">
        <v>2284.6</v>
      </c>
      <c r="E122" s="60">
        <v>601.66</v>
      </c>
      <c r="F122" s="61">
        <f>SUM(D122:E122)</f>
        <v>2886.2599999999998</v>
      </c>
    </row>
    <row r="123" spans="1:15" s="2" customFormat="1" x14ac:dyDescent="0.2">
      <c r="A123" s="24"/>
      <c r="B123" s="1"/>
      <c r="C123" s="62" t="str">
        <f>TEXT(A5-1,"dd-mm-yyyy")</f>
        <v>30-01-2024</v>
      </c>
      <c r="D123" s="60">
        <v>158.79</v>
      </c>
      <c r="E123" s="60">
        <v>25.91</v>
      </c>
      <c r="F123" s="61">
        <f>SUM(D123:E123)</f>
        <v>184.7</v>
      </c>
      <c r="G123" s="1"/>
      <c r="H123" s="1"/>
      <c r="I123" s="53"/>
    </row>
    <row r="124" spans="1:15" s="2" customFormat="1" ht="13.5" thickBot="1" x14ac:dyDescent="0.25">
      <c r="A124" s="24"/>
      <c r="B124" s="1"/>
      <c r="C124" s="63" t="str">
        <f>"01-01-2024 to "&amp;TEXT(A5-1,"dd-mm-yyyy")</f>
        <v>01-01-2024 to 30-01-2024</v>
      </c>
      <c r="D124" s="64">
        <f>SUM(D122:D123)</f>
        <v>2443.39</v>
      </c>
      <c r="E124" s="64">
        <f>SUM(E122:E123)</f>
        <v>627.56999999999994</v>
      </c>
      <c r="F124" s="64">
        <f>SUM(F122:F123)</f>
        <v>3070.9599999999996</v>
      </c>
      <c r="G124" s="1"/>
      <c r="H124" s="1"/>
      <c r="I124" s="53"/>
    </row>
    <row r="125" spans="1:15" s="2" customFormat="1" ht="13.5" thickTop="1" x14ac:dyDescent="0.2">
      <c r="A125" s="24"/>
      <c r="B125" s="1"/>
      <c r="C125" s="62"/>
      <c r="D125" s="65"/>
      <c r="E125" s="66"/>
      <c r="F125" s="67"/>
      <c r="M125" s="1"/>
      <c r="N125" s="1"/>
    </row>
    <row r="126" spans="1:15" s="2" customFormat="1" x14ac:dyDescent="0.2">
      <c r="A126" s="24"/>
      <c r="B126" s="1"/>
      <c r="C126" s="62" t="str">
        <f>"01-04-2023 to " &amp;C123</f>
        <v>01-04-2023 to 30-01-2024</v>
      </c>
      <c r="D126" s="68">
        <f>+D124+34570.27</f>
        <v>37013.659999999996</v>
      </c>
      <c r="E126" s="68">
        <f>+E124+3831.86</f>
        <v>4459.43</v>
      </c>
      <c r="F126" s="68">
        <f>+F124+38402.13</f>
        <v>41473.089999999997</v>
      </c>
      <c r="G126" s="1"/>
      <c r="H126" s="1"/>
      <c r="M126" s="1"/>
      <c r="N126" s="1"/>
    </row>
    <row r="127" spans="1:15" s="2" customFormat="1" x14ac:dyDescent="0.2">
      <c r="A127" s="24"/>
      <c r="B127" s="1"/>
      <c r="C127" s="52"/>
      <c r="D127" s="85"/>
      <c r="E127" s="53"/>
      <c r="F127" s="53"/>
      <c r="G127" s="1"/>
      <c r="H127" s="1"/>
      <c r="M127" s="1"/>
      <c r="N127" s="1"/>
    </row>
    <row r="128" spans="1:15" s="2" customFormat="1" x14ac:dyDescent="0.2">
      <c r="A128" s="24"/>
      <c r="B128" s="1"/>
      <c r="C128" s="52"/>
      <c r="D128" s="85"/>
      <c r="E128" s="53"/>
      <c r="F128" s="53"/>
      <c r="G128" s="1"/>
      <c r="H128" s="1"/>
      <c r="M128" s="1"/>
      <c r="N128" s="1"/>
    </row>
    <row r="129" spans="1:14" s="2" customFormat="1" x14ac:dyDescent="0.2">
      <c r="A129" s="24"/>
      <c r="B129" s="1"/>
      <c r="C129" s="52"/>
      <c r="D129" s="85"/>
      <c r="E129" s="53"/>
      <c r="F129" s="53"/>
      <c r="G129" s="1"/>
      <c r="H129" s="1"/>
      <c r="M129" s="1"/>
      <c r="N129" s="1"/>
    </row>
    <row r="130" spans="1:14" s="2" customFormat="1" x14ac:dyDescent="0.2">
      <c r="A130" s="24"/>
      <c r="B130" s="1"/>
      <c r="C130" s="52"/>
      <c r="D130" s="85"/>
      <c r="E130" s="53"/>
      <c r="F130" s="53"/>
      <c r="G130" s="1"/>
      <c r="H130" s="1"/>
      <c r="M130" s="1"/>
      <c r="N130" s="1"/>
    </row>
    <row r="131" spans="1:14" s="2" customFormat="1" x14ac:dyDescent="0.2">
      <c r="A131" s="24"/>
      <c r="B131" s="1"/>
      <c r="C131" s="14"/>
      <c r="D131" s="25">
        <f>SUM(D128:D130)</f>
        <v>0</v>
      </c>
      <c r="E131" s="2">
        <f>SUM(E128:E130)</f>
        <v>0</v>
      </c>
      <c r="G131" s="1"/>
      <c r="H131" s="1"/>
      <c r="M131" s="1"/>
      <c r="N131" s="1"/>
    </row>
    <row r="132" spans="1:14" s="2" customFormat="1" x14ac:dyDescent="0.2">
      <c r="A132" s="24"/>
      <c r="B132" s="1"/>
      <c r="C132" s="14"/>
      <c r="D132" s="25"/>
      <c r="G132" s="1"/>
      <c r="H132" s="1"/>
      <c r="M132" s="1"/>
      <c r="N132" s="1"/>
    </row>
    <row r="133" spans="1:14" s="2" customFormat="1" x14ac:dyDescent="0.2">
      <c r="A133" s="24"/>
      <c r="B133" s="1"/>
      <c r="C133" s="14"/>
      <c r="D133" s="25"/>
      <c r="G133" s="1"/>
      <c r="H133" s="1"/>
      <c r="M133" s="1"/>
      <c r="N133" s="1"/>
    </row>
    <row r="134" spans="1:14" s="2" customFormat="1" x14ac:dyDescent="0.2">
      <c r="A134" s="24"/>
      <c r="B134" s="1"/>
      <c r="C134" s="14"/>
      <c r="D134" s="25"/>
      <c r="G134" s="1"/>
      <c r="H134" s="1"/>
      <c r="M134" s="1"/>
      <c r="N134" s="1"/>
    </row>
    <row r="135" spans="1:14" s="2" customFormat="1" x14ac:dyDescent="0.2">
      <c r="A135" s="24"/>
      <c r="B135" s="1"/>
      <c r="C135" s="14"/>
      <c r="D135" s="25"/>
      <c r="G135" s="1"/>
      <c r="H135" s="1"/>
      <c r="M135" s="1"/>
      <c r="N135" s="1"/>
    </row>
    <row r="136" spans="1:14" s="2" customFormat="1" x14ac:dyDescent="0.2">
      <c r="A136" s="24"/>
      <c r="B136" s="1"/>
      <c r="C136" s="14"/>
      <c r="D136" s="25"/>
      <c r="G136" s="1"/>
      <c r="H136" s="1"/>
      <c r="M136" s="1"/>
      <c r="N136" s="1"/>
    </row>
    <row r="137" spans="1:14" s="2" customFormat="1" x14ac:dyDescent="0.2">
      <c r="A137" s="24"/>
      <c r="B137" s="1"/>
      <c r="C137" s="14"/>
      <c r="D137" s="25"/>
      <c r="G137" s="1"/>
      <c r="H137" s="1"/>
      <c r="M137" s="1"/>
      <c r="N137" s="1"/>
    </row>
    <row r="138" spans="1:14" s="2" customFormat="1" x14ac:dyDescent="0.2">
      <c r="A138" s="24"/>
      <c r="B138" s="1"/>
      <c r="C138" s="14"/>
      <c r="D138" s="25"/>
      <c r="G138" s="1"/>
      <c r="H138" s="1"/>
      <c r="M138" s="1"/>
      <c r="N138" s="1"/>
    </row>
    <row r="139" spans="1:14" s="2" customFormat="1" x14ac:dyDescent="0.2">
      <c r="A139" s="24"/>
      <c r="B139" s="1"/>
      <c r="C139" s="14"/>
      <c r="D139" s="25"/>
      <c r="G139" s="1"/>
      <c r="H139" s="1"/>
      <c r="M139" s="1"/>
      <c r="N139" s="1"/>
    </row>
    <row r="140" spans="1:14" s="2" customFormat="1" x14ac:dyDescent="0.2">
      <c r="A140" s="24"/>
      <c r="B140" s="1"/>
      <c r="C140" s="14"/>
      <c r="D140" s="25"/>
      <c r="G140" s="1"/>
      <c r="H140" s="1"/>
      <c r="M140" s="1"/>
      <c r="N140" s="1"/>
    </row>
    <row r="141" spans="1:14" s="2" customFormat="1" x14ac:dyDescent="0.2">
      <c r="A141" s="24"/>
      <c r="B141" s="1"/>
      <c r="C141" s="14"/>
      <c r="D141" s="25"/>
      <c r="G141" s="1"/>
      <c r="H141" s="1"/>
      <c r="M141" s="1"/>
      <c r="N141" s="1"/>
    </row>
    <row r="142" spans="1:14" s="2" customFormat="1" x14ac:dyDescent="0.2">
      <c r="A142" s="24"/>
      <c r="B142" s="1"/>
      <c r="C142" s="14"/>
      <c r="D142" s="25"/>
      <c r="G142" s="1"/>
      <c r="H142" s="1"/>
      <c r="M142" s="1"/>
      <c r="N142" s="1"/>
    </row>
    <row r="143" spans="1:14" s="2" customFormat="1" x14ac:dyDescent="0.2">
      <c r="A143" s="24"/>
      <c r="B143" s="1"/>
      <c r="C143" s="14"/>
      <c r="D143" s="25"/>
      <c r="G143" s="1"/>
      <c r="H143" s="1"/>
      <c r="M143" s="1"/>
      <c r="N143" s="1"/>
    </row>
    <row r="144" spans="1:14" s="2" customFormat="1" x14ac:dyDescent="0.2">
      <c r="A144" s="24"/>
      <c r="B144" s="1"/>
      <c r="C144" s="14"/>
      <c r="D144" s="25"/>
      <c r="G144" s="1"/>
      <c r="H144" s="1"/>
      <c r="M144" s="1"/>
      <c r="N144" s="1"/>
    </row>
    <row r="145" spans="1:15" s="2" customFormat="1" x14ac:dyDescent="0.2">
      <c r="A145" s="24"/>
      <c r="B145" s="1"/>
      <c r="C145" s="14"/>
      <c r="D145" s="25"/>
      <c r="G145" s="1"/>
      <c r="H145" s="1"/>
      <c r="J145" s="1"/>
      <c r="K145" s="1"/>
      <c r="L145" s="1"/>
      <c r="M145" s="1"/>
      <c r="N145" s="1"/>
    </row>
    <row r="146" spans="1:15" s="2" customFormat="1" x14ac:dyDescent="0.2">
      <c r="A146" s="24"/>
      <c r="B146" s="1"/>
      <c r="C146" s="14"/>
      <c r="D146" s="25"/>
      <c r="G146" s="1"/>
      <c r="H146" s="1"/>
    </row>
    <row r="147" spans="1:15" s="2" customFormat="1" x14ac:dyDescent="0.2">
      <c r="A147" s="24"/>
      <c r="B147" s="1"/>
      <c r="C147" s="14"/>
      <c r="D147" s="25"/>
      <c r="G147" s="1"/>
      <c r="H147" s="1"/>
      <c r="J147" s="1"/>
      <c r="K147" s="1"/>
      <c r="L147" s="1"/>
      <c r="M147" s="1"/>
      <c r="N147" s="1"/>
    </row>
    <row r="148" spans="1:15" s="2" customFormat="1" x14ac:dyDescent="0.2">
      <c r="A148" s="24"/>
      <c r="B148" s="1"/>
      <c r="C148" s="14"/>
      <c r="D148" s="25"/>
      <c r="G148" s="54"/>
      <c r="H148" s="54"/>
      <c r="J148" s="1"/>
      <c r="K148" s="1"/>
      <c r="L148" s="1"/>
      <c r="M148" s="1"/>
      <c r="N148" s="1"/>
    </row>
    <row r="149" spans="1:15" s="2" customFormat="1" x14ac:dyDescent="0.2">
      <c r="A149" s="24"/>
      <c r="B149" s="1"/>
      <c r="C149" s="14"/>
      <c r="D149" s="25"/>
      <c r="G149" s="54"/>
      <c r="H149" s="54"/>
      <c r="J149" s="1"/>
      <c r="K149" s="1"/>
      <c r="L149" s="1"/>
      <c r="M149" s="1"/>
      <c r="N149" s="1"/>
    </row>
    <row r="150" spans="1:15" s="2" customFormat="1" x14ac:dyDescent="0.2">
      <c r="A150" s="24"/>
      <c r="B150" s="1"/>
      <c r="C150" s="14"/>
      <c r="D150" s="25"/>
      <c r="G150" s="54"/>
      <c r="H150" s="54"/>
      <c r="J150" s="1"/>
      <c r="K150" s="1"/>
      <c r="L150" s="1"/>
      <c r="M150" s="1"/>
      <c r="N150" s="1"/>
    </row>
    <row r="151" spans="1:15" s="2" customFormat="1" x14ac:dyDescent="0.2">
      <c r="A151" s="24"/>
      <c r="B151" s="1"/>
      <c r="C151" s="14"/>
      <c r="D151" s="25"/>
      <c r="G151" s="54"/>
      <c r="H151" s="54"/>
      <c r="I151" s="2" t="s">
        <v>396</v>
      </c>
      <c r="J151" s="1"/>
      <c r="K151" s="1"/>
      <c r="L151" s="1"/>
      <c r="M151" s="1"/>
      <c r="N151" s="1"/>
      <c r="O151" s="1"/>
    </row>
    <row r="152" spans="1:15" s="2" customFormat="1" x14ac:dyDescent="0.2">
      <c r="A152" s="24"/>
      <c r="B152" s="1"/>
      <c r="C152" s="14"/>
      <c r="D152" s="25"/>
      <c r="G152" s="54"/>
      <c r="H152" s="54"/>
      <c r="I152" s="53"/>
    </row>
    <row r="153" spans="1:15" s="2" customFormat="1" x14ac:dyDescent="0.2">
      <c r="A153" s="24"/>
      <c r="B153" s="1"/>
      <c r="C153" s="14"/>
      <c r="D153" s="25"/>
      <c r="G153" s="54"/>
      <c r="H153" s="54"/>
      <c r="I153" s="53" t="s">
        <v>396</v>
      </c>
      <c r="J153" s="1"/>
      <c r="K153" s="1"/>
      <c r="L153" s="1"/>
      <c r="M153" s="1"/>
      <c r="N153" s="1"/>
      <c r="O153" s="1"/>
    </row>
    <row r="154" spans="1:15" x14ac:dyDescent="0.2">
      <c r="G154" s="54"/>
      <c r="H154" s="54"/>
      <c r="I154" s="53" t="s">
        <v>396</v>
      </c>
      <c r="K154" s="42"/>
    </row>
    <row r="155" spans="1:15" s="2" customFormat="1" x14ac:dyDescent="0.2">
      <c r="A155" s="24"/>
      <c r="B155" s="1"/>
      <c r="C155" s="14"/>
      <c r="D155" s="25"/>
      <c r="G155" s="54"/>
      <c r="H155" s="54"/>
      <c r="I155" s="53"/>
      <c r="J155" s="101"/>
      <c r="K155" s="1"/>
      <c r="L155" s="1"/>
      <c r="M155" s="1"/>
      <c r="N155" s="1"/>
      <c r="O155" s="1"/>
    </row>
    <row r="156" spans="1:15" x14ac:dyDescent="0.2">
      <c r="G156" s="54"/>
      <c r="H156" s="54"/>
      <c r="I156" s="53"/>
    </row>
    <row r="157" spans="1:15" x14ac:dyDescent="0.2">
      <c r="G157" s="54"/>
      <c r="H157" s="54"/>
      <c r="I157" s="53"/>
    </row>
    <row r="158" spans="1:15" x14ac:dyDescent="0.2">
      <c r="G158" s="54"/>
      <c r="H158" s="54"/>
      <c r="I158" s="53"/>
    </row>
  </sheetData>
  <sheetProtection insertRows="0"/>
  <mergeCells count="7">
    <mergeCell ref="K72:L72"/>
    <mergeCell ref="A79:D79"/>
    <mergeCell ref="C120:F120"/>
    <mergeCell ref="A1:H1"/>
    <mergeCell ref="A3:F3"/>
    <mergeCell ref="A9:F9"/>
    <mergeCell ref="A20:F20"/>
  </mergeCells>
  <conditionalFormatting sqref="H76:H77">
    <cfRule type="cellIs" dxfId="99" priority="1" operator="lessThan">
      <formula>0</formula>
    </cfRule>
  </conditionalFormatting>
  <conditionalFormatting sqref="C22">
    <cfRule type="duplicateValues" dxfId="98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F100-000000000000}">
  <sheetPr codeName="Sheet537">
    <pageSetUpPr fitToPage="1"/>
  </sheetPr>
  <dimension ref="A1:O131"/>
  <sheetViews>
    <sheetView topLeftCell="A88" zoomScaleNormal="100" workbookViewId="0">
      <selection activeCell="A98" sqref="A98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12.85546875" style="1" customWidth="1"/>
    <col min="9" max="9" width="24.85546875" style="2" bestFit="1" customWidth="1"/>
    <col min="10" max="10" width="21.5703125" style="1" bestFit="1" customWidth="1"/>
    <col min="11" max="11" width="16.85546875" style="1" bestFit="1" customWidth="1"/>
    <col min="12" max="12" width="17.28515625" style="1" bestFit="1" customWidth="1"/>
    <col min="13" max="13" width="13.5703125" style="1" bestFit="1" customWidth="1"/>
    <col min="14" max="14" width="17.42578125" style="1" bestFit="1" customWidth="1"/>
    <col min="15" max="15" width="12.85546875" style="1" bestFit="1" customWidth="1"/>
    <col min="16" max="17" width="9.140625" style="1"/>
    <col min="18" max="18" width="15.5703125" style="1" bestFit="1" customWidth="1"/>
    <col min="19" max="16384" width="9.140625" style="1"/>
  </cols>
  <sheetData>
    <row r="1" spans="1:12" ht="20.25" customHeight="1" x14ac:dyDescent="0.4">
      <c r="A1" s="212" t="s">
        <v>2026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2" ht="12.75" customHeight="1" x14ac:dyDescent="0.4">
      <c r="I2" s="112"/>
      <c r="J2" s="112"/>
    </row>
    <row r="3" spans="1:12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2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2" s="2" customFormat="1" ht="14.25" customHeight="1" x14ac:dyDescent="0.4">
      <c r="A5" s="89">
        <v>45323</v>
      </c>
      <c r="B5" s="9" t="s">
        <v>6</v>
      </c>
      <c r="C5" s="10" t="s">
        <v>7</v>
      </c>
      <c r="D5" s="11"/>
      <c r="E5" s="12">
        <v>565541.23000000045</v>
      </c>
      <c r="F5" s="12"/>
      <c r="G5" s="1"/>
      <c r="H5" s="1"/>
      <c r="I5" s="112"/>
      <c r="J5" s="112"/>
    </row>
    <row r="6" spans="1:12" s="2" customFormat="1" ht="14.25" customHeight="1" x14ac:dyDescent="0.4">
      <c r="A6" s="89">
        <v>45323</v>
      </c>
      <c r="B6" s="9" t="s">
        <v>6</v>
      </c>
      <c r="C6" s="10" t="s">
        <v>2028</v>
      </c>
      <c r="D6" s="11" t="s">
        <v>13</v>
      </c>
      <c r="E6" s="12">
        <v>3256710</v>
      </c>
      <c r="F6" s="12"/>
      <c r="G6" s="1"/>
      <c r="H6" s="1"/>
      <c r="I6" s="112"/>
      <c r="J6" s="112"/>
    </row>
    <row r="7" spans="1:12" s="2" customFormat="1" ht="14.25" customHeight="1" x14ac:dyDescent="0.4">
      <c r="A7" s="89">
        <v>45323</v>
      </c>
      <c r="B7" s="9" t="s">
        <v>11</v>
      </c>
      <c r="C7" s="10" t="s">
        <v>2029</v>
      </c>
      <c r="D7" s="11" t="s">
        <v>29</v>
      </c>
      <c r="E7" s="12"/>
      <c r="F7" s="12">
        <v>53724</v>
      </c>
      <c r="G7" s="1"/>
      <c r="H7" s="1"/>
      <c r="I7" s="112"/>
      <c r="J7" s="112"/>
    </row>
    <row r="8" spans="1:12" s="2" customFormat="1" ht="12.75" customHeight="1" x14ac:dyDescent="0.2">
      <c r="D8" s="15" t="s">
        <v>8</v>
      </c>
      <c r="E8" s="16">
        <f>SUM(E5:E6)</f>
        <v>3822251.2300000004</v>
      </c>
      <c r="F8" s="16">
        <f>F7</f>
        <v>53724</v>
      </c>
      <c r="G8" s="1"/>
      <c r="H8" s="1"/>
      <c r="I8" s="13" t="s">
        <v>1582</v>
      </c>
      <c r="J8" s="13" t="s">
        <v>1583</v>
      </c>
    </row>
    <row r="9" spans="1:12" s="2" customFormat="1" ht="12.75" customHeight="1" x14ac:dyDescent="0.2">
      <c r="A9" s="17"/>
      <c r="B9" s="18"/>
      <c r="C9" s="19" t="s">
        <v>9</v>
      </c>
      <c r="D9" s="20"/>
      <c r="E9" s="21">
        <f>+E8-F8</f>
        <v>3768527.2300000004</v>
      </c>
      <c r="F9" s="22"/>
      <c r="G9" s="23"/>
      <c r="H9" s="23"/>
      <c r="I9" s="2">
        <v>0</v>
      </c>
      <c r="J9" s="2">
        <v>0</v>
      </c>
      <c r="K9" s="176">
        <f>I9-J9</f>
        <v>0</v>
      </c>
    </row>
    <row r="10" spans="1:12" ht="12.75" customHeight="1" x14ac:dyDescent="0.4">
      <c r="I10" s="112"/>
      <c r="J10" s="112"/>
    </row>
    <row r="11" spans="1:12" ht="18" customHeight="1" x14ac:dyDescent="0.4">
      <c r="A11" s="213" t="s">
        <v>1037</v>
      </c>
      <c r="B11" s="213"/>
      <c r="C11" s="213"/>
      <c r="D11" s="213"/>
      <c r="E11" s="213"/>
      <c r="F11" s="213"/>
      <c r="I11" s="112"/>
      <c r="J11" s="169">
        <f>90000000-60000000</f>
        <v>30000000</v>
      </c>
      <c r="K11" s="169" t="s">
        <v>1508</v>
      </c>
    </row>
    <row r="12" spans="1:12" ht="12.75" customHeight="1" x14ac:dyDescent="0.4">
      <c r="A12" s="3" t="s">
        <v>1</v>
      </c>
      <c r="B12" s="4" t="s">
        <v>2</v>
      </c>
      <c r="C12" s="5"/>
      <c r="D12" s="6" t="s">
        <v>3</v>
      </c>
      <c r="E12" s="7" t="s">
        <v>4</v>
      </c>
      <c r="F12" s="7" t="s">
        <v>5</v>
      </c>
      <c r="I12" s="112"/>
      <c r="J12" s="169">
        <v>29259337.789999999</v>
      </c>
      <c r="K12" s="169" t="s">
        <v>1509</v>
      </c>
      <c r="L12" s="124"/>
    </row>
    <row r="13" spans="1:12" s="2" customFormat="1" ht="14.25" customHeight="1" x14ac:dyDescent="0.2">
      <c r="A13" s="89">
        <v>45323</v>
      </c>
      <c r="B13" s="9" t="s">
        <v>6</v>
      </c>
      <c r="C13" s="10" t="s">
        <v>7</v>
      </c>
      <c r="D13" s="11"/>
      <c r="F13" s="12">
        <v>28625521.720000003</v>
      </c>
      <c r="G13" s="1"/>
      <c r="H13" s="1"/>
      <c r="I13" s="130" t="s">
        <v>396</v>
      </c>
      <c r="J13" s="169">
        <f>+J11-J12</f>
        <v>740662.21000000089</v>
      </c>
      <c r="K13" s="169" t="s">
        <v>712</v>
      </c>
      <c r="L13" s="165" t="s">
        <v>1512</v>
      </c>
    </row>
    <row r="14" spans="1:12" s="2" customFormat="1" ht="14.25" customHeight="1" x14ac:dyDescent="0.2">
      <c r="A14" s="89">
        <v>45323</v>
      </c>
      <c r="B14" s="9" t="s">
        <v>11</v>
      </c>
      <c r="C14" s="76" t="s">
        <v>1681</v>
      </c>
      <c r="D14" s="11" t="s">
        <v>29</v>
      </c>
      <c r="E14" s="31"/>
      <c r="F14" s="31">
        <v>512055</v>
      </c>
      <c r="G14" s="1"/>
      <c r="H14" s="1"/>
      <c r="I14" s="130"/>
      <c r="J14" s="169"/>
      <c r="K14" s="169"/>
      <c r="L14" s="165"/>
    </row>
    <row r="15" spans="1:12" s="2" customFormat="1" ht="14.25" customHeight="1" x14ac:dyDescent="0.2">
      <c r="A15" s="89">
        <v>45323</v>
      </c>
      <c r="B15" s="9" t="s">
        <v>11</v>
      </c>
      <c r="C15" s="76" t="s">
        <v>102</v>
      </c>
      <c r="D15" s="11" t="s">
        <v>29</v>
      </c>
      <c r="E15" s="31"/>
      <c r="F15" s="31">
        <v>120378.97</v>
      </c>
      <c r="G15" s="1"/>
      <c r="H15" s="1"/>
      <c r="I15" s="130"/>
      <c r="J15" s="169"/>
      <c r="K15" s="169"/>
      <c r="L15" s="165"/>
    </row>
    <row r="16" spans="1:12" s="2" customFormat="1" ht="14.25" customHeight="1" x14ac:dyDescent="0.2">
      <c r="A16" s="89">
        <v>45323</v>
      </c>
      <c r="B16" s="9" t="s">
        <v>11</v>
      </c>
      <c r="C16" s="76" t="s">
        <v>156</v>
      </c>
      <c r="D16" s="11" t="s">
        <v>29</v>
      </c>
      <c r="E16" s="31"/>
      <c r="F16" s="31">
        <v>1382.1</v>
      </c>
      <c r="G16" s="1"/>
      <c r="H16" s="1"/>
      <c r="I16" s="130"/>
      <c r="J16" s="169"/>
      <c r="K16" s="169"/>
      <c r="L16" s="165"/>
    </row>
    <row r="17" spans="1:14" s="2" customFormat="1" ht="14.25" customHeight="1" x14ac:dyDescent="0.2">
      <c r="D17" s="11" t="s">
        <v>8</v>
      </c>
      <c r="E17" s="16">
        <f>SUM(E14:E16)</f>
        <v>0</v>
      </c>
      <c r="F17" s="16">
        <f>SUM(F13:F16)</f>
        <v>29259337.790000003</v>
      </c>
      <c r="G17" s="1"/>
      <c r="H17" s="1"/>
      <c r="I17" s="143"/>
      <c r="J17" s="130"/>
      <c r="K17" s="143"/>
      <c r="L17" s="143"/>
      <c r="M17" s="143"/>
      <c r="N17" s="143"/>
    </row>
    <row r="18" spans="1:14" s="2" customFormat="1" ht="14.25" customHeight="1" x14ac:dyDescent="0.4">
      <c r="A18" s="17"/>
      <c r="B18" s="18"/>
      <c r="C18" s="96" t="s">
        <v>9</v>
      </c>
      <c r="D18" s="20"/>
      <c r="E18" s="21">
        <f>+F17-E17</f>
        <v>29259337.790000003</v>
      </c>
      <c r="G18" s="1"/>
      <c r="H18" s="1"/>
      <c r="J18" s="112"/>
      <c r="K18" s="153" t="s">
        <v>779</v>
      </c>
    </row>
    <row r="19" spans="1:14" s="2" customFormat="1" ht="14.25" customHeight="1" x14ac:dyDescent="0.2">
      <c r="A19" s="17"/>
      <c r="B19" s="28" t="s">
        <v>66</v>
      </c>
      <c r="C19" s="43" t="s">
        <v>1458</v>
      </c>
      <c r="D19" s="43"/>
      <c r="E19" s="12">
        <f>30000000+60000000</f>
        <v>90000000</v>
      </c>
      <c r="F19" s="22"/>
      <c r="G19" s="1"/>
      <c r="H19" s="1"/>
      <c r="J19" s="40">
        <v>29259337.789999999</v>
      </c>
      <c r="K19" s="154">
        <f>J19-E18</f>
        <v>0</v>
      </c>
    </row>
    <row r="20" spans="1:14" s="2" customFormat="1" ht="14.25" customHeight="1" x14ac:dyDescent="0.25">
      <c r="A20" s="36"/>
      <c r="B20" s="28"/>
      <c r="C20" s="44" t="s">
        <v>1541</v>
      </c>
      <c r="D20" s="43"/>
      <c r="E20" s="7">
        <f>+E18+E19</f>
        <v>119259337.79000001</v>
      </c>
      <c r="F20" s="22"/>
      <c r="G20" s="1"/>
      <c r="H20" s="1"/>
      <c r="I20" s="13" t="s">
        <v>1582</v>
      </c>
      <c r="J20" s="13" t="s">
        <v>1583</v>
      </c>
    </row>
    <row r="21" spans="1:14" s="2" customFormat="1" ht="14.25" customHeight="1" x14ac:dyDescent="0.25">
      <c r="A21" s="36"/>
      <c r="B21" s="28"/>
      <c r="C21" s="44" t="s">
        <v>1511</v>
      </c>
      <c r="D21" s="43"/>
      <c r="E21" s="38">
        <f>+J13+I9-J9</f>
        <v>740662.21000000089</v>
      </c>
      <c r="F21" s="22"/>
      <c r="G21" s="1"/>
      <c r="H21" s="1"/>
      <c r="I21" s="2">
        <v>51442047</v>
      </c>
      <c r="J21" s="2">
        <v>3384435</v>
      </c>
      <c r="K21" s="176">
        <f>I21-J21</f>
        <v>48057612</v>
      </c>
    </row>
    <row r="22" spans="1:14" s="2" customFormat="1" ht="14.25" customHeight="1" x14ac:dyDescent="0.2">
      <c r="A22" s="24"/>
      <c r="B22" s="1"/>
      <c r="C22" s="14"/>
      <c r="D22" s="25"/>
      <c r="G22" s="1"/>
      <c r="H22" s="1"/>
      <c r="J22" s="130"/>
      <c r="K22" s="130"/>
    </row>
    <row r="23" spans="1:14" s="2" customFormat="1" x14ac:dyDescent="0.2">
      <c r="A23" s="214" t="s">
        <v>10</v>
      </c>
      <c r="B23" s="214"/>
      <c r="C23" s="214"/>
      <c r="D23" s="214"/>
      <c r="E23" s="214"/>
      <c r="F23" s="214"/>
      <c r="G23" s="1"/>
      <c r="H23" s="1"/>
      <c r="I23" s="159"/>
      <c r="J23" s="160">
        <v>100000000</v>
      </c>
      <c r="K23" s="160" t="s">
        <v>1506</v>
      </c>
      <c r="L23" s="70"/>
    </row>
    <row r="24" spans="1:14" s="2" customFormat="1" ht="15" x14ac:dyDescent="0.35">
      <c r="A24" s="26" t="s">
        <v>1</v>
      </c>
      <c r="B24" s="27" t="s">
        <v>2</v>
      </c>
      <c r="C24" s="5"/>
      <c r="D24" s="6" t="s">
        <v>3</v>
      </c>
      <c r="E24" s="7" t="s">
        <v>4</v>
      </c>
      <c r="F24" s="7" t="s">
        <v>5</v>
      </c>
      <c r="G24" s="1"/>
      <c r="H24" s="1"/>
      <c r="I24" s="159"/>
      <c r="J24" s="179">
        <v>63102848.590000004</v>
      </c>
      <c r="K24" s="160" t="s">
        <v>1507</v>
      </c>
      <c r="L24" s="70" t="s">
        <v>1512</v>
      </c>
    </row>
    <row r="25" spans="1:14" s="2" customFormat="1" x14ac:dyDescent="0.2">
      <c r="A25" s="89">
        <v>45323</v>
      </c>
      <c r="B25" s="128" t="s">
        <v>11</v>
      </c>
      <c r="C25" s="29" t="s">
        <v>7</v>
      </c>
      <c r="D25" s="25"/>
      <c r="E25" s="31"/>
      <c r="F25" s="2">
        <v>73651393.369999915</v>
      </c>
      <c r="G25" s="23"/>
      <c r="H25" s="23"/>
      <c r="I25" s="159" t="s">
        <v>1505</v>
      </c>
      <c r="J25" s="160">
        <f>+J23-J24</f>
        <v>36897151.409999996</v>
      </c>
      <c r="K25" s="160"/>
      <c r="L25" s="70"/>
    </row>
    <row r="26" spans="1:14" s="2" customFormat="1" x14ac:dyDescent="0.2">
      <c r="A26" s="89">
        <v>45323</v>
      </c>
      <c r="B26" s="128" t="s">
        <v>6</v>
      </c>
      <c r="C26" s="76" t="s">
        <v>122</v>
      </c>
      <c r="D26" s="11" t="s">
        <v>13</v>
      </c>
      <c r="E26" s="31">
        <v>1430157.8</v>
      </c>
      <c r="G26" s="23"/>
      <c r="H26" s="23"/>
      <c r="I26" s="159"/>
      <c r="J26" s="160"/>
      <c r="K26" s="160"/>
      <c r="L26" s="70"/>
    </row>
    <row r="27" spans="1:14" s="2" customFormat="1" x14ac:dyDescent="0.2">
      <c r="A27" s="89">
        <v>45323</v>
      </c>
      <c r="B27" s="128" t="s">
        <v>6</v>
      </c>
      <c r="C27" s="76" t="s">
        <v>391</v>
      </c>
      <c r="D27" s="11" t="s">
        <v>13</v>
      </c>
      <c r="E27" s="31">
        <v>3045</v>
      </c>
      <c r="G27" s="23"/>
      <c r="H27" s="23"/>
      <c r="I27" s="159"/>
      <c r="J27" s="160"/>
      <c r="K27" s="160"/>
      <c r="L27" s="70"/>
    </row>
    <row r="28" spans="1:14" s="2" customFormat="1" x14ac:dyDescent="0.2">
      <c r="A28" s="89">
        <v>45323</v>
      </c>
      <c r="B28" s="128" t="s">
        <v>6</v>
      </c>
      <c r="C28" s="76" t="s">
        <v>1925</v>
      </c>
      <c r="D28" s="11" t="s">
        <v>13</v>
      </c>
      <c r="E28" s="31">
        <v>1952904.17</v>
      </c>
      <c r="G28" s="23"/>
      <c r="H28" s="23"/>
      <c r="I28" s="159"/>
      <c r="J28" s="160"/>
      <c r="K28" s="160"/>
      <c r="L28" s="70"/>
    </row>
    <row r="29" spans="1:14" s="2" customFormat="1" x14ac:dyDescent="0.2">
      <c r="A29" s="89">
        <v>45323</v>
      </c>
      <c r="B29" s="128" t="s">
        <v>6</v>
      </c>
      <c r="C29" s="76" t="s">
        <v>764</v>
      </c>
      <c r="D29" s="11" t="s">
        <v>13</v>
      </c>
      <c r="E29" s="31">
        <v>2003288.97</v>
      </c>
      <c r="G29" s="23"/>
      <c r="H29" s="23"/>
      <c r="I29" s="159"/>
      <c r="J29" s="160"/>
      <c r="K29" s="160"/>
      <c r="L29" s="70"/>
    </row>
    <row r="30" spans="1:14" s="2" customFormat="1" x14ac:dyDescent="0.2">
      <c r="A30" s="89">
        <v>45323</v>
      </c>
      <c r="B30" s="128" t="s">
        <v>6</v>
      </c>
      <c r="C30" s="76" t="s">
        <v>757</v>
      </c>
      <c r="D30" s="11" t="s">
        <v>13</v>
      </c>
      <c r="E30" s="31">
        <v>833624.34</v>
      </c>
      <c r="G30" s="23"/>
      <c r="H30" s="23"/>
      <c r="I30" s="159"/>
      <c r="J30" s="160"/>
      <c r="K30" s="160"/>
      <c r="L30" s="70"/>
    </row>
    <row r="31" spans="1:14" s="2" customFormat="1" x14ac:dyDescent="0.2">
      <c r="A31" s="89">
        <v>45323</v>
      </c>
      <c r="B31" s="128" t="s">
        <v>6</v>
      </c>
      <c r="C31" s="76" t="s">
        <v>759</v>
      </c>
      <c r="D31" s="11" t="s">
        <v>13</v>
      </c>
      <c r="E31" s="31">
        <v>897473.3</v>
      </c>
      <c r="G31" s="23"/>
      <c r="H31" s="23"/>
      <c r="I31" s="159"/>
      <c r="J31" s="160"/>
      <c r="K31" s="160"/>
      <c r="L31" s="70"/>
    </row>
    <row r="32" spans="1:14" s="2" customFormat="1" x14ac:dyDescent="0.2">
      <c r="A32" s="89">
        <v>45323</v>
      </c>
      <c r="B32" s="128" t="s">
        <v>6</v>
      </c>
      <c r="C32" s="76" t="s">
        <v>748</v>
      </c>
      <c r="D32" s="11" t="s">
        <v>13</v>
      </c>
      <c r="E32" s="31">
        <v>662438.97</v>
      </c>
      <c r="G32" s="23"/>
      <c r="H32" s="23"/>
      <c r="I32" s="159"/>
      <c r="J32" s="160"/>
      <c r="K32" s="160"/>
      <c r="L32" s="70"/>
    </row>
    <row r="33" spans="1:12" s="2" customFormat="1" x14ac:dyDescent="0.2">
      <c r="A33" s="89">
        <v>45323</v>
      </c>
      <c r="B33" s="128" t="s">
        <v>6</v>
      </c>
      <c r="C33" s="76" t="s">
        <v>765</v>
      </c>
      <c r="D33" s="11" t="s">
        <v>13</v>
      </c>
      <c r="E33" s="31">
        <v>4637120.28</v>
      </c>
      <c r="G33" s="23"/>
      <c r="H33" s="23"/>
      <c r="I33" s="159"/>
      <c r="J33" s="160"/>
      <c r="K33" s="160"/>
      <c r="L33" s="70"/>
    </row>
    <row r="34" spans="1:12" s="2" customFormat="1" x14ac:dyDescent="0.2">
      <c r="A34" s="89">
        <v>45323</v>
      </c>
      <c r="B34" s="128" t="s">
        <v>6</v>
      </c>
      <c r="C34" s="76" t="s">
        <v>755</v>
      </c>
      <c r="D34" s="11" t="s">
        <v>13</v>
      </c>
      <c r="E34" s="31">
        <v>55749</v>
      </c>
      <c r="G34" s="23"/>
      <c r="H34" s="23"/>
      <c r="I34" s="159"/>
      <c r="J34" s="160"/>
      <c r="K34" s="160"/>
      <c r="L34" s="70"/>
    </row>
    <row r="35" spans="1:12" s="2" customFormat="1" x14ac:dyDescent="0.2">
      <c r="A35" s="89">
        <v>45323</v>
      </c>
      <c r="B35" s="128" t="s">
        <v>6</v>
      </c>
      <c r="C35" s="76" t="s">
        <v>2027</v>
      </c>
      <c r="D35" s="11" t="s">
        <v>13</v>
      </c>
      <c r="E35" s="31">
        <v>781885</v>
      </c>
      <c r="G35" s="23"/>
      <c r="H35" s="23"/>
      <c r="I35" s="159"/>
      <c r="J35" s="160"/>
      <c r="K35" s="160"/>
      <c r="L35" s="70"/>
    </row>
    <row r="36" spans="1:12" s="2" customFormat="1" x14ac:dyDescent="0.2">
      <c r="A36" s="89">
        <v>45323</v>
      </c>
      <c r="B36" s="128" t="s">
        <v>6</v>
      </c>
      <c r="C36" s="76" t="s">
        <v>1383</v>
      </c>
      <c r="D36" s="11" t="s">
        <v>13</v>
      </c>
      <c r="E36" s="31">
        <v>50000000</v>
      </c>
      <c r="G36" s="23"/>
      <c r="H36" s="23"/>
      <c r="I36" s="159"/>
      <c r="J36" s="160"/>
      <c r="K36" s="160"/>
      <c r="L36" s="70"/>
    </row>
    <row r="37" spans="1:12" s="2" customFormat="1" x14ac:dyDescent="0.2">
      <c r="A37" s="89">
        <v>45323</v>
      </c>
      <c r="B37" s="128" t="s">
        <v>6</v>
      </c>
      <c r="C37" s="76" t="s">
        <v>329</v>
      </c>
      <c r="D37" s="11" t="s">
        <v>13</v>
      </c>
      <c r="E37" s="31">
        <v>4500000</v>
      </c>
      <c r="G37" s="23"/>
      <c r="H37" s="23"/>
      <c r="I37" s="159"/>
      <c r="J37" s="160"/>
      <c r="K37" s="160"/>
      <c r="L37" s="70"/>
    </row>
    <row r="38" spans="1:12" s="2" customFormat="1" x14ac:dyDescent="0.2">
      <c r="A38" s="89">
        <v>45323</v>
      </c>
      <c r="B38" s="128" t="s">
        <v>6</v>
      </c>
      <c r="C38" s="76" t="s">
        <v>326</v>
      </c>
      <c r="D38" s="11" t="s">
        <v>13</v>
      </c>
      <c r="E38" s="31">
        <v>442047</v>
      </c>
      <c r="G38" s="23"/>
      <c r="H38" s="23"/>
      <c r="I38" s="159"/>
      <c r="J38" s="160"/>
      <c r="K38" s="160"/>
      <c r="L38" s="70"/>
    </row>
    <row r="39" spans="1:12" s="2" customFormat="1" x14ac:dyDescent="0.2">
      <c r="A39" s="89">
        <v>45323</v>
      </c>
      <c r="B39" s="128" t="s">
        <v>6</v>
      </c>
      <c r="C39" s="76" t="s">
        <v>694</v>
      </c>
      <c r="D39" s="11" t="s">
        <v>13</v>
      </c>
      <c r="E39" s="31">
        <v>1000000</v>
      </c>
      <c r="G39" s="23"/>
      <c r="H39" s="23"/>
      <c r="I39" s="159"/>
      <c r="J39" s="160"/>
      <c r="K39" s="160"/>
      <c r="L39" s="70"/>
    </row>
    <row r="40" spans="1:12" s="2" customFormat="1" x14ac:dyDescent="0.2">
      <c r="A40" s="89">
        <v>45323</v>
      </c>
      <c r="B40" s="128" t="s">
        <v>6</v>
      </c>
      <c r="C40" s="76" t="s">
        <v>146</v>
      </c>
      <c r="D40" s="11" t="s">
        <v>13</v>
      </c>
      <c r="E40" s="31">
        <v>1569451.18</v>
      </c>
      <c r="G40" s="23"/>
      <c r="H40" s="23"/>
      <c r="I40" s="159"/>
      <c r="J40" s="160"/>
      <c r="K40" s="160"/>
      <c r="L40" s="70"/>
    </row>
    <row r="41" spans="1:12" s="13" customFormat="1" x14ac:dyDescent="0.2">
      <c r="A41" s="97">
        <v>45323</v>
      </c>
      <c r="B41" s="132" t="s">
        <v>6</v>
      </c>
      <c r="C41" s="94" t="s">
        <v>111</v>
      </c>
      <c r="D41" s="122" t="s">
        <v>258</v>
      </c>
      <c r="E41" s="95">
        <v>911848.16</v>
      </c>
      <c r="G41" s="23"/>
      <c r="H41" s="23"/>
      <c r="I41" s="160"/>
      <c r="J41" s="160"/>
      <c r="K41" s="160"/>
      <c r="L41" s="69"/>
    </row>
    <row r="42" spans="1:12" s="2" customFormat="1" x14ac:dyDescent="0.2">
      <c r="A42" s="89">
        <v>45323</v>
      </c>
      <c r="B42" s="128" t="s">
        <v>6</v>
      </c>
      <c r="C42" s="76" t="s">
        <v>149</v>
      </c>
      <c r="D42" s="11" t="s">
        <v>13</v>
      </c>
      <c r="E42" s="31">
        <v>1807</v>
      </c>
      <c r="G42" s="23"/>
      <c r="H42" s="23"/>
      <c r="I42" s="159"/>
      <c r="J42" s="160"/>
      <c r="K42" s="160"/>
      <c r="L42" s="70"/>
    </row>
    <row r="43" spans="1:12" s="2" customFormat="1" x14ac:dyDescent="0.2">
      <c r="A43" s="89">
        <v>45323</v>
      </c>
      <c r="B43" s="128" t="s">
        <v>6</v>
      </c>
      <c r="C43" s="76" t="s">
        <v>773</v>
      </c>
      <c r="D43" s="11" t="s">
        <v>13</v>
      </c>
      <c r="E43" s="31">
        <v>759186.65</v>
      </c>
      <c r="G43" s="23"/>
      <c r="H43" s="23"/>
      <c r="I43" s="159"/>
      <c r="J43" s="160"/>
      <c r="K43" s="160"/>
      <c r="L43" s="70"/>
    </row>
    <row r="44" spans="1:12" s="2" customFormat="1" x14ac:dyDescent="0.2">
      <c r="A44" s="89">
        <v>45323</v>
      </c>
      <c r="B44" s="128" t="s">
        <v>6</v>
      </c>
      <c r="C44" s="76" t="s">
        <v>760</v>
      </c>
      <c r="D44" s="11" t="s">
        <v>13</v>
      </c>
      <c r="E44" s="31">
        <v>1834142.22</v>
      </c>
      <c r="G44" s="23"/>
      <c r="H44" s="23"/>
      <c r="I44" s="159"/>
      <c r="J44" s="160"/>
      <c r="K44" s="160"/>
      <c r="L44" s="70"/>
    </row>
    <row r="45" spans="1:12" s="2" customFormat="1" x14ac:dyDescent="0.2">
      <c r="A45" s="89">
        <v>45323</v>
      </c>
      <c r="B45" s="128" t="s">
        <v>6</v>
      </c>
      <c r="C45" s="76" t="s">
        <v>403</v>
      </c>
      <c r="D45" s="11" t="s">
        <v>13</v>
      </c>
      <c r="E45" s="31">
        <v>360958</v>
      </c>
      <c r="G45" s="23"/>
      <c r="H45" s="23"/>
      <c r="I45" s="159"/>
      <c r="J45" s="160"/>
      <c r="K45" s="160"/>
      <c r="L45" s="70"/>
    </row>
    <row r="46" spans="1:12" s="2" customFormat="1" x14ac:dyDescent="0.2">
      <c r="A46" s="89">
        <v>45323</v>
      </c>
      <c r="B46" s="128" t="s">
        <v>6</v>
      </c>
      <c r="C46" s="76" t="s">
        <v>1031</v>
      </c>
      <c r="D46" s="11" t="s">
        <v>13</v>
      </c>
      <c r="E46" s="31">
        <v>15710.39</v>
      </c>
      <c r="G46" s="23"/>
      <c r="H46" s="23"/>
      <c r="I46" s="159"/>
      <c r="J46" s="160"/>
      <c r="K46" s="160"/>
      <c r="L46" s="70"/>
    </row>
    <row r="47" spans="1:12" s="2" customFormat="1" x14ac:dyDescent="0.2">
      <c r="A47" s="89">
        <v>45323</v>
      </c>
      <c r="B47" s="128" t="s">
        <v>11</v>
      </c>
      <c r="C47" s="76" t="s">
        <v>64</v>
      </c>
      <c r="D47" s="11" t="s">
        <v>29</v>
      </c>
      <c r="E47" s="31"/>
      <c r="F47" s="2">
        <v>15156.66</v>
      </c>
      <c r="G47" s="23"/>
      <c r="H47" s="23"/>
      <c r="I47" s="159"/>
      <c r="J47" s="160"/>
      <c r="K47" s="160"/>
      <c r="L47" s="70"/>
    </row>
    <row r="48" spans="1:12" s="2" customFormat="1" x14ac:dyDescent="0.2">
      <c r="A48" s="89">
        <v>45323</v>
      </c>
      <c r="B48" s="128" t="s">
        <v>11</v>
      </c>
      <c r="C48" s="76" t="s">
        <v>15</v>
      </c>
      <c r="D48" s="11" t="s">
        <v>29</v>
      </c>
      <c r="E48" s="31"/>
      <c r="F48" s="2">
        <v>8322.0600000000013</v>
      </c>
      <c r="G48" s="23"/>
      <c r="H48" s="23"/>
      <c r="I48" s="159"/>
      <c r="J48" s="160"/>
      <c r="K48" s="160"/>
      <c r="L48" s="70"/>
    </row>
    <row r="49" spans="1:12" s="2" customFormat="1" x14ac:dyDescent="0.2">
      <c r="A49" s="89">
        <v>45323</v>
      </c>
      <c r="B49" s="128" t="s">
        <v>11</v>
      </c>
      <c r="C49" s="76" t="s">
        <v>1031</v>
      </c>
      <c r="D49" s="11" t="s">
        <v>29</v>
      </c>
      <c r="E49" s="31"/>
      <c r="F49" s="2">
        <v>68732.929999999993</v>
      </c>
      <c r="G49" s="23"/>
      <c r="H49" s="23"/>
      <c r="I49" s="159"/>
      <c r="J49" s="160"/>
      <c r="K49" s="160"/>
      <c r="L49" s="70"/>
    </row>
    <row r="50" spans="1:12" s="2" customFormat="1" x14ac:dyDescent="0.2">
      <c r="A50" s="89">
        <v>45323</v>
      </c>
      <c r="B50" s="128" t="s">
        <v>11</v>
      </c>
      <c r="C50" s="76" t="s">
        <v>57</v>
      </c>
      <c r="D50" s="11" t="s">
        <v>29</v>
      </c>
      <c r="E50" s="31"/>
      <c r="F50" s="2">
        <v>5500000</v>
      </c>
      <c r="G50" s="23"/>
      <c r="H50" s="23"/>
      <c r="I50" s="159"/>
      <c r="J50" s="160"/>
      <c r="K50" s="160"/>
      <c r="L50" s="70"/>
    </row>
    <row r="51" spans="1:12" s="2" customFormat="1" x14ac:dyDescent="0.2">
      <c r="A51" s="89">
        <v>45323</v>
      </c>
      <c r="B51" s="128" t="s">
        <v>11</v>
      </c>
      <c r="C51" s="76" t="s">
        <v>92</v>
      </c>
      <c r="D51" s="11" t="s">
        <v>29</v>
      </c>
      <c r="E51" s="31"/>
      <c r="F51" s="2">
        <v>16615</v>
      </c>
      <c r="G51" s="23"/>
      <c r="H51" s="23"/>
      <c r="I51" s="159"/>
      <c r="J51" s="160"/>
      <c r="K51" s="160"/>
      <c r="L51" s="70"/>
    </row>
    <row r="52" spans="1:12" s="2" customFormat="1" x14ac:dyDescent="0.2">
      <c r="A52" s="89">
        <v>45323</v>
      </c>
      <c r="B52" s="128" t="s">
        <v>11</v>
      </c>
      <c r="C52" s="76" t="s">
        <v>740</v>
      </c>
      <c r="D52" s="11" t="s">
        <v>29</v>
      </c>
      <c r="E52" s="31"/>
      <c r="F52" s="2">
        <v>44098</v>
      </c>
      <c r="G52" s="23"/>
      <c r="H52" s="23"/>
      <c r="I52" s="159"/>
      <c r="J52" s="160"/>
      <c r="K52" s="160"/>
      <c r="L52" s="70"/>
    </row>
    <row r="53" spans="1:12" s="2" customFormat="1" x14ac:dyDescent="0.2">
      <c r="A53" s="89">
        <v>45323</v>
      </c>
      <c r="B53" s="128" t="s">
        <v>11</v>
      </c>
      <c r="C53" s="76" t="s">
        <v>518</v>
      </c>
      <c r="D53" s="11" t="s">
        <v>29</v>
      </c>
      <c r="E53" s="31"/>
      <c r="F53" s="2">
        <v>20302</v>
      </c>
      <c r="G53" s="23"/>
      <c r="H53" s="23"/>
      <c r="I53" s="159"/>
      <c r="J53" s="160"/>
      <c r="K53" s="160"/>
      <c r="L53" s="70"/>
    </row>
    <row r="54" spans="1:12" s="2" customFormat="1" x14ac:dyDescent="0.2">
      <c r="A54" s="89">
        <v>45323</v>
      </c>
      <c r="B54" s="128" t="s">
        <v>11</v>
      </c>
      <c r="C54" s="76" t="s">
        <v>1798</v>
      </c>
      <c r="D54" s="11" t="s">
        <v>29</v>
      </c>
      <c r="E54" s="31"/>
      <c r="F54" s="2">
        <v>1597814</v>
      </c>
      <c r="G54" s="23"/>
      <c r="H54" s="23"/>
      <c r="I54" s="159"/>
      <c r="J54" s="160"/>
      <c r="K54" s="160"/>
      <c r="L54" s="70"/>
    </row>
    <row r="55" spans="1:12" s="2" customFormat="1" x14ac:dyDescent="0.2">
      <c r="A55" s="89">
        <v>45323</v>
      </c>
      <c r="B55" s="128" t="s">
        <v>11</v>
      </c>
      <c r="C55" s="76" t="s">
        <v>1994</v>
      </c>
      <c r="D55" s="11" t="s">
        <v>29</v>
      </c>
      <c r="E55" s="31"/>
      <c r="F55" s="2">
        <v>400000</v>
      </c>
      <c r="G55" s="23"/>
      <c r="H55" s="23"/>
      <c r="I55" s="159"/>
      <c r="J55" s="160"/>
      <c r="K55" s="160"/>
      <c r="L55" s="70"/>
    </row>
    <row r="56" spans="1:12" s="2" customFormat="1" x14ac:dyDescent="0.2">
      <c r="A56" s="89">
        <v>45323</v>
      </c>
      <c r="B56" s="128" t="s">
        <v>11</v>
      </c>
      <c r="C56" s="76" t="s">
        <v>242</v>
      </c>
      <c r="D56" s="11" t="s">
        <v>29</v>
      </c>
      <c r="E56" s="31"/>
      <c r="F56" s="2">
        <v>404000</v>
      </c>
      <c r="G56" s="23"/>
      <c r="H56" s="23"/>
      <c r="I56" s="159"/>
      <c r="J56" s="160"/>
      <c r="K56" s="160"/>
      <c r="L56" s="70"/>
    </row>
    <row r="57" spans="1:12" s="2" customFormat="1" x14ac:dyDescent="0.2">
      <c r="A57" s="89">
        <v>45323</v>
      </c>
      <c r="B57" s="128" t="s">
        <v>11</v>
      </c>
      <c r="C57" s="76" t="s">
        <v>715</v>
      </c>
      <c r="D57" s="11" t="s">
        <v>29</v>
      </c>
      <c r="E57" s="31"/>
      <c r="F57" s="2">
        <v>2899050</v>
      </c>
      <c r="G57" s="23"/>
      <c r="H57" s="23"/>
      <c r="I57" s="159"/>
      <c r="J57" s="160"/>
      <c r="K57" s="160"/>
      <c r="L57" s="70"/>
    </row>
    <row r="58" spans="1:12" s="2" customFormat="1" x14ac:dyDescent="0.2">
      <c r="A58" s="89">
        <v>45323</v>
      </c>
      <c r="B58" s="128" t="s">
        <v>11</v>
      </c>
      <c r="C58" s="76" t="s">
        <v>107</v>
      </c>
      <c r="D58" s="11" t="s">
        <v>29</v>
      </c>
      <c r="E58" s="31"/>
      <c r="F58" s="2">
        <v>134002.93</v>
      </c>
      <c r="G58" s="23"/>
      <c r="H58" s="23"/>
      <c r="I58" s="159"/>
      <c r="J58" s="160"/>
      <c r="K58" s="160"/>
      <c r="L58" s="70"/>
    </row>
    <row r="59" spans="1:12" s="2" customFormat="1" x14ac:dyDescent="0.2">
      <c r="A59" s="89">
        <v>45323</v>
      </c>
      <c r="B59" s="128" t="s">
        <v>11</v>
      </c>
      <c r="C59" s="76" t="s">
        <v>1155</v>
      </c>
      <c r="D59" s="11" t="s">
        <v>29</v>
      </c>
      <c r="E59" s="31"/>
      <c r="F59" s="2">
        <v>3801673.52</v>
      </c>
      <c r="G59" s="23"/>
      <c r="H59" s="23"/>
      <c r="I59" s="159"/>
      <c r="J59" s="160"/>
      <c r="K59" s="160"/>
      <c r="L59" s="70"/>
    </row>
    <row r="60" spans="1:12" s="2" customFormat="1" x14ac:dyDescent="0.2">
      <c r="A60" s="89">
        <v>45323</v>
      </c>
      <c r="B60" s="128" t="s">
        <v>11</v>
      </c>
      <c r="C60" s="76" t="s">
        <v>108</v>
      </c>
      <c r="D60" s="11" t="s">
        <v>29</v>
      </c>
      <c r="E60" s="31"/>
      <c r="F60" s="2">
        <v>302584.07</v>
      </c>
      <c r="G60" s="23"/>
      <c r="H60" s="23"/>
      <c r="I60" s="159"/>
      <c r="J60" s="160"/>
      <c r="K60" s="160"/>
      <c r="L60" s="70"/>
    </row>
    <row r="61" spans="1:12" s="2" customFormat="1" x14ac:dyDescent="0.2">
      <c r="A61" s="89">
        <v>45323</v>
      </c>
      <c r="B61" s="128" t="s">
        <v>11</v>
      </c>
      <c r="C61" s="76" t="s">
        <v>1979</v>
      </c>
      <c r="D61" s="11" t="s">
        <v>29</v>
      </c>
      <c r="E61" s="31"/>
      <c r="F61" s="2">
        <v>26864.48</v>
      </c>
      <c r="G61" s="23"/>
      <c r="H61" s="23"/>
      <c r="I61" s="159"/>
      <c r="J61" s="160"/>
      <c r="K61" s="160"/>
      <c r="L61" s="70"/>
    </row>
    <row r="62" spans="1:12" s="13" customFormat="1" x14ac:dyDescent="0.2">
      <c r="A62" s="97">
        <v>45323</v>
      </c>
      <c r="B62" s="132" t="s">
        <v>11</v>
      </c>
      <c r="C62" s="94" t="s">
        <v>1953</v>
      </c>
      <c r="D62" s="122" t="s">
        <v>258</v>
      </c>
      <c r="E62" s="95"/>
      <c r="F62" s="13">
        <v>375455</v>
      </c>
      <c r="G62" s="23"/>
      <c r="H62" s="23"/>
      <c r="I62" s="160"/>
      <c r="J62" s="160"/>
      <c r="K62" s="160"/>
      <c r="L62" s="69"/>
    </row>
    <row r="63" spans="1:12" s="2" customFormat="1" x14ac:dyDescent="0.2">
      <c r="A63" s="89">
        <v>45323</v>
      </c>
      <c r="B63" s="128" t="s">
        <v>11</v>
      </c>
      <c r="C63" s="76" t="s">
        <v>1898</v>
      </c>
      <c r="D63" s="11" t="s">
        <v>29</v>
      </c>
      <c r="E63" s="31"/>
      <c r="F63" s="2">
        <v>431531.62</v>
      </c>
      <c r="G63" s="23"/>
      <c r="H63" s="23"/>
      <c r="I63" s="159"/>
      <c r="J63" s="160"/>
      <c r="K63" s="160"/>
      <c r="L63" s="70"/>
    </row>
    <row r="64" spans="1:12" s="2" customFormat="1" x14ac:dyDescent="0.2">
      <c r="A64" s="89">
        <v>45323</v>
      </c>
      <c r="B64" s="128" t="s">
        <v>11</v>
      </c>
      <c r="C64" s="76" t="s">
        <v>156</v>
      </c>
      <c r="D64" s="11" t="s">
        <v>29</v>
      </c>
      <c r="E64" s="31"/>
      <c r="F64" s="2">
        <v>478.38</v>
      </c>
      <c r="G64" s="23"/>
      <c r="H64" s="23"/>
      <c r="I64" s="159"/>
      <c r="J64" s="160"/>
      <c r="K64" s="160"/>
      <c r="L64" s="70"/>
    </row>
    <row r="65" spans="1:15" s="2" customFormat="1" x14ac:dyDescent="0.2">
      <c r="A65" s="32"/>
      <c r="B65" s="33"/>
      <c r="C65" s="14"/>
      <c r="D65" s="34"/>
      <c r="E65" s="16">
        <f>SUM(E25:E64)</f>
        <v>74652837.430000007</v>
      </c>
      <c r="F65" s="16">
        <f>SUM(F25:F64)</f>
        <v>89698074.019999921</v>
      </c>
      <c r="G65" s="1"/>
      <c r="H65" s="1"/>
      <c r="I65" s="1"/>
      <c r="J65" s="38">
        <v>15045236.59</v>
      </c>
      <c r="L65" s="92">
        <f>E66-J65</f>
        <v>-8.5681676864624023E-8</v>
      </c>
      <c r="O65" s="1"/>
    </row>
    <row r="66" spans="1:15" s="2" customFormat="1" x14ac:dyDescent="0.2">
      <c r="A66" s="36"/>
      <c r="B66" s="28" t="s">
        <v>11</v>
      </c>
      <c r="C66" s="19" t="s">
        <v>65</v>
      </c>
      <c r="D66" s="37"/>
      <c r="E66" s="38">
        <f>F65-E65</f>
        <v>15045236.589999914</v>
      </c>
      <c r="F66" s="22"/>
      <c r="G66" s="1"/>
      <c r="H66" s="1"/>
      <c r="I66" s="1"/>
      <c r="J66" s="70"/>
      <c r="K66" s="70"/>
      <c r="L66" s="70"/>
      <c r="O66" s="1"/>
    </row>
    <row r="67" spans="1:15" s="2" customFormat="1" x14ac:dyDescent="0.2">
      <c r="A67" s="36"/>
      <c r="B67" s="28" t="s">
        <v>66</v>
      </c>
      <c r="C67" s="19" t="s">
        <v>67</v>
      </c>
      <c r="D67" s="37"/>
      <c r="E67" s="38">
        <v>11500000</v>
      </c>
      <c r="F67" s="22"/>
      <c r="G67" s="1"/>
      <c r="H67" s="1"/>
      <c r="I67" s="70"/>
      <c r="J67" s="70"/>
      <c r="K67" s="70"/>
      <c r="L67" s="70"/>
      <c r="O67" s="1"/>
    </row>
    <row r="68" spans="1:15" s="2" customFormat="1" x14ac:dyDescent="0.2">
      <c r="A68" s="36"/>
      <c r="B68" s="28" t="s">
        <v>66</v>
      </c>
      <c r="C68" s="43" t="s">
        <v>1457</v>
      </c>
      <c r="D68" s="43"/>
      <c r="E68" s="12">
        <v>400000000</v>
      </c>
      <c r="F68" s="22"/>
      <c r="G68" s="1"/>
      <c r="H68" s="1"/>
      <c r="I68" s="70"/>
      <c r="J68" s="45">
        <v>578.72</v>
      </c>
      <c r="K68" s="46"/>
      <c r="L68" s="46"/>
      <c r="O68" s="1"/>
    </row>
    <row r="69" spans="1:15" s="2" customFormat="1" ht="15" x14ac:dyDescent="0.25">
      <c r="A69" s="36"/>
      <c r="B69" s="28"/>
      <c r="C69" s="44" t="s">
        <v>1541</v>
      </c>
      <c r="D69" s="43"/>
      <c r="E69" s="7">
        <f>+E68+E66+E67</f>
        <v>426545236.58999991</v>
      </c>
      <c r="F69" s="22"/>
      <c r="G69" s="1"/>
      <c r="H69" s="1"/>
      <c r="I69" s="103" t="s">
        <v>69</v>
      </c>
      <c r="J69" s="45">
        <v>-8.34</v>
      </c>
      <c r="K69" s="46"/>
      <c r="L69" s="46"/>
      <c r="O69" s="1"/>
    </row>
    <row r="70" spans="1:15" s="2" customFormat="1" ht="15" x14ac:dyDescent="0.25">
      <c r="A70" s="24"/>
      <c r="B70" s="1"/>
      <c r="C70" s="44" t="s">
        <v>1510</v>
      </c>
      <c r="D70" s="25"/>
      <c r="E70" s="156">
        <f>+J25-E67+I21-J21</f>
        <v>73454763.409999996</v>
      </c>
      <c r="G70" s="1"/>
      <c r="H70" s="1"/>
      <c r="I70" s="35">
        <v>1</v>
      </c>
      <c r="J70" s="45">
        <v>4.59</v>
      </c>
      <c r="K70" s="46">
        <f>+J71-D73</f>
        <v>0</v>
      </c>
      <c r="O70" s="1"/>
    </row>
    <row r="71" spans="1:15" s="124" customFormat="1" ht="12.75" customHeight="1" x14ac:dyDescent="0.2">
      <c r="A71" s="24"/>
      <c r="B71" s="1"/>
      <c r="C71" s="56"/>
      <c r="D71" s="56"/>
      <c r="E71" s="104"/>
      <c r="F71" s="2"/>
      <c r="G71" s="166"/>
      <c r="H71" s="166"/>
      <c r="I71" s="70"/>
      <c r="J71" s="49">
        <f>SUM(J68:J70)</f>
        <v>574.97</v>
      </c>
      <c r="K71" s="46"/>
      <c r="L71" s="46"/>
    </row>
    <row r="72" spans="1:15" s="124" customFormat="1" ht="12.75" customHeight="1" x14ac:dyDescent="0.2">
      <c r="A72" s="24"/>
      <c r="B72" s="1"/>
      <c r="C72" s="78" t="s">
        <v>575</v>
      </c>
      <c r="D72" s="48" t="s">
        <v>576</v>
      </c>
      <c r="E72" s="104"/>
      <c r="F72" s="2"/>
      <c r="G72" s="168"/>
      <c r="H72" s="168"/>
      <c r="I72" s="167"/>
      <c r="J72" s="167"/>
      <c r="K72" s="168"/>
    </row>
    <row r="73" spans="1:15" s="124" customFormat="1" ht="12.75" customHeight="1" x14ac:dyDescent="0.2">
      <c r="A73" s="24"/>
      <c r="B73" s="1"/>
      <c r="C73" s="47" t="s">
        <v>570</v>
      </c>
      <c r="D73" s="111">
        <v>574.97</v>
      </c>
      <c r="E73" s="104"/>
      <c r="F73" s="2"/>
      <c r="G73" s="168"/>
      <c r="H73" s="168"/>
      <c r="I73" s="110" t="s">
        <v>581</v>
      </c>
      <c r="J73" s="167"/>
      <c r="K73" s="168"/>
    </row>
    <row r="74" spans="1:15" s="124" customFormat="1" ht="12.75" customHeight="1" x14ac:dyDescent="0.2">
      <c r="A74" s="24"/>
      <c r="B74" s="1"/>
      <c r="C74" s="47" t="s">
        <v>931</v>
      </c>
      <c r="D74" s="111">
        <v>0</v>
      </c>
      <c r="E74" s="104"/>
      <c r="F74" s="2"/>
      <c r="G74" s="168"/>
      <c r="H74" s="168"/>
      <c r="I74" s="110" t="s">
        <v>580</v>
      </c>
      <c r="J74" s="167"/>
      <c r="K74" s="168"/>
    </row>
    <row r="75" spans="1:15" s="124" customFormat="1" ht="12.75" customHeight="1" x14ac:dyDescent="0.2">
      <c r="A75" s="24"/>
      <c r="B75" s="1"/>
      <c r="C75" s="47" t="s">
        <v>572</v>
      </c>
      <c r="D75" s="111">
        <f>+D91/100000</f>
        <v>8.8122000000000007</v>
      </c>
      <c r="E75" s="104"/>
      <c r="F75" s="2"/>
      <c r="G75" s="166"/>
      <c r="H75" s="166"/>
      <c r="I75" s="90" t="s">
        <v>587</v>
      </c>
      <c r="J75" s="167"/>
      <c r="K75" s="168"/>
    </row>
    <row r="76" spans="1:15" s="2" customFormat="1" x14ac:dyDescent="0.2">
      <c r="A76" s="24"/>
      <c r="B76" s="1"/>
      <c r="C76" s="108" t="s">
        <v>578</v>
      </c>
      <c r="D76" s="48">
        <f>SUM(D73:D75)</f>
        <v>583.78219999999999</v>
      </c>
      <c r="E76" s="104"/>
      <c r="G76" s="30"/>
      <c r="H76" s="30"/>
      <c r="J76" s="13"/>
      <c r="K76" s="13"/>
    </row>
    <row r="77" spans="1:15" s="70" customFormat="1" x14ac:dyDescent="0.2">
      <c r="A77" s="24"/>
      <c r="B77" s="1"/>
      <c r="C77" s="47"/>
      <c r="D77" s="107"/>
      <c r="E77" s="104"/>
      <c r="F77" s="2"/>
      <c r="G77" s="30"/>
      <c r="H77" s="30"/>
      <c r="I77" s="2"/>
    </row>
    <row r="78" spans="1:15" s="70" customFormat="1" x14ac:dyDescent="0.2">
      <c r="A78" s="24"/>
      <c r="B78" s="1"/>
      <c r="C78" s="47" t="s">
        <v>932</v>
      </c>
      <c r="D78" s="111">
        <v>0</v>
      </c>
      <c r="E78" s="104"/>
      <c r="F78" s="2"/>
      <c r="G78" s="30"/>
      <c r="H78" s="30"/>
      <c r="I78" s="110" t="s">
        <v>581</v>
      </c>
    </row>
    <row r="79" spans="1:15" s="70" customFormat="1" x14ac:dyDescent="0.2">
      <c r="A79" s="24"/>
      <c r="B79" s="1"/>
      <c r="C79" s="136" t="s">
        <v>1142</v>
      </c>
      <c r="D79" s="111">
        <v>26.52</v>
      </c>
      <c r="E79" s="104"/>
      <c r="F79" s="2"/>
      <c r="G79" s="30"/>
      <c r="H79" s="30"/>
      <c r="I79" s="110" t="s">
        <v>581</v>
      </c>
    </row>
    <row r="80" spans="1:15" s="70" customFormat="1" x14ac:dyDescent="0.2">
      <c r="A80" s="24"/>
      <c r="B80" s="1"/>
      <c r="C80" s="78" t="s">
        <v>579</v>
      </c>
      <c r="D80" s="109">
        <f>D78+D79</f>
        <v>26.52</v>
      </c>
      <c r="E80" s="104"/>
      <c r="F80" s="2"/>
      <c r="G80" s="30"/>
      <c r="H80" s="30"/>
    </row>
    <row r="81" spans="1:15" s="70" customFormat="1" x14ac:dyDescent="0.2">
      <c r="A81" s="24"/>
      <c r="B81" s="1"/>
      <c r="C81" s="105"/>
      <c r="D81" s="106"/>
      <c r="E81" s="104"/>
      <c r="F81" s="2"/>
      <c r="G81" s="30"/>
      <c r="H81" s="30"/>
      <c r="J81" s="2"/>
      <c r="K81" s="221" t="str">
        <f>"FROM ( 01-01-2024 to "&amp;TEXT(A5,"dd-mm-yyyy")&amp;" )"</f>
        <v>FROM ( 01-01-2024 to 01-02-2024 )</v>
      </c>
      <c r="L81" s="221"/>
      <c r="M81" s="2"/>
      <c r="N81" s="2"/>
    </row>
    <row r="82" spans="1:15" s="70" customFormat="1" x14ac:dyDescent="0.2">
      <c r="A82" s="24"/>
      <c r="B82" s="1"/>
      <c r="C82" s="78" t="s">
        <v>577</v>
      </c>
      <c r="D82" s="109">
        <f>D73+D80</f>
        <v>601.49</v>
      </c>
      <c r="E82" s="104"/>
      <c r="F82" s="2"/>
      <c r="G82" s="30"/>
      <c r="H82" s="30"/>
      <c r="J82" s="113"/>
      <c r="K82" s="113" t="s">
        <v>709</v>
      </c>
      <c r="L82" s="113" t="s">
        <v>710</v>
      </c>
      <c r="M82" s="113" t="s">
        <v>711</v>
      </c>
      <c r="N82" s="113" t="s">
        <v>712</v>
      </c>
    </row>
    <row r="83" spans="1:15" s="70" customFormat="1" x14ac:dyDescent="0.2">
      <c r="A83" s="24"/>
      <c r="B83" s="1"/>
      <c r="C83" s="56"/>
      <c r="D83" s="56"/>
      <c r="E83" s="104"/>
      <c r="F83" s="2"/>
      <c r="G83" s="30"/>
      <c r="H83" s="30"/>
      <c r="J83" s="113" t="s">
        <v>1860</v>
      </c>
      <c r="K83" s="115">
        <v>191.98999999999998</v>
      </c>
      <c r="L83" s="115">
        <v>0</v>
      </c>
      <c r="M83" s="115">
        <v>0</v>
      </c>
      <c r="N83" s="113">
        <f>+K83+M83-L83</f>
        <v>191.98999999999998</v>
      </c>
    </row>
    <row r="84" spans="1:15" s="70" customFormat="1" ht="38.25" x14ac:dyDescent="0.2">
      <c r="A84" s="24"/>
      <c r="B84" s="1"/>
      <c r="C84" s="79" t="str">
        <f>"Particulars ( 01-01-2024 to "&amp;TEXT(A5,"dd-mm-yyyy")&amp;" )"</f>
        <v>Particulars ( 01-01-2024 to 01-02-2024 )</v>
      </c>
      <c r="D84" s="79" t="s">
        <v>7</v>
      </c>
      <c r="E84" s="80" t="s">
        <v>73</v>
      </c>
      <c r="F84" s="80" t="s">
        <v>74</v>
      </c>
      <c r="G84" s="81" t="s">
        <v>75</v>
      </c>
      <c r="H84" s="80" t="s">
        <v>76</v>
      </c>
      <c r="J84" s="113" t="s">
        <v>1861</v>
      </c>
      <c r="K84" s="115">
        <v>1862.0699999999997</v>
      </c>
      <c r="L84" s="115">
        <v>8.81</v>
      </c>
      <c r="M84" s="115">
        <v>26.52</v>
      </c>
      <c r="N84" s="113">
        <f>+K84+M84-L84</f>
        <v>1879.7799999999997</v>
      </c>
    </row>
    <row r="85" spans="1:15" s="70" customFormat="1" x14ac:dyDescent="0.2">
      <c r="A85" s="24"/>
      <c r="B85" s="1"/>
      <c r="C85" s="50" t="s">
        <v>444</v>
      </c>
      <c r="D85" s="55">
        <f>+K85</f>
        <v>332.55</v>
      </c>
      <c r="E85" s="55">
        <f>+M85</f>
        <v>0</v>
      </c>
      <c r="F85" s="55">
        <f>+L85</f>
        <v>0</v>
      </c>
      <c r="G85" s="55">
        <f>+D85+E85-F85</f>
        <v>332.55</v>
      </c>
      <c r="H85" s="55">
        <f>1500-G85</f>
        <v>1167.45</v>
      </c>
      <c r="J85" s="113" t="s">
        <v>707</v>
      </c>
      <c r="K85" s="115">
        <v>332.55</v>
      </c>
      <c r="L85" s="115">
        <v>0</v>
      </c>
      <c r="M85" s="115">
        <v>0</v>
      </c>
      <c r="N85" s="113">
        <f>+K85+M85-L85</f>
        <v>332.55</v>
      </c>
    </row>
    <row r="86" spans="1:15" s="70" customFormat="1" ht="12.75" customHeight="1" x14ac:dyDescent="0.2">
      <c r="A86" s="24"/>
      <c r="B86" s="1"/>
      <c r="C86" s="50" t="s">
        <v>71</v>
      </c>
      <c r="D86" s="55">
        <f>+K83+K84</f>
        <v>2054.0599999999995</v>
      </c>
      <c r="E86" s="55">
        <f>+M83+M84</f>
        <v>26.52</v>
      </c>
      <c r="F86" s="55">
        <f>+L83+L84</f>
        <v>8.81</v>
      </c>
      <c r="G86" s="55">
        <f>+D86+E86-F86</f>
        <v>2071.7699999999995</v>
      </c>
      <c r="H86" s="55">
        <f>1500+700+200-G86</f>
        <v>328.23000000000047</v>
      </c>
      <c r="J86" s="2"/>
      <c r="K86" s="118">
        <f>SUM(K83:K85)</f>
        <v>2386.6099999999997</v>
      </c>
      <c r="L86" s="118">
        <f>SUM(L83:L85)</f>
        <v>8.81</v>
      </c>
      <c r="M86" s="118">
        <f>SUM(M83:M85)</f>
        <v>26.52</v>
      </c>
      <c r="N86" s="118">
        <f>SUM(N83:N85)</f>
        <v>2404.3199999999997</v>
      </c>
    </row>
    <row r="87" spans="1:15" s="70" customFormat="1" ht="12.75" customHeight="1" x14ac:dyDescent="0.2">
      <c r="A87" s="24"/>
      <c r="B87" s="1"/>
      <c r="C87" s="14"/>
      <c r="D87" s="56"/>
      <c r="E87" s="13"/>
      <c r="F87" s="2"/>
      <c r="G87" s="30"/>
      <c r="H87" s="30"/>
    </row>
    <row r="88" spans="1:15" s="70" customFormat="1" ht="12.75" customHeight="1" x14ac:dyDescent="0.2">
      <c r="A88" s="215" t="s">
        <v>80</v>
      </c>
      <c r="B88" s="216"/>
      <c r="C88" s="216"/>
      <c r="D88" s="217"/>
      <c r="E88" s="69"/>
      <c r="G88" s="30"/>
      <c r="H88" s="30"/>
    </row>
    <row r="89" spans="1:15" s="70" customFormat="1" ht="12.75" customHeight="1" x14ac:dyDescent="0.2">
      <c r="A89" s="71" t="s">
        <v>81</v>
      </c>
      <c r="B89" s="71"/>
      <c r="C89" s="72" t="s">
        <v>82</v>
      </c>
      <c r="D89" s="73" t="s">
        <v>83</v>
      </c>
      <c r="E89" s="69"/>
      <c r="G89" s="30"/>
      <c r="H89" s="30"/>
    </row>
    <row r="90" spans="1:15" s="70" customFormat="1" ht="12.75" customHeight="1" x14ac:dyDescent="0.2">
      <c r="A90" s="87">
        <v>45323</v>
      </c>
      <c r="B90" s="120" t="s">
        <v>6</v>
      </c>
      <c r="C90" s="75" t="s">
        <v>2030</v>
      </c>
      <c r="D90" s="88">
        <v>881220</v>
      </c>
      <c r="E90" s="2"/>
      <c r="F90" s="2"/>
      <c r="G90" s="30"/>
      <c r="H90" s="30"/>
      <c r="I90" s="2"/>
      <c r="J90" s="2"/>
      <c r="K90" s="2"/>
      <c r="L90" s="2"/>
      <c r="M90" s="41"/>
      <c r="N90" s="42"/>
      <c r="O90" s="2"/>
    </row>
    <row r="91" spans="1:15" s="2" customFormat="1" x14ac:dyDescent="0.2">
      <c r="A91" s="87"/>
      <c r="B91" s="74"/>
      <c r="C91" s="75"/>
      <c r="D91" s="51">
        <f>SUM(D90:D90)</f>
        <v>881220</v>
      </c>
      <c r="F91" s="2" t="s">
        <v>396</v>
      </c>
      <c r="G91" s="1"/>
      <c r="H91" s="1"/>
    </row>
    <row r="92" spans="1:15" s="2" customFormat="1" x14ac:dyDescent="0.2">
      <c r="A92" s="24"/>
      <c r="B92" s="1"/>
      <c r="C92" s="14"/>
      <c r="D92" s="56"/>
      <c r="E92" s="13"/>
      <c r="G92" s="1"/>
      <c r="H92" s="1"/>
    </row>
    <row r="93" spans="1:15" s="2" customFormat="1" x14ac:dyDescent="0.2">
      <c r="A93" s="24"/>
      <c r="B93" s="1"/>
      <c r="C93" s="218" t="s">
        <v>77</v>
      </c>
      <c r="D93" s="219"/>
      <c r="E93" s="219"/>
      <c r="F93" s="220"/>
      <c r="I93" s="2" t="s">
        <v>396</v>
      </c>
    </row>
    <row r="94" spans="1:15" s="2" customFormat="1" x14ac:dyDescent="0.2">
      <c r="A94" s="24"/>
      <c r="B94" s="1"/>
      <c r="C94" s="50"/>
      <c r="D94" s="57" t="s">
        <v>78</v>
      </c>
      <c r="E94" s="58" t="s">
        <v>79</v>
      </c>
      <c r="F94" s="57" t="s">
        <v>72</v>
      </c>
      <c r="I94" s="2" t="s">
        <v>396</v>
      </c>
    </row>
    <row r="95" spans="1:15" s="2" customFormat="1" x14ac:dyDescent="0.2">
      <c r="A95" s="24"/>
      <c r="B95" s="1"/>
      <c r="C95" s="59" t="str">
        <f>"01-01-2024 to "&amp;TEXT(A5-2,"dd-mm-yyyy")</f>
        <v>01-01-2024 to 30-01-2024</v>
      </c>
      <c r="D95" s="60">
        <v>2443.4</v>
      </c>
      <c r="E95" s="60">
        <v>627.73</v>
      </c>
      <c r="F95" s="61">
        <f>SUM(D95:E95)</f>
        <v>3071.13</v>
      </c>
    </row>
    <row r="96" spans="1:15" s="2" customFormat="1" x14ac:dyDescent="0.2">
      <c r="A96" s="24"/>
      <c r="B96" s="1"/>
      <c r="C96" s="62" t="str">
        <f>TEXT(A5-1,"dd-mm-yyyy")</f>
        <v>31-01-2024</v>
      </c>
      <c r="D96" s="60">
        <v>122.77</v>
      </c>
      <c r="E96" s="60">
        <v>36.75</v>
      </c>
      <c r="F96" s="61">
        <f>SUM(D96:E96)</f>
        <v>159.51999999999998</v>
      </c>
      <c r="G96" s="1"/>
      <c r="H96" s="1"/>
      <c r="I96" s="53"/>
    </row>
    <row r="97" spans="1:14" s="2" customFormat="1" ht="13.5" thickBot="1" x14ac:dyDescent="0.25">
      <c r="A97" s="24"/>
      <c r="B97" s="1"/>
      <c r="C97" s="63" t="str">
        <f>"01-01-2024 to "&amp;TEXT(A5-1,"dd-mm-yyyy")</f>
        <v>01-01-2024 to 31-01-2024</v>
      </c>
      <c r="D97" s="64">
        <f>SUM(D95:D96)</f>
        <v>2566.17</v>
      </c>
      <c r="E97" s="64">
        <f>SUM(E95:E96)</f>
        <v>664.48</v>
      </c>
      <c r="F97" s="64">
        <f>SUM(F95:F96)</f>
        <v>3230.65</v>
      </c>
      <c r="G97" s="1"/>
      <c r="H97" s="1"/>
      <c r="I97" s="53"/>
    </row>
    <row r="98" spans="1:14" s="2" customFormat="1" ht="13.5" thickTop="1" x14ac:dyDescent="0.2">
      <c r="A98" s="24"/>
      <c r="B98" s="1"/>
      <c r="C98" s="62"/>
      <c r="D98" s="65"/>
      <c r="E98" s="66"/>
      <c r="F98" s="67"/>
      <c r="M98" s="1"/>
      <c r="N98" s="1"/>
    </row>
    <row r="99" spans="1:14" s="2" customFormat="1" x14ac:dyDescent="0.2">
      <c r="A99" s="24"/>
      <c r="B99" s="1"/>
      <c r="C99" s="62" t="str">
        <f>"01-04-2023 to " &amp;C96</f>
        <v>01-04-2023 to 31-01-2024</v>
      </c>
      <c r="D99" s="68">
        <f>+D97+34570.27</f>
        <v>37136.439999999995</v>
      </c>
      <c r="E99" s="68">
        <f>+E97+3831.86</f>
        <v>4496.34</v>
      </c>
      <c r="F99" s="68">
        <f>+F97+38402.13</f>
        <v>41632.78</v>
      </c>
      <c r="G99" s="1"/>
      <c r="H99" s="1"/>
      <c r="M99" s="1"/>
      <c r="N99" s="1"/>
    </row>
    <row r="100" spans="1:14" s="2" customFormat="1" x14ac:dyDescent="0.2">
      <c r="A100" s="24"/>
      <c r="B100" s="1"/>
      <c r="C100" s="52"/>
      <c r="D100" s="85"/>
      <c r="E100" s="53"/>
      <c r="F100" s="53"/>
      <c r="G100" s="1"/>
      <c r="H100" s="1"/>
      <c r="M100" s="1"/>
      <c r="N100" s="1"/>
    </row>
    <row r="101" spans="1:14" s="2" customFormat="1" x14ac:dyDescent="0.2">
      <c r="A101" s="24"/>
      <c r="B101" s="1"/>
      <c r="C101" s="52"/>
      <c r="D101" s="85"/>
      <c r="E101" s="53"/>
      <c r="F101" s="53"/>
      <c r="G101" s="1"/>
      <c r="H101" s="1"/>
      <c r="M101" s="1"/>
      <c r="N101" s="1"/>
    </row>
    <row r="102" spans="1:14" s="2" customFormat="1" x14ac:dyDescent="0.2">
      <c r="A102" s="24"/>
      <c r="B102" s="1"/>
      <c r="C102" s="52"/>
      <c r="D102" s="85"/>
      <c r="E102" s="53"/>
      <c r="F102" s="53"/>
      <c r="G102" s="1"/>
      <c r="H102" s="1"/>
      <c r="M102" s="1"/>
      <c r="N102" s="1"/>
    </row>
    <row r="103" spans="1:14" s="2" customFormat="1" x14ac:dyDescent="0.2">
      <c r="A103" s="24"/>
      <c r="B103" s="1"/>
      <c r="C103" s="52"/>
      <c r="D103" s="85"/>
      <c r="E103" s="53"/>
      <c r="F103" s="53"/>
      <c r="G103" s="1"/>
      <c r="H103" s="1"/>
      <c r="M103" s="1"/>
      <c r="N103" s="1"/>
    </row>
    <row r="104" spans="1:14" s="2" customFormat="1" x14ac:dyDescent="0.2">
      <c r="A104" s="24"/>
      <c r="B104" s="1"/>
      <c r="C104" s="14"/>
      <c r="D104" s="25">
        <f>SUM(D101:D103)</f>
        <v>0</v>
      </c>
      <c r="E104" s="2">
        <f>SUM(E101:E103)</f>
        <v>0</v>
      </c>
      <c r="G104" s="1"/>
      <c r="H104" s="1"/>
      <c r="M104" s="1"/>
      <c r="N104" s="1"/>
    </row>
    <row r="105" spans="1:14" s="2" customFormat="1" x14ac:dyDescent="0.2">
      <c r="A105" s="24"/>
      <c r="B105" s="1"/>
      <c r="C105" s="14"/>
      <c r="D105" s="25"/>
      <c r="G105" s="1"/>
      <c r="H105" s="1"/>
      <c r="M105" s="1"/>
      <c r="N105" s="1"/>
    </row>
    <row r="106" spans="1:14" s="2" customFormat="1" x14ac:dyDescent="0.2">
      <c r="A106" s="24"/>
      <c r="B106" s="1"/>
      <c r="C106" s="14"/>
      <c r="D106" s="25"/>
      <c r="G106" s="1"/>
      <c r="H106" s="1"/>
      <c r="M106" s="1"/>
      <c r="N106" s="1"/>
    </row>
    <row r="107" spans="1:14" s="2" customFormat="1" x14ac:dyDescent="0.2">
      <c r="A107" s="24"/>
      <c r="B107" s="1"/>
      <c r="C107" s="14"/>
      <c r="D107" s="25"/>
      <c r="G107" s="1"/>
      <c r="H107" s="1"/>
      <c r="M107" s="1"/>
      <c r="N107" s="1"/>
    </row>
    <row r="108" spans="1:14" s="2" customFormat="1" x14ac:dyDescent="0.2">
      <c r="A108" s="24"/>
      <c r="B108" s="1"/>
      <c r="C108" s="14"/>
      <c r="D108" s="25"/>
      <c r="G108" s="1"/>
      <c r="H108" s="1"/>
      <c r="M108" s="1"/>
      <c r="N108" s="1"/>
    </row>
    <row r="109" spans="1:14" s="2" customFormat="1" x14ac:dyDescent="0.2">
      <c r="A109" s="24"/>
      <c r="B109" s="1"/>
      <c r="C109" s="14"/>
      <c r="D109" s="25"/>
      <c r="G109" s="1"/>
      <c r="H109" s="1"/>
      <c r="M109" s="1"/>
      <c r="N109" s="1"/>
    </row>
    <row r="110" spans="1:14" s="2" customFormat="1" x14ac:dyDescent="0.2">
      <c r="A110" s="24"/>
      <c r="B110" s="1"/>
      <c r="C110" s="14"/>
      <c r="D110" s="25"/>
      <c r="G110" s="1"/>
      <c r="H110" s="1"/>
      <c r="M110" s="1"/>
      <c r="N110" s="1"/>
    </row>
    <row r="111" spans="1:14" s="2" customFormat="1" x14ac:dyDescent="0.2">
      <c r="A111" s="24"/>
      <c r="B111" s="1"/>
      <c r="C111" s="14"/>
      <c r="D111" s="25"/>
      <c r="G111" s="1"/>
      <c r="H111" s="1"/>
      <c r="M111" s="1"/>
      <c r="N111" s="1"/>
    </row>
    <row r="112" spans="1:14" s="2" customFormat="1" x14ac:dyDescent="0.2">
      <c r="A112" s="24"/>
      <c r="B112" s="1"/>
      <c r="C112" s="14"/>
      <c r="D112" s="25"/>
      <c r="G112" s="1"/>
      <c r="H112" s="1"/>
      <c r="M112" s="1"/>
      <c r="N112" s="1"/>
    </row>
    <row r="113" spans="1:15" s="2" customFormat="1" x14ac:dyDescent="0.2">
      <c r="A113" s="24"/>
      <c r="B113" s="1"/>
      <c r="C113" s="14"/>
      <c r="D113" s="25"/>
      <c r="G113" s="1"/>
      <c r="H113" s="1"/>
      <c r="M113" s="1"/>
      <c r="N113" s="1"/>
    </row>
    <row r="114" spans="1:15" s="2" customFormat="1" x14ac:dyDescent="0.2">
      <c r="A114" s="24"/>
      <c r="B114" s="1"/>
      <c r="C114" s="14"/>
      <c r="D114" s="25"/>
      <c r="G114" s="1"/>
      <c r="H114" s="1"/>
      <c r="M114" s="1"/>
      <c r="N114" s="1"/>
    </row>
    <row r="115" spans="1:15" s="2" customFormat="1" x14ac:dyDescent="0.2">
      <c r="A115" s="24"/>
      <c r="B115" s="1"/>
      <c r="C115" s="14"/>
      <c r="D115" s="25"/>
      <c r="G115" s="1"/>
      <c r="H115" s="1"/>
      <c r="M115" s="1"/>
      <c r="N115" s="1"/>
    </row>
    <row r="116" spans="1:15" s="2" customFormat="1" x14ac:dyDescent="0.2">
      <c r="A116" s="24"/>
      <c r="B116" s="1"/>
      <c r="C116" s="14"/>
      <c r="D116" s="25"/>
      <c r="G116" s="1"/>
      <c r="H116" s="1"/>
      <c r="M116" s="1"/>
      <c r="N116" s="1"/>
    </row>
    <row r="117" spans="1:15" s="2" customFormat="1" x14ac:dyDescent="0.2">
      <c r="A117" s="24"/>
      <c r="B117" s="1"/>
      <c r="C117" s="14"/>
      <c r="D117" s="25"/>
      <c r="G117" s="1"/>
      <c r="H117" s="1"/>
      <c r="M117" s="1"/>
      <c r="N117" s="1"/>
    </row>
    <row r="118" spans="1:15" s="2" customFormat="1" x14ac:dyDescent="0.2">
      <c r="A118" s="24"/>
      <c r="B118" s="1"/>
      <c r="C118" s="14"/>
      <c r="D118" s="25"/>
      <c r="G118" s="1"/>
      <c r="H118" s="1"/>
      <c r="J118" s="1"/>
      <c r="K118" s="1"/>
      <c r="L118" s="1"/>
      <c r="M118" s="1"/>
      <c r="N118" s="1"/>
    </row>
    <row r="119" spans="1:15" s="2" customFormat="1" x14ac:dyDescent="0.2">
      <c r="A119" s="24"/>
      <c r="B119" s="1"/>
      <c r="C119" s="14"/>
      <c r="D119" s="25"/>
      <c r="G119" s="1"/>
      <c r="H119" s="1"/>
    </row>
    <row r="120" spans="1:15" s="2" customFormat="1" x14ac:dyDescent="0.2">
      <c r="A120" s="24"/>
      <c r="B120" s="1"/>
      <c r="C120" s="14"/>
      <c r="D120" s="25"/>
      <c r="G120" s="1"/>
      <c r="H120" s="1"/>
      <c r="J120" s="1"/>
      <c r="K120" s="1"/>
      <c r="L120" s="1"/>
      <c r="M120" s="1"/>
      <c r="N120" s="1"/>
    </row>
    <row r="121" spans="1:15" s="2" customFormat="1" x14ac:dyDescent="0.2">
      <c r="A121" s="24"/>
      <c r="B121" s="1"/>
      <c r="C121" s="14"/>
      <c r="D121" s="25"/>
      <c r="G121" s="54"/>
      <c r="H121" s="54"/>
      <c r="J121" s="1"/>
      <c r="K121" s="1"/>
      <c r="L121" s="1"/>
      <c r="M121" s="1"/>
      <c r="N121" s="1"/>
    </row>
    <row r="122" spans="1:15" s="2" customFormat="1" x14ac:dyDescent="0.2">
      <c r="A122" s="24"/>
      <c r="B122" s="1"/>
      <c r="C122" s="14"/>
      <c r="D122" s="25"/>
      <c r="G122" s="54"/>
      <c r="H122" s="54"/>
      <c r="J122" s="1"/>
      <c r="K122" s="1"/>
      <c r="L122" s="1"/>
      <c r="M122" s="1"/>
      <c r="N122" s="1"/>
    </row>
    <row r="123" spans="1:15" s="2" customFormat="1" x14ac:dyDescent="0.2">
      <c r="A123" s="24"/>
      <c r="B123" s="1"/>
      <c r="C123" s="14"/>
      <c r="D123" s="25"/>
      <c r="G123" s="54"/>
      <c r="H123" s="54"/>
      <c r="J123" s="1"/>
      <c r="K123" s="1"/>
      <c r="L123" s="1"/>
      <c r="M123" s="1"/>
      <c r="N123" s="1"/>
    </row>
    <row r="124" spans="1:15" s="2" customFormat="1" x14ac:dyDescent="0.2">
      <c r="A124" s="24"/>
      <c r="B124" s="1"/>
      <c r="C124" s="14"/>
      <c r="D124" s="25"/>
      <c r="G124" s="54"/>
      <c r="H124" s="54"/>
      <c r="I124" s="2" t="s">
        <v>396</v>
      </c>
      <c r="J124" s="1"/>
      <c r="K124" s="1"/>
      <c r="L124" s="1"/>
      <c r="M124" s="1"/>
      <c r="N124" s="1"/>
      <c r="O124" s="1"/>
    </row>
    <row r="125" spans="1:15" s="2" customFormat="1" x14ac:dyDescent="0.2">
      <c r="A125" s="24"/>
      <c r="B125" s="1"/>
      <c r="C125" s="14"/>
      <c r="D125" s="25"/>
      <c r="G125" s="54"/>
      <c r="H125" s="54"/>
      <c r="I125" s="53"/>
    </row>
    <row r="126" spans="1:15" s="2" customFormat="1" x14ac:dyDescent="0.2">
      <c r="A126" s="24"/>
      <c r="B126" s="1"/>
      <c r="C126" s="14"/>
      <c r="D126" s="25"/>
      <c r="G126" s="54"/>
      <c r="H126" s="54"/>
      <c r="I126" s="53" t="s">
        <v>396</v>
      </c>
      <c r="J126" s="1"/>
      <c r="K126" s="1"/>
      <c r="L126" s="1"/>
      <c r="M126" s="1"/>
      <c r="N126" s="1"/>
      <c r="O126" s="1"/>
    </row>
    <row r="127" spans="1:15" x14ac:dyDescent="0.2">
      <c r="G127" s="54"/>
      <c r="H127" s="54"/>
      <c r="I127" s="53" t="s">
        <v>396</v>
      </c>
      <c r="K127" s="42"/>
    </row>
    <row r="128" spans="1:15" s="2" customFormat="1" x14ac:dyDescent="0.2">
      <c r="A128" s="24"/>
      <c r="B128" s="1"/>
      <c r="C128" s="14"/>
      <c r="D128" s="25"/>
      <c r="G128" s="54"/>
      <c r="H128" s="54"/>
      <c r="I128" s="53"/>
      <c r="J128" s="101"/>
      <c r="K128" s="1"/>
      <c r="L128" s="1"/>
      <c r="M128" s="1"/>
      <c r="N128" s="1"/>
      <c r="O128" s="1"/>
    </row>
    <row r="129" spans="7:9" x14ac:dyDescent="0.2">
      <c r="G129" s="54"/>
      <c r="H129" s="54"/>
      <c r="I129" s="53"/>
    </row>
    <row r="130" spans="7:9" x14ac:dyDescent="0.2">
      <c r="G130" s="54"/>
      <c r="H130" s="54"/>
      <c r="I130" s="53"/>
    </row>
    <row r="131" spans="7:9" x14ac:dyDescent="0.2">
      <c r="G131" s="54"/>
      <c r="H131" s="54"/>
      <c r="I131" s="53"/>
    </row>
  </sheetData>
  <sheetProtection insertRows="0"/>
  <mergeCells count="7">
    <mergeCell ref="K81:L81"/>
    <mergeCell ref="A88:D88"/>
    <mergeCell ref="C93:F93"/>
    <mergeCell ref="A1:H1"/>
    <mergeCell ref="A3:F3"/>
    <mergeCell ref="A11:F11"/>
    <mergeCell ref="A23:F23"/>
  </mergeCells>
  <conditionalFormatting sqref="H85:H86">
    <cfRule type="cellIs" dxfId="97" priority="1" operator="lessThan">
      <formula>0</formula>
    </cfRule>
  </conditionalFormatting>
  <conditionalFormatting sqref="C25">
    <cfRule type="duplicateValues" dxfId="96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F200-000000000000}">
  <sheetPr codeName="Sheet538">
    <pageSetUpPr fitToPage="1"/>
  </sheetPr>
  <dimension ref="A1:O106"/>
  <sheetViews>
    <sheetView topLeftCell="F53" zoomScaleNormal="100" workbookViewId="0">
      <selection activeCell="K57" sqref="K57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12.85546875" style="1" customWidth="1"/>
    <col min="9" max="9" width="24.85546875" style="2" bestFit="1" customWidth="1"/>
    <col min="10" max="10" width="21.5703125" style="1" bestFit="1" customWidth="1"/>
    <col min="11" max="11" width="16.85546875" style="1" bestFit="1" customWidth="1"/>
    <col min="12" max="12" width="19.5703125" style="1" bestFit="1" customWidth="1"/>
    <col min="13" max="13" width="13.5703125" style="1" bestFit="1" customWidth="1"/>
    <col min="14" max="14" width="17.42578125" style="1" bestFit="1" customWidth="1"/>
    <col min="15" max="15" width="12.85546875" style="1" bestFit="1" customWidth="1"/>
    <col min="16" max="17" width="9.140625" style="1"/>
    <col min="18" max="18" width="15.5703125" style="1" bestFit="1" customWidth="1"/>
    <col min="19" max="16384" width="9.140625" style="1"/>
  </cols>
  <sheetData>
    <row r="1" spans="1:12" ht="20.25" customHeight="1" x14ac:dyDescent="0.4">
      <c r="A1" s="212" t="s">
        <v>2031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2" ht="12.75" customHeight="1" x14ac:dyDescent="0.4">
      <c r="I2" s="112"/>
      <c r="J2" s="112"/>
    </row>
    <row r="3" spans="1:12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2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2" s="2" customFormat="1" ht="14.25" customHeight="1" x14ac:dyDescent="0.4">
      <c r="A5" s="89">
        <v>45324</v>
      </c>
      <c r="B5" s="9" t="s">
        <v>6</v>
      </c>
      <c r="C5" s="10" t="s">
        <v>7</v>
      </c>
      <c r="D5" s="11"/>
      <c r="E5" s="12">
        <v>3768527.2300000004</v>
      </c>
      <c r="F5" s="12"/>
      <c r="G5" s="1"/>
      <c r="H5" s="1"/>
      <c r="I5" s="112"/>
      <c r="J5" s="112"/>
    </row>
    <row r="6" spans="1:12" s="2" customFormat="1" ht="12.75" customHeight="1" x14ac:dyDescent="0.2">
      <c r="D6" s="15" t="s">
        <v>8</v>
      </c>
      <c r="E6" s="16">
        <f>SUM(E5:E5)</f>
        <v>3768527.2300000004</v>
      </c>
      <c r="F6" s="16">
        <f>F5</f>
        <v>0</v>
      </c>
      <c r="G6" s="1"/>
      <c r="H6" s="1"/>
      <c r="I6" s="13" t="s">
        <v>1582</v>
      </c>
      <c r="J6" s="13" t="s">
        <v>1583</v>
      </c>
    </row>
    <row r="7" spans="1:12" s="2" customFormat="1" ht="12.75" customHeight="1" x14ac:dyDescent="0.2">
      <c r="A7" s="17"/>
      <c r="B7" s="18"/>
      <c r="C7" s="19" t="s">
        <v>9</v>
      </c>
      <c r="D7" s="20"/>
      <c r="E7" s="21">
        <f>+E6-F6</f>
        <v>3768527.2300000004</v>
      </c>
      <c r="F7" s="22"/>
      <c r="G7" s="23"/>
      <c r="H7" s="23"/>
      <c r="I7" s="2">
        <v>210157</v>
      </c>
      <c r="J7" s="2">
        <v>0</v>
      </c>
      <c r="K7" s="176">
        <f>I7-J7</f>
        <v>210157</v>
      </c>
    </row>
    <row r="8" spans="1:12" ht="12.75" customHeight="1" x14ac:dyDescent="0.4">
      <c r="I8" s="112"/>
      <c r="J8" s="112"/>
    </row>
    <row r="9" spans="1:12" ht="18" customHeight="1" x14ac:dyDescent="0.4">
      <c r="A9" s="213" t="s">
        <v>1037</v>
      </c>
      <c r="B9" s="213"/>
      <c r="C9" s="213"/>
      <c r="D9" s="213"/>
      <c r="E9" s="213"/>
      <c r="F9" s="213"/>
      <c r="I9" s="112"/>
      <c r="J9" s="169">
        <f>90000000-60000000</f>
        <v>30000000</v>
      </c>
      <c r="K9" s="169" t="s">
        <v>1508</v>
      </c>
    </row>
    <row r="10" spans="1:12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I10" s="112"/>
      <c r="J10" s="169">
        <v>25193827.809999999</v>
      </c>
      <c r="K10" s="169" t="s">
        <v>1509</v>
      </c>
      <c r="L10" s="124"/>
    </row>
    <row r="11" spans="1:12" s="2" customFormat="1" ht="14.25" customHeight="1" x14ac:dyDescent="0.2">
      <c r="A11" s="89">
        <v>45324</v>
      </c>
      <c r="B11" s="9" t="s">
        <v>6</v>
      </c>
      <c r="C11" s="10" t="s">
        <v>7</v>
      </c>
      <c r="D11" s="11"/>
      <c r="F11" s="12">
        <v>29259337.790000003</v>
      </c>
      <c r="G11" s="1"/>
      <c r="H11" s="1"/>
      <c r="I11" s="130" t="s">
        <v>396</v>
      </c>
      <c r="J11" s="169">
        <f>+J9-J10</f>
        <v>4806172.1900000013</v>
      </c>
      <c r="K11" s="169" t="s">
        <v>712</v>
      </c>
      <c r="L11" s="165" t="s">
        <v>1512</v>
      </c>
    </row>
    <row r="12" spans="1:12" s="2" customFormat="1" ht="14.25" customHeight="1" x14ac:dyDescent="0.2">
      <c r="A12" s="89">
        <v>45324</v>
      </c>
      <c r="B12" s="9" t="s">
        <v>6</v>
      </c>
      <c r="C12" s="76" t="s">
        <v>1647</v>
      </c>
      <c r="D12" s="11" t="s">
        <v>13</v>
      </c>
      <c r="E12" s="31">
        <v>517745</v>
      </c>
      <c r="F12" s="31"/>
      <c r="G12" s="1"/>
      <c r="H12" s="1"/>
      <c r="I12" s="130"/>
      <c r="J12" s="169"/>
      <c r="K12" s="169"/>
      <c r="L12" s="165"/>
    </row>
    <row r="13" spans="1:12" s="2" customFormat="1" ht="14.25" customHeight="1" x14ac:dyDescent="0.2">
      <c r="A13" s="89">
        <v>45324</v>
      </c>
      <c r="B13" s="9" t="s">
        <v>6</v>
      </c>
      <c r="C13" s="76" t="s">
        <v>2032</v>
      </c>
      <c r="D13" s="11" t="s">
        <v>13</v>
      </c>
      <c r="E13" s="31">
        <v>3807056.4299999997</v>
      </c>
      <c r="F13" s="31"/>
      <c r="G13" s="1"/>
      <c r="H13" s="1"/>
      <c r="I13" s="130"/>
      <c r="J13" s="169"/>
      <c r="K13" s="169"/>
      <c r="L13" s="165"/>
    </row>
    <row r="14" spans="1:12" s="2" customFormat="1" ht="14.25" customHeight="1" x14ac:dyDescent="0.2">
      <c r="A14" s="89">
        <v>45324</v>
      </c>
      <c r="B14" s="9" t="s">
        <v>6</v>
      </c>
      <c r="C14" s="76" t="s">
        <v>419</v>
      </c>
      <c r="D14" s="11" t="s">
        <v>13</v>
      </c>
      <c r="E14" s="31">
        <v>210157</v>
      </c>
      <c r="F14" s="31"/>
      <c r="G14" s="1"/>
      <c r="H14" s="1"/>
      <c r="I14" s="130"/>
      <c r="J14" s="169"/>
      <c r="K14" s="169"/>
      <c r="L14" s="165"/>
    </row>
    <row r="15" spans="1:12" s="2" customFormat="1" ht="14.25" customHeight="1" x14ac:dyDescent="0.2">
      <c r="A15" s="89">
        <v>45324</v>
      </c>
      <c r="B15" s="9" t="s">
        <v>11</v>
      </c>
      <c r="C15" s="76" t="s">
        <v>1137</v>
      </c>
      <c r="D15" s="11" t="s">
        <v>29</v>
      </c>
      <c r="E15" s="31"/>
      <c r="F15" s="31">
        <v>27834</v>
      </c>
      <c r="G15" s="1"/>
      <c r="H15" s="1"/>
      <c r="I15" s="130"/>
      <c r="J15" s="169"/>
      <c r="K15" s="169"/>
      <c r="L15" s="165"/>
    </row>
    <row r="16" spans="1:12" s="2" customFormat="1" ht="14.25" customHeight="1" x14ac:dyDescent="0.2">
      <c r="A16" s="89">
        <v>45324</v>
      </c>
      <c r="B16" s="9" t="s">
        <v>11</v>
      </c>
      <c r="C16" s="76" t="s">
        <v>156</v>
      </c>
      <c r="D16" s="11" t="s">
        <v>29</v>
      </c>
      <c r="E16" s="31"/>
      <c r="F16" s="31">
        <v>3475.4500000000003</v>
      </c>
      <c r="G16" s="1"/>
      <c r="H16" s="1"/>
      <c r="I16" s="130"/>
      <c r="J16" s="169"/>
      <c r="K16" s="169"/>
      <c r="L16" s="165"/>
    </row>
    <row r="17" spans="1:14" s="2" customFormat="1" ht="14.25" customHeight="1" x14ac:dyDescent="0.2">
      <c r="A17" s="89">
        <v>45324</v>
      </c>
      <c r="B17" s="9" t="s">
        <v>11</v>
      </c>
      <c r="C17" s="76" t="s">
        <v>102</v>
      </c>
      <c r="D17" s="11" t="s">
        <v>29</v>
      </c>
      <c r="E17" s="31"/>
      <c r="F17" s="31">
        <v>227982</v>
      </c>
      <c r="G17" s="1"/>
      <c r="H17" s="1"/>
      <c r="I17" s="130"/>
      <c r="J17" s="169"/>
      <c r="K17" s="169"/>
      <c r="L17" s="165"/>
    </row>
    <row r="18" spans="1:14" s="2" customFormat="1" ht="14.25" customHeight="1" x14ac:dyDescent="0.2">
      <c r="D18" s="11" t="s">
        <v>8</v>
      </c>
      <c r="E18" s="16">
        <f>SUM(E12:E17)</f>
        <v>4534958.43</v>
      </c>
      <c r="F18" s="16">
        <f>SUM(F11:F17)</f>
        <v>29518629.240000002</v>
      </c>
      <c r="G18" s="1"/>
      <c r="H18" s="1"/>
      <c r="I18" s="143"/>
      <c r="J18" s="130"/>
      <c r="K18" s="143"/>
      <c r="L18" s="143"/>
      <c r="M18" s="143"/>
      <c r="N18" s="143"/>
    </row>
    <row r="19" spans="1:14" s="2" customFormat="1" ht="14.25" customHeight="1" x14ac:dyDescent="0.4">
      <c r="A19" s="17"/>
      <c r="B19" s="18"/>
      <c r="C19" s="96" t="s">
        <v>9</v>
      </c>
      <c r="D19" s="20"/>
      <c r="E19" s="21">
        <f>+F18-E18</f>
        <v>24983670.810000002</v>
      </c>
      <c r="G19" s="1"/>
      <c r="H19" s="1"/>
      <c r="J19" s="112"/>
      <c r="K19" s="153" t="s">
        <v>779</v>
      </c>
    </row>
    <row r="20" spans="1:14" s="2" customFormat="1" ht="14.25" customHeight="1" x14ac:dyDescent="0.2">
      <c r="A20" s="17"/>
      <c r="B20" s="28" t="s">
        <v>66</v>
      </c>
      <c r="C20" s="43" t="s">
        <v>1458</v>
      </c>
      <c r="D20" s="43"/>
      <c r="E20" s="12">
        <f>30000000+60000000</f>
        <v>90000000</v>
      </c>
      <c r="F20" s="22"/>
      <c r="G20" s="1"/>
      <c r="H20" s="1"/>
      <c r="J20" s="40">
        <v>24983670.809999999</v>
      </c>
      <c r="K20" s="154">
        <f>J20-E19</f>
        <v>0</v>
      </c>
    </row>
    <row r="21" spans="1:14" s="2" customFormat="1" ht="14.25" customHeight="1" x14ac:dyDescent="0.25">
      <c r="A21" s="36"/>
      <c r="B21" s="28"/>
      <c r="C21" s="44" t="s">
        <v>1541</v>
      </c>
      <c r="D21" s="43"/>
      <c r="E21" s="7">
        <f>+E19+E20</f>
        <v>114983670.81</v>
      </c>
      <c r="F21" s="22"/>
      <c r="G21" s="1"/>
      <c r="H21" s="1"/>
      <c r="I21" s="13" t="s">
        <v>1582</v>
      </c>
      <c r="J21" s="13" t="s">
        <v>1583</v>
      </c>
    </row>
    <row r="22" spans="1:14" s="2" customFormat="1" ht="14.25" customHeight="1" x14ac:dyDescent="0.25">
      <c r="A22" s="36"/>
      <c r="B22" s="28"/>
      <c r="C22" s="44" t="s">
        <v>1511</v>
      </c>
      <c r="D22" s="43"/>
      <c r="E22" s="38">
        <f>+J11+I7-J7</f>
        <v>5016329.1900000013</v>
      </c>
      <c r="F22" s="22"/>
      <c r="G22" s="1"/>
      <c r="H22" s="1"/>
      <c r="I22" s="2">
        <v>50171224</v>
      </c>
      <c r="J22" s="2">
        <v>1327994</v>
      </c>
      <c r="K22" s="176">
        <f>I22-J22</f>
        <v>48843230</v>
      </c>
    </row>
    <row r="23" spans="1:14" s="2" customFormat="1" ht="14.25" customHeight="1" x14ac:dyDescent="0.2">
      <c r="A23" s="24"/>
      <c r="B23" s="1"/>
      <c r="C23" s="14"/>
      <c r="D23" s="25"/>
      <c r="G23" s="1"/>
      <c r="H23" s="1"/>
      <c r="J23" s="130"/>
      <c r="K23" s="130"/>
    </row>
    <row r="24" spans="1:14" s="2" customFormat="1" x14ac:dyDescent="0.2">
      <c r="A24" s="214" t="s">
        <v>10</v>
      </c>
      <c r="B24" s="214"/>
      <c r="C24" s="214"/>
      <c r="D24" s="214"/>
      <c r="E24" s="214"/>
      <c r="F24" s="214"/>
      <c r="G24" s="1"/>
      <c r="H24" s="1"/>
      <c r="I24" s="159"/>
      <c r="J24" s="160">
        <v>100000000</v>
      </c>
      <c r="K24" s="160" t="s">
        <v>1506</v>
      </c>
      <c r="L24" s="70"/>
    </row>
    <row r="25" spans="1:14" s="2" customFormat="1" ht="15" x14ac:dyDescent="0.35">
      <c r="A25" s="26" t="s">
        <v>1</v>
      </c>
      <c r="B25" s="27" t="s">
        <v>2</v>
      </c>
      <c r="C25" s="5"/>
      <c r="D25" s="6" t="s">
        <v>3</v>
      </c>
      <c r="E25" s="7" t="s">
        <v>4</v>
      </c>
      <c r="F25" s="7" t="s">
        <v>5</v>
      </c>
      <c r="G25" s="1"/>
      <c r="H25" s="1"/>
      <c r="I25" s="159"/>
      <c r="J25" s="179">
        <v>59459416.850000001</v>
      </c>
      <c r="K25" s="160" t="s">
        <v>1507</v>
      </c>
      <c r="L25" s="70" t="s">
        <v>1512</v>
      </c>
    </row>
    <row r="26" spans="1:14" s="2" customFormat="1" x14ac:dyDescent="0.2">
      <c r="A26" s="89">
        <v>45324</v>
      </c>
      <c r="B26" s="128" t="s">
        <v>11</v>
      </c>
      <c r="C26" s="29" t="s">
        <v>7</v>
      </c>
      <c r="D26" s="25"/>
      <c r="E26" s="31"/>
      <c r="F26" s="2">
        <v>15045236.589999914</v>
      </c>
      <c r="G26" s="23"/>
      <c r="H26" s="23"/>
      <c r="I26" s="159" t="s">
        <v>1505</v>
      </c>
      <c r="J26" s="160">
        <f>+J24-J25</f>
        <v>40540583.149999999</v>
      </c>
      <c r="K26" s="160"/>
      <c r="L26" s="70"/>
    </row>
    <row r="27" spans="1:14" s="2" customFormat="1" x14ac:dyDescent="0.2">
      <c r="A27" s="89">
        <v>45324</v>
      </c>
      <c r="B27" s="128" t="s">
        <v>6</v>
      </c>
      <c r="C27" s="76" t="s">
        <v>1629</v>
      </c>
      <c r="D27" s="11" t="s">
        <v>13</v>
      </c>
      <c r="E27" s="31">
        <v>494611</v>
      </c>
      <c r="G27" s="23"/>
      <c r="H27" s="23"/>
      <c r="I27" s="159"/>
      <c r="J27" s="160"/>
      <c r="K27" s="160"/>
      <c r="L27" s="70"/>
    </row>
    <row r="28" spans="1:14" s="2" customFormat="1" x14ac:dyDescent="0.2">
      <c r="A28" s="89">
        <v>45324</v>
      </c>
      <c r="B28" s="128" t="s">
        <v>6</v>
      </c>
      <c r="C28" s="76" t="s">
        <v>17</v>
      </c>
      <c r="D28" s="11" t="s">
        <v>13</v>
      </c>
      <c r="E28" s="31">
        <v>208787</v>
      </c>
      <c r="G28" s="23"/>
      <c r="H28" s="23"/>
      <c r="I28" s="159"/>
      <c r="J28" s="160"/>
      <c r="K28" s="160"/>
      <c r="L28" s="70"/>
    </row>
    <row r="29" spans="1:14" s="2" customFormat="1" x14ac:dyDescent="0.2">
      <c r="A29" s="89">
        <v>45324</v>
      </c>
      <c r="B29" s="128" t="s">
        <v>6</v>
      </c>
      <c r="C29" s="76" t="s">
        <v>351</v>
      </c>
      <c r="D29" s="11" t="s">
        <v>13</v>
      </c>
      <c r="E29" s="31">
        <v>656000</v>
      </c>
      <c r="G29" s="23"/>
      <c r="H29" s="23"/>
      <c r="I29" s="159"/>
      <c r="J29" s="160"/>
      <c r="K29" s="160"/>
      <c r="L29" s="70"/>
    </row>
    <row r="30" spans="1:14" s="2" customFormat="1" x14ac:dyDescent="0.2">
      <c r="A30" s="89">
        <v>45324</v>
      </c>
      <c r="B30" s="128" t="s">
        <v>6</v>
      </c>
      <c r="C30" s="76" t="s">
        <v>1241</v>
      </c>
      <c r="D30" s="11" t="s">
        <v>13</v>
      </c>
      <c r="E30" s="31">
        <v>141063</v>
      </c>
      <c r="G30" s="23"/>
      <c r="H30" s="23"/>
      <c r="I30" s="159"/>
      <c r="J30" s="160"/>
      <c r="K30" s="160"/>
      <c r="L30" s="70"/>
    </row>
    <row r="31" spans="1:14" s="2" customFormat="1" x14ac:dyDescent="0.2">
      <c r="A31" s="89">
        <v>45324</v>
      </c>
      <c r="B31" s="128" t="s">
        <v>6</v>
      </c>
      <c r="C31" s="76" t="s">
        <v>1497</v>
      </c>
      <c r="D31" s="11" t="s">
        <v>13</v>
      </c>
      <c r="E31" s="31">
        <v>25961</v>
      </c>
      <c r="G31" s="23"/>
      <c r="H31" s="23"/>
      <c r="I31" s="159"/>
      <c r="J31" s="160"/>
      <c r="K31" s="160"/>
      <c r="L31" s="70"/>
    </row>
    <row r="32" spans="1:14" s="2" customFormat="1" x14ac:dyDescent="0.2">
      <c r="A32" s="89">
        <v>45324</v>
      </c>
      <c r="B32" s="128" t="s">
        <v>6</v>
      </c>
      <c r="C32" s="76" t="s">
        <v>160</v>
      </c>
      <c r="D32" s="11" t="s">
        <v>13</v>
      </c>
      <c r="E32" s="31">
        <v>4200</v>
      </c>
      <c r="G32" s="23"/>
      <c r="H32" s="23"/>
      <c r="I32" s="159"/>
      <c r="J32" s="160"/>
      <c r="K32" s="160"/>
      <c r="L32" s="70"/>
    </row>
    <row r="33" spans="1:15" s="2" customFormat="1" x14ac:dyDescent="0.2">
      <c r="A33" s="89">
        <v>45324</v>
      </c>
      <c r="B33" s="128" t="s">
        <v>6</v>
      </c>
      <c r="C33" s="76" t="s">
        <v>23</v>
      </c>
      <c r="D33" s="11" t="s">
        <v>13</v>
      </c>
      <c r="E33" s="31">
        <v>5513</v>
      </c>
      <c r="G33" s="23"/>
      <c r="H33" s="23"/>
      <c r="I33" s="159"/>
      <c r="J33" s="160"/>
      <c r="K33" s="160"/>
      <c r="L33" s="70"/>
    </row>
    <row r="34" spans="1:15" s="2" customFormat="1" x14ac:dyDescent="0.2">
      <c r="A34" s="89">
        <v>45324</v>
      </c>
      <c r="B34" s="128" t="s">
        <v>6</v>
      </c>
      <c r="C34" s="76" t="s">
        <v>14</v>
      </c>
      <c r="D34" s="11" t="s">
        <v>13</v>
      </c>
      <c r="E34" s="31">
        <v>1433602</v>
      </c>
      <c r="G34" s="23"/>
      <c r="H34" s="23"/>
      <c r="I34" s="159"/>
      <c r="J34" s="160"/>
      <c r="K34" s="160"/>
      <c r="L34" s="70"/>
    </row>
    <row r="35" spans="1:15" s="2" customFormat="1" x14ac:dyDescent="0.2">
      <c r="A35" s="89">
        <v>45324</v>
      </c>
      <c r="B35" s="128" t="s">
        <v>6</v>
      </c>
      <c r="C35" s="76" t="s">
        <v>149</v>
      </c>
      <c r="D35" s="11" t="s">
        <v>13</v>
      </c>
      <c r="E35" s="31">
        <v>2175</v>
      </c>
      <c r="G35" s="23"/>
      <c r="H35" s="23"/>
      <c r="I35" s="159"/>
      <c r="J35" s="160"/>
      <c r="K35" s="160"/>
      <c r="L35" s="70"/>
    </row>
    <row r="36" spans="1:15" s="2" customFormat="1" x14ac:dyDescent="0.2">
      <c r="A36" s="89">
        <v>45324</v>
      </c>
      <c r="B36" s="128" t="s">
        <v>6</v>
      </c>
      <c r="C36" s="76" t="s">
        <v>15</v>
      </c>
      <c r="D36" s="11" t="s">
        <v>13</v>
      </c>
      <c r="E36" s="31">
        <v>99824.639999999999</v>
      </c>
      <c r="G36" s="23"/>
      <c r="H36" s="23"/>
      <c r="I36" s="159"/>
      <c r="J36" s="160"/>
      <c r="K36" s="160"/>
      <c r="L36" s="70"/>
    </row>
    <row r="37" spans="1:15" s="2" customFormat="1" x14ac:dyDescent="0.2">
      <c r="A37" s="89">
        <v>45324</v>
      </c>
      <c r="B37" s="128" t="s">
        <v>6</v>
      </c>
      <c r="C37" s="76" t="s">
        <v>27</v>
      </c>
      <c r="D37" s="11" t="s">
        <v>13</v>
      </c>
      <c r="E37" s="31">
        <v>1509423.0999999999</v>
      </c>
      <c r="G37" s="23"/>
      <c r="H37" s="23"/>
      <c r="I37" s="159"/>
      <c r="J37" s="160"/>
      <c r="K37" s="160"/>
      <c r="L37" s="70"/>
    </row>
    <row r="38" spans="1:15" s="2" customFormat="1" x14ac:dyDescent="0.2">
      <c r="A38" s="89">
        <v>45324</v>
      </c>
      <c r="B38" s="128" t="s">
        <v>11</v>
      </c>
      <c r="C38" s="76" t="s">
        <v>102</v>
      </c>
      <c r="D38" s="11" t="s">
        <v>29</v>
      </c>
      <c r="E38" s="31"/>
      <c r="F38" s="2">
        <v>610737</v>
      </c>
      <c r="G38" s="23"/>
      <c r="H38" s="23"/>
      <c r="I38" s="159"/>
      <c r="J38" s="160"/>
      <c r="K38" s="160"/>
      <c r="L38" s="70" t="s">
        <v>2033</v>
      </c>
    </row>
    <row r="39" spans="1:15" s="2" customFormat="1" x14ac:dyDescent="0.2">
      <c r="A39" s="32"/>
      <c r="B39" s="33"/>
      <c r="C39" s="14"/>
      <c r="D39" s="34"/>
      <c r="E39" s="16">
        <f>SUM(E26:E38)</f>
        <v>4581159.74</v>
      </c>
      <c r="F39" s="16">
        <f>SUM(F26:F38)</f>
        <v>15655973.589999914</v>
      </c>
      <c r="G39" s="1"/>
      <c r="H39" s="1"/>
      <c r="I39" s="1"/>
      <c r="J39" s="38">
        <v>10616186.85</v>
      </c>
      <c r="L39" s="92">
        <f>E40-J39</f>
        <v>458626.99999991432</v>
      </c>
      <c r="O39" s="1"/>
    </row>
    <row r="40" spans="1:15" s="2" customFormat="1" x14ac:dyDescent="0.2">
      <c r="A40" s="36"/>
      <c r="B40" s="28" t="s">
        <v>11</v>
      </c>
      <c r="C40" s="19" t="s">
        <v>65</v>
      </c>
      <c r="D40" s="37"/>
      <c r="E40" s="38">
        <f>F39-E39</f>
        <v>11074813.849999914</v>
      </c>
      <c r="F40" s="22"/>
      <c r="G40" s="1"/>
      <c r="H40" s="1"/>
      <c r="I40" s="1"/>
      <c r="J40" s="70"/>
      <c r="K40" s="70"/>
      <c r="L40" s="70"/>
      <c r="O40" s="1"/>
    </row>
    <row r="41" spans="1:15" s="2" customFormat="1" x14ac:dyDescent="0.2">
      <c r="A41" s="36"/>
      <c r="B41" s="28" t="s">
        <v>66</v>
      </c>
      <c r="C41" s="19" t="s">
        <v>67</v>
      </c>
      <c r="D41" s="37"/>
      <c r="E41" s="38">
        <v>11500000</v>
      </c>
      <c r="F41" s="22"/>
      <c r="G41" s="1"/>
      <c r="H41" s="1"/>
      <c r="I41" s="70"/>
      <c r="J41" s="70"/>
      <c r="K41" s="70"/>
      <c r="L41" s="70"/>
      <c r="O41" s="1"/>
    </row>
    <row r="42" spans="1:15" s="2" customFormat="1" x14ac:dyDescent="0.2">
      <c r="A42" s="36"/>
      <c r="B42" s="28" t="s">
        <v>66</v>
      </c>
      <c r="C42" s="43" t="s">
        <v>1457</v>
      </c>
      <c r="D42" s="43"/>
      <c r="E42" s="12">
        <v>400000000</v>
      </c>
      <c r="F42" s="22"/>
      <c r="G42" s="1"/>
      <c r="H42" s="1"/>
      <c r="I42" s="70"/>
      <c r="J42" s="45">
        <v>653.79</v>
      </c>
      <c r="K42" s="46"/>
      <c r="L42" s="46"/>
      <c r="O42" s="1"/>
    </row>
    <row r="43" spans="1:15" s="2" customFormat="1" ht="15" x14ac:dyDescent="0.25">
      <c r="A43" s="36"/>
      <c r="B43" s="28"/>
      <c r="C43" s="44" t="s">
        <v>1541</v>
      </c>
      <c r="D43" s="43"/>
      <c r="E43" s="7">
        <f>+E42+E40+E41</f>
        <v>422574813.8499999</v>
      </c>
      <c r="F43" s="22"/>
      <c r="G43" s="1"/>
      <c r="H43" s="1"/>
      <c r="I43" s="103" t="s">
        <v>69</v>
      </c>
      <c r="J43" s="45">
        <v>-8.07</v>
      </c>
      <c r="K43" s="46"/>
      <c r="L43" s="46"/>
      <c r="O43" s="1"/>
    </row>
    <row r="44" spans="1:15" s="2" customFormat="1" ht="15" x14ac:dyDescent="0.25">
      <c r="A44" s="24"/>
      <c r="B44" s="1"/>
      <c r="C44" s="44" t="s">
        <v>1510</v>
      </c>
      <c r="D44" s="25"/>
      <c r="E44" s="156">
        <f>+J26-E41+I22-J22</f>
        <v>77883813.150000006</v>
      </c>
      <c r="G44" s="1"/>
      <c r="H44" s="1"/>
      <c r="I44" s="35">
        <v>1</v>
      </c>
      <c r="J44" s="45">
        <v>4.32</v>
      </c>
      <c r="K44" s="46">
        <f>+J45-D47</f>
        <v>0</v>
      </c>
      <c r="O44" s="1"/>
    </row>
    <row r="45" spans="1:15" s="124" customFormat="1" ht="12.75" customHeight="1" x14ac:dyDescent="0.2">
      <c r="A45" s="24"/>
      <c r="B45" s="1"/>
      <c r="C45" s="56"/>
      <c r="D45" s="56"/>
      <c r="E45" s="104"/>
      <c r="F45" s="2"/>
      <c r="G45" s="166"/>
      <c r="H45" s="166"/>
      <c r="I45" s="70"/>
      <c r="J45" s="49">
        <f>SUM(J42:J44)</f>
        <v>650.04</v>
      </c>
      <c r="K45" s="46"/>
      <c r="L45" s="46"/>
    </row>
    <row r="46" spans="1:15" s="124" customFormat="1" ht="12.75" customHeight="1" x14ac:dyDescent="0.2">
      <c r="A46" s="24"/>
      <c r="B46" s="1"/>
      <c r="C46" s="78" t="s">
        <v>575</v>
      </c>
      <c r="D46" s="48" t="s">
        <v>576</v>
      </c>
      <c r="E46" s="104"/>
      <c r="F46" s="2"/>
      <c r="G46" s="168"/>
      <c r="H46" s="168"/>
      <c r="I46" s="167"/>
      <c r="J46" s="167"/>
      <c r="K46" s="168"/>
    </row>
    <row r="47" spans="1:15" s="124" customFormat="1" ht="12.75" customHeight="1" x14ac:dyDescent="0.2">
      <c r="A47" s="24"/>
      <c r="B47" s="1"/>
      <c r="C47" s="47" t="s">
        <v>570</v>
      </c>
      <c r="D47" s="111">
        <v>650.04</v>
      </c>
      <c r="E47" s="104"/>
      <c r="F47" s="2"/>
      <c r="G47" s="168"/>
      <c r="H47" s="168"/>
      <c r="I47" s="110" t="s">
        <v>581</v>
      </c>
      <c r="J47" s="167"/>
      <c r="K47" s="168"/>
    </row>
    <row r="48" spans="1:15" s="124" customFormat="1" ht="12.75" customHeight="1" x14ac:dyDescent="0.2">
      <c r="A48" s="24"/>
      <c r="B48" s="1"/>
      <c r="C48" s="47" t="s">
        <v>931</v>
      </c>
      <c r="D48" s="111">
        <v>0</v>
      </c>
      <c r="E48" s="104"/>
      <c r="F48" s="2"/>
      <c r="G48" s="168"/>
      <c r="H48" s="168"/>
      <c r="I48" s="110" t="s">
        <v>580</v>
      </c>
      <c r="J48" s="167"/>
      <c r="K48" s="168"/>
    </row>
    <row r="49" spans="1:15" s="124" customFormat="1" ht="12.75" customHeight="1" x14ac:dyDescent="0.2">
      <c r="A49" s="24"/>
      <c r="B49" s="1"/>
      <c r="C49" s="47" t="s">
        <v>572</v>
      </c>
      <c r="D49" s="111">
        <f>+D66/100000</f>
        <v>9.2894900000000007</v>
      </c>
      <c r="E49" s="104"/>
      <c r="F49" s="2"/>
      <c r="G49" s="166"/>
      <c r="H49" s="166"/>
      <c r="I49" s="90" t="s">
        <v>587</v>
      </c>
      <c r="J49" s="167"/>
      <c r="K49" s="168"/>
    </row>
    <row r="50" spans="1:15" s="2" customFormat="1" x14ac:dyDescent="0.2">
      <c r="A50" s="24"/>
      <c r="B50" s="1"/>
      <c r="C50" s="108" t="s">
        <v>578</v>
      </c>
      <c r="D50" s="48">
        <f>SUM(D47:D49)</f>
        <v>659.32948999999996</v>
      </c>
      <c r="E50" s="104"/>
      <c r="G50" s="30"/>
      <c r="H50" s="30"/>
      <c r="J50" s="13"/>
      <c r="K50" s="13"/>
    </row>
    <row r="51" spans="1:15" s="70" customFormat="1" x14ac:dyDescent="0.2">
      <c r="A51" s="24"/>
      <c r="B51" s="1"/>
      <c r="C51" s="47"/>
      <c r="D51" s="107"/>
      <c r="E51" s="104"/>
      <c r="F51" s="2"/>
      <c r="G51" s="30"/>
      <c r="H51" s="30"/>
      <c r="I51" s="2"/>
    </row>
    <row r="52" spans="1:15" s="70" customFormat="1" x14ac:dyDescent="0.2">
      <c r="A52" s="24"/>
      <c r="B52" s="1"/>
      <c r="C52" s="47" t="s">
        <v>932</v>
      </c>
      <c r="D52" s="111">
        <v>0</v>
      </c>
      <c r="E52" s="104"/>
      <c r="F52" s="2"/>
      <c r="G52" s="30"/>
      <c r="H52" s="30"/>
      <c r="I52" s="110" t="s">
        <v>581</v>
      </c>
    </row>
    <row r="53" spans="1:15" s="70" customFormat="1" x14ac:dyDescent="0.2">
      <c r="A53" s="24"/>
      <c r="B53" s="1"/>
      <c r="C53" s="136" t="s">
        <v>1142</v>
      </c>
      <c r="D53" s="111">
        <v>41.62</v>
      </c>
      <c r="E53" s="104"/>
      <c r="F53" s="2"/>
      <c r="G53" s="30"/>
      <c r="H53" s="30"/>
      <c r="I53" s="110" t="s">
        <v>581</v>
      </c>
    </row>
    <row r="54" spans="1:15" s="70" customFormat="1" x14ac:dyDescent="0.2">
      <c r="A54" s="24"/>
      <c r="B54" s="1"/>
      <c r="C54" s="78" t="s">
        <v>579</v>
      </c>
      <c r="D54" s="109">
        <f>D52+D53</f>
        <v>41.62</v>
      </c>
      <c r="E54" s="104"/>
      <c r="F54" s="2"/>
      <c r="G54" s="30"/>
      <c r="H54" s="30"/>
    </row>
    <row r="55" spans="1:15" s="70" customFormat="1" x14ac:dyDescent="0.2">
      <c r="A55" s="24"/>
      <c r="B55" s="1"/>
      <c r="C55" s="105"/>
      <c r="D55" s="106"/>
      <c r="E55" s="104"/>
      <c r="F55" s="2"/>
      <c r="G55" s="30"/>
      <c r="H55" s="30"/>
      <c r="J55" s="2"/>
      <c r="K55" s="221" t="str">
        <f>"FROM ( 01-02-2024 to "&amp;TEXT(A5,"dd-mm-yyyy")&amp;" )"</f>
        <v>FROM ( 01-02-2024 to 02-02-2024 )</v>
      </c>
      <c r="L55" s="221"/>
      <c r="M55" s="2"/>
      <c r="N55" s="2"/>
    </row>
    <row r="56" spans="1:15" s="70" customFormat="1" x14ac:dyDescent="0.2">
      <c r="A56" s="24"/>
      <c r="B56" s="1"/>
      <c r="C56" s="78" t="s">
        <v>577</v>
      </c>
      <c r="D56" s="109">
        <f>D47+D54</f>
        <v>691.66</v>
      </c>
      <c r="E56" s="104"/>
      <c r="F56" s="2"/>
      <c r="G56" s="30"/>
      <c r="H56" s="30"/>
      <c r="J56" s="113"/>
      <c r="K56" s="113" t="s">
        <v>709</v>
      </c>
      <c r="L56" s="113" t="s">
        <v>710</v>
      </c>
      <c r="M56" s="113" t="s">
        <v>711</v>
      </c>
      <c r="N56" s="113" t="s">
        <v>712</v>
      </c>
    </row>
    <row r="57" spans="1:15" s="70" customFormat="1" x14ac:dyDescent="0.2">
      <c r="A57" s="24"/>
      <c r="B57" s="1"/>
      <c r="C57" s="56"/>
      <c r="D57" s="56"/>
      <c r="E57" s="104"/>
      <c r="F57" s="2"/>
      <c r="G57" s="30"/>
      <c r="H57" s="30"/>
      <c r="J57" s="113" t="s">
        <v>1860</v>
      </c>
      <c r="K57" s="115">
        <v>191.98999999999998</v>
      </c>
      <c r="L57" s="115">
        <v>0</v>
      </c>
      <c r="M57" s="115">
        <v>0</v>
      </c>
      <c r="N57" s="113">
        <f>+K57+M57-L57</f>
        <v>191.98999999999998</v>
      </c>
    </row>
    <row r="58" spans="1:15" s="70" customFormat="1" ht="38.25" x14ac:dyDescent="0.2">
      <c r="A58" s="24"/>
      <c r="B58" s="1"/>
      <c r="C58" s="79" t="str">
        <f>"Particulars ( 01-02-2024 to "&amp;TEXT(A5,"dd-mm-yyyy")&amp;" )"</f>
        <v>Particulars ( 01-02-2024 to 02-02-2024 )</v>
      </c>
      <c r="D58" s="79" t="s">
        <v>7</v>
      </c>
      <c r="E58" s="80" t="s">
        <v>73</v>
      </c>
      <c r="F58" s="80" t="s">
        <v>74</v>
      </c>
      <c r="G58" s="81" t="s">
        <v>75</v>
      </c>
      <c r="H58" s="80" t="s">
        <v>76</v>
      </c>
      <c r="J58" s="113" t="s">
        <v>1861</v>
      </c>
      <c r="K58" s="115">
        <v>1862.06</v>
      </c>
      <c r="L58" s="115">
        <v>9.2899999999999991</v>
      </c>
      <c r="M58" s="115">
        <v>41.62</v>
      </c>
      <c r="N58" s="113">
        <f>+K58+M58-L58</f>
        <v>1894.3899999999999</v>
      </c>
    </row>
    <row r="59" spans="1:15" s="70" customFormat="1" x14ac:dyDescent="0.2">
      <c r="A59" s="24"/>
      <c r="B59" s="1"/>
      <c r="C59" s="50" t="s">
        <v>444</v>
      </c>
      <c r="D59" s="55">
        <f>+K59</f>
        <v>332.55</v>
      </c>
      <c r="E59" s="180">
        <f>+IF(M59=0,0,M59)</f>
        <v>0</v>
      </c>
      <c r="F59" s="180">
        <f>+L59</f>
        <v>0</v>
      </c>
      <c r="G59" s="55">
        <f>+D59+E59-F59</f>
        <v>332.55</v>
      </c>
      <c r="H59" s="55">
        <f>1500-G59</f>
        <v>1167.45</v>
      </c>
      <c r="I59" s="70">
        <f>+IF(M59=0,0,M59)</f>
        <v>0</v>
      </c>
      <c r="J59" s="113" t="s">
        <v>707</v>
      </c>
      <c r="K59" s="115">
        <v>332.55</v>
      </c>
      <c r="L59" s="115">
        <v>0</v>
      </c>
      <c r="M59" s="115">
        <v>0</v>
      </c>
      <c r="N59" s="113">
        <f>+K59+M59-L59</f>
        <v>332.55</v>
      </c>
    </row>
    <row r="60" spans="1:15" s="70" customFormat="1" ht="12.75" customHeight="1" x14ac:dyDescent="0.2">
      <c r="A60" s="24"/>
      <c r="B60" s="1"/>
      <c r="C60" s="50" t="s">
        <v>71</v>
      </c>
      <c r="D60" s="55">
        <f>+K57+K58</f>
        <v>2054.0499999999997</v>
      </c>
      <c r="E60" s="55">
        <f>+M57+M58</f>
        <v>41.62</v>
      </c>
      <c r="F60" s="55">
        <f>+L57+L58</f>
        <v>9.2899999999999991</v>
      </c>
      <c r="G60" s="55">
        <f>+D60+E60-F60</f>
        <v>2086.3799999999997</v>
      </c>
      <c r="H60" s="55">
        <f>1500+700+200-G60</f>
        <v>313.62000000000035</v>
      </c>
      <c r="J60" s="2"/>
      <c r="K60" s="118">
        <f>SUM(K57:K59)</f>
        <v>2386.6</v>
      </c>
      <c r="L60" s="118">
        <f>SUM(L57:L59)</f>
        <v>9.2899999999999991</v>
      </c>
      <c r="M60" s="118">
        <f>SUM(M57:M59)</f>
        <v>41.62</v>
      </c>
      <c r="N60" s="118">
        <f>SUM(N57:N59)</f>
        <v>2418.9299999999998</v>
      </c>
    </row>
    <row r="61" spans="1:15" s="70" customFormat="1" ht="12.75" customHeight="1" x14ac:dyDescent="0.2">
      <c r="A61" s="24"/>
      <c r="B61" s="1"/>
      <c r="C61" s="14"/>
      <c r="D61" s="56"/>
      <c r="E61" s="13"/>
      <c r="F61" s="2"/>
      <c r="G61" s="30"/>
      <c r="H61" s="30"/>
    </row>
    <row r="62" spans="1:15" s="70" customFormat="1" ht="12.75" customHeight="1" x14ac:dyDescent="0.2">
      <c r="A62" s="215" t="s">
        <v>80</v>
      </c>
      <c r="B62" s="216"/>
      <c r="C62" s="216"/>
      <c r="D62" s="217"/>
      <c r="E62" s="69"/>
      <c r="G62" s="30"/>
      <c r="H62" s="30"/>
    </row>
    <row r="63" spans="1:15" s="70" customFormat="1" ht="12.75" customHeight="1" x14ac:dyDescent="0.2">
      <c r="A63" s="71" t="s">
        <v>81</v>
      </c>
      <c r="B63" s="71"/>
      <c r="C63" s="72" t="s">
        <v>82</v>
      </c>
      <c r="D63" s="73" t="s">
        <v>83</v>
      </c>
      <c r="E63" s="69"/>
      <c r="G63" s="30"/>
      <c r="H63" s="30"/>
    </row>
    <row r="64" spans="1:15" s="70" customFormat="1" ht="12.75" customHeight="1" x14ac:dyDescent="0.2">
      <c r="A64" s="87">
        <v>45323</v>
      </c>
      <c r="B64" s="120" t="s">
        <v>6</v>
      </c>
      <c r="C64" s="75" t="s">
        <v>2030</v>
      </c>
      <c r="D64" s="88">
        <v>881220</v>
      </c>
      <c r="E64" s="2"/>
      <c r="F64" s="2"/>
      <c r="G64" s="30"/>
      <c r="H64" s="30"/>
      <c r="I64" s="2"/>
      <c r="J64" s="2"/>
      <c r="K64" s="2"/>
      <c r="L64" s="2"/>
      <c r="M64" s="41"/>
      <c r="N64" s="42"/>
      <c r="O64" s="2"/>
    </row>
    <row r="65" spans="1:15" s="70" customFormat="1" ht="12.75" customHeight="1" x14ac:dyDescent="0.2">
      <c r="A65" s="87">
        <v>45324</v>
      </c>
      <c r="B65" s="120" t="s">
        <v>6</v>
      </c>
      <c r="C65" s="75" t="s">
        <v>1934</v>
      </c>
      <c r="D65" s="88">
        <v>47729</v>
      </c>
      <c r="E65" s="2"/>
      <c r="F65" s="2"/>
      <c r="G65" s="30"/>
      <c r="H65" s="30"/>
      <c r="I65" s="2"/>
      <c r="J65" s="2"/>
      <c r="K65" s="2"/>
      <c r="L65" s="2"/>
      <c r="M65" s="41"/>
      <c r="N65" s="42"/>
      <c r="O65" s="2"/>
    </row>
    <row r="66" spans="1:15" s="2" customFormat="1" x14ac:dyDescent="0.2">
      <c r="A66" s="87"/>
      <c r="B66" s="74"/>
      <c r="C66" s="75"/>
      <c r="D66" s="51">
        <f>SUM(D64:D65)</f>
        <v>928949</v>
      </c>
      <c r="F66" s="2" t="s">
        <v>396</v>
      </c>
      <c r="G66" s="1"/>
      <c r="H66" s="1"/>
    </row>
    <row r="67" spans="1:15" s="2" customFormat="1" x14ac:dyDescent="0.2">
      <c r="A67" s="24"/>
      <c r="B67" s="1"/>
      <c r="C67" s="14"/>
      <c r="D67" s="56"/>
      <c r="E67" s="13"/>
      <c r="G67" s="1"/>
      <c r="H67" s="1"/>
    </row>
    <row r="68" spans="1:15" s="2" customFormat="1" x14ac:dyDescent="0.2">
      <c r="A68" s="24"/>
      <c r="B68" s="1"/>
      <c r="C68" s="218" t="s">
        <v>77</v>
      </c>
      <c r="D68" s="219"/>
      <c r="E68" s="219"/>
      <c r="F68" s="220"/>
      <c r="I68" s="2" t="s">
        <v>396</v>
      </c>
    </row>
    <row r="69" spans="1:15" s="2" customFormat="1" x14ac:dyDescent="0.2">
      <c r="A69" s="24"/>
      <c r="B69" s="1"/>
      <c r="C69" s="50"/>
      <c r="D69" s="57" t="s">
        <v>78</v>
      </c>
      <c r="E69" s="58" t="s">
        <v>79</v>
      </c>
      <c r="F69" s="57" t="s">
        <v>72</v>
      </c>
      <c r="I69" s="2" t="s">
        <v>396</v>
      </c>
    </row>
    <row r="70" spans="1:15" s="2" customFormat="1" x14ac:dyDescent="0.2">
      <c r="A70" s="24"/>
      <c r="B70" s="1"/>
      <c r="C70" s="59" t="str">
        <f>"01-01-2024 to "&amp;TEXT(A5-2,"dd-mm-yyyy")</f>
        <v>01-01-2024 to 31-01-2024</v>
      </c>
      <c r="D70" s="60">
        <v>2585.42</v>
      </c>
      <c r="E70" s="60">
        <v>666.87</v>
      </c>
      <c r="F70" s="61">
        <f>SUM(D70:E70)</f>
        <v>3252.29</v>
      </c>
    </row>
    <row r="71" spans="1:15" s="2" customFormat="1" x14ac:dyDescent="0.2">
      <c r="A71" s="24"/>
      <c r="B71" s="1"/>
      <c r="C71" s="62" t="str">
        <f>TEXT(A5-1,"dd-mm-yyyy")</f>
        <v>01-02-2024</v>
      </c>
      <c r="D71" s="60">
        <v>86.81</v>
      </c>
      <c r="E71" s="60">
        <v>10.5</v>
      </c>
      <c r="F71" s="61">
        <f>SUM(D71:E71)</f>
        <v>97.31</v>
      </c>
      <c r="G71" s="1"/>
      <c r="H71" s="1"/>
      <c r="I71" s="53"/>
    </row>
    <row r="72" spans="1:15" s="2" customFormat="1" ht="13.5" thickBot="1" x14ac:dyDescent="0.25">
      <c r="A72" s="24"/>
      <c r="B72" s="1"/>
      <c r="C72" s="63" t="str">
        <f>"01-01-2024 to "&amp;TEXT(A5-1,"dd-mm-yyyy")</f>
        <v>01-01-2024 to 01-02-2024</v>
      </c>
      <c r="D72" s="64">
        <f>SUM(D70:D71)</f>
        <v>2672.23</v>
      </c>
      <c r="E72" s="64">
        <f>SUM(E70:E71)</f>
        <v>677.37</v>
      </c>
      <c r="F72" s="64">
        <f>SUM(F70:F71)</f>
        <v>3349.6</v>
      </c>
      <c r="G72" s="1"/>
      <c r="H72" s="1"/>
      <c r="I72" s="53"/>
    </row>
    <row r="73" spans="1:15" s="2" customFormat="1" ht="13.5" thickTop="1" x14ac:dyDescent="0.2">
      <c r="A73" s="24"/>
      <c r="B73" s="1"/>
      <c r="C73" s="62"/>
      <c r="D73" s="65"/>
      <c r="E73" s="66"/>
      <c r="F73" s="67"/>
      <c r="M73" s="1"/>
      <c r="N73" s="1"/>
    </row>
    <row r="74" spans="1:15" s="2" customFormat="1" x14ac:dyDescent="0.2">
      <c r="A74" s="24"/>
      <c r="B74" s="1"/>
      <c r="C74" s="62" t="str">
        <f>"01-04-2023 to " &amp;C71</f>
        <v>01-04-2023 to 01-02-2024</v>
      </c>
      <c r="D74" s="68">
        <f>+D72+34570.27</f>
        <v>37242.5</v>
      </c>
      <c r="E74" s="68">
        <f>+E72+3831.86</f>
        <v>4509.2300000000005</v>
      </c>
      <c r="F74" s="68">
        <f>+F72+38402.13</f>
        <v>41751.729999999996</v>
      </c>
      <c r="G74" s="1"/>
      <c r="H74" s="1"/>
      <c r="M74" s="1"/>
      <c r="N74" s="1"/>
    </row>
    <row r="75" spans="1:15" s="2" customFormat="1" x14ac:dyDescent="0.2">
      <c r="A75" s="24"/>
      <c r="B75" s="1"/>
      <c r="C75" s="52"/>
      <c r="D75" s="85"/>
      <c r="E75" s="53"/>
      <c r="F75" s="53"/>
      <c r="G75" s="1"/>
      <c r="H75" s="1"/>
      <c r="M75" s="1"/>
      <c r="N75" s="1"/>
    </row>
    <row r="76" spans="1:15" s="2" customFormat="1" x14ac:dyDescent="0.2">
      <c r="A76" s="24"/>
      <c r="B76" s="1"/>
      <c r="C76" s="52"/>
      <c r="D76" s="85"/>
      <c r="E76" s="53"/>
      <c r="F76" s="53"/>
      <c r="G76" s="1"/>
      <c r="H76" s="1"/>
      <c r="M76" s="1"/>
      <c r="N76" s="1"/>
    </row>
    <row r="77" spans="1:15" s="2" customFormat="1" x14ac:dyDescent="0.2">
      <c r="A77" s="24"/>
      <c r="B77" s="1"/>
      <c r="C77" s="52"/>
      <c r="D77" s="85"/>
      <c r="E77" s="53"/>
      <c r="F77" s="53"/>
      <c r="G77" s="1"/>
      <c r="H77" s="1"/>
      <c r="M77" s="1"/>
      <c r="N77" s="1"/>
    </row>
    <row r="78" spans="1:15" s="2" customFormat="1" x14ac:dyDescent="0.2">
      <c r="A78" s="24"/>
      <c r="B78" s="1"/>
      <c r="C78" s="52"/>
      <c r="D78" s="85"/>
      <c r="E78" s="53"/>
      <c r="F78" s="53"/>
      <c r="G78" s="1"/>
      <c r="H78" s="1"/>
      <c r="M78" s="1"/>
      <c r="N78" s="1"/>
    </row>
    <row r="79" spans="1:15" s="2" customFormat="1" x14ac:dyDescent="0.2">
      <c r="A79" s="24"/>
      <c r="B79" s="1"/>
      <c r="C79" s="14"/>
      <c r="D79" s="25">
        <f>SUM(D76:D78)</f>
        <v>0</v>
      </c>
      <c r="E79" s="2">
        <f>SUM(E76:E78)</f>
        <v>0</v>
      </c>
      <c r="G79" s="1"/>
      <c r="H79" s="1"/>
      <c r="M79" s="1"/>
      <c r="N79" s="1"/>
    </row>
    <row r="80" spans="1:15" s="2" customFormat="1" x14ac:dyDescent="0.2">
      <c r="A80" s="24"/>
      <c r="B80" s="1"/>
      <c r="C80" s="14"/>
      <c r="D80" s="25"/>
      <c r="G80" s="1"/>
      <c r="H80" s="1"/>
      <c r="M80" s="1"/>
      <c r="N80" s="1"/>
    </row>
    <row r="81" spans="1:14" s="2" customFormat="1" x14ac:dyDescent="0.2">
      <c r="A81" s="24"/>
      <c r="B81" s="1"/>
      <c r="C81" s="14"/>
      <c r="D81" s="25"/>
      <c r="G81" s="1"/>
      <c r="H81" s="1"/>
      <c r="M81" s="1"/>
      <c r="N81" s="1"/>
    </row>
    <row r="82" spans="1:14" s="2" customFormat="1" x14ac:dyDescent="0.2">
      <c r="A82" s="24"/>
      <c r="B82" s="1"/>
      <c r="C82" s="14"/>
      <c r="D82" s="25"/>
      <c r="G82" s="1"/>
      <c r="H82" s="1"/>
      <c r="M82" s="1"/>
      <c r="N82" s="1"/>
    </row>
    <row r="83" spans="1:14" s="2" customFormat="1" x14ac:dyDescent="0.2">
      <c r="A83" s="24"/>
      <c r="B83" s="1"/>
      <c r="C83" s="14"/>
      <c r="D83" s="25"/>
      <c r="G83" s="1"/>
      <c r="H83" s="1"/>
      <c r="M83" s="1"/>
      <c r="N83" s="1"/>
    </row>
    <row r="84" spans="1:14" s="2" customFormat="1" x14ac:dyDescent="0.2">
      <c r="A84" s="24"/>
      <c r="B84" s="1"/>
      <c r="C84" s="14"/>
      <c r="D84" s="25"/>
      <c r="G84" s="1"/>
      <c r="H84" s="1"/>
      <c r="M84" s="1"/>
      <c r="N84" s="1"/>
    </row>
    <row r="85" spans="1:14" s="2" customFormat="1" x14ac:dyDescent="0.2">
      <c r="A85" s="24"/>
      <c r="B85" s="1"/>
      <c r="C85" s="14"/>
      <c r="D85" s="25"/>
      <c r="G85" s="1"/>
      <c r="H85" s="1"/>
      <c r="M85" s="1"/>
      <c r="N85" s="1"/>
    </row>
    <row r="86" spans="1:14" s="2" customFormat="1" x14ac:dyDescent="0.2">
      <c r="A86" s="24"/>
      <c r="B86" s="1"/>
      <c r="C86" s="14"/>
      <c r="D86" s="25"/>
      <c r="G86" s="1"/>
      <c r="H86" s="1"/>
      <c r="M86" s="1"/>
      <c r="N86" s="1"/>
    </row>
    <row r="87" spans="1:14" s="2" customFormat="1" x14ac:dyDescent="0.2">
      <c r="A87" s="24"/>
      <c r="B87" s="1"/>
      <c r="C87" s="14"/>
      <c r="D87" s="25"/>
      <c r="G87" s="1"/>
      <c r="H87" s="1"/>
      <c r="M87" s="1"/>
      <c r="N87" s="1"/>
    </row>
    <row r="88" spans="1:14" s="2" customFormat="1" x14ac:dyDescent="0.2">
      <c r="A88" s="24"/>
      <c r="B88" s="1"/>
      <c r="C88" s="14"/>
      <c r="D88" s="25"/>
      <c r="G88" s="1"/>
      <c r="H88" s="1"/>
      <c r="M88" s="1"/>
      <c r="N88" s="1"/>
    </row>
    <row r="89" spans="1:14" s="2" customFormat="1" x14ac:dyDescent="0.2">
      <c r="A89" s="24"/>
      <c r="B89" s="1"/>
      <c r="C89" s="14"/>
      <c r="D89" s="25"/>
      <c r="G89" s="1"/>
      <c r="H89" s="1"/>
      <c r="M89" s="1"/>
      <c r="N89" s="1"/>
    </row>
    <row r="90" spans="1:14" s="2" customFormat="1" x14ac:dyDescent="0.2">
      <c r="A90" s="24"/>
      <c r="B90" s="1"/>
      <c r="C90" s="14"/>
      <c r="D90" s="25"/>
      <c r="G90" s="1"/>
      <c r="H90" s="1"/>
      <c r="M90" s="1"/>
      <c r="N90" s="1"/>
    </row>
    <row r="91" spans="1:14" s="2" customFormat="1" x14ac:dyDescent="0.2">
      <c r="A91" s="24"/>
      <c r="B91" s="1"/>
      <c r="C91" s="14"/>
      <c r="D91" s="25"/>
      <c r="G91" s="1"/>
      <c r="H91" s="1"/>
      <c r="M91" s="1"/>
      <c r="N91" s="1"/>
    </row>
    <row r="92" spans="1:14" s="2" customFormat="1" x14ac:dyDescent="0.2">
      <c r="A92" s="24"/>
      <c r="B92" s="1"/>
      <c r="C92" s="14"/>
      <c r="D92" s="25"/>
      <c r="G92" s="1"/>
      <c r="H92" s="1"/>
      <c r="M92" s="1"/>
      <c r="N92" s="1"/>
    </row>
    <row r="93" spans="1:14" s="2" customFormat="1" x14ac:dyDescent="0.2">
      <c r="A93" s="24"/>
      <c r="B93" s="1"/>
      <c r="C93" s="14"/>
      <c r="D93" s="25"/>
      <c r="G93" s="1"/>
      <c r="H93" s="1"/>
      <c r="J93" s="1"/>
      <c r="K93" s="1"/>
      <c r="L93" s="1"/>
      <c r="M93" s="1"/>
      <c r="N93" s="1"/>
    </row>
    <row r="94" spans="1:14" s="2" customFormat="1" x14ac:dyDescent="0.2">
      <c r="A94" s="24"/>
      <c r="B94" s="1"/>
      <c r="C94" s="14"/>
      <c r="D94" s="25"/>
      <c r="G94" s="1"/>
      <c r="H94" s="1"/>
    </row>
    <row r="95" spans="1:14" s="2" customFormat="1" x14ac:dyDescent="0.2">
      <c r="A95" s="24"/>
      <c r="B95" s="1"/>
      <c r="C95" s="14"/>
      <c r="D95" s="25"/>
      <c r="G95" s="1"/>
      <c r="H95" s="1"/>
      <c r="J95" s="1"/>
      <c r="K95" s="1"/>
      <c r="L95" s="1"/>
      <c r="M95" s="1"/>
      <c r="N95" s="1"/>
    </row>
    <row r="96" spans="1:14" s="2" customFormat="1" x14ac:dyDescent="0.2">
      <c r="A96" s="24"/>
      <c r="B96" s="1"/>
      <c r="C96" s="14"/>
      <c r="D96" s="25"/>
      <c r="G96" s="54"/>
      <c r="H96" s="54"/>
      <c r="J96" s="1"/>
      <c r="K96" s="1"/>
      <c r="L96" s="1"/>
      <c r="M96" s="1"/>
      <c r="N96" s="1"/>
    </row>
    <row r="97" spans="1:15" s="2" customFormat="1" x14ac:dyDescent="0.2">
      <c r="A97" s="24"/>
      <c r="B97" s="1"/>
      <c r="C97" s="14"/>
      <c r="D97" s="25"/>
      <c r="G97" s="54"/>
      <c r="H97" s="54"/>
      <c r="J97" s="1"/>
      <c r="K97" s="1"/>
      <c r="L97" s="1"/>
      <c r="M97" s="1"/>
      <c r="N97" s="1"/>
    </row>
    <row r="98" spans="1:15" s="2" customFormat="1" x14ac:dyDescent="0.2">
      <c r="A98" s="24"/>
      <c r="B98" s="1"/>
      <c r="C98" s="14"/>
      <c r="D98" s="25"/>
      <c r="G98" s="54"/>
      <c r="H98" s="54"/>
      <c r="J98" s="1"/>
      <c r="K98" s="1"/>
      <c r="L98" s="1"/>
      <c r="M98" s="1"/>
      <c r="N98" s="1"/>
    </row>
    <row r="99" spans="1:15" s="2" customFormat="1" x14ac:dyDescent="0.2">
      <c r="A99" s="24"/>
      <c r="B99" s="1"/>
      <c r="C99" s="14"/>
      <c r="D99" s="25"/>
      <c r="G99" s="54"/>
      <c r="H99" s="54"/>
      <c r="I99" s="2" t="s">
        <v>396</v>
      </c>
      <c r="J99" s="1"/>
      <c r="K99" s="1"/>
      <c r="L99" s="1"/>
      <c r="M99" s="1"/>
      <c r="N99" s="1"/>
      <c r="O99" s="1"/>
    </row>
    <row r="100" spans="1:15" s="2" customFormat="1" x14ac:dyDescent="0.2">
      <c r="A100" s="24"/>
      <c r="B100" s="1"/>
      <c r="C100" s="14"/>
      <c r="D100" s="25"/>
      <c r="G100" s="54"/>
      <c r="H100" s="54"/>
      <c r="I100" s="53"/>
    </row>
    <row r="101" spans="1:15" s="2" customFormat="1" x14ac:dyDescent="0.2">
      <c r="A101" s="24"/>
      <c r="B101" s="1"/>
      <c r="C101" s="14"/>
      <c r="D101" s="25"/>
      <c r="G101" s="54"/>
      <c r="H101" s="54"/>
      <c r="I101" s="53" t="s">
        <v>396</v>
      </c>
      <c r="J101" s="1"/>
      <c r="K101" s="1"/>
      <c r="L101" s="1"/>
      <c r="M101" s="1"/>
      <c r="N101" s="1"/>
      <c r="O101" s="1"/>
    </row>
    <row r="102" spans="1:15" x14ac:dyDescent="0.2">
      <c r="G102" s="54"/>
      <c r="H102" s="54"/>
      <c r="I102" s="53" t="s">
        <v>396</v>
      </c>
      <c r="K102" s="42"/>
    </row>
    <row r="103" spans="1:15" s="2" customFormat="1" x14ac:dyDescent="0.2">
      <c r="A103" s="24"/>
      <c r="B103" s="1"/>
      <c r="C103" s="14"/>
      <c r="D103" s="25"/>
      <c r="G103" s="54"/>
      <c r="H103" s="54"/>
      <c r="I103" s="53"/>
      <c r="J103" s="101"/>
      <c r="K103" s="1"/>
      <c r="L103" s="1"/>
      <c r="M103" s="1"/>
      <c r="N103" s="1"/>
      <c r="O103" s="1"/>
    </row>
    <row r="104" spans="1:15" x14ac:dyDescent="0.2">
      <c r="G104" s="54"/>
      <c r="H104" s="54"/>
      <c r="I104" s="53"/>
    </row>
    <row r="105" spans="1:15" x14ac:dyDescent="0.2">
      <c r="G105" s="54"/>
      <c r="H105" s="54"/>
      <c r="I105" s="53"/>
    </row>
    <row r="106" spans="1:15" x14ac:dyDescent="0.2">
      <c r="G106" s="54"/>
      <c r="H106" s="54"/>
      <c r="I106" s="53"/>
    </row>
  </sheetData>
  <sheetProtection insertRows="0"/>
  <mergeCells count="7">
    <mergeCell ref="K55:L55"/>
    <mergeCell ref="A62:D62"/>
    <mergeCell ref="C68:F68"/>
    <mergeCell ref="A1:H1"/>
    <mergeCell ref="A3:F3"/>
    <mergeCell ref="A9:F9"/>
    <mergeCell ref="A24:F24"/>
  </mergeCells>
  <conditionalFormatting sqref="H59:H60">
    <cfRule type="cellIs" dxfId="95" priority="1" operator="lessThan">
      <formula>0</formula>
    </cfRule>
  </conditionalFormatting>
  <conditionalFormatting sqref="C26">
    <cfRule type="duplicateValues" dxfId="94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F300-000000000000}">
  <sheetPr codeName="Sheet539">
    <pageSetUpPr fitToPage="1"/>
  </sheetPr>
  <dimension ref="A1:O145"/>
  <sheetViews>
    <sheetView topLeftCell="D67" zoomScaleNormal="100" workbookViewId="0">
      <selection activeCell="L77" sqref="L77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12.85546875" style="1" customWidth="1"/>
    <col min="9" max="9" width="24.85546875" style="2" bestFit="1" customWidth="1"/>
    <col min="10" max="10" width="21.5703125" style="1" bestFit="1" customWidth="1"/>
    <col min="11" max="11" width="16.85546875" style="1" bestFit="1" customWidth="1"/>
    <col min="12" max="12" width="19.5703125" style="1" bestFit="1" customWidth="1"/>
    <col min="13" max="13" width="13.5703125" style="1" bestFit="1" customWidth="1"/>
    <col min="14" max="14" width="17.42578125" style="1" bestFit="1" customWidth="1"/>
    <col min="15" max="15" width="12.85546875" style="1" bestFit="1" customWidth="1"/>
    <col min="16" max="17" width="9.140625" style="1"/>
    <col min="18" max="18" width="15.5703125" style="1" bestFit="1" customWidth="1"/>
    <col min="19" max="16384" width="9.140625" style="1"/>
  </cols>
  <sheetData>
    <row r="1" spans="1:14" ht="20.25" customHeight="1" x14ac:dyDescent="0.4">
      <c r="A1" s="212" t="s">
        <v>2034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4" ht="12.75" customHeight="1" x14ac:dyDescent="0.4">
      <c r="I2" s="112"/>
      <c r="J2" s="112"/>
    </row>
    <row r="3" spans="1:14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4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4" s="2" customFormat="1" ht="14.25" customHeight="1" x14ac:dyDescent="0.4">
      <c r="A5" s="89">
        <v>45325</v>
      </c>
      <c r="B5" s="9" t="s">
        <v>6</v>
      </c>
      <c r="C5" s="10" t="s">
        <v>7</v>
      </c>
      <c r="D5" s="11"/>
      <c r="E5" s="12">
        <v>3768527.2300000004</v>
      </c>
      <c r="F5" s="12"/>
      <c r="G5" s="1"/>
      <c r="H5" s="1"/>
      <c r="I5" s="112"/>
      <c r="J5" s="112"/>
    </row>
    <row r="6" spans="1:14" s="2" customFormat="1" ht="12.75" customHeight="1" x14ac:dyDescent="0.2">
      <c r="D6" s="15" t="s">
        <v>8</v>
      </c>
      <c r="E6" s="16">
        <f>SUM(E5:E5)</f>
        <v>3768527.2300000004</v>
      </c>
      <c r="F6" s="16">
        <f>F5</f>
        <v>0</v>
      </c>
      <c r="G6" s="1"/>
      <c r="H6" s="1"/>
      <c r="I6" s="13" t="s">
        <v>1582</v>
      </c>
      <c r="J6" s="13" t="s">
        <v>1583</v>
      </c>
    </row>
    <row r="7" spans="1:14" s="2" customFormat="1" ht="12.75" customHeight="1" x14ac:dyDescent="0.2">
      <c r="A7" s="17"/>
      <c r="B7" s="18"/>
      <c r="C7" s="19" t="s">
        <v>9</v>
      </c>
      <c r="D7" s="20"/>
      <c r="E7" s="21">
        <f>+E6-F6</f>
        <v>3768527.2300000004</v>
      </c>
      <c r="F7" s="22"/>
      <c r="G7" s="23"/>
      <c r="H7" s="23"/>
      <c r="I7" s="2">
        <v>210157</v>
      </c>
      <c r="J7" s="2">
        <v>0</v>
      </c>
      <c r="K7" s="176">
        <f>I7-J7</f>
        <v>210157</v>
      </c>
    </row>
    <row r="8" spans="1:14" ht="12.75" customHeight="1" x14ac:dyDescent="0.4">
      <c r="I8" s="112"/>
      <c r="J8" s="112"/>
    </row>
    <row r="9" spans="1:14" ht="18" customHeight="1" x14ac:dyDescent="0.4">
      <c r="A9" s="213" t="s">
        <v>1037</v>
      </c>
      <c r="B9" s="213"/>
      <c r="C9" s="213"/>
      <c r="D9" s="213"/>
      <c r="E9" s="213"/>
      <c r="F9" s="213"/>
      <c r="I9" s="112"/>
      <c r="J9" s="169">
        <f>90000000-60000000</f>
        <v>30000000</v>
      </c>
      <c r="K9" s="169" t="s">
        <v>1508</v>
      </c>
    </row>
    <row r="10" spans="1:14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I10" s="112"/>
      <c r="J10" s="169">
        <v>25193827.809999999</v>
      </c>
      <c r="K10" s="169" t="s">
        <v>1509</v>
      </c>
      <c r="L10" s="124"/>
    </row>
    <row r="11" spans="1:14" s="2" customFormat="1" ht="14.25" customHeight="1" x14ac:dyDescent="0.2">
      <c r="A11" s="89">
        <v>45325</v>
      </c>
      <c r="B11" s="9" t="s">
        <v>6</v>
      </c>
      <c r="C11" s="10" t="s">
        <v>7</v>
      </c>
      <c r="D11" s="11"/>
      <c r="F11" s="12">
        <v>24983670.810000002</v>
      </c>
      <c r="G11" s="1"/>
      <c r="H11" s="1"/>
      <c r="I11" s="130" t="s">
        <v>396</v>
      </c>
      <c r="J11" s="169">
        <f>+J9-J10</f>
        <v>4806172.1900000013</v>
      </c>
      <c r="K11" s="169" t="s">
        <v>712</v>
      </c>
      <c r="L11" s="165" t="s">
        <v>1512</v>
      </c>
    </row>
    <row r="12" spans="1:14" s="2" customFormat="1" ht="14.25" customHeight="1" x14ac:dyDescent="0.2">
      <c r="A12" s="89">
        <v>45325</v>
      </c>
      <c r="B12" s="9" t="s">
        <v>6</v>
      </c>
      <c r="C12" s="76" t="s">
        <v>1137</v>
      </c>
      <c r="D12" s="11" t="s">
        <v>13</v>
      </c>
      <c r="E12" s="31">
        <v>9525.84</v>
      </c>
      <c r="F12" s="31"/>
      <c r="G12" s="1"/>
      <c r="H12" s="1"/>
      <c r="I12" s="130"/>
      <c r="J12" s="169"/>
      <c r="K12" s="169"/>
      <c r="L12" s="165"/>
    </row>
    <row r="13" spans="1:14" s="2" customFormat="1" ht="14.25" customHeight="1" x14ac:dyDescent="0.2">
      <c r="A13" s="89">
        <v>45325</v>
      </c>
      <c r="B13" s="9" t="s">
        <v>11</v>
      </c>
      <c r="C13" s="76" t="s">
        <v>156</v>
      </c>
      <c r="D13" s="11" t="s">
        <v>29</v>
      </c>
      <c r="E13" s="31"/>
      <c r="F13" s="31">
        <v>45</v>
      </c>
      <c r="G13" s="1"/>
      <c r="H13" s="1"/>
      <c r="I13" s="130"/>
      <c r="J13" s="169"/>
      <c r="K13" s="169"/>
      <c r="L13" s="165"/>
    </row>
    <row r="14" spans="1:14" s="2" customFormat="1" ht="14.25" customHeight="1" x14ac:dyDescent="0.2">
      <c r="D14" s="11" t="s">
        <v>8</v>
      </c>
      <c r="E14" s="16">
        <f>SUM(E12:E13)</f>
        <v>9525.84</v>
      </c>
      <c r="F14" s="16">
        <f>SUM(F11:F13)</f>
        <v>24983715.810000002</v>
      </c>
      <c r="G14" s="1"/>
      <c r="H14" s="1"/>
      <c r="I14" s="143"/>
      <c r="J14" s="130"/>
      <c r="K14" s="143"/>
      <c r="L14" s="143"/>
      <c r="M14" s="143"/>
      <c r="N14" s="143"/>
    </row>
    <row r="15" spans="1:14" s="2" customFormat="1" ht="14.25" customHeight="1" x14ac:dyDescent="0.4">
      <c r="A15" s="17"/>
      <c r="B15" s="18"/>
      <c r="C15" s="96" t="s">
        <v>9</v>
      </c>
      <c r="D15" s="20"/>
      <c r="E15" s="21">
        <f>+F14-E14</f>
        <v>24974189.970000003</v>
      </c>
      <c r="G15" s="1"/>
      <c r="H15" s="1"/>
      <c r="J15" s="112"/>
      <c r="K15" s="153" t="s">
        <v>779</v>
      </c>
    </row>
    <row r="16" spans="1:14" s="2" customFormat="1" ht="14.25" customHeight="1" x14ac:dyDescent="0.2">
      <c r="A16" s="17"/>
      <c r="B16" s="28" t="s">
        <v>66</v>
      </c>
      <c r="C16" s="43" t="s">
        <v>1458</v>
      </c>
      <c r="D16" s="43"/>
      <c r="E16" s="12">
        <f>30000000+60000000</f>
        <v>90000000</v>
      </c>
      <c r="F16" s="22"/>
      <c r="G16" s="1"/>
      <c r="H16" s="1"/>
      <c r="J16" s="40">
        <v>24974189.969999999</v>
      </c>
      <c r="K16" s="154">
        <f>J16-E15</f>
        <v>0</v>
      </c>
    </row>
    <row r="17" spans="1:12" s="2" customFormat="1" ht="14.25" customHeight="1" x14ac:dyDescent="0.25">
      <c r="A17" s="36"/>
      <c r="B17" s="28"/>
      <c r="C17" s="44" t="s">
        <v>1541</v>
      </c>
      <c r="D17" s="43"/>
      <c r="E17" s="7">
        <f>+E15+E16</f>
        <v>114974189.97</v>
      </c>
      <c r="F17" s="22"/>
      <c r="G17" s="1"/>
      <c r="H17" s="1"/>
      <c r="I17" s="13" t="s">
        <v>1582</v>
      </c>
      <c r="J17" s="13" t="s">
        <v>1583</v>
      </c>
    </row>
    <row r="18" spans="1:12" s="2" customFormat="1" ht="14.25" customHeight="1" x14ac:dyDescent="0.25">
      <c r="A18" s="36"/>
      <c r="B18" s="28"/>
      <c r="C18" s="44" t="s">
        <v>1511</v>
      </c>
      <c r="D18" s="43"/>
      <c r="E18" s="38">
        <f>+J11+I7-J7</f>
        <v>5016329.1900000013</v>
      </c>
      <c r="F18" s="22"/>
      <c r="G18" s="1"/>
      <c r="H18" s="1"/>
      <c r="I18" s="2">
        <v>50756362</v>
      </c>
      <c r="J18" s="2">
        <v>54548836.079999998</v>
      </c>
      <c r="K18" s="176">
        <f>I18-J18</f>
        <v>-3792474.0799999982</v>
      </c>
    </row>
    <row r="19" spans="1:12" s="2" customFormat="1" ht="14.25" customHeight="1" x14ac:dyDescent="0.2">
      <c r="A19" s="24"/>
      <c r="B19" s="1"/>
      <c r="C19" s="14"/>
      <c r="D19" s="25"/>
      <c r="G19" s="1"/>
      <c r="H19" s="1"/>
      <c r="J19" s="130"/>
      <c r="K19" s="130"/>
    </row>
    <row r="20" spans="1:12" s="2" customFormat="1" x14ac:dyDescent="0.2">
      <c r="A20" s="214" t="s">
        <v>10</v>
      </c>
      <c r="B20" s="214"/>
      <c r="C20" s="214"/>
      <c r="D20" s="214"/>
      <c r="E20" s="214"/>
      <c r="F20" s="214"/>
      <c r="G20" s="1"/>
      <c r="H20" s="1"/>
      <c r="I20" s="159"/>
      <c r="J20" s="160">
        <v>100000000</v>
      </c>
      <c r="K20" s="160" t="s">
        <v>1506</v>
      </c>
      <c r="L20" s="70"/>
    </row>
    <row r="21" spans="1:12" s="2" customFormat="1" ht="15" x14ac:dyDescent="0.35">
      <c r="A21" s="26" t="s">
        <v>1</v>
      </c>
      <c r="B21" s="27" t="s">
        <v>2</v>
      </c>
      <c r="C21" s="5"/>
      <c r="D21" s="6" t="s">
        <v>3</v>
      </c>
      <c r="E21" s="7" t="s">
        <v>4</v>
      </c>
      <c r="F21" s="7" t="s">
        <v>5</v>
      </c>
      <c r="G21" s="1"/>
      <c r="H21" s="1"/>
      <c r="I21" s="159"/>
      <c r="J21" s="179">
        <v>58050562.850000001</v>
      </c>
      <c r="K21" s="160" t="s">
        <v>1507</v>
      </c>
      <c r="L21" s="70" t="s">
        <v>1512</v>
      </c>
    </row>
    <row r="22" spans="1:12" s="2" customFormat="1" x14ac:dyDescent="0.2">
      <c r="A22" s="89">
        <v>45325</v>
      </c>
      <c r="B22" s="128" t="s">
        <v>11</v>
      </c>
      <c r="C22" s="29" t="s">
        <v>7</v>
      </c>
      <c r="D22" s="25"/>
      <c r="E22" s="31"/>
      <c r="F22" s="2">
        <v>11074813.849999914</v>
      </c>
      <c r="G22" s="23"/>
      <c r="H22" s="23"/>
      <c r="I22" s="159" t="s">
        <v>1505</v>
      </c>
      <c r="J22" s="160">
        <f>+J20-J21</f>
        <v>41949437.149999999</v>
      </c>
      <c r="K22" s="160"/>
      <c r="L22" s="70"/>
    </row>
    <row r="23" spans="1:12" s="2" customFormat="1" x14ac:dyDescent="0.2">
      <c r="A23" s="89">
        <v>45325</v>
      </c>
      <c r="B23" s="128" t="s">
        <v>6</v>
      </c>
      <c r="C23" s="76" t="s">
        <v>15</v>
      </c>
      <c r="D23" s="11" t="s">
        <v>13</v>
      </c>
      <c r="E23" s="31">
        <v>189493.27000000002</v>
      </c>
      <c r="G23" s="23"/>
      <c r="H23" s="23"/>
      <c r="I23" s="159"/>
      <c r="J23" s="160"/>
      <c r="K23" s="160"/>
      <c r="L23" s="70"/>
    </row>
    <row r="24" spans="1:12" s="2" customFormat="1" x14ac:dyDescent="0.2">
      <c r="A24" s="89">
        <v>45325</v>
      </c>
      <c r="B24" s="128" t="s">
        <v>6</v>
      </c>
      <c r="C24" s="76" t="s">
        <v>749</v>
      </c>
      <c r="D24" s="11" t="s">
        <v>13</v>
      </c>
      <c r="E24" s="31">
        <v>1571642.75</v>
      </c>
      <c r="G24" s="23"/>
      <c r="H24" s="23"/>
      <c r="I24" s="159"/>
      <c r="J24" s="160"/>
      <c r="K24" s="160"/>
      <c r="L24" s="70"/>
    </row>
    <row r="25" spans="1:12" s="2" customFormat="1" x14ac:dyDescent="0.2">
      <c r="A25" s="89">
        <v>45325</v>
      </c>
      <c r="B25" s="128" t="s">
        <v>6</v>
      </c>
      <c r="C25" s="76" t="s">
        <v>200</v>
      </c>
      <c r="D25" s="11" t="s">
        <v>13</v>
      </c>
      <c r="E25" s="31">
        <v>213734</v>
      </c>
      <c r="G25" s="23"/>
      <c r="H25" s="23"/>
      <c r="I25" s="159"/>
      <c r="J25" s="160"/>
      <c r="K25" s="160"/>
      <c r="L25" s="70"/>
    </row>
    <row r="26" spans="1:12" s="2" customFormat="1" x14ac:dyDescent="0.2">
      <c r="A26" s="89">
        <v>45325</v>
      </c>
      <c r="B26" s="128" t="s">
        <v>6</v>
      </c>
      <c r="C26" s="76" t="s">
        <v>757</v>
      </c>
      <c r="D26" s="11" t="s">
        <v>13</v>
      </c>
      <c r="E26" s="31">
        <v>66824.600000000006</v>
      </c>
      <c r="G26" s="23"/>
      <c r="H26" s="23"/>
      <c r="I26" s="159"/>
      <c r="J26" s="160"/>
      <c r="K26" s="160"/>
      <c r="L26" s="70"/>
    </row>
    <row r="27" spans="1:12" s="2" customFormat="1" x14ac:dyDescent="0.2">
      <c r="A27" s="89">
        <v>45325</v>
      </c>
      <c r="B27" s="128" t="s">
        <v>6</v>
      </c>
      <c r="C27" s="76" t="s">
        <v>24</v>
      </c>
      <c r="D27" s="11" t="s">
        <v>13</v>
      </c>
      <c r="E27" s="31">
        <v>361244</v>
      </c>
      <c r="G27" s="23"/>
      <c r="H27" s="23"/>
      <c r="I27" s="159"/>
      <c r="J27" s="160"/>
      <c r="K27" s="160"/>
      <c r="L27" s="70"/>
    </row>
    <row r="28" spans="1:12" s="2" customFormat="1" x14ac:dyDescent="0.2">
      <c r="A28" s="89">
        <v>45325</v>
      </c>
      <c r="B28" s="128" t="s">
        <v>6</v>
      </c>
      <c r="C28" s="76" t="s">
        <v>120</v>
      </c>
      <c r="D28" s="11" t="s">
        <v>13</v>
      </c>
      <c r="E28" s="31">
        <v>139188</v>
      </c>
      <c r="G28" s="23"/>
      <c r="H28" s="23"/>
      <c r="I28" s="159"/>
      <c r="J28" s="160"/>
      <c r="K28" s="160"/>
      <c r="L28" s="70"/>
    </row>
    <row r="29" spans="1:12" s="2" customFormat="1" x14ac:dyDescent="0.2">
      <c r="A29" s="89">
        <v>45325</v>
      </c>
      <c r="B29" s="128" t="s">
        <v>6</v>
      </c>
      <c r="C29" s="76" t="s">
        <v>450</v>
      </c>
      <c r="D29" s="11" t="s">
        <v>13</v>
      </c>
      <c r="E29" s="31">
        <v>92836</v>
      </c>
      <c r="G29" s="23"/>
      <c r="H29" s="23"/>
      <c r="I29" s="159"/>
      <c r="J29" s="160"/>
      <c r="K29" s="160"/>
      <c r="L29" s="70"/>
    </row>
    <row r="30" spans="1:12" s="2" customFormat="1" x14ac:dyDescent="0.2">
      <c r="A30" s="89">
        <v>45325</v>
      </c>
      <c r="B30" s="128" t="s">
        <v>6</v>
      </c>
      <c r="C30" s="76" t="s">
        <v>764</v>
      </c>
      <c r="D30" s="11" t="s">
        <v>13</v>
      </c>
      <c r="E30" s="31">
        <v>985625.76</v>
      </c>
      <c r="G30" s="23"/>
      <c r="H30" s="23"/>
      <c r="I30" s="159"/>
      <c r="J30" s="160"/>
      <c r="K30" s="160"/>
      <c r="L30" s="70"/>
    </row>
    <row r="31" spans="1:12" s="2" customFormat="1" x14ac:dyDescent="0.2">
      <c r="A31" s="89">
        <v>45325</v>
      </c>
      <c r="B31" s="128" t="s">
        <v>6</v>
      </c>
      <c r="C31" s="76" t="s">
        <v>760</v>
      </c>
      <c r="D31" s="11" t="s">
        <v>13</v>
      </c>
      <c r="E31" s="31">
        <v>1081944.8600000001</v>
      </c>
      <c r="G31" s="23"/>
      <c r="H31" s="23"/>
      <c r="I31" s="159"/>
      <c r="J31" s="160"/>
      <c r="K31" s="160"/>
      <c r="L31" s="70"/>
    </row>
    <row r="32" spans="1:12" s="2" customFormat="1" x14ac:dyDescent="0.2">
      <c r="A32" s="89">
        <v>45325</v>
      </c>
      <c r="B32" s="128" t="s">
        <v>6</v>
      </c>
      <c r="C32" s="76" t="s">
        <v>755</v>
      </c>
      <c r="D32" s="11" t="s">
        <v>13</v>
      </c>
      <c r="E32" s="31">
        <v>1199117.6399999999</v>
      </c>
      <c r="G32" s="23"/>
      <c r="H32" s="23"/>
      <c r="I32" s="159"/>
      <c r="J32" s="160"/>
      <c r="K32" s="160"/>
      <c r="L32" s="70"/>
    </row>
    <row r="33" spans="1:12" s="2" customFormat="1" x14ac:dyDescent="0.2">
      <c r="A33" s="89">
        <v>45325</v>
      </c>
      <c r="B33" s="128" t="s">
        <v>6</v>
      </c>
      <c r="C33" s="76" t="s">
        <v>1925</v>
      </c>
      <c r="D33" s="11" t="s">
        <v>13</v>
      </c>
      <c r="E33" s="31">
        <v>1603519.22</v>
      </c>
      <c r="G33" s="23"/>
      <c r="H33" s="23"/>
      <c r="I33" s="159"/>
      <c r="J33" s="160"/>
      <c r="K33" s="160"/>
      <c r="L33" s="70"/>
    </row>
    <row r="34" spans="1:12" s="2" customFormat="1" x14ac:dyDescent="0.2">
      <c r="A34" s="89">
        <v>45325</v>
      </c>
      <c r="B34" s="128" t="s">
        <v>6</v>
      </c>
      <c r="C34" s="76" t="s">
        <v>765</v>
      </c>
      <c r="D34" s="11" t="s">
        <v>13</v>
      </c>
      <c r="E34" s="31">
        <v>9381277.7400000002</v>
      </c>
      <c r="G34" s="23"/>
      <c r="H34" s="23"/>
      <c r="I34" s="159"/>
      <c r="J34" s="160"/>
      <c r="K34" s="160"/>
      <c r="L34" s="70"/>
    </row>
    <row r="35" spans="1:12" s="2" customFormat="1" x14ac:dyDescent="0.2">
      <c r="A35" s="89">
        <v>45325</v>
      </c>
      <c r="B35" s="128" t="s">
        <v>6</v>
      </c>
      <c r="C35" s="76" t="s">
        <v>771</v>
      </c>
      <c r="D35" s="11" t="s">
        <v>13</v>
      </c>
      <c r="E35" s="31">
        <v>6489</v>
      </c>
      <c r="G35" s="23"/>
      <c r="H35" s="23"/>
      <c r="I35" s="159"/>
      <c r="J35" s="160"/>
      <c r="K35" s="160"/>
      <c r="L35" s="70"/>
    </row>
    <row r="36" spans="1:12" s="2" customFormat="1" x14ac:dyDescent="0.2">
      <c r="A36" s="89">
        <v>45325</v>
      </c>
      <c r="B36" s="128" t="s">
        <v>6</v>
      </c>
      <c r="C36" s="76" t="s">
        <v>465</v>
      </c>
      <c r="D36" s="11" t="s">
        <v>13</v>
      </c>
      <c r="E36" s="31">
        <v>1897564.53</v>
      </c>
      <c r="G36" s="23"/>
      <c r="H36" s="23"/>
      <c r="I36" s="159"/>
      <c r="J36" s="160"/>
      <c r="K36" s="160"/>
      <c r="L36" s="70"/>
    </row>
    <row r="37" spans="1:12" s="2" customFormat="1" x14ac:dyDescent="0.2">
      <c r="A37" s="89">
        <v>45325</v>
      </c>
      <c r="B37" s="128" t="s">
        <v>6</v>
      </c>
      <c r="C37" s="76" t="s">
        <v>1370</v>
      </c>
      <c r="D37" s="11" t="s">
        <v>13</v>
      </c>
      <c r="E37" s="31">
        <v>164063</v>
      </c>
      <c r="G37" s="23"/>
      <c r="H37" s="23"/>
      <c r="I37" s="159"/>
      <c r="J37" s="160"/>
      <c r="K37" s="160"/>
      <c r="L37" s="70"/>
    </row>
    <row r="38" spans="1:12" s="2" customFormat="1" x14ac:dyDescent="0.2">
      <c r="A38" s="89">
        <v>45325</v>
      </c>
      <c r="B38" s="128" t="s">
        <v>6</v>
      </c>
      <c r="C38" s="76" t="s">
        <v>249</v>
      </c>
      <c r="D38" s="11" t="s">
        <v>13</v>
      </c>
      <c r="E38" s="31">
        <v>50361</v>
      </c>
      <c r="G38" s="23"/>
      <c r="H38" s="23"/>
      <c r="I38" s="159"/>
      <c r="J38" s="160"/>
      <c r="K38" s="160"/>
      <c r="L38" s="70"/>
    </row>
    <row r="39" spans="1:12" s="2" customFormat="1" x14ac:dyDescent="0.2">
      <c r="A39" s="89">
        <v>45325</v>
      </c>
      <c r="B39" s="128" t="s">
        <v>6</v>
      </c>
      <c r="C39" s="76" t="s">
        <v>1953</v>
      </c>
      <c r="D39" s="11" t="s">
        <v>13</v>
      </c>
      <c r="E39" s="31">
        <v>938862</v>
      </c>
      <c r="G39" s="23"/>
      <c r="H39" s="23"/>
      <c r="I39" s="159"/>
      <c r="J39" s="160"/>
      <c r="K39" s="160"/>
      <c r="L39" s="70"/>
    </row>
    <row r="40" spans="1:12" s="2" customFormat="1" x14ac:dyDescent="0.2">
      <c r="A40" s="89">
        <v>45325</v>
      </c>
      <c r="B40" s="128" t="s">
        <v>6</v>
      </c>
      <c r="C40" s="76" t="s">
        <v>219</v>
      </c>
      <c r="D40" s="11" t="s">
        <v>13</v>
      </c>
      <c r="E40" s="31">
        <v>560738</v>
      </c>
      <c r="G40" s="23"/>
      <c r="H40" s="23"/>
      <c r="I40" s="159"/>
      <c r="J40" s="160"/>
      <c r="K40" s="160"/>
      <c r="L40" s="70"/>
    </row>
    <row r="41" spans="1:12" s="2" customFormat="1" x14ac:dyDescent="0.2">
      <c r="A41" s="89">
        <v>45325</v>
      </c>
      <c r="B41" s="128" t="s">
        <v>6</v>
      </c>
      <c r="C41" s="76" t="s">
        <v>332</v>
      </c>
      <c r="D41" s="11" t="s">
        <v>13</v>
      </c>
      <c r="E41" s="31">
        <v>7972</v>
      </c>
      <c r="G41" s="23"/>
      <c r="H41" s="23"/>
      <c r="I41" s="159"/>
      <c r="J41" s="160"/>
      <c r="K41" s="160"/>
      <c r="L41" s="70"/>
    </row>
    <row r="42" spans="1:12" s="2" customFormat="1" x14ac:dyDescent="0.2">
      <c r="A42" s="89">
        <v>45325</v>
      </c>
      <c r="B42" s="128" t="s">
        <v>6</v>
      </c>
      <c r="C42" s="76" t="s">
        <v>843</v>
      </c>
      <c r="D42" s="11" t="s">
        <v>13</v>
      </c>
      <c r="E42" s="31">
        <v>21000</v>
      </c>
      <c r="G42" s="23"/>
      <c r="H42" s="23"/>
      <c r="I42" s="159"/>
      <c r="J42" s="160"/>
      <c r="K42" s="160"/>
      <c r="L42" s="70"/>
    </row>
    <row r="43" spans="1:12" s="2" customFormat="1" x14ac:dyDescent="0.2">
      <c r="A43" s="89">
        <v>45325</v>
      </c>
      <c r="B43" s="128" t="s">
        <v>6</v>
      </c>
      <c r="C43" s="76" t="s">
        <v>727</v>
      </c>
      <c r="D43" s="11" t="s">
        <v>13</v>
      </c>
      <c r="E43" s="31">
        <v>186681</v>
      </c>
      <c r="G43" s="23"/>
      <c r="H43" s="23"/>
      <c r="I43" s="159"/>
      <c r="J43" s="160"/>
      <c r="K43" s="160"/>
      <c r="L43" s="70"/>
    </row>
    <row r="44" spans="1:12" s="2" customFormat="1" x14ac:dyDescent="0.2">
      <c r="A44" s="89">
        <v>45325</v>
      </c>
      <c r="B44" s="128" t="s">
        <v>6</v>
      </c>
      <c r="C44" s="76" t="s">
        <v>1635</v>
      </c>
      <c r="D44" s="11" t="s">
        <v>13</v>
      </c>
      <c r="E44" s="31">
        <v>27531</v>
      </c>
      <c r="G44" s="23"/>
      <c r="H44" s="23"/>
      <c r="I44" s="159"/>
      <c r="J44" s="160"/>
      <c r="K44" s="160"/>
      <c r="L44" s="70"/>
    </row>
    <row r="45" spans="1:12" s="2" customFormat="1" x14ac:dyDescent="0.2">
      <c r="A45" s="89">
        <v>45325</v>
      </c>
      <c r="B45" s="128" t="s">
        <v>11</v>
      </c>
      <c r="C45" s="76" t="s">
        <v>550</v>
      </c>
      <c r="D45" s="11" t="s">
        <v>29</v>
      </c>
      <c r="E45" s="31"/>
      <c r="F45" s="2">
        <v>520139</v>
      </c>
      <c r="G45" s="23"/>
      <c r="H45" s="23"/>
      <c r="I45" s="159"/>
      <c r="J45" s="160"/>
      <c r="K45" s="160"/>
      <c r="L45" s="70"/>
    </row>
    <row r="46" spans="1:12" s="2" customFormat="1" x14ac:dyDescent="0.2">
      <c r="A46" s="89">
        <v>45325</v>
      </c>
      <c r="B46" s="128" t="s">
        <v>11</v>
      </c>
      <c r="C46" s="76" t="s">
        <v>64</v>
      </c>
      <c r="D46" s="11" t="s">
        <v>29</v>
      </c>
      <c r="E46" s="31"/>
      <c r="F46" s="2">
        <v>8850</v>
      </c>
      <c r="G46" s="23"/>
      <c r="H46" s="23"/>
      <c r="I46" s="159"/>
      <c r="J46" s="160"/>
      <c r="K46" s="160"/>
      <c r="L46" s="70"/>
    </row>
    <row r="47" spans="1:12" s="2" customFormat="1" x14ac:dyDescent="0.2">
      <c r="A47" s="89">
        <v>45325</v>
      </c>
      <c r="B47" s="128" t="s">
        <v>11</v>
      </c>
      <c r="C47" s="76" t="s">
        <v>1797</v>
      </c>
      <c r="D47" s="11" t="s">
        <v>29</v>
      </c>
      <c r="E47" s="31"/>
      <c r="F47" s="2">
        <v>50000000</v>
      </c>
      <c r="G47" s="23"/>
      <c r="H47" s="23"/>
      <c r="I47" s="159"/>
      <c r="J47" s="160"/>
      <c r="K47" s="160"/>
      <c r="L47" s="70"/>
    </row>
    <row r="48" spans="1:12" s="2" customFormat="1" x14ac:dyDescent="0.2">
      <c r="A48" s="89">
        <v>45325</v>
      </c>
      <c r="B48" s="128" t="s">
        <v>11</v>
      </c>
      <c r="C48" s="76" t="s">
        <v>1734</v>
      </c>
      <c r="D48" s="11" t="s">
        <v>29</v>
      </c>
      <c r="E48" s="31"/>
      <c r="F48" s="2">
        <v>1973829</v>
      </c>
      <c r="G48" s="23"/>
      <c r="H48" s="23"/>
      <c r="I48" s="159"/>
      <c r="J48" s="160"/>
      <c r="K48" s="160"/>
      <c r="L48" s="70"/>
    </row>
    <row r="49" spans="1:12" s="2" customFormat="1" x14ac:dyDescent="0.2">
      <c r="A49" s="89">
        <v>45325</v>
      </c>
      <c r="B49" s="128" t="s">
        <v>11</v>
      </c>
      <c r="C49" s="76" t="s">
        <v>111</v>
      </c>
      <c r="D49" s="11" t="s">
        <v>29</v>
      </c>
      <c r="E49" s="31"/>
      <c r="F49" s="2">
        <v>1189236.24</v>
      </c>
      <c r="G49" s="23"/>
      <c r="H49" s="23"/>
      <c r="I49" s="159"/>
      <c r="J49" s="160"/>
      <c r="K49" s="160"/>
      <c r="L49" s="70"/>
    </row>
    <row r="50" spans="1:12" s="2" customFormat="1" x14ac:dyDescent="0.2">
      <c r="A50" s="89">
        <v>45325</v>
      </c>
      <c r="B50" s="128" t="s">
        <v>11</v>
      </c>
      <c r="C50" s="76" t="s">
        <v>443</v>
      </c>
      <c r="D50" s="11" t="s">
        <v>29</v>
      </c>
      <c r="E50" s="31"/>
      <c r="F50" s="2">
        <v>750000</v>
      </c>
      <c r="G50" s="23"/>
      <c r="H50" s="23"/>
      <c r="I50" s="159"/>
      <c r="J50" s="160"/>
      <c r="K50" s="160"/>
      <c r="L50" s="70"/>
    </row>
    <row r="51" spans="1:12" s="2" customFormat="1" x14ac:dyDescent="0.2">
      <c r="A51" s="89">
        <v>45325</v>
      </c>
      <c r="B51" s="128" t="s">
        <v>11</v>
      </c>
      <c r="C51" s="76" t="s">
        <v>663</v>
      </c>
      <c r="D51" s="11" t="s">
        <v>29</v>
      </c>
      <c r="E51" s="31"/>
      <c r="F51" s="2">
        <v>55440</v>
      </c>
      <c r="G51" s="23"/>
      <c r="H51" s="23"/>
      <c r="I51" s="159"/>
      <c r="J51" s="160"/>
      <c r="K51" s="160"/>
      <c r="L51" s="70"/>
    </row>
    <row r="52" spans="1:12" s="2" customFormat="1" x14ac:dyDescent="0.2">
      <c r="A52" s="89">
        <v>45325</v>
      </c>
      <c r="B52" s="128" t="s">
        <v>11</v>
      </c>
      <c r="C52" s="76" t="s">
        <v>387</v>
      </c>
      <c r="D52" s="11" t="s">
        <v>29</v>
      </c>
      <c r="E52" s="31"/>
      <c r="F52" s="2">
        <v>38669</v>
      </c>
      <c r="G52" s="23"/>
      <c r="H52" s="23"/>
      <c r="I52" s="159"/>
      <c r="J52" s="160"/>
      <c r="K52" s="160"/>
      <c r="L52" s="70"/>
    </row>
    <row r="53" spans="1:12" s="2" customFormat="1" x14ac:dyDescent="0.2">
      <c r="A53" s="89">
        <v>45325</v>
      </c>
      <c r="B53" s="128" t="s">
        <v>11</v>
      </c>
      <c r="C53" s="76" t="s">
        <v>206</v>
      </c>
      <c r="D53" s="11" t="s">
        <v>29</v>
      </c>
      <c r="E53" s="31"/>
      <c r="F53" s="2">
        <v>951115</v>
      </c>
      <c r="G53" s="23"/>
      <c r="H53" s="23"/>
      <c r="I53" s="159"/>
      <c r="J53" s="160"/>
      <c r="K53" s="160"/>
      <c r="L53" s="70"/>
    </row>
    <row r="54" spans="1:12" s="2" customFormat="1" x14ac:dyDescent="0.2">
      <c r="A54" s="89">
        <v>45325</v>
      </c>
      <c r="B54" s="128" t="s">
        <v>11</v>
      </c>
      <c r="C54" s="76" t="s">
        <v>192</v>
      </c>
      <c r="D54" s="11" t="s">
        <v>29</v>
      </c>
      <c r="E54" s="31"/>
      <c r="F54" s="2">
        <v>835951</v>
      </c>
      <c r="G54" s="23"/>
      <c r="H54" s="23"/>
      <c r="I54" s="159"/>
      <c r="J54" s="160"/>
      <c r="K54" s="160"/>
      <c r="L54" s="70"/>
    </row>
    <row r="55" spans="1:12" s="2" customFormat="1" x14ac:dyDescent="0.2">
      <c r="A55" s="89">
        <v>45325</v>
      </c>
      <c r="B55" s="128" t="s">
        <v>11</v>
      </c>
      <c r="C55" s="76" t="s">
        <v>191</v>
      </c>
      <c r="D55" s="11" t="s">
        <v>29</v>
      </c>
      <c r="E55" s="31"/>
      <c r="F55" s="2">
        <v>267617</v>
      </c>
      <c r="G55" s="23"/>
      <c r="H55" s="23"/>
      <c r="I55" s="159"/>
      <c r="J55" s="160"/>
      <c r="K55" s="160"/>
      <c r="L55" s="70"/>
    </row>
    <row r="56" spans="1:12" s="2" customFormat="1" x14ac:dyDescent="0.2">
      <c r="A56" s="89">
        <v>45325</v>
      </c>
      <c r="B56" s="128" t="s">
        <v>11</v>
      </c>
      <c r="C56" s="76" t="s">
        <v>804</v>
      </c>
      <c r="D56" s="11" t="s">
        <v>29</v>
      </c>
      <c r="E56" s="31"/>
      <c r="F56" s="2">
        <v>520156</v>
      </c>
      <c r="G56" s="23"/>
      <c r="H56" s="23"/>
      <c r="I56" s="159"/>
      <c r="J56" s="160"/>
      <c r="K56" s="160"/>
      <c r="L56" s="70"/>
    </row>
    <row r="57" spans="1:12" s="2" customFormat="1" x14ac:dyDescent="0.2">
      <c r="A57" s="89">
        <v>45325</v>
      </c>
      <c r="B57" s="128" t="s">
        <v>11</v>
      </c>
      <c r="C57" s="76" t="s">
        <v>190</v>
      </c>
      <c r="D57" s="11" t="s">
        <v>29</v>
      </c>
      <c r="E57" s="31"/>
      <c r="F57" s="2">
        <v>1832525</v>
      </c>
      <c r="G57" s="23"/>
      <c r="H57" s="23"/>
      <c r="I57" s="159"/>
      <c r="J57" s="160"/>
      <c r="K57" s="160"/>
      <c r="L57" s="70"/>
    </row>
    <row r="58" spans="1:12" s="2" customFormat="1" x14ac:dyDescent="0.2">
      <c r="A58" s="89">
        <v>45325</v>
      </c>
      <c r="B58" s="128" t="s">
        <v>11</v>
      </c>
      <c r="C58" s="76" t="s">
        <v>185</v>
      </c>
      <c r="D58" s="11" t="s">
        <v>29</v>
      </c>
      <c r="E58" s="31"/>
      <c r="F58" s="2">
        <v>1163696</v>
      </c>
      <c r="G58" s="23"/>
      <c r="H58" s="23"/>
      <c r="I58" s="159"/>
      <c r="J58" s="160"/>
      <c r="K58" s="160"/>
      <c r="L58" s="70"/>
    </row>
    <row r="59" spans="1:12" s="2" customFormat="1" x14ac:dyDescent="0.2">
      <c r="A59" s="89">
        <v>45325</v>
      </c>
      <c r="B59" s="128" t="s">
        <v>11</v>
      </c>
      <c r="C59" s="76" t="s">
        <v>188</v>
      </c>
      <c r="D59" s="11" t="s">
        <v>29</v>
      </c>
      <c r="E59" s="31"/>
      <c r="F59" s="2">
        <v>172677</v>
      </c>
      <c r="G59" s="23"/>
      <c r="H59" s="23"/>
      <c r="I59" s="159"/>
      <c r="J59" s="160"/>
      <c r="K59" s="160"/>
      <c r="L59" s="70"/>
    </row>
    <row r="60" spans="1:12" s="2" customFormat="1" x14ac:dyDescent="0.2">
      <c r="A60" s="89">
        <v>45325</v>
      </c>
      <c r="B60" s="128" t="s">
        <v>11</v>
      </c>
      <c r="C60" s="76" t="s">
        <v>189</v>
      </c>
      <c r="D60" s="11" t="s">
        <v>29</v>
      </c>
      <c r="E60" s="31"/>
      <c r="F60" s="2">
        <v>489930</v>
      </c>
      <c r="G60" s="23"/>
      <c r="H60" s="23"/>
      <c r="I60" s="159"/>
      <c r="J60" s="160"/>
      <c r="K60" s="160"/>
      <c r="L60" s="70"/>
    </row>
    <row r="61" spans="1:12" s="2" customFormat="1" x14ac:dyDescent="0.2">
      <c r="A61" s="89">
        <v>45325</v>
      </c>
      <c r="B61" s="128" t="s">
        <v>11</v>
      </c>
      <c r="C61" s="76" t="s">
        <v>187</v>
      </c>
      <c r="D61" s="11" t="s">
        <v>29</v>
      </c>
      <c r="E61" s="31"/>
      <c r="F61" s="2">
        <v>1457134</v>
      </c>
      <c r="G61" s="23"/>
      <c r="H61" s="23"/>
      <c r="I61" s="159"/>
      <c r="J61" s="160"/>
      <c r="K61" s="160"/>
      <c r="L61" s="70"/>
    </row>
    <row r="62" spans="1:12" s="2" customFormat="1" x14ac:dyDescent="0.2">
      <c r="A62" s="89">
        <v>45325</v>
      </c>
      <c r="B62" s="128" t="s">
        <v>11</v>
      </c>
      <c r="C62" s="76" t="s">
        <v>588</v>
      </c>
      <c r="D62" s="11" t="s">
        <v>29</v>
      </c>
      <c r="E62" s="31"/>
      <c r="F62" s="2">
        <v>122850</v>
      </c>
      <c r="G62" s="23"/>
      <c r="H62" s="23"/>
      <c r="I62" s="159"/>
      <c r="J62" s="160"/>
      <c r="K62" s="160"/>
      <c r="L62" s="70"/>
    </row>
    <row r="63" spans="1:12" s="2" customFormat="1" x14ac:dyDescent="0.2">
      <c r="A63" s="89">
        <v>45325</v>
      </c>
      <c r="B63" s="128" t="s">
        <v>11</v>
      </c>
      <c r="C63" s="76" t="s">
        <v>664</v>
      </c>
      <c r="D63" s="11" t="s">
        <v>29</v>
      </c>
      <c r="E63" s="31"/>
      <c r="F63" s="2">
        <v>48658</v>
      </c>
      <c r="G63" s="23"/>
      <c r="H63" s="23"/>
      <c r="I63" s="159"/>
      <c r="J63" s="160"/>
      <c r="K63" s="160"/>
      <c r="L63" s="70"/>
    </row>
    <row r="64" spans="1:12" s="2" customFormat="1" x14ac:dyDescent="0.2">
      <c r="A64" s="89">
        <v>45325</v>
      </c>
      <c r="B64" s="128" t="s">
        <v>11</v>
      </c>
      <c r="C64" s="76" t="s">
        <v>184</v>
      </c>
      <c r="D64" s="11" t="s">
        <v>29</v>
      </c>
      <c r="E64" s="31"/>
      <c r="F64" s="2">
        <v>56232</v>
      </c>
      <c r="G64" s="23"/>
      <c r="H64" s="23"/>
      <c r="I64" s="159"/>
      <c r="J64" s="160"/>
      <c r="K64" s="160"/>
      <c r="L64" s="70"/>
    </row>
    <row r="65" spans="1:15" s="2" customFormat="1" x14ac:dyDescent="0.2">
      <c r="A65" s="89">
        <v>45325</v>
      </c>
      <c r="B65" s="128" t="s">
        <v>11</v>
      </c>
      <c r="C65" s="76" t="s">
        <v>57</v>
      </c>
      <c r="D65" s="11" t="s">
        <v>29</v>
      </c>
      <c r="E65" s="31"/>
      <c r="F65" s="2">
        <v>5500000</v>
      </c>
      <c r="G65" s="23"/>
      <c r="H65" s="23"/>
      <c r="I65" s="159"/>
      <c r="J65" s="160"/>
      <c r="K65" s="160"/>
      <c r="L65" s="70"/>
    </row>
    <row r="66" spans="1:15" s="2" customFormat="1" x14ac:dyDescent="0.2">
      <c r="A66" s="89">
        <v>45325</v>
      </c>
      <c r="B66" s="128" t="s">
        <v>11</v>
      </c>
      <c r="C66" s="76" t="s">
        <v>167</v>
      </c>
      <c r="D66" s="11" t="s">
        <v>29</v>
      </c>
      <c r="E66" s="31"/>
      <c r="F66" s="2">
        <v>65884</v>
      </c>
      <c r="G66" s="23"/>
      <c r="H66" s="23"/>
      <c r="I66" s="159"/>
      <c r="J66" s="160"/>
      <c r="K66" s="160"/>
      <c r="L66" s="70"/>
    </row>
    <row r="67" spans="1:15" s="2" customFormat="1" x14ac:dyDescent="0.2">
      <c r="A67" s="89">
        <v>45325</v>
      </c>
      <c r="B67" s="128" t="s">
        <v>11</v>
      </c>
      <c r="C67" s="76" t="s">
        <v>170</v>
      </c>
      <c r="D67" s="11" t="s">
        <v>29</v>
      </c>
      <c r="E67" s="31"/>
      <c r="F67" s="2">
        <v>10000</v>
      </c>
      <c r="G67" s="23"/>
      <c r="H67" s="23"/>
      <c r="I67" s="159"/>
      <c r="J67" s="160"/>
      <c r="K67" s="160"/>
      <c r="L67" s="70"/>
    </row>
    <row r="68" spans="1:15" s="2" customFormat="1" x14ac:dyDescent="0.2">
      <c r="A68" s="89">
        <v>45325</v>
      </c>
      <c r="B68" s="128" t="s">
        <v>11</v>
      </c>
      <c r="C68" s="76" t="s">
        <v>169</v>
      </c>
      <c r="D68" s="11" t="s">
        <v>29</v>
      </c>
      <c r="E68" s="31"/>
      <c r="F68" s="2">
        <v>8500</v>
      </c>
      <c r="G68" s="23"/>
      <c r="H68" s="23"/>
      <c r="I68" s="159"/>
      <c r="J68" s="160"/>
      <c r="K68" s="160"/>
      <c r="L68" s="70"/>
    </row>
    <row r="69" spans="1:15" s="2" customFormat="1" x14ac:dyDescent="0.2">
      <c r="A69" s="89">
        <v>45325</v>
      </c>
      <c r="B69" s="128" t="s">
        <v>11</v>
      </c>
      <c r="C69" s="76" t="s">
        <v>168</v>
      </c>
      <c r="D69" s="11" t="s">
        <v>29</v>
      </c>
      <c r="E69" s="31"/>
      <c r="F69" s="2">
        <v>3600</v>
      </c>
      <c r="G69" s="23"/>
      <c r="H69" s="23"/>
      <c r="I69" s="159"/>
      <c r="J69" s="160"/>
      <c r="K69" s="160"/>
      <c r="L69" s="70"/>
    </row>
    <row r="70" spans="1:15" s="2" customFormat="1" x14ac:dyDescent="0.2">
      <c r="A70" s="89">
        <v>45325</v>
      </c>
      <c r="B70" s="128" t="s">
        <v>11</v>
      </c>
      <c r="C70" s="76" t="s">
        <v>789</v>
      </c>
      <c r="D70" s="11" t="s">
        <v>29</v>
      </c>
      <c r="E70" s="31"/>
      <c r="F70" s="2">
        <v>658252</v>
      </c>
      <c r="G70" s="23"/>
      <c r="H70" s="23"/>
      <c r="I70" s="159"/>
      <c r="J70" s="160"/>
      <c r="K70" s="160"/>
      <c r="L70" s="70"/>
    </row>
    <row r="71" spans="1:15" s="2" customFormat="1" x14ac:dyDescent="0.2">
      <c r="A71" s="89">
        <v>45325</v>
      </c>
      <c r="B71" s="128" t="s">
        <v>11</v>
      </c>
      <c r="C71" s="76" t="s">
        <v>207</v>
      </c>
      <c r="D71" s="11" t="s">
        <v>29</v>
      </c>
      <c r="E71" s="31"/>
      <c r="F71" s="2">
        <v>221516</v>
      </c>
      <c r="G71" s="23"/>
      <c r="H71" s="23"/>
      <c r="I71" s="159"/>
      <c r="J71" s="160"/>
      <c r="K71" s="160"/>
      <c r="L71" s="70"/>
    </row>
    <row r="72" spans="1:15" s="2" customFormat="1" x14ac:dyDescent="0.2">
      <c r="A72" s="89">
        <v>45325</v>
      </c>
      <c r="B72" s="128" t="s">
        <v>11</v>
      </c>
      <c r="C72" s="76" t="s">
        <v>186</v>
      </c>
      <c r="D72" s="11" t="s">
        <v>29</v>
      </c>
      <c r="E72" s="31"/>
      <c r="F72" s="2">
        <v>755914</v>
      </c>
      <c r="G72" s="23"/>
      <c r="H72" s="23"/>
      <c r="I72" s="159"/>
      <c r="J72" s="160"/>
      <c r="K72" s="160"/>
      <c r="L72" s="70"/>
    </row>
    <row r="73" spans="1:15" s="2" customFormat="1" x14ac:dyDescent="0.2">
      <c r="A73" s="89">
        <v>45325</v>
      </c>
      <c r="B73" s="128" t="s">
        <v>11</v>
      </c>
      <c r="C73" s="76" t="s">
        <v>793</v>
      </c>
      <c r="D73" s="11" t="s">
        <v>29</v>
      </c>
      <c r="E73" s="31"/>
      <c r="F73" s="2">
        <v>390027</v>
      </c>
      <c r="G73" s="23"/>
      <c r="H73" s="23"/>
      <c r="I73" s="159"/>
      <c r="J73" s="160"/>
      <c r="K73" s="160"/>
      <c r="L73" s="70"/>
    </row>
    <row r="74" spans="1:15" s="2" customFormat="1" x14ac:dyDescent="0.2">
      <c r="A74" s="89">
        <v>45325</v>
      </c>
      <c r="B74" s="128" t="s">
        <v>11</v>
      </c>
      <c r="C74" s="76" t="s">
        <v>242</v>
      </c>
      <c r="D74" s="11" t="s">
        <v>29</v>
      </c>
      <c r="E74" s="31"/>
      <c r="F74" s="2">
        <v>57830</v>
      </c>
      <c r="G74" s="23"/>
      <c r="H74" s="23"/>
      <c r="I74" s="159"/>
      <c r="J74" s="160"/>
      <c r="K74" s="160"/>
      <c r="L74" s="70"/>
    </row>
    <row r="75" spans="1:15" s="2" customFormat="1" x14ac:dyDescent="0.2">
      <c r="A75" s="89">
        <v>45325</v>
      </c>
      <c r="B75" s="128" t="s">
        <v>11</v>
      </c>
      <c r="C75" s="76" t="s">
        <v>629</v>
      </c>
      <c r="D75" s="11" t="s">
        <v>29</v>
      </c>
      <c r="E75" s="31"/>
      <c r="F75" s="2">
        <v>454300</v>
      </c>
      <c r="G75" s="23"/>
      <c r="H75" s="23"/>
      <c r="I75" s="159"/>
      <c r="J75" s="160"/>
      <c r="K75" s="160"/>
      <c r="L75" s="70"/>
    </row>
    <row r="76" spans="1:15" s="2" customFormat="1" x14ac:dyDescent="0.2">
      <c r="A76" s="89">
        <v>45325</v>
      </c>
      <c r="B76" s="128" t="s">
        <v>11</v>
      </c>
      <c r="C76" s="76" t="s">
        <v>416</v>
      </c>
      <c r="D76" s="11" t="s">
        <v>29</v>
      </c>
      <c r="E76" s="31"/>
      <c r="F76" s="2">
        <v>1253160</v>
      </c>
      <c r="G76" s="23"/>
      <c r="H76" s="23"/>
      <c r="I76" s="159"/>
      <c r="J76" s="160"/>
      <c r="K76" s="160"/>
      <c r="L76" s="70"/>
    </row>
    <row r="77" spans="1:15" s="2" customFormat="1" x14ac:dyDescent="0.2">
      <c r="A77" s="89">
        <v>45325</v>
      </c>
      <c r="B77" s="128" t="s">
        <v>11</v>
      </c>
      <c r="C77" s="76" t="s">
        <v>1865</v>
      </c>
      <c r="D77" s="11" t="s">
        <v>29</v>
      </c>
      <c r="E77" s="31"/>
      <c r="F77" s="2">
        <v>140872.21</v>
      </c>
      <c r="G77" s="23"/>
      <c r="H77" s="23"/>
      <c r="I77" s="159"/>
      <c r="J77" s="160"/>
      <c r="K77" s="160"/>
      <c r="L77" s="70" t="s">
        <v>2033</v>
      </c>
    </row>
    <row r="78" spans="1:15" s="2" customFormat="1" x14ac:dyDescent="0.2">
      <c r="A78" s="32"/>
      <c r="B78" s="33"/>
      <c r="C78" s="14"/>
      <c r="D78" s="34"/>
      <c r="E78" s="16">
        <f>SUM(E22:E77)</f>
        <v>20747709.370000001</v>
      </c>
      <c r="F78" s="16">
        <f>SUM(F22:F77)</f>
        <v>83049373.299999908</v>
      </c>
      <c r="G78" s="1"/>
      <c r="H78" s="1"/>
      <c r="I78" s="1"/>
      <c r="J78" s="38">
        <v>61843036.93</v>
      </c>
      <c r="L78" s="92">
        <f>E79-J78</f>
        <v>458626.99999990314</v>
      </c>
      <c r="O78" s="1"/>
    </row>
    <row r="79" spans="1:15" s="2" customFormat="1" x14ac:dyDescent="0.2">
      <c r="A79" s="36"/>
      <c r="B79" s="28" t="s">
        <v>11</v>
      </c>
      <c r="C79" s="19" t="s">
        <v>65</v>
      </c>
      <c r="D79" s="37"/>
      <c r="E79" s="38">
        <f>F78-E78</f>
        <v>62301663.929999903</v>
      </c>
      <c r="F79" s="22"/>
      <c r="G79" s="1"/>
      <c r="H79" s="1"/>
      <c r="I79" s="1"/>
      <c r="J79" s="70"/>
      <c r="K79" s="70"/>
      <c r="L79" s="70"/>
      <c r="O79" s="1"/>
    </row>
    <row r="80" spans="1:15" s="2" customFormat="1" x14ac:dyDescent="0.2">
      <c r="A80" s="36"/>
      <c r="B80" s="28" t="s">
        <v>66</v>
      </c>
      <c r="C80" s="19" t="s">
        <v>67</v>
      </c>
      <c r="D80" s="37"/>
      <c r="E80" s="38">
        <v>11500000</v>
      </c>
      <c r="F80" s="22"/>
      <c r="G80" s="1"/>
      <c r="H80" s="1"/>
      <c r="I80" s="70"/>
      <c r="J80" s="70"/>
      <c r="K80" s="70"/>
      <c r="L80" s="70"/>
      <c r="O80" s="1"/>
    </row>
    <row r="81" spans="1:15" s="2" customFormat="1" x14ac:dyDescent="0.2">
      <c r="A81" s="36"/>
      <c r="B81" s="28" t="s">
        <v>66</v>
      </c>
      <c r="C81" s="43" t="s">
        <v>1457</v>
      </c>
      <c r="D81" s="43"/>
      <c r="E81" s="12">
        <v>400000000</v>
      </c>
      <c r="F81" s="22"/>
      <c r="G81" s="1"/>
      <c r="H81" s="1"/>
      <c r="I81" s="70"/>
      <c r="J81" s="45">
        <v>713.8</v>
      </c>
      <c r="K81" s="46"/>
      <c r="L81" s="46"/>
      <c r="O81" s="1"/>
    </row>
    <row r="82" spans="1:15" s="2" customFormat="1" ht="15" x14ac:dyDescent="0.25">
      <c r="A82" s="36"/>
      <c r="B82" s="28"/>
      <c r="C82" s="44" t="s">
        <v>1541</v>
      </c>
      <c r="D82" s="43"/>
      <c r="E82" s="7">
        <f>+E81+E79+E80</f>
        <v>473801663.92999989</v>
      </c>
      <c r="F82" s="22"/>
      <c r="G82" s="1"/>
      <c r="H82" s="1"/>
      <c r="I82" s="103" t="s">
        <v>69</v>
      </c>
      <c r="J82" s="45">
        <v>-9.48</v>
      </c>
      <c r="K82" s="46"/>
      <c r="L82" s="46"/>
      <c r="O82" s="1"/>
    </row>
    <row r="83" spans="1:15" s="2" customFormat="1" ht="15" x14ac:dyDescent="0.25">
      <c r="A83" s="24"/>
      <c r="B83" s="1"/>
      <c r="C83" s="44" t="s">
        <v>1510</v>
      </c>
      <c r="D83" s="25"/>
      <c r="E83" s="156">
        <f>+J22-E80+I18-J18</f>
        <v>26656963.070000008</v>
      </c>
      <c r="G83" s="1"/>
      <c r="H83" s="1"/>
      <c r="I83" s="35">
        <v>1</v>
      </c>
      <c r="J83" s="45">
        <v>4.32</v>
      </c>
      <c r="K83" s="46">
        <f>+J84-D86</f>
        <v>0</v>
      </c>
      <c r="O83" s="1"/>
    </row>
    <row r="84" spans="1:15" s="124" customFormat="1" ht="12.75" customHeight="1" x14ac:dyDescent="0.2">
      <c r="A84" s="24"/>
      <c r="B84" s="1"/>
      <c r="C84" s="56"/>
      <c r="D84" s="56"/>
      <c r="E84" s="104"/>
      <c r="F84" s="2"/>
      <c r="G84" s="166"/>
      <c r="H84" s="166"/>
      <c r="I84" s="70"/>
      <c r="J84" s="49">
        <f>SUM(J81:J83)</f>
        <v>708.64</v>
      </c>
      <c r="K84" s="46"/>
      <c r="L84" s="46"/>
    </row>
    <row r="85" spans="1:15" s="124" customFormat="1" ht="12.75" customHeight="1" x14ac:dyDescent="0.2">
      <c r="A85" s="24"/>
      <c r="B85" s="1"/>
      <c r="C85" s="78" t="s">
        <v>575</v>
      </c>
      <c r="D85" s="48" t="s">
        <v>576</v>
      </c>
      <c r="E85" s="104"/>
      <c r="F85" s="2"/>
      <c r="G85" s="168"/>
      <c r="H85" s="168"/>
      <c r="I85" s="167"/>
      <c r="J85" s="167"/>
      <c r="K85" s="168"/>
    </row>
    <row r="86" spans="1:15" s="124" customFormat="1" ht="12.75" customHeight="1" x14ac:dyDescent="0.2">
      <c r="A86" s="24"/>
      <c r="B86" s="1"/>
      <c r="C86" s="47" t="s">
        <v>570</v>
      </c>
      <c r="D86" s="111">
        <v>708.64</v>
      </c>
      <c r="E86" s="104"/>
      <c r="F86" s="2"/>
      <c r="G86" s="168"/>
      <c r="H86" s="168"/>
      <c r="I86" s="110" t="s">
        <v>581</v>
      </c>
      <c r="J86" s="167"/>
      <c r="K86" s="168"/>
    </row>
    <row r="87" spans="1:15" s="124" customFormat="1" ht="12.75" customHeight="1" x14ac:dyDescent="0.2">
      <c r="A87" s="24"/>
      <c r="B87" s="1"/>
      <c r="C87" s="47" t="s">
        <v>931</v>
      </c>
      <c r="D87" s="111">
        <v>0</v>
      </c>
      <c r="E87" s="104"/>
      <c r="F87" s="2"/>
      <c r="G87" s="168"/>
      <c r="H87" s="168"/>
      <c r="I87" s="110" t="s">
        <v>580</v>
      </c>
      <c r="J87" s="167"/>
      <c r="K87" s="168"/>
    </row>
    <row r="88" spans="1:15" s="124" customFormat="1" ht="12.75" customHeight="1" x14ac:dyDescent="0.2">
      <c r="A88" s="24"/>
      <c r="B88" s="1"/>
      <c r="C88" s="47" t="s">
        <v>572</v>
      </c>
      <c r="D88" s="111">
        <f>+D105/100000</f>
        <v>9.2894900000000007</v>
      </c>
      <c r="E88" s="104"/>
      <c r="F88" s="2"/>
      <c r="G88" s="166"/>
      <c r="H88" s="166"/>
      <c r="I88" s="90" t="s">
        <v>587</v>
      </c>
      <c r="J88" s="167"/>
      <c r="K88" s="168"/>
    </row>
    <row r="89" spans="1:15" s="2" customFormat="1" x14ac:dyDescent="0.2">
      <c r="A89" s="24"/>
      <c r="B89" s="1"/>
      <c r="C89" s="108" t="s">
        <v>578</v>
      </c>
      <c r="D89" s="48">
        <f>SUM(D86:D88)</f>
        <v>717.92948999999999</v>
      </c>
      <c r="E89" s="104"/>
      <c r="G89" s="30"/>
      <c r="H89" s="30"/>
      <c r="J89" s="13"/>
      <c r="K89" s="13"/>
    </row>
    <row r="90" spans="1:15" s="70" customFormat="1" x14ac:dyDescent="0.2">
      <c r="A90" s="24"/>
      <c r="B90" s="1"/>
      <c r="C90" s="47"/>
      <c r="D90" s="107"/>
      <c r="E90" s="104"/>
      <c r="F90" s="2"/>
      <c r="G90" s="30"/>
      <c r="H90" s="30"/>
      <c r="I90" s="2"/>
    </row>
    <row r="91" spans="1:15" s="70" customFormat="1" x14ac:dyDescent="0.2">
      <c r="A91" s="24"/>
      <c r="B91" s="1"/>
      <c r="C91" s="47" t="s">
        <v>932</v>
      </c>
      <c r="D91" s="111">
        <v>0</v>
      </c>
      <c r="E91" s="104"/>
      <c r="F91" s="2"/>
      <c r="G91" s="30"/>
      <c r="H91" s="30"/>
      <c r="I91" s="110" t="s">
        <v>581</v>
      </c>
    </row>
    <row r="92" spans="1:15" s="70" customFormat="1" x14ac:dyDescent="0.2">
      <c r="A92" s="24"/>
      <c r="B92" s="1"/>
      <c r="C92" s="136" t="s">
        <v>1142</v>
      </c>
      <c r="D92" s="111">
        <v>203.76</v>
      </c>
      <c r="E92" s="104"/>
      <c r="F92" s="2"/>
      <c r="G92" s="30"/>
      <c r="H92" s="30"/>
      <c r="I92" s="110" t="s">
        <v>581</v>
      </c>
    </row>
    <row r="93" spans="1:15" s="70" customFormat="1" x14ac:dyDescent="0.2">
      <c r="A93" s="24"/>
      <c r="B93" s="1"/>
      <c r="C93" s="78" t="s">
        <v>579</v>
      </c>
      <c r="D93" s="109">
        <f>D91+D92</f>
        <v>203.76</v>
      </c>
      <c r="E93" s="104"/>
      <c r="F93" s="2"/>
      <c r="G93" s="30"/>
      <c r="H93" s="30"/>
    </row>
    <row r="94" spans="1:15" s="70" customFormat="1" x14ac:dyDescent="0.2">
      <c r="A94" s="24"/>
      <c r="B94" s="1"/>
      <c r="C94" s="105"/>
      <c r="D94" s="106"/>
      <c r="E94" s="104"/>
      <c r="F94" s="2"/>
      <c r="G94" s="30"/>
      <c r="H94" s="30"/>
      <c r="J94" s="2"/>
      <c r="K94" s="221" t="str">
        <f>"FROM ( 01-02-2024 to "&amp;TEXT(A5,"dd-mm-yyyy")&amp;" )"</f>
        <v>FROM ( 01-02-2024 to 03-02-2024 )</v>
      </c>
      <c r="L94" s="221"/>
      <c r="M94" s="2"/>
      <c r="N94" s="2"/>
    </row>
    <row r="95" spans="1:15" s="70" customFormat="1" x14ac:dyDescent="0.2">
      <c r="A95" s="24"/>
      <c r="B95" s="1"/>
      <c r="C95" s="78" t="s">
        <v>577</v>
      </c>
      <c r="D95" s="109">
        <f>D86+D93</f>
        <v>912.4</v>
      </c>
      <c r="E95" s="104"/>
      <c r="F95" s="2"/>
      <c r="G95" s="30"/>
      <c r="H95" s="30"/>
      <c r="J95" s="113"/>
      <c r="K95" s="113" t="s">
        <v>709</v>
      </c>
      <c r="L95" s="113" t="s">
        <v>710</v>
      </c>
      <c r="M95" s="113" t="s">
        <v>711</v>
      </c>
      <c r="N95" s="113" t="s">
        <v>712</v>
      </c>
    </row>
    <row r="96" spans="1:15" s="70" customFormat="1" x14ac:dyDescent="0.2">
      <c r="A96" s="24"/>
      <c r="B96" s="1"/>
      <c r="C96" s="56"/>
      <c r="D96" s="56"/>
      <c r="E96" s="104"/>
      <c r="F96" s="2"/>
      <c r="G96" s="30"/>
      <c r="H96" s="30"/>
      <c r="J96" s="113" t="s">
        <v>1860</v>
      </c>
      <c r="K96" s="115">
        <v>191.98999999999998</v>
      </c>
      <c r="L96" s="115">
        <v>0</v>
      </c>
      <c r="M96" s="115">
        <v>0</v>
      </c>
      <c r="N96" s="113">
        <f>+K96+M96-L96</f>
        <v>191.98999999999998</v>
      </c>
    </row>
    <row r="97" spans="1:15" s="70" customFormat="1" ht="38.25" x14ac:dyDescent="0.2">
      <c r="A97" s="24"/>
      <c r="B97" s="1"/>
      <c r="C97" s="79" t="str">
        <f>"Particulars ( 01-02-2024 to "&amp;TEXT(A5,"dd-mm-yyyy")&amp;" )"</f>
        <v>Particulars ( 01-02-2024 to 03-02-2024 )</v>
      </c>
      <c r="D97" s="79" t="s">
        <v>7</v>
      </c>
      <c r="E97" s="80" t="s">
        <v>73</v>
      </c>
      <c r="F97" s="80" t="s">
        <v>74</v>
      </c>
      <c r="G97" s="81" t="s">
        <v>75</v>
      </c>
      <c r="H97" s="80" t="s">
        <v>76</v>
      </c>
      <c r="J97" s="113" t="s">
        <v>1861</v>
      </c>
      <c r="K97" s="115">
        <v>1861.82</v>
      </c>
      <c r="L97" s="115">
        <v>9.2899999999999991</v>
      </c>
      <c r="M97" s="115">
        <v>203.76</v>
      </c>
      <c r="N97" s="113">
        <f>+K97+M97-L97</f>
        <v>2056.29</v>
      </c>
    </row>
    <row r="98" spans="1:15" s="70" customFormat="1" x14ac:dyDescent="0.2">
      <c r="A98" s="24"/>
      <c r="B98" s="1"/>
      <c r="C98" s="50" t="s">
        <v>444</v>
      </c>
      <c r="D98" s="55">
        <f>+K98</f>
        <v>332.55</v>
      </c>
      <c r="E98" s="180">
        <f>+IF(M98=0,0,M98)</f>
        <v>0</v>
      </c>
      <c r="F98" s="180">
        <f>+L98</f>
        <v>0</v>
      </c>
      <c r="G98" s="55">
        <f>+D98+E98-F98</f>
        <v>332.55</v>
      </c>
      <c r="H98" s="55">
        <f>1500-G98</f>
        <v>1167.45</v>
      </c>
      <c r="I98" s="70">
        <f>+IF(M98=0,0,M98)</f>
        <v>0</v>
      </c>
      <c r="J98" s="113" t="s">
        <v>707</v>
      </c>
      <c r="K98" s="115">
        <v>332.55</v>
      </c>
      <c r="L98" s="115">
        <v>0</v>
      </c>
      <c r="M98" s="115">
        <v>0</v>
      </c>
      <c r="N98" s="113">
        <f>+K98+M98-L98</f>
        <v>332.55</v>
      </c>
    </row>
    <row r="99" spans="1:15" s="70" customFormat="1" ht="12.75" customHeight="1" x14ac:dyDescent="0.2">
      <c r="A99" s="24"/>
      <c r="B99" s="1"/>
      <c r="C99" s="50" t="s">
        <v>71</v>
      </c>
      <c r="D99" s="55">
        <f>+K96+K97</f>
        <v>2053.81</v>
      </c>
      <c r="E99" s="55">
        <f>+M96+M97</f>
        <v>203.76</v>
      </c>
      <c r="F99" s="55">
        <f>+L96+L97</f>
        <v>9.2899999999999991</v>
      </c>
      <c r="G99" s="55">
        <f>+D99+E99-F99</f>
        <v>2248.2799999999997</v>
      </c>
      <c r="H99" s="55">
        <f>1500+700+200-G99</f>
        <v>151.72000000000025</v>
      </c>
      <c r="J99" s="2"/>
      <c r="K99" s="118">
        <f>SUM(K96:K98)</f>
        <v>2386.36</v>
      </c>
      <c r="L99" s="118">
        <f>SUM(L96:L98)</f>
        <v>9.2899999999999991</v>
      </c>
      <c r="M99" s="118">
        <f>SUM(M96:M98)</f>
        <v>203.76</v>
      </c>
      <c r="N99" s="118">
        <f>SUM(N96:N98)</f>
        <v>2580.83</v>
      </c>
    </row>
    <row r="100" spans="1:15" s="70" customFormat="1" ht="12.75" customHeight="1" x14ac:dyDescent="0.2">
      <c r="A100" s="24"/>
      <c r="B100" s="1"/>
      <c r="C100" s="14"/>
      <c r="D100" s="56"/>
      <c r="E100" s="13"/>
      <c r="F100" s="2"/>
      <c r="G100" s="30"/>
      <c r="H100" s="30"/>
    </row>
    <row r="101" spans="1:15" s="70" customFormat="1" ht="12.75" customHeight="1" x14ac:dyDescent="0.2">
      <c r="A101" s="215" t="s">
        <v>80</v>
      </c>
      <c r="B101" s="216"/>
      <c r="C101" s="216"/>
      <c r="D101" s="217"/>
      <c r="E101" s="69"/>
      <c r="G101" s="30"/>
      <c r="H101" s="30"/>
    </row>
    <row r="102" spans="1:15" s="70" customFormat="1" ht="12.75" customHeight="1" x14ac:dyDescent="0.2">
      <c r="A102" s="71" t="s">
        <v>81</v>
      </c>
      <c r="B102" s="71"/>
      <c r="C102" s="72" t="s">
        <v>82</v>
      </c>
      <c r="D102" s="73" t="s">
        <v>83</v>
      </c>
      <c r="E102" s="69"/>
      <c r="G102" s="30"/>
      <c r="H102" s="30"/>
    </row>
    <row r="103" spans="1:15" s="70" customFormat="1" ht="12.75" customHeight="1" x14ac:dyDescent="0.2">
      <c r="A103" s="87">
        <v>45323</v>
      </c>
      <c r="B103" s="120" t="s">
        <v>6</v>
      </c>
      <c r="C103" s="75" t="s">
        <v>2030</v>
      </c>
      <c r="D103" s="88">
        <v>881220</v>
      </c>
      <c r="E103" s="2"/>
      <c r="F103" s="2"/>
      <c r="G103" s="30"/>
      <c r="H103" s="30"/>
      <c r="I103" s="2"/>
      <c r="J103" s="2"/>
      <c r="K103" s="2"/>
      <c r="L103" s="2"/>
      <c r="M103" s="41"/>
      <c r="N103" s="42"/>
      <c r="O103" s="2"/>
    </row>
    <row r="104" spans="1:15" s="70" customFormat="1" ht="12.75" customHeight="1" x14ac:dyDescent="0.2">
      <c r="A104" s="87">
        <v>45324</v>
      </c>
      <c r="B104" s="120" t="s">
        <v>6</v>
      </c>
      <c r="C104" s="75" t="s">
        <v>1934</v>
      </c>
      <c r="D104" s="88">
        <v>47729</v>
      </c>
      <c r="E104" s="2"/>
      <c r="F104" s="2"/>
      <c r="G104" s="30"/>
      <c r="H104" s="30"/>
      <c r="I104" s="2"/>
      <c r="J104" s="2"/>
      <c r="K104" s="2"/>
      <c r="L104" s="2"/>
      <c r="M104" s="41"/>
      <c r="N104" s="42"/>
      <c r="O104" s="2"/>
    </row>
    <row r="105" spans="1:15" s="2" customFormat="1" x14ac:dyDescent="0.2">
      <c r="A105" s="87"/>
      <c r="B105" s="74"/>
      <c r="C105" s="75"/>
      <c r="D105" s="51">
        <f>SUM(D103:D104)</f>
        <v>928949</v>
      </c>
      <c r="F105" s="2" t="s">
        <v>396</v>
      </c>
      <c r="G105" s="1"/>
      <c r="H105" s="1"/>
    </row>
    <row r="106" spans="1:15" s="2" customFormat="1" x14ac:dyDescent="0.2">
      <c r="A106" s="24"/>
      <c r="B106" s="1"/>
      <c r="C106" s="14"/>
      <c r="D106" s="56"/>
      <c r="E106" s="13"/>
      <c r="G106" s="1"/>
      <c r="H106" s="1"/>
    </row>
    <row r="107" spans="1:15" s="2" customFormat="1" x14ac:dyDescent="0.2">
      <c r="A107" s="24"/>
      <c r="B107" s="1"/>
      <c r="C107" s="218" t="s">
        <v>77</v>
      </c>
      <c r="D107" s="219"/>
      <c r="E107" s="219"/>
      <c r="F107" s="220"/>
      <c r="I107" s="2" t="s">
        <v>396</v>
      </c>
    </row>
    <row r="108" spans="1:15" s="2" customFormat="1" x14ac:dyDescent="0.2">
      <c r="A108" s="24"/>
      <c r="B108" s="1"/>
      <c r="C108" s="50"/>
      <c r="D108" s="57" t="s">
        <v>78</v>
      </c>
      <c r="E108" s="58" t="s">
        <v>79</v>
      </c>
      <c r="F108" s="57" t="s">
        <v>72</v>
      </c>
      <c r="I108" s="2" t="s">
        <v>396</v>
      </c>
    </row>
    <row r="109" spans="1:15" s="2" customFormat="1" x14ac:dyDescent="0.2">
      <c r="A109" s="24"/>
      <c r="B109" s="1"/>
      <c r="C109" s="59" t="str">
        <f>"01-02-2024 to "&amp;TEXT(A5-2,"dd-mm-yyyy")</f>
        <v>01-02-2024 to 01-02-2024</v>
      </c>
      <c r="D109" s="60">
        <v>113.81</v>
      </c>
      <c r="E109" s="60">
        <v>10.5</v>
      </c>
      <c r="F109" s="61">
        <f>SUM(D109:E109)</f>
        <v>124.31</v>
      </c>
    </row>
    <row r="110" spans="1:15" s="2" customFormat="1" x14ac:dyDescent="0.2">
      <c r="A110" s="24"/>
      <c r="B110" s="1"/>
      <c r="C110" s="62" t="str">
        <f>TEXT(A5-1,"dd-mm-yyyy")</f>
        <v>02-02-2024</v>
      </c>
      <c r="D110" s="60">
        <v>121.54</v>
      </c>
      <c r="E110" s="60">
        <v>29.71</v>
      </c>
      <c r="F110" s="61">
        <f>SUM(D110:E110)</f>
        <v>151.25</v>
      </c>
      <c r="G110" s="1"/>
      <c r="H110" s="1"/>
      <c r="I110" s="53"/>
    </row>
    <row r="111" spans="1:15" s="2" customFormat="1" ht="13.5" thickBot="1" x14ac:dyDescent="0.25">
      <c r="A111" s="24"/>
      <c r="B111" s="1"/>
      <c r="C111" s="63" t="str">
        <f>"01-02-2024 to "&amp;TEXT(A5-1,"dd-mm-yyyy")</f>
        <v>01-02-2024 to 02-02-2024</v>
      </c>
      <c r="D111" s="64">
        <f>SUM(D109:D110)</f>
        <v>235.35000000000002</v>
      </c>
      <c r="E111" s="64">
        <f>SUM(E109:E110)</f>
        <v>40.21</v>
      </c>
      <c r="F111" s="64">
        <f>SUM(F109:F110)</f>
        <v>275.56</v>
      </c>
      <c r="G111" s="1"/>
      <c r="H111" s="1"/>
      <c r="I111" s="53"/>
    </row>
    <row r="112" spans="1:15" s="2" customFormat="1" ht="13.5" thickTop="1" x14ac:dyDescent="0.2">
      <c r="A112" s="24"/>
      <c r="B112" s="1"/>
      <c r="C112" s="62"/>
      <c r="D112" s="65"/>
      <c r="E112" s="66"/>
      <c r="F112" s="67"/>
      <c r="M112" s="1"/>
      <c r="N112" s="1"/>
    </row>
    <row r="113" spans="1:14" s="2" customFormat="1" x14ac:dyDescent="0.2">
      <c r="A113" s="24"/>
      <c r="B113" s="1"/>
      <c r="C113" s="62" t="str">
        <f>"01-04-2023 to " &amp;C110</f>
        <v>01-04-2023 to 02-02-2024</v>
      </c>
      <c r="D113" s="68">
        <f>+D111+37155.69</f>
        <v>37391.040000000001</v>
      </c>
      <c r="E113" s="68">
        <f>+E111+4497.36</f>
        <v>4537.57</v>
      </c>
      <c r="F113" s="68">
        <f>+F111+41653.05</f>
        <v>41928.61</v>
      </c>
      <c r="G113" s="1"/>
      <c r="H113" s="1"/>
      <c r="M113" s="1"/>
      <c r="N113" s="1"/>
    </row>
    <row r="114" spans="1:14" s="2" customFormat="1" x14ac:dyDescent="0.2">
      <c r="A114" s="24"/>
      <c r="B114" s="1"/>
      <c r="C114" s="52"/>
      <c r="D114" s="85"/>
      <c r="E114" s="53"/>
      <c r="F114" s="53"/>
      <c r="G114" s="1"/>
      <c r="H114" s="1"/>
      <c r="M114" s="1"/>
      <c r="N114" s="1"/>
    </row>
    <row r="115" spans="1:14" s="2" customFormat="1" x14ac:dyDescent="0.2">
      <c r="A115" s="24"/>
      <c r="B115" s="1"/>
      <c r="C115" s="52"/>
      <c r="D115" s="85"/>
      <c r="E115" s="53"/>
      <c r="F115" s="53"/>
      <c r="G115" s="1"/>
      <c r="H115" s="1"/>
      <c r="M115" s="1"/>
      <c r="N115" s="1"/>
    </row>
    <row r="116" spans="1:14" s="2" customFormat="1" x14ac:dyDescent="0.2">
      <c r="A116" s="24"/>
      <c r="B116" s="1"/>
      <c r="C116" s="52"/>
      <c r="D116" s="85"/>
      <c r="E116" s="53"/>
      <c r="F116" s="53"/>
      <c r="G116" s="1"/>
      <c r="H116" s="1"/>
      <c r="M116" s="1"/>
      <c r="N116" s="1"/>
    </row>
    <row r="117" spans="1:14" s="2" customFormat="1" x14ac:dyDescent="0.2">
      <c r="A117" s="24"/>
      <c r="B117" s="1"/>
      <c r="C117" s="52"/>
      <c r="D117" s="85"/>
      <c r="E117" s="53"/>
      <c r="F117" s="53"/>
      <c r="G117" s="1"/>
      <c r="H117" s="1"/>
      <c r="M117" s="1"/>
      <c r="N117" s="1"/>
    </row>
    <row r="118" spans="1:14" s="2" customFormat="1" x14ac:dyDescent="0.2">
      <c r="A118" s="24"/>
      <c r="B118" s="1"/>
      <c r="C118" s="14"/>
      <c r="D118" s="25">
        <f>SUM(D115:D117)</f>
        <v>0</v>
      </c>
      <c r="E118" s="2">
        <f>SUM(E115:E117)</f>
        <v>0</v>
      </c>
      <c r="G118" s="1"/>
      <c r="H118" s="1"/>
      <c r="M118" s="1"/>
      <c r="N118" s="1"/>
    </row>
    <row r="119" spans="1:14" s="2" customFormat="1" x14ac:dyDescent="0.2">
      <c r="A119" s="24"/>
      <c r="B119" s="1"/>
      <c r="C119" s="14"/>
      <c r="D119" s="25"/>
      <c r="G119" s="1"/>
      <c r="H119" s="1"/>
      <c r="M119" s="1"/>
      <c r="N119" s="1"/>
    </row>
    <row r="120" spans="1:14" s="2" customFormat="1" x14ac:dyDescent="0.2">
      <c r="A120" s="24"/>
      <c r="B120" s="1"/>
      <c r="C120" s="14"/>
      <c r="D120" s="25"/>
      <c r="G120" s="1"/>
      <c r="H120" s="1"/>
      <c r="M120" s="1"/>
      <c r="N120" s="1"/>
    </row>
    <row r="121" spans="1:14" s="2" customFormat="1" x14ac:dyDescent="0.2">
      <c r="A121" s="24"/>
      <c r="B121" s="1"/>
      <c r="C121" s="14"/>
      <c r="D121" s="25"/>
      <c r="G121" s="1"/>
      <c r="H121" s="1"/>
      <c r="M121" s="1"/>
      <c r="N121" s="1"/>
    </row>
    <row r="122" spans="1:14" s="2" customFormat="1" x14ac:dyDescent="0.2">
      <c r="A122" s="24"/>
      <c r="B122" s="1"/>
      <c r="C122" s="14"/>
      <c r="D122" s="25"/>
      <c r="G122" s="1"/>
      <c r="H122" s="1"/>
      <c r="M122" s="1"/>
      <c r="N122" s="1"/>
    </row>
    <row r="123" spans="1:14" s="2" customFormat="1" x14ac:dyDescent="0.2">
      <c r="A123" s="24"/>
      <c r="B123" s="1"/>
      <c r="C123" s="14"/>
      <c r="D123" s="25"/>
      <c r="G123" s="1"/>
      <c r="H123" s="1"/>
      <c r="M123" s="1"/>
      <c r="N123" s="1"/>
    </row>
    <row r="124" spans="1:14" s="2" customFormat="1" x14ac:dyDescent="0.2">
      <c r="A124" s="24"/>
      <c r="B124" s="1"/>
      <c r="C124" s="14"/>
      <c r="D124" s="25"/>
      <c r="G124" s="1"/>
      <c r="H124" s="1"/>
      <c r="M124" s="1"/>
      <c r="N124" s="1"/>
    </row>
    <row r="125" spans="1:14" s="2" customFormat="1" x14ac:dyDescent="0.2">
      <c r="A125" s="24"/>
      <c r="B125" s="1"/>
      <c r="C125" s="14"/>
      <c r="D125" s="25"/>
      <c r="G125" s="1"/>
      <c r="H125" s="1"/>
      <c r="M125" s="1"/>
      <c r="N125" s="1"/>
    </row>
    <row r="126" spans="1:14" s="2" customFormat="1" x14ac:dyDescent="0.2">
      <c r="A126" s="24"/>
      <c r="B126" s="1"/>
      <c r="C126" s="14"/>
      <c r="D126" s="25"/>
      <c r="G126" s="1"/>
      <c r="H126" s="1"/>
      <c r="M126" s="1"/>
      <c r="N126" s="1"/>
    </row>
    <row r="127" spans="1:14" s="2" customFormat="1" x14ac:dyDescent="0.2">
      <c r="A127" s="24"/>
      <c r="B127" s="1"/>
      <c r="C127" s="14"/>
      <c r="D127" s="25"/>
      <c r="G127" s="1"/>
      <c r="H127" s="1"/>
      <c r="M127" s="1"/>
      <c r="N127" s="1"/>
    </row>
    <row r="128" spans="1:14" s="2" customFormat="1" x14ac:dyDescent="0.2">
      <c r="A128" s="24"/>
      <c r="B128" s="1"/>
      <c r="C128" s="14"/>
      <c r="D128" s="25"/>
      <c r="G128" s="1"/>
      <c r="H128" s="1"/>
      <c r="M128" s="1"/>
      <c r="N128" s="1"/>
    </row>
    <row r="129" spans="1:15" s="2" customFormat="1" x14ac:dyDescent="0.2">
      <c r="A129" s="24"/>
      <c r="B129" s="1"/>
      <c r="C129" s="14"/>
      <c r="D129" s="25"/>
      <c r="G129" s="1"/>
      <c r="H129" s="1"/>
      <c r="M129" s="1"/>
      <c r="N129" s="1"/>
    </row>
    <row r="130" spans="1:15" s="2" customFormat="1" x14ac:dyDescent="0.2">
      <c r="A130" s="24"/>
      <c r="B130" s="1"/>
      <c r="C130" s="14"/>
      <c r="D130" s="25"/>
      <c r="G130" s="1"/>
      <c r="H130" s="1"/>
      <c r="M130" s="1"/>
      <c r="N130" s="1"/>
    </row>
    <row r="131" spans="1:15" s="2" customFormat="1" x14ac:dyDescent="0.2">
      <c r="A131" s="24"/>
      <c r="B131" s="1"/>
      <c r="C131" s="14"/>
      <c r="D131" s="25"/>
      <c r="G131" s="1"/>
      <c r="H131" s="1"/>
      <c r="M131" s="1"/>
      <c r="N131" s="1"/>
    </row>
    <row r="132" spans="1:15" s="2" customFormat="1" x14ac:dyDescent="0.2">
      <c r="A132" s="24"/>
      <c r="B132" s="1"/>
      <c r="C132" s="14"/>
      <c r="D132" s="25"/>
      <c r="G132" s="1"/>
      <c r="H132" s="1"/>
      <c r="J132" s="1"/>
      <c r="K132" s="1"/>
      <c r="L132" s="1"/>
      <c r="M132" s="1"/>
      <c r="N132" s="1"/>
    </row>
    <row r="133" spans="1:15" s="2" customFormat="1" x14ac:dyDescent="0.2">
      <c r="A133" s="24"/>
      <c r="B133" s="1"/>
      <c r="C133" s="14"/>
      <c r="D133" s="25"/>
      <c r="G133" s="1"/>
      <c r="H133" s="1"/>
    </row>
    <row r="134" spans="1:15" s="2" customFormat="1" x14ac:dyDescent="0.2">
      <c r="A134" s="24"/>
      <c r="B134" s="1"/>
      <c r="C134" s="14"/>
      <c r="D134" s="25"/>
      <c r="G134" s="1"/>
      <c r="H134" s="1"/>
      <c r="J134" s="1"/>
      <c r="K134" s="1"/>
      <c r="L134" s="1"/>
      <c r="M134" s="1"/>
      <c r="N134" s="1"/>
    </row>
    <row r="135" spans="1:15" s="2" customFormat="1" x14ac:dyDescent="0.2">
      <c r="A135" s="24"/>
      <c r="B135" s="1"/>
      <c r="C135" s="14"/>
      <c r="D135" s="25"/>
      <c r="G135" s="54"/>
      <c r="H135" s="54"/>
      <c r="J135" s="1"/>
      <c r="K135" s="1"/>
      <c r="L135" s="1"/>
      <c r="M135" s="1"/>
      <c r="N135" s="1"/>
    </row>
    <row r="136" spans="1:15" s="2" customFormat="1" x14ac:dyDescent="0.2">
      <c r="A136" s="24"/>
      <c r="B136" s="1"/>
      <c r="C136" s="14"/>
      <c r="D136" s="25"/>
      <c r="G136" s="54"/>
      <c r="H136" s="54"/>
      <c r="J136" s="1"/>
      <c r="K136" s="1"/>
      <c r="L136" s="1"/>
      <c r="M136" s="1"/>
      <c r="N136" s="1"/>
    </row>
    <row r="137" spans="1:15" s="2" customFormat="1" x14ac:dyDescent="0.2">
      <c r="A137" s="24"/>
      <c r="B137" s="1"/>
      <c r="C137" s="14"/>
      <c r="D137" s="25"/>
      <c r="G137" s="54"/>
      <c r="H137" s="54"/>
      <c r="J137" s="1"/>
      <c r="K137" s="1"/>
      <c r="L137" s="1"/>
      <c r="M137" s="1"/>
      <c r="N137" s="1"/>
    </row>
    <row r="138" spans="1:15" s="2" customFormat="1" x14ac:dyDescent="0.2">
      <c r="A138" s="24"/>
      <c r="B138" s="1"/>
      <c r="C138" s="14"/>
      <c r="D138" s="25"/>
      <c r="G138" s="54"/>
      <c r="H138" s="54"/>
      <c r="I138" s="2" t="s">
        <v>396</v>
      </c>
      <c r="J138" s="1"/>
      <c r="K138" s="1"/>
      <c r="L138" s="1"/>
      <c r="M138" s="1"/>
      <c r="N138" s="1"/>
      <c r="O138" s="1"/>
    </row>
    <row r="139" spans="1:15" s="2" customFormat="1" x14ac:dyDescent="0.2">
      <c r="A139" s="24"/>
      <c r="B139" s="1"/>
      <c r="C139" s="14"/>
      <c r="D139" s="25"/>
      <c r="G139" s="54"/>
      <c r="H139" s="54"/>
      <c r="I139" s="53"/>
    </row>
    <row r="140" spans="1:15" s="2" customFormat="1" x14ac:dyDescent="0.2">
      <c r="A140" s="24"/>
      <c r="B140" s="1"/>
      <c r="C140" s="14"/>
      <c r="D140" s="25"/>
      <c r="G140" s="54"/>
      <c r="H140" s="54"/>
      <c r="I140" s="53" t="s">
        <v>396</v>
      </c>
      <c r="J140" s="1"/>
      <c r="K140" s="1"/>
      <c r="L140" s="1"/>
      <c r="M140" s="1"/>
      <c r="N140" s="1"/>
      <c r="O140" s="1"/>
    </row>
    <row r="141" spans="1:15" x14ac:dyDescent="0.2">
      <c r="G141" s="54"/>
      <c r="H141" s="54"/>
      <c r="I141" s="53" t="s">
        <v>396</v>
      </c>
      <c r="K141" s="42"/>
    </row>
    <row r="142" spans="1:15" s="2" customFormat="1" x14ac:dyDescent="0.2">
      <c r="A142" s="24"/>
      <c r="B142" s="1"/>
      <c r="C142" s="14"/>
      <c r="D142" s="25"/>
      <c r="G142" s="54"/>
      <c r="H142" s="54"/>
      <c r="I142" s="53"/>
      <c r="J142" s="101"/>
      <c r="K142" s="1"/>
      <c r="L142" s="1"/>
      <c r="M142" s="1"/>
      <c r="N142" s="1"/>
      <c r="O142" s="1"/>
    </row>
    <row r="143" spans="1:15" x14ac:dyDescent="0.2">
      <c r="G143" s="54"/>
      <c r="H143" s="54"/>
      <c r="I143" s="53"/>
    </row>
    <row r="144" spans="1:15" x14ac:dyDescent="0.2">
      <c r="G144" s="54"/>
      <c r="H144" s="54"/>
      <c r="I144" s="53"/>
    </row>
    <row r="145" spans="7:9" x14ac:dyDescent="0.2">
      <c r="G145" s="54"/>
      <c r="H145" s="54"/>
      <c r="I145" s="53"/>
    </row>
  </sheetData>
  <sheetProtection insertRows="0"/>
  <mergeCells count="7">
    <mergeCell ref="K94:L94"/>
    <mergeCell ref="A101:D101"/>
    <mergeCell ref="C107:F107"/>
    <mergeCell ref="A1:H1"/>
    <mergeCell ref="A3:F3"/>
    <mergeCell ref="A9:F9"/>
    <mergeCell ref="A20:F20"/>
  </mergeCells>
  <conditionalFormatting sqref="H98:H99">
    <cfRule type="cellIs" dxfId="93" priority="1" operator="lessThan">
      <formula>0</formula>
    </cfRule>
  </conditionalFormatting>
  <conditionalFormatting sqref="C22">
    <cfRule type="duplicateValues" dxfId="92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F400-000000000000}">
  <sheetPr codeName="Sheet540">
    <pageSetUpPr fitToPage="1"/>
  </sheetPr>
  <dimension ref="A1:O118"/>
  <sheetViews>
    <sheetView topLeftCell="D31" zoomScaleNormal="100" workbookViewId="0">
      <selection activeCell="L50" sqref="L50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12.85546875" style="1" customWidth="1"/>
    <col min="9" max="9" width="24.85546875" style="2" bestFit="1" customWidth="1"/>
    <col min="10" max="10" width="21.5703125" style="1" bestFit="1" customWidth="1"/>
    <col min="11" max="11" width="16.85546875" style="1" bestFit="1" customWidth="1"/>
    <col min="12" max="12" width="19.5703125" style="1" bestFit="1" customWidth="1"/>
    <col min="13" max="13" width="13.5703125" style="1" bestFit="1" customWidth="1"/>
    <col min="14" max="14" width="17.42578125" style="1" bestFit="1" customWidth="1"/>
    <col min="15" max="15" width="12.85546875" style="1" bestFit="1" customWidth="1"/>
    <col min="16" max="17" width="9.140625" style="1"/>
    <col min="18" max="18" width="15.5703125" style="1" bestFit="1" customWidth="1"/>
    <col min="19" max="16384" width="9.140625" style="1"/>
  </cols>
  <sheetData>
    <row r="1" spans="1:14" ht="20.25" customHeight="1" x14ac:dyDescent="0.4">
      <c r="A1" s="212" t="s">
        <v>2035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4" ht="12.75" customHeight="1" x14ac:dyDescent="0.4">
      <c r="I2" s="112"/>
      <c r="J2" s="112"/>
    </row>
    <row r="3" spans="1:14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4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4" s="2" customFormat="1" ht="14.25" customHeight="1" x14ac:dyDescent="0.4">
      <c r="A5" s="89">
        <v>45327</v>
      </c>
      <c r="B5" s="9" t="s">
        <v>6</v>
      </c>
      <c r="C5" s="10" t="s">
        <v>7</v>
      </c>
      <c r="D5" s="11"/>
      <c r="E5" s="12">
        <v>3768527.2300000004</v>
      </c>
      <c r="F5" s="12"/>
      <c r="G5" s="1"/>
      <c r="H5" s="1"/>
      <c r="I5" s="112"/>
      <c r="J5" s="112"/>
    </row>
    <row r="6" spans="1:14" s="2" customFormat="1" ht="12.75" customHeight="1" x14ac:dyDescent="0.2">
      <c r="D6" s="15" t="s">
        <v>8</v>
      </c>
      <c r="E6" s="16">
        <f>SUM(E5:E5)</f>
        <v>3768527.2300000004</v>
      </c>
      <c r="F6" s="16">
        <f>F5</f>
        <v>0</v>
      </c>
      <c r="G6" s="1"/>
      <c r="H6" s="1"/>
      <c r="I6" s="13" t="s">
        <v>1582</v>
      </c>
      <c r="J6" s="13" t="s">
        <v>1583</v>
      </c>
    </row>
    <row r="7" spans="1:14" s="2" customFormat="1" ht="12.75" customHeight="1" x14ac:dyDescent="0.2">
      <c r="A7" s="17"/>
      <c r="B7" s="18"/>
      <c r="C7" s="19" t="s">
        <v>9</v>
      </c>
      <c r="D7" s="20"/>
      <c r="E7" s="21">
        <f>+E6-F6</f>
        <v>3768527.2300000004</v>
      </c>
      <c r="F7" s="22"/>
      <c r="G7" s="23"/>
      <c r="H7" s="23"/>
      <c r="I7" s="2">
        <v>0</v>
      </c>
      <c r="J7" s="2">
        <v>0</v>
      </c>
      <c r="K7" s="176">
        <f>I7-J7</f>
        <v>0</v>
      </c>
    </row>
    <row r="8" spans="1:14" ht="12.75" customHeight="1" x14ac:dyDescent="0.4">
      <c r="I8" s="112"/>
      <c r="J8" s="112"/>
    </row>
    <row r="9" spans="1:14" ht="18" customHeight="1" x14ac:dyDescent="0.4">
      <c r="A9" s="213" t="s">
        <v>1037</v>
      </c>
      <c r="B9" s="213"/>
      <c r="C9" s="213"/>
      <c r="D9" s="213"/>
      <c r="E9" s="213"/>
      <c r="F9" s="213"/>
      <c r="I9" s="112"/>
      <c r="J9" s="169">
        <f>90000000-60000000</f>
        <v>30000000</v>
      </c>
      <c r="K9" s="169" t="s">
        <v>1508</v>
      </c>
    </row>
    <row r="10" spans="1:14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I10" s="112"/>
      <c r="J10" s="169">
        <v>24570909.120000001</v>
      </c>
      <c r="K10" s="169" t="s">
        <v>1509</v>
      </c>
      <c r="L10" s="124"/>
    </row>
    <row r="11" spans="1:14" s="2" customFormat="1" ht="14.25" customHeight="1" x14ac:dyDescent="0.2">
      <c r="A11" s="89">
        <v>45327</v>
      </c>
      <c r="B11" s="9" t="s">
        <v>6</v>
      </c>
      <c r="C11" s="10" t="s">
        <v>7</v>
      </c>
      <c r="D11" s="11"/>
      <c r="F11" s="12">
        <v>24974189.970000003</v>
      </c>
      <c r="G11" s="1"/>
      <c r="H11" s="1"/>
      <c r="I11" s="130" t="s">
        <v>396</v>
      </c>
      <c r="J11" s="169">
        <f>+J9-J10</f>
        <v>5429090.879999999</v>
      </c>
      <c r="K11" s="169" t="s">
        <v>712</v>
      </c>
      <c r="L11" s="165" t="s">
        <v>1512</v>
      </c>
    </row>
    <row r="12" spans="1:14" s="2" customFormat="1" ht="14.25" customHeight="1" x14ac:dyDescent="0.2">
      <c r="A12" s="89">
        <v>45327</v>
      </c>
      <c r="B12" s="9" t="s">
        <v>6</v>
      </c>
      <c r="C12" s="76" t="s">
        <v>1002</v>
      </c>
      <c r="D12" s="11" t="s">
        <v>13</v>
      </c>
      <c r="E12" s="31">
        <v>406923.08</v>
      </c>
      <c r="F12" s="31"/>
      <c r="G12" s="1"/>
      <c r="H12" s="1"/>
      <c r="I12" s="130"/>
      <c r="J12" s="169"/>
      <c r="K12" s="169"/>
      <c r="L12" s="165"/>
    </row>
    <row r="13" spans="1:14" s="2" customFormat="1" ht="14.25" customHeight="1" x14ac:dyDescent="0.2">
      <c r="A13" s="89">
        <v>45327</v>
      </c>
      <c r="B13" s="9" t="s">
        <v>11</v>
      </c>
      <c r="C13" s="76" t="s">
        <v>1137</v>
      </c>
      <c r="D13" s="11" t="s">
        <v>29</v>
      </c>
      <c r="E13" s="31"/>
      <c r="F13" s="31">
        <v>3642.23</v>
      </c>
      <c r="G13" s="1"/>
      <c r="H13" s="1"/>
      <c r="I13" s="130"/>
      <c r="J13" s="169"/>
      <c r="K13" s="169"/>
      <c r="L13" s="165"/>
    </row>
    <row r="14" spans="1:14" s="2" customFormat="1" ht="14.25" customHeight="1" x14ac:dyDescent="0.2">
      <c r="D14" s="11" t="s">
        <v>8</v>
      </c>
      <c r="E14" s="16">
        <f>SUM(E12:E13)</f>
        <v>406923.08</v>
      </c>
      <c r="F14" s="16">
        <f>SUM(F11:F13)</f>
        <v>24977832.200000003</v>
      </c>
      <c r="G14" s="1"/>
      <c r="H14" s="1"/>
      <c r="I14" s="143"/>
      <c r="J14" s="130"/>
      <c r="K14" s="143"/>
      <c r="L14" s="143"/>
      <c r="M14" s="143"/>
      <c r="N14" s="143"/>
    </row>
    <row r="15" spans="1:14" s="2" customFormat="1" ht="14.25" customHeight="1" x14ac:dyDescent="0.4">
      <c r="A15" s="17"/>
      <c r="B15" s="18"/>
      <c r="C15" s="96" t="s">
        <v>9</v>
      </c>
      <c r="D15" s="20"/>
      <c r="E15" s="21">
        <f>+F14-E14</f>
        <v>24570909.120000005</v>
      </c>
      <c r="G15" s="1"/>
      <c r="H15" s="1"/>
      <c r="J15" s="112"/>
      <c r="K15" s="153" t="s">
        <v>779</v>
      </c>
    </row>
    <row r="16" spans="1:14" s="2" customFormat="1" ht="14.25" customHeight="1" x14ac:dyDescent="0.2">
      <c r="A16" s="17"/>
      <c r="B16" s="28" t="s">
        <v>66</v>
      </c>
      <c r="C16" s="43" t="s">
        <v>1458</v>
      </c>
      <c r="D16" s="43"/>
      <c r="E16" s="12">
        <f>30000000+60000000</f>
        <v>90000000</v>
      </c>
      <c r="F16" s="22"/>
      <c r="G16" s="1"/>
      <c r="H16" s="1"/>
      <c r="J16" s="40">
        <v>24570909.120000001</v>
      </c>
      <c r="K16" s="154">
        <f>J16-E15</f>
        <v>0</v>
      </c>
    </row>
    <row r="17" spans="1:12" s="2" customFormat="1" ht="14.25" customHeight="1" x14ac:dyDescent="0.25">
      <c r="A17" s="36"/>
      <c r="B17" s="28"/>
      <c r="C17" s="44" t="s">
        <v>1541</v>
      </c>
      <c r="D17" s="43"/>
      <c r="E17" s="7">
        <f>+E15+E16</f>
        <v>114570909.12</v>
      </c>
      <c r="F17" s="22"/>
      <c r="G17" s="1"/>
      <c r="H17" s="1"/>
      <c r="I17" s="13" t="s">
        <v>1582</v>
      </c>
      <c r="J17" s="13" t="s">
        <v>1583</v>
      </c>
    </row>
    <row r="18" spans="1:12" s="2" customFormat="1" ht="14.25" customHeight="1" x14ac:dyDescent="0.25">
      <c r="A18" s="36"/>
      <c r="B18" s="28"/>
      <c r="C18" s="44" t="s">
        <v>1511</v>
      </c>
      <c r="D18" s="43"/>
      <c r="E18" s="38">
        <f>+J11+I7-J7</f>
        <v>5429090.879999999</v>
      </c>
      <c r="F18" s="22"/>
      <c r="G18" s="1"/>
      <c r="H18" s="1"/>
      <c r="I18" s="2">
        <v>173597</v>
      </c>
      <c r="J18" s="2">
        <v>3035988.08</v>
      </c>
      <c r="K18" s="176">
        <f>I18-J18</f>
        <v>-2862391.08</v>
      </c>
    </row>
    <row r="19" spans="1:12" s="2" customFormat="1" ht="14.25" customHeight="1" x14ac:dyDescent="0.2">
      <c r="A19" s="24"/>
      <c r="B19" s="1"/>
      <c r="C19" s="14"/>
      <c r="D19" s="25"/>
      <c r="G19" s="1"/>
      <c r="H19" s="1"/>
      <c r="J19" s="130"/>
      <c r="K19" s="130"/>
    </row>
    <row r="20" spans="1:12" s="2" customFormat="1" x14ac:dyDescent="0.2">
      <c r="A20" s="214" t="s">
        <v>10</v>
      </c>
      <c r="B20" s="214"/>
      <c r="C20" s="214"/>
      <c r="D20" s="214"/>
      <c r="E20" s="214"/>
      <c r="F20" s="214"/>
      <c r="G20" s="1"/>
      <c r="H20" s="1"/>
      <c r="I20" s="159"/>
      <c r="J20" s="160">
        <v>100000000</v>
      </c>
      <c r="K20" s="160" t="s">
        <v>1506</v>
      </c>
      <c r="L20" s="70"/>
    </row>
    <row r="21" spans="1:12" s="2" customFormat="1" ht="15" x14ac:dyDescent="0.35">
      <c r="A21" s="26" t="s">
        <v>1</v>
      </c>
      <c r="B21" s="27" t="s">
        <v>2</v>
      </c>
      <c r="C21" s="5"/>
      <c r="D21" s="6" t="s">
        <v>3</v>
      </c>
      <c r="E21" s="7" t="s">
        <v>4</v>
      </c>
      <c r="F21" s="7" t="s">
        <v>5</v>
      </c>
      <c r="G21" s="1"/>
      <c r="H21" s="1"/>
      <c r="I21" s="159"/>
      <c r="J21" s="179">
        <v>68976823.75</v>
      </c>
      <c r="K21" s="160" t="s">
        <v>1507</v>
      </c>
      <c r="L21" s="70" t="s">
        <v>1512</v>
      </c>
    </row>
    <row r="22" spans="1:12" s="2" customFormat="1" x14ac:dyDescent="0.2">
      <c r="A22" s="89">
        <v>45327</v>
      </c>
      <c r="B22" s="128" t="s">
        <v>11</v>
      </c>
      <c r="C22" s="29" t="s">
        <v>7</v>
      </c>
      <c r="D22" s="25"/>
      <c r="E22" s="31"/>
      <c r="F22" s="2">
        <v>62301663.929999903</v>
      </c>
      <c r="G22" s="23"/>
      <c r="H22" s="23"/>
      <c r="I22" s="159" t="s">
        <v>1505</v>
      </c>
      <c r="J22" s="160">
        <f>+J20-J21</f>
        <v>31023176.25</v>
      </c>
      <c r="K22" s="160"/>
      <c r="L22" s="70"/>
    </row>
    <row r="23" spans="1:12" s="2" customFormat="1" x14ac:dyDescent="0.2">
      <c r="A23" s="89">
        <v>45327</v>
      </c>
      <c r="B23" s="128" t="s">
        <v>6</v>
      </c>
      <c r="C23" s="76" t="s">
        <v>843</v>
      </c>
      <c r="D23" s="11" t="s">
        <v>13</v>
      </c>
      <c r="E23" s="31">
        <v>387000</v>
      </c>
      <c r="G23" s="23"/>
      <c r="H23" s="23"/>
      <c r="I23" s="159"/>
      <c r="J23" s="160"/>
      <c r="K23" s="160"/>
      <c r="L23" s="70"/>
    </row>
    <row r="24" spans="1:12" s="2" customFormat="1" x14ac:dyDescent="0.2">
      <c r="A24" s="89">
        <v>45327</v>
      </c>
      <c r="B24" s="128" t="s">
        <v>6</v>
      </c>
      <c r="C24" s="76" t="s">
        <v>503</v>
      </c>
      <c r="D24" s="11" t="s">
        <v>13</v>
      </c>
      <c r="E24" s="31">
        <v>8392</v>
      </c>
      <c r="G24" s="23"/>
      <c r="H24" s="23"/>
      <c r="I24" s="159"/>
      <c r="J24" s="160"/>
      <c r="K24" s="160"/>
      <c r="L24" s="70"/>
    </row>
    <row r="25" spans="1:12" s="2" customFormat="1" x14ac:dyDescent="0.2">
      <c r="A25" s="89">
        <v>45327</v>
      </c>
      <c r="B25" s="128" t="s">
        <v>6</v>
      </c>
      <c r="C25" s="76" t="s">
        <v>240</v>
      </c>
      <c r="D25" s="11" t="s">
        <v>13</v>
      </c>
      <c r="E25" s="31">
        <v>8072</v>
      </c>
      <c r="G25" s="23"/>
      <c r="H25" s="23"/>
      <c r="I25" s="159"/>
      <c r="J25" s="160"/>
      <c r="K25" s="160"/>
      <c r="L25" s="70"/>
    </row>
    <row r="26" spans="1:12" s="2" customFormat="1" x14ac:dyDescent="0.2">
      <c r="A26" s="89">
        <v>45327</v>
      </c>
      <c r="B26" s="128" t="s">
        <v>6</v>
      </c>
      <c r="C26" s="76" t="s">
        <v>761</v>
      </c>
      <c r="D26" s="11" t="s">
        <v>13</v>
      </c>
      <c r="E26" s="31">
        <v>848274</v>
      </c>
      <c r="G26" s="23"/>
      <c r="H26" s="23"/>
      <c r="I26" s="159"/>
      <c r="J26" s="160"/>
      <c r="K26" s="160"/>
      <c r="L26" s="70"/>
    </row>
    <row r="27" spans="1:12" s="2" customFormat="1" x14ac:dyDescent="0.2">
      <c r="A27" s="89">
        <v>45327</v>
      </c>
      <c r="B27" s="128" t="s">
        <v>6</v>
      </c>
      <c r="C27" s="76" t="s">
        <v>1549</v>
      </c>
      <c r="D27" s="11" t="s">
        <v>13</v>
      </c>
      <c r="E27" s="31">
        <v>110073</v>
      </c>
      <c r="G27" s="23"/>
      <c r="H27" s="23"/>
      <c r="I27" s="159"/>
      <c r="J27" s="160"/>
      <c r="K27" s="160"/>
      <c r="L27" s="70"/>
    </row>
    <row r="28" spans="1:12" s="2" customFormat="1" x14ac:dyDescent="0.2">
      <c r="A28" s="89">
        <v>45327</v>
      </c>
      <c r="B28" s="128" t="s">
        <v>6</v>
      </c>
      <c r="C28" s="76" t="s">
        <v>276</v>
      </c>
      <c r="D28" s="11" t="s">
        <v>13</v>
      </c>
      <c r="E28" s="31">
        <v>13163</v>
      </c>
      <c r="G28" s="23"/>
      <c r="H28" s="23"/>
      <c r="I28" s="159"/>
      <c r="J28" s="160"/>
      <c r="K28" s="160"/>
      <c r="L28" s="70"/>
    </row>
    <row r="29" spans="1:12" s="2" customFormat="1" x14ac:dyDescent="0.2">
      <c r="A29" s="89">
        <v>45327</v>
      </c>
      <c r="B29" s="128" t="s">
        <v>6</v>
      </c>
      <c r="C29" s="76" t="s">
        <v>2038</v>
      </c>
      <c r="D29" s="11" t="s">
        <v>13</v>
      </c>
      <c r="E29" s="31">
        <v>35096.75</v>
      </c>
      <c r="G29" s="23"/>
      <c r="H29" s="23"/>
      <c r="I29" s="159"/>
      <c r="J29" s="160"/>
      <c r="K29" s="160"/>
      <c r="L29" s="70"/>
    </row>
    <row r="30" spans="1:12" s="2" customFormat="1" x14ac:dyDescent="0.2">
      <c r="A30" s="89">
        <v>45327</v>
      </c>
      <c r="B30" s="128" t="s">
        <v>6</v>
      </c>
      <c r="C30" s="76" t="s">
        <v>27</v>
      </c>
      <c r="D30" s="11" t="s">
        <v>13</v>
      </c>
      <c r="E30" s="31">
        <v>104376</v>
      </c>
      <c r="G30" s="23"/>
      <c r="H30" s="23"/>
      <c r="I30" s="159"/>
      <c r="J30" s="160"/>
      <c r="K30" s="160"/>
      <c r="L30" s="70"/>
    </row>
    <row r="31" spans="1:12" s="2" customFormat="1" x14ac:dyDescent="0.2">
      <c r="A31" s="89">
        <v>45327</v>
      </c>
      <c r="B31" s="128" t="s">
        <v>6</v>
      </c>
      <c r="C31" s="76" t="s">
        <v>785</v>
      </c>
      <c r="D31" s="11" t="s">
        <v>13</v>
      </c>
      <c r="E31" s="31">
        <v>253229</v>
      </c>
      <c r="G31" s="23"/>
      <c r="H31" s="23"/>
      <c r="I31" s="159"/>
      <c r="J31" s="160"/>
      <c r="K31" s="160"/>
      <c r="L31" s="70"/>
    </row>
    <row r="32" spans="1:12" s="2" customFormat="1" x14ac:dyDescent="0.2">
      <c r="A32" s="89">
        <v>45327</v>
      </c>
      <c r="B32" s="128" t="s">
        <v>6</v>
      </c>
      <c r="C32" s="76" t="s">
        <v>1996</v>
      </c>
      <c r="D32" s="11" t="s">
        <v>13</v>
      </c>
      <c r="E32" s="31">
        <v>418224</v>
      </c>
      <c r="G32" s="23"/>
      <c r="H32" s="23"/>
      <c r="I32" s="159"/>
      <c r="J32" s="160"/>
      <c r="K32" s="160"/>
      <c r="L32" s="70"/>
    </row>
    <row r="33" spans="1:12" s="2" customFormat="1" x14ac:dyDescent="0.2">
      <c r="A33" s="89">
        <v>45327</v>
      </c>
      <c r="B33" s="128" t="s">
        <v>6</v>
      </c>
      <c r="C33" s="76" t="s">
        <v>633</v>
      </c>
      <c r="D33" s="11" t="s">
        <v>13</v>
      </c>
      <c r="E33" s="31">
        <v>12588</v>
      </c>
      <c r="G33" s="23"/>
      <c r="H33" s="23"/>
      <c r="I33" s="159"/>
      <c r="J33" s="160"/>
      <c r="K33" s="160"/>
      <c r="L33" s="70"/>
    </row>
    <row r="34" spans="1:12" s="2" customFormat="1" x14ac:dyDescent="0.2">
      <c r="A34" s="89">
        <v>45327</v>
      </c>
      <c r="B34" s="128" t="s">
        <v>6</v>
      </c>
      <c r="C34" s="76" t="s">
        <v>1569</v>
      </c>
      <c r="D34" s="11" t="s">
        <v>13</v>
      </c>
      <c r="E34" s="31">
        <v>40653</v>
      </c>
      <c r="G34" s="23"/>
      <c r="H34" s="23"/>
      <c r="I34" s="159"/>
      <c r="J34" s="160"/>
      <c r="K34" s="160"/>
      <c r="L34" s="70"/>
    </row>
    <row r="35" spans="1:12" s="2" customFormat="1" x14ac:dyDescent="0.2">
      <c r="A35" s="89">
        <v>45327</v>
      </c>
      <c r="B35" s="128" t="s">
        <v>6</v>
      </c>
      <c r="C35" s="76" t="s">
        <v>15</v>
      </c>
      <c r="D35" s="11" t="s">
        <v>13</v>
      </c>
      <c r="E35" s="31">
        <v>8234.0400000000009</v>
      </c>
      <c r="G35" s="23"/>
      <c r="H35" s="23"/>
      <c r="I35" s="159"/>
      <c r="J35" s="160"/>
      <c r="K35" s="160"/>
      <c r="L35" s="70"/>
    </row>
    <row r="36" spans="1:12" s="2" customFormat="1" x14ac:dyDescent="0.2">
      <c r="A36" s="89">
        <v>45327</v>
      </c>
      <c r="B36" s="128" t="s">
        <v>11</v>
      </c>
      <c r="C36" s="76" t="s">
        <v>15</v>
      </c>
      <c r="D36" s="11" t="s">
        <v>29</v>
      </c>
      <c r="E36" s="31"/>
      <c r="F36" s="2">
        <v>3214.14</v>
      </c>
      <c r="G36" s="23"/>
      <c r="H36" s="23"/>
      <c r="I36" s="159"/>
      <c r="J36" s="160"/>
      <c r="K36" s="160"/>
      <c r="L36" s="70"/>
    </row>
    <row r="37" spans="1:12" s="2" customFormat="1" x14ac:dyDescent="0.2">
      <c r="A37" s="89">
        <v>45327</v>
      </c>
      <c r="B37" s="128" t="s">
        <v>11</v>
      </c>
      <c r="C37" s="76" t="s">
        <v>1734</v>
      </c>
      <c r="D37" s="11" t="s">
        <v>29</v>
      </c>
      <c r="E37" s="31"/>
      <c r="F37" s="2">
        <v>1823205</v>
      </c>
      <c r="G37" s="23"/>
      <c r="H37" s="23"/>
      <c r="I37" s="159"/>
      <c r="J37" s="160"/>
      <c r="K37" s="160"/>
      <c r="L37" s="70"/>
    </row>
    <row r="38" spans="1:12" s="2" customFormat="1" x14ac:dyDescent="0.2">
      <c r="A38" s="89">
        <v>45327</v>
      </c>
      <c r="B38" s="128" t="s">
        <v>11</v>
      </c>
      <c r="C38" s="76" t="s">
        <v>64</v>
      </c>
      <c r="D38" s="11" t="s">
        <v>29</v>
      </c>
      <c r="E38" s="31"/>
      <c r="F38" s="2">
        <v>1619.55</v>
      </c>
      <c r="G38" s="23"/>
      <c r="H38" s="23"/>
      <c r="I38" s="159"/>
      <c r="J38" s="160"/>
      <c r="K38" s="160"/>
      <c r="L38" s="70"/>
    </row>
    <row r="39" spans="1:12" s="2" customFormat="1" x14ac:dyDescent="0.2">
      <c r="A39" s="89">
        <v>45327</v>
      </c>
      <c r="B39" s="128" t="s">
        <v>11</v>
      </c>
      <c r="C39" s="76" t="s">
        <v>183</v>
      </c>
      <c r="D39" s="11" t="s">
        <v>29</v>
      </c>
      <c r="E39" s="31"/>
      <c r="F39" s="2">
        <v>20623</v>
      </c>
      <c r="G39" s="23"/>
      <c r="H39" s="23"/>
      <c r="I39" s="159"/>
      <c r="J39" s="160"/>
      <c r="K39" s="160"/>
      <c r="L39" s="70"/>
    </row>
    <row r="40" spans="1:12" s="2" customFormat="1" x14ac:dyDescent="0.2">
      <c r="A40" s="89">
        <v>45327</v>
      </c>
      <c r="B40" s="128" t="s">
        <v>11</v>
      </c>
      <c r="C40" s="76" t="s">
        <v>911</v>
      </c>
      <c r="D40" s="11" t="s">
        <v>29</v>
      </c>
      <c r="E40" s="31"/>
      <c r="F40" s="2">
        <v>12289</v>
      </c>
      <c r="G40" s="23"/>
      <c r="H40" s="23"/>
      <c r="I40" s="159"/>
      <c r="J40" s="160"/>
      <c r="K40" s="160"/>
      <c r="L40" s="70"/>
    </row>
    <row r="41" spans="1:12" s="2" customFormat="1" x14ac:dyDescent="0.2">
      <c r="A41" s="89">
        <v>45327</v>
      </c>
      <c r="B41" s="128" t="s">
        <v>11</v>
      </c>
      <c r="C41" s="76" t="s">
        <v>404</v>
      </c>
      <c r="D41" s="11" t="s">
        <v>29</v>
      </c>
      <c r="E41" s="31"/>
      <c r="F41" s="2">
        <v>265042</v>
      </c>
      <c r="G41" s="23"/>
      <c r="H41" s="23"/>
      <c r="I41" s="159"/>
      <c r="J41" s="160"/>
      <c r="K41" s="160"/>
      <c r="L41" s="70"/>
    </row>
    <row r="42" spans="1:12" s="2" customFormat="1" x14ac:dyDescent="0.2">
      <c r="A42" s="89">
        <v>45327</v>
      </c>
      <c r="B42" s="128" t="s">
        <v>11</v>
      </c>
      <c r="C42" s="76" t="s">
        <v>57</v>
      </c>
      <c r="D42" s="11" t="s">
        <v>29</v>
      </c>
      <c r="E42" s="31"/>
      <c r="F42" s="2">
        <v>9000000</v>
      </c>
      <c r="G42" s="23"/>
      <c r="H42" s="23"/>
      <c r="I42" s="159"/>
      <c r="J42" s="160"/>
      <c r="K42" s="160"/>
      <c r="L42" s="70"/>
    </row>
    <row r="43" spans="1:12" s="2" customFormat="1" x14ac:dyDescent="0.2">
      <c r="A43" s="89">
        <v>45327</v>
      </c>
      <c r="B43" s="128" t="s">
        <v>11</v>
      </c>
      <c r="C43" s="76" t="s">
        <v>242</v>
      </c>
      <c r="D43" s="11" t="s">
        <v>29</v>
      </c>
      <c r="E43" s="31"/>
      <c r="F43" s="2">
        <v>3234</v>
      </c>
      <c r="G43" s="23"/>
      <c r="H43" s="23"/>
      <c r="I43" s="159"/>
      <c r="J43" s="160"/>
      <c r="K43" s="160"/>
      <c r="L43" s="70"/>
    </row>
    <row r="44" spans="1:12" s="2" customFormat="1" x14ac:dyDescent="0.2">
      <c r="A44" s="89">
        <v>45327</v>
      </c>
      <c r="B44" s="128" t="s">
        <v>11</v>
      </c>
      <c r="C44" s="76" t="s">
        <v>738</v>
      </c>
      <c r="D44" s="11" t="s">
        <v>29</v>
      </c>
      <c r="E44" s="31"/>
      <c r="F44" s="2">
        <v>101940</v>
      </c>
      <c r="G44" s="23"/>
      <c r="H44" s="23"/>
      <c r="I44" s="159"/>
      <c r="J44" s="160"/>
      <c r="K44" s="160"/>
      <c r="L44" s="70"/>
    </row>
    <row r="45" spans="1:12" s="2" customFormat="1" x14ac:dyDescent="0.2">
      <c r="A45" s="89">
        <v>45327</v>
      </c>
      <c r="B45" s="128" t="s">
        <v>11</v>
      </c>
      <c r="C45" s="76" t="s">
        <v>714</v>
      </c>
      <c r="D45" s="11" t="s">
        <v>29</v>
      </c>
      <c r="E45" s="31"/>
      <c r="F45" s="2">
        <v>271695</v>
      </c>
      <c r="G45" s="23"/>
      <c r="H45" s="23"/>
      <c r="I45" s="159"/>
      <c r="J45" s="160"/>
      <c r="K45" s="160"/>
      <c r="L45" s="70"/>
    </row>
    <row r="46" spans="1:12" s="2" customFormat="1" x14ac:dyDescent="0.2">
      <c r="A46" s="89">
        <v>45327</v>
      </c>
      <c r="B46" s="128" t="s">
        <v>11</v>
      </c>
      <c r="C46" s="76" t="s">
        <v>2036</v>
      </c>
      <c r="D46" s="11" t="s">
        <v>29</v>
      </c>
      <c r="E46" s="31"/>
      <c r="F46" s="2">
        <v>417899</v>
      </c>
      <c r="G46" s="23"/>
      <c r="H46" s="23"/>
      <c r="I46" s="159"/>
      <c r="J46" s="160"/>
      <c r="K46" s="160"/>
      <c r="L46" s="70"/>
    </row>
    <row r="47" spans="1:12" s="2" customFormat="1" x14ac:dyDescent="0.2">
      <c r="A47" s="89">
        <v>45327</v>
      </c>
      <c r="B47" s="128" t="s">
        <v>11</v>
      </c>
      <c r="C47" s="76" t="s">
        <v>1131</v>
      </c>
      <c r="D47" s="11" t="s">
        <v>29</v>
      </c>
      <c r="E47" s="31"/>
      <c r="F47" s="2">
        <v>72292</v>
      </c>
      <c r="G47" s="23"/>
      <c r="H47" s="23"/>
      <c r="I47" s="159"/>
      <c r="J47" s="160"/>
      <c r="K47" s="160"/>
      <c r="L47" s="70"/>
    </row>
    <row r="48" spans="1:12" s="2" customFormat="1" x14ac:dyDescent="0.2">
      <c r="A48" s="89">
        <v>45327</v>
      </c>
      <c r="B48" s="128" t="s">
        <v>11</v>
      </c>
      <c r="C48" s="76" t="s">
        <v>1947</v>
      </c>
      <c r="D48" s="11" t="s">
        <v>29</v>
      </c>
      <c r="E48" s="31"/>
      <c r="F48" s="2">
        <v>43500</v>
      </c>
      <c r="G48" s="23"/>
      <c r="H48" s="23"/>
      <c r="I48" s="159"/>
      <c r="J48" s="160"/>
      <c r="K48" s="160"/>
      <c r="L48" s="70"/>
    </row>
    <row r="49" spans="1:15" s="2" customFormat="1" x14ac:dyDescent="0.2">
      <c r="A49" s="89">
        <v>45327</v>
      </c>
      <c r="B49" s="128" t="s">
        <v>11</v>
      </c>
      <c r="C49" s="76" t="s">
        <v>401</v>
      </c>
      <c r="D49" s="11" t="s">
        <v>29</v>
      </c>
      <c r="E49" s="31"/>
      <c r="F49" s="2">
        <v>135000</v>
      </c>
      <c r="G49" s="23"/>
      <c r="H49" s="23"/>
      <c r="I49" s="159"/>
      <c r="J49" s="160"/>
      <c r="K49" s="160"/>
      <c r="L49" s="70"/>
    </row>
    <row r="50" spans="1:15" s="2" customFormat="1" x14ac:dyDescent="0.2">
      <c r="A50" s="89">
        <v>45327</v>
      </c>
      <c r="B50" s="128" t="s">
        <v>11</v>
      </c>
      <c r="C50" s="76" t="s">
        <v>1379</v>
      </c>
      <c r="D50" s="11" t="s">
        <v>29</v>
      </c>
      <c r="E50" s="31"/>
      <c r="F50" s="2">
        <v>72000</v>
      </c>
      <c r="G50" s="23"/>
      <c r="H50" s="23"/>
      <c r="I50" s="159"/>
      <c r="J50" s="160"/>
      <c r="K50" s="160"/>
      <c r="L50" s="70" t="s">
        <v>2037</v>
      </c>
    </row>
    <row r="51" spans="1:15" s="2" customFormat="1" x14ac:dyDescent="0.2">
      <c r="A51" s="32"/>
      <c r="B51" s="33"/>
      <c r="C51" s="14"/>
      <c r="D51" s="34"/>
      <c r="E51" s="16">
        <f>SUM(E22:E50)</f>
        <v>2247374.79</v>
      </c>
      <c r="F51" s="16">
        <f>SUM(F22:F50)</f>
        <v>74545216.6199999</v>
      </c>
      <c r="G51" s="1"/>
      <c r="H51" s="1"/>
      <c r="I51" s="1"/>
      <c r="J51" s="38">
        <v>71839214.829999998</v>
      </c>
      <c r="L51" s="92">
        <f>E52-J51</f>
        <v>458626.99999989569</v>
      </c>
      <c r="O51" s="1"/>
    </row>
    <row r="52" spans="1:15" s="2" customFormat="1" x14ac:dyDescent="0.2">
      <c r="A52" s="36"/>
      <c r="B52" s="28" t="s">
        <v>11</v>
      </c>
      <c r="C52" s="19" t="s">
        <v>65</v>
      </c>
      <c r="D52" s="37"/>
      <c r="E52" s="38">
        <f>F51-E51</f>
        <v>72297841.829999894</v>
      </c>
      <c r="F52" s="22"/>
      <c r="G52" s="1"/>
      <c r="H52" s="1"/>
      <c r="I52" s="1"/>
      <c r="J52" s="70"/>
      <c r="K52" s="70"/>
      <c r="L52" s="70"/>
      <c r="O52" s="1"/>
    </row>
    <row r="53" spans="1:15" s="2" customFormat="1" x14ac:dyDescent="0.2">
      <c r="A53" s="36"/>
      <c r="B53" s="28" t="s">
        <v>66</v>
      </c>
      <c r="C53" s="19" t="s">
        <v>67</v>
      </c>
      <c r="D53" s="37"/>
      <c r="E53" s="38">
        <v>11500000</v>
      </c>
      <c r="F53" s="22"/>
      <c r="G53" s="1"/>
      <c r="H53" s="1"/>
      <c r="I53" s="70"/>
      <c r="J53" s="70"/>
      <c r="K53" s="70"/>
      <c r="L53" s="70"/>
      <c r="O53" s="1"/>
    </row>
    <row r="54" spans="1:15" s="2" customFormat="1" x14ac:dyDescent="0.2">
      <c r="A54" s="36"/>
      <c r="B54" s="28" t="s">
        <v>66</v>
      </c>
      <c r="C54" s="43" t="s">
        <v>1457</v>
      </c>
      <c r="D54" s="43"/>
      <c r="E54" s="12">
        <v>400000000</v>
      </c>
      <c r="F54" s="22"/>
      <c r="G54" s="1"/>
      <c r="H54" s="1"/>
      <c r="I54" s="70"/>
      <c r="J54" s="45">
        <v>740.45</v>
      </c>
      <c r="K54" s="46"/>
      <c r="L54" s="46"/>
      <c r="O54" s="1"/>
    </row>
    <row r="55" spans="1:15" s="2" customFormat="1" ht="15" x14ac:dyDescent="0.25">
      <c r="A55" s="36"/>
      <c r="B55" s="28"/>
      <c r="C55" s="44" t="s">
        <v>1541</v>
      </c>
      <c r="D55" s="43"/>
      <c r="E55" s="7">
        <f>+E54+E52+E53</f>
        <v>483797841.82999992</v>
      </c>
      <c r="F55" s="22"/>
      <c r="G55" s="1"/>
      <c r="H55" s="1"/>
      <c r="I55" s="103" t="s">
        <v>69</v>
      </c>
      <c r="J55" s="45">
        <v>-9.48</v>
      </c>
      <c r="K55" s="46"/>
      <c r="L55" s="46"/>
      <c r="O55" s="1"/>
    </row>
    <row r="56" spans="1:15" s="2" customFormat="1" ht="15" x14ac:dyDescent="0.25">
      <c r="A56" s="24"/>
      <c r="B56" s="1"/>
      <c r="C56" s="44" t="s">
        <v>1510</v>
      </c>
      <c r="D56" s="25"/>
      <c r="E56" s="156">
        <f>+J22-E53+I18-J18</f>
        <v>16660785.17</v>
      </c>
      <c r="G56" s="1"/>
      <c r="H56" s="1"/>
      <c r="I56" s="35">
        <v>1</v>
      </c>
      <c r="J56" s="45">
        <v>4.32</v>
      </c>
      <c r="K56" s="46">
        <f>+J57-D59</f>
        <v>0</v>
      </c>
      <c r="O56" s="1"/>
    </row>
    <row r="57" spans="1:15" s="124" customFormat="1" ht="12.75" customHeight="1" x14ac:dyDescent="0.2">
      <c r="A57" s="24"/>
      <c r="B57" s="1"/>
      <c r="C57" s="56"/>
      <c r="D57" s="56"/>
      <c r="E57" s="104"/>
      <c r="F57" s="2"/>
      <c r="G57" s="166"/>
      <c r="H57" s="166"/>
      <c r="I57" s="70"/>
      <c r="J57" s="49">
        <f>SUM(J54:J56)</f>
        <v>735.29000000000008</v>
      </c>
      <c r="K57" s="46"/>
      <c r="L57" s="46"/>
    </row>
    <row r="58" spans="1:15" s="124" customFormat="1" ht="12.75" customHeight="1" x14ac:dyDescent="0.2">
      <c r="A58" s="24"/>
      <c r="B58" s="1"/>
      <c r="C58" s="78" t="s">
        <v>575</v>
      </c>
      <c r="D58" s="48" t="s">
        <v>576</v>
      </c>
      <c r="E58" s="104"/>
      <c r="F58" s="2"/>
      <c r="G58" s="168"/>
      <c r="H58" s="168"/>
      <c r="I58" s="167"/>
      <c r="J58" s="167"/>
      <c r="K58" s="168"/>
    </row>
    <row r="59" spans="1:15" s="124" customFormat="1" ht="12.75" customHeight="1" x14ac:dyDescent="0.2">
      <c r="A59" s="24"/>
      <c r="B59" s="1"/>
      <c r="C59" s="47" t="s">
        <v>570</v>
      </c>
      <c r="D59" s="111">
        <v>735.29</v>
      </c>
      <c r="E59" s="104"/>
      <c r="F59" s="2"/>
      <c r="G59" s="168"/>
      <c r="H59" s="168"/>
      <c r="I59" s="110" t="s">
        <v>581</v>
      </c>
      <c r="J59" s="167"/>
      <c r="K59" s="168"/>
    </row>
    <row r="60" spans="1:15" s="124" customFormat="1" ht="12.75" customHeight="1" x14ac:dyDescent="0.2">
      <c r="A60" s="24"/>
      <c r="B60" s="1"/>
      <c r="C60" s="47" t="s">
        <v>931</v>
      </c>
      <c r="D60" s="111">
        <v>0</v>
      </c>
      <c r="E60" s="104"/>
      <c r="F60" s="2"/>
      <c r="G60" s="168"/>
      <c r="H60" s="168"/>
      <c r="I60" s="110" t="s">
        <v>580</v>
      </c>
      <c r="J60" s="167"/>
      <c r="K60" s="168"/>
    </row>
    <row r="61" spans="1:15" s="124" customFormat="1" ht="12.75" customHeight="1" x14ac:dyDescent="0.2">
      <c r="A61" s="24"/>
      <c r="B61" s="1"/>
      <c r="C61" s="47" t="s">
        <v>572</v>
      </c>
      <c r="D61" s="111">
        <f>+D78/100000</f>
        <v>9.2894900000000007</v>
      </c>
      <c r="E61" s="104"/>
      <c r="F61" s="2"/>
      <c r="G61" s="166"/>
      <c r="H61" s="166"/>
      <c r="I61" s="90" t="s">
        <v>587</v>
      </c>
      <c r="J61" s="167"/>
      <c r="K61" s="168"/>
    </row>
    <row r="62" spans="1:15" s="2" customFormat="1" x14ac:dyDescent="0.2">
      <c r="A62" s="24"/>
      <c r="B62" s="1"/>
      <c r="C62" s="108" t="s">
        <v>578</v>
      </c>
      <c r="D62" s="48">
        <f>SUM(D59:D61)</f>
        <v>744.57948999999996</v>
      </c>
      <c r="E62" s="104"/>
      <c r="G62" s="30"/>
      <c r="H62" s="30"/>
      <c r="J62" s="13"/>
      <c r="K62" s="13"/>
    </row>
    <row r="63" spans="1:15" s="70" customFormat="1" x14ac:dyDescent="0.2">
      <c r="A63" s="24"/>
      <c r="B63" s="1"/>
      <c r="C63" s="47"/>
      <c r="D63" s="107"/>
      <c r="E63" s="104"/>
      <c r="F63" s="2"/>
      <c r="G63" s="30"/>
      <c r="H63" s="30"/>
      <c r="I63" s="2"/>
    </row>
    <row r="64" spans="1:15" s="70" customFormat="1" x14ac:dyDescent="0.2">
      <c r="A64" s="24"/>
      <c r="B64" s="1"/>
      <c r="C64" s="47" t="s">
        <v>932</v>
      </c>
      <c r="D64" s="111">
        <v>2.5299999999999998</v>
      </c>
      <c r="E64" s="104"/>
      <c r="F64" s="2"/>
      <c r="G64" s="30"/>
      <c r="H64" s="30"/>
      <c r="I64" s="110" t="s">
        <v>581</v>
      </c>
    </row>
    <row r="65" spans="1:15" s="70" customFormat="1" x14ac:dyDescent="0.2">
      <c r="A65" s="24"/>
      <c r="B65" s="1"/>
      <c r="C65" s="136" t="s">
        <v>1142</v>
      </c>
      <c r="D65" s="111">
        <v>204.8</v>
      </c>
      <c r="E65" s="104"/>
      <c r="F65" s="2"/>
      <c r="G65" s="30"/>
      <c r="H65" s="30"/>
      <c r="I65" s="110" t="s">
        <v>581</v>
      </c>
    </row>
    <row r="66" spans="1:15" s="70" customFormat="1" x14ac:dyDescent="0.2">
      <c r="A66" s="24"/>
      <c r="B66" s="1"/>
      <c r="C66" s="78" t="s">
        <v>579</v>
      </c>
      <c r="D66" s="109">
        <f>D64+D65</f>
        <v>207.33</v>
      </c>
      <c r="E66" s="104"/>
      <c r="F66" s="2"/>
      <c r="G66" s="30"/>
      <c r="H66" s="30"/>
    </row>
    <row r="67" spans="1:15" s="70" customFormat="1" x14ac:dyDescent="0.2">
      <c r="A67" s="24"/>
      <c r="B67" s="1"/>
      <c r="C67" s="105"/>
      <c r="D67" s="106"/>
      <c r="E67" s="104"/>
      <c r="F67" s="2"/>
      <c r="G67" s="30"/>
      <c r="H67" s="30"/>
      <c r="J67" s="2"/>
      <c r="K67" s="221" t="str">
        <f>"FROM ( 01-02-2024 to "&amp;TEXT(A5,"dd-mm-yyyy")&amp;" )"</f>
        <v>FROM ( 01-02-2024 to 05-02-2024 )</v>
      </c>
      <c r="L67" s="221"/>
      <c r="M67" s="2"/>
      <c r="N67" s="2"/>
    </row>
    <row r="68" spans="1:15" s="70" customFormat="1" x14ac:dyDescent="0.2">
      <c r="A68" s="24"/>
      <c r="B68" s="1"/>
      <c r="C68" s="78" t="s">
        <v>577</v>
      </c>
      <c r="D68" s="109">
        <f>D59+D66</f>
        <v>942.62</v>
      </c>
      <c r="E68" s="104"/>
      <c r="F68" s="2"/>
      <c r="G68" s="30"/>
      <c r="H68" s="30"/>
      <c r="J68" s="113"/>
      <c r="K68" s="113" t="s">
        <v>709</v>
      </c>
      <c r="L68" s="113" t="s">
        <v>710</v>
      </c>
      <c r="M68" s="113" t="s">
        <v>711</v>
      </c>
      <c r="N68" s="113" t="s">
        <v>712</v>
      </c>
    </row>
    <row r="69" spans="1:15" s="70" customFormat="1" x14ac:dyDescent="0.2">
      <c r="A69" s="24"/>
      <c r="B69" s="1"/>
      <c r="C69" s="56"/>
      <c r="D69" s="56"/>
      <c r="E69" s="104"/>
      <c r="F69" s="2"/>
      <c r="G69" s="30"/>
      <c r="H69" s="30"/>
      <c r="J69" s="113" t="s">
        <v>1860</v>
      </c>
      <c r="K69" s="115">
        <v>191.98999999999998</v>
      </c>
      <c r="L69" s="115">
        <v>0</v>
      </c>
      <c r="M69" s="115">
        <v>0</v>
      </c>
      <c r="N69" s="113">
        <f>+K69+M69-L69</f>
        <v>191.98999999999998</v>
      </c>
    </row>
    <row r="70" spans="1:15" s="70" customFormat="1" ht="38.25" x14ac:dyDescent="0.2">
      <c r="A70" s="24"/>
      <c r="B70" s="1"/>
      <c r="C70" s="79" t="str">
        <f>"Particulars ( 01-02-2024 to "&amp;TEXT(A5,"dd-mm-yyyy")&amp;" )"</f>
        <v>Particulars ( 01-02-2024 to 05-02-2024 )</v>
      </c>
      <c r="D70" s="79" t="s">
        <v>7</v>
      </c>
      <c r="E70" s="80" t="s">
        <v>73</v>
      </c>
      <c r="F70" s="80" t="s">
        <v>74</v>
      </c>
      <c r="G70" s="81" t="s">
        <v>75</v>
      </c>
      <c r="H70" s="80" t="s">
        <v>76</v>
      </c>
      <c r="J70" s="113" t="s">
        <v>1861</v>
      </c>
      <c r="K70" s="115">
        <v>1862.06</v>
      </c>
      <c r="L70" s="115">
        <v>9.2899999999999991</v>
      </c>
      <c r="M70" s="115">
        <v>204.8</v>
      </c>
      <c r="N70" s="113">
        <f>+K70+M70-L70</f>
        <v>2057.5700000000002</v>
      </c>
    </row>
    <row r="71" spans="1:15" s="70" customFormat="1" x14ac:dyDescent="0.2">
      <c r="A71" s="24"/>
      <c r="B71" s="1"/>
      <c r="C71" s="50" t="s">
        <v>444</v>
      </c>
      <c r="D71" s="55">
        <f>+K71</f>
        <v>332.55</v>
      </c>
      <c r="E71" s="55">
        <f>+IF(M71=0,0,M71)</f>
        <v>2.5299999999999998</v>
      </c>
      <c r="F71" s="180">
        <f>+L71</f>
        <v>0</v>
      </c>
      <c r="G71" s="55">
        <f>+D71+E71-F71</f>
        <v>335.08</v>
      </c>
      <c r="H71" s="55">
        <f>1500-G71</f>
        <v>1164.92</v>
      </c>
      <c r="I71" s="70">
        <f>+IF(M71=0,0,M71)</f>
        <v>2.5299999999999998</v>
      </c>
      <c r="J71" s="113" t="s">
        <v>707</v>
      </c>
      <c r="K71" s="115">
        <v>332.55</v>
      </c>
      <c r="L71" s="115">
        <v>0</v>
      </c>
      <c r="M71" s="115">
        <v>2.5299999999999998</v>
      </c>
      <c r="N71" s="113">
        <f>+K71+M71-L71</f>
        <v>335.08</v>
      </c>
    </row>
    <row r="72" spans="1:15" s="70" customFormat="1" ht="12.75" customHeight="1" x14ac:dyDescent="0.2">
      <c r="A72" s="24"/>
      <c r="B72" s="1"/>
      <c r="C72" s="50" t="s">
        <v>71</v>
      </c>
      <c r="D72" s="55">
        <f>+K69+K70</f>
        <v>2054.0499999999997</v>
      </c>
      <c r="E72" s="55">
        <f>+M69+M70</f>
        <v>204.8</v>
      </c>
      <c r="F72" s="55">
        <f>+L69+L70</f>
        <v>9.2899999999999991</v>
      </c>
      <c r="G72" s="55">
        <f>+D72+E72-F72</f>
        <v>2249.56</v>
      </c>
      <c r="H72" s="55">
        <f>1500+700+200-G72</f>
        <v>150.44000000000005</v>
      </c>
      <c r="J72" s="2"/>
      <c r="K72" s="118">
        <f>SUM(K69:K71)</f>
        <v>2386.6</v>
      </c>
      <c r="L72" s="118">
        <f>SUM(L69:L71)</f>
        <v>9.2899999999999991</v>
      </c>
      <c r="M72" s="118">
        <f>SUM(M69:M71)</f>
        <v>207.33</v>
      </c>
      <c r="N72" s="118">
        <f>SUM(N69:N71)</f>
        <v>2584.64</v>
      </c>
    </row>
    <row r="73" spans="1:15" s="70" customFormat="1" ht="12.75" customHeight="1" x14ac:dyDescent="0.2">
      <c r="A73" s="24"/>
      <c r="B73" s="1"/>
      <c r="C73" s="14"/>
      <c r="D73" s="56"/>
      <c r="E73" s="13"/>
      <c r="F73" s="2"/>
      <c r="G73" s="30"/>
      <c r="H73" s="30"/>
    </row>
    <row r="74" spans="1:15" s="70" customFormat="1" ht="12.75" customHeight="1" x14ac:dyDescent="0.2">
      <c r="A74" s="215" t="s">
        <v>80</v>
      </c>
      <c r="B74" s="216"/>
      <c r="C74" s="216"/>
      <c r="D74" s="217"/>
      <c r="E74" s="69"/>
      <c r="G74" s="30"/>
      <c r="H74" s="30"/>
    </row>
    <row r="75" spans="1:15" s="70" customFormat="1" ht="12.75" customHeight="1" x14ac:dyDescent="0.2">
      <c r="A75" s="71" t="s">
        <v>81</v>
      </c>
      <c r="B75" s="71"/>
      <c r="C75" s="72" t="s">
        <v>82</v>
      </c>
      <c r="D75" s="73" t="s">
        <v>83</v>
      </c>
      <c r="E75" s="69"/>
      <c r="G75" s="30"/>
      <c r="H75" s="30"/>
    </row>
    <row r="76" spans="1:15" s="70" customFormat="1" ht="12.75" customHeight="1" x14ac:dyDescent="0.2">
      <c r="A76" s="87">
        <v>45323</v>
      </c>
      <c r="B76" s="120" t="s">
        <v>6</v>
      </c>
      <c r="C76" s="75" t="s">
        <v>2030</v>
      </c>
      <c r="D76" s="88">
        <v>881220</v>
      </c>
      <c r="E76" s="2"/>
      <c r="F76" s="2"/>
      <c r="G76" s="30"/>
      <c r="H76" s="30"/>
      <c r="I76" s="2"/>
      <c r="J76" s="2"/>
      <c r="K76" s="2"/>
      <c r="L76" s="2"/>
      <c r="M76" s="41"/>
      <c r="N76" s="42"/>
      <c r="O76" s="2"/>
    </row>
    <row r="77" spans="1:15" s="70" customFormat="1" ht="12.75" customHeight="1" x14ac:dyDescent="0.2">
      <c r="A77" s="87">
        <v>45324</v>
      </c>
      <c r="B77" s="120" t="s">
        <v>6</v>
      </c>
      <c r="C77" s="75" t="s">
        <v>1934</v>
      </c>
      <c r="D77" s="88">
        <v>47729</v>
      </c>
      <c r="E77" s="2"/>
      <c r="F77" s="2"/>
      <c r="G77" s="30"/>
      <c r="H77" s="30"/>
      <c r="I77" s="2"/>
      <c r="J77" s="2"/>
      <c r="K77" s="2"/>
      <c r="L77" s="2"/>
      <c r="M77" s="41"/>
      <c r="N77" s="42"/>
      <c r="O77" s="2"/>
    </row>
    <row r="78" spans="1:15" s="2" customFormat="1" x14ac:dyDescent="0.2">
      <c r="A78" s="87"/>
      <c r="B78" s="74"/>
      <c r="C78" s="75"/>
      <c r="D78" s="51">
        <f>SUM(D76:D77)</f>
        <v>928949</v>
      </c>
      <c r="F78" s="2" t="s">
        <v>396</v>
      </c>
      <c r="G78" s="1"/>
      <c r="H78" s="1"/>
    </row>
    <row r="79" spans="1:15" s="2" customFormat="1" x14ac:dyDescent="0.2">
      <c r="A79" s="24"/>
      <c r="B79" s="1"/>
      <c r="C79" s="14"/>
      <c r="D79" s="56"/>
      <c r="E79" s="13"/>
      <c r="G79" s="1"/>
      <c r="H79" s="1"/>
    </row>
    <row r="80" spans="1:15" s="2" customFormat="1" x14ac:dyDescent="0.2">
      <c r="A80" s="24"/>
      <c r="B80" s="1"/>
      <c r="C80" s="218" t="s">
        <v>77</v>
      </c>
      <c r="D80" s="219"/>
      <c r="E80" s="219"/>
      <c r="F80" s="220"/>
      <c r="I80" s="2" t="s">
        <v>396</v>
      </c>
    </row>
    <row r="81" spans="1:14" s="2" customFormat="1" x14ac:dyDescent="0.2">
      <c r="A81" s="24"/>
      <c r="B81" s="1"/>
      <c r="C81" s="50"/>
      <c r="D81" s="57" t="s">
        <v>78</v>
      </c>
      <c r="E81" s="58" t="s">
        <v>79</v>
      </c>
      <c r="F81" s="57" t="s">
        <v>72</v>
      </c>
      <c r="I81" s="2" t="s">
        <v>396</v>
      </c>
    </row>
    <row r="82" spans="1:14" s="2" customFormat="1" x14ac:dyDescent="0.2">
      <c r="A82" s="24"/>
      <c r="B82" s="1"/>
      <c r="C82" s="59" t="str">
        <f>"01-02-2024 to "&amp;TEXT(A5-2,"dd-mm-yyyy")</f>
        <v>01-02-2024 to 03-02-2024</v>
      </c>
      <c r="D82" s="60">
        <v>528.98</v>
      </c>
      <c r="E82" s="60">
        <v>64.45</v>
      </c>
      <c r="F82" s="61">
        <f>SUM(D82:E82)</f>
        <v>593.43000000000006</v>
      </c>
    </row>
    <row r="83" spans="1:14" s="2" customFormat="1" x14ac:dyDescent="0.2">
      <c r="A83" s="24"/>
      <c r="B83" s="1"/>
      <c r="C83" s="62" t="str">
        <f>TEXT(A5-1,"dd-mm-yyyy")</f>
        <v>04-02-2024</v>
      </c>
      <c r="D83" s="60">
        <v>0.16</v>
      </c>
      <c r="E83" s="60">
        <v>4.68</v>
      </c>
      <c r="F83" s="61">
        <f>SUM(D83:E83)</f>
        <v>4.84</v>
      </c>
      <c r="G83" s="1"/>
      <c r="H83" s="1"/>
      <c r="I83" s="53"/>
    </row>
    <row r="84" spans="1:14" s="2" customFormat="1" ht="13.5" thickBot="1" x14ac:dyDescent="0.25">
      <c r="A84" s="24"/>
      <c r="B84" s="1"/>
      <c r="C84" s="63" t="str">
        <f>"01-02-2024 to "&amp;TEXT(A5-1,"dd-mm-yyyy")</f>
        <v>01-02-2024 to 04-02-2024</v>
      </c>
      <c r="D84" s="64">
        <f>SUM(D82:D83)</f>
        <v>529.14</v>
      </c>
      <c r="E84" s="64">
        <f>SUM(E82:E83)</f>
        <v>69.13</v>
      </c>
      <c r="F84" s="64">
        <f>SUM(F82:F83)</f>
        <v>598.2700000000001</v>
      </c>
      <c r="G84" s="1"/>
      <c r="H84" s="1"/>
      <c r="I84" s="53"/>
    </row>
    <row r="85" spans="1:14" s="2" customFormat="1" ht="13.5" thickTop="1" x14ac:dyDescent="0.2">
      <c r="A85" s="24"/>
      <c r="B85" s="1"/>
      <c r="C85" s="62"/>
      <c r="D85" s="65"/>
      <c r="E85" s="66"/>
      <c r="F85" s="67"/>
      <c r="M85" s="1"/>
      <c r="N85" s="1"/>
    </row>
    <row r="86" spans="1:14" s="2" customFormat="1" x14ac:dyDescent="0.2">
      <c r="A86" s="24"/>
      <c r="B86" s="1"/>
      <c r="C86" s="62" t="str">
        <f>"01-04-2023 to " &amp;C83</f>
        <v>01-04-2023 to 04-02-2024</v>
      </c>
      <c r="D86" s="68">
        <f>+D84+37155.69</f>
        <v>37684.83</v>
      </c>
      <c r="E86" s="68">
        <f>+E84+4497.36</f>
        <v>4566.49</v>
      </c>
      <c r="F86" s="68">
        <f>+F84+41653.05</f>
        <v>42251.32</v>
      </c>
      <c r="G86" s="1"/>
      <c r="H86" s="1"/>
      <c r="M86" s="1"/>
      <c r="N86" s="1"/>
    </row>
    <row r="87" spans="1:14" s="2" customFormat="1" x14ac:dyDescent="0.2">
      <c r="A87" s="24"/>
      <c r="B87" s="1"/>
      <c r="C87" s="52"/>
      <c r="D87" s="85"/>
      <c r="E87" s="53"/>
      <c r="F87" s="53"/>
      <c r="G87" s="1"/>
      <c r="H87" s="1"/>
      <c r="M87" s="1"/>
      <c r="N87" s="1"/>
    </row>
    <row r="88" spans="1:14" s="2" customFormat="1" x14ac:dyDescent="0.2">
      <c r="A88" s="24"/>
      <c r="B88" s="1"/>
      <c r="C88" s="52"/>
      <c r="D88" s="85"/>
      <c r="E88" s="53"/>
      <c r="F88" s="53"/>
      <c r="G88" s="1"/>
      <c r="H88" s="1"/>
      <c r="M88" s="1"/>
      <c r="N88" s="1"/>
    </row>
    <row r="89" spans="1:14" s="2" customFormat="1" x14ac:dyDescent="0.2">
      <c r="A89" s="24"/>
      <c r="B89" s="1"/>
      <c r="C89" s="52"/>
      <c r="D89" s="85"/>
      <c r="E89" s="53"/>
      <c r="F89" s="53"/>
      <c r="G89" s="1"/>
      <c r="H89" s="1"/>
      <c r="M89" s="1"/>
      <c r="N89" s="1"/>
    </row>
    <row r="90" spans="1:14" s="2" customFormat="1" x14ac:dyDescent="0.2">
      <c r="A90" s="24"/>
      <c r="B90" s="1"/>
      <c r="C90" s="52"/>
      <c r="D90" s="85"/>
      <c r="E90" s="53"/>
      <c r="F90" s="53"/>
      <c r="G90" s="1"/>
      <c r="H90" s="1"/>
      <c r="M90" s="1"/>
      <c r="N90" s="1"/>
    </row>
    <row r="91" spans="1:14" s="2" customFormat="1" x14ac:dyDescent="0.2">
      <c r="A91" s="24"/>
      <c r="B91" s="1"/>
      <c r="C91" s="14"/>
      <c r="D91" s="25">
        <f>SUM(D88:D90)</f>
        <v>0</v>
      </c>
      <c r="E91" s="2">
        <f>SUM(E88:E90)</f>
        <v>0</v>
      </c>
      <c r="G91" s="1"/>
      <c r="H91" s="1"/>
      <c r="M91" s="1"/>
      <c r="N91" s="1"/>
    </row>
    <row r="92" spans="1:14" s="2" customFormat="1" x14ac:dyDescent="0.2">
      <c r="A92" s="24"/>
      <c r="B92" s="1"/>
      <c r="C92" s="14"/>
      <c r="D92" s="25"/>
      <c r="G92" s="1"/>
      <c r="H92" s="1"/>
      <c r="M92" s="1"/>
      <c r="N92" s="1"/>
    </row>
    <row r="93" spans="1:14" s="2" customFormat="1" x14ac:dyDescent="0.2">
      <c r="A93" s="24"/>
      <c r="B93" s="1"/>
      <c r="C93" s="14"/>
      <c r="D93" s="25"/>
      <c r="G93" s="1"/>
      <c r="H93" s="1"/>
      <c r="M93" s="1"/>
      <c r="N93" s="1"/>
    </row>
    <row r="94" spans="1:14" s="2" customFormat="1" x14ac:dyDescent="0.2">
      <c r="A94" s="24"/>
      <c r="B94" s="1"/>
      <c r="C94" s="14"/>
      <c r="D94" s="25"/>
      <c r="G94" s="1"/>
      <c r="H94" s="1"/>
      <c r="M94" s="1"/>
      <c r="N94" s="1"/>
    </row>
    <row r="95" spans="1:14" s="2" customFormat="1" x14ac:dyDescent="0.2">
      <c r="A95" s="24"/>
      <c r="B95" s="1"/>
      <c r="C95" s="14"/>
      <c r="D95" s="25"/>
      <c r="G95" s="1"/>
      <c r="H95" s="1"/>
      <c r="M95" s="1"/>
      <c r="N95" s="1"/>
    </row>
    <row r="96" spans="1:14" s="2" customFormat="1" x14ac:dyDescent="0.2">
      <c r="A96" s="24"/>
      <c r="B96" s="1"/>
      <c r="C96" s="14"/>
      <c r="D96" s="25"/>
      <c r="G96" s="1"/>
      <c r="H96" s="1"/>
      <c r="M96" s="1"/>
      <c r="N96" s="1"/>
    </row>
    <row r="97" spans="1:15" s="2" customFormat="1" x14ac:dyDescent="0.2">
      <c r="A97" s="24"/>
      <c r="B97" s="1"/>
      <c r="C97" s="14"/>
      <c r="D97" s="25"/>
      <c r="G97" s="1"/>
      <c r="H97" s="1"/>
      <c r="M97" s="1"/>
      <c r="N97" s="1"/>
    </row>
    <row r="98" spans="1:15" s="2" customFormat="1" x14ac:dyDescent="0.2">
      <c r="A98" s="24"/>
      <c r="B98" s="1"/>
      <c r="C98" s="14"/>
      <c r="D98" s="25"/>
      <c r="G98" s="1"/>
      <c r="H98" s="1"/>
      <c r="M98" s="1"/>
      <c r="N98" s="1"/>
    </row>
    <row r="99" spans="1:15" s="2" customFormat="1" x14ac:dyDescent="0.2">
      <c r="A99" s="24"/>
      <c r="B99" s="1"/>
      <c r="C99" s="14"/>
      <c r="D99" s="25"/>
      <c r="G99" s="1"/>
      <c r="H99" s="1"/>
      <c r="M99" s="1"/>
      <c r="N99" s="1"/>
    </row>
    <row r="100" spans="1:15" s="2" customFormat="1" x14ac:dyDescent="0.2">
      <c r="A100" s="24"/>
      <c r="B100" s="1"/>
      <c r="C100" s="14"/>
      <c r="D100" s="25"/>
      <c r="G100" s="1"/>
      <c r="H100" s="1"/>
      <c r="M100" s="1"/>
      <c r="N100" s="1"/>
    </row>
    <row r="101" spans="1:15" s="2" customFormat="1" x14ac:dyDescent="0.2">
      <c r="A101" s="24"/>
      <c r="B101" s="1"/>
      <c r="C101" s="14"/>
      <c r="D101" s="25"/>
      <c r="G101" s="1"/>
      <c r="H101" s="1"/>
      <c r="M101" s="1"/>
      <c r="N101" s="1"/>
    </row>
    <row r="102" spans="1:15" s="2" customFormat="1" x14ac:dyDescent="0.2">
      <c r="A102" s="24"/>
      <c r="B102" s="1"/>
      <c r="C102" s="14"/>
      <c r="D102" s="25"/>
      <c r="G102" s="1"/>
      <c r="H102" s="1"/>
      <c r="M102" s="1"/>
      <c r="N102" s="1"/>
    </row>
    <row r="103" spans="1:15" s="2" customFormat="1" x14ac:dyDescent="0.2">
      <c r="A103" s="24"/>
      <c r="B103" s="1"/>
      <c r="C103" s="14"/>
      <c r="D103" s="25"/>
      <c r="G103" s="1"/>
      <c r="H103" s="1"/>
      <c r="M103" s="1"/>
      <c r="N103" s="1"/>
    </row>
    <row r="104" spans="1:15" s="2" customFormat="1" x14ac:dyDescent="0.2">
      <c r="A104" s="24"/>
      <c r="B104" s="1"/>
      <c r="C104" s="14"/>
      <c r="D104" s="25"/>
      <c r="G104" s="1"/>
      <c r="H104" s="1"/>
      <c r="M104" s="1"/>
      <c r="N104" s="1"/>
    </row>
    <row r="105" spans="1:15" s="2" customFormat="1" x14ac:dyDescent="0.2">
      <c r="A105" s="24"/>
      <c r="B105" s="1"/>
      <c r="C105" s="14"/>
      <c r="D105" s="25"/>
      <c r="G105" s="1"/>
      <c r="H105" s="1"/>
      <c r="J105" s="1"/>
      <c r="K105" s="1"/>
      <c r="L105" s="1"/>
      <c r="M105" s="1"/>
      <c r="N105" s="1"/>
    </row>
    <row r="106" spans="1:15" s="2" customFormat="1" x14ac:dyDescent="0.2">
      <c r="A106" s="24"/>
      <c r="B106" s="1"/>
      <c r="C106" s="14"/>
      <c r="D106" s="25"/>
      <c r="G106" s="1"/>
      <c r="H106" s="1"/>
    </row>
    <row r="107" spans="1:15" s="2" customFormat="1" x14ac:dyDescent="0.2">
      <c r="A107" s="24"/>
      <c r="B107" s="1"/>
      <c r="C107" s="14"/>
      <c r="D107" s="25"/>
      <c r="G107" s="1"/>
      <c r="H107" s="1"/>
      <c r="J107" s="1"/>
      <c r="K107" s="1"/>
      <c r="L107" s="1"/>
      <c r="M107" s="1"/>
      <c r="N107" s="1"/>
    </row>
    <row r="108" spans="1:15" s="2" customFormat="1" x14ac:dyDescent="0.2">
      <c r="A108" s="24"/>
      <c r="B108" s="1"/>
      <c r="C108" s="14"/>
      <c r="D108" s="25"/>
      <c r="G108" s="54"/>
      <c r="H108" s="54"/>
      <c r="J108" s="1"/>
      <c r="K108" s="1"/>
      <c r="L108" s="1"/>
      <c r="M108" s="1"/>
      <c r="N108" s="1"/>
    </row>
    <row r="109" spans="1:15" s="2" customFormat="1" x14ac:dyDescent="0.2">
      <c r="A109" s="24"/>
      <c r="B109" s="1"/>
      <c r="C109" s="14"/>
      <c r="D109" s="25"/>
      <c r="G109" s="54"/>
      <c r="H109" s="54"/>
      <c r="J109" s="1"/>
      <c r="K109" s="1"/>
      <c r="L109" s="1"/>
      <c r="M109" s="1"/>
      <c r="N109" s="1"/>
    </row>
    <row r="110" spans="1:15" s="2" customFormat="1" x14ac:dyDescent="0.2">
      <c r="A110" s="24"/>
      <c r="B110" s="1"/>
      <c r="C110" s="14"/>
      <c r="D110" s="25"/>
      <c r="G110" s="54"/>
      <c r="H110" s="54"/>
      <c r="J110" s="1"/>
      <c r="K110" s="1"/>
      <c r="L110" s="1"/>
      <c r="M110" s="1"/>
      <c r="N110" s="1"/>
    </row>
    <row r="111" spans="1:15" s="2" customFormat="1" x14ac:dyDescent="0.2">
      <c r="A111" s="24"/>
      <c r="B111" s="1"/>
      <c r="C111" s="14"/>
      <c r="D111" s="25"/>
      <c r="G111" s="54"/>
      <c r="H111" s="54"/>
      <c r="I111" s="2" t="s">
        <v>396</v>
      </c>
      <c r="J111" s="1"/>
      <c r="K111" s="1"/>
      <c r="L111" s="1"/>
      <c r="M111" s="1"/>
      <c r="N111" s="1"/>
      <c r="O111" s="1"/>
    </row>
    <row r="112" spans="1:15" s="2" customFormat="1" x14ac:dyDescent="0.2">
      <c r="A112" s="24"/>
      <c r="B112" s="1"/>
      <c r="C112" s="14"/>
      <c r="D112" s="25"/>
      <c r="G112" s="54"/>
      <c r="H112" s="54"/>
      <c r="I112" s="53"/>
    </row>
    <row r="113" spans="1:15" s="2" customFormat="1" x14ac:dyDescent="0.2">
      <c r="A113" s="24"/>
      <c r="B113" s="1"/>
      <c r="C113" s="14"/>
      <c r="D113" s="25"/>
      <c r="G113" s="54"/>
      <c r="H113" s="54"/>
      <c r="I113" s="53" t="s">
        <v>396</v>
      </c>
      <c r="J113" s="1"/>
      <c r="K113" s="1"/>
      <c r="L113" s="1"/>
      <c r="M113" s="1"/>
      <c r="N113" s="1"/>
      <c r="O113" s="1"/>
    </row>
    <row r="114" spans="1:15" x14ac:dyDescent="0.2">
      <c r="G114" s="54"/>
      <c r="H114" s="54"/>
      <c r="I114" s="53" t="s">
        <v>396</v>
      </c>
      <c r="K114" s="42"/>
    </row>
    <row r="115" spans="1:15" s="2" customFormat="1" x14ac:dyDescent="0.2">
      <c r="A115" s="24"/>
      <c r="B115" s="1"/>
      <c r="C115" s="14"/>
      <c r="D115" s="25"/>
      <c r="G115" s="54"/>
      <c r="H115" s="54"/>
      <c r="I115" s="53"/>
      <c r="J115" s="101"/>
      <c r="K115" s="1"/>
      <c r="L115" s="1"/>
      <c r="M115" s="1"/>
      <c r="N115" s="1"/>
      <c r="O115" s="1"/>
    </row>
    <row r="116" spans="1:15" x14ac:dyDescent="0.2">
      <c r="G116" s="54"/>
      <c r="H116" s="54"/>
      <c r="I116" s="53"/>
    </row>
    <row r="117" spans="1:15" x14ac:dyDescent="0.2">
      <c r="G117" s="54"/>
      <c r="H117" s="54"/>
      <c r="I117" s="53"/>
    </row>
    <row r="118" spans="1:15" x14ac:dyDescent="0.2">
      <c r="G118" s="54"/>
      <c r="H118" s="54"/>
      <c r="I118" s="53"/>
    </row>
  </sheetData>
  <sheetProtection insertRows="0"/>
  <mergeCells count="7">
    <mergeCell ref="K67:L67"/>
    <mergeCell ref="A74:D74"/>
    <mergeCell ref="C80:F80"/>
    <mergeCell ref="A1:H1"/>
    <mergeCell ref="A3:F3"/>
    <mergeCell ref="A9:F9"/>
    <mergeCell ref="A20:F20"/>
  </mergeCells>
  <conditionalFormatting sqref="H71:H72">
    <cfRule type="cellIs" dxfId="91" priority="1" operator="lessThan">
      <formula>0</formula>
    </cfRule>
  </conditionalFormatting>
  <conditionalFormatting sqref="C22">
    <cfRule type="duplicateValues" dxfId="90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F500-000000000000}">
  <sheetPr codeName="Sheet541">
    <pageSetUpPr fitToPage="1"/>
  </sheetPr>
  <dimension ref="A1:O119"/>
  <sheetViews>
    <sheetView topLeftCell="A16" zoomScaleNormal="100" workbookViewId="0">
      <selection activeCell="H4" sqref="H4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12.85546875" style="1" customWidth="1"/>
    <col min="9" max="9" width="24.85546875" style="2" bestFit="1" customWidth="1"/>
    <col min="10" max="10" width="21.5703125" style="1" bestFit="1" customWidth="1"/>
    <col min="11" max="11" width="16.85546875" style="1" bestFit="1" customWidth="1"/>
    <col min="12" max="12" width="19.5703125" style="1" bestFit="1" customWidth="1"/>
    <col min="13" max="13" width="13.5703125" style="1" bestFit="1" customWidth="1"/>
    <col min="14" max="14" width="17.42578125" style="1" bestFit="1" customWidth="1"/>
    <col min="15" max="15" width="12.85546875" style="1" bestFit="1" customWidth="1"/>
    <col min="16" max="17" width="9.140625" style="1"/>
    <col min="18" max="18" width="15.5703125" style="1" bestFit="1" customWidth="1"/>
    <col min="19" max="16384" width="9.140625" style="1"/>
  </cols>
  <sheetData>
    <row r="1" spans="1:14" ht="20.25" customHeight="1" x14ac:dyDescent="0.4">
      <c r="A1" s="212" t="s">
        <v>2039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4" ht="12.75" customHeight="1" x14ac:dyDescent="0.4">
      <c r="I2" s="112"/>
      <c r="J2" s="112"/>
    </row>
    <row r="3" spans="1:14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4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4" s="2" customFormat="1" ht="14.25" customHeight="1" x14ac:dyDescent="0.4">
      <c r="A5" s="89">
        <v>45328</v>
      </c>
      <c r="B5" s="9" t="s">
        <v>6</v>
      </c>
      <c r="C5" s="10" t="s">
        <v>7</v>
      </c>
      <c r="D5" s="11"/>
      <c r="E5" s="12">
        <v>3768527.2300000004</v>
      </c>
      <c r="F5" s="12"/>
      <c r="G5" s="1"/>
      <c r="H5" s="1"/>
      <c r="I5" s="112"/>
      <c r="J5" s="112"/>
    </row>
    <row r="6" spans="1:14" s="2" customFormat="1" ht="12.75" customHeight="1" x14ac:dyDescent="0.2">
      <c r="D6" s="15" t="s">
        <v>8</v>
      </c>
      <c r="E6" s="16">
        <f>SUM(E5:E5)</f>
        <v>3768527.2300000004</v>
      </c>
      <c r="F6" s="16">
        <f>F5</f>
        <v>0</v>
      </c>
      <c r="G6" s="1"/>
      <c r="H6" s="1"/>
      <c r="I6" s="13" t="s">
        <v>1582</v>
      </c>
      <c r="J6" s="13" t="s">
        <v>1583</v>
      </c>
    </row>
    <row r="7" spans="1:14" s="2" customFormat="1" ht="12.75" customHeight="1" x14ac:dyDescent="0.2">
      <c r="A7" s="17"/>
      <c r="B7" s="18"/>
      <c r="C7" s="19" t="s">
        <v>9</v>
      </c>
      <c r="D7" s="20"/>
      <c r="E7" s="21">
        <f>+E6-F6</f>
        <v>3768527.2300000004</v>
      </c>
      <c r="F7" s="22"/>
      <c r="G7" s="23"/>
      <c r="H7" s="23"/>
      <c r="I7" s="2">
        <v>0</v>
      </c>
      <c r="J7" s="2">
        <v>0</v>
      </c>
      <c r="K7" s="176">
        <f>I7-J7</f>
        <v>0</v>
      </c>
    </row>
    <row r="8" spans="1:14" ht="12.75" customHeight="1" x14ac:dyDescent="0.4">
      <c r="I8" s="112"/>
      <c r="J8" s="112"/>
    </row>
    <row r="9" spans="1:14" ht="18" customHeight="1" x14ac:dyDescent="0.4">
      <c r="A9" s="213" t="s">
        <v>1037</v>
      </c>
      <c r="B9" s="213"/>
      <c r="C9" s="213"/>
      <c r="D9" s="213"/>
      <c r="E9" s="213"/>
      <c r="F9" s="213"/>
      <c r="I9" s="112"/>
      <c r="J9" s="169">
        <f>90000000-60000000</f>
        <v>30000000</v>
      </c>
      <c r="K9" s="169" t="s">
        <v>1508</v>
      </c>
    </row>
    <row r="10" spans="1:14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I10" s="112"/>
      <c r="J10" s="169">
        <v>24570909.120000001</v>
      </c>
      <c r="K10" s="169" t="s">
        <v>1509</v>
      </c>
      <c r="L10" s="124"/>
    </row>
    <row r="11" spans="1:14" s="2" customFormat="1" ht="14.25" customHeight="1" x14ac:dyDescent="0.2">
      <c r="A11" s="89">
        <v>45328</v>
      </c>
      <c r="B11" s="9" t="s">
        <v>6</v>
      </c>
      <c r="C11" s="10" t="s">
        <v>7</v>
      </c>
      <c r="D11" s="11"/>
      <c r="F11" s="12">
        <v>24570909.120000005</v>
      </c>
      <c r="G11" s="1"/>
      <c r="H11" s="1"/>
      <c r="I11" s="130" t="s">
        <v>396</v>
      </c>
      <c r="J11" s="169">
        <f>+J9-J10</f>
        <v>5429090.879999999</v>
      </c>
      <c r="K11" s="169" t="s">
        <v>712</v>
      </c>
      <c r="L11" s="165" t="s">
        <v>1512</v>
      </c>
    </row>
    <row r="12" spans="1:14" s="2" customFormat="1" ht="14.25" customHeight="1" x14ac:dyDescent="0.2">
      <c r="D12" s="11" t="s">
        <v>8</v>
      </c>
      <c r="E12" s="16">
        <f>E11</f>
        <v>0</v>
      </c>
      <c r="F12" s="16">
        <f>SUM(F11:F11)</f>
        <v>24570909.120000005</v>
      </c>
      <c r="G12" s="1"/>
      <c r="H12" s="1"/>
      <c r="I12" s="143"/>
      <c r="J12" s="130"/>
      <c r="K12" s="143"/>
      <c r="L12" s="143"/>
      <c r="M12" s="143"/>
      <c r="N12" s="143"/>
    </row>
    <row r="13" spans="1:14" s="2" customFormat="1" ht="14.25" customHeight="1" x14ac:dyDescent="0.4">
      <c r="A13" s="17"/>
      <c r="B13" s="18"/>
      <c r="C13" s="96" t="s">
        <v>9</v>
      </c>
      <c r="D13" s="20"/>
      <c r="E13" s="21">
        <f>+F12-E12</f>
        <v>24570909.120000005</v>
      </c>
      <c r="G13" s="1"/>
      <c r="H13" s="1"/>
      <c r="J13" s="112"/>
      <c r="K13" s="153" t="s">
        <v>779</v>
      </c>
    </row>
    <row r="14" spans="1:14" s="2" customFormat="1" ht="14.25" customHeight="1" x14ac:dyDescent="0.2">
      <c r="A14" s="17"/>
      <c r="B14" s="28" t="s">
        <v>66</v>
      </c>
      <c r="C14" s="43" t="s">
        <v>1458</v>
      </c>
      <c r="D14" s="43"/>
      <c r="E14" s="12">
        <f>30000000+60000000</f>
        <v>90000000</v>
      </c>
      <c r="F14" s="22"/>
      <c r="G14" s="1"/>
      <c r="H14" s="1"/>
      <c r="J14" s="40">
        <v>24570909.120000001</v>
      </c>
      <c r="K14" s="154">
        <f>J14-E13</f>
        <v>0</v>
      </c>
    </row>
    <row r="15" spans="1:14" s="2" customFormat="1" ht="14.25" customHeight="1" x14ac:dyDescent="0.25">
      <c r="A15" s="36"/>
      <c r="B15" s="28"/>
      <c r="C15" s="44" t="s">
        <v>1541</v>
      </c>
      <c r="D15" s="43"/>
      <c r="E15" s="7">
        <f>+E13+E14</f>
        <v>114570909.12</v>
      </c>
      <c r="F15" s="22"/>
      <c r="G15" s="1"/>
      <c r="H15" s="1"/>
      <c r="I15" s="13" t="s">
        <v>1582</v>
      </c>
      <c r="J15" s="13" t="s">
        <v>1583</v>
      </c>
    </row>
    <row r="16" spans="1:14" s="2" customFormat="1" ht="14.25" customHeight="1" x14ac:dyDescent="0.25">
      <c r="A16" s="36"/>
      <c r="B16" s="28"/>
      <c r="C16" s="44" t="s">
        <v>1511</v>
      </c>
      <c r="D16" s="43"/>
      <c r="E16" s="38">
        <f>+J11+I7-J7</f>
        <v>5429090.879999999</v>
      </c>
      <c r="F16" s="22"/>
      <c r="G16" s="1"/>
      <c r="H16" s="1"/>
      <c r="I16" s="2">
        <v>45833</v>
      </c>
      <c r="J16" s="2">
        <v>3787301</v>
      </c>
      <c r="K16" s="176">
        <f>I16-J16</f>
        <v>-3741468</v>
      </c>
    </row>
    <row r="17" spans="1:12" s="2" customFormat="1" ht="14.25" customHeight="1" x14ac:dyDescent="0.2">
      <c r="A17" s="24"/>
      <c r="B17" s="1"/>
      <c r="C17" s="14"/>
      <c r="D17" s="25"/>
      <c r="G17" s="1"/>
      <c r="H17" s="1"/>
      <c r="J17" s="130"/>
      <c r="K17" s="130"/>
    </row>
    <row r="18" spans="1:12" s="2" customFormat="1" x14ac:dyDescent="0.2">
      <c r="A18" s="214" t="s">
        <v>10</v>
      </c>
      <c r="B18" s="214"/>
      <c r="C18" s="214"/>
      <c r="D18" s="214"/>
      <c r="E18" s="214"/>
      <c r="F18" s="214"/>
      <c r="G18" s="1"/>
      <c r="H18" s="1"/>
      <c r="I18" s="159"/>
      <c r="J18" s="160">
        <v>100000000</v>
      </c>
      <c r="K18" s="160" t="s">
        <v>1506</v>
      </c>
      <c r="L18" s="70"/>
    </row>
    <row r="19" spans="1:12" s="2" customFormat="1" ht="15" x14ac:dyDescent="0.35">
      <c r="A19" s="26" t="s">
        <v>1</v>
      </c>
      <c r="B19" s="27" t="s">
        <v>2</v>
      </c>
      <c r="C19" s="5"/>
      <c r="D19" s="6" t="s">
        <v>3</v>
      </c>
      <c r="E19" s="7" t="s">
        <v>4</v>
      </c>
      <c r="F19" s="7" t="s">
        <v>5</v>
      </c>
      <c r="G19" s="1"/>
      <c r="H19" s="1"/>
      <c r="I19" s="159"/>
      <c r="J19" s="179">
        <v>78878457.760000005</v>
      </c>
      <c r="K19" s="160" t="s">
        <v>1507</v>
      </c>
      <c r="L19" s="70" t="s">
        <v>1512</v>
      </c>
    </row>
    <row r="20" spans="1:12" s="2" customFormat="1" x14ac:dyDescent="0.2">
      <c r="A20" s="89">
        <v>45328</v>
      </c>
      <c r="B20" s="128" t="s">
        <v>11</v>
      </c>
      <c r="C20" s="29" t="s">
        <v>7</v>
      </c>
      <c r="D20" s="25"/>
      <c r="E20" s="31"/>
      <c r="F20" s="2">
        <v>72297841.829999894</v>
      </c>
      <c r="G20" s="23"/>
      <c r="H20" s="23"/>
      <c r="I20" s="159" t="s">
        <v>1505</v>
      </c>
      <c r="J20" s="160">
        <f>+J18-J19</f>
        <v>21121542.239999995</v>
      </c>
      <c r="K20" s="160"/>
      <c r="L20" s="70"/>
    </row>
    <row r="21" spans="1:12" s="2" customFormat="1" x14ac:dyDescent="0.2">
      <c r="A21" s="89">
        <v>45328</v>
      </c>
      <c r="B21" s="128" t="s">
        <v>6</v>
      </c>
      <c r="C21" s="76" t="s">
        <v>2040</v>
      </c>
      <c r="D21" s="11" t="s">
        <v>13</v>
      </c>
      <c r="E21" s="31">
        <v>50000</v>
      </c>
      <c r="G21" s="23"/>
      <c r="H21" s="23"/>
      <c r="I21" s="159"/>
      <c r="J21" s="160"/>
      <c r="K21" s="160"/>
      <c r="L21" s="70"/>
    </row>
    <row r="22" spans="1:12" s="2" customFormat="1" x14ac:dyDescent="0.2">
      <c r="A22" s="89">
        <v>45328</v>
      </c>
      <c r="B22" s="128" t="s">
        <v>6</v>
      </c>
      <c r="C22" s="76" t="s">
        <v>1635</v>
      </c>
      <c r="D22" s="11" t="s">
        <v>13</v>
      </c>
      <c r="E22" s="31">
        <v>39795</v>
      </c>
      <c r="G22" s="23"/>
      <c r="H22" s="23"/>
      <c r="I22" s="159"/>
      <c r="J22" s="160"/>
      <c r="K22" s="160"/>
      <c r="L22" s="70"/>
    </row>
    <row r="23" spans="1:12" s="2" customFormat="1" x14ac:dyDescent="0.2">
      <c r="A23" s="89">
        <v>45328</v>
      </c>
      <c r="B23" s="128" t="s">
        <v>6</v>
      </c>
      <c r="C23" s="76" t="s">
        <v>2041</v>
      </c>
      <c r="D23" s="11" t="s">
        <v>13</v>
      </c>
      <c r="E23" s="31">
        <v>719802.94</v>
      </c>
      <c r="G23" s="23"/>
      <c r="H23" s="23"/>
      <c r="I23" s="159"/>
      <c r="J23" s="160"/>
      <c r="K23" s="160"/>
      <c r="L23" s="70"/>
    </row>
    <row r="24" spans="1:12" s="2" customFormat="1" x14ac:dyDescent="0.2">
      <c r="A24" s="89">
        <v>45328</v>
      </c>
      <c r="B24" s="128" t="s">
        <v>6</v>
      </c>
      <c r="C24" s="76" t="s">
        <v>2042</v>
      </c>
      <c r="D24" s="11" t="s">
        <v>13</v>
      </c>
      <c r="E24" s="31">
        <v>149267.07</v>
      </c>
      <c r="G24" s="23"/>
      <c r="H24" s="23"/>
      <c r="I24" s="159"/>
      <c r="J24" s="160"/>
      <c r="K24" s="160"/>
      <c r="L24" s="70"/>
    </row>
    <row r="25" spans="1:12" s="2" customFormat="1" x14ac:dyDescent="0.2">
      <c r="A25" s="89">
        <v>45328</v>
      </c>
      <c r="B25" s="128" t="s">
        <v>6</v>
      </c>
      <c r="C25" s="76" t="s">
        <v>2043</v>
      </c>
      <c r="D25" s="11" t="s">
        <v>13</v>
      </c>
      <c r="E25" s="31">
        <v>89372.29</v>
      </c>
      <c r="G25" s="23"/>
      <c r="H25" s="23"/>
      <c r="I25" s="159"/>
      <c r="J25" s="160"/>
      <c r="K25" s="160"/>
      <c r="L25" s="70"/>
    </row>
    <row r="26" spans="1:12" s="2" customFormat="1" x14ac:dyDescent="0.2">
      <c r="A26" s="89">
        <v>45328</v>
      </c>
      <c r="B26" s="128" t="s">
        <v>6</v>
      </c>
      <c r="C26" s="76" t="s">
        <v>24</v>
      </c>
      <c r="D26" s="11" t="s">
        <v>13</v>
      </c>
      <c r="E26" s="31">
        <v>112820</v>
      </c>
      <c r="G26" s="23"/>
      <c r="H26" s="23"/>
      <c r="I26" s="159"/>
      <c r="J26" s="160"/>
      <c r="K26" s="160"/>
      <c r="L26" s="70"/>
    </row>
    <row r="27" spans="1:12" s="2" customFormat="1" x14ac:dyDescent="0.2">
      <c r="A27" s="89">
        <v>45328</v>
      </c>
      <c r="B27" s="128" t="s">
        <v>6</v>
      </c>
      <c r="C27" s="76" t="s">
        <v>1904</v>
      </c>
      <c r="D27" s="11" t="s">
        <v>13</v>
      </c>
      <c r="E27" s="31">
        <v>9283.65</v>
      </c>
      <c r="G27" s="23"/>
      <c r="H27" s="23"/>
      <c r="I27" s="159"/>
      <c r="J27" s="160"/>
      <c r="K27" s="160"/>
      <c r="L27" s="70"/>
    </row>
    <row r="28" spans="1:12" s="2" customFormat="1" x14ac:dyDescent="0.2">
      <c r="A28" s="89">
        <v>45328</v>
      </c>
      <c r="B28" s="128" t="s">
        <v>6</v>
      </c>
      <c r="C28" s="76" t="s">
        <v>19</v>
      </c>
      <c r="D28" s="11" t="s">
        <v>13</v>
      </c>
      <c r="E28" s="31">
        <v>2360</v>
      </c>
      <c r="G28" s="23"/>
      <c r="H28" s="23"/>
      <c r="I28" s="159"/>
      <c r="J28" s="160"/>
      <c r="K28" s="160"/>
      <c r="L28" s="70"/>
    </row>
    <row r="29" spans="1:12" s="2" customFormat="1" x14ac:dyDescent="0.2">
      <c r="A29" s="89">
        <v>45328</v>
      </c>
      <c r="B29" s="128" t="s">
        <v>6</v>
      </c>
      <c r="C29" s="76" t="s">
        <v>785</v>
      </c>
      <c r="D29" s="11" t="s">
        <v>13</v>
      </c>
      <c r="E29" s="31">
        <v>1361261</v>
      </c>
      <c r="G29" s="23"/>
      <c r="H29" s="23"/>
      <c r="I29" s="159"/>
      <c r="J29" s="160"/>
      <c r="K29" s="160"/>
      <c r="L29" s="70"/>
    </row>
    <row r="30" spans="1:12" s="2" customFormat="1" x14ac:dyDescent="0.2">
      <c r="A30" s="89">
        <v>45328</v>
      </c>
      <c r="B30" s="128" t="s">
        <v>6</v>
      </c>
      <c r="C30" s="76" t="s">
        <v>120</v>
      </c>
      <c r="D30" s="11" t="s">
        <v>13</v>
      </c>
      <c r="E30" s="31">
        <v>17243.72</v>
      </c>
      <c r="G30" s="23"/>
      <c r="H30" s="23"/>
      <c r="I30" s="159"/>
      <c r="J30" s="160"/>
      <c r="K30" s="160"/>
      <c r="L30" s="70"/>
    </row>
    <row r="31" spans="1:12" s="2" customFormat="1" x14ac:dyDescent="0.2">
      <c r="A31" s="89">
        <v>45328</v>
      </c>
      <c r="B31" s="128" t="s">
        <v>6</v>
      </c>
      <c r="C31" s="76" t="s">
        <v>133</v>
      </c>
      <c r="D31" s="11" t="s">
        <v>13</v>
      </c>
      <c r="E31" s="31">
        <v>45833</v>
      </c>
      <c r="G31" s="23"/>
      <c r="H31" s="23"/>
      <c r="I31" s="159"/>
      <c r="J31" s="160"/>
      <c r="K31" s="160"/>
      <c r="L31" s="70"/>
    </row>
    <row r="32" spans="1:12" s="2" customFormat="1" x14ac:dyDescent="0.2">
      <c r="A32" s="89">
        <v>45328</v>
      </c>
      <c r="B32" s="128" t="s">
        <v>6</v>
      </c>
      <c r="C32" s="76" t="s">
        <v>822</v>
      </c>
      <c r="D32" s="11" t="s">
        <v>13</v>
      </c>
      <c r="E32" s="31">
        <v>10500</v>
      </c>
      <c r="G32" s="23"/>
      <c r="H32" s="23"/>
      <c r="I32" s="159"/>
      <c r="J32" s="160"/>
      <c r="K32" s="160"/>
      <c r="L32" s="70"/>
    </row>
    <row r="33" spans="1:12" s="2" customFormat="1" x14ac:dyDescent="0.2">
      <c r="A33" s="89">
        <v>45328</v>
      </c>
      <c r="B33" s="128" t="s">
        <v>6</v>
      </c>
      <c r="C33" s="76" t="s">
        <v>612</v>
      </c>
      <c r="D33" s="11" t="s">
        <v>13</v>
      </c>
      <c r="E33" s="31">
        <v>65625</v>
      </c>
      <c r="G33" s="23"/>
      <c r="H33" s="23"/>
      <c r="I33" s="159"/>
      <c r="J33" s="160"/>
      <c r="K33" s="160"/>
      <c r="L33" s="70"/>
    </row>
    <row r="34" spans="1:12" s="2" customFormat="1" x14ac:dyDescent="0.2">
      <c r="A34" s="89">
        <v>45328</v>
      </c>
      <c r="B34" s="128" t="s">
        <v>6</v>
      </c>
      <c r="C34" s="76" t="s">
        <v>2044</v>
      </c>
      <c r="D34" s="11" t="s">
        <v>13</v>
      </c>
      <c r="E34" s="31">
        <v>28182</v>
      </c>
      <c r="G34" s="23"/>
      <c r="H34" s="23"/>
      <c r="I34" s="159"/>
      <c r="J34" s="160"/>
      <c r="K34" s="160"/>
      <c r="L34" s="70"/>
    </row>
    <row r="35" spans="1:12" s="2" customFormat="1" x14ac:dyDescent="0.2">
      <c r="A35" s="89">
        <v>45328</v>
      </c>
      <c r="B35" s="128" t="s">
        <v>6</v>
      </c>
      <c r="C35" s="76" t="s">
        <v>903</v>
      </c>
      <c r="D35" s="11" t="s">
        <v>13</v>
      </c>
      <c r="E35" s="31">
        <v>1460787.46</v>
      </c>
      <c r="G35" s="23"/>
      <c r="H35" s="23"/>
      <c r="I35" s="159"/>
      <c r="J35" s="160"/>
      <c r="K35" s="160"/>
      <c r="L35" s="70"/>
    </row>
    <row r="36" spans="1:12" s="2" customFormat="1" x14ac:dyDescent="0.2">
      <c r="A36" s="89">
        <v>45328</v>
      </c>
      <c r="B36" s="128" t="s">
        <v>6</v>
      </c>
      <c r="C36" s="76" t="s">
        <v>121</v>
      </c>
      <c r="D36" s="11" t="s">
        <v>13</v>
      </c>
      <c r="E36" s="31">
        <v>500000</v>
      </c>
      <c r="G36" s="23"/>
      <c r="H36" s="23"/>
      <c r="I36" s="159"/>
      <c r="J36" s="160"/>
      <c r="K36" s="160"/>
      <c r="L36" s="70"/>
    </row>
    <row r="37" spans="1:12" s="2" customFormat="1" x14ac:dyDescent="0.2">
      <c r="A37" s="89">
        <v>45328</v>
      </c>
      <c r="B37" s="128" t="s">
        <v>6</v>
      </c>
      <c r="C37" s="76" t="s">
        <v>149</v>
      </c>
      <c r="D37" s="11" t="s">
        <v>13</v>
      </c>
      <c r="E37" s="31">
        <v>5104</v>
      </c>
      <c r="G37" s="23"/>
      <c r="H37" s="23"/>
      <c r="I37" s="159"/>
      <c r="J37" s="160"/>
      <c r="K37" s="160"/>
      <c r="L37" s="70"/>
    </row>
    <row r="38" spans="1:12" s="2" customFormat="1" x14ac:dyDescent="0.2">
      <c r="A38" s="89">
        <v>45328</v>
      </c>
      <c r="B38" s="128" t="s">
        <v>6</v>
      </c>
      <c r="C38" s="76" t="s">
        <v>15</v>
      </c>
      <c r="D38" s="11" t="s">
        <v>13</v>
      </c>
      <c r="E38" s="31">
        <v>16946.16</v>
      </c>
      <c r="G38" s="23"/>
      <c r="H38" s="23"/>
      <c r="I38" s="159"/>
      <c r="J38" s="160"/>
      <c r="K38" s="160"/>
      <c r="L38" s="70"/>
    </row>
    <row r="39" spans="1:12" s="2" customFormat="1" x14ac:dyDescent="0.2">
      <c r="A39" s="89">
        <v>45328</v>
      </c>
      <c r="B39" s="128" t="s">
        <v>11</v>
      </c>
      <c r="C39" s="76" t="s">
        <v>156</v>
      </c>
      <c r="D39" s="11" t="s">
        <v>29</v>
      </c>
      <c r="E39" s="31"/>
      <c r="F39" s="2">
        <v>3</v>
      </c>
      <c r="G39" s="23"/>
      <c r="H39" s="23"/>
      <c r="I39" s="159"/>
      <c r="J39" s="160"/>
      <c r="K39" s="160"/>
      <c r="L39" s="70"/>
    </row>
    <row r="40" spans="1:12" s="2" customFormat="1" x14ac:dyDescent="0.2">
      <c r="A40" s="89">
        <v>45328</v>
      </c>
      <c r="B40" s="128" t="s">
        <v>11</v>
      </c>
      <c r="C40" s="76" t="s">
        <v>64</v>
      </c>
      <c r="D40" s="11" t="s">
        <v>29</v>
      </c>
      <c r="E40" s="31"/>
      <c r="F40" s="2">
        <v>8508.59</v>
      </c>
      <c r="G40" s="23"/>
      <c r="H40" s="23"/>
      <c r="I40" s="159"/>
      <c r="J40" s="160"/>
      <c r="K40" s="160"/>
      <c r="L40" s="70"/>
    </row>
    <row r="41" spans="1:12" s="2" customFormat="1" x14ac:dyDescent="0.2">
      <c r="A41" s="89">
        <v>45328</v>
      </c>
      <c r="B41" s="128" t="s">
        <v>11</v>
      </c>
      <c r="C41" s="76" t="s">
        <v>15</v>
      </c>
      <c r="D41" s="11" t="s">
        <v>29</v>
      </c>
      <c r="E41" s="31"/>
      <c r="F41" s="2">
        <v>19399.830000000002</v>
      </c>
      <c r="G41" s="23"/>
      <c r="H41" s="23"/>
      <c r="I41" s="159"/>
      <c r="J41" s="160"/>
      <c r="K41" s="160"/>
      <c r="L41" s="70"/>
    </row>
    <row r="42" spans="1:12" s="2" customFormat="1" x14ac:dyDescent="0.2">
      <c r="A42" s="89">
        <v>45328</v>
      </c>
      <c r="B42" s="128" t="s">
        <v>11</v>
      </c>
      <c r="C42" s="76" t="s">
        <v>1734</v>
      </c>
      <c r="D42" s="11" t="s">
        <v>29</v>
      </c>
      <c r="E42" s="31"/>
      <c r="F42" s="2">
        <v>1174148</v>
      </c>
      <c r="G42" s="23"/>
      <c r="H42" s="23"/>
      <c r="I42" s="159"/>
      <c r="J42" s="160"/>
      <c r="K42" s="160"/>
      <c r="L42" s="70"/>
    </row>
    <row r="43" spans="1:12" s="2" customFormat="1" x14ac:dyDescent="0.2">
      <c r="A43" s="89">
        <v>45328</v>
      </c>
      <c r="B43" s="128" t="s">
        <v>11</v>
      </c>
      <c r="C43" s="76" t="s">
        <v>1403</v>
      </c>
      <c r="D43" s="11" t="s">
        <v>29</v>
      </c>
      <c r="E43" s="31"/>
      <c r="F43" s="2">
        <v>1677758</v>
      </c>
      <c r="G43" s="23"/>
      <c r="H43" s="23"/>
      <c r="I43" s="159"/>
      <c r="J43" s="160"/>
      <c r="K43" s="160"/>
      <c r="L43" s="70"/>
    </row>
    <row r="44" spans="1:12" s="2" customFormat="1" x14ac:dyDescent="0.2">
      <c r="A44" s="89">
        <v>45328</v>
      </c>
      <c r="B44" s="128" t="s">
        <v>11</v>
      </c>
      <c r="C44" s="76" t="s">
        <v>525</v>
      </c>
      <c r="D44" s="11" t="s">
        <v>29</v>
      </c>
      <c r="E44" s="31"/>
      <c r="F44" s="2">
        <v>1000000</v>
      </c>
      <c r="G44" s="23"/>
      <c r="H44" s="23"/>
      <c r="I44" s="159"/>
      <c r="J44" s="160"/>
      <c r="K44" s="160"/>
      <c r="L44" s="70"/>
    </row>
    <row r="45" spans="1:12" s="2" customFormat="1" x14ac:dyDescent="0.2">
      <c r="A45" s="89">
        <v>45328</v>
      </c>
      <c r="B45" s="128" t="s">
        <v>11</v>
      </c>
      <c r="C45" s="76" t="s">
        <v>118</v>
      </c>
      <c r="D45" s="11" t="s">
        <v>29</v>
      </c>
      <c r="E45" s="31"/>
      <c r="F45" s="2">
        <v>400000</v>
      </c>
      <c r="G45" s="23"/>
      <c r="H45" s="23"/>
      <c r="I45" s="159"/>
      <c r="J45" s="160"/>
      <c r="K45" s="160"/>
      <c r="L45" s="70"/>
    </row>
    <row r="46" spans="1:12" s="2" customFormat="1" x14ac:dyDescent="0.2">
      <c r="A46" s="89">
        <v>45328</v>
      </c>
      <c r="B46" s="128" t="s">
        <v>11</v>
      </c>
      <c r="C46" s="76" t="s">
        <v>38</v>
      </c>
      <c r="D46" s="11" t="s">
        <v>29</v>
      </c>
      <c r="E46" s="31"/>
      <c r="F46" s="2">
        <v>32010.799999999999</v>
      </c>
      <c r="G46" s="23"/>
      <c r="H46" s="23"/>
      <c r="I46" s="159"/>
      <c r="J46" s="160"/>
      <c r="K46" s="160"/>
      <c r="L46" s="70"/>
    </row>
    <row r="47" spans="1:12" s="2" customFormat="1" x14ac:dyDescent="0.2">
      <c r="A47" s="89">
        <v>45328</v>
      </c>
      <c r="B47" s="128" t="s">
        <v>11</v>
      </c>
      <c r="C47" s="76" t="s">
        <v>512</v>
      </c>
      <c r="D47" s="11" t="s">
        <v>29</v>
      </c>
      <c r="E47" s="31"/>
      <c r="F47" s="2">
        <v>405566</v>
      </c>
      <c r="G47" s="23"/>
      <c r="H47" s="23"/>
      <c r="I47" s="159"/>
      <c r="J47" s="160"/>
      <c r="K47" s="160"/>
      <c r="L47" s="70"/>
    </row>
    <row r="48" spans="1:12" s="2" customFormat="1" x14ac:dyDescent="0.2">
      <c r="A48" s="89">
        <v>45328</v>
      </c>
      <c r="B48" s="128" t="s">
        <v>11</v>
      </c>
      <c r="C48" s="76" t="s">
        <v>57</v>
      </c>
      <c r="D48" s="11" t="s">
        <v>29</v>
      </c>
      <c r="E48" s="31"/>
      <c r="F48" s="2">
        <v>4000000</v>
      </c>
      <c r="G48" s="23"/>
      <c r="H48" s="23"/>
      <c r="I48" s="159"/>
      <c r="J48" s="160"/>
      <c r="K48" s="160"/>
      <c r="L48" s="70"/>
    </row>
    <row r="49" spans="1:15" s="2" customFormat="1" x14ac:dyDescent="0.2">
      <c r="A49" s="89">
        <v>45328</v>
      </c>
      <c r="B49" s="128" t="s">
        <v>11</v>
      </c>
      <c r="C49" s="76" t="s">
        <v>229</v>
      </c>
      <c r="D49" s="11" t="s">
        <v>29</v>
      </c>
      <c r="E49" s="31"/>
      <c r="F49" s="2">
        <v>147500</v>
      </c>
      <c r="G49" s="23"/>
      <c r="H49" s="23"/>
      <c r="I49" s="159"/>
      <c r="J49" s="160"/>
      <c r="K49" s="160"/>
      <c r="L49" s="70"/>
    </row>
    <row r="50" spans="1:15" s="2" customFormat="1" x14ac:dyDescent="0.2">
      <c r="A50" s="89">
        <v>45328</v>
      </c>
      <c r="B50" s="128" t="s">
        <v>11</v>
      </c>
      <c r="C50" s="76" t="s">
        <v>63</v>
      </c>
      <c r="D50" s="11" t="s">
        <v>29</v>
      </c>
      <c r="E50" s="31"/>
      <c r="F50" s="2">
        <v>6600000</v>
      </c>
      <c r="G50" s="23"/>
      <c r="H50" s="23"/>
      <c r="I50" s="159"/>
      <c r="J50" s="160"/>
      <c r="K50" s="160"/>
      <c r="L50" s="70" t="s">
        <v>2045</v>
      </c>
    </row>
    <row r="51" spans="1:15" s="2" customFormat="1" x14ac:dyDescent="0.2">
      <c r="A51" s="32"/>
      <c r="B51" s="33"/>
      <c r="C51" s="14"/>
      <c r="D51" s="34"/>
      <c r="E51" s="16">
        <f>SUM(E20:E50)</f>
        <v>4684183.290000001</v>
      </c>
      <c r="F51" s="16">
        <f>SUM(F20:F50)</f>
        <v>87762736.049999893</v>
      </c>
      <c r="G51" s="1"/>
      <c r="H51" s="1"/>
      <c r="I51" s="1"/>
      <c r="J51" s="38">
        <v>82619925.760000005</v>
      </c>
      <c r="L51" s="92">
        <f>E52-J51</f>
        <v>458626.99999988079</v>
      </c>
      <c r="O51" s="1"/>
    </row>
    <row r="52" spans="1:15" s="2" customFormat="1" x14ac:dyDescent="0.2">
      <c r="A52" s="36"/>
      <c r="B52" s="28" t="s">
        <v>11</v>
      </c>
      <c r="C52" s="19" t="s">
        <v>65</v>
      </c>
      <c r="D52" s="37"/>
      <c r="E52" s="38">
        <f>F51-E51</f>
        <v>83078552.759999886</v>
      </c>
      <c r="F52" s="22"/>
      <c r="G52" s="1"/>
      <c r="H52" s="1"/>
      <c r="I52" s="1"/>
      <c r="J52" s="70"/>
      <c r="K52" s="70"/>
      <c r="L52" s="70"/>
      <c r="O52" s="1"/>
    </row>
    <row r="53" spans="1:15" s="2" customFormat="1" x14ac:dyDescent="0.2">
      <c r="A53" s="36"/>
      <c r="B53" s="28" t="s">
        <v>66</v>
      </c>
      <c r="C53" s="19" t="s">
        <v>67</v>
      </c>
      <c r="D53" s="37"/>
      <c r="E53" s="38">
        <v>11500000</v>
      </c>
      <c r="F53" s="22"/>
      <c r="G53" s="1"/>
      <c r="H53" s="1"/>
      <c r="I53" s="70"/>
      <c r="J53" s="70"/>
      <c r="K53" s="70"/>
      <c r="L53" s="70"/>
      <c r="O53" s="1"/>
    </row>
    <row r="54" spans="1:15" s="2" customFormat="1" x14ac:dyDescent="0.2">
      <c r="A54" s="36"/>
      <c r="B54" s="28" t="s">
        <v>66</v>
      </c>
      <c r="C54" s="43" t="s">
        <v>1457</v>
      </c>
      <c r="D54" s="43"/>
      <c r="E54" s="12">
        <v>400000000</v>
      </c>
      <c r="F54" s="22"/>
      <c r="G54" s="1"/>
      <c r="H54" s="1"/>
      <c r="I54" s="70"/>
      <c r="J54" s="45">
        <v>827.69</v>
      </c>
      <c r="K54" s="46"/>
      <c r="L54" s="46"/>
      <c r="O54" s="1"/>
    </row>
    <row r="55" spans="1:15" s="2" customFormat="1" ht="15" x14ac:dyDescent="0.25">
      <c r="A55" s="36"/>
      <c r="B55" s="28"/>
      <c r="C55" s="44" t="s">
        <v>1541</v>
      </c>
      <c r="D55" s="43"/>
      <c r="E55" s="7">
        <f>+E54+E52+E53</f>
        <v>494578552.75999987</v>
      </c>
      <c r="F55" s="22"/>
      <c r="G55" s="1"/>
      <c r="H55" s="1"/>
      <c r="I55" s="103" t="s">
        <v>69</v>
      </c>
      <c r="J55" s="45">
        <v>-62.7</v>
      </c>
      <c r="K55" s="46"/>
      <c r="L55" s="46"/>
      <c r="O55" s="1"/>
    </row>
    <row r="56" spans="1:15" s="2" customFormat="1" ht="15" x14ac:dyDescent="0.25">
      <c r="A56" s="24"/>
      <c r="B56" s="1"/>
      <c r="C56" s="44" t="s">
        <v>1510</v>
      </c>
      <c r="D56" s="25"/>
      <c r="E56" s="156">
        <f>+J20-E53+I16-J16</f>
        <v>5880074.2399999946</v>
      </c>
      <c r="G56" s="1"/>
      <c r="H56" s="1"/>
      <c r="I56" s="35">
        <v>1</v>
      </c>
      <c r="J56" s="45">
        <f>4.32</f>
        <v>4.32</v>
      </c>
      <c r="K56" s="46">
        <f>+J57-D59</f>
        <v>0</v>
      </c>
      <c r="O56" s="1"/>
    </row>
    <row r="57" spans="1:15" s="124" customFormat="1" ht="12.75" customHeight="1" x14ac:dyDescent="0.2">
      <c r="A57" s="24"/>
      <c r="B57" s="1"/>
      <c r="C57" s="56"/>
      <c r="D57" s="56"/>
      <c r="E57" s="104"/>
      <c r="F57" s="2"/>
      <c r="G57" s="166"/>
      <c r="H57" s="166"/>
      <c r="I57" s="70"/>
      <c r="J57" s="49">
        <f>SUM(J54:J56)</f>
        <v>769.31000000000006</v>
      </c>
      <c r="K57" s="46"/>
      <c r="L57" s="46"/>
    </row>
    <row r="58" spans="1:15" s="124" customFormat="1" ht="12.75" customHeight="1" x14ac:dyDescent="0.2">
      <c r="A58" s="24"/>
      <c r="B58" s="1"/>
      <c r="C58" s="78" t="s">
        <v>575</v>
      </c>
      <c r="D58" s="48" t="s">
        <v>576</v>
      </c>
      <c r="E58" s="104"/>
      <c r="F58" s="2"/>
      <c r="G58" s="168"/>
      <c r="H58" s="168"/>
      <c r="I58" s="167"/>
      <c r="J58" s="167"/>
      <c r="K58" s="168"/>
    </row>
    <row r="59" spans="1:15" s="124" customFormat="1" ht="12.75" customHeight="1" x14ac:dyDescent="0.2">
      <c r="A59" s="24"/>
      <c r="B59" s="1"/>
      <c r="C59" s="47" t="s">
        <v>570</v>
      </c>
      <c r="D59" s="111">
        <v>769.31</v>
      </c>
      <c r="E59" s="104"/>
      <c r="F59" s="2"/>
      <c r="G59" s="168"/>
      <c r="H59" s="168"/>
      <c r="I59" s="110" t="s">
        <v>581</v>
      </c>
      <c r="J59" s="167"/>
      <c r="K59" s="168"/>
    </row>
    <row r="60" spans="1:15" s="124" customFormat="1" ht="12.75" customHeight="1" x14ac:dyDescent="0.2">
      <c r="A60" s="24"/>
      <c r="B60" s="1"/>
      <c r="C60" s="47" t="s">
        <v>931</v>
      </c>
      <c r="D60" s="111">
        <v>0</v>
      </c>
      <c r="E60" s="104"/>
      <c r="F60" s="2"/>
      <c r="G60" s="168"/>
      <c r="H60" s="168"/>
      <c r="I60" s="110" t="s">
        <v>580</v>
      </c>
      <c r="J60" s="167"/>
      <c r="K60" s="168"/>
    </row>
    <row r="61" spans="1:15" s="124" customFormat="1" ht="12.75" customHeight="1" x14ac:dyDescent="0.2">
      <c r="A61" s="24"/>
      <c r="B61" s="1"/>
      <c r="C61" s="47" t="s">
        <v>572</v>
      </c>
      <c r="D61" s="111">
        <f>+D79/100000</f>
        <v>22.415289999999999</v>
      </c>
      <c r="E61" s="104"/>
      <c r="F61" s="2"/>
      <c r="G61" s="166"/>
      <c r="H61" s="166"/>
      <c r="I61" s="90" t="s">
        <v>587</v>
      </c>
      <c r="J61" s="167"/>
      <c r="K61" s="168"/>
    </row>
    <row r="62" spans="1:15" s="2" customFormat="1" x14ac:dyDescent="0.2">
      <c r="A62" s="24"/>
      <c r="B62" s="1"/>
      <c r="C62" s="108" t="s">
        <v>578</v>
      </c>
      <c r="D62" s="48">
        <f>SUM(D59:D61)</f>
        <v>791.72528999999997</v>
      </c>
      <c r="E62" s="104"/>
      <c r="G62" s="30"/>
      <c r="H62" s="30"/>
      <c r="J62" s="13"/>
      <c r="K62" s="13"/>
    </row>
    <row r="63" spans="1:15" s="70" customFormat="1" x14ac:dyDescent="0.2">
      <c r="A63" s="24"/>
      <c r="B63" s="1"/>
      <c r="C63" s="47"/>
      <c r="D63" s="107"/>
      <c r="E63" s="104"/>
      <c r="F63" s="2"/>
      <c r="G63" s="30"/>
      <c r="H63" s="30"/>
      <c r="I63" s="2"/>
    </row>
    <row r="64" spans="1:15" s="70" customFormat="1" x14ac:dyDescent="0.2">
      <c r="A64" s="24"/>
      <c r="B64" s="1"/>
      <c r="C64" s="47" t="s">
        <v>932</v>
      </c>
      <c r="D64" s="111">
        <v>2.5299999999999998</v>
      </c>
      <c r="E64" s="104"/>
      <c r="F64" s="2"/>
      <c r="G64" s="30"/>
      <c r="H64" s="30"/>
      <c r="I64" s="110" t="s">
        <v>581</v>
      </c>
    </row>
    <row r="65" spans="1:15" s="70" customFormat="1" x14ac:dyDescent="0.2">
      <c r="A65" s="24"/>
      <c r="B65" s="1"/>
      <c r="C65" s="136" t="s">
        <v>1142</v>
      </c>
      <c r="D65" s="111">
        <v>204.8</v>
      </c>
      <c r="E65" s="104"/>
      <c r="F65" s="2"/>
      <c r="G65" s="30"/>
      <c r="H65" s="30"/>
      <c r="I65" s="110" t="s">
        <v>581</v>
      </c>
    </row>
    <row r="66" spans="1:15" s="70" customFormat="1" x14ac:dyDescent="0.2">
      <c r="A66" s="24"/>
      <c r="B66" s="1"/>
      <c r="C66" s="78" t="s">
        <v>579</v>
      </c>
      <c r="D66" s="109">
        <f>D64+D65</f>
        <v>207.33</v>
      </c>
      <c r="E66" s="104"/>
      <c r="F66" s="2"/>
      <c r="G66" s="30"/>
      <c r="H66" s="30"/>
    </row>
    <row r="67" spans="1:15" s="70" customFormat="1" x14ac:dyDescent="0.2">
      <c r="A67" s="24"/>
      <c r="B67" s="1"/>
      <c r="C67" s="105"/>
      <c r="D67" s="106"/>
      <c r="E67" s="104"/>
      <c r="F67" s="2"/>
      <c r="G67" s="30"/>
      <c r="H67" s="30"/>
      <c r="J67" s="2"/>
      <c r="K67" s="221" t="str">
        <f>"FROM ( 01-02-2024 to "&amp;TEXT(A5,"dd-mm-yyyy")&amp;" )"</f>
        <v>FROM ( 01-02-2024 to 06-02-2024 )</v>
      </c>
      <c r="L67" s="221"/>
      <c r="M67" s="2"/>
      <c r="N67" s="2"/>
    </row>
    <row r="68" spans="1:15" s="70" customFormat="1" x14ac:dyDescent="0.2">
      <c r="A68" s="24"/>
      <c r="B68" s="1"/>
      <c r="C68" s="78" t="s">
        <v>577</v>
      </c>
      <c r="D68" s="109">
        <f>D59+D66</f>
        <v>976.64</v>
      </c>
      <c r="E68" s="104"/>
      <c r="F68" s="2"/>
      <c r="G68" s="30"/>
      <c r="H68" s="30"/>
      <c r="J68" s="113"/>
      <c r="K68" s="113" t="s">
        <v>709</v>
      </c>
      <c r="L68" s="113" t="s">
        <v>710</v>
      </c>
      <c r="M68" s="113" t="s">
        <v>711</v>
      </c>
      <c r="N68" s="113" t="s">
        <v>712</v>
      </c>
    </row>
    <row r="69" spans="1:15" s="70" customFormat="1" x14ac:dyDescent="0.2">
      <c r="A69" s="24"/>
      <c r="B69" s="1"/>
      <c r="C69" s="56"/>
      <c r="D69" s="56"/>
      <c r="E69" s="104"/>
      <c r="F69" s="2"/>
      <c r="G69" s="30"/>
      <c r="H69" s="30"/>
      <c r="J69" s="113" t="s">
        <v>1860</v>
      </c>
      <c r="K69" s="115">
        <v>191.98999999999998</v>
      </c>
      <c r="L69" s="115">
        <v>0</v>
      </c>
      <c r="M69" s="115">
        <v>0</v>
      </c>
      <c r="N69" s="113">
        <f>+K69+M69-L69</f>
        <v>191.98999999999998</v>
      </c>
    </row>
    <row r="70" spans="1:15" s="70" customFormat="1" ht="38.25" x14ac:dyDescent="0.2">
      <c r="A70" s="24"/>
      <c r="B70" s="1"/>
      <c r="C70" s="79" t="str">
        <f>"Particulars ( 01-02-2024 to "&amp;TEXT(A5,"dd-mm-yyyy")&amp;" )"</f>
        <v>Particulars ( 01-02-2024 to 06-02-2024 )</v>
      </c>
      <c r="D70" s="79" t="s">
        <v>7</v>
      </c>
      <c r="E70" s="80" t="s">
        <v>73</v>
      </c>
      <c r="F70" s="80" t="s">
        <v>74</v>
      </c>
      <c r="G70" s="81" t="s">
        <v>75</v>
      </c>
      <c r="H70" s="80" t="s">
        <v>76</v>
      </c>
      <c r="J70" s="113" t="s">
        <v>1861</v>
      </c>
      <c r="K70" s="115">
        <v>1862.06</v>
      </c>
      <c r="L70" s="115">
        <v>22.42</v>
      </c>
      <c r="M70" s="115">
        <v>204.8</v>
      </c>
      <c r="N70" s="113">
        <f>+K70+M70-L70</f>
        <v>2044.44</v>
      </c>
    </row>
    <row r="71" spans="1:15" s="70" customFormat="1" x14ac:dyDescent="0.2">
      <c r="A71" s="24"/>
      <c r="B71" s="1"/>
      <c r="C71" s="50" t="s">
        <v>444</v>
      </c>
      <c r="D71" s="55">
        <f>+K71</f>
        <v>332.55</v>
      </c>
      <c r="E71" s="55">
        <f>+IF(M71=0,0,M71)</f>
        <v>16.14</v>
      </c>
      <c r="F71" s="180">
        <f>+L71</f>
        <v>0</v>
      </c>
      <c r="G71" s="55">
        <f>+D71+E71-F71</f>
        <v>348.69</v>
      </c>
      <c r="H71" s="55">
        <f>1500-G71</f>
        <v>1151.31</v>
      </c>
      <c r="I71" s="70">
        <f>+IF(M71=0,0,M71)</f>
        <v>16.14</v>
      </c>
      <c r="J71" s="113" t="s">
        <v>707</v>
      </c>
      <c r="K71" s="115">
        <v>332.55</v>
      </c>
      <c r="L71" s="115">
        <v>0</v>
      </c>
      <c r="M71" s="115">
        <v>16.14</v>
      </c>
      <c r="N71" s="113">
        <f>+K71+M71-L71</f>
        <v>348.69</v>
      </c>
    </row>
    <row r="72" spans="1:15" s="70" customFormat="1" ht="12.75" customHeight="1" x14ac:dyDescent="0.2">
      <c r="A72" s="24"/>
      <c r="B72" s="1"/>
      <c r="C72" s="50" t="s">
        <v>71</v>
      </c>
      <c r="D72" s="55">
        <f>+K69+K70</f>
        <v>2054.0499999999997</v>
      </c>
      <c r="E72" s="55">
        <f>+M69+M70</f>
        <v>204.8</v>
      </c>
      <c r="F72" s="55">
        <f>+L69+L70</f>
        <v>22.42</v>
      </c>
      <c r="G72" s="55">
        <f>+D72+E72-F72</f>
        <v>2236.4299999999998</v>
      </c>
      <c r="H72" s="55">
        <f>1500+700+200-G72</f>
        <v>163.57000000000016</v>
      </c>
      <c r="J72" s="2"/>
      <c r="K72" s="118">
        <f>SUM(K69:K71)</f>
        <v>2386.6</v>
      </c>
      <c r="L72" s="118">
        <f>SUM(L69:L71)</f>
        <v>22.42</v>
      </c>
      <c r="M72" s="118">
        <f>SUM(M69:M71)</f>
        <v>220.94</v>
      </c>
      <c r="N72" s="118">
        <f>SUM(N69:N71)</f>
        <v>2585.12</v>
      </c>
    </row>
    <row r="73" spans="1:15" s="70" customFormat="1" ht="12.75" customHeight="1" x14ac:dyDescent="0.2">
      <c r="A73" s="24"/>
      <c r="B73" s="1"/>
      <c r="C73" s="14"/>
      <c r="D73" s="56"/>
      <c r="E73" s="13"/>
      <c r="F73" s="2"/>
      <c r="G73" s="30"/>
      <c r="H73" s="30"/>
    </row>
    <row r="74" spans="1:15" s="70" customFormat="1" ht="12.75" customHeight="1" x14ac:dyDescent="0.2">
      <c r="A74" s="215" t="s">
        <v>80</v>
      </c>
      <c r="B74" s="216"/>
      <c r="C74" s="216"/>
      <c r="D74" s="217"/>
      <c r="E74" s="69"/>
      <c r="G74" s="30"/>
      <c r="H74" s="30"/>
    </row>
    <row r="75" spans="1:15" s="70" customFormat="1" ht="12.75" customHeight="1" x14ac:dyDescent="0.2">
      <c r="A75" s="71" t="s">
        <v>81</v>
      </c>
      <c r="B75" s="71"/>
      <c r="C75" s="72" t="s">
        <v>82</v>
      </c>
      <c r="D75" s="73" t="s">
        <v>83</v>
      </c>
      <c r="E75" s="69"/>
      <c r="G75" s="30"/>
      <c r="H75" s="30"/>
    </row>
    <row r="76" spans="1:15" s="70" customFormat="1" ht="12.75" customHeight="1" x14ac:dyDescent="0.2">
      <c r="A76" s="87">
        <v>45323</v>
      </c>
      <c r="B76" s="120" t="s">
        <v>6</v>
      </c>
      <c r="C76" s="75" t="s">
        <v>2030</v>
      </c>
      <c r="D76" s="88">
        <v>881220</v>
      </c>
      <c r="E76" s="2"/>
      <c r="F76" s="2"/>
      <c r="G76" s="30"/>
      <c r="H76" s="30"/>
      <c r="I76" s="2"/>
      <c r="J76" s="2"/>
      <c r="K76" s="2"/>
      <c r="L76" s="2"/>
      <c r="M76" s="41"/>
      <c r="N76" s="42"/>
      <c r="O76" s="2"/>
    </row>
    <row r="77" spans="1:15" s="70" customFormat="1" ht="12.75" customHeight="1" x14ac:dyDescent="0.2">
      <c r="A77" s="87">
        <v>45324</v>
      </c>
      <c r="B77" s="120" t="s">
        <v>6</v>
      </c>
      <c r="C77" s="75" t="s">
        <v>1934</v>
      </c>
      <c r="D77" s="88">
        <v>47729</v>
      </c>
      <c r="E77" s="2"/>
      <c r="F77" s="2"/>
      <c r="G77" s="30"/>
      <c r="H77" s="30"/>
      <c r="I77" s="2"/>
      <c r="J77" s="2"/>
      <c r="K77" s="2"/>
      <c r="L77" s="2"/>
      <c r="M77" s="41"/>
      <c r="N77" s="42"/>
      <c r="O77" s="2"/>
    </row>
    <row r="78" spans="1:15" s="70" customFormat="1" ht="12.75" customHeight="1" x14ac:dyDescent="0.2">
      <c r="A78" s="87">
        <v>45328</v>
      </c>
      <c r="B78" s="120" t="s">
        <v>6</v>
      </c>
      <c r="C78" s="75" t="s">
        <v>606</v>
      </c>
      <c r="D78" s="88">
        <v>1312580</v>
      </c>
      <c r="E78" s="2"/>
      <c r="F78" s="2"/>
      <c r="G78" s="30"/>
      <c r="H78" s="30"/>
      <c r="I78" s="2"/>
      <c r="J78" s="2"/>
      <c r="K78" s="2"/>
      <c r="L78" s="2"/>
      <c r="M78" s="41"/>
      <c r="N78" s="42"/>
      <c r="O78" s="2"/>
    </row>
    <row r="79" spans="1:15" s="2" customFormat="1" x14ac:dyDescent="0.2">
      <c r="A79" s="87"/>
      <c r="B79" s="74"/>
      <c r="C79" s="75"/>
      <c r="D79" s="51">
        <f>SUM(D76:D78)</f>
        <v>2241529</v>
      </c>
      <c r="F79" s="2" t="s">
        <v>396</v>
      </c>
      <c r="G79" s="1"/>
      <c r="H79" s="1"/>
    </row>
    <row r="80" spans="1:15" s="2" customFormat="1" x14ac:dyDescent="0.2">
      <c r="A80" s="24"/>
      <c r="B80" s="1"/>
      <c r="C80" s="14"/>
      <c r="D80" s="56"/>
      <c r="E80" s="13"/>
      <c r="G80" s="1"/>
      <c r="H80" s="1"/>
    </row>
    <row r="81" spans="1:14" s="2" customFormat="1" x14ac:dyDescent="0.2">
      <c r="A81" s="24"/>
      <c r="B81" s="1"/>
      <c r="C81" s="218" t="s">
        <v>77</v>
      </c>
      <c r="D81" s="219"/>
      <c r="E81" s="219"/>
      <c r="F81" s="220"/>
      <c r="I81" s="2" t="s">
        <v>396</v>
      </c>
    </row>
    <row r="82" spans="1:14" s="2" customFormat="1" x14ac:dyDescent="0.2">
      <c r="A82" s="24"/>
      <c r="B82" s="1"/>
      <c r="C82" s="50"/>
      <c r="D82" s="57" t="s">
        <v>78</v>
      </c>
      <c r="E82" s="58" t="s">
        <v>79</v>
      </c>
      <c r="F82" s="57" t="s">
        <v>72</v>
      </c>
      <c r="I82" s="2" t="s">
        <v>396</v>
      </c>
    </row>
    <row r="83" spans="1:14" s="2" customFormat="1" x14ac:dyDescent="0.2">
      <c r="A83" s="24"/>
      <c r="B83" s="1"/>
      <c r="C83" s="59" t="str">
        <f>"01-02-2024 to "&amp;TEXT(A5-2,"dd-mm-yyyy")</f>
        <v>01-02-2024 to 04-02-2024</v>
      </c>
      <c r="D83" s="60">
        <v>529.14</v>
      </c>
      <c r="E83" s="60">
        <v>69.14</v>
      </c>
      <c r="F83" s="61">
        <f>SUM(D83:E83)</f>
        <v>598.28</v>
      </c>
    </row>
    <row r="84" spans="1:14" s="2" customFormat="1" x14ac:dyDescent="0.2">
      <c r="A84" s="24"/>
      <c r="B84" s="1"/>
      <c r="C84" s="62" t="str">
        <f>TEXT(A5-1,"dd-mm-yyyy")</f>
        <v>05-02-2024</v>
      </c>
      <c r="D84" s="60">
        <v>110.44</v>
      </c>
      <c r="E84" s="60">
        <v>22.93</v>
      </c>
      <c r="F84" s="61">
        <f>SUM(D84:E84)</f>
        <v>133.37</v>
      </c>
      <c r="G84" s="1"/>
      <c r="H84" s="1"/>
      <c r="I84" s="53"/>
    </row>
    <row r="85" spans="1:14" s="2" customFormat="1" ht="13.5" thickBot="1" x14ac:dyDescent="0.25">
      <c r="A85" s="24"/>
      <c r="B85" s="1"/>
      <c r="C85" s="63" t="str">
        <f>"01-02-2024 to "&amp;TEXT(A5-1,"dd-mm-yyyy")</f>
        <v>01-02-2024 to 05-02-2024</v>
      </c>
      <c r="D85" s="64">
        <f>SUM(D83:D84)</f>
        <v>639.57999999999993</v>
      </c>
      <c r="E85" s="64">
        <f>SUM(E83:E84)</f>
        <v>92.07</v>
      </c>
      <c r="F85" s="64">
        <f>SUM(F83:F84)</f>
        <v>731.65</v>
      </c>
      <c r="G85" s="1"/>
      <c r="H85" s="1"/>
      <c r="I85" s="53"/>
    </row>
    <row r="86" spans="1:14" s="2" customFormat="1" ht="13.5" thickTop="1" x14ac:dyDescent="0.2">
      <c r="A86" s="24"/>
      <c r="B86" s="1"/>
      <c r="C86" s="62"/>
      <c r="D86" s="65"/>
      <c r="E86" s="66"/>
      <c r="F86" s="67"/>
      <c r="M86" s="1"/>
      <c r="N86" s="1"/>
    </row>
    <row r="87" spans="1:14" s="2" customFormat="1" x14ac:dyDescent="0.2">
      <c r="A87" s="24"/>
      <c r="B87" s="1"/>
      <c r="C87" s="62" t="str">
        <f>"01-04-2023 to " &amp;C84</f>
        <v>01-04-2023 to 05-02-2024</v>
      </c>
      <c r="D87" s="68">
        <f>+D85+37155.69</f>
        <v>37795.270000000004</v>
      </c>
      <c r="E87" s="68">
        <f>+E85+4497.36</f>
        <v>4589.4299999999994</v>
      </c>
      <c r="F87" s="68">
        <f>+F85+41653.05</f>
        <v>42384.700000000004</v>
      </c>
      <c r="G87" s="1"/>
      <c r="H87" s="1"/>
      <c r="M87" s="1"/>
      <c r="N87" s="1"/>
    </row>
    <row r="88" spans="1:14" s="2" customFormat="1" x14ac:dyDescent="0.2">
      <c r="A88" s="24"/>
      <c r="B88" s="1"/>
      <c r="C88" s="52"/>
      <c r="D88" s="85"/>
      <c r="E88" s="53"/>
      <c r="F88" s="53"/>
      <c r="G88" s="1"/>
      <c r="H88" s="1"/>
      <c r="M88" s="1"/>
      <c r="N88" s="1"/>
    </row>
    <row r="89" spans="1:14" s="2" customFormat="1" x14ac:dyDescent="0.2">
      <c r="A89" s="24"/>
      <c r="B89" s="1"/>
      <c r="C89" s="52"/>
      <c r="D89" s="85"/>
      <c r="E89" s="53"/>
      <c r="F89" s="53"/>
      <c r="G89" s="1"/>
      <c r="H89" s="1"/>
      <c r="M89" s="1"/>
      <c r="N89" s="1"/>
    </row>
    <row r="90" spans="1:14" s="2" customFormat="1" x14ac:dyDescent="0.2">
      <c r="A90" s="24"/>
      <c r="B90" s="1"/>
      <c r="C90" s="52"/>
      <c r="D90" s="85"/>
      <c r="E90" s="53"/>
      <c r="F90" s="53"/>
      <c r="G90" s="1"/>
      <c r="H90" s="1"/>
      <c r="M90" s="1"/>
      <c r="N90" s="1"/>
    </row>
    <row r="91" spans="1:14" s="2" customFormat="1" x14ac:dyDescent="0.2">
      <c r="A91" s="24"/>
      <c r="B91" s="1"/>
      <c r="C91" s="52"/>
      <c r="D91" s="85"/>
      <c r="E91" s="53"/>
      <c r="F91" s="53"/>
      <c r="G91" s="1"/>
      <c r="H91" s="1"/>
      <c r="M91" s="1"/>
      <c r="N91" s="1"/>
    </row>
    <row r="92" spans="1:14" s="2" customFormat="1" x14ac:dyDescent="0.2">
      <c r="A92" s="24"/>
      <c r="B92" s="1"/>
      <c r="C92" s="14"/>
      <c r="D92" s="25">
        <f>SUM(D89:D91)</f>
        <v>0</v>
      </c>
      <c r="E92" s="2">
        <f>SUM(E89:E91)</f>
        <v>0</v>
      </c>
      <c r="G92" s="1"/>
      <c r="H92" s="1"/>
      <c r="M92" s="1"/>
      <c r="N92" s="1"/>
    </row>
    <row r="93" spans="1:14" s="2" customFormat="1" x14ac:dyDescent="0.2">
      <c r="A93" s="24"/>
      <c r="B93" s="1"/>
      <c r="C93" s="14"/>
      <c r="D93" s="25"/>
      <c r="G93" s="1"/>
      <c r="H93" s="1"/>
      <c r="M93" s="1"/>
      <c r="N93" s="1"/>
    </row>
    <row r="94" spans="1:14" s="2" customFormat="1" x14ac:dyDescent="0.2">
      <c r="A94" s="24"/>
      <c r="B94" s="1"/>
      <c r="C94" s="14"/>
      <c r="D94" s="25"/>
      <c r="G94" s="1"/>
      <c r="H94" s="1"/>
      <c r="M94" s="1"/>
      <c r="N94" s="1"/>
    </row>
    <row r="95" spans="1:14" s="2" customFormat="1" x14ac:dyDescent="0.2">
      <c r="A95" s="24"/>
      <c r="B95" s="1"/>
      <c r="C95" s="14"/>
      <c r="D95" s="25"/>
      <c r="G95" s="1"/>
      <c r="H95" s="1"/>
      <c r="M95" s="1"/>
      <c r="N95" s="1"/>
    </row>
    <row r="96" spans="1:14" s="2" customFormat="1" x14ac:dyDescent="0.2">
      <c r="A96" s="24"/>
      <c r="B96" s="1"/>
      <c r="C96" s="14"/>
      <c r="D96" s="25"/>
      <c r="G96" s="1"/>
      <c r="H96" s="1"/>
      <c r="M96" s="1"/>
      <c r="N96" s="1"/>
    </row>
    <row r="97" spans="1:15" s="2" customFormat="1" x14ac:dyDescent="0.2">
      <c r="A97" s="24"/>
      <c r="B97" s="1"/>
      <c r="C97" s="14"/>
      <c r="D97" s="25"/>
      <c r="G97" s="1"/>
      <c r="H97" s="1"/>
      <c r="M97" s="1"/>
      <c r="N97" s="1"/>
    </row>
    <row r="98" spans="1:15" s="2" customFormat="1" x14ac:dyDescent="0.2">
      <c r="A98" s="24"/>
      <c r="B98" s="1"/>
      <c r="C98" s="14"/>
      <c r="D98" s="25"/>
      <c r="G98" s="1"/>
      <c r="H98" s="1"/>
      <c r="M98" s="1"/>
      <c r="N98" s="1"/>
    </row>
    <row r="99" spans="1:15" s="2" customFormat="1" x14ac:dyDescent="0.2">
      <c r="A99" s="24"/>
      <c r="B99" s="1"/>
      <c r="C99" s="14"/>
      <c r="D99" s="25"/>
      <c r="G99" s="1"/>
      <c r="H99" s="1"/>
      <c r="M99" s="1"/>
      <c r="N99" s="1"/>
    </row>
    <row r="100" spans="1:15" s="2" customFormat="1" x14ac:dyDescent="0.2">
      <c r="A100" s="24"/>
      <c r="B100" s="1"/>
      <c r="C100" s="14"/>
      <c r="D100" s="25"/>
      <c r="G100" s="1"/>
      <c r="H100" s="1"/>
      <c r="M100" s="1"/>
      <c r="N100" s="1"/>
    </row>
    <row r="101" spans="1:15" s="2" customFormat="1" x14ac:dyDescent="0.2">
      <c r="A101" s="24"/>
      <c r="B101" s="1"/>
      <c r="C101" s="14"/>
      <c r="D101" s="25"/>
      <c r="G101" s="1"/>
      <c r="H101" s="1"/>
      <c r="M101" s="1"/>
      <c r="N101" s="1"/>
    </row>
    <row r="102" spans="1:15" s="2" customFormat="1" x14ac:dyDescent="0.2">
      <c r="A102" s="24"/>
      <c r="B102" s="1"/>
      <c r="C102" s="14"/>
      <c r="D102" s="25"/>
      <c r="G102" s="1"/>
      <c r="H102" s="1"/>
      <c r="M102" s="1"/>
      <c r="N102" s="1"/>
    </row>
    <row r="103" spans="1:15" s="2" customFormat="1" x14ac:dyDescent="0.2">
      <c r="A103" s="24"/>
      <c r="B103" s="1"/>
      <c r="C103" s="14"/>
      <c r="D103" s="25"/>
      <c r="G103" s="1"/>
      <c r="H103" s="1"/>
      <c r="M103" s="1"/>
      <c r="N103" s="1"/>
    </row>
    <row r="104" spans="1:15" s="2" customFormat="1" x14ac:dyDescent="0.2">
      <c r="A104" s="24"/>
      <c r="B104" s="1"/>
      <c r="C104" s="14"/>
      <c r="D104" s="25"/>
      <c r="G104" s="1"/>
      <c r="H104" s="1"/>
      <c r="M104" s="1"/>
      <c r="N104" s="1"/>
    </row>
    <row r="105" spans="1:15" s="2" customFormat="1" x14ac:dyDescent="0.2">
      <c r="A105" s="24"/>
      <c r="B105" s="1"/>
      <c r="C105" s="14"/>
      <c r="D105" s="25"/>
      <c r="G105" s="1"/>
      <c r="H105" s="1"/>
      <c r="M105" s="1"/>
      <c r="N105" s="1"/>
    </row>
    <row r="106" spans="1:15" s="2" customFormat="1" x14ac:dyDescent="0.2">
      <c r="A106" s="24"/>
      <c r="B106" s="1"/>
      <c r="C106" s="14"/>
      <c r="D106" s="25"/>
      <c r="G106" s="1"/>
      <c r="H106" s="1"/>
      <c r="J106" s="1"/>
      <c r="K106" s="1"/>
      <c r="L106" s="1"/>
      <c r="M106" s="1"/>
      <c r="N106" s="1"/>
    </row>
    <row r="107" spans="1:15" s="2" customFormat="1" x14ac:dyDescent="0.2">
      <c r="A107" s="24"/>
      <c r="B107" s="1"/>
      <c r="C107" s="14"/>
      <c r="D107" s="25"/>
      <c r="G107" s="1"/>
      <c r="H107" s="1"/>
    </row>
    <row r="108" spans="1:15" s="2" customFormat="1" x14ac:dyDescent="0.2">
      <c r="A108" s="24"/>
      <c r="B108" s="1"/>
      <c r="C108" s="14"/>
      <c r="D108" s="25"/>
      <c r="G108" s="1"/>
      <c r="H108" s="1"/>
      <c r="J108" s="1"/>
      <c r="K108" s="1"/>
      <c r="L108" s="1"/>
      <c r="M108" s="1"/>
      <c r="N108" s="1"/>
    </row>
    <row r="109" spans="1:15" s="2" customFormat="1" x14ac:dyDescent="0.2">
      <c r="A109" s="24"/>
      <c r="B109" s="1"/>
      <c r="C109" s="14"/>
      <c r="D109" s="25"/>
      <c r="G109" s="54"/>
      <c r="H109" s="54"/>
      <c r="J109" s="1"/>
      <c r="K109" s="1"/>
      <c r="L109" s="1"/>
      <c r="M109" s="1"/>
      <c r="N109" s="1"/>
    </row>
    <row r="110" spans="1:15" s="2" customFormat="1" x14ac:dyDescent="0.2">
      <c r="A110" s="24"/>
      <c r="B110" s="1"/>
      <c r="C110" s="14"/>
      <c r="D110" s="25"/>
      <c r="G110" s="54"/>
      <c r="H110" s="54"/>
      <c r="J110" s="1"/>
      <c r="K110" s="1"/>
      <c r="L110" s="1"/>
      <c r="M110" s="1"/>
      <c r="N110" s="1"/>
    </row>
    <row r="111" spans="1:15" s="2" customFormat="1" x14ac:dyDescent="0.2">
      <c r="A111" s="24"/>
      <c r="B111" s="1"/>
      <c r="C111" s="14"/>
      <c r="D111" s="25"/>
      <c r="G111" s="54"/>
      <c r="H111" s="54"/>
      <c r="J111" s="1"/>
      <c r="K111" s="1"/>
      <c r="L111" s="1"/>
      <c r="M111" s="1"/>
      <c r="N111" s="1"/>
    </row>
    <row r="112" spans="1:15" s="2" customFormat="1" x14ac:dyDescent="0.2">
      <c r="A112" s="24"/>
      <c r="B112" s="1"/>
      <c r="C112" s="14"/>
      <c r="D112" s="25"/>
      <c r="G112" s="54"/>
      <c r="H112" s="54"/>
      <c r="I112" s="2" t="s">
        <v>396</v>
      </c>
      <c r="J112" s="1"/>
      <c r="K112" s="1"/>
      <c r="L112" s="1"/>
      <c r="M112" s="1"/>
      <c r="N112" s="1"/>
      <c r="O112" s="1"/>
    </row>
    <row r="113" spans="1:15" s="2" customFormat="1" x14ac:dyDescent="0.2">
      <c r="A113" s="24"/>
      <c r="B113" s="1"/>
      <c r="C113" s="14"/>
      <c r="D113" s="25"/>
      <c r="G113" s="54"/>
      <c r="H113" s="54"/>
      <c r="I113" s="53"/>
    </row>
    <row r="114" spans="1:15" s="2" customFormat="1" x14ac:dyDescent="0.2">
      <c r="A114" s="24"/>
      <c r="B114" s="1"/>
      <c r="C114" s="14"/>
      <c r="D114" s="25"/>
      <c r="G114" s="54"/>
      <c r="H114" s="54"/>
      <c r="I114" s="53" t="s">
        <v>396</v>
      </c>
      <c r="J114" s="1"/>
      <c r="K114" s="1"/>
      <c r="L114" s="1"/>
      <c r="M114" s="1"/>
      <c r="N114" s="1"/>
      <c r="O114" s="1"/>
    </row>
    <row r="115" spans="1:15" x14ac:dyDescent="0.2">
      <c r="G115" s="54"/>
      <c r="H115" s="54"/>
      <c r="I115" s="53" t="s">
        <v>396</v>
      </c>
      <c r="K115" s="42"/>
    </row>
    <row r="116" spans="1:15" s="2" customFormat="1" x14ac:dyDescent="0.2">
      <c r="A116" s="24"/>
      <c r="B116" s="1"/>
      <c r="C116" s="14"/>
      <c r="D116" s="25"/>
      <c r="G116" s="54"/>
      <c r="H116" s="54"/>
      <c r="I116" s="53"/>
      <c r="J116" s="101"/>
      <c r="K116" s="1"/>
      <c r="L116" s="1"/>
      <c r="M116" s="1"/>
      <c r="N116" s="1"/>
      <c r="O116" s="1"/>
    </row>
    <row r="117" spans="1:15" x14ac:dyDescent="0.2">
      <c r="G117" s="54"/>
      <c r="H117" s="54"/>
      <c r="I117" s="53"/>
    </row>
    <row r="118" spans="1:15" x14ac:dyDescent="0.2">
      <c r="G118" s="54"/>
      <c r="H118" s="54"/>
      <c r="I118" s="53"/>
    </row>
    <row r="119" spans="1:15" x14ac:dyDescent="0.2">
      <c r="G119" s="54"/>
      <c r="H119" s="54"/>
      <c r="I119" s="53"/>
    </row>
  </sheetData>
  <sheetProtection insertRows="0"/>
  <mergeCells count="7">
    <mergeCell ref="K67:L67"/>
    <mergeCell ref="A74:D74"/>
    <mergeCell ref="C81:F81"/>
    <mergeCell ref="A1:H1"/>
    <mergeCell ref="A3:F3"/>
    <mergeCell ref="A9:F9"/>
    <mergeCell ref="A18:F18"/>
  </mergeCells>
  <conditionalFormatting sqref="H71:H72">
    <cfRule type="cellIs" dxfId="89" priority="1" operator="lessThan">
      <formula>0</formula>
    </cfRule>
  </conditionalFormatting>
  <conditionalFormatting sqref="C20">
    <cfRule type="duplicateValues" dxfId="88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F600-000000000000}">
  <sheetPr codeName="Sheet542">
    <pageSetUpPr fitToPage="1"/>
  </sheetPr>
  <dimension ref="A1:O121"/>
  <sheetViews>
    <sheetView topLeftCell="A79" zoomScaleNormal="100" workbookViewId="0">
      <selection activeCell="A79" sqref="A79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12.85546875" style="1" customWidth="1"/>
    <col min="9" max="9" width="24.85546875" style="2" bestFit="1" customWidth="1"/>
    <col min="10" max="10" width="21.5703125" style="1" bestFit="1" customWidth="1"/>
    <col min="11" max="11" width="16.85546875" style="1" bestFit="1" customWidth="1"/>
    <col min="12" max="12" width="19.5703125" style="1" bestFit="1" customWidth="1"/>
    <col min="13" max="13" width="13.5703125" style="1" bestFit="1" customWidth="1"/>
    <col min="14" max="14" width="17.42578125" style="1" bestFit="1" customWidth="1"/>
    <col min="15" max="15" width="12.85546875" style="1" bestFit="1" customWidth="1"/>
    <col min="16" max="17" width="9.140625" style="1"/>
    <col min="18" max="18" width="15.5703125" style="1" bestFit="1" customWidth="1"/>
    <col min="19" max="16384" width="9.140625" style="1"/>
  </cols>
  <sheetData>
    <row r="1" spans="1:14" ht="20.25" customHeight="1" x14ac:dyDescent="0.4">
      <c r="A1" s="212" t="s">
        <v>2046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4" ht="12.75" customHeight="1" x14ac:dyDescent="0.4">
      <c r="I2" s="112"/>
      <c r="J2" s="112"/>
    </row>
    <row r="3" spans="1:14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4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4" s="2" customFormat="1" ht="14.25" customHeight="1" x14ac:dyDescent="0.4">
      <c r="A5" s="89">
        <v>45329</v>
      </c>
      <c r="B5" s="9" t="s">
        <v>6</v>
      </c>
      <c r="C5" s="10" t="s">
        <v>7</v>
      </c>
      <c r="D5" s="11"/>
      <c r="E5" s="12">
        <v>3768527.2300000004</v>
      </c>
      <c r="F5" s="12"/>
      <c r="G5" s="1"/>
      <c r="H5" s="1"/>
      <c r="I5" s="112"/>
      <c r="J5" s="112"/>
    </row>
    <row r="6" spans="1:14" s="2" customFormat="1" ht="14.25" customHeight="1" x14ac:dyDescent="0.4">
      <c r="A6" s="89">
        <v>45329</v>
      </c>
      <c r="B6" s="9" t="s">
        <v>11</v>
      </c>
      <c r="C6" s="10" t="s">
        <v>380</v>
      </c>
      <c r="D6" s="11" t="s">
        <v>29</v>
      </c>
      <c r="E6" s="12"/>
      <c r="F6" s="12">
        <v>3067755</v>
      </c>
      <c r="G6" s="1"/>
      <c r="H6" s="1"/>
      <c r="I6" s="112"/>
      <c r="J6" s="112"/>
    </row>
    <row r="7" spans="1:14" s="2" customFormat="1" ht="12.75" customHeight="1" x14ac:dyDescent="0.2">
      <c r="D7" s="15" t="s">
        <v>8</v>
      </c>
      <c r="E7" s="16">
        <f>SUM(E5:E5)</f>
        <v>3768527.2300000004</v>
      </c>
      <c r="F7" s="16">
        <f>F6</f>
        <v>3067755</v>
      </c>
      <c r="G7" s="1"/>
      <c r="H7" s="1"/>
      <c r="I7" s="13" t="s">
        <v>1582</v>
      </c>
      <c r="J7" s="13" t="s">
        <v>1583</v>
      </c>
    </row>
    <row r="8" spans="1:14" s="2" customFormat="1" ht="12.75" customHeight="1" x14ac:dyDescent="0.2">
      <c r="A8" s="17"/>
      <c r="B8" s="18"/>
      <c r="C8" s="19" t="s">
        <v>9</v>
      </c>
      <c r="D8" s="20"/>
      <c r="E8" s="21">
        <f>+E7-F7</f>
        <v>700772.23000000045</v>
      </c>
      <c r="F8" s="22"/>
      <c r="G8" s="23"/>
      <c r="H8" s="23"/>
      <c r="I8" s="2">
        <v>0</v>
      </c>
      <c r="J8" s="2">
        <v>0</v>
      </c>
      <c r="K8" s="176">
        <f>I8-J8</f>
        <v>0</v>
      </c>
    </row>
    <row r="9" spans="1:14" ht="12.75" customHeight="1" x14ac:dyDescent="0.4">
      <c r="I9" s="112"/>
      <c r="J9" s="112"/>
    </row>
    <row r="10" spans="1:14" ht="18" customHeight="1" x14ac:dyDescent="0.4">
      <c r="A10" s="213" t="s">
        <v>1037</v>
      </c>
      <c r="B10" s="213"/>
      <c r="C10" s="213"/>
      <c r="D10" s="213"/>
      <c r="E10" s="213"/>
      <c r="F10" s="213"/>
      <c r="I10" s="112"/>
      <c r="J10" s="169">
        <f>90000000-60000000</f>
        <v>30000000</v>
      </c>
      <c r="K10" s="169" t="s">
        <v>1508</v>
      </c>
    </row>
    <row r="11" spans="1:14" ht="12.75" customHeight="1" x14ac:dyDescent="0.4">
      <c r="A11" s="3" t="s">
        <v>1</v>
      </c>
      <c r="B11" s="4" t="s">
        <v>2</v>
      </c>
      <c r="C11" s="5"/>
      <c r="D11" s="6" t="s">
        <v>3</v>
      </c>
      <c r="E11" s="7" t="s">
        <v>4</v>
      </c>
      <c r="F11" s="7" t="s">
        <v>5</v>
      </c>
      <c r="I11" s="112"/>
      <c r="J11" s="169">
        <v>24570909.120000001</v>
      </c>
      <c r="K11" s="169" t="s">
        <v>1509</v>
      </c>
      <c r="L11" s="124"/>
    </row>
    <row r="12" spans="1:14" s="2" customFormat="1" ht="14.25" customHeight="1" x14ac:dyDescent="0.2">
      <c r="A12" s="89">
        <v>45329</v>
      </c>
      <c r="B12" s="9" t="s">
        <v>6</v>
      </c>
      <c r="C12" s="10" t="s">
        <v>7</v>
      </c>
      <c r="D12" s="11"/>
      <c r="F12" s="12">
        <v>24570909.120000005</v>
      </c>
      <c r="G12" s="1"/>
      <c r="H12" s="1"/>
      <c r="I12" s="130" t="s">
        <v>396</v>
      </c>
      <c r="J12" s="169">
        <f>+J10-J11</f>
        <v>5429090.879999999</v>
      </c>
      <c r="K12" s="169" t="s">
        <v>712</v>
      </c>
      <c r="L12" s="165" t="s">
        <v>1512</v>
      </c>
    </row>
    <row r="13" spans="1:14" s="2" customFormat="1" ht="14.25" customHeight="1" x14ac:dyDescent="0.2">
      <c r="D13" s="11" t="s">
        <v>8</v>
      </c>
      <c r="E13" s="16">
        <f>E12</f>
        <v>0</v>
      </c>
      <c r="F13" s="16">
        <f>SUM(F12:F12)</f>
        <v>24570909.120000005</v>
      </c>
      <c r="G13" s="1"/>
      <c r="H13" s="1"/>
      <c r="I13" s="143"/>
      <c r="J13" s="130"/>
      <c r="K13" s="143"/>
      <c r="L13" s="143"/>
      <c r="M13" s="143"/>
      <c r="N13" s="143"/>
    </row>
    <row r="14" spans="1:14" s="2" customFormat="1" ht="14.25" customHeight="1" x14ac:dyDescent="0.4">
      <c r="A14" s="17"/>
      <c r="B14" s="18"/>
      <c r="C14" s="96" t="s">
        <v>9</v>
      </c>
      <c r="D14" s="20"/>
      <c r="E14" s="21">
        <f>+F13-E13</f>
        <v>24570909.120000005</v>
      </c>
      <c r="G14" s="1"/>
      <c r="H14" s="1"/>
      <c r="J14" s="112"/>
      <c r="K14" s="153" t="s">
        <v>779</v>
      </c>
    </row>
    <row r="15" spans="1:14" s="2" customFormat="1" ht="14.25" customHeight="1" x14ac:dyDescent="0.2">
      <c r="A15" s="17"/>
      <c r="B15" s="28" t="s">
        <v>66</v>
      </c>
      <c r="C15" s="43" t="s">
        <v>1458</v>
      </c>
      <c r="D15" s="43"/>
      <c r="E15" s="12">
        <f>30000000+60000000</f>
        <v>90000000</v>
      </c>
      <c r="F15" s="22"/>
      <c r="G15" s="1"/>
      <c r="H15" s="1"/>
      <c r="J15" s="40">
        <v>24570909.120000001</v>
      </c>
      <c r="K15" s="154">
        <f>J15-E14</f>
        <v>0</v>
      </c>
    </row>
    <row r="16" spans="1:14" s="2" customFormat="1" ht="14.25" customHeight="1" x14ac:dyDescent="0.25">
      <c r="A16" s="36"/>
      <c r="B16" s="28"/>
      <c r="C16" s="44" t="s">
        <v>1541</v>
      </c>
      <c r="D16" s="43"/>
      <c r="E16" s="7">
        <f>+E14+E15</f>
        <v>114570909.12</v>
      </c>
      <c r="F16" s="22"/>
      <c r="G16" s="1"/>
      <c r="H16" s="1"/>
      <c r="I16" s="13" t="s">
        <v>1582</v>
      </c>
      <c r="J16" s="13" t="s">
        <v>1583</v>
      </c>
    </row>
    <row r="17" spans="1:12" s="2" customFormat="1" ht="14.25" customHeight="1" x14ac:dyDescent="0.25">
      <c r="A17" s="36"/>
      <c r="B17" s="28"/>
      <c r="C17" s="44" t="s">
        <v>1511</v>
      </c>
      <c r="D17" s="43"/>
      <c r="E17" s="38">
        <f>+J12+I8-J8</f>
        <v>5429090.879999999</v>
      </c>
      <c r="F17" s="22"/>
      <c r="G17" s="1"/>
      <c r="H17" s="1"/>
      <c r="I17" s="2">
        <v>65610</v>
      </c>
      <c r="J17" s="2">
        <v>1863827</v>
      </c>
      <c r="K17" s="176">
        <f>I17-J17</f>
        <v>-1798217</v>
      </c>
    </row>
    <row r="18" spans="1:12" s="2" customFormat="1" ht="14.25" customHeight="1" x14ac:dyDescent="0.2">
      <c r="A18" s="24"/>
      <c r="B18" s="1"/>
      <c r="C18" s="14"/>
      <c r="D18" s="25"/>
      <c r="G18" s="1"/>
      <c r="H18" s="1"/>
      <c r="J18" s="130"/>
      <c r="K18" s="130"/>
    </row>
    <row r="19" spans="1:12" s="2" customFormat="1" x14ac:dyDescent="0.2">
      <c r="A19" s="214" t="s">
        <v>10</v>
      </c>
      <c r="B19" s="214"/>
      <c r="C19" s="214"/>
      <c r="D19" s="214"/>
      <c r="E19" s="214"/>
      <c r="F19" s="214"/>
      <c r="G19" s="1"/>
      <c r="H19" s="1"/>
      <c r="I19" s="159"/>
      <c r="J19" s="160">
        <v>100000000</v>
      </c>
      <c r="K19" s="160" t="s">
        <v>1506</v>
      </c>
      <c r="L19" s="70"/>
    </row>
    <row r="20" spans="1:12" s="2" customFormat="1" ht="15" x14ac:dyDescent="0.35">
      <c r="A20" s="26" t="s">
        <v>1</v>
      </c>
      <c r="B20" s="27" t="s">
        <v>2</v>
      </c>
      <c r="C20" s="5"/>
      <c r="D20" s="6" t="s">
        <v>3</v>
      </c>
      <c r="E20" s="7" t="s">
        <v>4</v>
      </c>
      <c r="F20" s="7" t="s">
        <v>5</v>
      </c>
      <c r="G20" s="1"/>
      <c r="H20" s="1"/>
      <c r="I20" s="159"/>
      <c r="J20" s="179">
        <v>78691126.950000003</v>
      </c>
      <c r="K20" s="160" t="s">
        <v>1507</v>
      </c>
      <c r="L20" s="70" t="s">
        <v>1512</v>
      </c>
    </row>
    <row r="21" spans="1:12" s="2" customFormat="1" x14ac:dyDescent="0.2">
      <c r="A21" s="89">
        <v>45329</v>
      </c>
      <c r="B21" s="128" t="s">
        <v>11</v>
      </c>
      <c r="C21" s="29" t="s">
        <v>7</v>
      </c>
      <c r="D21" s="25"/>
      <c r="E21" s="31"/>
      <c r="F21" s="2">
        <v>83078552.759999886</v>
      </c>
      <c r="G21" s="23"/>
      <c r="H21" s="23"/>
      <c r="I21" s="159" t="s">
        <v>1505</v>
      </c>
      <c r="J21" s="160">
        <f>+J19-J20</f>
        <v>21308873.049999997</v>
      </c>
      <c r="K21" s="160"/>
      <c r="L21" s="70"/>
    </row>
    <row r="22" spans="1:12" s="2" customFormat="1" x14ac:dyDescent="0.2">
      <c r="A22" s="89">
        <v>45329</v>
      </c>
      <c r="B22" s="128" t="s">
        <v>6</v>
      </c>
      <c r="C22" s="76" t="s">
        <v>1715</v>
      </c>
      <c r="D22" s="11" t="s">
        <v>13</v>
      </c>
      <c r="E22" s="31">
        <v>10638</v>
      </c>
      <c r="G22" s="23"/>
      <c r="H22" s="23"/>
      <c r="I22" s="159"/>
      <c r="J22" s="160"/>
      <c r="K22" s="160"/>
      <c r="L22" s="70"/>
    </row>
    <row r="23" spans="1:12" s="2" customFormat="1" x14ac:dyDescent="0.2">
      <c r="A23" s="89">
        <v>45329</v>
      </c>
      <c r="B23" s="128" t="s">
        <v>6</v>
      </c>
      <c r="C23" s="76" t="s">
        <v>1729</v>
      </c>
      <c r="D23" s="11" t="s">
        <v>13</v>
      </c>
      <c r="E23" s="31">
        <v>11111701</v>
      </c>
      <c r="G23" s="23"/>
      <c r="H23" s="23"/>
      <c r="I23" s="159"/>
      <c r="J23" s="160"/>
      <c r="K23" s="160"/>
      <c r="L23" s="70"/>
    </row>
    <row r="24" spans="1:12" s="2" customFormat="1" x14ac:dyDescent="0.2">
      <c r="A24" s="89">
        <v>45329</v>
      </c>
      <c r="B24" s="128" t="s">
        <v>6</v>
      </c>
      <c r="C24" s="76" t="s">
        <v>1430</v>
      </c>
      <c r="D24" s="11" t="s">
        <v>13</v>
      </c>
      <c r="E24" s="31">
        <v>12390</v>
      </c>
      <c r="G24" s="23"/>
      <c r="H24" s="23"/>
      <c r="I24" s="159"/>
      <c r="J24" s="160"/>
      <c r="K24" s="160"/>
      <c r="L24" s="70"/>
    </row>
    <row r="25" spans="1:12" s="2" customFormat="1" x14ac:dyDescent="0.2">
      <c r="A25" s="89">
        <v>45329</v>
      </c>
      <c r="B25" s="128" t="s">
        <v>6</v>
      </c>
      <c r="C25" s="76" t="s">
        <v>358</v>
      </c>
      <c r="D25" s="11" t="s">
        <v>13</v>
      </c>
      <c r="E25" s="31">
        <v>182648</v>
      </c>
      <c r="G25" s="23"/>
      <c r="H25" s="23"/>
      <c r="I25" s="159"/>
      <c r="J25" s="160"/>
      <c r="K25" s="160"/>
      <c r="L25" s="70"/>
    </row>
    <row r="26" spans="1:12" s="2" customFormat="1" x14ac:dyDescent="0.2">
      <c r="A26" s="89">
        <v>45329</v>
      </c>
      <c r="B26" s="128" t="s">
        <v>6</v>
      </c>
      <c r="C26" s="76" t="s">
        <v>15</v>
      </c>
      <c r="D26" s="11" t="s">
        <v>13</v>
      </c>
      <c r="E26" s="31">
        <v>2319.96</v>
      </c>
      <c r="G26" s="23"/>
      <c r="H26" s="23"/>
      <c r="I26" s="159"/>
      <c r="J26" s="160"/>
      <c r="K26" s="160"/>
      <c r="L26" s="70"/>
    </row>
    <row r="27" spans="1:12" s="2" customFormat="1" x14ac:dyDescent="0.2">
      <c r="A27" s="89">
        <v>45329</v>
      </c>
      <c r="B27" s="128" t="s">
        <v>6</v>
      </c>
      <c r="C27" s="76" t="s">
        <v>983</v>
      </c>
      <c r="D27" s="11" t="s">
        <v>13</v>
      </c>
      <c r="E27" s="31">
        <v>30000</v>
      </c>
      <c r="G27" s="23"/>
      <c r="H27" s="23"/>
      <c r="I27" s="159"/>
      <c r="J27" s="160"/>
      <c r="K27" s="160"/>
      <c r="L27" s="70"/>
    </row>
    <row r="28" spans="1:12" s="2" customFormat="1" x14ac:dyDescent="0.2">
      <c r="A28" s="89">
        <v>45329</v>
      </c>
      <c r="B28" s="128" t="s">
        <v>6</v>
      </c>
      <c r="C28" s="76" t="s">
        <v>639</v>
      </c>
      <c r="D28" s="11" t="s">
        <v>13</v>
      </c>
      <c r="E28" s="31">
        <v>47864.76</v>
      </c>
      <c r="G28" s="23"/>
      <c r="H28" s="23"/>
      <c r="I28" s="159"/>
      <c r="J28" s="160"/>
      <c r="K28" s="160"/>
      <c r="L28" s="70"/>
    </row>
    <row r="29" spans="1:12" s="2" customFormat="1" x14ac:dyDescent="0.2">
      <c r="A29" s="89">
        <v>45329</v>
      </c>
      <c r="B29" s="128" t="s">
        <v>6</v>
      </c>
      <c r="C29" s="76" t="s">
        <v>120</v>
      </c>
      <c r="D29" s="11" t="s">
        <v>13</v>
      </c>
      <c r="E29" s="31">
        <v>1132482.21</v>
      </c>
      <c r="G29" s="23"/>
      <c r="H29" s="23"/>
      <c r="I29" s="159"/>
      <c r="J29" s="160"/>
      <c r="K29" s="160"/>
      <c r="L29" s="70"/>
    </row>
    <row r="30" spans="1:12" s="2" customFormat="1" x14ac:dyDescent="0.2">
      <c r="A30" s="89">
        <v>45329</v>
      </c>
      <c r="B30" s="128" t="s">
        <v>6</v>
      </c>
      <c r="C30" s="76" t="s">
        <v>19</v>
      </c>
      <c r="D30" s="11" t="s">
        <v>13</v>
      </c>
      <c r="E30" s="31">
        <v>9605</v>
      </c>
      <c r="G30" s="23"/>
      <c r="H30" s="23"/>
      <c r="I30" s="159"/>
      <c r="J30" s="160"/>
      <c r="K30" s="160"/>
      <c r="L30" s="70"/>
    </row>
    <row r="31" spans="1:12" s="2" customFormat="1" x14ac:dyDescent="0.2">
      <c r="A31" s="89">
        <v>45329</v>
      </c>
      <c r="B31" s="128" t="s">
        <v>6</v>
      </c>
      <c r="C31" s="76" t="s">
        <v>24</v>
      </c>
      <c r="D31" s="11" t="s">
        <v>13</v>
      </c>
      <c r="E31" s="31">
        <v>77311</v>
      </c>
      <c r="G31" s="23"/>
      <c r="H31" s="23"/>
      <c r="I31" s="159"/>
      <c r="J31" s="160"/>
      <c r="K31" s="160"/>
      <c r="L31" s="70"/>
    </row>
    <row r="32" spans="1:12" s="2" customFormat="1" x14ac:dyDescent="0.2">
      <c r="A32" s="89">
        <v>45329</v>
      </c>
      <c r="B32" s="128" t="s">
        <v>6</v>
      </c>
      <c r="C32" s="76" t="s">
        <v>385</v>
      </c>
      <c r="D32" s="11" t="s">
        <v>13</v>
      </c>
      <c r="E32" s="31">
        <v>35610</v>
      </c>
      <c r="G32" s="23"/>
      <c r="H32" s="23"/>
      <c r="I32" s="159"/>
      <c r="J32" s="160"/>
      <c r="K32" s="160"/>
      <c r="L32" s="70"/>
    </row>
    <row r="33" spans="1:12" s="2" customFormat="1" x14ac:dyDescent="0.2">
      <c r="A33" s="89">
        <v>45329</v>
      </c>
      <c r="B33" s="128" t="s">
        <v>6</v>
      </c>
      <c r="C33" s="76" t="s">
        <v>1403</v>
      </c>
      <c r="D33" s="11" t="s">
        <v>13</v>
      </c>
      <c r="E33" s="31">
        <v>1677758</v>
      </c>
      <c r="G33" s="23"/>
      <c r="H33" s="23"/>
      <c r="I33" s="159"/>
      <c r="J33" s="160"/>
      <c r="K33" s="160"/>
      <c r="L33" s="70"/>
    </row>
    <row r="34" spans="1:12" s="2" customFormat="1" x14ac:dyDescent="0.2">
      <c r="A34" s="89">
        <v>45329</v>
      </c>
      <c r="B34" s="128" t="s">
        <v>6</v>
      </c>
      <c r="C34" s="76" t="s">
        <v>2047</v>
      </c>
      <c r="D34" s="11" t="s">
        <v>13</v>
      </c>
      <c r="E34" s="31">
        <v>363559</v>
      </c>
      <c r="G34" s="23"/>
      <c r="H34" s="23"/>
      <c r="I34" s="159"/>
      <c r="J34" s="160"/>
      <c r="K34" s="160"/>
      <c r="L34" s="70"/>
    </row>
    <row r="35" spans="1:12" s="2" customFormat="1" x14ac:dyDescent="0.2">
      <c r="A35" s="89">
        <v>45329</v>
      </c>
      <c r="B35" s="128" t="s">
        <v>6</v>
      </c>
      <c r="C35" s="76" t="s">
        <v>763</v>
      </c>
      <c r="D35" s="11" t="s">
        <v>13</v>
      </c>
      <c r="E35" s="31">
        <v>348815</v>
      </c>
      <c r="G35" s="23"/>
      <c r="H35" s="23"/>
      <c r="I35" s="159"/>
      <c r="J35" s="160"/>
      <c r="K35" s="160"/>
      <c r="L35" s="70"/>
    </row>
    <row r="36" spans="1:12" s="2" customFormat="1" x14ac:dyDescent="0.2">
      <c r="A36" s="89">
        <v>45329</v>
      </c>
      <c r="B36" s="128" t="s">
        <v>6</v>
      </c>
      <c r="C36" s="76" t="s">
        <v>964</v>
      </c>
      <c r="D36" s="11" t="s">
        <v>13</v>
      </c>
      <c r="E36" s="31">
        <v>4725</v>
      </c>
      <c r="G36" s="23"/>
      <c r="H36" s="23"/>
      <c r="I36" s="159"/>
      <c r="J36" s="160"/>
      <c r="K36" s="160"/>
      <c r="L36" s="70"/>
    </row>
    <row r="37" spans="1:12" s="2" customFormat="1" x14ac:dyDescent="0.2">
      <c r="A37" s="89">
        <v>45329</v>
      </c>
      <c r="B37" s="128" t="s">
        <v>6</v>
      </c>
      <c r="C37" s="76" t="s">
        <v>2048</v>
      </c>
      <c r="D37" s="11" t="s">
        <v>13</v>
      </c>
      <c r="E37" s="31">
        <v>2100</v>
      </c>
      <c r="G37" s="23"/>
      <c r="H37" s="23"/>
      <c r="I37" s="159"/>
      <c r="J37" s="160"/>
      <c r="K37" s="160"/>
      <c r="L37" s="70"/>
    </row>
    <row r="38" spans="1:12" s="2" customFormat="1" x14ac:dyDescent="0.2">
      <c r="A38" s="89">
        <v>45329</v>
      </c>
      <c r="B38" s="128" t="s">
        <v>6</v>
      </c>
      <c r="C38" s="76" t="s">
        <v>2049</v>
      </c>
      <c r="D38" s="11" t="s">
        <v>13</v>
      </c>
      <c r="E38" s="31">
        <v>12527</v>
      </c>
      <c r="G38" s="23"/>
      <c r="H38" s="23"/>
      <c r="I38" s="159"/>
      <c r="J38" s="160"/>
      <c r="K38" s="160"/>
      <c r="L38" s="70"/>
    </row>
    <row r="39" spans="1:12" s="2" customFormat="1" x14ac:dyDescent="0.2">
      <c r="A39" s="89">
        <v>45329</v>
      </c>
      <c r="B39" s="128" t="s">
        <v>6</v>
      </c>
      <c r="C39" s="76" t="s">
        <v>123</v>
      </c>
      <c r="D39" s="11" t="s">
        <v>13</v>
      </c>
      <c r="E39" s="31">
        <v>74936</v>
      </c>
      <c r="G39" s="23"/>
      <c r="H39" s="23"/>
      <c r="I39" s="159"/>
      <c r="J39" s="160"/>
      <c r="K39" s="160"/>
      <c r="L39" s="70"/>
    </row>
    <row r="40" spans="1:12" s="2" customFormat="1" x14ac:dyDescent="0.2">
      <c r="A40" s="89">
        <v>45329</v>
      </c>
      <c r="B40" s="128" t="s">
        <v>11</v>
      </c>
      <c r="C40" s="76" t="s">
        <v>64</v>
      </c>
      <c r="D40" s="11" t="s">
        <v>29</v>
      </c>
      <c r="E40" s="31"/>
      <c r="F40" s="2">
        <v>7.08</v>
      </c>
      <c r="G40" s="23"/>
      <c r="H40" s="23"/>
      <c r="I40" s="159"/>
      <c r="J40" s="160"/>
      <c r="K40" s="160"/>
      <c r="L40" s="70"/>
    </row>
    <row r="41" spans="1:12" s="2" customFormat="1" x14ac:dyDescent="0.2">
      <c r="A41" s="89">
        <v>45329</v>
      </c>
      <c r="B41" s="128" t="s">
        <v>11</v>
      </c>
      <c r="C41" s="76" t="s">
        <v>2050</v>
      </c>
      <c r="D41" s="11" t="s">
        <v>29</v>
      </c>
      <c r="E41" s="31"/>
      <c r="F41" s="2">
        <v>470000</v>
      </c>
      <c r="G41" s="23"/>
      <c r="H41" s="23"/>
      <c r="I41" s="159"/>
      <c r="J41" s="160"/>
      <c r="K41" s="160"/>
      <c r="L41" s="70"/>
    </row>
    <row r="42" spans="1:12" s="2" customFormat="1" x14ac:dyDescent="0.2">
      <c r="A42" s="89">
        <v>45329</v>
      </c>
      <c r="B42" s="128" t="s">
        <v>11</v>
      </c>
      <c r="C42" s="76" t="s">
        <v>1840</v>
      </c>
      <c r="D42" s="11" t="s">
        <v>29</v>
      </c>
      <c r="E42" s="31"/>
      <c r="F42" s="2">
        <v>74492.040000000037</v>
      </c>
      <c r="G42" s="23"/>
      <c r="H42" s="23"/>
      <c r="I42" s="159"/>
      <c r="J42" s="160"/>
      <c r="K42" s="160"/>
      <c r="L42" s="70"/>
    </row>
    <row r="43" spans="1:12" s="2" customFormat="1" x14ac:dyDescent="0.2">
      <c r="A43" s="89">
        <v>45329</v>
      </c>
      <c r="B43" s="128" t="s">
        <v>11</v>
      </c>
      <c r="C43" s="76" t="s">
        <v>1746</v>
      </c>
      <c r="D43" s="11" t="s">
        <v>29</v>
      </c>
      <c r="E43" s="31"/>
      <c r="F43" s="2">
        <v>861397</v>
      </c>
      <c r="G43" s="23"/>
      <c r="H43" s="23"/>
      <c r="I43" s="159"/>
      <c r="J43" s="160"/>
      <c r="K43" s="160"/>
      <c r="L43" s="70"/>
    </row>
    <row r="44" spans="1:12" s="2" customFormat="1" x14ac:dyDescent="0.2">
      <c r="A44" s="89">
        <v>45329</v>
      </c>
      <c r="B44" s="128" t="s">
        <v>11</v>
      </c>
      <c r="C44" s="76" t="s">
        <v>123</v>
      </c>
      <c r="D44" s="11" t="s">
        <v>29</v>
      </c>
      <c r="E44" s="31"/>
      <c r="F44" s="2">
        <v>3645083</v>
      </c>
      <c r="G44" s="23"/>
      <c r="H44" s="23"/>
      <c r="I44" s="159"/>
      <c r="J44" s="160"/>
      <c r="K44" s="160"/>
      <c r="L44" s="70"/>
    </row>
    <row r="45" spans="1:12" s="2" customFormat="1" x14ac:dyDescent="0.2">
      <c r="A45" s="89">
        <v>45329</v>
      </c>
      <c r="B45" s="128" t="s">
        <v>11</v>
      </c>
      <c r="C45" s="76" t="s">
        <v>284</v>
      </c>
      <c r="D45" s="11" t="s">
        <v>29</v>
      </c>
      <c r="E45" s="31"/>
      <c r="F45" s="2">
        <v>359058</v>
      </c>
      <c r="G45" s="23"/>
      <c r="H45" s="23"/>
      <c r="I45" s="159"/>
      <c r="J45" s="160"/>
      <c r="K45" s="160"/>
      <c r="L45" s="70"/>
    </row>
    <row r="46" spans="1:12" s="2" customFormat="1" x14ac:dyDescent="0.2">
      <c r="A46" s="89">
        <v>45329</v>
      </c>
      <c r="B46" s="128" t="s">
        <v>11</v>
      </c>
      <c r="C46" s="76" t="s">
        <v>561</v>
      </c>
      <c r="D46" s="11" t="s">
        <v>29</v>
      </c>
      <c r="E46" s="31"/>
      <c r="F46" s="2">
        <v>769875</v>
      </c>
      <c r="G46" s="23"/>
      <c r="H46" s="23"/>
      <c r="I46" s="159"/>
      <c r="J46" s="160"/>
      <c r="K46" s="160"/>
      <c r="L46" s="70"/>
    </row>
    <row r="47" spans="1:12" s="2" customFormat="1" x14ac:dyDescent="0.2">
      <c r="A47" s="89">
        <v>45329</v>
      </c>
      <c r="B47" s="128" t="s">
        <v>11</v>
      </c>
      <c r="C47" s="76" t="s">
        <v>248</v>
      </c>
      <c r="D47" s="11" t="s">
        <v>29</v>
      </c>
      <c r="E47" s="31"/>
      <c r="F47" s="2">
        <v>107217</v>
      </c>
      <c r="G47" s="23"/>
      <c r="H47" s="23"/>
      <c r="I47" s="159"/>
      <c r="J47" s="160"/>
      <c r="K47" s="160"/>
      <c r="L47" s="70"/>
    </row>
    <row r="48" spans="1:12" s="2" customFormat="1" x14ac:dyDescent="0.2">
      <c r="A48" s="89">
        <v>45329</v>
      </c>
      <c r="B48" s="128" t="s">
        <v>11</v>
      </c>
      <c r="C48" s="76" t="s">
        <v>886</v>
      </c>
      <c r="D48" s="11" t="s">
        <v>29</v>
      </c>
      <c r="E48" s="31"/>
      <c r="F48" s="2">
        <v>2842</v>
      </c>
      <c r="G48" s="23"/>
      <c r="H48" s="23"/>
      <c r="I48" s="159"/>
      <c r="J48" s="160"/>
      <c r="K48" s="160"/>
      <c r="L48" s="70"/>
    </row>
    <row r="49" spans="1:15" s="2" customFormat="1" x14ac:dyDescent="0.2">
      <c r="A49" s="89">
        <v>45329</v>
      </c>
      <c r="B49" s="128" t="s">
        <v>11</v>
      </c>
      <c r="C49" s="76" t="s">
        <v>250</v>
      </c>
      <c r="D49" s="11" t="s">
        <v>29</v>
      </c>
      <c r="E49" s="31"/>
      <c r="F49" s="2">
        <v>6508</v>
      </c>
      <c r="G49" s="23"/>
      <c r="H49" s="23"/>
      <c r="I49" s="159"/>
      <c r="J49" s="160"/>
      <c r="K49" s="160"/>
      <c r="L49" s="70"/>
    </row>
    <row r="50" spans="1:15" s="2" customFormat="1" x14ac:dyDescent="0.2">
      <c r="A50" s="89">
        <v>45329</v>
      </c>
      <c r="B50" s="128" t="s">
        <v>11</v>
      </c>
      <c r="C50" s="76" t="s">
        <v>223</v>
      </c>
      <c r="D50" s="11" t="s">
        <v>29</v>
      </c>
      <c r="E50" s="31"/>
      <c r="F50" s="2">
        <v>6649402</v>
      </c>
      <c r="G50" s="23"/>
      <c r="H50" s="23"/>
      <c r="I50" s="159"/>
      <c r="J50" s="160"/>
      <c r="K50" s="160"/>
      <c r="L50" s="70"/>
    </row>
    <row r="51" spans="1:15" s="2" customFormat="1" x14ac:dyDescent="0.2">
      <c r="A51" s="89">
        <v>45329</v>
      </c>
      <c r="B51" s="128" t="s">
        <v>11</v>
      </c>
      <c r="C51" s="76" t="s">
        <v>1771</v>
      </c>
      <c r="D51" s="11" t="s">
        <v>29</v>
      </c>
      <c r="E51" s="31"/>
      <c r="F51" s="2">
        <v>60527</v>
      </c>
      <c r="G51" s="23"/>
      <c r="H51" s="23"/>
      <c r="I51" s="159"/>
      <c r="J51" s="160"/>
      <c r="K51" s="160"/>
      <c r="L51" s="70" t="s">
        <v>2045</v>
      </c>
    </row>
    <row r="52" spans="1:15" s="2" customFormat="1" x14ac:dyDescent="0.2">
      <c r="A52" s="32"/>
      <c r="B52" s="33"/>
      <c r="C52" s="14"/>
      <c r="D52" s="34"/>
      <c r="E52" s="16">
        <f>SUM(E21:E51)</f>
        <v>15136989.93</v>
      </c>
      <c r="F52" s="16">
        <f>SUM(F21:F51)</f>
        <v>96084960.879999891</v>
      </c>
      <c r="G52" s="1"/>
      <c r="H52" s="1"/>
      <c r="I52" s="1"/>
      <c r="J52" s="38">
        <v>80489343.950000003</v>
      </c>
      <c r="L52" s="92">
        <f>E53-J52</f>
        <v>458626.99999989569</v>
      </c>
      <c r="O52" s="1"/>
    </row>
    <row r="53" spans="1:15" s="2" customFormat="1" x14ac:dyDescent="0.2">
      <c r="A53" s="36"/>
      <c r="B53" s="28" t="s">
        <v>11</v>
      </c>
      <c r="C53" s="19" t="s">
        <v>65</v>
      </c>
      <c r="D53" s="37"/>
      <c r="E53" s="38">
        <f>F52-E52</f>
        <v>80947970.949999899</v>
      </c>
      <c r="F53" s="22"/>
      <c r="G53" s="1"/>
      <c r="H53" s="1"/>
      <c r="I53" s="1"/>
      <c r="J53" s="70"/>
      <c r="K53" s="70"/>
      <c r="L53" s="70"/>
      <c r="O53" s="1"/>
    </row>
    <row r="54" spans="1:15" s="2" customFormat="1" x14ac:dyDescent="0.2">
      <c r="A54" s="36"/>
      <c r="B54" s="28" t="s">
        <v>66</v>
      </c>
      <c r="C54" s="19" t="s">
        <v>67</v>
      </c>
      <c r="D54" s="37"/>
      <c r="E54" s="38">
        <v>11500000</v>
      </c>
      <c r="F54" s="22"/>
      <c r="G54" s="1"/>
      <c r="H54" s="1"/>
      <c r="I54" s="70"/>
      <c r="J54" s="70"/>
      <c r="K54" s="70"/>
      <c r="L54" s="70"/>
      <c r="O54" s="1"/>
    </row>
    <row r="55" spans="1:15" s="2" customFormat="1" x14ac:dyDescent="0.2">
      <c r="A55" s="36"/>
      <c r="B55" s="28" t="s">
        <v>66</v>
      </c>
      <c r="C55" s="43" t="s">
        <v>1457</v>
      </c>
      <c r="D55" s="43"/>
      <c r="E55" s="12">
        <v>400000000</v>
      </c>
      <c r="F55" s="22"/>
      <c r="G55" s="1"/>
      <c r="H55" s="1"/>
      <c r="I55" s="70"/>
      <c r="J55" s="45">
        <v>850.39</v>
      </c>
      <c r="K55" s="46"/>
      <c r="L55" s="46"/>
      <c r="O55" s="1"/>
    </row>
    <row r="56" spans="1:15" s="2" customFormat="1" ht="15" x14ac:dyDescent="0.25">
      <c r="A56" s="36"/>
      <c r="B56" s="28"/>
      <c r="C56" s="44" t="s">
        <v>1541</v>
      </c>
      <c r="D56" s="43"/>
      <c r="E56" s="7">
        <f>+E55+E53+E54</f>
        <v>492447970.94999993</v>
      </c>
      <c r="F56" s="22"/>
      <c r="G56" s="1"/>
      <c r="H56" s="1"/>
      <c r="I56" s="103" t="s">
        <v>69</v>
      </c>
      <c r="J56" s="45">
        <v>-62.7</v>
      </c>
      <c r="K56" s="46"/>
      <c r="L56" s="46"/>
      <c r="O56" s="1"/>
    </row>
    <row r="57" spans="1:15" s="2" customFormat="1" ht="15" x14ac:dyDescent="0.25">
      <c r="A57" s="24"/>
      <c r="B57" s="1"/>
      <c r="C57" s="44" t="s">
        <v>1510</v>
      </c>
      <c r="D57" s="25"/>
      <c r="E57" s="156">
        <f>+J21-E54+I17-J17</f>
        <v>8010656.049999997</v>
      </c>
      <c r="G57" s="1"/>
      <c r="H57" s="1"/>
      <c r="I57" s="35">
        <v>1</v>
      </c>
      <c r="J57" s="45">
        <f>4.32</f>
        <v>4.32</v>
      </c>
      <c r="K57" s="46">
        <f>+J58-D60</f>
        <v>0</v>
      </c>
      <c r="O57" s="1"/>
    </row>
    <row r="58" spans="1:15" s="124" customFormat="1" ht="12.75" customHeight="1" x14ac:dyDescent="0.2">
      <c r="A58" s="24"/>
      <c r="B58" s="1"/>
      <c r="C58" s="56"/>
      <c r="D58" s="56"/>
      <c r="E58" s="104"/>
      <c r="F58" s="2"/>
      <c r="G58" s="166"/>
      <c r="H58" s="166"/>
      <c r="I58" s="70"/>
      <c r="J58" s="49">
        <f>SUM(J55:J57)</f>
        <v>792.01</v>
      </c>
      <c r="K58" s="46"/>
      <c r="L58" s="46"/>
    </row>
    <row r="59" spans="1:15" s="124" customFormat="1" ht="12.75" customHeight="1" x14ac:dyDescent="0.2">
      <c r="A59" s="24"/>
      <c r="B59" s="1"/>
      <c r="C59" s="78" t="s">
        <v>575</v>
      </c>
      <c r="D59" s="48" t="s">
        <v>576</v>
      </c>
      <c r="E59" s="104"/>
      <c r="F59" s="2"/>
      <c r="G59" s="168"/>
      <c r="H59" s="168"/>
      <c r="I59" s="167"/>
      <c r="J59" s="167"/>
      <c r="K59" s="168"/>
    </row>
    <row r="60" spans="1:15" s="124" customFormat="1" ht="12.75" customHeight="1" x14ac:dyDescent="0.2">
      <c r="A60" s="24"/>
      <c r="B60" s="1"/>
      <c r="C60" s="47" t="s">
        <v>570</v>
      </c>
      <c r="D60" s="111">
        <v>792.01</v>
      </c>
      <c r="E60" s="104"/>
      <c r="F60" s="2"/>
      <c r="G60" s="168"/>
      <c r="H60" s="168"/>
      <c r="I60" s="110" t="s">
        <v>581</v>
      </c>
      <c r="J60" s="167"/>
      <c r="K60" s="168"/>
    </row>
    <row r="61" spans="1:15" s="124" customFormat="1" ht="12.75" customHeight="1" x14ac:dyDescent="0.2">
      <c r="A61" s="24"/>
      <c r="B61" s="1"/>
      <c r="C61" s="47" t="s">
        <v>931</v>
      </c>
      <c r="D61" s="111">
        <v>63.72</v>
      </c>
      <c r="E61" s="104"/>
      <c r="F61" s="2"/>
      <c r="G61" s="168"/>
      <c r="H61" s="168"/>
      <c r="I61" s="110" t="s">
        <v>580</v>
      </c>
      <c r="J61" s="167"/>
      <c r="K61" s="168"/>
    </row>
    <row r="62" spans="1:15" s="124" customFormat="1" ht="12.75" customHeight="1" x14ac:dyDescent="0.2">
      <c r="A62" s="24"/>
      <c r="B62" s="1"/>
      <c r="C62" s="47" t="s">
        <v>572</v>
      </c>
      <c r="D62" s="111">
        <f>+D81/100000</f>
        <v>22.981760000000001</v>
      </c>
      <c r="E62" s="104"/>
      <c r="F62" s="2"/>
      <c r="G62" s="166"/>
      <c r="H62" s="166"/>
      <c r="I62" s="90" t="s">
        <v>587</v>
      </c>
      <c r="J62" s="167"/>
      <c r="K62" s="168"/>
    </row>
    <row r="63" spans="1:15" s="2" customFormat="1" x14ac:dyDescent="0.2">
      <c r="A63" s="24"/>
      <c r="B63" s="1"/>
      <c r="C63" s="108" t="s">
        <v>578</v>
      </c>
      <c r="D63" s="48">
        <f>SUM(D60:D62)</f>
        <v>878.71176000000003</v>
      </c>
      <c r="E63" s="104"/>
      <c r="G63" s="30"/>
      <c r="H63" s="30"/>
      <c r="J63" s="13"/>
      <c r="K63" s="13"/>
    </row>
    <row r="64" spans="1:15" s="70" customFormat="1" x14ac:dyDescent="0.2">
      <c r="A64" s="24"/>
      <c r="B64" s="1"/>
      <c r="C64" s="47"/>
      <c r="D64" s="107"/>
      <c r="E64" s="104"/>
      <c r="F64" s="2"/>
      <c r="G64" s="30"/>
      <c r="H64" s="30"/>
      <c r="I64" s="2"/>
    </row>
    <row r="65" spans="1:15" s="70" customFormat="1" x14ac:dyDescent="0.2">
      <c r="A65" s="24"/>
      <c r="B65" s="1"/>
      <c r="C65" s="47" t="s">
        <v>932</v>
      </c>
      <c r="D65" s="111">
        <v>16.14</v>
      </c>
      <c r="E65" s="104"/>
      <c r="F65" s="2"/>
      <c r="G65" s="30"/>
      <c r="H65" s="30"/>
      <c r="I65" s="110" t="s">
        <v>581</v>
      </c>
    </row>
    <row r="66" spans="1:15" s="70" customFormat="1" x14ac:dyDescent="0.2">
      <c r="A66" s="24"/>
      <c r="B66" s="1"/>
      <c r="C66" s="136" t="s">
        <v>1142</v>
      </c>
      <c r="D66" s="111">
        <v>204.8</v>
      </c>
      <c r="E66" s="104"/>
      <c r="F66" s="2"/>
      <c r="G66" s="30"/>
      <c r="H66" s="30"/>
      <c r="I66" s="110" t="s">
        <v>581</v>
      </c>
    </row>
    <row r="67" spans="1:15" s="70" customFormat="1" x14ac:dyDescent="0.2">
      <c r="A67" s="24"/>
      <c r="B67" s="1"/>
      <c r="C67" s="78" t="s">
        <v>579</v>
      </c>
      <c r="D67" s="109">
        <f>D65+D66</f>
        <v>220.94</v>
      </c>
      <c r="E67" s="104"/>
      <c r="F67" s="2"/>
      <c r="G67" s="30"/>
      <c r="H67" s="30"/>
    </row>
    <row r="68" spans="1:15" s="70" customFormat="1" x14ac:dyDescent="0.2">
      <c r="A68" s="24"/>
      <c r="B68" s="1"/>
      <c r="C68" s="105"/>
      <c r="D68" s="106"/>
      <c r="E68" s="104"/>
      <c r="F68" s="2"/>
      <c r="G68" s="30"/>
      <c r="H68" s="30"/>
      <c r="J68" s="2"/>
      <c r="K68" s="221" t="str">
        <f>"FROM ( 01-02-2024 to "&amp;TEXT(A5,"dd-mm-yyyy")&amp;" )"</f>
        <v>FROM ( 01-02-2024 to 07-02-2024 )</v>
      </c>
      <c r="L68" s="221"/>
      <c r="M68" s="2"/>
      <c r="N68" s="2"/>
    </row>
    <row r="69" spans="1:15" s="70" customFormat="1" x14ac:dyDescent="0.2">
      <c r="A69" s="24"/>
      <c r="B69" s="1"/>
      <c r="C69" s="78" t="s">
        <v>577</v>
      </c>
      <c r="D69" s="109">
        <f>D60+D67</f>
        <v>1012.95</v>
      </c>
      <c r="E69" s="104"/>
      <c r="F69" s="2"/>
      <c r="G69" s="30"/>
      <c r="H69" s="30"/>
      <c r="J69" s="113"/>
      <c r="K69" s="113" t="s">
        <v>709</v>
      </c>
      <c r="L69" s="113" t="s">
        <v>710</v>
      </c>
      <c r="M69" s="113" t="s">
        <v>711</v>
      </c>
      <c r="N69" s="113" t="s">
        <v>712</v>
      </c>
    </row>
    <row r="70" spans="1:15" s="70" customFormat="1" x14ac:dyDescent="0.2">
      <c r="A70" s="24"/>
      <c r="B70" s="1"/>
      <c r="C70" s="56"/>
      <c r="D70" s="56"/>
      <c r="E70" s="104"/>
      <c r="F70" s="2"/>
      <c r="G70" s="30"/>
      <c r="H70" s="30"/>
      <c r="J70" s="113" t="s">
        <v>1860</v>
      </c>
      <c r="K70" s="115">
        <v>191.98999999999998</v>
      </c>
      <c r="L70" s="115">
        <v>0</v>
      </c>
      <c r="M70" s="115">
        <v>0</v>
      </c>
      <c r="N70" s="113">
        <f>+K70+M70-L70</f>
        <v>191.98999999999998</v>
      </c>
    </row>
    <row r="71" spans="1:15" s="70" customFormat="1" ht="38.25" x14ac:dyDescent="0.2">
      <c r="A71" s="24"/>
      <c r="B71" s="1"/>
      <c r="C71" s="79" t="str">
        <f>"Particulars ( 01-02-2024 to "&amp;TEXT(A5,"dd-mm-yyyy")&amp;" )"</f>
        <v>Particulars ( 01-02-2024 to 07-02-2024 )</v>
      </c>
      <c r="D71" s="79" t="s">
        <v>7</v>
      </c>
      <c r="E71" s="80" t="s">
        <v>73</v>
      </c>
      <c r="F71" s="80" t="s">
        <v>74</v>
      </c>
      <c r="G71" s="81" t="s">
        <v>75</v>
      </c>
      <c r="H71" s="80" t="s">
        <v>76</v>
      </c>
      <c r="J71" s="113" t="s">
        <v>1861</v>
      </c>
      <c r="K71" s="115">
        <v>1862.06</v>
      </c>
      <c r="L71" s="115">
        <v>22.98</v>
      </c>
      <c r="M71" s="115">
        <v>204.8</v>
      </c>
      <c r="N71" s="113">
        <f>+K71+M71-L71</f>
        <v>2043.88</v>
      </c>
    </row>
    <row r="72" spans="1:15" s="70" customFormat="1" x14ac:dyDescent="0.2">
      <c r="A72" s="24"/>
      <c r="B72" s="1"/>
      <c r="C72" s="50" t="s">
        <v>444</v>
      </c>
      <c r="D72" s="55">
        <f>+K72</f>
        <v>332.55</v>
      </c>
      <c r="E72" s="55">
        <f>+IF(M72=0,0,M72)</f>
        <v>16.14</v>
      </c>
      <c r="F72" s="55">
        <f>+L72</f>
        <v>63.72</v>
      </c>
      <c r="G72" s="55">
        <f>+D72+E72-F72</f>
        <v>284.97000000000003</v>
      </c>
      <c r="H72" s="55">
        <f>1500-G72</f>
        <v>1215.03</v>
      </c>
      <c r="I72" s="70">
        <f>+IF(M72=0,0,M72)</f>
        <v>16.14</v>
      </c>
      <c r="J72" s="113" t="s">
        <v>707</v>
      </c>
      <c r="K72" s="115">
        <v>332.55</v>
      </c>
      <c r="L72" s="115">
        <v>63.72</v>
      </c>
      <c r="M72" s="115">
        <v>16.14</v>
      </c>
      <c r="N72" s="113">
        <f>+K72+M72-L72</f>
        <v>284.97000000000003</v>
      </c>
    </row>
    <row r="73" spans="1:15" s="70" customFormat="1" ht="12.75" customHeight="1" x14ac:dyDescent="0.2">
      <c r="A73" s="24"/>
      <c r="B73" s="1"/>
      <c r="C73" s="50" t="s">
        <v>71</v>
      </c>
      <c r="D73" s="55">
        <f>+K70+K71</f>
        <v>2054.0499999999997</v>
      </c>
      <c r="E73" s="55">
        <f>+M70+M71</f>
        <v>204.8</v>
      </c>
      <c r="F73" s="55">
        <f>+L70+L71</f>
        <v>22.98</v>
      </c>
      <c r="G73" s="55">
        <f>+D73+E73-F73</f>
        <v>2235.87</v>
      </c>
      <c r="H73" s="55">
        <f>1500+700+200-G73</f>
        <v>164.13000000000011</v>
      </c>
      <c r="J73" s="2"/>
      <c r="K73" s="118">
        <f>SUM(K70:K72)</f>
        <v>2386.6</v>
      </c>
      <c r="L73" s="118">
        <f>SUM(L70:L72)</f>
        <v>86.7</v>
      </c>
      <c r="M73" s="118">
        <f>SUM(M70:M72)</f>
        <v>220.94</v>
      </c>
      <c r="N73" s="118">
        <f>SUM(N70:N72)</f>
        <v>2520.84</v>
      </c>
    </row>
    <row r="74" spans="1:15" s="70" customFormat="1" ht="12.75" customHeight="1" x14ac:dyDescent="0.2">
      <c r="A74" s="24"/>
      <c r="B74" s="1"/>
      <c r="C74" s="14"/>
      <c r="D74" s="56"/>
      <c r="E74" s="13"/>
      <c r="F74" s="2"/>
      <c r="G74" s="30"/>
      <c r="H74" s="30"/>
    </row>
    <row r="75" spans="1:15" s="70" customFormat="1" ht="12.75" customHeight="1" x14ac:dyDescent="0.2">
      <c r="A75" s="215" t="s">
        <v>80</v>
      </c>
      <c r="B75" s="216"/>
      <c r="C75" s="216"/>
      <c r="D75" s="217"/>
      <c r="E75" s="69"/>
      <c r="G75" s="30"/>
      <c r="H75" s="30"/>
    </row>
    <row r="76" spans="1:15" s="70" customFormat="1" ht="12.75" customHeight="1" x14ac:dyDescent="0.2">
      <c r="A76" s="71" t="s">
        <v>81</v>
      </c>
      <c r="B76" s="71"/>
      <c r="C76" s="72" t="s">
        <v>82</v>
      </c>
      <c r="D76" s="73" t="s">
        <v>83</v>
      </c>
      <c r="E76" s="69"/>
      <c r="G76" s="30"/>
      <c r="H76" s="30"/>
    </row>
    <row r="77" spans="1:15" s="70" customFormat="1" ht="12.75" customHeight="1" x14ac:dyDescent="0.2">
      <c r="A77" s="87">
        <v>45323</v>
      </c>
      <c r="B77" s="120" t="s">
        <v>6</v>
      </c>
      <c r="C77" s="75" t="s">
        <v>2030</v>
      </c>
      <c r="D77" s="88">
        <v>881220</v>
      </c>
      <c r="E77" s="2"/>
      <c r="F77" s="2"/>
      <c r="G77" s="30"/>
      <c r="H77" s="30"/>
      <c r="I77" s="2"/>
      <c r="J77" s="2"/>
      <c r="K77" s="2"/>
      <c r="L77" s="2"/>
      <c r="M77" s="41"/>
      <c r="N77" s="42"/>
      <c r="O77" s="2"/>
    </row>
    <row r="78" spans="1:15" s="70" customFormat="1" ht="12.75" customHeight="1" x14ac:dyDescent="0.2">
      <c r="A78" s="87">
        <v>45324</v>
      </c>
      <c r="B78" s="120" t="s">
        <v>6</v>
      </c>
      <c r="C78" s="75" t="s">
        <v>1934</v>
      </c>
      <c r="D78" s="88">
        <v>47729</v>
      </c>
      <c r="E78" s="2"/>
      <c r="F78" s="2"/>
      <c r="G78" s="30"/>
      <c r="H78" s="30"/>
      <c r="I78" s="2"/>
      <c r="J78" s="2"/>
      <c r="K78" s="2"/>
      <c r="L78" s="2"/>
      <c r="M78" s="41"/>
      <c r="N78" s="42"/>
      <c r="O78" s="2"/>
    </row>
    <row r="79" spans="1:15" s="70" customFormat="1" ht="12.75" customHeight="1" x14ac:dyDescent="0.2">
      <c r="A79" s="87">
        <v>45328</v>
      </c>
      <c r="B79" s="120" t="s">
        <v>6</v>
      </c>
      <c r="C79" s="75" t="s">
        <v>606</v>
      </c>
      <c r="D79" s="88">
        <v>1312580</v>
      </c>
      <c r="E79" s="2"/>
      <c r="F79" s="2"/>
      <c r="G79" s="30"/>
      <c r="H79" s="30"/>
      <c r="I79" s="2"/>
      <c r="J79" s="2"/>
      <c r="K79" s="2"/>
      <c r="L79" s="2"/>
      <c r="M79" s="41"/>
      <c r="N79" s="42"/>
      <c r="O79" s="2"/>
    </row>
    <row r="80" spans="1:15" s="70" customFormat="1" ht="12.75" customHeight="1" x14ac:dyDescent="0.2">
      <c r="A80" s="87">
        <v>45327</v>
      </c>
      <c r="B80" s="120" t="s">
        <v>6</v>
      </c>
      <c r="C80" s="75" t="s">
        <v>606</v>
      </c>
      <c r="D80" s="88">
        <v>56647</v>
      </c>
      <c r="E80" s="2"/>
      <c r="F80" s="2"/>
      <c r="G80" s="30"/>
      <c r="H80" s="30"/>
      <c r="I80" s="2"/>
      <c r="J80" s="2"/>
      <c r="K80" s="2"/>
      <c r="L80" s="2"/>
      <c r="M80" s="41"/>
      <c r="N80" s="42"/>
      <c r="O80" s="2"/>
    </row>
    <row r="81" spans="1:14" s="2" customFormat="1" x14ac:dyDescent="0.2">
      <c r="A81" s="87"/>
      <c r="B81" s="74"/>
      <c r="C81" s="75"/>
      <c r="D81" s="51">
        <f>SUM(D77:D80)</f>
        <v>2298176</v>
      </c>
      <c r="F81" s="2" t="s">
        <v>396</v>
      </c>
      <c r="G81" s="1"/>
      <c r="H81" s="1"/>
    </row>
    <row r="82" spans="1:14" s="2" customFormat="1" x14ac:dyDescent="0.2">
      <c r="A82" s="24"/>
      <c r="B82" s="1"/>
      <c r="C82" s="14"/>
      <c r="D82" s="56"/>
      <c r="E82" s="13"/>
      <c r="G82" s="1"/>
      <c r="H82" s="1"/>
    </row>
    <row r="83" spans="1:14" s="2" customFormat="1" x14ac:dyDescent="0.2">
      <c r="A83" s="24"/>
      <c r="B83" s="1"/>
      <c r="C83" s="218" t="s">
        <v>77</v>
      </c>
      <c r="D83" s="219"/>
      <c r="E83" s="219"/>
      <c r="F83" s="220"/>
      <c r="I83" s="2" t="s">
        <v>396</v>
      </c>
    </row>
    <row r="84" spans="1:14" s="2" customFormat="1" x14ac:dyDescent="0.2">
      <c r="A84" s="24"/>
      <c r="B84" s="1"/>
      <c r="C84" s="50"/>
      <c r="D84" s="57" t="s">
        <v>78</v>
      </c>
      <c r="E84" s="58" t="s">
        <v>79</v>
      </c>
      <c r="F84" s="57" t="s">
        <v>72</v>
      </c>
      <c r="I84" s="2" t="s">
        <v>396</v>
      </c>
    </row>
    <row r="85" spans="1:14" s="2" customFormat="1" x14ac:dyDescent="0.2">
      <c r="A85" s="24"/>
      <c r="B85" s="1"/>
      <c r="C85" s="59" t="str">
        <f>"01-02-2024 to "&amp;TEXT(A5-2,"dd-mm-yyyy")</f>
        <v>01-02-2024 to 05-02-2024</v>
      </c>
      <c r="D85" s="60">
        <v>639.58000000000004</v>
      </c>
      <c r="E85" s="60">
        <v>92.06</v>
      </c>
      <c r="F85" s="61">
        <f>SUM(D85:E85)</f>
        <v>731.6400000000001</v>
      </c>
    </row>
    <row r="86" spans="1:14" s="2" customFormat="1" x14ac:dyDescent="0.2">
      <c r="A86" s="24"/>
      <c r="B86" s="1"/>
      <c r="C86" s="62" t="str">
        <f>TEXT(A5-1,"dd-mm-yyyy")</f>
        <v>06-02-2024</v>
      </c>
      <c r="D86" s="60">
        <v>182.39</v>
      </c>
      <c r="E86" s="60">
        <v>14.35</v>
      </c>
      <c r="F86" s="61">
        <f>SUM(D86:E86)</f>
        <v>196.73999999999998</v>
      </c>
      <c r="G86" s="1"/>
      <c r="H86" s="1"/>
      <c r="I86" s="53"/>
    </row>
    <row r="87" spans="1:14" s="2" customFormat="1" ht="13.5" thickBot="1" x14ac:dyDescent="0.25">
      <c r="A87" s="24"/>
      <c r="B87" s="1"/>
      <c r="C87" s="63" t="str">
        <f>"01-02-2024 to "&amp;TEXT(A5-1,"dd-mm-yyyy")</f>
        <v>01-02-2024 to 06-02-2024</v>
      </c>
      <c r="D87" s="64">
        <f>SUM(D85:D86)</f>
        <v>821.97</v>
      </c>
      <c r="E87" s="64">
        <f>SUM(E85:E86)</f>
        <v>106.41</v>
      </c>
      <c r="F87" s="64">
        <f>SUM(F85:F86)</f>
        <v>928.38000000000011</v>
      </c>
      <c r="G87" s="1"/>
      <c r="H87" s="1"/>
      <c r="I87" s="53"/>
    </row>
    <row r="88" spans="1:14" s="2" customFormat="1" ht="13.5" thickTop="1" x14ac:dyDescent="0.2">
      <c r="A88" s="24"/>
      <c r="B88" s="1"/>
      <c r="C88" s="62"/>
      <c r="D88" s="65"/>
      <c r="E88" s="66"/>
      <c r="F88" s="67"/>
      <c r="M88" s="1"/>
      <c r="N88" s="1"/>
    </row>
    <row r="89" spans="1:14" s="2" customFormat="1" x14ac:dyDescent="0.2">
      <c r="A89" s="24"/>
      <c r="B89" s="1"/>
      <c r="C89" s="62" t="str">
        <f>"01-04-2023 to " &amp;C86</f>
        <v>01-04-2023 to 06-02-2024</v>
      </c>
      <c r="D89" s="68">
        <f>+D87+37155.69</f>
        <v>37977.660000000003</v>
      </c>
      <c r="E89" s="68">
        <f>+E87+4497.36</f>
        <v>4603.7699999999995</v>
      </c>
      <c r="F89" s="68">
        <f>+F87+41653.05</f>
        <v>42581.43</v>
      </c>
      <c r="G89" s="1"/>
      <c r="H89" s="1"/>
      <c r="M89" s="1"/>
      <c r="N89" s="1"/>
    </row>
    <row r="90" spans="1:14" s="2" customFormat="1" x14ac:dyDescent="0.2">
      <c r="A90" s="24"/>
      <c r="B90" s="1"/>
      <c r="C90" s="52"/>
      <c r="D90" s="85"/>
      <c r="E90" s="53"/>
      <c r="F90" s="53"/>
      <c r="G90" s="1"/>
      <c r="H90" s="1"/>
      <c r="M90" s="1"/>
      <c r="N90" s="1"/>
    </row>
    <row r="91" spans="1:14" s="2" customFormat="1" x14ac:dyDescent="0.2">
      <c r="A91" s="24"/>
      <c r="B91" s="1"/>
      <c r="C91" s="52"/>
      <c r="D91" s="85"/>
      <c r="E91" s="53"/>
      <c r="F91" s="53"/>
      <c r="G91" s="1"/>
      <c r="H91" s="1"/>
      <c r="M91" s="1"/>
      <c r="N91" s="1"/>
    </row>
    <row r="92" spans="1:14" s="2" customFormat="1" x14ac:dyDescent="0.2">
      <c r="A92" s="24"/>
      <c r="B92" s="1"/>
      <c r="C92" s="52"/>
      <c r="D92" s="85"/>
      <c r="E92" s="53"/>
      <c r="F92" s="53"/>
      <c r="G92" s="1"/>
      <c r="H92" s="1"/>
      <c r="M92" s="1"/>
      <c r="N92" s="1"/>
    </row>
    <row r="93" spans="1:14" s="2" customFormat="1" x14ac:dyDescent="0.2">
      <c r="A93" s="24"/>
      <c r="B93" s="1"/>
      <c r="C93" s="52"/>
      <c r="D93" s="85"/>
      <c r="E93" s="53"/>
      <c r="F93" s="53"/>
      <c r="G93" s="1"/>
      <c r="H93" s="1"/>
      <c r="M93" s="1"/>
      <c r="N93" s="1"/>
    </row>
    <row r="94" spans="1:14" s="2" customFormat="1" x14ac:dyDescent="0.2">
      <c r="A94" s="24"/>
      <c r="B94" s="1"/>
      <c r="C94" s="14"/>
      <c r="D94" s="25">
        <f>SUM(D91:D93)</f>
        <v>0</v>
      </c>
      <c r="E94" s="2">
        <f>SUM(E91:E93)</f>
        <v>0</v>
      </c>
      <c r="G94" s="1"/>
      <c r="H94" s="1"/>
      <c r="M94" s="1"/>
      <c r="N94" s="1"/>
    </row>
    <row r="95" spans="1:14" s="2" customFormat="1" x14ac:dyDescent="0.2">
      <c r="A95" s="24"/>
      <c r="B95" s="1"/>
      <c r="C95" s="14"/>
      <c r="D95" s="25"/>
      <c r="G95" s="1"/>
      <c r="H95" s="1"/>
      <c r="M95" s="1"/>
      <c r="N95" s="1"/>
    </row>
    <row r="96" spans="1:14" s="2" customFormat="1" x14ac:dyDescent="0.2">
      <c r="A96" s="24"/>
      <c r="B96" s="1"/>
      <c r="C96" s="14"/>
      <c r="D96" s="25"/>
      <c r="G96" s="1"/>
      <c r="H96" s="1"/>
      <c r="M96" s="1"/>
      <c r="N96" s="1"/>
    </row>
    <row r="97" spans="1:14" s="2" customFormat="1" x14ac:dyDescent="0.2">
      <c r="A97" s="24"/>
      <c r="B97" s="1"/>
      <c r="C97" s="14"/>
      <c r="D97" s="25"/>
      <c r="G97" s="1"/>
      <c r="H97" s="1"/>
      <c r="M97" s="1"/>
      <c r="N97" s="1"/>
    </row>
    <row r="98" spans="1:14" s="2" customFormat="1" x14ac:dyDescent="0.2">
      <c r="A98" s="24"/>
      <c r="B98" s="1"/>
      <c r="C98" s="14"/>
      <c r="D98" s="25"/>
      <c r="G98" s="1"/>
      <c r="H98" s="1"/>
      <c r="M98" s="1"/>
      <c r="N98" s="1"/>
    </row>
    <row r="99" spans="1:14" s="2" customFormat="1" x14ac:dyDescent="0.2">
      <c r="A99" s="24"/>
      <c r="B99" s="1"/>
      <c r="C99" s="14"/>
      <c r="D99" s="25"/>
      <c r="G99" s="1"/>
      <c r="H99" s="1"/>
      <c r="M99" s="1"/>
      <c r="N99" s="1"/>
    </row>
    <row r="100" spans="1:14" s="2" customFormat="1" x14ac:dyDescent="0.2">
      <c r="A100" s="24"/>
      <c r="B100" s="1"/>
      <c r="C100" s="14"/>
      <c r="D100" s="25"/>
      <c r="G100" s="1"/>
      <c r="H100" s="1"/>
      <c r="M100" s="1"/>
      <c r="N100" s="1"/>
    </row>
    <row r="101" spans="1:14" s="2" customFormat="1" x14ac:dyDescent="0.2">
      <c r="A101" s="24"/>
      <c r="B101" s="1"/>
      <c r="C101" s="14"/>
      <c r="D101" s="25"/>
      <c r="G101" s="1"/>
      <c r="H101" s="1"/>
      <c r="M101" s="1"/>
      <c r="N101" s="1"/>
    </row>
    <row r="102" spans="1:14" s="2" customFormat="1" x14ac:dyDescent="0.2">
      <c r="A102" s="24"/>
      <c r="B102" s="1"/>
      <c r="C102" s="14"/>
      <c r="D102" s="25"/>
      <c r="G102" s="1"/>
      <c r="H102" s="1"/>
      <c r="M102" s="1"/>
      <c r="N102" s="1"/>
    </row>
    <row r="103" spans="1:14" s="2" customFormat="1" x14ac:dyDescent="0.2">
      <c r="A103" s="24"/>
      <c r="B103" s="1"/>
      <c r="C103" s="14"/>
      <c r="D103" s="25"/>
      <c r="G103" s="1"/>
      <c r="H103" s="1"/>
      <c r="M103" s="1"/>
      <c r="N103" s="1"/>
    </row>
    <row r="104" spans="1:14" s="2" customFormat="1" x14ac:dyDescent="0.2">
      <c r="A104" s="24"/>
      <c r="B104" s="1"/>
      <c r="C104" s="14"/>
      <c r="D104" s="25"/>
      <c r="G104" s="1"/>
      <c r="H104" s="1"/>
      <c r="M104" s="1"/>
      <c r="N104" s="1"/>
    </row>
    <row r="105" spans="1:14" s="2" customFormat="1" x14ac:dyDescent="0.2">
      <c r="A105" s="24"/>
      <c r="B105" s="1"/>
      <c r="C105" s="14"/>
      <c r="D105" s="25"/>
      <c r="G105" s="1"/>
      <c r="H105" s="1"/>
      <c r="M105" s="1"/>
      <c r="N105" s="1"/>
    </row>
    <row r="106" spans="1:14" s="2" customFormat="1" x14ac:dyDescent="0.2">
      <c r="A106" s="24"/>
      <c r="B106" s="1"/>
      <c r="C106" s="14"/>
      <c r="D106" s="25"/>
      <c r="G106" s="1"/>
      <c r="H106" s="1"/>
      <c r="M106" s="1"/>
      <c r="N106" s="1"/>
    </row>
    <row r="107" spans="1:14" s="2" customFormat="1" x14ac:dyDescent="0.2">
      <c r="A107" s="24"/>
      <c r="B107" s="1"/>
      <c r="C107" s="14"/>
      <c r="D107" s="25"/>
      <c r="G107" s="1"/>
      <c r="H107" s="1"/>
      <c r="M107" s="1"/>
      <c r="N107" s="1"/>
    </row>
    <row r="108" spans="1:14" s="2" customFormat="1" x14ac:dyDescent="0.2">
      <c r="A108" s="24"/>
      <c r="B108" s="1"/>
      <c r="C108" s="14"/>
      <c r="D108" s="25"/>
      <c r="G108" s="1"/>
      <c r="H108" s="1"/>
      <c r="J108" s="1"/>
      <c r="K108" s="1"/>
      <c r="L108" s="1"/>
      <c r="M108" s="1"/>
      <c r="N108" s="1"/>
    </row>
    <row r="109" spans="1:14" s="2" customFormat="1" x14ac:dyDescent="0.2">
      <c r="A109" s="24"/>
      <c r="B109" s="1"/>
      <c r="C109" s="14"/>
      <c r="D109" s="25"/>
      <c r="G109" s="1"/>
      <c r="H109" s="1"/>
    </row>
    <row r="110" spans="1:14" s="2" customFormat="1" x14ac:dyDescent="0.2">
      <c r="A110" s="24"/>
      <c r="B110" s="1"/>
      <c r="C110" s="14"/>
      <c r="D110" s="25"/>
      <c r="G110" s="1"/>
      <c r="H110" s="1"/>
      <c r="J110" s="1"/>
      <c r="K110" s="1"/>
      <c r="L110" s="1"/>
      <c r="M110" s="1"/>
      <c r="N110" s="1"/>
    </row>
    <row r="111" spans="1:14" s="2" customFormat="1" x14ac:dyDescent="0.2">
      <c r="A111" s="24"/>
      <c r="B111" s="1"/>
      <c r="C111" s="14"/>
      <c r="D111" s="25"/>
      <c r="G111" s="54"/>
      <c r="H111" s="54"/>
      <c r="J111" s="1"/>
      <c r="K111" s="1"/>
      <c r="L111" s="1"/>
      <c r="M111" s="1"/>
      <c r="N111" s="1"/>
    </row>
    <row r="112" spans="1:14" s="2" customFormat="1" x14ac:dyDescent="0.2">
      <c r="A112" s="24"/>
      <c r="B112" s="1"/>
      <c r="C112" s="14"/>
      <c r="D112" s="25"/>
      <c r="G112" s="54"/>
      <c r="H112" s="54"/>
      <c r="J112" s="1"/>
      <c r="K112" s="1"/>
      <c r="L112" s="1"/>
      <c r="M112" s="1"/>
      <c r="N112" s="1"/>
    </row>
    <row r="113" spans="1:15" s="2" customFormat="1" x14ac:dyDescent="0.2">
      <c r="A113" s="24"/>
      <c r="B113" s="1"/>
      <c r="C113" s="14"/>
      <c r="D113" s="25"/>
      <c r="G113" s="54"/>
      <c r="H113" s="54"/>
      <c r="J113" s="1"/>
      <c r="K113" s="1"/>
      <c r="L113" s="1"/>
      <c r="M113" s="1"/>
      <c r="N113" s="1"/>
    </row>
    <row r="114" spans="1:15" s="2" customFormat="1" x14ac:dyDescent="0.2">
      <c r="A114" s="24"/>
      <c r="B114" s="1"/>
      <c r="C114" s="14"/>
      <c r="D114" s="25"/>
      <c r="G114" s="54"/>
      <c r="H114" s="54"/>
      <c r="I114" s="2" t="s">
        <v>396</v>
      </c>
      <c r="J114" s="1"/>
      <c r="K114" s="1"/>
      <c r="L114" s="1"/>
      <c r="M114" s="1"/>
      <c r="N114" s="1"/>
      <c r="O114" s="1"/>
    </row>
    <row r="115" spans="1:15" s="2" customFormat="1" x14ac:dyDescent="0.2">
      <c r="A115" s="24"/>
      <c r="B115" s="1"/>
      <c r="C115" s="14"/>
      <c r="D115" s="25"/>
      <c r="G115" s="54"/>
      <c r="H115" s="54"/>
      <c r="I115" s="53"/>
    </row>
    <row r="116" spans="1:15" s="2" customFormat="1" x14ac:dyDescent="0.2">
      <c r="A116" s="24"/>
      <c r="B116" s="1"/>
      <c r="C116" s="14"/>
      <c r="D116" s="25"/>
      <c r="G116" s="54"/>
      <c r="H116" s="54"/>
      <c r="I116" s="53" t="s">
        <v>396</v>
      </c>
      <c r="J116" s="1"/>
      <c r="K116" s="1"/>
      <c r="L116" s="1"/>
      <c r="M116" s="1"/>
      <c r="N116" s="1"/>
      <c r="O116" s="1"/>
    </row>
    <row r="117" spans="1:15" x14ac:dyDescent="0.2">
      <c r="G117" s="54"/>
      <c r="H117" s="54"/>
      <c r="I117" s="53" t="s">
        <v>396</v>
      </c>
      <c r="K117" s="42"/>
    </row>
    <row r="118" spans="1:15" s="2" customFormat="1" x14ac:dyDescent="0.2">
      <c r="A118" s="24"/>
      <c r="B118" s="1"/>
      <c r="C118" s="14"/>
      <c r="D118" s="25"/>
      <c r="G118" s="54"/>
      <c r="H118" s="54"/>
      <c r="I118" s="53"/>
      <c r="J118" s="101"/>
      <c r="K118" s="1"/>
      <c r="L118" s="1"/>
      <c r="M118" s="1"/>
      <c r="N118" s="1"/>
      <c r="O118" s="1"/>
    </row>
    <row r="119" spans="1:15" x14ac:dyDescent="0.2">
      <c r="G119" s="54"/>
      <c r="H119" s="54"/>
      <c r="I119" s="53"/>
    </row>
    <row r="120" spans="1:15" x14ac:dyDescent="0.2">
      <c r="G120" s="54"/>
      <c r="H120" s="54"/>
      <c r="I120" s="53"/>
    </row>
    <row r="121" spans="1:15" x14ac:dyDescent="0.2">
      <c r="G121" s="54"/>
      <c r="H121" s="54"/>
      <c r="I121" s="53"/>
    </row>
  </sheetData>
  <sheetProtection insertRows="0"/>
  <mergeCells count="7">
    <mergeCell ref="K68:L68"/>
    <mergeCell ref="A75:D75"/>
    <mergeCell ref="C83:F83"/>
    <mergeCell ref="A1:H1"/>
    <mergeCell ref="A3:F3"/>
    <mergeCell ref="A10:F10"/>
    <mergeCell ref="A19:F19"/>
  </mergeCells>
  <conditionalFormatting sqref="H72:H73">
    <cfRule type="cellIs" dxfId="87" priority="1" operator="lessThan">
      <formula>0</formula>
    </cfRule>
  </conditionalFormatting>
  <conditionalFormatting sqref="C21">
    <cfRule type="duplicateValues" dxfId="86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F700-000000000000}">
  <sheetPr codeName="Sheet543">
    <pageSetUpPr fitToPage="1"/>
  </sheetPr>
  <dimension ref="A1:O132"/>
  <sheetViews>
    <sheetView topLeftCell="D40" zoomScaleNormal="100" workbookViewId="0">
      <selection activeCell="F24" sqref="F24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12.85546875" style="1" customWidth="1"/>
    <col min="9" max="9" width="24.85546875" style="2" bestFit="1" customWidth="1"/>
    <col min="10" max="10" width="21.5703125" style="1" bestFit="1" customWidth="1"/>
    <col min="11" max="11" width="16.85546875" style="1" bestFit="1" customWidth="1"/>
    <col min="12" max="12" width="19.5703125" style="1" bestFit="1" customWidth="1"/>
    <col min="13" max="13" width="13.5703125" style="1" bestFit="1" customWidth="1"/>
    <col min="14" max="14" width="17.42578125" style="1" bestFit="1" customWidth="1"/>
    <col min="15" max="15" width="12.85546875" style="1" bestFit="1" customWidth="1"/>
    <col min="16" max="17" width="9.140625" style="1"/>
    <col min="18" max="18" width="15.5703125" style="1" bestFit="1" customWidth="1"/>
    <col min="19" max="16384" width="9.140625" style="1"/>
  </cols>
  <sheetData>
    <row r="1" spans="1:12" ht="20.25" customHeight="1" x14ac:dyDescent="0.4">
      <c r="A1" s="212" t="s">
        <v>2051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2" ht="12.75" customHeight="1" x14ac:dyDescent="0.4">
      <c r="I2" s="112"/>
      <c r="J2" s="112"/>
    </row>
    <row r="3" spans="1:12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2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2" s="2" customFormat="1" ht="14.25" customHeight="1" x14ac:dyDescent="0.4">
      <c r="A5" s="89">
        <v>45330</v>
      </c>
      <c r="B5" s="9" t="s">
        <v>6</v>
      </c>
      <c r="C5" s="10" t="s">
        <v>7</v>
      </c>
      <c r="D5" s="11"/>
      <c r="E5" s="12">
        <v>700772.23000000045</v>
      </c>
      <c r="F5" s="12"/>
      <c r="G5" s="1"/>
      <c r="H5" s="1"/>
      <c r="I5" s="112"/>
      <c r="J5" s="112"/>
    </row>
    <row r="6" spans="1:12" s="2" customFormat="1" ht="14.25" customHeight="1" x14ac:dyDescent="0.4">
      <c r="A6" s="89">
        <v>45330</v>
      </c>
      <c r="B6" s="9" t="s">
        <v>11</v>
      </c>
      <c r="C6" s="10" t="s">
        <v>380</v>
      </c>
      <c r="D6" s="11" t="s">
        <v>29</v>
      </c>
      <c r="E6" s="12"/>
      <c r="F6" s="12">
        <v>85087</v>
      </c>
      <c r="G6" s="1"/>
      <c r="H6" s="1"/>
      <c r="I6" s="112"/>
      <c r="J6" s="112"/>
    </row>
    <row r="7" spans="1:12" s="2" customFormat="1" ht="12.75" customHeight="1" x14ac:dyDescent="0.2">
      <c r="D7" s="15" t="s">
        <v>8</v>
      </c>
      <c r="E7" s="16">
        <f>SUM(E5:E5)</f>
        <v>700772.23000000045</v>
      </c>
      <c r="F7" s="16">
        <f>F6</f>
        <v>85087</v>
      </c>
      <c r="G7" s="1"/>
      <c r="H7" s="1"/>
      <c r="I7" s="13" t="s">
        <v>1582</v>
      </c>
      <c r="J7" s="13" t="s">
        <v>1583</v>
      </c>
    </row>
    <row r="8" spans="1:12" s="2" customFormat="1" ht="12.75" customHeight="1" x14ac:dyDescent="0.2">
      <c r="A8" s="17"/>
      <c r="B8" s="18"/>
      <c r="C8" s="19" t="s">
        <v>9</v>
      </c>
      <c r="D8" s="20"/>
      <c r="E8" s="21">
        <f>+E7-F7</f>
        <v>615685.23000000045</v>
      </c>
      <c r="F8" s="22"/>
      <c r="G8" s="23"/>
      <c r="H8" s="23"/>
      <c r="I8" s="2">
        <v>704973</v>
      </c>
      <c r="J8" s="2">
        <v>0</v>
      </c>
      <c r="K8" s="176">
        <f>I8-J8</f>
        <v>704973</v>
      </c>
    </row>
    <row r="9" spans="1:12" ht="12.75" customHeight="1" x14ac:dyDescent="0.4">
      <c r="I9" s="112"/>
      <c r="J9" s="112"/>
    </row>
    <row r="10" spans="1:12" ht="18" customHeight="1" x14ac:dyDescent="0.4">
      <c r="A10" s="213" t="s">
        <v>1037</v>
      </c>
      <c r="B10" s="213"/>
      <c r="C10" s="213"/>
      <c r="D10" s="213"/>
      <c r="E10" s="213"/>
      <c r="F10" s="213"/>
      <c r="I10" s="112"/>
      <c r="J10" s="169">
        <f>90000000-60000000</f>
        <v>30000000</v>
      </c>
      <c r="K10" s="169" t="s">
        <v>1508</v>
      </c>
    </row>
    <row r="11" spans="1:12" ht="12.75" customHeight="1" x14ac:dyDescent="0.4">
      <c r="A11" s="3" t="s">
        <v>1</v>
      </c>
      <c r="B11" s="4" t="s">
        <v>2</v>
      </c>
      <c r="C11" s="5"/>
      <c r="D11" s="6" t="s">
        <v>3</v>
      </c>
      <c r="E11" s="7" t="s">
        <v>4</v>
      </c>
      <c r="F11" s="7" t="s">
        <v>5</v>
      </c>
      <c r="I11" s="112"/>
      <c r="J11" s="169">
        <v>26730638.280000001</v>
      </c>
      <c r="K11" s="169" t="s">
        <v>1509</v>
      </c>
      <c r="L11" s="124"/>
    </row>
    <row r="12" spans="1:12" s="2" customFormat="1" ht="14.25" customHeight="1" x14ac:dyDescent="0.2">
      <c r="A12" s="89">
        <v>45330</v>
      </c>
      <c r="B12" s="9" t="s">
        <v>6</v>
      </c>
      <c r="C12" s="10" t="s">
        <v>7</v>
      </c>
      <c r="D12" s="11"/>
      <c r="F12" s="12">
        <v>24570909.120000005</v>
      </c>
      <c r="G12" s="1"/>
      <c r="H12" s="1"/>
      <c r="I12" s="130" t="s">
        <v>396</v>
      </c>
      <c r="J12" s="169">
        <f>+J10-J11</f>
        <v>3269361.7199999988</v>
      </c>
      <c r="K12" s="169" t="s">
        <v>712</v>
      </c>
      <c r="L12" s="165" t="s">
        <v>1512</v>
      </c>
    </row>
    <row r="13" spans="1:12" s="2" customFormat="1" ht="14.25" customHeight="1" x14ac:dyDescent="0.2">
      <c r="A13" s="89">
        <v>45330</v>
      </c>
      <c r="B13" s="9" t="s">
        <v>6</v>
      </c>
      <c r="C13" s="10" t="s">
        <v>298</v>
      </c>
      <c r="D13" s="11" t="s">
        <v>13</v>
      </c>
      <c r="E13" s="12">
        <v>2285533.84</v>
      </c>
      <c r="F13" s="12"/>
      <c r="G13" s="1"/>
      <c r="H13" s="1"/>
      <c r="I13" s="130"/>
      <c r="J13" s="169"/>
      <c r="K13" s="169"/>
      <c r="L13" s="165"/>
    </row>
    <row r="14" spans="1:12" s="2" customFormat="1" ht="14.25" customHeight="1" x14ac:dyDescent="0.2">
      <c r="A14" s="89">
        <v>45330</v>
      </c>
      <c r="B14" s="9" t="s">
        <v>6</v>
      </c>
      <c r="C14" s="10" t="s">
        <v>1647</v>
      </c>
      <c r="D14" s="11" t="s">
        <v>13</v>
      </c>
      <c r="E14" s="2">
        <v>716019</v>
      </c>
      <c r="F14" s="12"/>
      <c r="G14" s="1"/>
      <c r="H14" s="1"/>
      <c r="I14" s="130"/>
      <c r="J14" s="169"/>
      <c r="K14" s="169"/>
      <c r="L14" s="165"/>
    </row>
    <row r="15" spans="1:12" s="2" customFormat="1" ht="14.25" customHeight="1" x14ac:dyDescent="0.2">
      <c r="A15" s="89">
        <v>45330</v>
      </c>
      <c r="B15" s="9" t="s">
        <v>11</v>
      </c>
      <c r="C15" s="10" t="s">
        <v>212</v>
      </c>
      <c r="D15" s="11" t="s">
        <v>29</v>
      </c>
      <c r="F15" s="12">
        <v>3009483</v>
      </c>
      <c r="G15" s="1"/>
      <c r="H15" s="1"/>
      <c r="I15" s="130"/>
      <c r="J15" s="169"/>
      <c r="K15" s="169"/>
      <c r="L15" s="165"/>
    </row>
    <row r="16" spans="1:12" s="2" customFormat="1" ht="14.25" customHeight="1" x14ac:dyDescent="0.2">
      <c r="A16" s="89">
        <v>45330</v>
      </c>
      <c r="B16" s="9" t="s">
        <v>11</v>
      </c>
      <c r="C16" s="76" t="s">
        <v>923</v>
      </c>
      <c r="D16" s="11" t="s">
        <v>29</v>
      </c>
      <c r="F16" s="31">
        <v>300000</v>
      </c>
      <c r="G16" s="1"/>
      <c r="H16" s="1"/>
      <c r="I16" s="130"/>
      <c r="J16" s="169"/>
      <c r="K16" s="169"/>
      <c r="L16" s="165"/>
    </row>
    <row r="17" spans="1:14" s="2" customFormat="1" ht="14.25" customHeight="1" x14ac:dyDescent="0.2">
      <c r="A17" s="89">
        <v>45330</v>
      </c>
      <c r="B17" s="9" t="s">
        <v>11</v>
      </c>
      <c r="C17" s="76" t="s">
        <v>1772</v>
      </c>
      <c r="D17" s="11" t="s">
        <v>29</v>
      </c>
      <c r="F17" s="31">
        <v>50000</v>
      </c>
      <c r="G17" s="1"/>
      <c r="H17" s="1"/>
      <c r="I17" s="130"/>
      <c r="J17" s="169"/>
      <c r="K17" s="169"/>
      <c r="L17" s="165"/>
    </row>
    <row r="18" spans="1:14" s="2" customFormat="1" ht="14.25" customHeight="1" x14ac:dyDescent="0.2">
      <c r="A18" s="89">
        <v>45330</v>
      </c>
      <c r="B18" s="9" t="s">
        <v>11</v>
      </c>
      <c r="C18" s="76" t="s">
        <v>1912</v>
      </c>
      <c r="D18" s="11" t="s">
        <v>29</v>
      </c>
      <c r="F18" s="31">
        <v>24750</v>
      </c>
      <c r="G18" s="1"/>
      <c r="H18" s="1"/>
      <c r="I18" s="130"/>
      <c r="J18" s="169"/>
      <c r="K18" s="169"/>
      <c r="L18" s="165"/>
    </row>
    <row r="19" spans="1:14" s="2" customFormat="1" ht="14.25" customHeight="1" x14ac:dyDescent="0.2">
      <c r="A19" s="89">
        <v>45330</v>
      </c>
      <c r="B19" s="9" t="s">
        <v>11</v>
      </c>
      <c r="C19" s="76" t="s">
        <v>2052</v>
      </c>
      <c r="D19" s="11" t="s">
        <v>29</v>
      </c>
      <c r="F19" s="31">
        <v>107631</v>
      </c>
      <c r="G19" s="1"/>
      <c r="H19" s="1"/>
      <c r="I19" s="130"/>
      <c r="J19" s="169"/>
      <c r="K19" s="169"/>
      <c r="L19" s="165"/>
    </row>
    <row r="20" spans="1:14" s="2" customFormat="1" ht="14.25" customHeight="1" x14ac:dyDescent="0.2">
      <c r="A20" s="89">
        <v>45330</v>
      </c>
      <c r="B20" s="9" t="s">
        <v>11</v>
      </c>
      <c r="C20" s="76" t="s">
        <v>1268</v>
      </c>
      <c r="D20" s="11" t="s">
        <v>29</v>
      </c>
      <c r="F20" s="31">
        <v>300000</v>
      </c>
      <c r="G20" s="1"/>
      <c r="H20" s="1"/>
      <c r="I20" s="130"/>
      <c r="J20" s="169"/>
      <c r="K20" s="169"/>
      <c r="L20" s="165"/>
    </row>
    <row r="21" spans="1:14" s="2" customFormat="1" ht="14.25" customHeight="1" x14ac:dyDescent="0.2">
      <c r="A21" s="89">
        <v>45330</v>
      </c>
      <c r="B21" s="9" t="s">
        <v>11</v>
      </c>
      <c r="C21" s="76" t="s">
        <v>2053</v>
      </c>
      <c r="D21" s="11" t="s">
        <v>29</v>
      </c>
      <c r="F21" s="31">
        <v>70800</v>
      </c>
      <c r="G21" s="1"/>
      <c r="H21" s="1"/>
      <c r="I21" s="130"/>
      <c r="J21" s="169"/>
      <c r="K21" s="169"/>
      <c r="L21" s="165"/>
    </row>
    <row r="22" spans="1:14" s="2" customFormat="1" ht="14.25" customHeight="1" x14ac:dyDescent="0.2">
      <c r="A22" s="89">
        <v>45330</v>
      </c>
      <c r="B22" s="9" t="s">
        <v>11</v>
      </c>
      <c r="C22" s="76" t="s">
        <v>1642</v>
      </c>
      <c r="D22" s="11" t="s">
        <v>29</v>
      </c>
      <c r="F22" s="31">
        <v>48380</v>
      </c>
      <c r="G22" s="1"/>
      <c r="H22" s="1"/>
      <c r="I22" s="130"/>
      <c r="J22" s="169"/>
      <c r="K22" s="169"/>
      <c r="L22" s="165"/>
    </row>
    <row r="23" spans="1:14" s="2" customFormat="1" ht="14.25" customHeight="1" x14ac:dyDescent="0.2">
      <c r="A23" s="89">
        <v>45330</v>
      </c>
      <c r="B23" s="9" t="s">
        <v>11</v>
      </c>
      <c r="C23" s="76" t="s">
        <v>57</v>
      </c>
      <c r="D23" s="11" t="s">
        <v>29</v>
      </c>
      <c r="F23" s="31">
        <v>500000</v>
      </c>
      <c r="G23" s="1"/>
      <c r="H23" s="1"/>
      <c r="I23" s="130"/>
      <c r="J23" s="169"/>
      <c r="K23" s="169"/>
      <c r="L23" s="165"/>
    </row>
    <row r="24" spans="1:14" s="2" customFormat="1" ht="14.25" customHeight="1" x14ac:dyDescent="0.2">
      <c r="A24" s="89">
        <v>45330</v>
      </c>
      <c r="B24" s="9" t="s">
        <v>11</v>
      </c>
      <c r="C24" s="76" t="s">
        <v>2054</v>
      </c>
      <c r="D24" s="11" t="s">
        <v>29</v>
      </c>
      <c r="F24" s="31">
        <v>45265</v>
      </c>
      <c r="G24" s="1"/>
      <c r="H24" s="1"/>
      <c r="I24" s="130"/>
      <c r="J24" s="169"/>
      <c r="K24" s="169"/>
      <c r="L24" s="165"/>
    </row>
    <row r="25" spans="1:14" s="2" customFormat="1" ht="14.25" customHeight="1" x14ac:dyDescent="0.2">
      <c r="D25" s="11" t="s">
        <v>8</v>
      </c>
      <c r="E25" s="16">
        <f>SUM(E13:E24)</f>
        <v>3001552.84</v>
      </c>
      <c r="F25" s="16">
        <f>SUM(F12:F24)</f>
        <v>29027218.120000005</v>
      </c>
      <c r="G25" s="1"/>
      <c r="H25" s="1"/>
      <c r="I25" s="143"/>
      <c r="J25" s="130"/>
      <c r="K25" s="143"/>
      <c r="L25" s="143"/>
      <c r="M25" s="143"/>
      <c r="N25" s="143"/>
    </row>
    <row r="26" spans="1:14" s="2" customFormat="1" ht="14.25" customHeight="1" x14ac:dyDescent="0.4">
      <c r="A26" s="17"/>
      <c r="B26" s="18"/>
      <c r="C26" s="96" t="s">
        <v>9</v>
      </c>
      <c r="D26" s="20"/>
      <c r="E26" s="21">
        <f>+F25-E25</f>
        <v>26025665.280000005</v>
      </c>
      <c r="G26" s="1"/>
      <c r="H26" s="1"/>
      <c r="J26" s="112"/>
      <c r="K26" s="153" t="s">
        <v>779</v>
      </c>
    </row>
    <row r="27" spans="1:14" s="2" customFormat="1" ht="14.25" customHeight="1" x14ac:dyDescent="0.2">
      <c r="A27" s="17"/>
      <c r="B27" s="28" t="s">
        <v>66</v>
      </c>
      <c r="C27" s="43" t="s">
        <v>1458</v>
      </c>
      <c r="D27" s="43"/>
      <c r="E27" s="12">
        <f>30000000+60000000</f>
        <v>90000000</v>
      </c>
      <c r="F27" s="22"/>
      <c r="G27" s="1"/>
      <c r="H27" s="1"/>
      <c r="J27" s="40">
        <v>26025665.280000001</v>
      </c>
      <c r="K27" s="154">
        <f>J27-E26</f>
        <v>0</v>
      </c>
    </row>
    <row r="28" spans="1:14" s="2" customFormat="1" ht="14.25" customHeight="1" x14ac:dyDescent="0.25">
      <c r="A28" s="36"/>
      <c r="B28" s="28"/>
      <c r="C28" s="44" t="s">
        <v>1541</v>
      </c>
      <c r="D28" s="43"/>
      <c r="E28" s="7">
        <f>+E26+E27</f>
        <v>116025665.28</v>
      </c>
      <c r="F28" s="22"/>
      <c r="G28" s="1"/>
      <c r="H28" s="1"/>
      <c r="I28" s="13" t="s">
        <v>1582</v>
      </c>
      <c r="J28" s="13" t="s">
        <v>1583</v>
      </c>
    </row>
    <row r="29" spans="1:14" s="2" customFormat="1" ht="14.25" customHeight="1" x14ac:dyDescent="0.25">
      <c r="A29" s="36"/>
      <c r="B29" s="28"/>
      <c r="C29" s="44" t="s">
        <v>1511</v>
      </c>
      <c r="D29" s="43"/>
      <c r="E29" s="38">
        <f>+J12+I8-J8</f>
        <v>3974334.7199999988</v>
      </c>
      <c r="F29" s="22"/>
      <c r="G29" s="1"/>
      <c r="H29" s="1"/>
      <c r="I29" s="2">
        <v>1430521</v>
      </c>
      <c r="J29" s="2">
        <v>2780939</v>
      </c>
      <c r="K29" s="176">
        <f>I29-J29</f>
        <v>-1350418</v>
      </c>
    </row>
    <row r="30" spans="1:14" s="2" customFormat="1" ht="14.25" customHeight="1" x14ac:dyDescent="0.2">
      <c r="A30" s="24"/>
      <c r="B30" s="1"/>
      <c r="C30" s="14"/>
      <c r="D30" s="25"/>
      <c r="G30" s="1"/>
      <c r="H30" s="1"/>
      <c r="J30" s="130"/>
      <c r="K30" s="130"/>
    </row>
    <row r="31" spans="1:14" s="2" customFormat="1" x14ac:dyDescent="0.2">
      <c r="A31" s="214" t="s">
        <v>10</v>
      </c>
      <c r="B31" s="214"/>
      <c r="C31" s="214"/>
      <c r="D31" s="214"/>
      <c r="E31" s="214"/>
      <c r="F31" s="214"/>
      <c r="G31" s="1"/>
      <c r="H31" s="1"/>
      <c r="I31" s="159"/>
      <c r="J31" s="160">
        <f>100000000+25000000</f>
        <v>125000000</v>
      </c>
      <c r="K31" s="160" t="s">
        <v>1506</v>
      </c>
      <c r="L31" s="70"/>
    </row>
    <row r="32" spans="1:14" s="2" customFormat="1" ht="15" x14ac:dyDescent="0.35">
      <c r="A32" s="26" t="s">
        <v>1</v>
      </c>
      <c r="B32" s="27" t="s">
        <v>2</v>
      </c>
      <c r="C32" s="5"/>
      <c r="D32" s="6" t="s">
        <v>3</v>
      </c>
      <c r="E32" s="7" t="s">
        <v>4</v>
      </c>
      <c r="F32" s="7" t="s">
        <v>5</v>
      </c>
      <c r="G32" s="1"/>
      <c r="H32" s="1"/>
      <c r="I32" s="159"/>
      <c r="J32" s="179">
        <v>105965601.09</v>
      </c>
      <c r="K32" s="160" t="s">
        <v>1507</v>
      </c>
      <c r="L32" s="70" t="s">
        <v>1512</v>
      </c>
    </row>
    <row r="33" spans="1:12" s="2" customFormat="1" x14ac:dyDescent="0.2">
      <c r="A33" s="89">
        <v>45330</v>
      </c>
      <c r="B33" s="128" t="s">
        <v>11</v>
      </c>
      <c r="C33" s="29" t="s">
        <v>7</v>
      </c>
      <c r="D33" s="25"/>
      <c r="E33" s="31"/>
      <c r="F33" s="2">
        <v>80947970.949999899</v>
      </c>
      <c r="G33" s="23"/>
      <c r="H33" s="23"/>
      <c r="I33" s="159" t="s">
        <v>1505</v>
      </c>
      <c r="J33" s="160">
        <f>+J31-J32</f>
        <v>19034398.909999996</v>
      </c>
      <c r="K33" s="160"/>
      <c r="L33" s="70"/>
    </row>
    <row r="34" spans="1:12" s="2" customFormat="1" x14ac:dyDescent="0.2">
      <c r="A34" s="89">
        <v>45330</v>
      </c>
      <c r="B34" s="128" t="s">
        <v>6</v>
      </c>
      <c r="C34" s="76" t="s">
        <v>316</v>
      </c>
      <c r="D34" s="11" t="s">
        <v>13</v>
      </c>
      <c r="E34" s="31">
        <v>387517</v>
      </c>
      <c r="G34" s="23"/>
      <c r="H34" s="23"/>
      <c r="I34" s="159"/>
      <c r="J34" s="160"/>
      <c r="K34" s="160"/>
      <c r="L34" s="70"/>
    </row>
    <row r="35" spans="1:12" s="2" customFormat="1" x14ac:dyDescent="0.2">
      <c r="A35" s="89">
        <v>45330</v>
      </c>
      <c r="B35" s="128" t="s">
        <v>6</v>
      </c>
      <c r="C35" s="76" t="s">
        <v>2055</v>
      </c>
      <c r="D35" s="11" t="s">
        <v>13</v>
      </c>
      <c r="E35" s="31">
        <v>160406</v>
      </c>
      <c r="G35" s="23"/>
      <c r="H35" s="23"/>
      <c r="I35" s="159"/>
      <c r="J35" s="160"/>
      <c r="K35" s="160"/>
      <c r="L35" s="70"/>
    </row>
    <row r="36" spans="1:12" s="2" customFormat="1" x14ac:dyDescent="0.2">
      <c r="A36" s="89">
        <v>45330</v>
      </c>
      <c r="B36" s="128" t="s">
        <v>6</v>
      </c>
      <c r="C36" s="76" t="s">
        <v>765</v>
      </c>
      <c r="D36" s="11" t="s">
        <v>13</v>
      </c>
      <c r="E36" s="31">
        <v>5115111.54</v>
      </c>
      <c r="G36" s="23"/>
      <c r="H36" s="23"/>
      <c r="I36" s="159"/>
      <c r="J36" s="160"/>
      <c r="K36" s="160"/>
      <c r="L36" s="70"/>
    </row>
    <row r="37" spans="1:12" s="2" customFormat="1" x14ac:dyDescent="0.2">
      <c r="A37" s="89">
        <v>45330</v>
      </c>
      <c r="B37" s="128" t="s">
        <v>6</v>
      </c>
      <c r="C37" s="76" t="s">
        <v>759</v>
      </c>
      <c r="D37" s="11" t="s">
        <v>13</v>
      </c>
      <c r="E37" s="31">
        <v>2669997.4900000002</v>
      </c>
      <c r="G37" s="23"/>
      <c r="H37" s="23"/>
      <c r="I37" s="159"/>
      <c r="J37" s="160"/>
      <c r="K37" s="160"/>
      <c r="L37" s="70"/>
    </row>
    <row r="38" spans="1:12" s="2" customFormat="1" x14ac:dyDescent="0.2">
      <c r="A38" s="89">
        <v>45330</v>
      </c>
      <c r="B38" s="128" t="s">
        <v>6</v>
      </c>
      <c r="C38" s="76" t="s">
        <v>1925</v>
      </c>
      <c r="D38" s="11" t="s">
        <v>13</v>
      </c>
      <c r="E38" s="31">
        <v>2334407.69</v>
      </c>
      <c r="G38" s="23"/>
      <c r="H38" s="23"/>
      <c r="I38" s="159"/>
      <c r="J38" s="160"/>
      <c r="K38" s="160"/>
      <c r="L38" s="70"/>
    </row>
    <row r="39" spans="1:12" s="2" customFormat="1" x14ac:dyDescent="0.2">
      <c r="A39" s="89">
        <v>45330</v>
      </c>
      <c r="B39" s="128" t="s">
        <v>6</v>
      </c>
      <c r="C39" s="76" t="s">
        <v>749</v>
      </c>
      <c r="D39" s="11" t="s">
        <v>13</v>
      </c>
      <c r="E39" s="31">
        <v>2025690.58</v>
      </c>
      <c r="G39" s="23"/>
      <c r="H39" s="23"/>
      <c r="I39" s="159"/>
      <c r="J39" s="160"/>
      <c r="K39" s="160"/>
      <c r="L39" s="70"/>
    </row>
    <row r="40" spans="1:12" s="2" customFormat="1" x14ac:dyDescent="0.2">
      <c r="A40" s="89">
        <v>45330</v>
      </c>
      <c r="B40" s="128" t="s">
        <v>6</v>
      </c>
      <c r="C40" s="76" t="s">
        <v>62</v>
      </c>
      <c r="D40" s="11" t="s">
        <v>13</v>
      </c>
      <c r="E40" s="31">
        <v>27000</v>
      </c>
      <c r="G40" s="23"/>
      <c r="H40" s="23"/>
      <c r="I40" s="159"/>
      <c r="J40" s="160"/>
      <c r="K40" s="160"/>
      <c r="L40" s="70"/>
    </row>
    <row r="41" spans="1:12" s="2" customFormat="1" x14ac:dyDescent="0.2">
      <c r="A41" s="89">
        <v>45330</v>
      </c>
      <c r="B41" s="128" t="s">
        <v>6</v>
      </c>
      <c r="C41" s="76" t="s">
        <v>123</v>
      </c>
      <c r="D41" s="11" t="s">
        <v>13</v>
      </c>
      <c r="E41" s="31">
        <v>20753</v>
      </c>
      <c r="G41" s="23"/>
      <c r="H41" s="23"/>
      <c r="I41" s="159"/>
      <c r="J41" s="160"/>
      <c r="K41" s="160"/>
      <c r="L41" s="70"/>
    </row>
    <row r="42" spans="1:12" s="2" customFormat="1" x14ac:dyDescent="0.2">
      <c r="A42" s="89">
        <v>45330</v>
      </c>
      <c r="B42" s="128" t="s">
        <v>6</v>
      </c>
      <c r="C42" s="76" t="s">
        <v>656</v>
      </c>
      <c r="D42" s="11" t="s">
        <v>13</v>
      </c>
      <c r="E42" s="31">
        <v>272318</v>
      </c>
      <c r="G42" s="23"/>
      <c r="H42" s="23"/>
      <c r="I42" s="159"/>
      <c r="J42" s="160"/>
      <c r="K42" s="160"/>
      <c r="L42" s="70"/>
    </row>
    <row r="43" spans="1:12" s="2" customFormat="1" x14ac:dyDescent="0.2">
      <c r="A43" s="89">
        <v>45330</v>
      </c>
      <c r="B43" s="128" t="s">
        <v>6</v>
      </c>
      <c r="C43" s="76" t="s">
        <v>1271</v>
      </c>
      <c r="D43" s="11" t="s">
        <v>13</v>
      </c>
      <c r="E43" s="31">
        <v>308240</v>
      </c>
      <c r="G43" s="23"/>
      <c r="H43" s="23"/>
      <c r="I43" s="159"/>
      <c r="J43" s="160"/>
      <c r="K43" s="160"/>
      <c r="L43" s="70"/>
    </row>
    <row r="44" spans="1:12" s="2" customFormat="1" x14ac:dyDescent="0.2">
      <c r="A44" s="89">
        <v>45330</v>
      </c>
      <c r="B44" s="128" t="s">
        <v>6</v>
      </c>
      <c r="C44" s="76" t="s">
        <v>614</v>
      </c>
      <c r="D44" s="11" t="s">
        <v>13</v>
      </c>
      <c r="E44" s="31">
        <v>591035</v>
      </c>
      <c r="G44" s="23"/>
      <c r="H44" s="23"/>
      <c r="I44" s="159"/>
      <c r="J44" s="160"/>
      <c r="K44" s="160"/>
      <c r="L44" s="70"/>
    </row>
    <row r="45" spans="1:12" s="2" customFormat="1" x14ac:dyDescent="0.2">
      <c r="A45" s="89">
        <v>45330</v>
      </c>
      <c r="B45" s="128" t="s">
        <v>6</v>
      </c>
      <c r="C45" s="76" t="s">
        <v>1706</v>
      </c>
      <c r="D45" s="11" t="s">
        <v>13</v>
      </c>
      <c r="E45" s="31">
        <v>122851</v>
      </c>
      <c r="G45" s="23"/>
      <c r="H45" s="23"/>
      <c r="I45" s="159"/>
      <c r="J45" s="160"/>
      <c r="K45" s="160"/>
      <c r="L45" s="70"/>
    </row>
    <row r="46" spans="1:12" s="2" customFormat="1" x14ac:dyDescent="0.2">
      <c r="A46" s="89">
        <v>45330</v>
      </c>
      <c r="B46" s="128" t="s">
        <v>6</v>
      </c>
      <c r="C46" s="76" t="s">
        <v>272</v>
      </c>
      <c r="D46" s="11" t="s">
        <v>13</v>
      </c>
      <c r="E46" s="31">
        <v>7836</v>
      </c>
      <c r="G46" s="23"/>
      <c r="H46" s="23"/>
      <c r="I46" s="159"/>
      <c r="J46" s="160"/>
      <c r="K46" s="160"/>
      <c r="L46" s="70"/>
    </row>
    <row r="47" spans="1:12" s="2" customFormat="1" x14ac:dyDescent="0.2">
      <c r="A47" s="89">
        <v>45330</v>
      </c>
      <c r="B47" s="128" t="s">
        <v>6</v>
      </c>
      <c r="C47" s="76" t="s">
        <v>1497</v>
      </c>
      <c r="D47" s="11" t="s">
        <v>13</v>
      </c>
      <c r="E47" s="31">
        <v>7867</v>
      </c>
      <c r="G47" s="23"/>
      <c r="H47" s="23"/>
      <c r="I47" s="159"/>
      <c r="J47" s="160"/>
      <c r="K47" s="160"/>
      <c r="L47" s="70"/>
    </row>
    <row r="48" spans="1:12" s="2" customFormat="1" x14ac:dyDescent="0.2">
      <c r="A48" s="89">
        <v>45330</v>
      </c>
      <c r="B48" s="128" t="s">
        <v>6</v>
      </c>
      <c r="C48" s="76" t="s">
        <v>1192</v>
      </c>
      <c r="D48" s="11" t="s">
        <v>13</v>
      </c>
      <c r="E48" s="31">
        <v>127082</v>
      </c>
      <c r="G48" s="23"/>
      <c r="H48" s="23"/>
      <c r="I48" s="159"/>
      <c r="J48" s="160"/>
      <c r="K48" s="160"/>
      <c r="L48" s="70"/>
    </row>
    <row r="49" spans="1:15" s="2" customFormat="1" x14ac:dyDescent="0.2">
      <c r="A49" s="89">
        <v>45330</v>
      </c>
      <c r="B49" s="128" t="s">
        <v>6</v>
      </c>
      <c r="C49" s="76" t="s">
        <v>916</v>
      </c>
      <c r="D49" s="11" t="s">
        <v>13</v>
      </c>
      <c r="E49" s="31">
        <v>200000</v>
      </c>
      <c r="G49" s="23"/>
      <c r="H49" s="23"/>
      <c r="I49" s="159"/>
      <c r="J49" s="160"/>
      <c r="K49" s="160"/>
      <c r="L49" s="70"/>
    </row>
    <row r="50" spans="1:15" s="2" customFormat="1" x14ac:dyDescent="0.2">
      <c r="A50" s="89">
        <v>45330</v>
      </c>
      <c r="B50" s="128" t="s">
        <v>6</v>
      </c>
      <c r="C50" s="76" t="s">
        <v>332</v>
      </c>
      <c r="D50" s="11" t="s">
        <v>13</v>
      </c>
      <c r="E50" s="31">
        <v>4248</v>
      </c>
      <c r="G50" s="23"/>
      <c r="H50" s="23"/>
      <c r="I50" s="159"/>
      <c r="J50" s="160"/>
      <c r="K50" s="160"/>
      <c r="L50" s="70"/>
    </row>
    <row r="51" spans="1:15" s="2" customFormat="1" x14ac:dyDescent="0.2">
      <c r="A51" s="89">
        <v>45330</v>
      </c>
      <c r="B51" s="128" t="s">
        <v>6</v>
      </c>
      <c r="C51" s="76" t="s">
        <v>547</v>
      </c>
      <c r="D51" s="11" t="s">
        <v>13</v>
      </c>
      <c r="E51" s="31">
        <v>86666</v>
      </c>
      <c r="G51" s="23"/>
      <c r="H51" s="23"/>
      <c r="I51" s="159"/>
      <c r="J51" s="160"/>
      <c r="K51" s="160"/>
      <c r="L51" s="70"/>
    </row>
    <row r="52" spans="1:15" s="2" customFormat="1" x14ac:dyDescent="0.2">
      <c r="A52" s="89">
        <v>45330</v>
      </c>
      <c r="B52" s="128" t="s">
        <v>6</v>
      </c>
      <c r="C52" s="76" t="s">
        <v>810</v>
      </c>
      <c r="D52" s="11" t="s">
        <v>13</v>
      </c>
      <c r="E52" s="31">
        <v>185000</v>
      </c>
      <c r="G52" s="23"/>
      <c r="H52" s="23"/>
      <c r="I52" s="159"/>
      <c r="J52" s="160"/>
      <c r="K52" s="160"/>
      <c r="L52" s="70"/>
    </row>
    <row r="53" spans="1:15" s="2" customFormat="1" x14ac:dyDescent="0.2">
      <c r="A53" s="89">
        <v>45330</v>
      </c>
      <c r="B53" s="128" t="s">
        <v>6</v>
      </c>
      <c r="C53" s="76" t="s">
        <v>1959</v>
      </c>
      <c r="D53" s="11" t="s">
        <v>13</v>
      </c>
      <c r="E53" s="31">
        <v>26637</v>
      </c>
      <c r="G53" s="23"/>
      <c r="H53" s="23"/>
      <c r="I53" s="159"/>
      <c r="J53" s="160"/>
      <c r="K53" s="160"/>
      <c r="L53" s="70"/>
    </row>
    <row r="54" spans="1:15" s="2" customFormat="1" x14ac:dyDescent="0.2">
      <c r="A54" s="89">
        <v>45330</v>
      </c>
      <c r="B54" s="128" t="s">
        <v>11</v>
      </c>
      <c r="C54" s="76" t="s">
        <v>64</v>
      </c>
      <c r="D54" s="11" t="s">
        <v>29</v>
      </c>
      <c r="E54" s="31"/>
      <c r="F54" s="2">
        <v>7674.7199999999993</v>
      </c>
      <c r="G54" s="23"/>
      <c r="H54" s="23"/>
      <c r="I54" s="159"/>
      <c r="J54" s="160"/>
      <c r="K54" s="160"/>
      <c r="L54" s="70"/>
    </row>
    <row r="55" spans="1:15" s="2" customFormat="1" x14ac:dyDescent="0.2">
      <c r="A55" s="89">
        <v>45330</v>
      </c>
      <c r="B55" s="128" t="s">
        <v>11</v>
      </c>
      <c r="C55" s="76" t="s">
        <v>1734</v>
      </c>
      <c r="D55" s="11" t="s">
        <v>29</v>
      </c>
      <c r="E55" s="31"/>
      <c r="F55" s="2">
        <v>1778509</v>
      </c>
      <c r="G55" s="23"/>
      <c r="H55" s="23"/>
      <c r="I55" s="159"/>
      <c r="J55" s="160"/>
      <c r="K55" s="160"/>
      <c r="L55" s="70"/>
    </row>
    <row r="56" spans="1:15" s="2" customFormat="1" x14ac:dyDescent="0.2">
      <c r="A56" s="89">
        <v>45330</v>
      </c>
      <c r="B56" s="128" t="s">
        <v>11</v>
      </c>
      <c r="C56" s="76" t="s">
        <v>127</v>
      </c>
      <c r="D56" s="11" t="s">
        <v>29</v>
      </c>
      <c r="E56" s="31"/>
      <c r="F56" s="2">
        <v>10478361</v>
      </c>
      <c r="G56" s="23"/>
      <c r="H56" s="23"/>
      <c r="I56" s="159"/>
      <c r="J56" s="160"/>
      <c r="K56" s="160"/>
      <c r="L56" s="70"/>
    </row>
    <row r="57" spans="1:15" s="2" customFormat="1" x14ac:dyDescent="0.2">
      <c r="A57" s="89">
        <v>45330</v>
      </c>
      <c r="B57" s="128" t="s">
        <v>11</v>
      </c>
      <c r="C57" s="76" t="s">
        <v>1155</v>
      </c>
      <c r="D57" s="11" t="s">
        <v>29</v>
      </c>
      <c r="E57" s="31"/>
      <c r="F57" s="2">
        <v>25042793.719999999</v>
      </c>
      <c r="G57" s="23"/>
      <c r="H57" s="23"/>
      <c r="I57" s="159"/>
      <c r="J57" s="160"/>
      <c r="K57" s="160"/>
      <c r="L57" s="70"/>
    </row>
    <row r="58" spans="1:15" s="2" customFormat="1" x14ac:dyDescent="0.2">
      <c r="A58" s="89">
        <v>45330</v>
      </c>
      <c r="B58" s="128" t="s">
        <v>11</v>
      </c>
      <c r="C58" s="76" t="s">
        <v>57</v>
      </c>
      <c r="D58" s="11" t="s">
        <v>29</v>
      </c>
      <c r="E58" s="31"/>
      <c r="F58" s="2">
        <v>500000</v>
      </c>
      <c r="G58" s="23"/>
      <c r="H58" s="23"/>
      <c r="I58" s="159"/>
      <c r="J58" s="160"/>
      <c r="K58" s="160"/>
      <c r="L58" s="70"/>
    </row>
    <row r="59" spans="1:15" s="2" customFormat="1" x14ac:dyDescent="0.2">
      <c r="A59" s="89">
        <v>45330</v>
      </c>
      <c r="B59" s="128" t="s">
        <v>11</v>
      </c>
      <c r="C59" s="76" t="s">
        <v>63</v>
      </c>
      <c r="D59" s="11" t="s">
        <v>29</v>
      </c>
      <c r="E59" s="31"/>
      <c r="F59" s="2">
        <v>700000</v>
      </c>
      <c r="G59" s="23"/>
      <c r="H59" s="23"/>
      <c r="I59" s="159"/>
      <c r="J59" s="160"/>
      <c r="K59" s="160"/>
      <c r="L59" s="70"/>
    </row>
    <row r="60" spans="1:15" s="2" customFormat="1" x14ac:dyDescent="0.2">
      <c r="A60" s="89">
        <v>45330</v>
      </c>
      <c r="B60" s="128" t="s">
        <v>11</v>
      </c>
      <c r="C60" s="76" t="s">
        <v>330</v>
      </c>
      <c r="D60" s="11" t="s">
        <v>29</v>
      </c>
      <c r="E60" s="31"/>
      <c r="F60" s="2">
        <v>1000000</v>
      </c>
      <c r="G60" s="23"/>
      <c r="H60" s="23"/>
      <c r="I60" s="159"/>
      <c r="J60" s="160"/>
      <c r="K60" s="160"/>
      <c r="L60" s="70"/>
    </row>
    <row r="61" spans="1:15" s="2" customFormat="1" x14ac:dyDescent="0.2">
      <c r="A61" s="89">
        <v>45330</v>
      </c>
      <c r="B61" s="128" t="s">
        <v>11</v>
      </c>
      <c r="C61" s="76" t="s">
        <v>134</v>
      </c>
      <c r="D61" s="11" t="s">
        <v>29</v>
      </c>
      <c r="E61" s="31"/>
      <c r="F61" s="2">
        <v>2000000</v>
      </c>
      <c r="G61" s="23"/>
      <c r="H61" s="23"/>
      <c r="I61" s="159"/>
      <c r="J61" s="160"/>
      <c r="K61" s="160"/>
      <c r="L61" s="70" t="s">
        <v>2045</v>
      </c>
    </row>
    <row r="62" spans="1:15" s="2" customFormat="1" x14ac:dyDescent="0.2">
      <c r="A62" s="32"/>
      <c r="B62" s="33"/>
      <c r="C62" s="14"/>
      <c r="D62" s="34"/>
      <c r="E62" s="16">
        <f>SUM(E33:E61)</f>
        <v>14680663.300000001</v>
      </c>
      <c r="F62" s="16">
        <f>SUM(F33:F61)</f>
        <v>122455309.3899999</v>
      </c>
      <c r="G62" s="1"/>
      <c r="H62" s="1"/>
      <c r="I62" s="1"/>
      <c r="J62" s="38">
        <v>107316019.09</v>
      </c>
      <c r="L62" s="92">
        <f>E63-J62</f>
        <v>458626.99999989569</v>
      </c>
      <c r="O62" s="1"/>
    </row>
    <row r="63" spans="1:15" s="2" customFormat="1" x14ac:dyDescent="0.2">
      <c r="A63" s="36"/>
      <c r="B63" s="28" t="s">
        <v>11</v>
      </c>
      <c r="C63" s="19" t="s">
        <v>65</v>
      </c>
      <c r="D63" s="37"/>
      <c r="E63" s="38">
        <f>F62-E62</f>
        <v>107774646.0899999</v>
      </c>
      <c r="F63" s="22"/>
      <c r="G63" s="1"/>
      <c r="H63" s="1"/>
      <c r="I63" s="1"/>
      <c r="J63" s="70"/>
      <c r="K63" s="70"/>
      <c r="L63" s="70"/>
      <c r="O63" s="1"/>
    </row>
    <row r="64" spans="1:15" s="2" customFormat="1" x14ac:dyDescent="0.2">
      <c r="A64" s="36"/>
      <c r="B64" s="28" t="s">
        <v>66</v>
      </c>
      <c r="C64" s="19" t="s">
        <v>67</v>
      </c>
      <c r="D64" s="37"/>
      <c r="E64" s="38">
        <v>11500000</v>
      </c>
      <c r="F64" s="22"/>
      <c r="G64" s="1"/>
      <c r="H64" s="1"/>
      <c r="I64" s="70"/>
      <c r="J64" s="70"/>
      <c r="K64" s="70"/>
      <c r="L64" s="70"/>
      <c r="O64" s="1"/>
    </row>
    <row r="65" spans="1:15" s="2" customFormat="1" x14ac:dyDescent="0.2">
      <c r="A65" s="36"/>
      <c r="B65" s="28" t="s">
        <v>66</v>
      </c>
      <c r="C65" s="43" t="s">
        <v>1457</v>
      </c>
      <c r="D65" s="43"/>
      <c r="E65" s="12">
        <f>400000000-25000000</f>
        <v>375000000</v>
      </c>
      <c r="F65" s="22"/>
      <c r="G65" s="1"/>
      <c r="H65" s="1"/>
      <c r="I65" s="70"/>
      <c r="J65" s="45">
        <v>904.26</v>
      </c>
      <c r="K65" s="46"/>
      <c r="L65" s="46"/>
      <c r="O65" s="1"/>
    </row>
    <row r="66" spans="1:15" s="2" customFormat="1" ht="15" x14ac:dyDescent="0.25">
      <c r="A66" s="36"/>
      <c r="B66" s="28"/>
      <c r="C66" s="44" t="s">
        <v>1541</v>
      </c>
      <c r="D66" s="43"/>
      <c r="E66" s="7">
        <f>+E65+E63+E64</f>
        <v>494274646.08999991</v>
      </c>
      <c r="F66" s="22"/>
      <c r="G66" s="1"/>
      <c r="H66" s="1"/>
      <c r="I66" s="103" t="s">
        <v>69</v>
      </c>
      <c r="J66" s="45">
        <v>-68.14</v>
      </c>
      <c r="K66" s="46"/>
      <c r="L66" s="46"/>
      <c r="O66" s="1"/>
    </row>
    <row r="67" spans="1:15" s="2" customFormat="1" ht="15" x14ac:dyDescent="0.25">
      <c r="A67" s="24"/>
      <c r="B67" s="1"/>
      <c r="C67" s="44" t="s">
        <v>1510</v>
      </c>
      <c r="D67" s="25"/>
      <c r="E67" s="156">
        <f>+J33-E64+I29-J29</f>
        <v>6183980.9099999964</v>
      </c>
      <c r="G67" s="1"/>
      <c r="H67" s="1"/>
      <c r="I67" s="35">
        <v>1</v>
      </c>
      <c r="J67" s="45">
        <f>4.32</f>
        <v>4.32</v>
      </c>
      <c r="K67" s="46">
        <f>+J68-D70</f>
        <v>0</v>
      </c>
      <c r="O67" s="1"/>
    </row>
    <row r="68" spans="1:15" s="124" customFormat="1" ht="12.75" customHeight="1" x14ac:dyDescent="0.2">
      <c r="A68" s="24"/>
      <c r="B68" s="1"/>
      <c r="C68" s="56"/>
      <c r="D68" s="56"/>
      <c r="E68" s="104"/>
      <c r="F68" s="2"/>
      <c r="G68" s="166"/>
      <c r="H68" s="166"/>
      <c r="I68" s="70"/>
      <c r="J68" s="49">
        <f>SUM(J65:J67)</f>
        <v>840.44</v>
      </c>
      <c r="K68" s="46"/>
      <c r="L68" s="46"/>
    </row>
    <row r="69" spans="1:15" s="124" customFormat="1" ht="12.75" customHeight="1" x14ac:dyDescent="0.2">
      <c r="A69" s="24"/>
      <c r="B69" s="1"/>
      <c r="C69" s="78" t="s">
        <v>575</v>
      </c>
      <c r="D69" s="48" t="s">
        <v>576</v>
      </c>
      <c r="E69" s="104"/>
      <c r="F69" s="2"/>
      <c r="G69" s="168"/>
      <c r="H69" s="168"/>
      <c r="I69" s="167"/>
      <c r="J69" s="167"/>
      <c r="K69" s="168"/>
    </row>
    <row r="70" spans="1:15" s="124" customFormat="1" ht="12.75" customHeight="1" x14ac:dyDescent="0.2">
      <c r="A70" s="24"/>
      <c r="B70" s="1"/>
      <c r="C70" s="47" t="s">
        <v>570</v>
      </c>
      <c r="D70" s="111">
        <v>840.44</v>
      </c>
      <c r="E70" s="104"/>
      <c r="F70" s="2"/>
      <c r="G70" s="168"/>
      <c r="H70" s="168"/>
      <c r="I70" s="110" t="s">
        <v>581</v>
      </c>
      <c r="J70" s="167"/>
      <c r="K70" s="168"/>
    </row>
    <row r="71" spans="1:15" s="124" customFormat="1" ht="12.75" customHeight="1" x14ac:dyDescent="0.2">
      <c r="A71" s="24"/>
      <c r="B71" s="1"/>
      <c r="C71" s="47" t="s">
        <v>931</v>
      </c>
      <c r="D71" s="111">
        <v>63.72</v>
      </c>
      <c r="E71" s="104"/>
      <c r="F71" s="2"/>
      <c r="G71" s="168"/>
      <c r="H71" s="168"/>
      <c r="I71" s="110" t="s">
        <v>580</v>
      </c>
      <c r="J71" s="167"/>
      <c r="K71" s="168"/>
    </row>
    <row r="72" spans="1:15" s="124" customFormat="1" ht="12.75" customHeight="1" x14ac:dyDescent="0.2">
      <c r="A72" s="24"/>
      <c r="B72" s="1"/>
      <c r="C72" s="47" t="s">
        <v>572</v>
      </c>
      <c r="D72" s="111">
        <f>+D92/100000</f>
        <v>28.47035</v>
      </c>
      <c r="E72" s="104"/>
      <c r="F72" s="2"/>
      <c r="G72" s="166"/>
      <c r="H72" s="166"/>
      <c r="I72" s="90" t="s">
        <v>587</v>
      </c>
      <c r="J72" s="167"/>
      <c r="K72" s="168"/>
    </row>
    <row r="73" spans="1:15" s="2" customFormat="1" x14ac:dyDescent="0.2">
      <c r="A73" s="24"/>
      <c r="B73" s="1"/>
      <c r="C73" s="108" t="s">
        <v>578</v>
      </c>
      <c r="D73" s="48">
        <f>SUM(D70:D72)</f>
        <v>932.63035000000013</v>
      </c>
      <c r="E73" s="104"/>
      <c r="G73" s="30"/>
      <c r="H73" s="30"/>
      <c r="J73" s="13"/>
      <c r="K73" s="13"/>
    </row>
    <row r="74" spans="1:15" s="70" customFormat="1" x14ac:dyDescent="0.2">
      <c r="A74" s="24"/>
      <c r="B74" s="1"/>
      <c r="C74" s="47"/>
      <c r="D74" s="107"/>
      <c r="E74" s="104"/>
      <c r="F74" s="2"/>
      <c r="G74" s="30"/>
      <c r="H74" s="30"/>
      <c r="I74" s="2"/>
    </row>
    <row r="75" spans="1:15" s="70" customFormat="1" x14ac:dyDescent="0.2">
      <c r="A75" s="24"/>
      <c r="B75" s="1"/>
      <c r="C75" s="47" t="s">
        <v>932</v>
      </c>
      <c r="D75" s="111">
        <v>16.14</v>
      </c>
      <c r="E75" s="104"/>
      <c r="F75" s="2"/>
      <c r="G75" s="30"/>
      <c r="H75" s="30"/>
      <c r="I75" s="110" t="s">
        <v>581</v>
      </c>
    </row>
    <row r="76" spans="1:15" s="70" customFormat="1" x14ac:dyDescent="0.2">
      <c r="A76" s="24"/>
      <c r="B76" s="1"/>
      <c r="C76" s="136" t="s">
        <v>1142</v>
      </c>
      <c r="D76" s="111">
        <v>329.08</v>
      </c>
      <c r="E76" s="104"/>
      <c r="F76" s="2"/>
      <c r="G76" s="30"/>
      <c r="H76" s="30"/>
      <c r="I76" s="110" t="s">
        <v>581</v>
      </c>
    </row>
    <row r="77" spans="1:15" s="70" customFormat="1" x14ac:dyDescent="0.2">
      <c r="A77" s="24"/>
      <c r="B77" s="1"/>
      <c r="C77" s="78" t="s">
        <v>579</v>
      </c>
      <c r="D77" s="109">
        <f>D75+D76</f>
        <v>345.21999999999997</v>
      </c>
      <c r="E77" s="104"/>
      <c r="F77" s="2"/>
      <c r="G77" s="30"/>
      <c r="H77" s="30"/>
    </row>
    <row r="78" spans="1:15" s="70" customFormat="1" x14ac:dyDescent="0.2">
      <c r="A78" s="24"/>
      <c r="B78" s="1"/>
      <c r="C78" s="105"/>
      <c r="D78" s="106"/>
      <c r="E78" s="104"/>
      <c r="F78" s="2"/>
      <c r="G78" s="30"/>
      <c r="H78" s="30"/>
      <c r="J78" s="2"/>
      <c r="K78" s="221" t="str">
        <f>"FROM ( 01-02-2024 to "&amp;TEXT(A5,"dd-mm-yyyy")&amp;" )"</f>
        <v>FROM ( 01-02-2024 to 08-02-2024 )</v>
      </c>
      <c r="L78" s="221"/>
      <c r="M78" s="2"/>
      <c r="N78" s="2"/>
    </row>
    <row r="79" spans="1:15" s="70" customFormat="1" x14ac:dyDescent="0.2">
      <c r="A79" s="24"/>
      <c r="B79" s="1"/>
      <c r="C79" s="78" t="s">
        <v>577</v>
      </c>
      <c r="D79" s="109">
        <f>D70+D77</f>
        <v>1185.6600000000001</v>
      </c>
      <c r="E79" s="104"/>
      <c r="F79" s="2"/>
      <c r="G79" s="30"/>
      <c r="H79" s="30"/>
      <c r="J79" s="113"/>
      <c r="K79" s="113" t="s">
        <v>709</v>
      </c>
      <c r="L79" s="113" t="s">
        <v>710</v>
      </c>
      <c r="M79" s="113" t="s">
        <v>711</v>
      </c>
      <c r="N79" s="113" t="s">
        <v>712</v>
      </c>
    </row>
    <row r="80" spans="1:15" s="70" customFormat="1" x14ac:dyDescent="0.2">
      <c r="A80" s="24"/>
      <c r="B80" s="1"/>
      <c r="C80" s="56"/>
      <c r="D80" s="56"/>
      <c r="E80" s="104"/>
      <c r="F80" s="2"/>
      <c r="G80" s="30"/>
      <c r="H80" s="30"/>
      <c r="J80" s="113" t="s">
        <v>1860</v>
      </c>
      <c r="K80" s="115">
        <v>191.98999999999998</v>
      </c>
      <c r="L80" s="115">
        <v>0</v>
      </c>
      <c r="M80" s="115">
        <v>0</v>
      </c>
      <c r="N80" s="113">
        <f>+K80+M80-L80</f>
        <v>191.98999999999998</v>
      </c>
    </row>
    <row r="81" spans="1:15" s="70" customFormat="1" ht="38.25" x14ac:dyDescent="0.2">
      <c r="A81" s="24"/>
      <c r="B81" s="1"/>
      <c r="C81" s="79" t="str">
        <f>"Particulars ( 01-02-2024 to "&amp;TEXT(A5,"dd-mm-yyyy")&amp;" )"</f>
        <v>Particulars ( 01-02-2024 to 08-02-2024 )</v>
      </c>
      <c r="D81" s="79" t="s">
        <v>7</v>
      </c>
      <c r="E81" s="80" t="s">
        <v>73</v>
      </c>
      <c r="F81" s="80" t="s">
        <v>74</v>
      </c>
      <c r="G81" s="81" t="s">
        <v>75</v>
      </c>
      <c r="H81" s="80" t="s">
        <v>76</v>
      </c>
      <c r="J81" s="113" t="s">
        <v>1861</v>
      </c>
      <c r="K81" s="115">
        <v>1862.06</v>
      </c>
      <c r="L81" s="115">
        <v>28.47</v>
      </c>
      <c r="M81" s="115">
        <v>329.08</v>
      </c>
      <c r="N81" s="113">
        <f>+K81+M81-L81</f>
        <v>2162.67</v>
      </c>
    </row>
    <row r="82" spans="1:15" s="70" customFormat="1" x14ac:dyDescent="0.2">
      <c r="A82" s="24"/>
      <c r="B82" s="1"/>
      <c r="C82" s="50" t="s">
        <v>444</v>
      </c>
      <c r="D82" s="55">
        <f>+K82</f>
        <v>332.55</v>
      </c>
      <c r="E82" s="55">
        <f>+IF(M82=0,0,M82)</f>
        <v>16.14</v>
      </c>
      <c r="F82" s="55">
        <f>+L82</f>
        <v>63.72</v>
      </c>
      <c r="G82" s="55">
        <f>+D82+E82-F82</f>
        <v>284.97000000000003</v>
      </c>
      <c r="H82" s="55">
        <f>1500-G82</f>
        <v>1215.03</v>
      </c>
      <c r="I82" s="70">
        <f>+IF(M82=0,0,M82)</f>
        <v>16.14</v>
      </c>
      <c r="J82" s="113" t="s">
        <v>707</v>
      </c>
      <c r="K82" s="115">
        <v>332.55</v>
      </c>
      <c r="L82" s="115">
        <v>63.72</v>
      </c>
      <c r="M82" s="115">
        <v>16.14</v>
      </c>
      <c r="N82" s="113">
        <f>+K82+M82-L82</f>
        <v>284.97000000000003</v>
      </c>
    </row>
    <row r="83" spans="1:15" s="70" customFormat="1" ht="12.75" customHeight="1" x14ac:dyDescent="0.2">
      <c r="A83" s="24"/>
      <c r="B83" s="1"/>
      <c r="C83" s="50" t="s">
        <v>71</v>
      </c>
      <c r="D83" s="55">
        <f>+K80+K81</f>
        <v>2054.0499999999997</v>
      </c>
      <c r="E83" s="55">
        <f>+M80+M81</f>
        <v>329.08</v>
      </c>
      <c r="F83" s="55">
        <f>+L80+L81</f>
        <v>28.47</v>
      </c>
      <c r="G83" s="55">
        <f>+D83+E83-F83</f>
        <v>2354.66</v>
      </c>
      <c r="H83" s="55">
        <f>1500+700+200-G83</f>
        <v>45.340000000000146</v>
      </c>
      <c r="J83" s="2"/>
      <c r="K83" s="118">
        <f>SUM(K80:K82)</f>
        <v>2386.6</v>
      </c>
      <c r="L83" s="118">
        <f>SUM(L80:L82)</f>
        <v>92.19</v>
      </c>
      <c r="M83" s="118">
        <f>SUM(M80:M82)</f>
        <v>345.21999999999997</v>
      </c>
      <c r="N83" s="118">
        <f>SUM(N80:N82)</f>
        <v>2639.63</v>
      </c>
    </row>
    <row r="84" spans="1:15" s="70" customFormat="1" ht="12.75" customHeight="1" x14ac:dyDescent="0.2">
      <c r="A84" s="24"/>
      <c r="B84" s="1"/>
      <c r="C84" s="14"/>
      <c r="D84" s="56"/>
      <c r="E84" s="13"/>
      <c r="F84" s="2"/>
      <c r="G84" s="30"/>
      <c r="H84" s="30"/>
    </row>
    <row r="85" spans="1:15" s="70" customFormat="1" ht="12.75" customHeight="1" x14ac:dyDescent="0.2">
      <c r="A85" s="215" t="s">
        <v>80</v>
      </c>
      <c r="B85" s="216"/>
      <c r="C85" s="216"/>
      <c r="D85" s="217"/>
      <c r="E85" s="69"/>
      <c r="G85" s="30"/>
      <c r="H85" s="30"/>
    </row>
    <row r="86" spans="1:15" s="70" customFormat="1" ht="12.75" customHeight="1" x14ac:dyDescent="0.2">
      <c r="A86" s="71" t="s">
        <v>81</v>
      </c>
      <c r="B86" s="71"/>
      <c r="C86" s="72" t="s">
        <v>82</v>
      </c>
      <c r="D86" s="73" t="s">
        <v>83</v>
      </c>
      <c r="E86" s="69"/>
      <c r="G86" s="30"/>
      <c r="H86" s="30"/>
    </row>
    <row r="87" spans="1:15" s="70" customFormat="1" ht="12.75" customHeight="1" x14ac:dyDescent="0.2">
      <c r="A87" s="87">
        <v>45323</v>
      </c>
      <c r="B87" s="120" t="s">
        <v>6</v>
      </c>
      <c r="C87" s="75" t="s">
        <v>2030</v>
      </c>
      <c r="D87" s="88">
        <v>881220</v>
      </c>
      <c r="E87" s="2"/>
      <c r="F87" s="2"/>
      <c r="G87" s="30"/>
      <c r="H87" s="30"/>
      <c r="I87" s="2"/>
      <c r="J87" s="2"/>
      <c r="K87" s="2"/>
      <c r="L87" s="2"/>
      <c r="M87" s="41"/>
      <c r="N87" s="42"/>
      <c r="O87" s="2"/>
    </row>
    <row r="88" spans="1:15" s="70" customFormat="1" ht="12.75" customHeight="1" x14ac:dyDescent="0.2">
      <c r="A88" s="87">
        <v>45324</v>
      </c>
      <c r="B88" s="120" t="s">
        <v>6</v>
      </c>
      <c r="C88" s="75" t="s">
        <v>1934</v>
      </c>
      <c r="D88" s="88">
        <v>47729</v>
      </c>
      <c r="E88" s="2"/>
      <c r="F88" s="2"/>
      <c r="G88" s="30"/>
      <c r="H88" s="30"/>
      <c r="I88" s="2"/>
      <c r="J88" s="2"/>
      <c r="K88" s="2"/>
      <c r="L88" s="2"/>
      <c r="M88" s="41"/>
      <c r="N88" s="42"/>
      <c r="O88" s="2"/>
    </row>
    <row r="89" spans="1:15" s="70" customFormat="1" ht="12.75" customHeight="1" x14ac:dyDescent="0.2">
      <c r="A89" s="87">
        <v>45328</v>
      </c>
      <c r="B89" s="120" t="s">
        <v>6</v>
      </c>
      <c r="C89" s="75" t="s">
        <v>606</v>
      </c>
      <c r="D89" s="88">
        <v>1312580</v>
      </c>
      <c r="E89" s="2"/>
      <c r="F89" s="2"/>
      <c r="G89" s="30"/>
      <c r="H89" s="30"/>
      <c r="I89" s="2"/>
      <c r="J89" s="2"/>
      <c r="K89" s="2"/>
      <c r="L89" s="2"/>
      <c r="M89" s="41"/>
      <c r="N89" s="42"/>
      <c r="O89" s="2"/>
    </row>
    <row r="90" spans="1:15" s="70" customFormat="1" ht="12.75" customHeight="1" x14ac:dyDescent="0.2">
      <c r="A90" s="87">
        <v>45327</v>
      </c>
      <c r="B90" s="120" t="s">
        <v>6</v>
      </c>
      <c r="C90" s="75" t="s">
        <v>606</v>
      </c>
      <c r="D90" s="88">
        <v>56647</v>
      </c>
      <c r="E90" s="2"/>
      <c r="F90" s="2"/>
      <c r="G90" s="30"/>
      <c r="H90" s="30"/>
      <c r="I90" s="2"/>
      <c r="J90" s="2"/>
      <c r="K90" s="2"/>
      <c r="L90" s="2"/>
      <c r="M90" s="41"/>
      <c r="N90" s="42"/>
      <c r="O90" s="2"/>
    </row>
    <row r="91" spans="1:15" s="70" customFormat="1" ht="12.75" customHeight="1" x14ac:dyDescent="0.2">
      <c r="A91" s="87">
        <v>45329</v>
      </c>
      <c r="B91" s="120" t="s">
        <v>6</v>
      </c>
      <c r="C91" s="75" t="s">
        <v>2030</v>
      </c>
      <c r="D91" s="88">
        <v>548859</v>
      </c>
      <c r="E91" s="2"/>
      <c r="F91" s="2"/>
      <c r="G91" s="30"/>
      <c r="H91" s="30"/>
      <c r="I91" s="2"/>
      <c r="J91" s="2"/>
      <c r="K91" s="2"/>
      <c r="L91" s="2"/>
      <c r="M91" s="41"/>
      <c r="N91" s="42"/>
      <c r="O91" s="2"/>
    </row>
    <row r="92" spans="1:15" s="2" customFormat="1" x14ac:dyDescent="0.2">
      <c r="A92" s="87"/>
      <c r="B92" s="74"/>
      <c r="C92" s="75"/>
      <c r="D92" s="51">
        <f>SUM(D87:D91)</f>
        <v>2847035</v>
      </c>
      <c r="F92" s="2" t="s">
        <v>396</v>
      </c>
      <c r="G92" s="1"/>
      <c r="H92" s="1"/>
    </row>
    <row r="93" spans="1:15" s="2" customFormat="1" x14ac:dyDescent="0.2">
      <c r="A93" s="24"/>
      <c r="B93" s="1"/>
      <c r="C93" s="14"/>
      <c r="D93" s="56"/>
      <c r="E93" s="13"/>
      <c r="G93" s="1"/>
      <c r="H93" s="1"/>
    </row>
    <row r="94" spans="1:15" s="2" customFormat="1" x14ac:dyDescent="0.2">
      <c r="A94" s="24"/>
      <c r="B94" s="1"/>
      <c r="C94" s="218" t="s">
        <v>77</v>
      </c>
      <c r="D94" s="219"/>
      <c r="E94" s="219"/>
      <c r="F94" s="220"/>
      <c r="I94" s="2" t="s">
        <v>396</v>
      </c>
    </row>
    <row r="95" spans="1:15" s="2" customFormat="1" x14ac:dyDescent="0.2">
      <c r="A95" s="24"/>
      <c r="B95" s="1"/>
      <c r="C95" s="50"/>
      <c r="D95" s="57" t="s">
        <v>78</v>
      </c>
      <c r="E95" s="58" t="s">
        <v>79</v>
      </c>
      <c r="F95" s="57" t="s">
        <v>72</v>
      </c>
      <c r="I95" s="2" t="s">
        <v>396</v>
      </c>
    </row>
    <row r="96" spans="1:15" s="2" customFormat="1" x14ac:dyDescent="0.2">
      <c r="A96" s="24"/>
      <c r="B96" s="1"/>
      <c r="C96" s="59" t="str">
        <f>"01-02-2024 to "&amp;TEXT(A5-2,"dd-mm-yyyy")</f>
        <v>01-02-2024 to 06-02-2024</v>
      </c>
      <c r="D96" s="60">
        <v>821.97</v>
      </c>
      <c r="E96" s="60">
        <v>106.5</v>
      </c>
      <c r="F96" s="61">
        <f>SUM(D96:E96)</f>
        <v>928.47</v>
      </c>
    </row>
    <row r="97" spans="1:14" s="2" customFormat="1" x14ac:dyDescent="0.2">
      <c r="A97" s="24"/>
      <c r="B97" s="1"/>
      <c r="C97" s="62" t="str">
        <f>TEXT(A5-1,"dd-mm-yyyy")</f>
        <v>07-02-2024</v>
      </c>
      <c r="D97" s="60">
        <v>42.71</v>
      </c>
      <c r="E97" s="60">
        <v>40.200000000000003</v>
      </c>
      <c r="F97" s="61">
        <f>SUM(D97:E97)</f>
        <v>82.91</v>
      </c>
      <c r="G97" s="1"/>
      <c r="H97" s="1"/>
      <c r="I97" s="53"/>
    </row>
    <row r="98" spans="1:14" s="2" customFormat="1" ht="13.5" thickBot="1" x14ac:dyDescent="0.25">
      <c r="A98" s="24"/>
      <c r="B98" s="1"/>
      <c r="C98" s="63" t="str">
        <f>"01-02-2024 to "&amp;TEXT(A5-1,"dd-mm-yyyy")</f>
        <v>01-02-2024 to 07-02-2024</v>
      </c>
      <c r="D98" s="64">
        <f>SUM(D96:D97)</f>
        <v>864.68000000000006</v>
      </c>
      <c r="E98" s="64">
        <f>SUM(E96:E97)</f>
        <v>146.69999999999999</v>
      </c>
      <c r="F98" s="64">
        <f>SUM(F96:F97)</f>
        <v>1011.38</v>
      </c>
      <c r="G98" s="1"/>
      <c r="H98" s="1"/>
      <c r="I98" s="53"/>
    </row>
    <row r="99" spans="1:14" s="2" customFormat="1" ht="13.5" thickTop="1" x14ac:dyDescent="0.2">
      <c r="A99" s="24"/>
      <c r="B99" s="1"/>
      <c r="C99" s="62"/>
      <c r="D99" s="65"/>
      <c r="E99" s="66"/>
      <c r="F99" s="67"/>
      <c r="M99" s="1"/>
      <c r="N99" s="1"/>
    </row>
    <row r="100" spans="1:14" s="2" customFormat="1" x14ac:dyDescent="0.2">
      <c r="A100" s="24"/>
      <c r="B100" s="1"/>
      <c r="C100" s="62" t="str">
        <f>"01-04-2023 to " &amp;C97</f>
        <v>01-04-2023 to 07-02-2024</v>
      </c>
      <c r="D100" s="68">
        <f>+D98+37155.69</f>
        <v>38020.370000000003</v>
      </c>
      <c r="E100" s="68">
        <f>+E98+4497.36</f>
        <v>4644.0599999999995</v>
      </c>
      <c r="F100" s="68">
        <f>+F98+41653.05</f>
        <v>42664.43</v>
      </c>
      <c r="G100" s="1"/>
      <c r="H100" s="1"/>
      <c r="M100" s="1"/>
      <c r="N100" s="1"/>
    </row>
    <row r="101" spans="1:14" s="2" customFormat="1" x14ac:dyDescent="0.2">
      <c r="A101" s="24"/>
      <c r="B101" s="1"/>
      <c r="C101" s="52"/>
      <c r="D101" s="85"/>
      <c r="E101" s="53"/>
      <c r="F101" s="53"/>
      <c r="G101" s="1"/>
      <c r="H101" s="1"/>
      <c r="M101" s="1"/>
      <c r="N101" s="1"/>
    </row>
    <row r="102" spans="1:14" s="2" customFormat="1" x14ac:dyDescent="0.2">
      <c r="A102" s="24"/>
      <c r="B102" s="1"/>
      <c r="C102" s="52"/>
      <c r="D102" s="85"/>
      <c r="E102" s="53"/>
      <c r="F102" s="53"/>
      <c r="G102" s="1"/>
      <c r="H102" s="1"/>
      <c r="M102" s="1"/>
      <c r="N102" s="1"/>
    </row>
    <row r="103" spans="1:14" s="2" customFormat="1" x14ac:dyDescent="0.2">
      <c r="A103" s="24"/>
      <c r="B103" s="1"/>
      <c r="C103" s="52"/>
      <c r="D103" s="85"/>
      <c r="E103" s="53"/>
      <c r="F103" s="53"/>
      <c r="G103" s="1"/>
      <c r="H103" s="1"/>
      <c r="M103" s="1"/>
      <c r="N103" s="1"/>
    </row>
    <row r="104" spans="1:14" s="2" customFormat="1" x14ac:dyDescent="0.2">
      <c r="A104" s="24"/>
      <c r="B104" s="1"/>
      <c r="C104" s="52"/>
      <c r="D104" s="85"/>
      <c r="E104" s="53"/>
      <c r="F104" s="53"/>
      <c r="G104" s="1"/>
      <c r="H104" s="1"/>
      <c r="M104" s="1"/>
      <c r="N104" s="1"/>
    </row>
    <row r="105" spans="1:14" s="2" customFormat="1" x14ac:dyDescent="0.2">
      <c r="A105" s="24"/>
      <c r="B105" s="1"/>
      <c r="C105" s="14"/>
      <c r="D105" s="25">
        <f>SUM(D102:D104)</f>
        <v>0</v>
      </c>
      <c r="E105" s="2">
        <f>SUM(E102:E104)</f>
        <v>0</v>
      </c>
      <c r="G105" s="1"/>
      <c r="H105" s="1"/>
      <c r="M105" s="1"/>
      <c r="N105" s="1"/>
    </row>
    <row r="106" spans="1:14" s="2" customFormat="1" x14ac:dyDescent="0.2">
      <c r="A106" s="24"/>
      <c r="B106" s="1"/>
      <c r="C106" s="14"/>
      <c r="D106" s="25"/>
      <c r="G106" s="1"/>
      <c r="H106" s="1"/>
      <c r="M106" s="1"/>
      <c r="N106" s="1"/>
    </row>
    <row r="107" spans="1:14" s="2" customFormat="1" x14ac:dyDescent="0.2">
      <c r="A107" s="24"/>
      <c r="B107" s="1"/>
      <c r="C107" s="14"/>
      <c r="D107" s="25"/>
      <c r="G107" s="1"/>
      <c r="H107" s="1"/>
      <c r="M107" s="1"/>
      <c r="N107" s="1"/>
    </row>
    <row r="108" spans="1:14" s="2" customFormat="1" x14ac:dyDescent="0.2">
      <c r="A108" s="24"/>
      <c r="B108" s="1"/>
      <c r="C108" s="14"/>
      <c r="D108" s="25"/>
      <c r="G108" s="1"/>
      <c r="H108" s="1"/>
      <c r="M108" s="1"/>
      <c r="N108" s="1"/>
    </row>
    <row r="109" spans="1:14" s="2" customFormat="1" x14ac:dyDescent="0.2">
      <c r="A109" s="24"/>
      <c r="B109" s="1"/>
      <c r="C109" s="14"/>
      <c r="D109" s="25"/>
      <c r="G109" s="1"/>
      <c r="H109" s="1"/>
      <c r="M109" s="1"/>
      <c r="N109" s="1"/>
    </row>
    <row r="110" spans="1:14" s="2" customFormat="1" x14ac:dyDescent="0.2">
      <c r="A110" s="24"/>
      <c r="B110" s="1"/>
      <c r="C110" s="14"/>
      <c r="D110" s="25"/>
      <c r="G110" s="1"/>
      <c r="H110" s="1"/>
      <c r="M110" s="1"/>
      <c r="N110" s="1"/>
    </row>
    <row r="111" spans="1:14" s="2" customFormat="1" x14ac:dyDescent="0.2">
      <c r="A111" s="24"/>
      <c r="B111" s="1"/>
      <c r="C111" s="14"/>
      <c r="D111" s="25"/>
      <c r="G111" s="1"/>
      <c r="H111" s="1"/>
      <c r="M111" s="1"/>
      <c r="N111" s="1"/>
    </row>
    <row r="112" spans="1:14" s="2" customFormat="1" x14ac:dyDescent="0.2">
      <c r="A112" s="24"/>
      <c r="B112" s="1"/>
      <c r="C112" s="14"/>
      <c r="D112" s="25"/>
      <c r="G112" s="1"/>
      <c r="H112" s="1"/>
      <c r="M112" s="1"/>
      <c r="N112" s="1"/>
    </row>
    <row r="113" spans="1:15" s="2" customFormat="1" x14ac:dyDescent="0.2">
      <c r="A113" s="24"/>
      <c r="B113" s="1"/>
      <c r="C113" s="14"/>
      <c r="D113" s="25"/>
      <c r="G113" s="1"/>
      <c r="H113" s="1"/>
      <c r="M113" s="1"/>
      <c r="N113" s="1"/>
    </row>
    <row r="114" spans="1:15" s="2" customFormat="1" x14ac:dyDescent="0.2">
      <c r="A114" s="24"/>
      <c r="B114" s="1"/>
      <c r="C114" s="14"/>
      <c r="D114" s="25"/>
      <c r="G114" s="1"/>
      <c r="H114" s="1"/>
      <c r="M114" s="1"/>
      <c r="N114" s="1"/>
    </row>
    <row r="115" spans="1:15" s="2" customFormat="1" x14ac:dyDescent="0.2">
      <c r="A115" s="24"/>
      <c r="B115" s="1"/>
      <c r="C115" s="14"/>
      <c r="D115" s="25"/>
      <c r="G115" s="1"/>
      <c r="H115" s="1"/>
      <c r="M115" s="1"/>
      <c r="N115" s="1"/>
    </row>
    <row r="116" spans="1:15" s="2" customFormat="1" x14ac:dyDescent="0.2">
      <c r="A116" s="24"/>
      <c r="B116" s="1"/>
      <c r="C116" s="14"/>
      <c r="D116" s="25"/>
      <c r="G116" s="1"/>
      <c r="H116" s="1"/>
      <c r="M116" s="1"/>
      <c r="N116" s="1"/>
    </row>
    <row r="117" spans="1:15" s="2" customFormat="1" x14ac:dyDescent="0.2">
      <c r="A117" s="24"/>
      <c r="B117" s="1"/>
      <c r="C117" s="14"/>
      <c r="D117" s="25"/>
      <c r="G117" s="1"/>
      <c r="H117" s="1"/>
      <c r="M117" s="1"/>
      <c r="N117" s="1"/>
    </row>
    <row r="118" spans="1:15" s="2" customFormat="1" x14ac:dyDescent="0.2">
      <c r="A118" s="24"/>
      <c r="B118" s="1"/>
      <c r="C118" s="14"/>
      <c r="D118" s="25"/>
      <c r="G118" s="1"/>
      <c r="H118" s="1"/>
      <c r="M118" s="1"/>
      <c r="N118" s="1"/>
    </row>
    <row r="119" spans="1:15" s="2" customFormat="1" x14ac:dyDescent="0.2">
      <c r="A119" s="24"/>
      <c r="B119" s="1"/>
      <c r="C119" s="14"/>
      <c r="D119" s="25"/>
      <c r="G119" s="1"/>
      <c r="H119" s="1"/>
      <c r="J119" s="1"/>
      <c r="K119" s="1"/>
      <c r="L119" s="1"/>
      <c r="M119" s="1"/>
      <c r="N119" s="1"/>
    </row>
    <row r="120" spans="1:15" s="2" customFormat="1" x14ac:dyDescent="0.2">
      <c r="A120" s="24"/>
      <c r="B120" s="1"/>
      <c r="C120" s="14"/>
      <c r="D120" s="25"/>
      <c r="G120" s="1"/>
      <c r="H120" s="1"/>
    </row>
    <row r="121" spans="1:15" s="2" customFormat="1" x14ac:dyDescent="0.2">
      <c r="A121" s="24"/>
      <c r="B121" s="1"/>
      <c r="C121" s="14"/>
      <c r="D121" s="25"/>
      <c r="G121" s="1"/>
      <c r="H121" s="1"/>
      <c r="J121" s="1"/>
      <c r="K121" s="1"/>
      <c r="L121" s="1"/>
      <c r="M121" s="1"/>
      <c r="N121" s="1"/>
    </row>
    <row r="122" spans="1:15" s="2" customFormat="1" x14ac:dyDescent="0.2">
      <c r="A122" s="24"/>
      <c r="B122" s="1"/>
      <c r="C122" s="14"/>
      <c r="D122" s="25"/>
      <c r="G122" s="54"/>
      <c r="H122" s="54"/>
      <c r="J122" s="1"/>
      <c r="K122" s="1"/>
      <c r="L122" s="1"/>
      <c r="M122" s="1"/>
      <c r="N122" s="1"/>
    </row>
    <row r="123" spans="1:15" s="2" customFormat="1" x14ac:dyDescent="0.2">
      <c r="A123" s="24"/>
      <c r="B123" s="1"/>
      <c r="C123" s="14"/>
      <c r="D123" s="25"/>
      <c r="G123" s="54"/>
      <c r="H123" s="54"/>
      <c r="J123" s="1"/>
      <c r="K123" s="1"/>
      <c r="L123" s="1"/>
      <c r="M123" s="1"/>
      <c r="N123" s="1"/>
    </row>
    <row r="124" spans="1:15" s="2" customFormat="1" x14ac:dyDescent="0.2">
      <c r="A124" s="24"/>
      <c r="B124" s="1"/>
      <c r="C124" s="14"/>
      <c r="D124" s="25"/>
      <c r="G124" s="54"/>
      <c r="H124" s="54"/>
      <c r="J124" s="1"/>
      <c r="K124" s="1"/>
      <c r="L124" s="1"/>
      <c r="M124" s="1"/>
      <c r="N124" s="1"/>
    </row>
    <row r="125" spans="1:15" s="2" customFormat="1" x14ac:dyDescent="0.2">
      <c r="A125" s="24"/>
      <c r="B125" s="1"/>
      <c r="C125" s="14"/>
      <c r="D125" s="25"/>
      <c r="G125" s="54"/>
      <c r="H125" s="54"/>
      <c r="I125" s="2" t="s">
        <v>396</v>
      </c>
      <c r="J125" s="1"/>
      <c r="K125" s="1"/>
      <c r="L125" s="1"/>
      <c r="M125" s="1"/>
      <c r="N125" s="1"/>
      <c r="O125" s="1"/>
    </row>
    <row r="126" spans="1:15" s="2" customFormat="1" x14ac:dyDescent="0.2">
      <c r="A126" s="24"/>
      <c r="B126" s="1"/>
      <c r="C126" s="14"/>
      <c r="D126" s="25"/>
      <c r="G126" s="54"/>
      <c r="H126" s="54"/>
      <c r="I126" s="53"/>
    </row>
    <row r="127" spans="1:15" s="2" customFormat="1" x14ac:dyDescent="0.2">
      <c r="A127" s="24"/>
      <c r="B127" s="1"/>
      <c r="C127" s="14"/>
      <c r="D127" s="25"/>
      <c r="G127" s="54"/>
      <c r="H127" s="54"/>
      <c r="I127" s="53" t="s">
        <v>396</v>
      </c>
      <c r="J127" s="1"/>
      <c r="K127" s="1"/>
      <c r="L127" s="1"/>
      <c r="M127" s="1"/>
      <c r="N127" s="1"/>
      <c r="O127" s="1"/>
    </row>
    <row r="128" spans="1:15" x14ac:dyDescent="0.2">
      <c r="G128" s="54"/>
      <c r="H128" s="54"/>
      <c r="I128" s="53" t="s">
        <v>396</v>
      </c>
      <c r="K128" s="42"/>
    </row>
    <row r="129" spans="1:15" s="2" customFormat="1" x14ac:dyDescent="0.2">
      <c r="A129" s="24"/>
      <c r="B129" s="1"/>
      <c r="C129" s="14"/>
      <c r="D129" s="25"/>
      <c r="G129" s="54"/>
      <c r="H129" s="54"/>
      <c r="I129" s="53"/>
      <c r="J129" s="101"/>
      <c r="K129" s="1"/>
      <c r="L129" s="1"/>
      <c r="M129" s="1"/>
      <c r="N129" s="1"/>
      <c r="O129" s="1"/>
    </row>
    <row r="130" spans="1:15" x14ac:dyDescent="0.2">
      <c r="G130" s="54"/>
      <c r="H130" s="54"/>
      <c r="I130" s="53"/>
    </row>
    <row r="131" spans="1:15" x14ac:dyDescent="0.2">
      <c r="G131" s="54"/>
      <c r="H131" s="54"/>
      <c r="I131" s="53"/>
    </row>
    <row r="132" spans="1:15" x14ac:dyDescent="0.2">
      <c r="G132" s="54"/>
      <c r="H132" s="54"/>
      <c r="I132" s="53"/>
    </row>
  </sheetData>
  <sheetProtection insertRows="0"/>
  <mergeCells count="7">
    <mergeCell ref="K78:L78"/>
    <mergeCell ref="A85:D85"/>
    <mergeCell ref="C94:F94"/>
    <mergeCell ref="A1:H1"/>
    <mergeCell ref="A3:F3"/>
    <mergeCell ref="A10:F10"/>
    <mergeCell ref="A31:F31"/>
  </mergeCells>
  <conditionalFormatting sqref="H82:H83">
    <cfRule type="cellIs" dxfId="85" priority="1" operator="lessThan">
      <formula>0</formula>
    </cfRule>
  </conditionalFormatting>
  <conditionalFormatting sqref="C33">
    <cfRule type="duplicateValues" dxfId="84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F800-000000000000}">
  <sheetPr codeName="Sheet544">
    <pageSetUpPr fitToPage="1"/>
  </sheetPr>
  <dimension ref="A1:O136"/>
  <sheetViews>
    <sheetView topLeftCell="D60" zoomScaleNormal="100" workbookViewId="0">
      <selection activeCell="D75" sqref="D75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12.85546875" style="1" customWidth="1"/>
    <col min="9" max="9" width="24.85546875" style="2" bestFit="1" customWidth="1"/>
    <col min="10" max="10" width="21.5703125" style="1" bestFit="1" customWidth="1"/>
    <col min="11" max="11" width="16.85546875" style="1" bestFit="1" customWidth="1"/>
    <col min="12" max="12" width="19.5703125" style="1" bestFit="1" customWidth="1"/>
    <col min="13" max="13" width="13.5703125" style="1" bestFit="1" customWidth="1"/>
    <col min="14" max="14" width="17.42578125" style="1" bestFit="1" customWidth="1"/>
    <col min="15" max="15" width="12.85546875" style="1" bestFit="1" customWidth="1"/>
    <col min="16" max="17" width="9.140625" style="1"/>
    <col min="18" max="18" width="15.5703125" style="1" bestFit="1" customWidth="1"/>
    <col min="19" max="16384" width="9.140625" style="1"/>
  </cols>
  <sheetData>
    <row r="1" spans="1:12" ht="20.25" customHeight="1" x14ac:dyDescent="0.4">
      <c r="A1" s="212" t="s">
        <v>2056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2" ht="12.75" customHeight="1" x14ac:dyDescent="0.4">
      <c r="I2" s="112"/>
      <c r="J2" s="112"/>
    </row>
    <row r="3" spans="1:12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2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2" s="2" customFormat="1" ht="14.25" customHeight="1" x14ac:dyDescent="0.4">
      <c r="A5" s="89">
        <v>45331</v>
      </c>
      <c r="B5" s="9" t="s">
        <v>6</v>
      </c>
      <c r="C5" s="10" t="s">
        <v>7</v>
      </c>
      <c r="D5" s="11"/>
      <c r="E5" s="12">
        <v>615685.23000000045</v>
      </c>
      <c r="F5" s="12"/>
      <c r="G5" s="1"/>
      <c r="H5" s="1"/>
      <c r="I5" s="112"/>
      <c r="J5" s="112"/>
    </row>
    <row r="6" spans="1:12" s="2" customFormat="1" ht="12.75" customHeight="1" x14ac:dyDescent="0.2">
      <c r="D6" s="15" t="s">
        <v>8</v>
      </c>
      <c r="E6" s="16">
        <f>SUM(E5:E5)</f>
        <v>615685.23000000045</v>
      </c>
      <c r="F6" s="16">
        <f>F5</f>
        <v>0</v>
      </c>
      <c r="G6" s="1"/>
      <c r="H6" s="1"/>
      <c r="I6" s="13" t="s">
        <v>1582</v>
      </c>
      <c r="J6" s="13" t="s">
        <v>1583</v>
      </c>
    </row>
    <row r="7" spans="1:12" s="2" customFormat="1" ht="12.75" customHeight="1" x14ac:dyDescent="0.2">
      <c r="A7" s="17"/>
      <c r="B7" s="18"/>
      <c r="C7" s="19" t="s">
        <v>9</v>
      </c>
      <c r="D7" s="20"/>
      <c r="E7" s="21">
        <f>+E6-F6</f>
        <v>615685.23000000045</v>
      </c>
      <c r="F7" s="22"/>
      <c r="G7" s="23"/>
      <c r="H7" s="23"/>
      <c r="I7" s="2">
        <v>388547.1</v>
      </c>
      <c r="J7" s="2">
        <v>0</v>
      </c>
      <c r="K7" s="176">
        <f>I7-J7</f>
        <v>388547.1</v>
      </c>
    </row>
    <row r="8" spans="1:12" ht="12.75" customHeight="1" x14ac:dyDescent="0.4">
      <c r="I8" s="112"/>
      <c r="J8" s="112"/>
    </row>
    <row r="9" spans="1:12" ht="18" customHeight="1" x14ac:dyDescent="0.4">
      <c r="A9" s="213" t="s">
        <v>1037</v>
      </c>
      <c r="B9" s="213"/>
      <c r="C9" s="213"/>
      <c r="D9" s="213"/>
      <c r="E9" s="213"/>
      <c r="F9" s="213"/>
      <c r="I9" s="112"/>
      <c r="J9" s="169">
        <f>90000000-60000000</f>
        <v>30000000</v>
      </c>
      <c r="K9" s="169" t="s">
        <v>1508</v>
      </c>
    </row>
    <row r="10" spans="1:12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I10" s="112"/>
      <c r="J10" s="169">
        <v>29486010.719999999</v>
      </c>
      <c r="K10" s="169" t="s">
        <v>1509</v>
      </c>
      <c r="L10" s="124"/>
    </row>
    <row r="11" spans="1:12" s="2" customFormat="1" ht="14.25" customHeight="1" x14ac:dyDescent="0.2">
      <c r="A11" s="89">
        <v>45331</v>
      </c>
      <c r="B11" s="9" t="s">
        <v>6</v>
      </c>
      <c r="C11" s="10" t="s">
        <v>7</v>
      </c>
      <c r="D11" s="11"/>
      <c r="F11" s="12">
        <v>26025665.280000005</v>
      </c>
      <c r="G11" s="1"/>
      <c r="H11" s="1"/>
      <c r="I11" s="130" t="s">
        <v>396</v>
      </c>
      <c r="J11" s="169">
        <f>+J9-J10</f>
        <v>513989.28000000119</v>
      </c>
      <c r="K11" s="169" t="s">
        <v>712</v>
      </c>
      <c r="L11" s="165" t="s">
        <v>1512</v>
      </c>
    </row>
    <row r="12" spans="1:12" s="2" customFormat="1" ht="14.25" customHeight="1" x14ac:dyDescent="0.2">
      <c r="A12" s="89">
        <v>45331</v>
      </c>
      <c r="B12" s="9" t="s">
        <v>6</v>
      </c>
      <c r="C12" s="10" t="s">
        <v>1706</v>
      </c>
      <c r="D12" s="11" t="s">
        <v>13</v>
      </c>
      <c r="E12" s="12">
        <v>122851</v>
      </c>
      <c r="F12" s="12"/>
      <c r="G12" s="1"/>
      <c r="H12" s="1"/>
      <c r="I12" s="130"/>
      <c r="J12" s="169"/>
      <c r="K12" s="169"/>
      <c r="L12" s="165"/>
    </row>
    <row r="13" spans="1:12" s="2" customFormat="1" ht="14.25" customHeight="1" x14ac:dyDescent="0.2">
      <c r="A13" s="89">
        <v>45331</v>
      </c>
      <c r="B13" s="9" t="s">
        <v>6</v>
      </c>
      <c r="C13" s="10" t="s">
        <v>1002</v>
      </c>
      <c r="D13" s="11" t="s">
        <v>13</v>
      </c>
      <c r="E13" s="2">
        <v>3239259.44</v>
      </c>
      <c r="F13" s="12"/>
      <c r="G13" s="1"/>
      <c r="H13" s="1"/>
      <c r="I13" s="130"/>
      <c r="J13" s="169"/>
      <c r="K13" s="169"/>
      <c r="L13" s="165"/>
    </row>
    <row r="14" spans="1:12" s="2" customFormat="1" ht="14.25" customHeight="1" x14ac:dyDescent="0.2">
      <c r="A14" s="89">
        <v>45331</v>
      </c>
      <c r="B14" s="9" t="s">
        <v>6</v>
      </c>
      <c r="C14" s="10" t="s">
        <v>1647</v>
      </c>
      <c r="D14" s="11" t="s">
        <v>13</v>
      </c>
      <c r="E14" s="2">
        <v>388547.1</v>
      </c>
      <c r="F14" s="12"/>
      <c r="G14" s="1"/>
      <c r="H14" s="1"/>
      <c r="I14" s="130"/>
      <c r="J14" s="169"/>
      <c r="K14" s="169"/>
      <c r="L14" s="165"/>
    </row>
    <row r="15" spans="1:12" s="2" customFormat="1" ht="14.25" customHeight="1" x14ac:dyDescent="0.2">
      <c r="A15" s="89">
        <v>45331</v>
      </c>
      <c r="B15" s="9" t="s">
        <v>11</v>
      </c>
      <c r="C15" s="10" t="s">
        <v>1706</v>
      </c>
      <c r="D15" s="11" t="s">
        <v>258</v>
      </c>
      <c r="F15" s="12">
        <v>30713</v>
      </c>
      <c r="G15" s="1"/>
      <c r="H15" s="1"/>
      <c r="I15" s="130"/>
      <c r="J15" s="169"/>
      <c r="K15" s="169"/>
      <c r="L15" s="165"/>
    </row>
    <row r="16" spans="1:12" s="2" customFormat="1" ht="14.25" customHeight="1" x14ac:dyDescent="0.2">
      <c r="A16" s="89">
        <v>45331</v>
      </c>
      <c r="B16" s="9" t="s">
        <v>11</v>
      </c>
      <c r="C16" s="76" t="s">
        <v>64</v>
      </c>
      <c r="D16" s="11" t="s">
        <v>29</v>
      </c>
      <c r="F16" s="31">
        <v>4343.0600000000004</v>
      </c>
      <c r="G16" s="1"/>
      <c r="H16" s="1"/>
      <c r="I16" s="130"/>
      <c r="J16" s="169"/>
      <c r="K16" s="169"/>
      <c r="L16" s="165"/>
    </row>
    <row r="17" spans="1:14" s="2" customFormat="1" ht="14.25" customHeight="1" x14ac:dyDescent="0.2">
      <c r="A17" s="89">
        <v>45331</v>
      </c>
      <c r="B17" s="9" t="s">
        <v>11</v>
      </c>
      <c r="C17" s="76" t="s">
        <v>113</v>
      </c>
      <c r="D17" s="11" t="s">
        <v>29</v>
      </c>
      <c r="F17" s="31">
        <v>11330</v>
      </c>
      <c r="G17" s="1"/>
      <c r="H17" s="1"/>
      <c r="I17" s="130"/>
      <c r="J17" s="169"/>
      <c r="K17" s="169"/>
      <c r="L17" s="165"/>
    </row>
    <row r="18" spans="1:14" s="2" customFormat="1" ht="14.25" customHeight="1" x14ac:dyDescent="0.2">
      <c r="A18" s="89">
        <v>45331</v>
      </c>
      <c r="B18" s="9" t="s">
        <v>11</v>
      </c>
      <c r="C18" s="76" t="s">
        <v>452</v>
      </c>
      <c r="D18" s="11" t="s">
        <v>29</v>
      </c>
      <c r="F18" s="31">
        <v>432855</v>
      </c>
      <c r="G18" s="1"/>
      <c r="H18" s="1"/>
      <c r="I18" s="130"/>
      <c r="J18" s="169"/>
      <c r="K18" s="169"/>
      <c r="L18" s="165"/>
    </row>
    <row r="19" spans="1:14" s="2" customFormat="1" ht="14.25" customHeight="1" x14ac:dyDescent="0.2">
      <c r="A19" s="89">
        <v>45331</v>
      </c>
      <c r="B19" s="9" t="s">
        <v>11</v>
      </c>
      <c r="C19" s="76" t="s">
        <v>1461</v>
      </c>
      <c r="D19" s="11" t="s">
        <v>29</v>
      </c>
      <c r="F19" s="31">
        <v>20886</v>
      </c>
      <c r="G19" s="1"/>
      <c r="H19" s="1"/>
      <c r="I19" s="130"/>
      <c r="J19" s="169"/>
      <c r="K19" s="169"/>
      <c r="L19" s="165"/>
    </row>
    <row r="20" spans="1:14" s="2" customFormat="1" ht="14.25" customHeight="1" x14ac:dyDescent="0.2">
      <c r="A20" s="89">
        <v>45331</v>
      </c>
      <c r="B20" s="9" t="s">
        <v>11</v>
      </c>
      <c r="C20" s="76" t="s">
        <v>1492</v>
      </c>
      <c r="D20" s="11" t="s">
        <v>29</v>
      </c>
      <c r="F20" s="31">
        <v>24145</v>
      </c>
      <c r="G20" s="1"/>
      <c r="H20" s="1"/>
      <c r="I20" s="130"/>
      <c r="J20" s="169"/>
      <c r="K20" s="169"/>
      <c r="L20" s="165"/>
    </row>
    <row r="21" spans="1:14" s="2" customFormat="1" ht="14.25" customHeight="1" x14ac:dyDescent="0.2">
      <c r="A21" s="89">
        <v>45331</v>
      </c>
      <c r="B21" s="9" t="s">
        <v>11</v>
      </c>
      <c r="C21" s="76" t="s">
        <v>886</v>
      </c>
      <c r="D21" s="11" t="s">
        <v>29</v>
      </c>
      <c r="F21" s="31">
        <v>5684</v>
      </c>
      <c r="G21" s="1"/>
      <c r="H21" s="1"/>
      <c r="I21" s="130"/>
      <c r="J21" s="169"/>
      <c r="K21" s="169"/>
      <c r="L21" s="165"/>
    </row>
    <row r="22" spans="1:14" s="2" customFormat="1" ht="14.25" customHeight="1" x14ac:dyDescent="0.2">
      <c r="A22" s="89">
        <v>45331</v>
      </c>
      <c r="B22" s="9" t="s">
        <v>11</v>
      </c>
      <c r="C22" s="76" t="s">
        <v>243</v>
      </c>
      <c r="D22" s="11" t="s">
        <v>29</v>
      </c>
      <c r="F22" s="31">
        <v>3119.92</v>
      </c>
      <c r="G22" s="1"/>
      <c r="H22" s="1"/>
      <c r="I22" s="130"/>
      <c r="J22" s="169"/>
      <c r="K22" s="169"/>
      <c r="L22" s="165"/>
    </row>
    <row r="23" spans="1:14" s="2" customFormat="1" ht="14.25" customHeight="1" x14ac:dyDescent="0.2">
      <c r="A23" s="89">
        <v>45331</v>
      </c>
      <c r="B23" s="9" t="s">
        <v>11</v>
      </c>
      <c r="C23" s="76" t="s">
        <v>540</v>
      </c>
      <c r="D23" s="11" t="s">
        <v>29</v>
      </c>
      <c r="F23" s="31">
        <v>6860</v>
      </c>
      <c r="G23" s="1"/>
      <c r="H23" s="1"/>
      <c r="I23" s="130"/>
      <c r="J23" s="169"/>
      <c r="K23" s="169"/>
      <c r="L23" s="165"/>
    </row>
    <row r="24" spans="1:14" s="2" customFormat="1" ht="14.25" customHeight="1" x14ac:dyDescent="0.2">
      <c r="A24" s="89">
        <v>45331</v>
      </c>
      <c r="B24" s="9" t="s">
        <v>11</v>
      </c>
      <c r="C24" s="76" t="s">
        <v>57</v>
      </c>
      <c r="D24" s="11" t="s">
        <v>29</v>
      </c>
      <c r="F24" s="31">
        <v>6000000</v>
      </c>
      <c r="G24" s="1"/>
      <c r="H24" s="1"/>
      <c r="I24" s="130"/>
      <c r="J24" s="169"/>
      <c r="K24" s="169"/>
      <c r="L24" s="165"/>
    </row>
    <row r="25" spans="1:14" s="2" customFormat="1" ht="14.25" customHeight="1" x14ac:dyDescent="0.2">
      <c r="A25" s="89">
        <v>45331</v>
      </c>
      <c r="B25" s="9" t="s">
        <v>11</v>
      </c>
      <c r="C25" s="76" t="s">
        <v>235</v>
      </c>
      <c r="D25" s="11" t="s">
        <v>29</v>
      </c>
      <c r="F25" s="31">
        <v>5970</v>
      </c>
      <c r="G25" s="1"/>
      <c r="H25" s="1"/>
      <c r="I25" s="130"/>
      <c r="J25" s="169"/>
      <c r="K25" s="169"/>
      <c r="L25" s="165"/>
    </row>
    <row r="26" spans="1:14" s="2" customFormat="1" ht="14.25" customHeight="1" x14ac:dyDescent="0.2">
      <c r="A26" s="89">
        <v>45331</v>
      </c>
      <c r="B26" s="9" t="s">
        <v>11</v>
      </c>
      <c r="C26" s="76" t="s">
        <v>2057</v>
      </c>
      <c r="D26" s="11" t="s">
        <v>29</v>
      </c>
      <c r="F26" s="31">
        <v>26000</v>
      </c>
      <c r="G26" s="1"/>
      <c r="H26" s="1"/>
      <c r="I26" s="130"/>
      <c r="J26" s="169"/>
      <c r="K26" s="169"/>
      <c r="L26" s="165"/>
    </row>
    <row r="27" spans="1:14" s="2" customFormat="1" ht="14.25" customHeight="1" x14ac:dyDescent="0.2">
      <c r="A27" s="89">
        <v>45331</v>
      </c>
      <c r="B27" s="9" t="s">
        <v>11</v>
      </c>
      <c r="C27" s="76" t="s">
        <v>382</v>
      </c>
      <c r="D27" s="11" t="s">
        <v>29</v>
      </c>
      <c r="F27" s="31">
        <v>51744</v>
      </c>
      <c r="G27" s="1"/>
      <c r="H27" s="1"/>
      <c r="I27" s="130"/>
      <c r="J27" s="169"/>
      <c r="K27" s="169"/>
      <c r="L27" s="165"/>
    </row>
    <row r="28" spans="1:14" s="2" customFormat="1" ht="14.25" customHeight="1" x14ac:dyDescent="0.2">
      <c r="A28" s="89">
        <v>45331</v>
      </c>
      <c r="B28" s="9" t="s">
        <v>11</v>
      </c>
      <c r="C28" s="76" t="s">
        <v>1670</v>
      </c>
      <c r="D28" s="11" t="s">
        <v>29</v>
      </c>
      <c r="F28" s="31">
        <v>59400</v>
      </c>
      <c r="G28" s="1"/>
      <c r="H28" s="1"/>
      <c r="I28" s="130"/>
      <c r="J28" s="169"/>
      <c r="K28" s="169"/>
      <c r="L28" s="165"/>
    </row>
    <row r="29" spans="1:14" s="2" customFormat="1" ht="14.25" customHeight="1" x14ac:dyDescent="0.2">
      <c r="A29" s="89">
        <v>45331</v>
      </c>
      <c r="B29" s="9" t="s">
        <v>11</v>
      </c>
      <c r="C29" s="76" t="s">
        <v>1876</v>
      </c>
      <c r="D29" s="11" t="s">
        <v>29</v>
      </c>
      <c r="F29" s="31">
        <v>5205.8999999999996</v>
      </c>
      <c r="G29" s="1"/>
      <c r="H29" s="1"/>
      <c r="I29" s="130"/>
      <c r="J29" s="169"/>
      <c r="K29" s="169"/>
      <c r="L29" s="165"/>
    </row>
    <row r="30" spans="1:14" s="2" customFormat="1" ht="14.25" customHeight="1" x14ac:dyDescent="0.2">
      <c r="A30" s="89">
        <v>45331</v>
      </c>
      <c r="B30" s="9" t="s">
        <v>11</v>
      </c>
      <c r="C30" s="76" t="s">
        <v>242</v>
      </c>
      <c r="D30" s="11" t="s">
        <v>29</v>
      </c>
      <c r="F30" s="31">
        <v>115642</v>
      </c>
      <c r="G30" s="1"/>
      <c r="H30" s="1"/>
      <c r="I30" s="130"/>
      <c r="J30" s="169"/>
      <c r="K30" s="169"/>
      <c r="L30" s="165"/>
    </row>
    <row r="31" spans="1:14" s="2" customFormat="1" ht="14.25" customHeight="1" x14ac:dyDescent="0.2">
      <c r="A31" s="89">
        <v>45331</v>
      </c>
      <c r="B31" s="9" t="s">
        <v>11</v>
      </c>
      <c r="C31" s="76" t="s">
        <v>721</v>
      </c>
      <c r="D31" s="11" t="s">
        <v>29</v>
      </c>
      <c r="F31" s="31">
        <v>18558</v>
      </c>
      <c r="G31" s="1"/>
      <c r="H31" s="1"/>
      <c r="I31" s="130"/>
      <c r="J31" s="169"/>
      <c r="K31" s="169"/>
      <c r="L31" s="165"/>
    </row>
    <row r="32" spans="1:14" s="2" customFormat="1" ht="14.25" customHeight="1" x14ac:dyDescent="0.2">
      <c r="D32" s="11" t="s">
        <v>8</v>
      </c>
      <c r="E32" s="16">
        <f>SUM(E12:E31)</f>
        <v>3750657.54</v>
      </c>
      <c r="F32" s="16">
        <f>SUM(F11:F31)</f>
        <v>32848121.160000004</v>
      </c>
      <c r="G32" s="1"/>
      <c r="H32" s="1"/>
      <c r="I32" s="143"/>
      <c r="J32" s="130"/>
      <c r="K32" s="143"/>
      <c r="L32" s="143"/>
      <c r="M32" s="143"/>
      <c r="N32" s="143"/>
    </row>
    <row r="33" spans="1:12" s="2" customFormat="1" ht="14.25" customHeight="1" x14ac:dyDescent="0.4">
      <c r="A33" s="17"/>
      <c r="B33" s="18"/>
      <c r="C33" s="96" t="s">
        <v>9</v>
      </c>
      <c r="D33" s="20"/>
      <c r="E33" s="21">
        <f>+F32-E32</f>
        <v>29097463.620000005</v>
      </c>
      <c r="G33" s="1"/>
      <c r="H33" s="1"/>
      <c r="J33" s="112"/>
      <c r="K33" s="153" t="s">
        <v>779</v>
      </c>
    </row>
    <row r="34" spans="1:12" s="2" customFormat="1" ht="14.25" customHeight="1" x14ac:dyDescent="0.2">
      <c r="A34" s="17"/>
      <c r="B34" s="28" t="s">
        <v>66</v>
      </c>
      <c r="C34" s="43" t="s">
        <v>1458</v>
      </c>
      <c r="D34" s="43"/>
      <c r="E34" s="12">
        <f>30000000+60000000</f>
        <v>90000000</v>
      </c>
      <c r="F34" s="22"/>
      <c r="G34" s="1"/>
      <c r="H34" s="1"/>
      <c r="J34" s="40">
        <v>29097463.620000001</v>
      </c>
      <c r="K34" s="154">
        <f>J34-E33</f>
        <v>0</v>
      </c>
    </row>
    <row r="35" spans="1:12" s="2" customFormat="1" ht="14.25" customHeight="1" x14ac:dyDescent="0.25">
      <c r="A35" s="36"/>
      <c r="B35" s="28"/>
      <c r="C35" s="44" t="s">
        <v>1541</v>
      </c>
      <c r="D35" s="43"/>
      <c r="E35" s="7">
        <f>+E33+E34</f>
        <v>119097463.62</v>
      </c>
      <c r="F35" s="22"/>
      <c r="G35" s="1"/>
      <c r="H35" s="1"/>
      <c r="I35" s="13" t="s">
        <v>1582</v>
      </c>
      <c r="J35" s="13" t="s">
        <v>1583</v>
      </c>
    </row>
    <row r="36" spans="1:12" s="2" customFormat="1" ht="14.25" customHeight="1" x14ac:dyDescent="0.25">
      <c r="A36" s="36"/>
      <c r="B36" s="28"/>
      <c r="C36" s="44" t="s">
        <v>1511</v>
      </c>
      <c r="D36" s="43"/>
      <c r="E36" s="38">
        <f>+J11+I7-J7</f>
        <v>902536.38000000117</v>
      </c>
      <c r="F36" s="22"/>
      <c r="G36" s="1"/>
      <c r="H36" s="1"/>
      <c r="I36" s="2">
        <v>1537360</v>
      </c>
      <c r="J36" s="2">
        <v>4425762</v>
      </c>
      <c r="K36" s="176">
        <f>I36-J36</f>
        <v>-2888402</v>
      </c>
    </row>
    <row r="37" spans="1:12" s="2" customFormat="1" ht="14.25" customHeight="1" x14ac:dyDescent="0.2">
      <c r="A37" s="24"/>
      <c r="B37" s="1"/>
      <c r="C37" s="14"/>
      <c r="D37" s="25"/>
      <c r="G37" s="1"/>
      <c r="H37" s="1"/>
      <c r="J37" s="130"/>
      <c r="K37" s="130"/>
    </row>
    <row r="38" spans="1:12" s="2" customFormat="1" x14ac:dyDescent="0.2">
      <c r="A38" s="214" t="s">
        <v>10</v>
      </c>
      <c r="B38" s="214"/>
      <c r="C38" s="214"/>
      <c r="D38" s="214"/>
      <c r="E38" s="214"/>
      <c r="F38" s="214"/>
      <c r="G38" s="1"/>
      <c r="H38" s="1"/>
      <c r="I38" s="159"/>
      <c r="J38" s="160">
        <f>100000000+25000000</f>
        <v>125000000</v>
      </c>
      <c r="K38" s="160" t="s">
        <v>1506</v>
      </c>
      <c r="L38" s="70"/>
    </row>
    <row r="39" spans="1:12" s="2" customFormat="1" ht="15" x14ac:dyDescent="0.35">
      <c r="A39" s="26" t="s">
        <v>1</v>
      </c>
      <c r="B39" s="27" t="s">
        <v>2</v>
      </c>
      <c r="C39" s="5"/>
      <c r="D39" s="6" t="s">
        <v>3</v>
      </c>
      <c r="E39" s="7" t="s">
        <v>4</v>
      </c>
      <c r="F39" s="7" t="s">
        <v>5</v>
      </c>
      <c r="G39" s="1"/>
      <c r="H39" s="1"/>
      <c r="I39" s="159"/>
      <c r="J39" s="179">
        <v>97770345.319999993</v>
      </c>
      <c r="K39" s="160" t="s">
        <v>1507</v>
      </c>
      <c r="L39" s="70" t="s">
        <v>1512</v>
      </c>
    </row>
    <row r="40" spans="1:12" s="2" customFormat="1" x14ac:dyDescent="0.2">
      <c r="A40" s="89">
        <v>45331</v>
      </c>
      <c r="B40" s="128" t="s">
        <v>11</v>
      </c>
      <c r="C40" s="29" t="s">
        <v>7</v>
      </c>
      <c r="D40" s="25"/>
      <c r="E40" s="31"/>
      <c r="F40" s="2">
        <v>107774646.0899999</v>
      </c>
      <c r="G40" s="23"/>
      <c r="H40" s="23"/>
      <c r="I40" s="159" t="s">
        <v>1505</v>
      </c>
      <c r="J40" s="160">
        <f>+J38-J39</f>
        <v>27229654.680000007</v>
      </c>
      <c r="K40" s="160"/>
      <c r="L40" s="70"/>
    </row>
    <row r="41" spans="1:12" s="2" customFormat="1" x14ac:dyDescent="0.2">
      <c r="A41" s="89">
        <v>45331</v>
      </c>
      <c r="B41" s="128" t="s">
        <v>6</v>
      </c>
      <c r="C41" s="76" t="s">
        <v>19</v>
      </c>
      <c r="D41" s="11" t="s">
        <v>13</v>
      </c>
      <c r="E41" s="31">
        <v>8293331</v>
      </c>
      <c r="G41" s="23"/>
      <c r="H41" s="23"/>
      <c r="I41" s="159"/>
      <c r="J41" s="160"/>
      <c r="K41" s="160"/>
      <c r="L41" s="70"/>
    </row>
    <row r="42" spans="1:12" s="2" customFormat="1" x14ac:dyDescent="0.2">
      <c r="A42" s="89">
        <v>45331</v>
      </c>
      <c r="B42" s="128" t="s">
        <v>6</v>
      </c>
      <c r="C42" s="76" t="s">
        <v>24</v>
      </c>
      <c r="D42" s="11" t="s">
        <v>13</v>
      </c>
      <c r="E42" s="31">
        <v>842394</v>
      </c>
      <c r="G42" s="23"/>
      <c r="H42" s="23"/>
      <c r="I42" s="159"/>
      <c r="J42" s="160"/>
      <c r="K42" s="160"/>
      <c r="L42" s="70"/>
    </row>
    <row r="43" spans="1:12" s="2" customFormat="1" x14ac:dyDescent="0.2">
      <c r="A43" s="89">
        <v>45331</v>
      </c>
      <c r="B43" s="128" t="s">
        <v>6</v>
      </c>
      <c r="C43" s="76" t="s">
        <v>403</v>
      </c>
      <c r="D43" s="11" t="s">
        <v>13</v>
      </c>
      <c r="E43" s="31">
        <v>302652</v>
      </c>
      <c r="G43" s="23"/>
      <c r="H43" s="23"/>
      <c r="I43" s="159"/>
      <c r="J43" s="160"/>
      <c r="K43" s="160"/>
      <c r="L43" s="70"/>
    </row>
    <row r="44" spans="1:12" s="2" customFormat="1" x14ac:dyDescent="0.2">
      <c r="A44" s="89">
        <v>45331</v>
      </c>
      <c r="B44" s="128" t="s">
        <v>6</v>
      </c>
      <c r="C44" s="76" t="s">
        <v>1750</v>
      </c>
      <c r="D44" s="11" t="s">
        <v>13</v>
      </c>
      <c r="E44" s="31">
        <v>8663</v>
      </c>
      <c r="G44" s="23"/>
      <c r="H44" s="23"/>
      <c r="I44" s="159"/>
      <c r="J44" s="160"/>
      <c r="K44" s="160"/>
      <c r="L44" s="70"/>
    </row>
    <row r="45" spans="1:12" s="2" customFormat="1" x14ac:dyDescent="0.2">
      <c r="A45" s="89">
        <v>45331</v>
      </c>
      <c r="B45" s="128" t="s">
        <v>6</v>
      </c>
      <c r="C45" s="76" t="s">
        <v>1260</v>
      </c>
      <c r="D45" s="11" t="s">
        <v>13</v>
      </c>
      <c r="E45" s="31">
        <v>603540</v>
      </c>
      <c r="G45" s="23"/>
      <c r="H45" s="23"/>
      <c r="I45" s="159"/>
      <c r="J45" s="160"/>
      <c r="K45" s="160"/>
      <c r="L45" s="70"/>
    </row>
    <row r="46" spans="1:12" s="2" customFormat="1" x14ac:dyDescent="0.2">
      <c r="A46" s="89">
        <v>45331</v>
      </c>
      <c r="B46" s="128" t="s">
        <v>6</v>
      </c>
      <c r="C46" s="76" t="s">
        <v>332</v>
      </c>
      <c r="D46" s="11" t="s">
        <v>13</v>
      </c>
      <c r="E46" s="31">
        <v>68185</v>
      </c>
      <c r="G46" s="23"/>
      <c r="H46" s="23"/>
      <c r="I46" s="159"/>
      <c r="J46" s="160"/>
      <c r="K46" s="160"/>
      <c r="L46" s="70"/>
    </row>
    <row r="47" spans="1:12" s="2" customFormat="1" x14ac:dyDescent="0.2">
      <c r="A47" s="89">
        <v>45331</v>
      </c>
      <c r="B47" s="128" t="s">
        <v>6</v>
      </c>
      <c r="C47" s="76" t="s">
        <v>316</v>
      </c>
      <c r="D47" s="11" t="s">
        <v>13</v>
      </c>
      <c r="E47" s="31">
        <v>121489</v>
      </c>
      <c r="G47" s="23"/>
      <c r="H47" s="23"/>
      <c r="I47" s="159"/>
      <c r="J47" s="160"/>
      <c r="K47" s="160"/>
      <c r="L47" s="70"/>
    </row>
    <row r="48" spans="1:12" s="2" customFormat="1" x14ac:dyDescent="0.2">
      <c r="A48" s="89">
        <v>45331</v>
      </c>
      <c r="B48" s="128" t="s">
        <v>6</v>
      </c>
      <c r="C48" s="76" t="s">
        <v>320</v>
      </c>
      <c r="D48" s="11" t="s">
        <v>13</v>
      </c>
      <c r="E48" s="31">
        <v>20196</v>
      </c>
      <c r="G48" s="23"/>
      <c r="H48" s="23"/>
      <c r="I48" s="159"/>
      <c r="J48" s="160"/>
      <c r="K48" s="160"/>
      <c r="L48" s="70"/>
    </row>
    <row r="49" spans="1:12" s="2" customFormat="1" x14ac:dyDescent="0.2">
      <c r="A49" s="89">
        <v>45331</v>
      </c>
      <c r="B49" s="128" t="s">
        <v>6</v>
      </c>
      <c r="C49" s="76" t="s">
        <v>14</v>
      </c>
      <c r="D49" s="11" t="s">
        <v>13</v>
      </c>
      <c r="E49" s="31">
        <v>2636</v>
      </c>
      <c r="G49" s="23"/>
      <c r="H49" s="23"/>
      <c r="I49" s="159"/>
      <c r="J49" s="160"/>
      <c r="K49" s="160"/>
      <c r="L49" s="70"/>
    </row>
    <row r="50" spans="1:12" s="2" customFormat="1" x14ac:dyDescent="0.2">
      <c r="A50" s="89">
        <v>45331</v>
      </c>
      <c r="B50" s="128" t="s">
        <v>6</v>
      </c>
      <c r="C50" s="76" t="s">
        <v>1382</v>
      </c>
      <c r="D50" s="11" t="s">
        <v>13</v>
      </c>
      <c r="E50" s="31">
        <v>67414</v>
      </c>
      <c r="G50" s="23"/>
      <c r="H50" s="23"/>
      <c r="I50" s="159"/>
      <c r="J50" s="160"/>
      <c r="K50" s="160"/>
      <c r="L50" s="70"/>
    </row>
    <row r="51" spans="1:12" s="2" customFormat="1" x14ac:dyDescent="0.2">
      <c r="A51" s="89">
        <v>45331</v>
      </c>
      <c r="B51" s="128" t="s">
        <v>6</v>
      </c>
      <c r="C51" s="76" t="s">
        <v>2058</v>
      </c>
      <c r="D51" s="11" t="s">
        <v>13</v>
      </c>
      <c r="E51" s="31">
        <v>925058</v>
      </c>
      <c r="G51" s="23"/>
      <c r="H51" s="23"/>
      <c r="I51" s="159"/>
      <c r="J51" s="160"/>
      <c r="K51" s="160"/>
      <c r="L51" s="70"/>
    </row>
    <row r="52" spans="1:12" s="2" customFormat="1" x14ac:dyDescent="0.2">
      <c r="A52" s="89">
        <v>45331</v>
      </c>
      <c r="B52" s="128" t="s">
        <v>6</v>
      </c>
      <c r="C52" s="76" t="s">
        <v>177</v>
      </c>
      <c r="D52" s="11" t="s">
        <v>13</v>
      </c>
      <c r="E52" s="31">
        <v>1990696</v>
      </c>
      <c r="G52" s="23"/>
      <c r="H52" s="23"/>
      <c r="I52" s="159"/>
      <c r="J52" s="160"/>
      <c r="K52" s="160"/>
      <c r="L52" s="70"/>
    </row>
    <row r="53" spans="1:12" s="2" customFormat="1" x14ac:dyDescent="0.2">
      <c r="A53" s="89">
        <v>45331</v>
      </c>
      <c r="B53" s="128" t="s">
        <v>6</v>
      </c>
      <c r="C53" s="76" t="s">
        <v>2059</v>
      </c>
      <c r="D53" s="11" t="s">
        <v>13</v>
      </c>
      <c r="E53" s="31">
        <v>143200</v>
      </c>
      <c r="G53" s="23"/>
      <c r="H53" s="23"/>
      <c r="I53" s="159"/>
      <c r="J53" s="160"/>
      <c r="K53" s="160"/>
      <c r="L53" s="70"/>
    </row>
    <row r="54" spans="1:12" s="2" customFormat="1" x14ac:dyDescent="0.2">
      <c r="A54" s="89">
        <v>45331</v>
      </c>
      <c r="B54" s="128" t="s">
        <v>6</v>
      </c>
      <c r="C54" s="76" t="s">
        <v>16</v>
      </c>
      <c r="D54" s="11" t="s">
        <v>13</v>
      </c>
      <c r="E54" s="31">
        <v>42.41</v>
      </c>
      <c r="G54" s="23"/>
      <c r="H54" s="23"/>
      <c r="I54" s="159"/>
      <c r="J54" s="160"/>
      <c r="K54" s="160"/>
      <c r="L54" s="70"/>
    </row>
    <row r="55" spans="1:12" s="2" customFormat="1" x14ac:dyDescent="0.2">
      <c r="A55" s="89">
        <v>45331</v>
      </c>
      <c r="B55" s="128" t="s">
        <v>6</v>
      </c>
      <c r="C55" s="76" t="s">
        <v>15</v>
      </c>
      <c r="D55" s="11" t="s">
        <v>13</v>
      </c>
      <c r="E55" s="31">
        <v>26047.82</v>
      </c>
      <c r="G55" s="23"/>
      <c r="H55" s="23"/>
      <c r="I55" s="159"/>
      <c r="J55" s="160"/>
      <c r="K55" s="160"/>
      <c r="L55" s="70"/>
    </row>
    <row r="56" spans="1:12" s="2" customFormat="1" x14ac:dyDescent="0.2">
      <c r="A56" s="89">
        <v>45331</v>
      </c>
      <c r="B56" s="128" t="s">
        <v>6</v>
      </c>
      <c r="C56" s="76" t="s">
        <v>27</v>
      </c>
      <c r="D56" s="11" t="s">
        <v>13</v>
      </c>
      <c r="E56" s="31">
        <v>220127</v>
      </c>
      <c r="G56" s="23"/>
      <c r="H56" s="23"/>
      <c r="I56" s="159"/>
      <c r="J56" s="160"/>
      <c r="K56" s="160"/>
      <c r="L56" s="70"/>
    </row>
    <row r="57" spans="1:12" s="2" customFormat="1" x14ac:dyDescent="0.2">
      <c r="A57" s="89">
        <v>45331</v>
      </c>
      <c r="B57" s="128" t="s">
        <v>6</v>
      </c>
      <c r="C57" s="76" t="s">
        <v>1821</v>
      </c>
      <c r="D57" s="11" t="s">
        <v>13</v>
      </c>
      <c r="E57" s="31">
        <v>44100</v>
      </c>
      <c r="G57" s="23"/>
      <c r="H57" s="23"/>
      <c r="I57" s="159"/>
      <c r="J57" s="160"/>
      <c r="K57" s="160"/>
      <c r="L57" s="70"/>
    </row>
    <row r="58" spans="1:12" s="2" customFormat="1" x14ac:dyDescent="0.2">
      <c r="A58" s="89">
        <v>45331</v>
      </c>
      <c r="B58" s="128" t="s">
        <v>11</v>
      </c>
      <c r="C58" s="76" t="s">
        <v>64</v>
      </c>
      <c r="D58" s="11" t="s">
        <v>29</v>
      </c>
      <c r="E58" s="31"/>
      <c r="F58" s="2">
        <v>3543.54</v>
      </c>
      <c r="G58" s="23"/>
      <c r="H58" s="23"/>
      <c r="I58" s="159"/>
      <c r="J58" s="160"/>
      <c r="K58" s="160"/>
      <c r="L58" s="70"/>
    </row>
    <row r="59" spans="1:12" s="2" customFormat="1" x14ac:dyDescent="0.2">
      <c r="A59" s="89">
        <v>45331</v>
      </c>
      <c r="B59" s="128" t="s">
        <v>11</v>
      </c>
      <c r="C59" s="76" t="s">
        <v>156</v>
      </c>
      <c r="D59" s="11" t="s">
        <v>29</v>
      </c>
      <c r="E59" s="31"/>
      <c r="F59" s="2">
        <v>561.45000000000005</v>
      </c>
      <c r="G59" s="23"/>
      <c r="H59" s="23"/>
      <c r="I59" s="159"/>
      <c r="J59" s="160"/>
      <c r="K59" s="160"/>
      <c r="L59" s="70"/>
    </row>
    <row r="60" spans="1:12" s="2" customFormat="1" x14ac:dyDescent="0.2">
      <c r="A60" s="89">
        <v>45331</v>
      </c>
      <c r="B60" s="128" t="s">
        <v>11</v>
      </c>
      <c r="C60" s="76" t="s">
        <v>274</v>
      </c>
      <c r="D60" s="11" t="s">
        <v>29</v>
      </c>
      <c r="E60" s="31"/>
      <c r="F60" s="2">
        <v>523830.47</v>
      </c>
      <c r="G60" s="23"/>
      <c r="H60" s="23"/>
      <c r="I60" s="159"/>
      <c r="J60" s="160"/>
      <c r="K60" s="160"/>
      <c r="L60" s="70"/>
    </row>
    <row r="61" spans="1:12" s="2" customFormat="1" x14ac:dyDescent="0.2">
      <c r="A61" s="89">
        <v>45331</v>
      </c>
      <c r="B61" s="128" t="s">
        <v>11</v>
      </c>
      <c r="C61" s="76" t="s">
        <v>284</v>
      </c>
      <c r="D61" s="11" t="s">
        <v>29</v>
      </c>
      <c r="E61" s="31"/>
      <c r="F61" s="2">
        <v>607381</v>
      </c>
      <c r="G61" s="23"/>
      <c r="H61" s="23"/>
      <c r="I61" s="159"/>
      <c r="J61" s="160"/>
      <c r="K61" s="160"/>
      <c r="L61" s="70"/>
    </row>
    <row r="62" spans="1:12" s="2" customFormat="1" x14ac:dyDescent="0.2">
      <c r="A62" s="89">
        <v>45331</v>
      </c>
      <c r="B62" s="128" t="s">
        <v>11</v>
      </c>
      <c r="C62" s="76" t="s">
        <v>1403</v>
      </c>
      <c r="D62" s="11" t="s">
        <v>29</v>
      </c>
      <c r="E62" s="31"/>
      <c r="F62" s="2">
        <v>2014332</v>
      </c>
      <c r="G62" s="23"/>
      <c r="H62" s="23"/>
      <c r="I62" s="159"/>
      <c r="J62" s="160"/>
      <c r="K62" s="160"/>
      <c r="L62" s="70"/>
    </row>
    <row r="63" spans="1:12" s="2" customFormat="1" x14ac:dyDescent="0.2">
      <c r="A63" s="89">
        <v>45331</v>
      </c>
      <c r="B63" s="128" t="s">
        <v>11</v>
      </c>
      <c r="C63" s="76" t="s">
        <v>1734</v>
      </c>
      <c r="D63" s="11" t="s">
        <v>29</v>
      </c>
      <c r="E63" s="31"/>
      <c r="F63" s="2">
        <v>2500000</v>
      </c>
      <c r="G63" s="23"/>
      <c r="H63" s="23"/>
      <c r="I63" s="159"/>
      <c r="J63" s="160"/>
      <c r="K63" s="160"/>
      <c r="L63" s="70"/>
    </row>
    <row r="64" spans="1:12" s="2" customFormat="1" x14ac:dyDescent="0.2">
      <c r="A64" s="89">
        <v>45331</v>
      </c>
      <c r="B64" s="128" t="s">
        <v>11</v>
      </c>
      <c r="C64" s="76" t="s">
        <v>25</v>
      </c>
      <c r="D64" s="11" t="s">
        <v>29</v>
      </c>
      <c r="E64" s="31"/>
      <c r="F64" s="2">
        <v>1250000</v>
      </c>
      <c r="G64" s="23"/>
      <c r="H64" s="23"/>
      <c r="I64" s="159"/>
      <c r="J64" s="160"/>
      <c r="K64" s="160"/>
      <c r="L64" s="70"/>
    </row>
    <row r="65" spans="1:15" s="2" customFormat="1" x14ac:dyDescent="0.2">
      <c r="A65" s="89">
        <v>45331</v>
      </c>
      <c r="B65" s="128" t="s">
        <v>11</v>
      </c>
      <c r="C65" s="10" t="s">
        <v>1706</v>
      </c>
      <c r="D65" s="11" t="s">
        <v>13</v>
      </c>
      <c r="E65" s="12"/>
      <c r="F65" s="12">
        <v>122851</v>
      </c>
      <c r="G65" s="23"/>
      <c r="H65" s="23"/>
      <c r="I65" s="159"/>
      <c r="J65" s="160"/>
      <c r="K65" s="160"/>
      <c r="L65" s="70" t="s">
        <v>2045</v>
      </c>
    </row>
    <row r="66" spans="1:15" s="2" customFormat="1" x14ac:dyDescent="0.2">
      <c r="A66" s="32"/>
      <c r="B66" s="33"/>
      <c r="C66" s="14"/>
      <c r="D66" s="34"/>
      <c r="E66" s="16">
        <f>SUM(E40:E65)</f>
        <v>13679771.23</v>
      </c>
      <c r="F66" s="16">
        <f>SUM(F40:F65)</f>
        <v>114797145.54999991</v>
      </c>
      <c r="G66" s="1"/>
      <c r="H66" s="1"/>
      <c r="I66" s="1"/>
      <c r="J66" s="38">
        <v>100658747.31999999</v>
      </c>
      <c r="L66" s="92">
        <f>E67-J66</f>
        <v>458626.99999991059</v>
      </c>
      <c r="O66" s="1"/>
    </row>
    <row r="67" spans="1:15" s="2" customFormat="1" x14ac:dyDescent="0.2">
      <c r="A67" s="36"/>
      <c r="B67" s="28" t="s">
        <v>11</v>
      </c>
      <c r="C67" s="19" t="s">
        <v>65</v>
      </c>
      <c r="D67" s="37"/>
      <c r="E67" s="38">
        <f>F66-E66</f>
        <v>101117374.3199999</v>
      </c>
      <c r="F67" s="22"/>
      <c r="G67" s="1"/>
      <c r="H67" s="1"/>
      <c r="I67" s="1"/>
      <c r="J67" s="70"/>
      <c r="K67" s="70"/>
      <c r="L67" s="70"/>
      <c r="O67" s="1"/>
    </row>
    <row r="68" spans="1:15" s="2" customFormat="1" x14ac:dyDescent="0.2">
      <c r="A68" s="36"/>
      <c r="B68" s="28" t="s">
        <v>66</v>
      </c>
      <c r="C68" s="19" t="s">
        <v>67</v>
      </c>
      <c r="D68" s="37"/>
      <c r="E68" s="38">
        <v>11500000</v>
      </c>
      <c r="F68" s="22"/>
      <c r="G68" s="1"/>
      <c r="H68" s="1"/>
      <c r="I68" s="70"/>
      <c r="J68" s="70"/>
      <c r="K68" s="70"/>
      <c r="L68" s="70"/>
      <c r="O68" s="1"/>
    </row>
    <row r="69" spans="1:15" s="2" customFormat="1" x14ac:dyDescent="0.2">
      <c r="A69" s="36"/>
      <c r="B69" s="28" t="s">
        <v>66</v>
      </c>
      <c r="C69" s="43" t="s">
        <v>1457</v>
      </c>
      <c r="D69" s="43"/>
      <c r="E69" s="12">
        <f>400000000-25000000</f>
        <v>375000000</v>
      </c>
      <c r="F69" s="22"/>
      <c r="G69" s="1"/>
      <c r="H69" s="1"/>
      <c r="I69" s="70"/>
      <c r="J69" s="45">
        <v>1096.18</v>
      </c>
      <c r="K69" s="46"/>
      <c r="L69" s="46"/>
      <c r="O69" s="1"/>
    </row>
    <row r="70" spans="1:15" s="2" customFormat="1" ht="15" x14ac:dyDescent="0.25">
      <c r="A70" s="36"/>
      <c r="B70" s="28"/>
      <c r="C70" s="44" t="s">
        <v>1541</v>
      </c>
      <c r="D70" s="43"/>
      <c r="E70" s="7">
        <f>+E69+E67+E68</f>
        <v>487617374.31999993</v>
      </c>
      <c r="F70" s="22"/>
      <c r="G70" s="1"/>
      <c r="H70" s="1"/>
      <c r="I70" s="103" t="s">
        <v>69</v>
      </c>
      <c r="J70" s="45">
        <v>-70.61</v>
      </c>
      <c r="K70" s="46"/>
      <c r="L70" s="46"/>
      <c r="O70" s="1"/>
    </row>
    <row r="71" spans="1:15" s="2" customFormat="1" ht="15" x14ac:dyDescent="0.25">
      <c r="A71" s="24"/>
      <c r="B71" s="1"/>
      <c r="C71" s="44" t="s">
        <v>1510</v>
      </c>
      <c r="D71" s="25"/>
      <c r="E71" s="156">
        <f>+J40-E68+I36-J36</f>
        <v>12841252.680000007</v>
      </c>
      <c r="G71" s="1"/>
      <c r="H71" s="1"/>
      <c r="I71" s="35">
        <v>1</v>
      </c>
      <c r="J71" s="45">
        <f>4.32</f>
        <v>4.32</v>
      </c>
      <c r="K71" s="46">
        <f>+J72-D74</f>
        <v>0</v>
      </c>
      <c r="O71" s="1"/>
    </row>
    <row r="72" spans="1:15" s="124" customFormat="1" ht="12.75" customHeight="1" x14ac:dyDescent="0.2">
      <c r="A72" s="24"/>
      <c r="B72" s="1"/>
      <c r="C72" s="56"/>
      <c r="D72" s="56"/>
      <c r="E72" s="104"/>
      <c r="F72" s="2"/>
      <c r="G72" s="166"/>
      <c r="H72" s="166"/>
      <c r="I72" s="70"/>
      <c r="J72" s="49">
        <f>SUM(J69:J71)</f>
        <v>1029.8900000000001</v>
      </c>
      <c r="K72" s="46"/>
      <c r="L72" s="46"/>
    </row>
    <row r="73" spans="1:15" s="124" customFormat="1" ht="12.75" customHeight="1" x14ac:dyDescent="0.2">
      <c r="A73" s="24"/>
      <c r="B73" s="1"/>
      <c r="C73" s="78" t="s">
        <v>575</v>
      </c>
      <c r="D73" s="48" t="s">
        <v>576</v>
      </c>
      <c r="E73" s="104"/>
      <c r="F73" s="2"/>
      <c r="G73" s="168"/>
      <c r="H73" s="168"/>
      <c r="I73" s="167"/>
      <c r="J73" s="167"/>
      <c r="K73" s="168"/>
    </row>
    <row r="74" spans="1:15" s="124" customFormat="1" ht="12.75" customHeight="1" x14ac:dyDescent="0.2">
      <c r="A74" s="24"/>
      <c r="B74" s="1"/>
      <c r="C74" s="47" t="s">
        <v>570</v>
      </c>
      <c r="D74" s="111">
        <v>1029.8900000000001</v>
      </c>
      <c r="E74" s="104"/>
      <c r="F74" s="2"/>
      <c r="G74" s="168"/>
      <c r="H74" s="168"/>
      <c r="I74" s="110" t="s">
        <v>581</v>
      </c>
      <c r="J74" s="167"/>
      <c r="K74" s="168"/>
    </row>
    <row r="75" spans="1:15" s="124" customFormat="1" ht="12.75" customHeight="1" x14ac:dyDescent="0.2">
      <c r="A75" s="24"/>
      <c r="B75" s="1"/>
      <c r="C75" s="47" t="s">
        <v>931</v>
      </c>
      <c r="D75" s="111">
        <v>63.72</v>
      </c>
      <c r="E75" s="104"/>
      <c r="F75" s="2"/>
      <c r="G75" s="168"/>
      <c r="H75" s="168"/>
      <c r="I75" s="110" t="s">
        <v>580</v>
      </c>
      <c r="J75" s="167"/>
      <c r="K75" s="168"/>
    </row>
    <row r="76" spans="1:15" s="124" customFormat="1" ht="12.75" customHeight="1" x14ac:dyDescent="0.2">
      <c r="A76" s="24"/>
      <c r="B76" s="1"/>
      <c r="C76" s="47" t="s">
        <v>572</v>
      </c>
      <c r="D76" s="111">
        <f>+D96/100000</f>
        <v>28.47035</v>
      </c>
      <c r="E76" s="104"/>
      <c r="F76" s="2"/>
      <c r="G76" s="166"/>
      <c r="H76" s="166"/>
      <c r="I76" s="90" t="s">
        <v>587</v>
      </c>
      <c r="J76" s="167"/>
      <c r="K76" s="168"/>
    </row>
    <row r="77" spans="1:15" s="2" customFormat="1" x14ac:dyDescent="0.2">
      <c r="A77" s="24"/>
      <c r="B77" s="1"/>
      <c r="C77" s="108" t="s">
        <v>578</v>
      </c>
      <c r="D77" s="48">
        <f>SUM(D74:D76)</f>
        <v>1122.0803500000002</v>
      </c>
      <c r="E77" s="104"/>
      <c r="G77" s="30"/>
      <c r="H77" s="30"/>
      <c r="J77" s="13"/>
      <c r="K77" s="13"/>
    </row>
    <row r="78" spans="1:15" s="70" customFormat="1" x14ac:dyDescent="0.2">
      <c r="A78" s="24"/>
      <c r="B78" s="1"/>
      <c r="C78" s="47"/>
      <c r="D78" s="107"/>
      <c r="E78" s="104"/>
      <c r="F78" s="2"/>
      <c r="G78" s="30"/>
      <c r="H78" s="30"/>
      <c r="I78" s="2"/>
    </row>
    <row r="79" spans="1:15" s="70" customFormat="1" x14ac:dyDescent="0.2">
      <c r="A79" s="24"/>
      <c r="B79" s="1"/>
      <c r="C79" s="47" t="s">
        <v>932</v>
      </c>
      <c r="D79" s="111">
        <v>16.14</v>
      </c>
      <c r="E79" s="104"/>
      <c r="F79" s="2"/>
      <c r="G79" s="30"/>
      <c r="H79" s="30"/>
      <c r="I79" s="110" t="s">
        <v>581</v>
      </c>
    </row>
    <row r="80" spans="1:15" s="70" customFormat="1" x14ac:dyDescent="0.2">
      <c r="A80" s="24"/>
      <c r="B80" s="1"/>
      <c r="C80" s="136" t="s">
        <v>1142</v>
      </c>
      <c r="D80" s="111">
        <v>331.28</v>
      </c>
      <c r="E80" s="104"/>
      <c r="F80" s="2"/>
      <c r="G80" s="30"/>
      <c r="H80" s="30"/>
      <c r="I80" s="110" t="s">
        <v>581</v>
      </c>
    </row>
    <row r="81" spans="1:15" s="70" customFormat="1" x14ac:dyDescent="0.2">
      <c r="A81" s="24"/>
      <c r="B81" s="1"/>
      <c r="C81" s="78" t="s">
        <v>579</v>
      </c>
      <c r="D81" s="109">
        <f>D79+D80</f>
        <v>347.41999999999996</v>
      </c>
      <c r="E81" s="104"/>
      <c r="F81" s="2"/>
      <c r="G81" s="30"/>
      <c r="H81" s="30"/>
    </row>
    <row r="82" spans="1:15" s="70" customFormat="1" x14ac:dyDescent="0.2">
      <c r="A82" s="24"/>
      <c r="B82" s="1"/>
      <c r="C82" s="105"/>
      <c r="D82" s="106"/>
      <c r="E82" s="104"/>
      <c r="F82" s="2"/>
      <c r="G82" s="30"/>
      <c r="H82" s="30"/>
      <c r="J82" s="2"/>
      <c r="K82" s="221" t="str">
        <f>"FROM ( 01-02-2024 to "&amp;TEXT(A5,"dd-mm-yyyy")&amp;" )"</f>
        <v>FROM ( 01-02-2024 to 09-02-2024 )</v>
      </c>
      <c r="L82" s="221"/>
      <c r="M82" s="2"/>
      <c r="N82" s="2"/>
    </row>
    <row r="83" spans="1:15" s="70" customFormat="1" x14ac:dyDescent="0.2">
      <c r="A83" s="24"/>
      <c r="B83" s="1"/>
      <c r="C83" s="78" t="s">
        <v>577</v>
      </c>
      <c r="D83" s="109">
        <f>D74+D81</f>
        <v>1377.31</v>
      </c>
      <c r="E83" s="104"/>
      <c r="F83" s="2"/>
      <c r="G83" s="30"/>
      <c r="H83" s="30"/>
      <c r="J83" s="113"/>
      <c r="K83" s="113" t="s">
        <v>709</v>
      </c>
      <c r="L83" s="113" t="s">
        <v>710</v>
      </c>
      <c r="M83" s="113" t="s">
        <v>711</v>
      </c>
      <c r="N83" s="113" t="s">
        <v>712</v>
      </c>
    </row>
    <row r="84" spans="1:15" s="70" customFormat="1" x14ac:dyDescent="0.2">
      <c r="A84" s="24"/>
      <c r="B84" s="1"/>
      <c r="C84" s="56"/>
      <c r="D84" s="56"/>
      <c r="E84" s="104"/>
      <c r="F84" s="2"/>
      <c r="G84" s="30"/>
      <c r="H84" s="30"/>
      <c r="J84" s="113" t="s">
        <v>1860</v>
      </c>
      <c r="K84" s="115">
        <v>191.98999999999998</v>
      </c>
      <c r="L84" s="115">
        <v>0</v>
      </c>
      <c r="M84" s="115">
        <v>0</v>
      </c>
      <c r="N84" s="113">
        <f>+K84+M84-L84</f>
        <v>191.98999999999998</v>
      </c>
    </row>
    <row r="85" spans="1:15" s="70" customFormat="1" ht="38.25" x14ac:dyDescent="0.2">
      <c r="A85" s="24"/>
      <c r="B85" s="1"/>
      <c r="C85" s="79" t="str">
        <f>"Particulars ( 01-02-2024 to "&amp;TEXT(A5,"dd-mm-yyyy")&amp;" )"</f>
        <v>Particulars ( 01-02-2024 to 09-02-2024 )</v>
      </c>
      <c r="D85" s="79" t="s">
        <v>7</v>
      </c>
      <c r="E85" s="80" t="s">
        <v>73</v>
      </c>
      <c r="F85" s="80" t="s">
        <v>74</v>
      </c>
      <c r="G85" s="81" t="s">
        <v>75</v>
      </c>
      <c r="H85" s="80" t="s">
        <v>76</v>
      </c>
      <c r="J85" s="113" t="s">
        <v>1861</v>
      </c>
      <c r="K85" s="115">
        <v>1862.06</v>
      </c>
      <c r="L85" s="115">
        <v>28.47</v>
      </c>
      <c r="M85" s="115">
        <v>331.28</v>
      </c>
      <c r="N85" s="113">
        <f>+K85+M85-L85</f>
        <v>2164.8700000000003</v>
      </c>
    </row>
    <row r="86" spans="1:15" s="70" customFormat="1" x14ac:dyDescent="0.2">
      <c r="A86" s="24"/>
      <c r="B86" s="1"/>
      <c r="C86" s="50" t="s">
        <v>444</v>
      </c>
      <c r="D86" s="55">
        <f>+K86</f>
        <v>332.55</v>
      </c>
      <c r="E86" s="55">
        <f>+IF(M86=0,0,M86)</f>
        <v>16.14</v>
      </c>
      <c r="F86" s="55">
        <f>+L86</f>
        <v>63.72</v>
      </c>
      <c r="G86" s="55">
        <f>+D86+E86-F86</f>
        <v>284.97000000000003</v>
      </c>
      <c r="H86" s="55">
        <f>1500-G86</f>
        <v>1215.03</v>
      </c>
      <c r="I86" s="70">
        <f>+IF(M86=0,0,M86)</f>
        <v>16.14</v>
      </c>
      <c r="J86" s="113" t="s">
        <v>707</v>
      </c>
      <c r="K86" s="115">
        <v>332.55</v>
      </c>
      <c r="L86" s="115">
        <v>63.72</v>
      </c>
      <c r="M86" s="115">
        <v>16.14</v>
      </c>
      <c r="N86" s="113">
        <f>+K86+M86-L86</f>
        <v>284.97000000000003</v>
      </c>
    </row>
    <row r="87" spans="1:15" s="70" customFormat="1" ht="12.75" customHeight="1" x14ac:dyDescent="0.2">
      <c r="A87" s="24"/>
      <c r="B87" s="1"/>
      <c r="C87" s="50" t="s">
        <v>71</v>
      </c>
      <c r="D87" s="55">
        <f>+K84+K85</f>
        <v>2054.0499999999997</v>
      </c>
      <c r="E87" s="55">
        <f>+M84+M85</f>
        <v>331.28</v>
      </c>
      <c r="F87" s="55">
        <f>+L84+L85</f>
        <v>28.47</v>
      </c>
      <c r="G87" s="55">
        <f>+D87+E87-F87</f>
        <v>2356.86</v>
      </c>
      <c r="H87" s="55">
        <f>1500+700+200-G87</f>
        <v>43.139999999999873</v>
      </c>
      <c r="J87" s="2"/>
      <c r="K87" s="118">
        <f>SUM(K84:K86)</f>
        <v>2386.6</v>
      </c>
      <c r="L87" s="118">
        <f>SUM(L84:L86)</f>
        <v>92.19</v>
      </c>
      <c r="M87" s="118">
        <f>SUM(M84:M86)</f>
        <v>347.41999999999996</v>
      </c>
      <c r="N87" s="118">
        <f>SUM(N84:N86)</f>
        <v>2641.83</v>
      </c>
    </row>
    <row r="88" spans="1:15" s="70" customFormat="1" ht="12.75" customHeight="1" x14ac:dyDescent="0.2">
      <c r="A88" s="24"/>
      <c r="B88" s="1"/>
      <c r="C88" s="14"/>
      <c r="D88" s="56"/>
      <c r="E88" s="13"/>
      <c r="F88" s="2"/>
      <c r="G88" s="30"/>
      <c r="H88" s="30"/>
    </row>
    <row r="89" spans="1:15" s="70" customFormat="1" ht="12.75" customHeight="1" x14ac:dyDescent="0.2">
      <c r="A89" s="215" t="s">
        <v>80</v>
      </c>
      <c r="B89" s="216"/>
      <c r="C89" s="216"/>
      <c r="D89" s="217"/>
      <c r="E89" s="69"/>
      <c r="G89" s="30"/>
      <c r="H89" s="30"/>
    </row>
    <row r="90" spans="1:15" s="70" customFormat="1" ht="12.75" customHeight="1" x14ac:dyDescent="0.2">
      <c r="A90" s="71" t="s">
        <v>81</v>
      </c>
      <c r="B90" s="71"/>
      <c r="C90" s="72" t="s">
        <v>82</v>
      </c>
      <c r="D90" s="73" t="s">
        <v>83</v>
      </c>
      <c r="E90" s="69"/>
      <c r="G90" s="30"/>
      <c r="H90" s="30"/>
    </row>
    <row r="91" spans="1:15" s="70" customFormat="1" ht="12.75" customHeight="1" x14ac:dyDescent="0.2">
      <c r="A91" s="87">
        <v>45323</v>
      </c>
      <c r="B91" s="120" t="s">
        <v>6</v>
      </c>
      <c r="C91" s="75" t="s">
        <v>2030</v>
      </c>
      <c r="D91" s="88">
        <v>881220</v>
      </c>
      <c r="E91" s="2"/>
      <c r="F91" s="2"/>
      <c r="G91" s="30"/>
      <c r="H91" s="30"/>
      <c r="I91" s="2"/>
      <c r="J91" s="2"/>
      <c r="K91" s="2"/>
      <c r="L91" s="2"/>
      <c r="M91" s="41"/>
      <c r="N91" s="42"/>
      <c r="O91" s="2"/>
    </row>
    <row r="92" spans="1:15" s="70" customFormat="1" ht="12.75" customHeight="1" x14ac:dyDescent="0.2">
      <c r="A92" s="87">
        <v>45324</v>
      </c>
      <c r="B92" s="120" t="s">
        <v>6</v>
      </c>
      <c r="C92" s="75" t="s">
        <v>1934</v>
      </c>
      <c r="D92" s="88">
        <v>47729</v>
      </c>
      <c r="E92" s="2"/>
      <c r="F92" s="2"/>
      <c r="G92" s="30"/>
      <c r="H92" s="30"/>
      <c r="I92" s="2"/>
      <c r="J92" s="2"/>
      <c r="K92" s="2"/>
      <c r="L92" s="2"/>
      <c r="M92" s="41"/>
      <c r="N92" s="42"/>
      <c r="O92" s="2"/>
    </row>
    <row r="93" spans="1:15" s="70" customFormat="1" ht="12.75" customHeight="1" x14ac:dyDescent="0.2">
      <c r="A93" s="87">
        <v>45328</v>
      </c>
      <c r="B93" s="120" t="s">
        <v>6</v>
      </c>
      <c r="C93" s="75" t="s">
        <v>606</v>
      </c>
      <c r="D93" s="88">
        <v>1312580</v>
      </c>
      <c r="E93" s="2"/>
      <c r="F93" s="2"/>
      <c r="G93" s="30"/>
      <c r="H93" s="30"/>
      <c r="I93" s="2"/>
      <c r="J93" s="2"/>
      <c r="K93" s="2"/>
      <c r="L93" s="2"/>
      <c r="M93" s="41"/>
      <c r="N93" s="42"/>
      <c r="O93" s="2"/>
    </row>
    <row r="94" spans="1:15" s="70" customFormat="1" ht="12.75" customHeight="1" x14ac:dyDescent="0.2">
      <c r="A94" s="87">
        <v>45327</v>
      </c>
      <c r="B94" s="120" t="s">
        <v>6</v>
      </c>
      <c r="C94" s="75" t="s">
        <v>606</v>
      </c>
      <c r="D94" s="88">
        <v>56647</v>
      </c>
      <c r="E94" s="2"/>
      <c r="F94" s="2"/>
      <c r="G94" s="30"/>
      <c r="H94" s="30"/>
      <c r="I94" s="2"/>
      <c r="J94" s="2"/>
      <c r="K94" s="2"/>
      <c r="L94" s="2"/>
      <c r="M94" s="41"/>
      <c r="N94" s="42"/>
      <c r="O94" s="2"/>
    </row>
    <row r="95" spans="1:15" s="70" customFormat="1" ht="12.75" customHeight="1" x14ac:dyDescent="0.2">
      <c r="A95" s="87">
        <v>45329</v>
      </c>
      <c r="B95" s="120" t="s">
        <v>6</v>
      </c>
      <c r="C95" s="75" t="s">
        <v>2030</v>
      </c>
      <c r="D95" s="88">
        <v>548859</v>
      </c>
      <c r="E95" s="2"/>
      <c r="F95" s="2"/>
      <c r="G95" s="30"/>
      <c r="H95" s="30"/>
      <c r="I95" s="2"/>
      <c r="J95" s="2"/>
      <c r="K95" s="2"/>
      <c r="L95" s="2"/>
      <c r="M95" s="41"/>
      <c r="N95" s="42"/>
      <c r="O95" s="2"/>
    </row>
    <row r="96" spans="1:15" s="2" customFormat="1" x14ac:dyDescent="0.2">
      <c r="A96" s="87"/>
      <c r="B96" s="74"/>
      <c r="C96" s="75"/>
      <c r="D96" s="51">
        <f>SUM(D91:D95)</f>
        <v>2847035</v>
      </c>
      <c r="F96" s="2" t="s">
        <v>396</v>
      </c>
      <c r="G96" s="1"/>
      <c r="H96" s="1"/>
    </row>
    <row r="97" spans="1:14" s="2" customFormat="1" x14ac:dyDescent="0.2">
      <c r="A97" s="24"/>
      <c r="B97" s="1"/>
      <c r="C97" s="14"/>
      <c r="D97" s="56"/>
      <c r="E97" s="13"/>
      <c r="G97" s="1"/>
      <c r="H97" s="1"/>
    </row>
    <row r="98" spans="1:14" s="2" customFormat="1" x14ac:dyDescent="0.2">
      <c r="A98" s="24"/>
      <c r="B98" s="1"/>
      <c r="C98" s="218" t="s">
        <v>77</v>
      </c>
      <c r="D98" s="219"/>
      <c r="E98" s="219"/>
      <c r="F98" s="220"/>
      <c r="I98" s="2" t="s">
        <v>396</v>
      </c>
    </row>
    <row r="99" spans="1:14" s="2" customFormat="1" x14ac:dyDescent="0.2">
      <c r="A99" s="24"/>
      <c r="B99" s="1"/>
      <c r="C99" s="50"/>
      <c r="D99" s="57" t="s">
        <v>78</v>
      </c>
      <c r="E99" s="58" t="s">
        <v>79</v>
      </c>
      <c r="F99" s="57" t="s">
        <v>72</v>
      </c>
      <c r="I99" s="2" t="s">
        <v>396</v>
      </c>
    </row>
    <row r="100" spans="1:14" s="2" customFormat="1" x14ac:dyDescent="0.2">
      <c r="A100" s="24"/>
      <c r="B100" s="1"/>
      <c r="C100" s="59" t="str">
        <f>"01-02-2024 to "&amp;TEXT(A5-2,"dd-mm-yyyy")</f>
        <v>01-02-2024 to 07-02-2024</v>
      </c>
      <c r="D100" s="60">
        <v>864.68</v>
      </c>
      <c r="E100" s="60">
        <v>146.53</v>
      </c>
      <c r="F100" s="61">
        <f>SUM(D100:E100)</f>
        <v>1011.2099999999999</v>
      </c>
    </row>
    <row r="101" spans="1:14" s="2" customFormat="1" x14ac:dyDescent="0.2">
      <c r="A101" s="24"/>
      <c r="B101" s="1"/>
      <c r="C101" s="62" t="str">
        <f>TEXT(A5-1,"dd-mm-yyyy")</f>
        <v>08-02-2024</v>
      </c>
      <c r="D101" s="60">
        <v>143.19999999999999</v>
      </c>
      <c r="E101" s="60">
        <v>19.89</v>
      </c>
      <c r="F101" s="61">
        <f>SUM(D101:E101)</f>
        <v>163.08999999999997</v>
      </c>
      <c r="G101" s="1"/>
      <c r="H101" s="1"/>
      <c r="I101" s="53"/>
    </row>
    <row r="102" spans="1:14" s="2" customFormat="1" ht="13.5" thickBot="1" x14ac:dyDescent="0.25">
      <c r="A102" s="24"/>
      <c r="B102" s="1"/>
      <c r="C102" s="63" t="str">
        <f>"01-02-2024 to "&amp;TEXT(A5-1,"dd-mm-yyyy")</f>
        <v>01-02-2024 to 08-02-2024</v>
      </c>
      <c r="D102" s="64">
        <f>SUM(D100:D101)</f>
        <v>1007.8799999999999</v>
      </c>
      <c r="E102" s="64">
        <f>SUM(E100:E101)</f>
        <v>166.42000000000002</v>
      </c>
      <c r="F102" s="64">
        <f>SUM(F100:F101)</f>
        <v>1174.3</v>
      </c>
      <c r="G102" s="1"/>
      <c r="H102" s="1"/>
      <c r="I102" s="53"/>
    </row>
    <row r="103" spans="1:14" s="2" customFormat="1" ht="13.5" thickTop="1" x14ac:dyDescent="0.2">
      <c r="A103" s="24"/>
      <c r="B103" s="1"/>
      <c r="C103" s="62"/>
      <c r="D103" s="65"/>
      <c r="E103" s="66"/>
      <c r="F103" s="67"/>
      <c r="M103" s="1"/>
      <c r="N103" s="1"/>
    </row>
    <row r="104" spans="1:14" s="2" customFormat="1" x14ac:dyDescent="0.2">
      <c r="A104" s="24"/>
      <c r="B104" s="1"/>
      <c r="C104" s="62" t="str">
        <f>"01-04-2023 to " &amp;C101</f>
        <v>01-04-2023 to 08-02-2024</v>
      </c>
      <c r="D104" s="68">
        <f>+D102+37155.69</f>
        <v>38163.57</v>
      </c>
      <c r="E104" s="68">
        <f>+E102+4497.36</f>
        <v>4663.78</v>
      </c>
      <c r="F104" s="68">
        <f>+F102+41653.05</f>
        <v>42827.350000000006</v>
      </c>
      <c r="G104" s="1"/>
      <c r="H104" s="1"/>
      <c r="M104" s="1"/>
      <c r="N104" s="1"/>
    </row>
    <row r="105" spans="1:14" s="2" customFormat="1" x14ac:dyDescent="0.2">
      <c r="A105" s="24"/>
      <c r="B105" s="1"/>
      <c r="C105" s="52"/>
      <c r="D105" s="85"/>
      <c r="E105" s="53"/>
      <c r="F105" s="53"/>
      <c r="G105" s="1"/>
      <c r="H105" s="1"/>
      <c r="M105" s="1"/>
      <c r="N105" s="1"/>
    </row>
    <row r="106" spans="1:14" s="2" customFormat="1" x14ac:dyDescent="0.2">
      <c r="A106" s="24"/>
      <c r="B106" s="1"/>
      <c r="C106" s="52"/>
      <c r="D106" s="85"/>
      <c r="E106" s="53"/>
      <c r="F106" s="53"/>
      <c r="G106" s="1"/>
      <c r="H106" s="1"/>
      <c r="M106" s="1"/>
      <c r="N106" s="1"/>
    </row>
    <row r="107" spans="1:14" s="2" customFormat="1" x14ac:dyDescent="0.2">
      <c r="A107" s="24"/>
      <c r="B107" s="1"/>
      <c r="C107" s="52"/>
      <c r="D107" s="85"/>
      <c r="E107" s="53"/>
      <c r="F107" s="53"/>
      <c r="G107" s="1"/>
      <c r="H107" s="1"/>
      <c r="M107" s="1"/>
      <c r="N107" s="1"/>
    </row>
    <row r="108" spans="1:14" s="2" customFormat="1" x14ac:dyDescent="0.2">
      <c r="A108" s="24"/>
      <c r="B108" s="1"/>
      <c r="C108" s="52"/>
      <c r="D108" s="85"/>
      <c r="E108" s="53"/>
      <c r="F108" s="53"/>
      <c r="G108" s="1"/>
      <c r="H108" s="1"/>
      <c r="M108" s="1"/>
      <c r="N108" s="1"/>
    </row>
    <row r="109" spans="1:14" s="2" customFormat="1" x14ac:dyDescent="0.2">
      <c r="A109" s="24"/>
      <c r="B109" s="1"/>
      <c r="C109" s="14"/>
      <c r="D109" s="25">
        <f>SUM(D106:D108)</f>
        <v>0</v>
      </c>
      <c r="E109" s="2">
        <f>SUM(E106:E108)</f>
        <v>0</v>
      </c>
      <c r="G109" s="1"/>
      <c r="H109" s="1"/>
      <c r="M109" s="1"/>
      <c r="N109" s="1"/>
    </row>
    <row r="110" spans="1:14" s="2" customFormat="1" x14ac:dyDescent="0.2">
      <c r="A110" s="24"/>
      <c r="B110" s="1"/>
      <c r="C110" s="14"/>
      <c r="D110" s="25"/>
      <c r="G110" s="1"/>
      <c r="H110" s="1"/>
      <c r="M110" s="1"/>
      <c r="N110" s="1"/>
    </row>
    <row r="111" spans="1:14" s="2" customFormat="1" x14ac:dyDescent="0.2">
      <c r="A111" s="24"/>
      <c r="B111" s="1"/>
      <c r="C111" s="14"/>
      <c r="D111" s="25"/>
      <c r="G111" s="1"/>
      <c r="H111" s="1"/>
      <c r="M111" s="1"/>
      <c r="N111" s="1"/>
    </row>
    <row r="112" spans="1:14" s="2" customFormat="1" x14ac:dyDescent="0.2">
      <c r="A112" s="24"/>
      <c r="B112" s="1"/>
      <c r="C112" s="14"/>
      <c r="D112" s="25"/>
      <c r="G112" s="1"/>
      <c r="H112" s="1"/>
      <c r="M112" s="1"/>
      <c r="N112" s="1"/>
    </row>
    <row r="113" spans="1:14" s="2" customFormat="1" x14ac:dyDescent="0.2">
      <c r="A113" s="24"/>
      <c r="B113" s="1"/>
      <c r="C113" s="14"/>
      <c r="D113" s="25"/>
      <c r="G113" s="1"/>
      <c r="H113" s="1"/>
      <c r="M113" s="1"/>
      <c r="N113" s="1"/>
    </row>
    <row r="114" spans="1:14" s="2" customFormat="1" x14ac:dyDescent="0.2">
      <c r="A114" s="24"/>
      <c r="B114" s="1"/>
      <c r="C114" s="14"/>
      <c r="D114" s="25"/>
      <c r="G114" s="1"/>
      <c r="H114" s="1"/>
      <c r="M114" s="1"/>
      <c r="N114" s="1"/>
    </row>
    <row r="115" spans="1:14" s="2" customFormat="1" x14ac:dyDescent="0.2">
      <c r="A115" s="24"/>
      <c r="B115" s="1"/>
      <c r="C115" s="14"/>
      <c r="D115" s="25"/>
      <c r="G115" s="1"/>
      <c r="H115" s="1"/>
      <c r="M115" s="1"/>
      <c r="N115" s="1"/>
    </row>
    <row r="116" spans="1:14" s="2" customFormat="1" x14ac:dyDescent="0.2">
      <c r="A116" s="24"/>
      <c r="B116" s="1"/>
      <c r="C116" s="14"/>
      <c r="D116" s="25"/>
      <c r="G116" s="1"/>
      <c r="H116" s="1"/>
      <c r="M116" s="1"/>
      <c r="N116" s="1"/>
    </row>
    <row r="117" spans="1:14" s="2" customFormat="1" x14ac:dyDescent="0.2">
      <c r="A117" s="24"/>
      <c r="B117" s="1"/>
      <c r="C117" s="14"/>
      <c r="D117" s="25"/>
      <c r="G117" s="1"/>
      <c r="H117" s="1"/>
      <c r="M117" s="1"/>
      <c r="N117" s="1"/>
    </row>
    <row r="118" spans="1:14" s="2" customFormat="1" x14ac:dyDescent="0.2">
      <c r="A118" s="24"/>
      <c r="B118" s="1"/>
      <c r="C118" s="14"/>
      <c r="D118" s="25"/>
      <c r="G118" s="1"/>
      <c r="H118" s="1"/>
      <c r="M118" s="1"/>
      <c r="N118" s="1"/>
    </row>
    <row r="119" spans="1:14" s="2" customFormat="1" x14ac:dyDescent="0.2">
      <c r="A119" s="24"/>
      <c r="B119" s="1"/>
      <c r="C119" s="14"/>
      <c r="D119" s="25"/>
      <c r="G119" s="1"/>
      <c r="H119" s="1"/>
      <c r="M119" s="1"/>
      <c r="N119" s="1"/>
    </row>
    <row r="120" spans="1:14" s="2" customFormat="1" x14ac:dyDescent="0.2">
      <c r="A120" s="24"/>
      <c r="B120" s="1"/>
      <c r="C120" s="14"/>
      <c r="D120" s="25"/>
      <c r="G120" s="1"/>
      <c r="H120" s="1"/>
      <c r="M120" s="1"/>
      <c r="N120" s="1"/>
    </row>
    <row r="121" spans="1:14" s="2" customFormat="1" x14ac:dyDescent="0.2">
      <c r="A121" s="24"/>
      <c r="B121" s="1"/>
      <c r="C121" s="14"/>
      <c r="D121" s="25"/>
      <c r="G121" s="1"/>
      <c r="H121" s="1"/>
      <c r="M121" s="1"/>
      <c r="N121" s="1"/>
    </row>
    <row r="122" spans="1:14" s="2" customFormat="1" x14ac:dyDescent="0.2">
      <c r="A122" s="24"/>
      <c r="B122" s="1"/>
      <c r="C122" s="14"/>
      <c r="D122" s="25"/>
      <c r="G122" s="1"/>
      <c r="H122" s="1"/>
      <c r="M122" s="1"/>
      <c r="N122" s="1"/>
    </row>
    <row r="123" spans="1:14" s="2" customFormat="1" x14ac:dyDescent="0.2">
      <c r="A123" s="24"/>
      <c r="B123" s="1"/>
      <c r="C123" s="14"/>
      <c r="D123" s="25"/>
      <c r="G123" s="1"/>
      <c r="H123" s="1"/>
      <c r="J123" s="1"/>
      <c r="K123" s="1"/>
      <c r="L123" s="1"/>
      <c r="M123" s="1"/>
      <c r="N123" s="1"/>
    </row>
    <row r="124" spans="1:14" s="2" customFormat="1" x14ac:dyDescent="0.2">
      <c r="A124" s="24"/>
      <c r="B124" s="1"/>
      <c r="C124" s="14"/>
      <c r="D124" s="25"/>
      <c r="G124" s="1"/>
      <c r="H124" s="1"/>
    </row>
    <row r="125" spans="1:14" s="2" customFormat="1" x14ac:dyDescent="0.2">
      <c r="A125" s="24"/>
      <c r="B125" s="1"/>
      <c r="C125" s="14"/>
      <c r="D125" s="25"/>
      <c r="G125" s="1"/>
      <c r="H125" s="1"/>
      <c r="J125" s="1"/>
      <c r="K125" s="1"/>
      <c r="L125" s="1"/>
      <c r="M125" s="1"/>
      <c r="N125" s="1"/>
    </row>
    <row r="126" spans="1:14" s="2" customFormat="1" x14ac:dyDescent="0.2">
      <c r="A126" s="24"/>
      <c r="B126" s="1"/>
      <c r="C126" s="14"/>
      <c r="D126" s="25"/>
      <c r="G126" s="54"/>
      <c r="H126" s="54"/>
      <c r="J126" s="1"/>
      <c r="K126" s="1"/>
      <c r="L126" s="1"/>
      <c r="M126" s="1"/>
      <c r="N126" s="1"/>
    </row>
    <row r="127" spans="1:14" s="2" customFormat="1" x14ac:dyDescent="0.2">
      <c r="A127" s="24"/>
      <c r="B127" s="1"/>
      <c r="C127" s="14"/>
      <c r="D127" s="25"/>
      <c r="G127" s="54"/>
      <c r="H127" s="54"/>
      <c r="J127" s="1"/>
      <c r="K127" s="1"/>
      <c r="L127" s="1"/>
      <c r="M127" s="1"/>
      <c r="N127" s="1"/>
    </row>
    <row r="128" spans="1:14" s="2" customFormat="1" x14ac:dyDescent="0.2">
      <c r="A128" s="24"/>
      <c r="B128" s="1"/>
      <c r="C128" s="14"/>
      <c r="D128" s="25"/>
      <c r="G128" s="54"/>
      <c r="H128" s="54"/>
      <c r="J128" s="1"/>
      <c r="K128" s="1"/>
      <c r="L128" s="1"/>
      <c r="M128" s="1"/>
      <c r="N128" s="1"/>
    </row>
    <row r="129" spans="1:15" s="2" customFormat="1" x14ac:dyDescent="0.2">
      <c r="A129" s="24"/>
      <c r="B129" s="1"/>
      <c r="C129" s="14"/>
      <c r="D129" s="25"/>
      <c r="G129" s="54"/>
      <c r="H129" s="54"/>
      <c r="I129" s="2" t="s">
        <v>396</v>
      </c>
      <c r="J129" s="1"/>
      <c r="K129" s="1"/>
      <c r="L129" s="1"/>
      <c r="M129" s="1"/>
      <c r="N129" s="1"/>
      <c r="O129" s="1"/>
    </row>
    <row r="130" spans="1:15" s="2" customFormat="1" x14ac:dyDescent="0.2">
      <c r="A130" s="24"/>
      <c r="B130" s="1"/>
      <c r="C130" s="14"/>
      <c r="D130" s="25"/>
      <c r="G130" s="54"/>
      <c r="H130" s="54"/>
      <c r="I130" s="53"/>
    </row>
    <row r="131" spans="1:15" s="2" customFormat="1" x14ac:dyDescent="0.2">
      <c r="A131" s="24"/>
      <c r="B131" s="1"/>
      <c r="C131" s="14"/>
      <c r="D131" s="25"/>
      <c r="G131" s="54"/>
      <c r="H131" s="54"/>
      <c r="I131" s="53" t="s">
        <v>396</v>
      </c>
      <c r="J131" s="1"/>
      <c r="K131" s="1"/>
      <c r="L131" s="1"/>
      <c r="M131" s="1"/>
      <c r="N131" s="1"/>
      <c r="O131" s="1"/>
    </row>
    <row r="132" spans="1:15" x14ac:dyDescent="0.2">
      <c r="G132" s="54"/>
      <c r="H132" s="54"/>
      <c r="I132" s="53" t="s">
        <v>396</v>
      </c>
      <c r="K132" s="42"/>
    </row>
    <row r="133" spans="1:15" s="2" customFormat="1" x14ac:dyDescent="0.2">
      <c r="A133" s="24"/>
      <c r="B133" s="1"/>
      <c r="C133" s="14"/>
      <c r="D133" s="25"/>
      <c r="G133" s="54"/>
      <c r="H133" s="54"/>
      <c r="I133" s="53"/>
      <c r="J133" s="101"/>
      <c r="K133" s="1"/>
      <c r="L133" s="1"/>
      <c r="M133" s="1"/>
      <c r="N133" s="1"/>
      <c r="O133" s="1"/>
    </row>
    <row r="134" spans="1:15" x14ac:dyDescent="0.2">
      <c r="G134" s="54"/>
      <c r="H134" s="54"/>
      <c r="I134" s="53"/>
    </row>
    <row r="135" spans="1:15" x14ac:dyDescent="0.2">
      <c r="G135" s="54"/>
      <c r="H135" s="54"/>
      <c r="I135" s="53"/>
    </row>
    <row r="136" spans="1:15" x14ac:dyDescent="0.2">
      <c r="G136" s="54"/>
      <c r="H136" s="54"/>
      <c r="I136" s="53"/>
    </row>
  </sheetData>
  <sheetProtection insertRows="0"/>
  <mergeCells count="7">
    <mergeCell ref="K82:L82"/>
    <mergeCell ref="A89:D89"/>
    <mergeCell ref="C98:F98"/>
    <mergeCell ref="A1:H1"/>
    <mergeCell ref="A3:F3"/>
    <mergeCell ref="A9:F9"/>
    <mergeCell ref="A38:F38"/>
  </mergeCells>
  <conditionalFormatting sqref="H86:H87">
    <cfRule type="cellIs" dxfId="83" priority="1" operator="lessThan">
      <formula>0</formula>
    </cfRule>
  </conditionalFormatting>
  <conditionalFormatting sqref="C40">
    <cfRule type="duplicateValues" dxfId="82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F900-000000000000}">
  <sheetPr codeName="Sheet545">
    <pageSetUpPr fitToPage="1"/>
  </sheetPr>
  <dimension ref="A1:O127"/>
  <sheetViews>
    <sheetView topLeftCell="C52" zoomScaleNormal="100" workbookViewId="0">
      <selection activeCell="J61" sqref="J61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12.85546875" style="1" customWidth="1"/>
    <col min="9" max="9" width="24.85546875" style="2" bestFit="1" customWidth="1"/>
    <col min="10" max="10" width="21.5703125" style="1" bestFit="1" customWidth="1"/>
    <col min="11" max="11" width="16.85546875" style="1" bestFit="1" customWidth="1"/>
    <col min="12" max="12" width="19.5703125" style="1" bestFit="1" customWidth="1"/>
    <col min="13" max="13" width="13.5703125" style="1" bestFit="1" customWidth="1"/>
    <col min="14" max="14" width="17.42578125" style="1" bestFit="1" customWidth="1"/>
    <col min="15" max="15" width="12.85546875" style="1" bestFit="1" customWidth="1"/>
    <col min="16" max="17" width="9.140625" style="1"/>
    <col min="18" max="18" width="15.5703125" style="1" bestFit="1" customWidth="1"/>
    <col min="19" max="16384" width="9.140625" style="1"/>
  </cols>
  <sheetData>
    <row r="1" spans="1:12" ht="20.25" customHeight="1" x14ac:dyDescent="0.4">
      <c r="A1" s="212" t="s">
        <v>2060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2" ht="12.75" customHeight="1" x14ac:dyDescent="0.4">
      <c r="I2" s="112"/>
      <c r="J2" s="112"/>
    </row>
    <row r="3" spans="1:12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2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2" s="2" customFormat="1" ht="14.25" customHeight="1" x14ac:dyDescent="0.4">
      <c r="A5" s="89">
        <v>45332</v>
      </c>
      <c r="B5" s="9" t="s">
        <v>6</v>
      </c>
      <c r="C5" s="10" t="s">
        <v>7</v>
      </c>
      <c r="D5" s="11"/>
      <c r="E5" s="12">
        <v>615685.23000000045</v>
      </c>
      <c r="F5" s="12"/>
      <c r="G5" s="1"/>
      <c r="H5" s="1"/>
      <c r="I5" s="112"/>
      <c r="J5" s="112"/>
    </row>
    <row r="6" spans="1:12" s="2" customFormat="1" ht="12.75" customHeight="1" x14ac:dyDescent="0.2">
      <c r="D6" s="15" t="s">
        <v>8</v>
      </c>
      <c r="E6" s="16">
        <f>SUM(E5:E5)</f>
        <v>615685.23000000045</v>
      </c>
      <c r="F6" s="16">
        <f>F5</f>
        <v>0</v>
      </c>
      <c r="G6" s="1"/>
      <c r="H6" s="1"/>
      <c r="I6" s="13" t="s">
        <v>1582</v>
      </c>
      <c r="J6" s="13" t="s">
        <v>1583</v>
      </c>
    </row>
    <row r="7" spans="1:12" s="2" customFormat="1" ht="12.75" customHeight="1" x14ac:dyDescent="0.2">
      <c r="A7" s="17"/>
      <c r="B7" s="18"/>
      <c r="C7" s="19" t="s">
        <v>9</v>
      </c>
      <c r="D7" s="20"/>
      <c r="E7" s="21">
        <f>+E6-F6</f>
        <v>615685.23000000045</v>
      </c>
      <c r="F7" s="22"/>
      <c r="G7" s="23"/>
      <c r="H7" s="23"/>
      <c r="I7" s="2">
        <v>577044.1</v>
      </c>
      <c r="J7" s="2">
        <v>0</v>
      </c>
      <c r="K7" s="176">
        <f>I7-J7</f>
        <v>577044.1</v>
      </c>
    </row>
    <row r="8" spans="1:12" ht="12.75" customHeight="1" x14ac:dyDescent="0.4">
      <c r="I8" s="112"/>
      <c r="J8" s="112"/>
    </row>
    <row r="9" spans="1:12" ht="18" customHeight="1" x14ac:dyDescent="0.4">
      <c r="A9" s="213" t="s">
        <v>1037</v>
      </c>
      <c r="B9" s="213"/>
      <c r="C9" s="213"/>
      <c r="D9" s="213"/>
      <c r="E9" s="213"/>
      <c r="F9" s="213"/>
      <c r="I9" s="112"/>
      <c r="J9" s="169">
        <f>90000000-60000000</f>
        <v>30000000</v>
      </c>
      <c r="K9" s="169" t="s">
        <v>1508</v>
      </c>
    </row>
    <row r="10" spans="1:12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I10" s="112"/>
      <c r="J10" s="169">
        <v>29772103.859999999</v>
      </c>
      <c r="K10" s="169" t="s">
        <v>1509</v>
      </c>
      <c r="L10" s="124"/>
    </row>
    <row r="11" spans="1:12" s="2" customFormat="1" ht="14.25" customHeight="1" x14ac:dyDescent="0.2">
      <c r="A11" s="89">
        <v>45332</v>
      </c>
      <c r="B11" s="9" t="s">
        <v>6</v>
      </c>
      <c r="C11" s="10" t="s">
        <v>7</v>
      </c>
      <c r="D11" s="11"/>
      <c r="F11" s="12">
        <v>29097463.620000005</v>
      </c>
      <c r="G11" s="1"/>
      <c r="H11" s="1"/>
      <c r="I11" s="130" t="s">
        <v>396</v>
      </c>
      <c r="J11" s="169">
        <f>+J9-J10</f>
        <v>227896.1400000006</v>
      </c>
      <c r="K11" s="169" t="s">
        <v>712</v>
      </c>
      <c r="L11" s="165" t="s">
        <v>1512</v>
      </c>
    </row>
    <row r="12" spans="1:12" s="2" customFormat="1" ht="14.25" customHeight="1" x14ac:dyDescent="0.2">
      <c r="A12" s="89">
        <v>45332</v>
      </c>
      <c r="B12" s="9" t="s">
        <v>6</v>
      </c>
      <c r="C12" s="10" t="s">
        <v>1002</v>
      </c>
      <c r="D12" s="11" t="s">
        <v>13</v>
      </c>
      <c r="E12" s="12">
        <v>3485329.4299999997</v>
      </c>
      <c r="F12" s="12"/>
      <c r="G12" s="1"/>
      <c r="H12" s="1"/>
      <c r="I12" s="130"/>
      <c r="J12" s="169"/>
      <c r="K12" s="169"/>
      <c r="L12" s="165"/>
    </row>
    <row r="13" spans="1:12" s="2" customFormat="1" ht="14.25" customHeight="1" x14ac:dyDescent="0.2">
      <c r="A13" s="89">
        <v>45332</v>
      </c>
      <c r="B13" s="9" t="s">
        <v>6</v>
      </c>
      <c r="C13" s="10" t="s">
        <v>1333</v>
      </c>
      <c r="D13" s="11" t="s">
        <v>13</v>
      </c>
      <c r="E13" s="2">
        <v>188497</v>
      </c>
      <c r="F13" s="12"/>
      <c r="G13" s="1"/>
      <c r="H13" s="1"/>
      <c r="I13" s="130"/>
      <c r="J13" s="169"/>
      <c r="K13" s="169"/>
      <c r="L13" s="165"/>
    </row>
    <row r="14" spans="1:12" s="2" customFormat="1" ht="14.25" customHeight="1" x14ac:dyDescent="0.2">
      <c r="A14" s="89">
        <v>45332</v>
      </c>
      <c r="B14" s="9" t="s">
        <v>11</v>
      </c>
      <c r="C14" s="10" t="s">
        <v>1091</v>
      </c>
      <c r="D14" s="11" t="s">
        <v>29</v>
      </c>
      <c r="F14" s="12">
        <v>62540</v>
      </c>
      <c r="G14" s="1"/>
      <c r="H14" s="1"/>
      <c r="I14" s="130"/>
      <c r="J14" s="169"/>
      <c r="K14" s="169"/>
      <c r="L14" s="165"/>
    </row>
    <row r="15" spans="1:12" s="2" customFormat="1" ht="14.25" customHeight="1" x14ac:dyDescent="0.2">
      <c r="A15" s="89">
        <v>45332</v>
      </c>
      <c r="B15" s="9" t="s">
        <v>11</v>
      </c>
      <c r="C15" s="10" t="s">
        <v>1137</v>
      </c>
      <c r="D15" s="11" t="s">
        <v>29</v>
      </c>
      <c r="F15" s="12">
        <v>8760.5499999999993</v>
      </c>
      <c r="G15" s="1"/>
      <c r="H15" s="1"/>
      <c r="I15" s="130"/>
      <c r="J15" s="169"/>
      <c r="K15" s="169"/>
      <c r="L15" s="165"/>
    </row>
    <row r="16" spans="1:12" s="2" customFormat="1" ht="14.25" customHeight="1" x14ac:dyDescent="0.2">
      <c r="A16" s="89">
        <v>45332</v>
      </c>
      <c r="B16" s="9" t="s">
        <v>11</v>
      </c>
      <c r="C16" s="76" t="s">
        <v>156</v>
      </c>
      <c r="D16" s="11" t="s">
        <v>29</v>
      </c>
      <c r="F16" s="31">
        <v>1242.8</v>
      </c>
      <c r="G16" s="1"/>
      <c r="H16" s="1"/>
      <c r="I16" s="130"/>
      <c r="J16" s="169"/>
      <c r="K16" s="169"/>
      <c r="L16" s="165"/>
    </row>
    <row r="17" spans="1:14" s="2" customFormat="1" ht="14.25" customHeight="1" x14ac:dyDescent="0.2">
      <c r="A17" s="89">
        <v>45332</v>
      </c>
      <c r="B17" s="9" t="s">
        <v>11</v>
      </c>
      <c r="C17" s="76" t="s">
        <v>338</v>
      </c>
      <c r="D17" s="11" t="s">
        <v>29</v>
      </c>
      <c r="F17" s="31">
        <v>200000</v>
      </c>
      <c r="G17" s="1"/>
      <c r="H17" s="1"/>
      <c r="I17" s="130"/>
      <c r="J17" s="169"/>
      <c r="K17" s="169"/>
      <c r="L17" s="165"/>
    </row>
    <row r="18" spans="1:14" s="2" customFormat="1" ht="14.25" customHeight="1" x14ac:dyDescent="0.2">
      <c r="A18" s="89">
        <v>45332</v>
      </c>
      <c r="B18" s="9" t="s">
        <v>11</v>
      </c>
      <c r="C18" s="76" t="s">
        <v>649</v>
      </c>
      <c r="D18" s="11" t="s">
        <v>29</v>
      </c>
      <c r="F18" s="31">
        <v>498879.22</v>
      </c>
      <c r="G18" s="1"/>
      <c r="H18" s="1"/>
      <c r="I18" s="130"/>
      <c r="J18" s="169"/>
      <c r="K18" s="169"/>
      <c r="L18" s="165"/>
    </row>
    <row r="19" spans="1:14" s="2" customFormat="1" ht="14.25" customHeight="1" x14ac:dyDescent="0.2">
      <c r="A19" s="89">
        <v>45332</v>
      </c>
      <c r="B19" s="9" t="s">
        <v>11</v>
      </c>
      <c r="C19" s="76" t="s">
        <v>2061</v>
      </c>
      <c r="D19" s="11" t="s">
        <v>29</v>
      </c>
      <c r="F19" s="31">
        <v>3000000</v>
      </c>
      <c r="G19" s="1"/>
      <c r="H19" s="1"/>
      <c r="I19" s="130"/>
      <c r="J19" s="169"/>
      <c r="K19" s="169"/>
      <c r="L19" s="165"/>
    </row>
    <row r="20" spans="1:14" s="2" customFormat="1" ht="14.25" customHeight="1" x14ac:dyDescent="0.2">
      <c r="D20" s="11" t="s">
        <v>8</v>
      </c>
      <c r="E20" s="16">
        <f>SUM(E12:E19)</f>
        <v>3673826.4299999997</v>
      </c>
      <c r="F20" s="16">
        <f>SUM(F11:F19)</f>
        <v>32868886.190000005</v>
      </c>
      <c r="G20" s="1"/>
      <c r="H20" s="1"/>
      <c r="I20" s="143"/>
      <c r="J20" s="130"/>
      <c r="K20" s="143"/>
      <c r="L20" s="143"/>
      <c r="M20" s="143"/>
      <c r="N20" s="143"/>
    </row>
    <row r="21" spans="1:14" s="2" customFormat="1" ht="14.25" customHeight="1" x14ac:dyDescent="0.4">
      <c r="A21" s="17"/>
      <c r="B21" s="18"/>
      <c r="C21" s="96" t="s">
        <v>9</v>
      </c>
      <c r="D21" s="20"/>
      <c r="E21" s="21">
        <f>+F20-E20</f>
        <v>29195059.760000005</v>
      </c>
      <c r="G21" s="1"/>
      <c r="H21" s="1"/>
      <c r="J21" s="112"/>
      <c r="K21" s="153" t="s">
        <v>779</v>
      </c>
    </row>
    <row r="22" spans="1:14" s="2" customFormat="1" ht="14.25" customHeight="1" x14ac:dyDescent="0.2">
      <c r="A22" s="17"/>
      <c r="B22" s="28" t="s">
        <v>66</v>
      </c>
      <c r="C22" s="43" t="s">
        <v>1458</v>
      </c>
      <c r="D22" s="43"/>
      <c r="E22" s="12">
        <f>30000000+60000000</f>
        <v>90000000</v>
      </c>
      <c r="F22" s="22"/>
      <c r="G22" s="1"/>
      <c r="H22" s="1"/>
      <c r="J22" s="40">
        <v>29195059.760000002</v>
      </c>
      <c r="K22" s="154">
        <f>J22-E21</f>
        <v>0</v>
      </c>
    </row>
    <row r="23" spans="1:14" s="2" customFormat="1" ht="14.25" customHeight="1" x14ac:dyDescent="0.25">
      <c r="A23" s="36"/>
      <c r="B23" s="28"/>
      <c r="C23" s="44" t="s">
        <v>1541</v>
      </c>
      <c r="D23" s="43"/>
      <c r="E23" s="7">
        <f>+E21+E22</f>
        <v>119195059.76000001</v>
      </c>
      <c r="F23" s="22"/>
      <c r="G23" s="1"/>
      <c r="H23" s="1"/>
      <c r="I23" s="13" t="s">
        <v>1582</v>
      </c>
      <c r="J23" s="13" t="s">
        <v>1583</v>
      </c>
    </row>
    <row r="24" spans="1:14" s="2" customFormat="1" ht="14.25" customHeight="1" x14ac:dyDescent="0.25">
      <c r="A24" s="36"/>
      <c r="B24" s="28"/>
      <c r="C24" s="44" t="s">
        <v>1511</v>
      </c>
      <c r="D24" s="43"/>
      <c r="E24" s="38">
        <f>+J11+I7-J7</f>
        <v>804940.24000000057</v>
      </c>
      <c r="F24" s="22"/>
      <c r="G24" s="1"/>
      <c r="H24" s="1"/>
      <c r="I24" s="2">
        <v>1565028</v>
      </c>
      <c r="J24" s="2">
        <v>8681864</v>
      </c>
      <c r="K24" s="176">
        <f>I24-J24</f>
        <v>-7116836</v>
      </c>
    </row>
    <row r="25" spans="1:14" s="2" customFormat="1" ht="14.25" customHeight="1" x14ac:dyDescent="0.2">
      <c r="A25" s="24"/>
      <c r="B25" s="1"/>
      <c r="C25" s="14"/>
      <c r="D25" s="25"/>
      <c r="G25" s="1"/>
      <c r="H25" s="1"/>
      <c r="J25" s="130"/>
      <c r="K25" s="130"/>
    </row>
    <row r="26" spans="1:14" s="2" customFormat="1" x14ac:dyDescent="0.2">
      <c r="A26" s="214" t="s">
        <v>10</v>
      </c>
      <c r="B26" s="214"/>
      <c r="C26" s="214"/>
      <c r="D26" s="214"/>
      <c r="E26" s="214"/>
      <c r="F26" s="214"/>
      <c r="G26" s="1"/>
      <c r="H26" s="1"/>
      <c r="I26" s="159"/>
      <c r="J26" s="160">
        <f>100000000+25000000</f>
        <v>125000000</v>
      </c>
      <c r="K26" s="160" t="s">
        <v>1506</v>
      </c>
      <c r="L26" s="70"/>
    </row>
    <row r="27" spans="1:14" s="2" customFormat="1" ht="15" x14ac:dyDescent="0.35">
      <c r="A27" s="26" t="s">
        <v>1</v>
      </c>
      <c r="B27" s="27" t="s">
        <v>2</v>
      </c>
      <c r="C27" s="5"/>
      <c r="D27" s="6" t="s">
        <v>3</v>
      </c>
      <c r="E27" s="7" t="s">
        <v>4</v>
      </c>
      <c r="F27" s="7" t="s">
        <v>5</v>
      </c>
      <c r="G27" s="1"/>
      <c r="H27" s="1"/>
      <c r="I27" s="159"/>
      <c r="J27" s="179">
        <v>99199202.359999999</v>
      </c>
      <c r="K27" s="160" t="s">
        <v>1507</v>
      </c>
      <c r="L27" s="70" t="s">
        <v>1512</v>
      </c>
    </row>
    <row r="28" spans="1:14" s="2" customFormat="1" x14ac:dyDescent="0.2">
      <c r="A28" s="89">
        <v>45332</v>
      </c>
      <c r="B28" s="128" t="s">
        <v>11</v>
      </c>
      <c r="C28" s="29" t="s">
        <v>7</v>
      </c>
      <c r="D28" s="25"/>
      <c r="E28" s="31"/>
      <c r="F28" s="2">
        <v>101117374.3199999</v>
      </c>
      <c r="G28" s="23"/>
      <c r="H28" s="23"/>
      <c r="I28" s="159" t="s">
        <v>1505</v>
      </c>
      <c r="J28" s="160">
        <f>+J26-J27</f>
        <v>25800797.640000001</v>
      </c>
      <c r="K28" s="160"/>
      <c r="L28" s="70"/>
    </row>
    <row r="29" spans="1:14" s="2" customFormat="1" x14ac:dyDescent="0.2">
      <c r="A29" s="89">
        <v>45332</v>
      </c>
      <c r="B29" s="128" t="s">
        <v>6</v>
      </c>
      <c r="C29" s="76" t="s">
        <v>1378</v>
      </c>
      <c r="D29" s="11" t="s">
        <v>13</v>
      </c>
      <c r="E29" s="31">
        <v>11288</v>
      </c>
      <c r="G29" s="23"/>
      <c r="H29" s="23"/>
      <c r="I29" s="159"/>
      <c r="J29" s="160"/>
      <c r="K29" s="160"/>
      <c r="L29" s="70"/>
    </row>
    <row r="30" spans="1:14" s="2" customFormat="1" x14ac:dyDescent="0.2">
      <c r="A30" s="89">
        <v>45332</v>
      </c>
      <c r="B30" s="128" t="s">
        <v>6</v>
      </c>
      <c r="C30" s="76" t="s">
        <v>1676</v>
      </c>
      <c r="D30" s="11" t="s">
        <v>13</v>
      </c>
      <c r="E30" s="31">
        <v>432.33</v>
      </c>
      <c r="G30" s="23"/>
      <c r="H30" s="23"/>
      <c r="I30" s="159"/>
      <c r="J30" s="160"/>
      <c r="K30" s="160"/>
      <c r="L30" s="70"/>
    </row>
    <row r="31" spans="1:14" s="2" customFormat="1" x14ac:dyDescent="0.2">
      <c r="A31" s="89">
        <v>45332</v>
      </c>
      <c r="B31" s="128" t="s">
        <v>6</v>
      </c>
      <c r="C31" s="76" t="s">
        <v>120</v>
      </c>
      <c r="D31" s="11" t="s">
        <v>13</v>
      </c>
      <c r="E31" s="31">
        <v>4748812</v>
      </c>
      <c r="G31" s="23"/>
      <c r="H31" s="23"/>
      <c r="I31" s="159"/>
      <c r="J31" s="160"/>
      <c r="K31" s="160"/>
      <c r="L31" s="70"/>
    </row>
    <row r="32" spans="1:14" s="2" customFormat="1" x14ac:dyDescent="0.2">
      <c r="A32" s="89">
        <v>45332</v>
      </c>
      <c r="B32" s="128" t="s">
        <v>6</v>
      </c>
      <c r="C32" s="76" t="s">
        <v>24</v>
      </c>
      <c r="D32" s="11" t="s">
        <v>13</v>
      </c>
      <c r="E32" s="31">
        <v>540339</v>
      </c>
      <c r="G32" s="23"/>
      <c r="H32" s="23"/>
      <c r="I32" s="159"/>
      <c r="J32" s="160"/>
      <c r="K32" s="160"/>
      <c r="L32" s="70"/>
    </row>
    <row r="33" spans="1:12" s="2" customFormat="1" x14ac:dyDescent="0.2">
      <c r="A33" s="89">
        <v>45332</v>
      </c>
      <c r="B33" s="128" t="s">
        <v>6</v>
      </c>
      <c r="C33" s="76" t="s">
        <v>19</v>
      </c>
      <c r="D33" s="11" t="s">
        <v>13</v>
      </c>
      <c r="E33" s="31">
        <v>1064313</v>
      </c>
      <c r="G33" s="23"/>
      <c r="H33" s="23"/>
      <c r="I33" s="159"/>
      <c r="J33" s="160"/>
      <c r="K33" s="160"/>
      <c r="L33" s="70"/>
    </row>
    <row r="34" spans="1:12" s="2" customFormat="1" x14ac:dyDescent="0.2">
      <c r="A34" s="89">
        <v>45332</v>
      </c>
      <c r="B34" s="128" t="s">
        <v>6</v>
      </c>
      <c r="C34" s="76" t="s">
        <v>332</v>
      </c>
      <c r="D34" s="11" t="s">
        <v>13</v>
      </c>
      <c r="E34" s="31">
        <v>5610</v>
      </c>
      <c r="G34" s="23"/>
      <c r="H34" s="23"/>
      <c r="I34" s="159"/>
      <c r="J34" s="160"/>
      <c r="K34" s="160"/>
      <c r="L34" s="70"/>
    </row>
    <row r="35" spans="1:12" s="2" customFormat="1" x14ac:dyDescent="0.2">
      <c r="A35" s="89">
        <v>45332</v>
      </c>
      <c r="B35" s="128" t="s">
        <v>6</v>
      </c>
      <c r="C35" s="76" t="s">
        <v>418</v>
      </c>
      <c r="D35" s="11" t="s">
        <v>13</v>
      </c>
      <c r="E35" s="31">
        <v>27668</v>
      </c>
      <c r="G35" s="23"/>
      <c r="H35" s="23"/>
      <c r="I35" s="159"/>
      <c r="J35" s="160"/>
      <c r="K35" s="160"/>
      <c r="L35" s="70"/>
    </row>
    <row r="36" spans="1:12" s="2" customFormat="1" x14ac:dyDescent="0.2">
      <c r="A36" s="89">
        <v>45332</v>
      </c>
      <c r="B36" s="128" t="s">
        <v>6</v>
      </c>
      <c r="C36" s="76" t="s">
        <v>2062</v>
      </c>
      <c r="D36" s="11" t="s">
        <v>13</v>
      </c>
      <c r="E36" s="31">
        <v>3000000</v>
      </c>
      <c r="G36" s="23"/>
      <c r="H36" s="23"/>
      <c r="I36" s="159"/>
      <c r="J36" s="160"/>
      <c r="K36" s="160"/>
      <c r="L36" s="70"/>
    </row>
    <row r="37" spans="1:12" s="2" customFormat="1" x14ac:dyDescent="0.2">
      <c r="A37" s="89">
        <v>45332</v>
      </c>
      <c r="B37" s="128" t="s">
        <v>11</v>
      </c>
      <c r="C37" s="76" t="s">
        <v>64</v>
      </c>
      <c r="D37" s="11" t="s">
        <v>29</v>
      </c>
      <c r="E37" s="31"/>
      <c r="F37" s="2">
        <v>2.36</v>
      </c>
      <c r="G37" s="23"/>
      <c r="H37" s="23"/>
      <c r="I37" s="159"/>
      <c r="J37" s="160"/>
      <c r="K37" s="160"/>
      <c r="L37" s="70"/>
    </row>
    <row r="38" spans="1:12" s="2" customFormat="1" x14ac:dyDescent="0.2">
      <c r="A38" s="89">
        <v>45332</v>
      </c>
      <c r="B38" s="128" t="s">
        <v>11</v>
      </c>
      <c r="C38" s="76" t="s">
        <v>216</v>
      </c>
      <c r="D38" s="11" t="s">
        <v>29</v>
      </c>
      <c r="E38" s="31"/>
      <c r="F38" s="2">
        <v>201889</v>
      </c>
      <c r="G38" s="23"/>
      <c r="H38" s="23"/>
      <c r="I38" s="159"/>
      <c r="J38" s="160"/>
      <c r="K38" s="160"/>
      <c r="L38" s="70"/>
    </row>
    <row r="39" spans="1:12" s="2" customFormat="1" x14ac:dyDescent="0.2">
      <c r="A39" s="89">
        <v>45332</v>
      </c>
      <c r="B39" s="128" t="s">
        <v>11</v>
      </c>
      <c r="C39" s="76" t="s">
        <v>218</v>
      </c>
      <c r="D39" s="11" t="s">
        <v>29</v>
      </c>
      <c r="E39" s="31"/>
      <c r="F39" s="2">
        <v>53355</v>
      </c>
      <c r="G39" s="23"/>
      <c r="H39" s="23"/>
      <c r="I39" s="159"/>
      <c r="J39" s="160"/>
      <c r="K39" s="160"/>
      <c r="L39" s="70"/>
    </row>
    <row r="40" spans="1:12" s="2" customFormat="1" x14ac:dyDescent="0.2">
      <c r="A40" s="89">
        <v>45332</v>
      </c>
      <c r="B40" s="128" t="s">
        <v>11</v>
      </c>
      <c r="C40" s="76" t="s">
        <v>217</v>
      </c>
      <c r="D40" s="11" t="s">
        <v>29</v>
      </c>
      <c r="E40" s="31"/>
      <c r="F40" s="2">
        <v>51995</v>
      </c>
      <c r="G40" s="23"/>
      <c r="H40" s="23"/>
      <c r="I40" s="159"/>
      <c r="J40" s="160"/>
      <c r="K40" s="160"/>
      <c r="L40" s="70"/>
    </row>
    <row r="41" spans="1:12" s="2" customFormat="1" x14ac:dyDescent="0.2">
      <c r="A41" s="89">
        <v>45332</v>
      </c>
      <c r="B41" s="128" t="s">
        <v>11</v>
      </c>
      <c r="C41" s="76" t="s">
        <v>1181</v>
      </c>
      <c r="D41" s="11" t="s">
        <v>29</v>
      </c>
      <c r="E41" s="31"/>
      <c r="F41" s="2">
        <v>55480</v>
      </c>
      <c r="G41" s="23"/>
      <c r="H41" s="23"/>
      <c r="I41" s="159"/>
      <c r="J41" s="160"/>
      <c r="K41" s="160"/>
      <c r="L41" s="70"/>
    </row>
    <row r="42" spans="1:12" s="2" customFormat="1" x14ac:dyDescent="0.2">
      <c r="A42" s="89">
        <v>45332</v>
      </c>
      <c r="B42" s="128" t="s">
        <v>11</v>
      </c>
      <c r="C42" s="76" t="s">
        <v>1734</v>
      </c>
      <c r="D42" s="11" t="s">
        <v>29</v>
      </c>
      <c r="E42" s="31"/>
      <c r="F42" s="2">
        <v>3195737</v>
      </c>
      <c r="G42" s="23"/>
      <c r="H42" s="23"/>
      <c r="I42" s="159"/>
      <c r="J42" s="160"/>
      <c r="K42" s="160"/>
      <c r="L42" s="70"/>
    </row>
    <row r="43" spans="1:12" s="2" customFormat="1" x14ac:dyDescent="0.2">
      <c r="A43" s="89">
        <v>45332</v>
      </c>
      <c r="B43" s="128" t="s">
        <v>11</v>
      </c>
      <c r="C43" s="76" t="s">
        <v>107</v>
      </c>
      <c r="D43" s="11" t="s">
        <v>29</v>
      </c>
      <c r="E43" s="31"/>
      <c r="F43" s="2">
        <v>184922.68</v>
      </c>
      <c r="G43" s="23"/>
      <c r="H43" s="23"/>
      <c r="I43" s="159"/>
      <c r="J43" s="160"/>
      <c r="K43" s="160"/>
      <c r="L43" s="70"/>
    </row>
    <row r="44" spans="1:12" s="2" customFormat="1" x14ac:dyDescent="0.2">
      <c r="A44" s="89">
        <v>45332</v>
      </c>
      <c r="B44" s="128" t="s">
        <v>11</v>
      </c>
      <c r="C44" s="76" t="s">
        <v>723</v>
      </c>
      <c r="D44" s="11" t="s">
        <v>29</v>
      </c>
      <c r="E44" s="31"/>
      <c r="F44" s="2">
        <v>3093575.03</v>
      </c>
      <c r="G44" s="23"/>
      <c r="H44" s="23"/>
      <c r="I44" s="159"/>
      <c r="J44" s="160"/>
      <c r="K44" s="160"/>
      <c r="L44" s="70"/>
    </row>
    <row r="45" spans="1:12" s="2" customFormat="1" x14ac:dyDescent="0.2">
      <c r="A45" s="89">
        <v>45332</v>
      </c>
      <c r="B45" s="128" t="s">
        <v>11</v>
      </c>
      <c r="C45" s="76" t="s">
        <v>300</v>
      </c>
      <c r="D45" s="11" t="s">
        <v>29</v>
      </c>
      <c r="E45" s="31"/>
      <c r="F45" s="2">
        <v>369508</v>
      </c>
      <c r="G45" s="23"/>
      <c r="H45" s="23"/>
      <c r="I45" s="159"/>
      <c r="J45" s="160"/>
      <c r="K45" s="160"/>
      <c r="L45" s="70"/>
    </row>
    <row r="46" spans="1:12" s="2" customFormat="1" x14ac:dyDescent="0.2">
      <c r="A46" s="89">
        <v>45332</v>
      </c>
      <c r="B46" s="128" t="s">
        <v>11</v>
      </c>
      <c r="C46" s="76" t="s">
        <v>194</v>
      </c>
      <c r="D46" s="11" t="s">
        <v>29</v>
      </c>
      <c r="E46" s="31"/>
      <c r="F46" s="2">
        <v>1924388</v>
      </c>
      <c r="G46" s="23"/>
      <c r="H46" s="23"/>
      <c r="I46" s="159"/>
      <c r="J46" s="160"/>
      <c r="K46" s="160"/>
      <c r="L46" s="70"/>
    </row>
    <row r="47" spans="1:12" s="2" customFormat="1" x14ac:dyDescent="0.2">
      <c r="A47" s="89">
        <v>45332</v>
      </c>
      <c r="B47" s="128" t="s">
        <v>11</v>
      </c>
      <c r="C47" s="76" t="s">
        <v>790</v>
      </c>
      <c r="D47" s="11" t="s">
        <v>29</v>
      </c>
      <c r="E47" s="31"/>
      <c r="F47" s="2">
        <v>313719</v>
      </c>
      <c r="G47" s="23"/>
      <c r="H47" s="23"/>
      <c r="I47" s="159"/>
      <c r="J47" s="160"/>
      <c r="K47" s="160"/>
      <c r="L47" s="70"/>
    </row>
    <row r="48" spans="1:12" s="2" customFormat="1" x14ac:dyDescent="0.2">
      <c r="A48" s="89">
        <v>45332</v>
      </c>
      <c r="B48" s="128" t="s">
        <v>11</v>
      </c>
      <c r="C48" s="76" t="s">
        <v>849</v>
      </c>
      <c r="D48" s="11" t="s">
        <v>29</v>
      </c>
      <c r="E48" s="31"/>
      <c r="F48" s="2">
        <v>207386</v>
      </c>
      <c r="G48" s="23"/>
      <c r="H48" s="23"/>
      <c r="I48" s="159"/>
      <c r="J48" s="160"/>
      <c r="K48" s="160"/>
      <c r="L48" s="70"/>
    </row>
    <row r="49" spans="1:15" s="2" customFormat="1" x14ac:dyDescent="0.2">
      <c r="A49" s="89">
        <v>45332</v>
      </c>
      <c r="B49" s="128" t="s">
        <v>11</v>
      </c>
      <c r="C49" s="76" t="s">
        <v>1856</v>
      </c>
      <c r="D49" s="11" t="s">
        <v>29</v>
      </c>
      <c r="E49" s="31"/>
      <c r="F49" s="2">
        <v>164934.29999999999</v>
      </c>
      <c r="G49" s="23"/>
      <c r="H49" s="23"/>
      <c r="I49" s="159"/>
      <c r="J49" s="160"/>
      <c r="K49" s="160"/>
      <c r="L49" s="70"/>
    </row>
    <row r="50" spans="1:15" s="2" customFormat="1" x14ac:dyDescent="0.2">
      <c r="A50" s="89">
        <v>45332</v>
      </c>
      <c r="B50" s="128" t="s">
        <v>11</v>
      </c>
      <c r="C50" s="76" t="s">
        <v>745</v>
      </c>
      <c r="D50" s="11" t="s">
        <v>29</v>
      </c>
      <c r="E50" s="31"/>
      <c r="F50" s="2">
        <v>1964820</v>
      </c>
      <c r="G50" s="23"/>
      <c r="H50" s="23"/>
      <c r="I50" s="159"/>
      <c r="J50" s="160"/>
      <c r="K50" s="160"/>
      <c r="L50" s="70"/>
    </row>
    <row r="51" spans="1:15" s="2" customFormat="1" x14ac:dyDescent="0.2">
      <c r="A51" s="89">
        <v>45332</v>
      </c>
      <c r="B51" s="128" t="s">
        <v>11</v>
      </c>
      <c r="C51" s="76" t="s">
        <v>193</v>
      </c>
      <c r="D51" s="11" t="s">
        <v>29</v>
      </c>
      <c r="E51" s="31"/>
      <c r="F51" s="2">
        <v>1326272</v>
      </c>
      <c r="G51" s="23"/>
      <c r="H51" s="23"/>
      <c r="I51" s="159"/>
      <c r="J51" s="160"/>
      <c r="K51" s="160"/>
      <c r="L51" s="70"/>
    </row>
    <row r="52" spans="1:15" s="2" customFormat="1" x14ac:dyDescent="0.2">
      <c r="A52" s="89">
        <v>45332</v>
      </c>
      <c r="B52" s="128" t="s">
        <v>11</v>
      </c>
      <c r="C52" s="76" t="s">
        <v>56</v>
      </c>
      <c r="D52" s="11" t="s">
        <v>29</v>
      </c>
      <c r="E52" s="31"/>
      <c r="F52" s="2">
        <v>421549</v>
      </c>
      <c r="G52" s="23"/>
      <c r="H52" s="23"/>
      <c r="I52" s="159"/>
      <c r="J52" s="160"/>
      <c r="K52" s="160"/>
      <c r="L52" s="70"/>
    </row>
    <row r="53" spans="1:15" s="2" customFormat="1" x14ac:dyDescent="0.2">
      <c r="A53" s="89">
        <v>45332</v>
      </c>
      <c r="B53" s="128" t="s">
        <v>11</v>
      </c>
      <c r="C53" s="76" t="s">
        <v>228</v>
      </c>
      <c r="D53" s="11" t="s">
        <v>29</v>
      </c>
      <c r="E53" s="31"/>
      <c r="F53" s="2">
        <v>215856</v>
      </c>
      <c r="G53" s="23"/>
      <c r="H53" s="23"/>
      <c r="I53" s="159"/>
      <c r="J53" s="160"/>
      <c r="K53" s="160"/>
      <c r="L53" s="70"/>
    </row>
    <row r="54" spans="1:15" s="2" customFormat="1" x14ac:dyDescent="0.2">
      <c r="A54" s="89">
        <v>45332</v>
      </c>
      <c r="B54" s="128" t="s">
        <v>11</v>
      </c>
      <c r="C54" s="76" t="s">
        <v>63</v>
      </c>
      <c r="D54" s="11" t="s">
        <v>29</v>
      </c>
      <c r="E54" s="31"/>
      <c r="F54" s="2">
        <v>250000</v>
      </c>
      <c r="G54" s="23"/>
      <c r="H54" s="23"/>
      <c r="I54" s="159"/>
      <c r="J54" s="160"/>
      <c r="K54" s="160"/>
      <c r="L54" s="70"/>
    </row>
    <row r="55" spans="1:15" s="2" customFormat="1" x14ac:dyDescent="0.2">
      <c r="A55" s="89">
        <v>45332</v>
      </c>
      <c r="B55" s="128" t="s">
        <v>11</v>
      </c>
      <c r="C55" s="76" t="s">
        <v>329</v>
      </c>
      <c r="D55" s="11" t="s">
        <v>29</v>
      </c>
      <c r="E55" s="31"/>
      <c r="F55" s="2">
        <v>957705</v>
      </c>
      <c r="G55" s="23"/>
      <c r="H55" s="23"/>
      <c r="I55" s="159"/>
      <c r="J55" s="160"/>
      <c r="K55" s="160"/>
      <c r="L55" s="70"/>
    </row>
    <row r="56" spans="1:15" s="2" customFormat="1" x14ac:dyDescent="0.2">
      <c r="A56" s="89">
        <v>45332</v>
      </c>
      <c r="B56" s="128" t="s">
        <v>11</v>
      </c>
      <c r="C56" s="76" t="s">
        <v>52</v>
      </c>
      <c r="D56" s="11" t="s">
        <v>29</v>
      </c>
      <c r="E56" s="31"/>
      <c r="F56" s="2">
        <v>102660</v>
      </c>
      <c r="G56" s="23"/>
      <c r="H56" s="23"/>
      <c r="I56" s="159"/>
      <c r="J56" s="160"/>
      <c r="K56" s="160"/>
      <c r="L56" s="70" t="s">
        <v>2045</v>
      </c>
    </row>
    <row r="57" spans="1:15" s="2" customFormat="1" x14ac:dyDescent="0.2">
      <c r="A57" s="32"/>
      <c r="B57" s="33"/>
      <c r="C57" s="14"/>
      <c r="D57" s="34"/>
      <c r="E57" s="16">
        <f>SUM(E28:E56)</f>
        <v>9398462.3300000001</v>
      </c>
      <c r="F57" s="16">
        <f>SUM(F28:F56)</f>
        <v>116173127.68999991</v>
      </c>
      <c r="G57" s="1"/>
      <c r="H57" s="1"/>
      <c r="I57" s="1"/>
      <c r="J57" s="38">
        <v>106316038.36</v>
      </c>
      <c r="L57" s="92">
        <f>E58-J57</f>
        <v>458626.99999991059</v>
      </c>
      <c r="O57" s="1"/>
    </row>
    <row r="58" spans="1:15" s="2" customFormat="1" x14ac:dyDescent="0.2">
      <c r="A58" s="36"/>
      <c r="B58" s="28" t="s">
        <v>11</v>
      </c>
      <c r="C58" s="19" t="s">
        <v>65</v>
      </c>
      <c r="D58" s="37"/>
      <c r="E58" s="38">
        <f>F57-E57</f>
        <v>106774665.35999991</v>
      </c>
      <c r="F58" s="22"/>
      <c r="G58" s="1"/>
      <c r="H58" s="1"/>
      <c r="I58" s="1"/>
      <c r="J58" s="70"/>
      <c r="K58" s="70"/>
      <c r="L58" s="70"/>
      <c r="O58" s="1"/>
    </row>
    <row r="59" spans="1:15" s="2" customFormat="1" x14ac:dyDescent="0.2">
      <c r="A59" s="36"/>
      <c r="B59" s="28" t="s">
        <v>66</v>
      </c>
      <c r="C59" s="19" t="s">
        <v>67</v>
      </c>
      <c r="D59" s="37"/>
      <c r="E59" s="38">
        <v>11500000</v>
      </c>
      <c r="F59" s="22"/>
      <c r="G59" s="1"/>
      <c r="H59" s="1"/>
      <c r="I59" s="70"/>
      <c r="J59" s="70"/>
      <c r="K59" s="70"/>
      <c r="L59" s="70"/>
      <c r="O59" s="1"/>
    </row>
    <row r="60" spans="1:15" s="2" customFormat="1" x14ac:dyDescent="0.2">
      <c r="A60" s="36"/>
      <c r="B60" s="28" t="s">
        <v>66</v>
      </c>
      <c r="C60" s="43" t="s">
        <v>1457</v>
      </c>
      <c r="D60" s="43"/>
      <c r="E60" s="12">
        <f>400000000-25000000</f>
        <v>375000000</v>
      </c>
      <c r="F60" s="22"/>
      <c r="G60" s="1"/>
      <c r="H60" s="1"/>
      <c r="I60" s="70"/>
      <c r="J60" s="45">
        <v>1196.92</v>
      </c>
      <c r="K60" s="46"/>
      <c r="L60" s="46"/>
      <c r="O60" s="1"/>
    </row>
    <row r="61" spans="1:15" s="2" customFormat="1" ht="15" x14ac:dyDescent="0.25">
      <c r="A61" s="36"/>
      <c r="B61" s="28"/>
      <c r="C61" s="44" t="s">
        <v>1541</v>
      </c>
      <c r="D61" s="43"/>
      <c r="E61" s="7">
        <f>+E60+E58+E59</f>
        <v>493274665.3599999</v>
      </c>
      <c r="F61" s="22"/>
      <c r="G61" s="1"/>
      <c r="H61" s="1"/>
      <c r="I61" s="103" t="s">
        <v>69</v>
      </c>
      <c r="J61" s="45">
        <v>-80.180000000000007</v>
      </c>
      <c r="K61" s="46"/>
      <c r="L61" s="46"/>
      <c r="O61" s="1"/>
    </row>
    <row r="62" spans="1:15" s="2" customFormat="1" ht="15" x14ac:dyDescent="0.25">
      <c r="A62" s="24"/>
      <c r="B62" s="1"/>
      <c r="C62" s="44" t="s">
        <v>1510</v>
      </c>
      <c r="D62" s="25"/>
      <c r="E62" s="156">
        <f>+J28-E59+I24-J24</f>
        <v>7183961.6400000006</v>
      </c>
      <c r="G62" s="1"/>
      <c r="H62" s="1"/>
      <c r="I62" s="35">
        <v>1</v>
      </c>
      <c r="J62" s="45">
        <f>4.32</f>
        <v>4.32</v>
      </c>
      <c r="K62" s="46">
        <f>+J63-D65</f>
        <v>0</v>
      </c>
      <c r="O62" s="1"/>
    </row>
    <row r="63" spans="1:15" s="124" customFormat="1" ht="12.75" customHeight="1" x14ac:dyDescent="0.2">
      <c r="A63" s="24"/>
      <c r="B63" s="1"/>
      <c r="C63" s="56"/>
      <c r="D63" s="56"/>
      <c r="E63" s="104"/>
      <c r="F63" s="2"/>
      <c r="G63" s="166"/>
      <c r="H63" s="166"/>
      <c r="I63" s="70"/>
      <c r="J63" s="49">
        <f>SUM(J60:J62)</f>
        <v>1121.06</v>
      </c>
      <c r="K63" s="46"/>
      <c r="L63" s="46"/>
    </row>
    <row r="64" spans="1:15" s="124" customFormat="1" ht="12.75" customHeight="1" x14ac:dyDescent="0.2">
      <c r="A64" s="24"/>
      <c r="B64" s="1"/>
      <c r="C64" s="78" t="s">
        <v>575</v>
      </c>
      <c r="D64" s="48" t="s">
        <v>576</v>
      </c>
      <c r="E64" s="104"/>
      <c r="F64" s="2"/>
      <c r="G64" s="168"/>
      <c r="H64" s="168"/>
      <c r="I64" s="167"/>
      <c r="J64" s="167"/>
      <c r="K64" s="168"/>
    </row>
    <row r="65" spans="1:14" s="124" customFormat="1" ht="12.75" customHeight="1" x14ac:dyDescent="0.2">
      <c r="A65" s="24"/>
      <c r="B65" s="1"/>
      <c r="C65" s="47" t="s">
        <v>570</v>
      </c>
      <c r="D65" s="111">
        <v>1121.06</v>
      </c>
      <c r="E65" s="104"/>
      <c r="F65" s="2"/>
      <c r="G65" s="168"/>
      <c r="H65" s="168"/>
      <c r="I65" s="110" t="s">
        <v>581</v>
      </c>
      <c r="J65" s="167"/>
      <c r="K65" s="168"/>
    </row>
    <row r="66" spans="1:14" s="124" customFormat="1" ht="12.75" customHeight="1" x14ac:dyDescent="0.2">
      <c r="A66" s="24"/>
      <c r="B66" s="1"/>
      <c r="C66" s="47" t="s">
        <v>931</v>
      </c>
      <c r="D66" s="111">
        <v>63.72</v>
      </c>
      <c r="E66" s="104"/>
      <c r="F66" s="2"/>
      <c r="G66" s="168"/>
      <c r="H66" s="168"/>
      <c r="I66" s="110" t="s">
        <v>580</v>
      </c>
      <c r="J66" s="167"/>
      <c r="K66" s="168"/>
    </row>
    <row r="67" spans="1:14" s="124" customFormat="1" ht="12.75" customHeight="1" x14ac:dyDescent="0.2">
      <c r="A67" s="24"/>
      <c r="B67" s="1"/>
      <c r="C67" s="47" t="s">
        <v>572</v>
      </c>
      <c r="D67" s="111">
        <f>+D87/100000</f>
        <v>28.47035</v>
      </c>
      <c r="E67" s="104"/>
      <c r="F67" s="2"/>
      <c r="G67" s="166"/>
      <c r="H67" s="166"/>
      <c r="I67" s="90" t="s">
        <v>587</v>
      </c>
      <c r="J67" s="167"/>
      <c r="K67" s="168"/>
    </row>
    <row r="68" spans="1:14" s="2" customFormat="1" x14ac:dyDescent="0.2">
      <c r="A68" s="24"/>
      <c r="B68" s="1"/>
      <c r="C68" s="108" t="s">
        <v>578</v>
      </c>
      <c r="D68" s="48">
        <f>SUM(D65:D67)</f>
        <v>1213.25035</v>
      </c>
      <c r="E68" s="104"/>
      <c r="G68" s="30"/>
      <c r="H68" s="30"/>
      <c r="J68" s="13"/>
      <c r="K68" s="13"/>
    </row>
    <row r="69" spans="1:14" s="70" customFormat="1" x14ac:dyDescent="0.2">
      <c r="A69" s="24"/>
      <c r="B69" s="1"/>
      <c r="C69" s="47"/>
      <c r="D69" s="107"/>
      <c r="E69" s="104"/>
      <c r="F69" s="2"/>
      <c r="G69" s="30"/>
      <c r="H69" s="30"/>
      <c r="I69" s="2"/>
    </row>
    <row r="70" spans="1:14" s="70" customFormat="1" x14ac:dyDescent="0.2">
      <c r="A70" s="24"/>
      <c r="B70" s="1"/>
      <c r="C70" s="47" t="s">
        <v>932</v>
      </c>
      <c r="D70" s="111">
        <v>16.14</v>
      </c>
      <c r="E70" s="104"/>
      <c r="F70" s="2"/>
      <c r="G70" s="30"/>
      <c r="H70" s="30"/>
      <c r="I70" s="110" t="s">
        <v>581</v>
      </c>
    </row>
    <row r="71" spans="1:14" s="70" customFormat="1" x14ac:dyDescent="0.2">
      <c r="A71" s="24"/>
      <c r="B71" s="1"/>
      <c r="C71" s="136" t="s">
        <v>1142</v>
      </c>
      <c r="D71" s="111">
        <v>331.28</v>
      </c>
      <c r="E71" s="104"/>
      <c r="F71" s="2"/>
      <c r="G71" s="30"/>
      <c r="H71" s="30"/>
      <c r="I71" s="110" t="s">
        <v>581</v>
      </c>
    </row>
    <row r="72" spans="1:14" s="70" customFormat="1" x14ac:dyDescent="0.2">
      <c r="A72" s="24"/>
      <c r="B72" s="1"/>
      <c r="C72" s="78" t="s">
        <v>579</v>
      </c>
      <c r="D72" s="109">
        <f>D70+D71</f>
        <v>347.41999999999996</v>
      </c>
      <c r="E72" s="104"/>
      <c r="F72" s="2"/>
      <c r="G72" s="30"/>
      <c r="H72" s="30"/>
    </row>
    <row r="73" spans="1:14" s="70" customFormat="1" x14ac:dyDescent="0.2">
      <c r="A73" s="24"/>
      <c r="B73" s="1"/>
      <c r="C73" s="105"/>
      <c r="D73" s="106"/>
      <c r="E73" s="104"/>
      <c r="F73" s="2"/>
      <c r="G73" s="30"/>
      <c r="H73" s="30"/>
      <c r="J73" s="2"/>
      <c r="K73" s="221" t="str">
        <f>"FROM ( 01-02-2024 to "&amp;TEXT(A5,"dd-mm-yyyy")&amp;" )"</f>
        <v>FROM ( 01-02-2024 to 10-02-2024 )</v>
      </c>
      <c r="L73" s="221"/>
      <c r="M73" s="2"/>
      <c r="N73" s="2"/>
    </row>
    <row r="74" spans="1:14" s="70" customFormat="1" x14ac:dyDescent="0.2">
      <c r="A74" s="24"/>
      <c r="B74" s="1"/>
      <c r="C74" s="78" t="s">
        <v>577</v>
      </c>
      <c r="D74" s="109">
        <f>D65+D72</f>
        <v>1468.48</v>
      </c>
      <c r="E74" s="104"/>
      <c r="F74" s="2"/>
      <c r="G74" s="30"/>
      <c r="H74" s="30"/>
      <c r="J74" s="113"/>
      <c r="K74" s="113" t="s">
        <v>709</v>
      </c>
      <c r="L74" s="113" t="s">
        <v>710</v>
      </c>
      <c r="M74" s="113" t="s">
        <v>711</v>
      </c>
      <c r="N74" s="113" t="s">
        <v>712</v>
      </c>
    </row>
    <row r="75" spans="1:14" s="70" customFormat="1" x14ac:dyDescent="0.2">
      <c r="A75" s="24"/>
      <c r="B75" s="1"/>
      <c r="C75" s="56"/>
      <c r="D75" s="56"/>
      <c r="E75" s="104"/>
      <c r="F75" s="2"/>
      <c r="G75" s="30"/>
      <c r="H75" s="30"/>
      <c r="J75" s="113" t="s">
        <v>1860</v>
      </c>
      <c r="K75" s="115">
        <v>191.98999999999998</v>
      </c>
      <c r="L75" s="115">
        <v>0</v>
      </c>
      <c r="M75" s="115">
        <v>0</v>
      </c>
      <c r="N75" s="113">
        <f>+K75+M75-L75</f>
        <v>191.98999999999998</v>
      </c>
    </row>
    <row r="76" spans="1:14" s="70" customFormat="1" ht="38.25" x14ac:dyDescent="0.2">
      <c r="A76" s="24"/>
      <c r="B76" s="1"/>
      <c r="C76" s="79" t="str">
        <f>"Particulars ( 01-02-2024 to "&amp;TEXT(A5,"dd-mm-yyyy")&amp;" )"</f>
        <v>Particulars ( 01-02-2024 to 10-02-2024 )</v>
      </c>
      <c r="D76" s="79" t="s">
        <v>7</v>
      </c>
      <c r="E76" s="80" t="s">
        <v>73</v>
      </c>
      <c r="F76" s="80" t="s">
        <v>74</v>
      </c>
      <c r="G76" s="81" t="s">
        <v>75</v>
      </c>
      <c r="H76" s="80" t="s">
        <v>76</v>
      </c>
      <c r="J76" s="113" t="s">
        <v>1861</v>
      </c>
      <c r="K76" s="115">
        <v>1862.06</v>
      </c>
      <c r="L76" s="115">
        <v>28.47</v>
      </c>
      <c r="M76" s="115">
        <v>331.28</v>
      </c>
      <c r="N76" s="113">
        <f>+K76+M76-L76</f>
        <v>2164.8700000000003</v>
      </c>
    </row>
    <row r="77" spans="1:14" s="70" customFormat="1" x14ac:dyDescent="0.2">
      <c r="A77" s="24"/>
      <c r="B77" s="1"/>
      <c r="C77" s="50" t="s">
        <v>444</v>
      </c>
      <c r="D77" s="55">
        <f>+K77</f>
        <v>332.55</v>
      </c>
      <c r="E77" s="55">
        <f>+IF(M77=0,0,M77)</f>
        <v>16.14</v>
      </c>
      <c r="F77" s="55">
        <f>+L77</f>
        <v>63.72</v>
      </c>
      <c r="G77" s="55">
        <f>+D77+E77-F77</f>
        <v>284.97000000000003</v>
      </c>
      <c r="H77" s="55">
        <f>1500-G77</f>
        <v>1215.03</v>
      </c>
      <c r="I77" s="70">
        <f>+IF(M77=0,0,M77)</f>
        <v>16.14</v>
      </c>
      <c r="J77" s="113" t="s">
        <v>707</v>
      </c>
      <c r="K77" s="115">
        <v>332.55</v>
      </c>
      <c r="L77" s="115">
        <v>63.72</v>
      </c>
      <c r="M77" s="115">
        <v>16.14</v>
      </c>
      <c r="N77" s="113">
        <f>+K77+M77-L77</f>
        <v>284.97000000000003</v>
      </c>
    </row>
    <row r="78" spans="1:14" s="70" customFormat="1" ht="12.75" customHeight="1" x14ac:dyDescent="0.2">
      <c r="A78" s="24"/>
      <c r="B78" s="1"/>
      <c r="C78" s="50" t="s">
        <v>71</v>
      </c>
      <c r="D78" s="55">
        <f>+K75+K76</f>
        <v>2054.0499999999997</v>
      </c>
      <c r="E78" s="55">
        <f>+M75+M76</f>
        <v>331.28</v>
      </c>
      <c r="F78" s="55">
        <f>+L75+L76</f>
        <v>28.47</v>
      </c>
      <c r="G78" s="55">
        <f>+D78+E78-F78</f>
        <v>2356.86</v>
      </c>
      <c r="H78" s="55">
        <f>1500+700+200-G78</f>
        <v>43.139999999999873</v>
      </c>
      <c r="J78" s="2"/>
      <c r="K78" s="118">
        <f>SUM(K75:K77)</f>
        <v>2386.6</v>
      </c>
      <c r="L78" s="118">
        <f>SUM(L75:L77)</f>
        <v>92.19</v>
      </c>
      <c r="M78" s="118">
        <f>SUM(M75:M77)</f>
        <v>347.41999999999996</v>
      </c>
      <c r="N78" s="118">
        <f>SUM(N75:N77)</f>
        <v>2641.83</v>
      </c>
    </row>
    <row r="79" spans="1:14" s="70" customFormat="1" ht="12.75" customHeight="1" x14ac:dyDescent="0.2">
      <c r="A79" s="24"/>
      <c r="B79" s="1"/>
      <c r="C79" s="14"/>
      <c r="D79" s="56"/>
      <c r="E79" s="13"/>
      <c r="F79" s="2"/>
      <c r="G79" s="30"/>
      <c r="H79" s="30"/>
    </row>
    <row r="80" spans="1:14" s="70" customFormat="1" ht="12.75" customHeight="1" x14ac:dyDescent="0.2">
      <c r="A80" s="215" t="s">
        <v>80</v>
      </c>
      <c r="B80" s="216"/>
      <c r="C80" s="216"/>
      <c r="D80" s="217"/>
      <c r="E80" s="69"/>
      <c r="G80" s="30"/>
      <c r="H80" s="30"/>
    </row>
    <row r="81" spans="1:15" s="70" customFormat="1" ht="12.75" customHeight="1" x14ac:dyDescent="0.2">
      <c r="A81" s="71" t="s">
        <v>81</v>
      </c>
      <c r="B81" s="71"/>
      <c r="C81" s="72" t="s">
        <v>82</v>
      </c>
      <c r="D81" s="73" t="s">
        <v>83</v>
      </c>
      <c r="E81" s="69"/>
      <c r="G81" s="30"/>
      <c r="H81" s="30"/>
    </row>
    <row r="82" spans="1:15" s="70" customFormat="1" ht="12.75" customHeight="1" x14ac:dyDescent="0.2">
      <c r="A82" s="87">
        <v>45323</v>
      </c>
      <c r="B82" s="120" t="s">
        <v>6</v>
      </c>
      <c r="C82" s="75" t="s">
        <v>2030</v>
      </c>
      <c r="D82" s="88">
        <v>881220</v>
      </c>
      <c r="E82" s="2"/>
      <c r="F82" s="2"/>
      <c r="G82" s="30"/>
      <c r="H82" s="30"/>
      <c r="I82" s="2"/>
      <c r="J82" s="2"/>
      <c r="K82" s="2"/>
      <c r="L82" s="2"/>
      <c r="M82" s="41"/>
      <c r="N82" s="42"/>
      <c r="O82" s="2"/>
    </row>
    <row r="83" spans="1:15" s="70" customFormat="1" ht="12.75" customHeight="1" x14ac:dyDescent="0.2">
      <c r="A83" s="87">
        <v>45324</v>
      </c>
      <c r="B83" s="120" t="s">
        <v>6</v>
      </c>
      <c r="C83" s="75" t="s">
        <v>1934</v>
      </c>
      <c r="D83" s="88">
        <v>47729</v>
      </c>
      <c r="E83" s="2"/>
      <c r="F83" s="2"/>
      <c r="G83" s="30"/>
      <c r="H83" s="30"/>
      <c r="I83" s="2"/>
      <c r="J83" s="2"/>
      <c r="K83" s="2"/>
      <c r="L83" s="2"/>
      <c r="M83" s="41"/>
      <c r="N83" s="42"/>
      <c r="O83" s="2"/>
    </row>
    <row r="84" spans="1:15" s="70" customFormat="1" ht="12.75" customHeight="1" x14ac:dyDescent="0.2">
      <c r="A84" s="87">
        <v>45328</v>
      </c>
      <c r="B84" s="120" t="s">
        <v>6</v>
      </c>
      <c r="C84" s="75" t="s">
        <v>606</v>
      </c>
      <c r="D84" s="88">
        <v>1312580</v>
      </c>
      <c r="E84" s="2"/>
      <c r="F84" s="2"/>
      <c r="G84" s="30"/>
      <c r="H84" s="30"/>
      <c r="I84" s="2"/>
      <c r="J84" s="2"/>
      <c r="K84" s="2"/>
      <c r="L84" s="2"/>
      <c r="M84" s="41"/>
      <c r="N84" s="42"/>
      <c r="O84" s="2"/>
    </row>
    <row r="85" spans="1:15" s="70" customFormat="1" ht="12.75" customHeight="1" x14ac:dyDescent="0.2">
      <c r="A85" s="87">
        <v>45327</v>
      </c>
      <c r="B85" s="120" t="s">
        <v>6</v>
      </c>
      <c r="C85" s="75" t="s">
        <v>606</v>
      </c>
      <c r="D85" s="88">
        <v>56647</v>
      </c>
      <c r="E85" s="2"/>
      <c r="F85" s="2"/>
      <c r="G85" s="30"/>
      <c r="H85" s="30"/>
      <c r="I85" s="2"/>
      <c r="J85" s="2"/>
      <c r="K85" s="2"/>
      <c r="L85" s="2"/>
      <c r="M85" s="41"/>
      <c r="N85" s="42"/>
      <c r="O85" s="2"/>
    </row>
    <row r="86" spans="1:15" s="70" customFormat="1" ht="12.75" customHeight="1" x14ac:dyDescent="0.2">
      <c r="A86" s="87">
        <v>45329</v>
      </c>
      <c r="B86" s="120" t="s">
        <v>6</v>
      </c>
      <c r="C86" s="75" t="s">
        <v>2030</v>
      </c>
      <c r="D86" s="88">
        <v>548859</v>
      </c>
      <c r="E86" s="2"/>
      <c r="F86" s="2"/>
      <c r="G86" s="30"/>
      <c r="H86" s="30"/>
      <c r="I86" s="2"/>
      <c r="J86" s="2"/>
      <c r="K86" s="2"/>
      <c r="L86" s="2"/>
      <c r="M86" s="41"/>
      <c r="N86" s="42"/>
      <c r="O86" s="2"/>
    </row>
    <row r="87" spans="1:15" s="2" customFormat="1" x14ac:dyDescent="0.2">
      <c r="A87" s="87"/>
      <c r="B87" s="74"/>
      <c r="C87" s="75"/>
      <c r="D87" s="51">
        <f>SUM(D82:D86)</f>
        <v>2847035</v>
      </c>
      <c r="F87" s="2" t="s">
        <v>396</v>
      </c>
      <c r="G87" s="1"/>
      <c r="H87" s="1"/>
    </row>
    <row r="88" spans="1:15" s="2" customFormat="1" x14ac:dyDescent="0.2">
      <c r="A88" s="24"/>
      <c r="B88" s="1"/>
      <c r="C88" s="14"/>
      <c r="D88" s="56"/>
      <c r="E88" s="13"/>
      <c r="G88" s="1"/>
      <c r="H88" s="1"/>
    </row>
    <row r="89" spans="1:15" s="2" customFormat="1" x14ac:dyDescent="0.2">
      <c r="A89" s="24"/>
      <c r="B89" s="1"/>
      <c r="C89" s="218" t="s">
        <v>77</v>
      </c>
      <c r="D89" s="219"/>
      <c r="E89" s="219"/>
      <c r="F89" s="220"/>
      <c r="I89" s="2" t="s">
        <v>396</v>
      </c>
    </row>
    <row r="90" spans="1:15" s="2" customFormat="1" x14ac:dyDescent="0.2">
      <c r="A90" s="24"/>
      <c r="B90" s="1"/>
      <c r="C90" s="50"/>
      <c r="D90" s="57" t="s">
        <v>78</v>
      </c>
      <c r="E90" s="58" t="s">
        <v>79</v>
      </c>
      <c r="F90" s="57" t="s">
        <v>72</v>
      </c>
      <c r="I90" s="2" t="s">
        <v>396</v>
      </c>
    </row>
    <row r="91" spans="1:15" s="2" customFormat="1" x14ac:dyDescent="0.2">
      <c r="A91" s="24"/>
      <c r="B91" s="1"/>
      <c r="C91" s="59" t="str">
        <f>"01-02-2024 to "&amp;TEXT(A5-2,"dd-mm-yyyy")</f>
        <v>01-02-2024 to 08-02-2024</v>
      </c>
      <c r="D91" s="60">
        <v>1007.88</v>
      </c>
      <c r="E91" s="60">
        <v>166.42</v>
      </c>
      <c r="F91" s="61">
        <f>SUM(D91:E91)</f>
        <v>1174.3</v>
      </c>
    </row>
    <row r="92" spans="1:15" s="2" customFormat="1" x14ac:dyDescent="0.2">
      <c r="A92" s="24"/>
      <c r="B92" s="1"/>
      <c r="C92" s="62" t="str">
        <f>TEXT(A5-1,"dd-mm-yyyy")</f>
        <v>09-02-2024</v>
      </c>
      <c r="D92" s="60">
        <v>72.790000000000006</v>
      </c>
      <c r="E92" s="60">
        <v>31.18</v>
      </c>
      <c r="F92" s="61">
        <f>SUM(D92:E92)</f>
        <v>103.97</v>
      </c>
      <c r="G92" s="1"/>
      <c r="H92" s="1"/>
      <c r="I92" s="53"/>
    </row>
    <row r="93" spans="1:15" s="2" customFormat="1" ht="13.5" thickBot="1" x14ac:dyDescent="0.25">
      <c r="A93" s="24"/>
      <c r="B93" s="1"/>
      <c r="C93" s="63" t="str">
        <f>"01-02-2024 to "&amp;TEXT(A5-1,"dd-mm-yyyy")</f>
        <v>01-02-2024 to 09-02-2024</v>
      </c>
      <c r="D93" s="64">
        <f>SUM(D91:D92)</f>
        <v>1080.67</v>
      </c>
      <c r="E93" s="64">
        <f>SUM(E91:E92)</f>
        <v>197.6</v>
      </c>
      <c r="F93" s="64">
        <f>SUM(F91:F92)</f>
        <v>1278.27</v>
      </c>
      <c r="G93" s="1"/>
      <c r="H93" s="1"/>
      <c r="I93" s="53"/>
    </row>
    <row r="94" spans="1:15" s="2" customFormat="1" ht="13.5" thickTop="1" x14ac:dyDescent="0.2">
      <c r="A94" s="24"/>
      <c r="B94" s="1"/>
      <c r="C94" s="62"/>
      <c r="D94" s="65"/>
      <c r="E94" s="66"/>
      <c r="F94" s="67"/>
      <c r="M94" s="1"/>
      <c r="N94" s="1"/>
    </row>
    <row r="95" spans="1:15" s="2" customFormat="1" x14ac:dyDescent="0.2">
      <c r="A95" s="24"/>
      <c r="B95" s="1"/>
      <c r="C95" s="62" t="str">
        <f>"01-04-2023 to " &amp;C92</f>
        <v>01-04-2023 to 09-02-2024</v>
      </c>
      <c r="D95" s="68">
        <f>+D93+37155.69</f>
        <v>38236.36</v>
      </c>
      <c r="E95" s="68">
        <f>+E93+4497.36</f>
        <v>4694.96</v>
      </c>
      <c r="F95" s="68">
        <f>+F93+41653.05</f>
        <v>42931.32</v>
      </c>
      <c r="G95" s="1"/>
      <c r="H95" s="1"/>
      <c r="M95" s="1"/>
      <c r="N95" s="1"/>
    </row>
    <row r="96" spans="1:15" s="2" customFormat="1" x14ac:dyDescent="0.2">
      <c r="A96" s="24"/>
      <c r="B96" s="1"/>
      <c r="C96" s="52"/>
      <c r="D96" s="85"/>
      <c r="E96" s="53"/>
      <c r="F96" s="53"/>
      <c r="G96" s="1"/>
      <c r="H96" s="1"/>
      <c r="M96" s="1"/>
      <c r="N96" s="1"/>
    </row>
    <row r="97" spans="1:14" s="2" customFormat="1" x14ac:dyDescent="0.2">
      <c r="A97" s="24"/>
      <c r="B97" s="1"/>
      <c r="C97" s="52"/>
      <c r="D97" s="85"/>
      <c r="E97" s="53"/>
      <c r="F97" s="53"/>
      <c r="G97" s="1"/>
      <c r="H97" s="1"/>
      <c r="M97" s="1"/>
      <c r="N97" s="1"/>
    </row>
    <row r="98" spans="1:14" s="2" customFormat="1" x14ac:dyDescent="0.2">
      <c r="A98" s="24"/>
      <c r="B98" s="1"/>
      <c r="C98" s="52"/>
      <c r="D98" s="85"/>
      <c r="E98" s="53"/>
      <c r="F98" s="53"/>
      <c r="G98" s="1"/>
      <c r="H98" s="1"/>
      <c r="M98" s="1"/>
      <c r="N98" s="1"/>
    </row>
    <row r="99" spans="1:14" s="2" customFormat="1" x14ac:dyDescent="0.2">
      <c r="A99" s="24"/>
      <c r="B99" s="1"/>
      <c r="C99" s="52"/>
      <c r="D99" s="85"/>
      <c r="E99" s="53"/>
      <c r="F99" s="53"/>
      <c r="G99" s="1"/>
      <c r="H99" s="1"/>
      <c r="M99" s="1"/>
      <c r="N99" s="1"/>
    </row>
    <row r="100" spans="1:14" s="2" customFormat="1" x14ac:dyDescent="0.2">
      <c r="A100" s="24"/>
      <c r="B100" s="1"/>
      <c r="C100" s="14"/>
      <c r="D100" s="25">
        <f>SUM(D97:D99)</f>
        <v>0</v>
      </c>
      <c r="E100" s="2">
        <f>SUM(E97:E99)</f>
        <v>0</v>
      </c>
      <c r="G100" s="1"/>
      <c r="H100" s="1"/>
      <c r="M100" s="1"/>
      <c r="N100" s="1"/>
    </row>
    <row r="101" spans="1:14" s="2" customFormat="1" x14ac:dyDescent="0.2">
      <c r="A101" s="24"/>
      <c r="B101" s="1"/>
      <c r="C101" s="14"/>
      <c r="D101" s="25"/>
      <c r="G101" s="1"/>
      <c r="H101" s="1"/>
      <c r="M101" s="1"/>
      <c r="N101" s="1"/>
    </row>
    <row r="102" spans="1:14" s="2" customFormat="1" x14ac:dyDescent="0.2">
      <c r="A102" s="24"/>
      <c r="B102" s="1"/>
      <c r="C102" s="14"/>
      <c r="D102" s="25"/>
      <c r="G102" s="1"/>
      <c r="H102" s="1"/>
      <c r="M102" s="1"/>
      <c r="N102" s="1"/>
    </row>
    <row r="103" spans="1:14" s="2" customFormat="1" x14ac:dyDescent="0.2">
      <c r="A103" s="24"/>
      <c r="B103" s="1"/>
      <c r="C103" s="14"/>
      <c r="D103" s="25"/>
      <c r="G103" s="1"/>
      <c r="H103" s="1"/>
      <c r="M103" s="1"/>
      <c r="N103" s="1"/>
    </row>
    <row r="104" spans="1:14" s="2" customFormat="1" x14ac:dyDescent="0.2">
      <c r="A104" s="24"/>
      <c r="B104" s="1"/>
      <c r="C104" s="14"/>
      <c r="D104" s="25"/>
      <c r="G104" s="1"/>
      <c r="H104" s="1"/>
      <c r="M104" s="1"/>
      <c r="N104" s="1"/>
    </row>
    <row r="105" spans="1:14" s="2" customFormat="1" x14ac:dyDescent="0.2">
      <c r="A105" s="24"/>
      <c r="B105" s="1"/>
      <c r="C105" s="14"/>
      <c r="D105" s="25"/>
      <c r="G105" s="1"/>
      <c r="H105" s="1"/>
      <c r="M105" s="1"/>
      <c r="N105" s="1"/>
    </row>
    <row r="106" spans="1:14" s="2" customFormat="1" x14ac:dyDescent="0.2">
      <c r="A106" s="24"/>
      <c r="B106" s="1"/>
      <c r="C106" s="14"/>
      <c r="D106" s="25"/>
      <c r="G106" s="1"/>
      <c r="H106" s="1"/>
      <c r="M106" s="1"/>
      <c r="N106" s="1"/>
    </row>
    <row r="107" spans="1:14" s="2" customFormat="1" x14ac:dyDescent="0.2">
      <c r="A107" s="24"/>
      <c r="B107" s="1"/>
      <c r="C107" s="14"/>
      <c r="D107" s="25"/>
      <c r="G107" s="1"/>
      <c r="H107" s="1"/>
      <c r="M107" s="1"/>
      <c r="N107" s="1"/>
    </row>
    <row r="108" spans="1:14" s="2" customFormat="1" x14ac:dyDescent="0.2">
      <c r="A108" s="24"/>
      <c r="B108" s="1"/>
      <c r="C108" s="14"/>
      <c r="D108" s="25"/>
      <c r="G108" s="1"/>
      <c r="H108" s="1"/>
      <c r="M108" s="1"/>
      <c r="N108" s="1"/>
    </row>
    <row r="109" spans="1:14" s="2" customFormat="1" x14ac:dyDescent="0.2">
      <c r="A109" s="24"/>
      <c r="B109" s="1"/>
      <c r="C109" s="14"/>
      <c r="D109" s="25"/>
      <c r="G109" s="1"/>
      <c r="H109" s="1"/>
      <c r="M109" s="1"/>
      <c r="N109" s="1"/>
    </row>
    <row r="110" spans="1:14" s="2" customFormat="1" x14ac:dyDescent="0.2">
      <c r="A110" s="24"/>
      <c r="B110" s="1"/>
      <c r="C110" s="14"/>
      <c r="D110" s="25"/>
      <c r="G110" s="1"/>
      <c r="H110" s="1"/>
      <c r="M110" s="1"/>
      <c r="N110" s="1"/>
    </row>
    <row r="111" spans="1:14" s="2" customFormat="1" x14ac:dyDescent="0.2">
      <c r="A111" s="24"/>
      <c r="B111" s="1"/>
      <c r="C111" s="14"/>
      <c r="D111" s="25"/>
      <c r="G111" s="1"/>
      <c r="H111" s="1"/>
      <c r="M111" s="1"/>
      <c r="N111" s="1"/>
    </row>
    <row r="112" spans="1:14" s="2" customFormat="1" x14ac:dyDescent="0.2">
      <c r="A112" s="24"/>
      <c r="B112" s="1"/>
      <c r="C112" s="14"/>
      <c r="D112" s="25"/>
      <c r="G112" s="1"/>
      <c r="H112" s="1"/>
      <c r="M112" s="1"/>
      <c r="N112" s="1"/>
    </row>
    <row r="113" spans="1:15" s="2" customFormat="1" x14ac:dyDescent="0.2">
      <c r="A113" s="24"/>
      <c r="B113" s="1"/>
      <c r="C113" s="14"/>
      <c r="D113" s="25"/>
      <c r="G113" s="1"/>
      <c r="H113" s="1"/>
      <c r="M113" s="1"/>
      <c r="N113" s="1"/>
    </row>
    <row r="114" spans="1:15" s="2" customFormat="1" x14ac:dyDescent="0.2">
      <c r="A114" s="24"/>
      <c r="B114" s="1"/>
      <c r="C114" s="14"/>
      <c r="D114" s="25"/>
      <c r="G114" s="1"/>
      <c r="H114" s="1"/>
      <c r="J114" s="1"/>
      <c r="K114" s="1"/>
      <c r="L114" s="1"/>
      <c r="M114" s="1"/>
      <c r="N114" s="1"/>
    </row>
    <row r="115" spans="1:15" s="2" customFormat="1" x14ac:dyDescent="0.2">
      <c r="A115" s="24"/>
      <c r="B115" s="1"/>
      <c r="C115" s="14"/>
      <c r="D115" s="25"/>
      <c r="G115" s="1"/>
      <c r="H115" s="1"/>
    </row>
    <row r="116" spans="1:15" s="2" customFormat="1" x14ac:dyDescent="0.2">
      <c r="A116" s="24"/>
      <c r="B116" s="1"/>
      <c r="C116" s="14"/>
      <c r="D116" s="25"/>
      <c r="G116" s="1"/>
      <c r="H116" s="1"/>
      <c r="J116" s="1"/>
      <c r="K116" s="1"/>
      <c r="L116" s="1"/>
      <c r="M116" s="1"/>
      <c r="N116" s="1"/>
    </row>
    <row r="117" spans="1:15" s="2" customFormat="1" x14ac:dyDescent="0.2">
      <c r="A117" s="24"/>
      <c r="B117" s="1"/>
      <c r="C117" s="14"/>
      <c r="D117" s="25"/>
      <c r="G117" s="54"/>
      <c r="H117" s="54"/>
      <c r="J117" s="1"/>
      <c r="K117" s="1"/>
      <c r="L117" s="1"/>
      <c r="M117" s="1"/>
      <c r="N117" s="1"/>
    </row>
    <row r="118" spans="1:15" s="2" customFormat="1" x14ac:dyDescent="0.2">
      <c r="A118" s="24"/>
      <c r="B118" s="1"/>
      <c r="C118" s="14"/>
      <c r="D118" s="25"/>
      <c r="G118" s="54"/>
      <c r="H118" s="54"/>
      <c r="J118" s="1"/>
      <c r="K118" s="1"/>
      <c r="L118" s="1"/>
      <c r="M118" s="1"/>
      <c r="N118" s="1"/>
    </row>
    <row r="119" spans="1:15" s="2" customFormat="1" x14ac:dyDescent="0.2">
      <c r="A119" s="24"/>
      <c r="B119" s="1"/>
      <c r="C119" s="14"/>
      <c r="D119" s="25"/>
      <c r="G119" s="54"/>
      <c r="H119" s="54"/>
      <c r="J119" s="1"/>
      <c r="K119" s="1"/>
      <c r="L119" s="1"/>
      <c r="M119" s="1"/>
      <c r="N119" s="1"/>
    </row>
    <row r="120" spans="1:15" s="2" customFormat="1" x14ac:dyDescent="0.2">
      <c r="A120" s="24"/>
      <c r="B120" s="1"/>
      <c r="C120" s="14"/>
      <c r="D120" s="25"/>
      <c r="G120" s="54"/>
      <c r="H120" s="54"/>
      <c r="I120" s="2" t="s">
        <v>396</v>
      </c>
      <c r="J120" s="1"/>
      <c r="K120" s="1"/>
      <c r="L120" s="1"/>
      <c r="M120" s="1"/>
      <c r="N120" s="1"/>
      <c r="O120" s="1"/>
    </row>
    <row r="121" spans="1:15" s="2" customFormat="1" x14ac:dyDescent="0.2">
      <c r="A121" s="24"/>
      <c r="B121" s="1"/>
      <c r="C121" s="14"/>
      <c r="D121" s="25"/>
      <c r="G121" s="54"/>
      <c r="H121" s="54"/>
      <c r="I121" s="53"/>
    </row>
    <row r="122" spans="1:15" s="2" customFormat="1" x14ac:dyDescent="0.2">
      <c r="A122" s="24"/>
      <c r="B122" s="1"/>
      <c r="C122" s="14"/>
      <c r="D122" s="25"/>
      <c r="G122" s="54"/>
      <c r="H122" s="54"/>
      <c r="I122" s="53" t="s">
        <v>396</v>
      </c>
      <c r="J122" s="1"/>
      <c r="K122" s="1"/>
      <c r="L122" s="1"/>
      <c r="M122" s="1"/>
      <c r="N122" s="1"/>
      <c r="O122" s="1"/>
    </row>
    <row r="123" spans="1:15" x14ac:dyDescent="0.2">
      <c r="G123" s="54"/>
      <c r="H123" s="54"/>
      <c r="I123" s="53" t="s">
        <v>396</v>
      </c>
      <c r="K123" s="42"/>
    </row>
    <row r="124" spans="1:15" s="2" customFormat="1" x14ac:dyDescent="0.2">
      <c r="A124" s="24"/>
      <c r="B124" s="1"/>
      <c r="C124" s="14"/>
      <c r="D124" s="25"/>
      <c r="G124" s="54"/>
      <c r="H124" s="54"/>
      <c r="I124" s="53"/>
      <c r="J124" s="101"/>
      <c r="K124" s="1"/>
      <c r="L124" s="1"/>
      <c r="M124" s="1"/>
      <c r="N124" s="1"/>
      <c r="O124" s="1"/>
    </row>
    <row r="125" spans="1:15" x14ac:dyDescent="0.2">
      <c r="G125" s="54"/>
      <c r="H125" s="54"/>
      <c r="I125" s="53"/>
    </row>
    <row r="126" spans="1:15" x14ac:dyDescent="0.2">
      <c r="G126" s="54"/>
      <c r="H126" s="54"/>
      <c r="I126" s="53"/>
    </row>
    <row r="127" spans="1:15" x14ac:dyDescent="0.2">
      <c r="G127" s="54"/>
      <c r="H127" s="54"/>
      <c r="I127" s="53"/>
    </row>
  </sheetData>
  <sheetProtection insertRows="0"/>
  <mergeCells count="7">
    <mergeCell ref="K73:L73"/>
    <mergeCell ref="A80:D80"/>
    <mergeCell ref="C89:F89"/>
    <mergeCell ref="A1:H1"/>
    <mergeCell ref="A3:F3"/>
    <mergeCell ref="A9:F9"/>
    <mergeCell ref="A26:F26"/>
  </mergeCells>
  <conditionalFormatting sqref="H77:H78">
    <cfRule type="cellIs" dxfId="81" priority="1" operator="lessThan">
      <formula>0</formula>
    </cfRule>
  </conditionalFormatting>
  <conditionalFormatting sqref="C28">
    <cfRule type="duplicateValues" dxfId="80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FA00-000000000000}">
  <sheetPr codeName="Sheet546">
    <pageSetUpPr fitToPage="1"/>
  </sheetPr>
  <dimension ref="A1:O115"/>
  <sheetViews>
    <sheetView topLeftCell="A3" zoomScaleNormal="100" workbookViewId="0">
      <selection activeCell="E18" sqref="E18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12.85546875" style="1" customWidth="1"/>
    <col min="9" max="9" width="24.85546875" style="2" bestFit="1" customWidth="1"/>
    <col min="10" max="10" width="21.5703125" style="1" bestFit="1" customWidth="1"/>
    <col min="11" max="11" width="16.85546875" style="1" bestFit="1" customWidth="1"/>
    <col min="12" max="12" width="19.5703125" style="1" bestFit="1" customWidth="1"/>
    <col min="13" max="13" width="13.5703125" style="1" bestFit="1" customWidth="1"/>
    <col min="14" max="14" width="17.42578125" style="1" bestFit="1" customWidth="1"/>
    <col min="15" max="15" width="12.85546875" style="1" bestFit="1" customWidth="1"/>
    <col min="16" max="17" width="9.140625" style="1"/>
    <col min="18" max="18" width="15.5703125" style="1" bestFit="1" customWidth="1"/>
    <col min="19" max="16384" width="9.140625" style="1"/>
  </cols>
  <sheetData>
    <row r="1" spans="1:12" ht="20.25" customHeight="1" x14ac:dyDescent="0.4">
      <c r="A1" s="212" t="s">
        <v>2063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2" ht="12.75" customHeight="1" x14ac:dyDescent="0.4">
      <c r="I2" s="112"/>
      <c r="J2" s="112"/>
    </row>
    <row r="3" spans="1:12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2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2" s="2" customFormat="1" ht="14.25" customHeight="1" x14ac:dyDescent="0.4">
      <c r="A5" s="89">
        <v>45334</v>
      </c>
      <c r="B5" s="9" t="s">
        <v>6</v>
      </c>
      <c r="C5" s="10" t="s">
        <v>7</v>
      </c>
      <c r="D5" s="11"/>
      <c r="E5" s="12">
        <v>615685.23000000045</v>
      </c>
      <c r="F5" s="12"/>
      <c r="G5" s="1"/>
      <c r="H5" s="1"/>
      <c r="I5" s="112"/>
      <c r="J5" s="112"/>
    </row>
    <row r="6" spans="1:12" s="2" customFormat="1" ht="12.75" customHeight="1" x14ac:dyDescent="0.2">
      <c r="D6" s="15" t="s">
        <v>8</v>
      </c>
      <c r="E6" s="16">
        <f>SUM(E5:E5)</f>
        <v>615685.23000000045</v>
      </c>
      <c r="F6" s="16">
        <f>F5</f>
        <v>0</v>
      </c>
      <c r="G6" s="1"/>
      <c r="H6" s="1"/>
      <c r="I6" s="13" t="s">
        <v>1582</v>
      </c>
      <c r="J6" s="13" t="s">
        <v>1583</v>
      </c>
    </row>
    <row r="7" spans="1:12" s="2" customFormat="1" ht="12.75" customHeight="1" x14ac:dyDescent="0.2">
      <c r="A7" s="17"/>
      <c r="B7" s="18"/>
      <c r="C7" s="19" t="s">
        <v>9</v>
      </c>
      <c r="D7" s="20"/>
      <c r="E7" s="21">
        <f>+E6-F6</f>
        <v>615685.23000000045</v>
      </c>
      <c r="F7" s="22"/>
      <c r="G7" s="23"/>
      <c r="H7" s="23"/>
      <c r="I7" s="2">
        <v>388547.1</v>
      </c>
      <c r="J7" s="2">
        <v>0</v>
      </c>
      <c r="K7" s="176">
        <f>I7-J7</f>
        <v>388547.1</v>
      </c>
    </row>
    <row r="8" spans="1:12" ht="12.75" customHeight="1" x14ac:dyDescent="0.4">
      <c r="I8" s="112"/>
      <c r="J8" s="112"/>
    </row>
    <row r="9" spans="1:12" ht="18" customHeight="1" x14ac:dyDescent="0.4">
      <c r="A9" s="213" t="s">
        <v>1037</v>
      </c>
      <c r="B9" s="213"/>
      <c r="C9" s="213"/>
      <c r="D9" s="213"/>
      <c r="E9" s="213"/>
      <c r="F9" s="213"/>
      <c r="I9" s="112"/>
      <c r="J9" s="169">
        <f>90000000-60000000</f>
        <v>30000000</v>
      </c>
      <c r="K9" s="169" t="s">
        <v>1508</v>
      </c>
    </row>
    <row r="10" spans="1:12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I10" s="112"/>
      <c r="J10" s="169">
        <v>29665625.620000001</v>
      </c>
      <c r="K10" s="169" t="s">
        <v>1509</v>
      </c>
      <c r="L10" s="124"/>
    </row>
    <row r="11" spans="1:12" s="2" customFormat="1" ht="14.25" customHeight="1" x14ac:dyDescent="0.2">
      <c r="A11" s="89">
        <v>45334</v>
      </c>
      <c r="B11" s="9" t="s">
        <v>6</v>
      </c>
      <c r="C11" s="10" t="s">
        <v>7</v>
      </c>
      <c r="D11" s="11"/>
      <c r="F11" s="12">
        <v>29195059.760000005</v>
      </c>
      <c r="G11" s="1"/>
      <c r="H11" s="1"/>
      <c r="I11" s="130" t="s">
        <v>396</v>
      </c>
      <c r="J11" s="169">
        <f>+J9-J10</f>
        <v>334374.37999999896</v>
      </c>
      <c r="K11" s="169" t="s">
        <v>712</v>
      </c>
      <c r="L11" s="165" t="s">
        <v>1512</v>
      </c>
    </row>
    <row r="12" spans="1:12" s="2" customFormat="1" ht="14.25" customHeight="1" x14ac:dyDescent="0.2">
      <c r="A12" s="89">
        <v>45334</v>
      </c>
      <c r="B12" s="9" t="s">
        <v>6</v>
      </c>
      <c r="C12" s="76" t="s">
        <v>729</v>
      </c>
      <c r="D12" s="11" t="s">
        <v>13</v>
      </c>
      <c r="E12" s="12"/>
      <c r="F12" s="31">
        <v>11617.76</v>
      </c>
      <c r="G12" s="1"/>
      <c r="H12" s="1"/>
      <c r="I12" s="130"/>
      <c r="J12" s="169"/>
      <c r="K12" s="169"/>
      <c r="L12" s="165"/>
    </row>
    <row r="13" spans="1:12" s="2" customFormat="1" ht="14.25" customHeight="1" x14ac:dyDescent="0.2">
      <c r="A13" s="89">
        <v>45334</v>
      </c>
      <c r="B13" s="9" t="s">
        <v>6</v>
      </c>
      <c r="C13" s="76" t="s">
        <v>34</v>
      </c>
      <c r="D13" s="11" t="s">
        <v>13</v>
      </c>
      <c r="F13" s="31">
        <v>15000</v>
      </c>
      <c r="G13" s="1"/>
      <c r="H13" s="1"/>
      <c r="I13" s="130"/>
      <c r="J13" s="169"/>
      <c r="K13" s="169"/>
      <c r="L13" s="165"/>
    </row>
    <row r="14" spans="1:12" s="2" customFormat="1" ht="14.25" customHeight="1" x14ac:dyDescent="0.2">
      <c r="A14" s="89">
        <v>45334</v>
      </c>
      <c r="B14" s="9" t="s">
        <v>11</v>
      </c>
      <c r="C14" s="76" t="s">
        <v>1086</v>
      </c>
      <c r="D14" s="11" t="s">
        <v>29</v>
      </c>
      <c r="F14" s="31">
        <v>20000</v>
      </c>
      <c r="G14" s="1"/>
      <c r="H14" s="1"/>
      <c r="I14" s="130"/>
      <c r="J14" s="169"/>
      <c r="K14" s="169"/>
      <c r="L14" s="165"/>
    </row>
    <row r="15" spans="1:12" s="2" customFormat="1" ht="14.25" customHeight="1" x14ac:dyDescent="0.2">
      <c r="A15" s="89">
        <v>45334</v>
      </c>
      <c r="B15" s="9" t="s">
        <v>11</v>
      </c>
      <c r="C15" s="76" t="s">
        <v>32</v>
      </c>
      <c r="D15" s="11" t="s">
        <v>29</v>
      </c>
      <c r="F15" s="31">
        <v>19471</v>
      </c>
      <c r="G15" s="1"/>
      <c r="H15" s="1"/>
      <c r="I15" s="130"/>
      <c r="J15" s="169"/>
      <c r="K15" s="169"/>
      <c r="L15" s="165"/>
    </row>
    <row r="16" spans="1:12" s="2" customFormat="1" ht="14.25" customHeight="1" x14ac:dyDescent="0.2">
      <c r="A16" s="89">
        <v>45334</v>
      </c>
      <c r="B16" s="9" t="s">
        <v>11</v>
      </c>
      <c r="C16" s="76" t="s">
        <v>1091</v>
      </c>
      <c r="D16" s="11" t="s">
        <v>29</v>
      </c>
      <c r="F16" s="31">
        <v>15930</v>
      </c>
      <c r="G16" s="1"/>
      <c r="H16" s="1"/>
      <c r="I16" s="130"/>
      <c r="J16" s="169"/>
      <c r="K16" s="169"/>
      <c r="L16" s="165"/>
    </row>
    <row r="17" spans="1:14" s="2" customFormat="1" ht="14.25" customHeight="1" x14ac:dyDescent="0.2">
      <c r="D17" s="11" t="s">
        <v>8</v>
      </c>
      <c r="E17" s="16">
        <f>SUM(E12:E16)</f>
        <v>0</v>
      </c>
      <c r="F17" s="16">
        <f>SUM(F11:F16)</f>
        <v>29277078.520000007</v>
      </c>
      <c r="G17" s="1"/>
      <c r="H17" s="1"/>
      <c r="I17" s="143"/>
      <c r="J17" s="130"/>
      <c r="K17" s="143"/>
      <c r="L17" s="143"/>
      <c r="M17" s="143"/>
      <c r="N17" s="143"/>
    </row>
    <row r="18" spans="1:14" s="2" customFormat="1" ht="14.25" customHeight="1" x14ac:dyDescent="0.4">
      <c r="A18" s="17"/>
      <c r="B18" s="18"/>
      <c r="C18" s="96" t="s">
        <v>9</v>
      </c>
      <c r="D18" s="20"/>
      <c r="E18" s="21">
        <f>+F17-E17</f>
        <v>29277078.520000007</v>
      </c>
      <c r="G18" s="1"/>
      <c r="H18" s="1"/>
      <c r="J18" s="112"/>
      <c r="K18" s="153" t="s">
        <v>779</v>
      </c>
    </row>
    <row r="19" spans="1:14" s="2" customFormat="1" ht="14.25" customHeight="1" x14ac:dyDescent="0.2">
      <c r="A19" s="17"/>
      <c r="B19" s="28" t="s">
        <v>66</v>
      </c>
      <c r="C19" s="43" t="s">
        <v>1458</v>
      </c>
      <c r="D19" s="43"/>
      <c r="E19" s="12">
        <f>30000000+60000000</f>
        <v>90000000</v>
      </c>
      <c r="F19" s="22"/>
      <c r="G19" s="1"/>
      <c r="H19" s="1"/>
      <c r="J19" s="40">
        <v>29277078.52</v>
      </c>
      <c r="K19" s="154">
        <f>J19-E18</f>
        <v>0</v>
      </c>
    </row>
    <row r="20" spans="1:14" s="2" customFormat="1" ht="14.25" customHeight="1" x14ac:dyDescent="0.25">
      <c r="A20" s="36"/>
      <c r="B20" s="28"/>
      <c r="C20" s="44" t="s">
        <v>1541</v>
      </c>
      <c r="D20" s="43"/>
      <c r="E20" s="7">
        <f>+E18+E19</f>
        <v>119277078.52000001</v>
      </c>
      <c r="F20" s="22"/>
      <c r="G20" s="1"/>
      <c r="H20" s="1"/>
      <c r="I20" s="13" t="s">
        <v>1582</v>
      </c>
      <c r="J20" s="13" t="s">
        <v>1583</v>
      </c>
    </row>
    <row r="21" spans="1:14" s="2" customFormat="1" ht="14.25" customHeight="1" x14ac:dyDescent="0.25">
      <c r="A21" s="36"/>
      <c r="B21" s="28"/>
      <c r="C21" s="44" t="s">
        <v>1511</v>
      </c>
      <c r="D21" s="43"/>
      <c r="E21" s="38">
        <f>+J11+I7-J7</f>
        <v>722921.47999999893</v>
      </c>
      <c r="F21" s="22"/>
      <c r="G21" s="1"/>
      <c r="H21" s="1"/>
      <c r="I21" s="2">
        <v>1547388</v>
      </c>
      <c r="J21" s="2">
        <v>13426258</v>
      </c>
      <c r="K21" s="176">
        <f>I21-J21</f>
        <v>-11878870</v>
      </c>
    </row>
    <row r="22" spans="1:14" s="2" customFormat="1" ht="14.25" customHeight="1" x14ac:dyDescent="0.2">
      <c r="A22" s="24"/>
      <c r="B22" s="1"/>
      <c r="C22" s="14"/>
      <c r="D22" s="25"/>
      <c r="G22" s="1"/>
      <c r="H22" s="1"/>
      <c r="J22" s="130"/>
      <c r="K22" s="130"/>
    </row>
    <row r="23" spans="1:14" s="2" customFormat="1" x14ac:dyDescent="0.2">
      <c r="A23" s="214" t="s">
        <v>10</v>
      </c>
      <c r="B23" s="214"/>
      <c r="C23" s="214"/>
      <c r="D23" s="214"/>
      <c r="E23" s="214"/>
      <c r="F23" s="214"/>
      <c r="G23" s="1"/>
      <c r="H23" s="1"/>
      <c r="I23" s="159"/>
      <c r="J23" s="160">
        <f>100000000+25000000</f>
        <v>125000000</v>
      </c>
      <c r="K23" s="160" t="s">
        <v>1506</v>
      </c>
      <c r="L23" s="70"/>
    </row>
    <row r="24" spans="1:14" s="2" customFormat="1" ht="15" x14ac:dyDescent="0.35">
      <c r="A24" s="26" t="s">
        <v>1</v>
      </c>
      <c r="B24" s="27" t="s">
        <v>2</v>
      </c>
      <c r="C24" s="5"/>
      <c r="D24" s="6" t="s">
        <v>3</v>
      </c>
      <c r="E24" s="7" t="s">
        <v>4</v>
      </c>
      <c r="F24" s="7" t="s">
        <v>5</v>
      </c>
      <c r="G24" s="1"/>
      <c r="H24" s="1"/>
      <c r="I24" s="159"/>
      <c r="J24" s="179">
        <v>97230541.700000003</v>
      </c>
      <c r="K24" s="160" t="s">
        <v>1507</v>
      </c>
      <c r="L24" s="70" t="s">
        <v>1512</v>
      </c>
    </row>
    <row r="25" spans="1:14" s="2" customFormat="1" x14ac:dyDescent="0.2">
      <c r="A25" s="89">
        <v>45334</v>
      </c>
      <c r="B25" s="128" t="s">
        <v>11</v>
      </c>
      <c r="C25" s="29" t="s">
        <v>7</v>
      </c>
      <c r="D25" s="25"/>
      <c r="E25" s="31"/>
      <c r="F25" s="2">
        <v>106774665.35999991</v>
      </c>
      <c r="G25" s="23"/>
      <c r="H25" s="23"/>
      <c r="I25" s="159" t="s">
        <v>1505</v>
      </c>
      <c r="J25" s="160">
        <f>+J23-J24</f>
        <v>27769458.299999997</v>
      </c>
      <c r="K25" s="160"/>
      <c r="L25" s="70"/>
    </row>
    <row r="26" spans="1:14" s="2" customFormat="1" x14ac:dyDescent="0.2">
      <c r="A26" s="89">
        <v>45334</v>
      </c>
      <c r="B26" s="128" t="s">
        <v>6</v>
      </c>
      <c r="C26" s="76" t="s">
        <v>121</v>
      </c>
      <c r="D26" s="11" t="s">
        <v>13</v>
      </c>
      <c r="E26" s="31">
        <v>500000</v>
      </c>
      <c r="G26" s="23"/>
      <c r="H26" s="23"/>
      <c r="I26" s="159"/>
      <c r="J26" s="160"/>
      <c r="K26" s="160"/>
      <c r="L26" s="70"/>
    </row>
    <row r="27" spans="1:14" s="2" customFormat="1" x14ac:dyDescent="0.2">
      <c r="A27" s="89">
        <v>45334</v>
      </c>
      <c r="B27" s="128" t="s">
        <v>6</v>
      </c>
      <c r="C27" s="76" t="s">
        <v>1831</v>
      </c>
      <c r="D27" s="11" t="s">
        <v>13</v>
      </c>
      <c r="E27" s="31">
        <v>500000</v>
      </c>
      <c r="G27" s="23"/>
      <c r="H27" s="23"/>
      <c r="I27" s="159"/>
      <c r="J27" s="160"/>
      <c r="K27" s="160"/>
      <c r="L27" s="70"/>
    </row>
    <row r="28" spans="1:14" s="2" customFormat="1" x14ac:dyDescent="0.2">
      <c r="A28" s="89">
        <v>45334</v>
      </c>
      <c r="B28" s="128" t="s">
        <v>6</v>
      </c>
      <c r="C28" s="76" t="s">
        <v>332</v>
      </c>
      <c r="D28" s="11" t="s">
        <v>13</v>
      </c>
      <c r="E28" s="31">
        <v>25178</v>
      </c>
      <c r="G28" s="23"/>
      <c r="H28" s="23"/>
      <c r="I28" s="159"/>
      <c r="J28" s="160"/>
      <c r="K28" s="160"/>
      <c r="L28" s="70"/>
    </row>
    <row r="29" spans="1:14" s="2" customFormat="1" x14ac:dyDescent="0.2">
      <c r="A29" s="89">
        <v>45334</v>
      </c>
      <c r="B29" s="128" t="s">
        <v>6</v>
      </c>
      <c r="C29" s="76" t="s">
        <v>173</v>
      </c>
      <c r="D29" s="11" t="s">
        <v>13</v>
      </c>
      <c r="E29" s="31">
        <v>17956</v>
      </c>
      <c r="G29" s="23"/>
      <c r="H29" s="23"/>
      <c r="I29" s="159"/>
      <c r="J29" s="160"/>
      <c r="K29" s="160"/>
      <c r="L29" s="70"/>
    </row>
    <row r="30" spans="1:14" s="2" customFormat="1" x14ac:dyDescent="0.2">
      <c r="A30" s="89">
        <v>45334</v>
      </c>
      <c r="B30" s="128" t="s">
        <v>6</v>
      </c>
      <c r="C30" s="76" t="s">
        <v>276</v>
      </c>
      <c r="D30" s="11" t="s">
        <v>13</v>
      </c>
      <c r="E30" s="31">
        <v>19720</v>
      </c>
      <c r="G30" s="23"/>
      <c r="H30" s="23"/>
      <c r="I30" s="159"/>
      <c r="J30" s="160"/>
      <c r="K30" s="160"/>
      <c r="L30" s="70"/>
    </row>
    <row r="31" spans="1:14" s="2" customFormat="1" x14ac:dyDescent="0.2">
      <c r="A31" s="89">
        <v>45334</v>
      </c>
      <c r="B31" s="128" t="s">
        <v>6</v>
      </c>
      <c r="C31" s="76" t="s">
        <v>694</v>
      </c>
      <c r="D31" s="11" t="s">
        <v>13</v>
      </c>
      <c r="E31" s="31">
        <v>1500000</v>
      </c>
      <c r="G31" s="23"/>
      <c r="H31" s="23"/>
      <c r="I31" s="159"/>
      <c r="J31" s="160"/>
      <c r="K31" s="160"/>
      <c r="L31" s="70"/>
    </row>
    <row r="32" spans="1:14" s="2" customFormat="1" x14ac:dyDescent="0.2">
      <c r="A32" s="89">
        <v>45334</v>
      </c>
      <c r="B32" s="128" t="s">
        <v>6</v>
      </c>
      <c r="C32" s="76" t="s">
        <v>1959</v>
      </c>
      <c r="D32" s="11" t="s">
        <v>13</v>
      </c>
      <c r="E32" s="31">
        <v>12454</v>
      </c>
      <c r="G32" s="23"/>
      <c r="H32" s="23"/>
      <c r="I32" s="159"/>
      <c r="J32" s="160"/>
      <c r="K32" s="160"/>
      <c r="L32" s="70"/>
    </row>
    <row r="33" spans="1:15" s="2" customFormat="1" x14ac:dyDescent="0.2">
      <c r="A33" s="89">
        <v>45334</v>
      </c>
      <c r="B33" s="128" t="s">
        <v>6</v>
      </c>
      <c r="C33" s="76" t="s">
        <v>2064</v>
      </c>
      <c r="D33" s="11" t="s">
        <v>13</v>
      </c>
      <c r="E33" s="31">
        <f>1304841+46300</f>
        <v>1351141</v>
      </c>
      <c r="G33" s="23"/>
      <c r="H33" s="23"/>
      <c r="I33" s="159"/>
      <c r="J33" s="160"/>
      <c r="K33" s="160"/>
      <c r="L33" s="70"/>
    </row>
    <row r="34" spans="1:15" s="2" customFormat="1" x14ac:dyDescent="0.2">
      <c r="A34" s="89">
        <v>45334</v>
      </c>
      <c r="B34" s="128" t="s">
        <v>6</v>
      </c>
      <c r="C34" s="76" t="s">
        <v>266</v>
      </c>
      <c r="D34" s="11" t="s">
        <v>13</v>
      </c>
      <c r="E34" s="31">
        <v>289907</v>
      </c>
      <c r="G34" s="23"/>
      <c r="H34" s="23"/>
      <c r="I34" s="159"/>
      <c r="J34" s="160"/>
      <c r="K34" s="160"/>
      <c r="L34" s="70"/>
    </row>
    <row r="35" spans="1:15" s="2" customFormat="1" x14ac:dyDescent="0.2">
      <c r="A35" s="89">
        <v>45334</v>
      </c>
      <c r="B35" s="128" t="s">
        <v>6</v>
      </c>
      <c r="C35" s="76" t="s">
        <v>174</v>
      </c>
      <c r="D35" s="11" t="s">
        <v>13</v>
      </c>
      <c r="E35" s="31">
        <v>5678958</v>
      </c>
      <c r="G35" s="23"/>
      <c r="H35" s="23"/>
      <c r="I35" s="159"/>
      <c r="J35" s="160"/>
      <c r="K35" s="160"/>
      <c r="L35" s="70"/>
    </row>
    <row r="36" spans="1:15" s="2" customFormat="1" x14ac:dyDescent="0.2">
      <c r="A36" s="89">
        <v>45334</v>
      </c>
      <c r="B36" s="128" t="s">
        <v>11</v>
      </c>
      <c r="C36" s="76" t="s">
        <v>1228</v>
      </c>
      <c r="D36" s="11" t="s">
        <v>29</v>
      </c>
      <c r="E36" s="31"/>
      <c r="F36" s="2">
        <v>500000</v>
      </c>
      <c r="G36" s="23"/>
      <c r="H36" s="23"/>
      <c r="I36" s="159"/>
      <c r="J36" s="160"/>
      <c r="K36" s="160"/>
      <c r="L36" s="70"/>
    </row>
    <row r="37" spans="1:15" s="2" customFormat="1" x14ac:dyDescent="0.2">
      <c r="A37" s="89">
        <v>45334</v>
      </c>
      <c r="B37" s="128" t="s">
        <v>11</v>
      </c>
      <c r="C37" s="76" t="s">
        <v>2065</v>
      </c>
      <c r="D37" s="11" t="s">
        <v>29</v>
      </c>
      <c r="E37" s="31"/>
      <c r="F37" s="2">
        <v>434410</v>
      </c>
      <c r="G37" s="23"/>
      <c r="H37" s="23"/>
      <c r="I37" s="159"/>
      <c r="J37" s="160"/>
      <c r="K37" s="160"/>
      <c r="L37" s="70"/>
    </row>
    <row r="38" spans="1:15" s="2" customFormat="1" x14ac:dyDescent="0.2">
      <c r="A38" s="89">
        <v>45334</v>
      </c>
      <c r="B38" s="128" t="s">
        <v>11</v>
      </c>
      <c r="C38" s="76" t="s">
        <v>64</v>
      </c>
      <c r="D38" s="11" t="s">
        <v>29</v>
      </c>
      <c r="E38" s="31"/>
      <c r="F38" s="2">
        <v>5030.34</v>
      </c>
      <c r="G38" s="23"/>
      <c r="H38" s="23"/>
      <c r="I38" s="159"/>
      <c r="J38" s="160"/>
      <c r="K38" s="160"/>
      <c r="L38" s="70"/>
    </row>
    <row r="39" spans="1:15" s="2" customFormat="1" x14ac:dyDescent="0.2">
      <c r="A39" s="89">
        <v>45334</v>
      </c>
      <c r="B39" s="128" t="s">
        <v>11</v>
      </c>
      <c r="C39" s="76" t="s">
        <v>284</v>
      </c>
      <c r="D39" s="11" t="s">
        <v>29</v>
      </c>
      <c r="E39" s="31"/>
      <c r="F39" s="2">
        <v>600720</v>
      </c>
      <c r="G39" s="23"/>
      <c r="H39" s="23"/>
      <c r="I39" s="159"/>
      <c r="J39" s="160"/>
      <c r="K39" s="160"/>
      <c r="L39" s="70"/>
    </row>
    <row r="40" spans="1:15" s="2" customFormat="1" x14ac:dyDescent="0.2">
      <c r="A40" s="89">
        <v>45334</v>
      </c>
      <c r="B40" s="128" t="s">
        <v>11</v>
      </c>
      <c r="C40" s="76" t="s">
        <v>1472</v>
      </c>
      <c r="D40" s="11" t="s">
        <v>29</v>
      </c>
      <c r="E40" s="31"/>
      <c r="F40" s="2">
        <v>958857</v>
      </c>
      <c r="G40" s="23"/>
      <c r="H40" s="23"/>
      <c r="I40" s="159"/>
      <c r="J40" s="160"/>
      <c r="K40" s="160"/>
      <c r="L40" s="70"/>
    </row>
    <row r="41" spans="1:15" s="2" customFormat="1" x14ac:dyDescent="0.2">
      <c r="A41" s="89">
        <v>45334</v>
      </c>
      <c r="B41" s="128" t="s">
        <v>11</v>
      </c>
      <c r="C41" s="76" t="s">
        <v>1734</v>
      </c>
      <c r="D41" s="11" t="s">
        <v>29</v>
      </c>
      <c r="E41" s="31"/>
      <c r="F41" s="2">
        <v>1891869</v>
      </c>
      <c r="G41" s="23"/>
      <c r="H41" s="23"/>
      <c r="I41" s="159"/>
      <c r="J41" s="160"/>
      <c r="K41" s="160"/>
      <c r="L41" s="70"/>
    </row>
    <row r="42" spans="1:15" s="2" customFormat="1" x14ac:dyDescent="0.2">
      <c r="A42" s="89">
        <v>45334</v>
      </c>
      <c r="B42" s="128" t="s">
        <v>11</v>
      </c>
      <c r="C42" s="76" t="s">
        <v>1798</v>
      </c>
      <c r="D42" s="11" t="s">
        <v>29</v>
      </c>
      <c r="E42" s="31"/>
      <c r="F42" s="2">
        <v>3021221</v>
      </c>
      <c r="G42" s="23"/>
      <c r="H42" s="23"/>
      <c r="I42" s="159"/>
      <c r="J42" s="160"/>
      <c r="K42" s="160"/>
      <c r="L42" s="70"/>
    </row>
    <row r="43" spans="1:15" s="2" customFormat="1" x14ac:dyDescent="0.2">
      <c r="A43" s="89">
        <v>45334</v>
      </c>
      <c r="B43" s="128" t="s">
        <v>11</v>
      </c>
      <c r="C43" s="76" t="s">
        <v>91</v>
      </c>
      <c r="D43" s="11" t="s">
        <v>29</v>
      </c>
      <c r="E43" s="31"/>
      <c r="F43" s="2">
        <v>50400</v>
      </c>
      <c r="G43" s="23"/>
      <c r="H43" s="23"/>
      <c r="I43" s="159"/>
      <c r="J43" s="160"/>
      <c r="K43" s="160"/>
      <c r="L43" s="148" t="s">
        <v>329</v>
      </c>
    </row>
    <row r="44" spans="1:15" s="2" customFormat="1" x14ac:dyDescent="0.2">
      <c r="A44" s="32"/>
      <c r="B44" s="33"/>
      <c r="C44" s="14"/>
      <c r="D44" s="34"/>
      <c r="E44" s="16">
        <f>SUM(E25:E43)</f>
        <v>9895314</v>
      </c>
      <c r="F44" s="16">
        <f>SUM(F25:F43)</f>
        <v>114237172.69999991</v>
      </c>
      <c r="G44" s="1"/>
      <c r="H44" s="1"/>
      <c r="I44" s="1"/>
      <c r="J44" s="38">
        <v>103384153.7</v>
      </c>
      <c r="L44" s="92">
        <f>E45-J44</f>
        <v>957704.99999991059</v>
      </c>
      <c r="O44" s="1"/>
    </row>
    <row r="45" spans="1:15" s="2" customFormat="1" x14ac:dyDescent="0.2">
      <c r="A45" s="36"/>
      <c r="B45" s="28" t="s">
        <v>11</v>
      </c>
      <c r="C45" s="19" t="s">
        <v>65</v>
      </c>
      <c r="D45" s="37"/>
      <c r="E45" s="38">
        <f>F44-E44</f>
        <v>104341858.69999991</v>
      </c>
      <c r="F45" s="22"/>
      <c r="G45" s="1"/>
      <c r="H45" s="1"/>
      <c r="I45" s="1"/>
      <c r="J45" s="70"/>
      <c r="K45" s="70"/>
      <c r="L45" s="70"/>
      <c r="O45" s="1"/>
    </row>
    <row r="46" spans="1:15" s="2" customFormat="1" x14ac:dyDescent="0.2">
      <c r="A46" s="36"/>
      <c r="B46" s="28" t="s">
        <v>66</v>
      </c>
      <c r="C46" s="19" t="s">
        <v>67</v>
      </c>
      <c r="D46" s="37"/>
      <c r="E46" s="38">
        <v>11500000</v>
      </c>
      <c r="F46" s="22"/>
      <c r="G46" s="1"/>
      <c r="H46" s="1"/>
      <c r="I46" s="70"/>
      <c r="J46" s="70"/>
      <c r="K46" s="70"/>
      <c r="L46" s="70"/>
      <c r="O46" s="1"/>
    </row>
    <row r="47" spans="1:15" s="2" customFormat="1" x14ac:dyDescent="0.2">
      <c r="A47" s="36"/>
      <c r="B47" s="28" t="s">
        <v>66</v>
      </c>
      <c r="C47" s="43" t="s">
        <v>1457</v>
      </c>
      <c r="D47" s="43"/>
      <c r="E47" s="12">
        <f>400000000-25000000</f>
        <v>375000000</v>
      </c>
      <c r="F47" s="22"/>
      <c r="G47" s="1"/>
      <c r="H47" s="1"/>
      <c r="I47" s="70"/>
      <c r="J47" s="45">
        <v>1300.3900000000001</v>
      </c>
      <c r="K47" s="46"/>
      <c r="L47" s="46"/>
      <c r="O47" s="1"/>
    </row>
    <row r="48" spans="1:15" s="2" customFormat="1" ht="15" x14ac:dyDescent="0.25">
      <c r="A48" s="36"/>
      <c r="B48" s="28"/>
      <c r="C48" s="44" t="s">
        <v>1541</v>
      </c>
      <c r="D48" s="43"/>
      <c r="E48" s="7">
        <f>+E47+E45+E46</f>
        <v>490841858.69999993</v>
      </c>
      <c r="F48" s="22"/>
      <c r="G48" s="1"/>
      <c r="H48" s="1"/>
      <c r="I48" s="103" t="s">
        <v>69</v>
      </c>
      <c r="J48" s="45">
        <v>-70.61</v>
      </c>
      <c r="K48" s="46"/>
      <c r="L48" s="46"/>
      <c r="O48" s="1"/>
    </row>
    <row r="49" spans="1:15" s="2" customFormat="1" ht="15" x14ac:dyDescent="0.25">
      <c r="A49" s="24"/>
      <c r="B49" s="1"/>
      <c r="C49" s="44" t="s">
        <v>1510</v>
      </c>
      <c r="D49" s="25"/>
      <c r="E49" s="156">
        <f>+J25-E46+I21-J21</f>
        <v>4390588.299999997</v>
      </c>
      <c r="G49" s="1"/>
      <c r="H49" s="1"/>
      <c r="I49" s="35">
        <v>1</v>
      </c>
      <c r="J49" s="45">
        <v>60.07</v>
      </c>
      <c r="K49" s="46">
        <f>+J50-D52</f>
        <v>0</v>
      </c>
      <c r="O49" s="1"/>
    </row>
    <row r="50" spans="1:15" s="124" customFormat="1" ht="12.75" customHeight="1" x14ac:dyDescent="0.2">
      <c r="A50" s="24"/>
      <c r="B50" s="1"/>
      <c r="C50" s="56"/>
      <c r="D50" s="56"/>
      <c r="E50" s="104"/>
      <c r="F50" s="2"/>
      <c r="G50" s="166"/>
      <c r="H50" s="166"/>
      <c r="I50" s="70"/>
      <c r="J50" s="49">
        <f>SUM(J47:J49)</f>
        <v>1289.8500000000001</v>
      </c>
      <c r="K50" s="46"/>
      <c r="L50" s="46"/>
    </row>
    <row r="51" spans="1:15" s="124" customFormat="1" ht="12.75" customHeight="1" x14ac:dyDescent="0.2">
      <c r="A51" s="24"/>
      <c r="B51" s="1"/>
      <c r="C51" s="78" t="s">
        <v>575</v>
      </c>
      <c r="D51" s="48" t="s">
        <v>576</v>
      </c>
      <c r="E51" s="104"/>
      <c r="F51" s="2"/>
      <c r="G51" s="168"/>
      <c r="H51" s="168"/>
      <c r="I51" s="167"/>
      <c r="J51" s="167"/>
      <c r="K51" s="168"/>
    </row>
    <row r="52" spans="1:15" s="124" customFormat="1" ht="12.75" customHeight="1" x14ac:dyDescent="0.2">
      <c r="A52" s="24"/>
      <c r="B52" s="1"/>
      <c r="C52" s="47" t="s">
        <v>570</v>
      </c>
      <c r="D52" s="111">
        <v>1289.8499999999999</v>
      </c>
      <c r="E52" s="104"/>
      <c r="F52" s="2"/>
      <c r="G52" s="168"/>
      <c r="H52" s="168"/>
      <c r="I52" s="110" t="s">
        <v>581</v>
      </c>
      <c r="J52" s="167"/>
      <c r="K52" s="168"/>
    </row>
    <row r="53" spans="1:15" s="124" customFormat="1" ht="12.75" customHeight="1" x14ac:dyDescent="0.2">
      <c r="A53" s="24"/>
      <c r="B53" s="1"/>
      <c r="C53" s="47" t="s">
        <v>931</v>
      </c>
      <c r="D53" s="111">
        <v>63.72</v>
      </c>
      <c r="E53" s="104"/>
      <c r="F53" s="2"/>
      <c r="G53" s="168"/>
      <c r="H53" s="168"/>
      <c r="I53" s="110" t="s">
        <v>580</v>
      </c>
      <c r="J53" s="167"/>
      <c r="K53" s="168"/>
    </row>
    <row r="54" spans="1:15" s="124" customFormat="1" ht="12.75" customHeight="1" x14ac:dyDescent="0.2">
      <c r="A54" s="24"/>
      <c r="B54" s="1"/>
      <c r="C54" s="47" t="s">
        <v>572</v>
      </c>
      <c r="D54" s="111">
        <f>+D75/100000</f>
        <v>44.509390000000003</v>
      </c>
      <c r="E54" s="104"/>
      <c r="F54" s="2"/>
      <c r="G54" s="166"/>
      <c r="H54" s="166"/>
      <c r="I54" s="90" t="s">
        <v>587</v>
      </c>
      <c r="J54" s="167"/>
      <c r="K54" s="168"/>
    </row>
    <row r="55" spans="1:15" s="2" customFormat="1" x14ac:dyDescent="0.2">
      <c r="A55" s="24"/>
      <c r="B55" s="1"/>
      <c r="C55" s="108" t="s">
        <v>578</v>
      </c>
      <c r="D55" s="48">
        <f>SUM(D52:D54)</f>
        <v>1398.0793899999999</v>
      </c>
      <c r="E55" s="104"/>
      <c r="G55" s="30"/>
      <c r="H55" s="30"/>
      <c r="J55" s="13"/>
      <c r="K55" s="13"/>
    </row>
    <row r="56" spans="1:15" s="70" customFormat="1" x14ac:dyDescent="0.2">
      <c r="A56" s="24"/>
      <c r="B56" s="1"/>
      <c r="C56" s="47"/>
      <c r="D56" s="107"/>
      <c r="E56" s="104"/>
      <c r="F56" s="2"/>
      <c r="G56" s="30"/>
      <c r="H56" s="30"/>
      <c r="I56" s="2"/>
    </row>
    <row r="57" spans="1:15" s="70" customFormat="1" x14ac:dyDescent="0.2">
      <c r="A57" s="24"/>
      <c r="B57" s="1"/>
      <c r="C57" s="47" t="s">
        <v>932</v>
      </c>
      <c r="D57" s="111">
        <v>16.14</v>
      </c>
      <c r="E57" s="104"/>
      <c r="F57" s="2"/>
      <c r="G57" s="30"/>
      <c r="H57" s="30"/>
      <c r="I57" s="110" t="s">
        <v>581</v>
      </c>
    </row>
    <row r="58" spans="1:15" s="70" customFormat="1" x14ac:dyDescent="0.2">
      <c r="A58" s="24"/>
      <c r="B58" s="1"/>
      <c r="C58" s="136" t="s">
        <v>1142</v>
      </c>
      <c r="D58" s="111">
        <v>331.28</v>
      </c>
      <c r="E58" s="104"/>
      <c r="F58" s="2"/>
      <c r="G58" s="30"/>
      <c r="H58" s="30"/>
      <c r="I58" s="110" t="s">
        <v>581</v>
      </c>
    </row>
    <row r="59" spans="1:15" s="70" customFormat="1" x14ac:dyDescent="0.2">
      <c r="A59" s="24"/>
      <c r="B59" s="1"/>
      <c r="C59" s="78" t="s">
        <v>579</v>
      </c>
      <c r="D59" s="109">
        <f>D57+D58</f>
        <v>347.41999999999996</v>
      </c>
      <c r="E59" s="104"/>
      <c r="F59" s="2"/>
      <c r="G59" s="30"/>
      <c r="H59" s="30"/>
    </row>
    <row r="60" spans="1:15" s="70" customFormat="1" x14ac:dyDescent="0.2">
      <c r="A60" s="24"/>
      <c r="B60" s="1"/>
      <c r="C60" s="105"/>
      <c r="D60" s="106"/>
      <c r="E60" s="104"/>
      <c r="F60" s="2"/>
      <c r="G60" s="30"/>
      <c r="H60" s="30"/>
      <c r="J60" s="2"/>
      <c r="K60" s="221" t="str">
        <f>"FROM ( 01-02-2024 to "&amp;TEXT(A5,"dd-mm-yyyy")&amp;" )"</f>
        <v>FROM ( 01-02-2024 to 12-02-2024 )</v>
      </c>
      <c r="L60" s="221"/>
      <c r="M60" s="2"/>
      <c r="N60" s="2"/>
    </row>
    <row r="61" spans="1:15" s="70" customFormat="1" x14ac:dyDescent="0.2">
      <c r="A61" s="24"/>
      <c r="B61" s="1"/>
      <c r="C61" s="78" t="s">
        <v>577</v>
      </c>
      <c r="D61" s="109">
        <f>D52+D59</f>
        <v>1637.27</v>
      </c>
      <c r="E61" s="104"/>
      <c r="F61" s="2"/>
      <c r="G61" s="30"/>
      <c r="H61" s="30"/>
      <c r="J61" s="113"/>
      <c r="K61" s="113" t="s">
        <v>709</v>
      </c>
      <c r="L61" s="113" t="s">
        <v>710</v>
      </c>
      <c r="M61" s="113" t="s">
        <v>711</v>
      </c>
      <c r="N61" s="113" t="s">
        <v>712</v>
      </c>
    </row>
    <row r="62" spans="1:15" s="70" customFormat="1" x14ac:dyDescent="0.2">
      <c r="A62" s="24"/>
      <c r="B62" s="1"/>
      <c r="C62" s="56"/>
      <c r="D62" s="56"/>
      <c r="E62" s="104"/>
      <c r="F62" s="2"/>
      <c r="G62" s="30"/>
      <c r="H62" s="30"/>
      <c r="J62" s="113" t="s">
        <v>1860</v>
      </c>
      <c r="K62" s="115">
        <v>191.98999999999998</v>
      </c>
      <c r="L62" s="115">
        <v>0</v>
      </c>
      <c r="M62" s="115">
        <v>0</v>
      </c>
      <c r="N62" s="113">
        <f>+K62+M62-L62</f>
        <v>191.98999999999998</v>
      </c>
    </row>
    <row r="63" spans="1:15" s="70" customFormat="1" ht="38.25" x14ac:dyDescent="0.2">
      <c r="A63" s="24"/>
      <c r="B63" s="1"/>
      <c r="C63" s="79" t="str">
        <f>"Particulars ( 01-02-2024 to "&amp;TEXT(A5,"dd-mm-yyyy")&amp;" )"</f>
        <v>Particulars ( 01-02-2024 to 12-02-2024 )</v>
      </c>
      <c r="D63" s="79" t="s">
        <v>7</v>
      </c>
      <c r="E63" s="80" t="s">
        <v>73</v>
      </c>
      <c r="F63" s="80" t="s">
        <v>74</v>
      </c>
      <c r="G63" s="81" t="s">
        <v>75</v>
      </c>
      <c r="H63" s="80" t="s">
        <v>76</v>
      </c>
      <c r="J63" s="113" t="s">
        <v>1861</v>
      </c>
      <c r="K63" s="115">
        <v>1862.06</v>
      </c>
      <c r="L63" s="115">
        <v>44.51</v>
      </c>
      <c r="M63" s="115">
        <v>331.28</v>
      </c>
      <c r="N63" s="113">
        <f>+K63+M63-L63</f>
        <v>2148.83</v>
      </c>
    </row>
    <row r="64" spans="1:15" s="70" customFormat="1" x14ac:dyDescent="0.2">
      <c r="A64" s="24"/>
      <c r="B64" s="1"/>
      <c r="C64" s="50" t="s">
        <v>444</v>
      </c>
      <c r="D64" s="55">
        <f>+K64</f>
        <v>332.44</v>
      </c>
      <c r="E64" s="55">
        <f>+IF(M64=0,0,M64)</f>
        <v>16.14</v>
      </c>
      <c r="F64" s="55">
        <f>+L64</f>
        <v>63.72</v>
      </c>
      <c r="G64" s="55">
        <f>+D64+E64-F64</f>
        <v>284.86</v>
      </c>
      <c r="H64" s="55">
        <f>1500-G64</f>
        <v>1215.1399999999999</v>
      </c>
      <c r="I64" s="70">
        <f>+IF(M64=0,0,M64)</f>
        <v>16.14</v>
      </c>
      <c r="J64" s="113" t="s">
        <v>707</v>
      </c>
      <c r="K64" s="115">
        <v>332.44</v>
      </c>
      <c r="L64" s="115">
        <v>63.72</v>
      </c>
      <c r="M64" s="115">
        <v>16.14</v>
      </c>
      <c r="N64" s="113">
        <f>+K64+M64-L64</f>
        <v>284.86</v>
      </c>
    </row>
    <row r="65" spans="1:15" s="70" customFormat="1" ht="12.75" customHeight="1" x14ac:dyDescent="0.2">
      <c r="A65" s="24"/>
      <c r="B65" s="1"/>
      <c r="C65" s="50" t="s">
        <v>71</v>
      </c>
      <c r="D65" s="55">
        <f>+K62+K63</f>
        <v>2054.0499999999997</v>
      </c>
      <c r="E65" s="55">
        <f>+M62+M63</f>
        <v>331.28</v>
      </c>
      <c r="F65" s="55">
        <f>+L62+L63</f>
        <v>44.51</v>
      </c>
      <c r="G65" s="55">
        <f>+D65+E65-F65</f>
        <v>2340.8199999999997</v>
      </c>
      <c r="H65" s="55">
        <f>1500+700+200-G65</f>
        <v>59.180000000000291</v>
      </c>
      <c r="J65" s="2"/>
      <c r="K65" s="118">
        <f>SUM(K62:K64)</f>
        <v>2386.4899999999998</v>
      </c>
      <c r="L65" s="118">
        <f>SUM(L62:L64)</f>
        <v>108.22999999999999</v>
      </c>
      <c r="M65" s="118">
        <f>SUM(M62:M64)</f>
        <v>347.41999999999996</v>
      </c>
      <c r="N65" s="118">
        <f>SUM(N62:N64)</f>
        <v>2625.68</v>
      </c>
    </row>
    <row r="66" spans="1:15" s="70" customFormat="1" ht="12.75" customHeight="1" x14ac:dyDescent="0.2">
      <c r="A66" s="24"/>
      <c r="B66" s="1"/>
      <c r="C66" s="14"/>
      <c r="D66" s="56"/>
      <c r="E66" s="13"/>
      <c r="F66" s="2"/>
      <c r="G66" s="30"/>
      <c r="H66" s="30"/>
    </row>
    <row r="67" spans="1:15" s="70" customFormat="1" ht="12.75" customHeight="1" x14ac:dyDescent="0.2">
      <c r="A67" s="215" t="s">
        <v>80</v>
      </c>
      <c r="B67" s="216"/>
      <c r="C67" s="216"/>
      <c r="D67" s="217"/>
      <c r="E67" s="69"/>
      <c r="G67" s="30"/>
      <c r="H67" s="30"/>
    </row>
    <row r="68" spans="1:15" s="70" customFormat="1" ht="12.75" customHeight="1" x14ac:dyDescent="0.2">
      <c r="A68" s="71" t="s">
        <v>81</v>
      </c>
      <c r="B68" s="71"/>
      <c r="C68" s="72" t="s">
        <v>82</v>
      </c>
      <c r="D68" s="73" t="s">
        <v>83</v>
      </c>
      <c r="E68" s="69"/>
      <c r="G68" s="30"/>
      <c r="H68" s="30"/>
    </row>
    <row r="69" spans="1:15" s="70" customFormat="1" ht="12.75" customHeight="1" x14ac:dyDescent="0.2">
      <c r="A69" s="87">
        <v>45323</v>
      </c>
      <c r="B69" s="120" t="s">
        <v>6</v>
      </c>
      <c r="C69" s="75" t="s">
        <v>2030</v>
      </c>
      <c r="D69" s="88">
        <v>881220</v>
      </c>
      <c r="E69" s="2"/>
      <c r="F69" s="2"/>
      <c r="G69" s="30"/>
      <c r="H69" s="30"/>
      <c r="I69" s="2"/>
      <c r="J69" s="2"/>
      <c r="K69" s="2"/>
      <c r="L69" s="2"/>
      <c r="M69" s="41"/>
      <c r="N69" s="42"/>
      <c r="O69" s="2"/>
    </row>
    <row r="70" spans="1:15" s="70" customFormat="1" ht="12.75" customHeight="1" x14ac:dyDescent="0.2">
      <c r="A70" s="87">
        <v>45324</v>
      </c>
      <c r="B70" s="120" t="s">
        <v>6</v>
      </c>
      <c r="C70" s="75" t="s">
        <v>1934</v>
      </c>
      <c r="D70" s="88">
        <v>47729</v>
      </c>
      <c r="E70" s="2"/>
      <c r="F70" s="2"/>
      <c r="G70" s="30"/>
      <c r="H70" s="30"/>
      <c r="I70" s="2"/>
      <c r="J70" s="2"/>
      <c r="K70" s="2"/>
      <c r="L70" s="2"/>
      <c r="M70" s="41"/>
      <c r="N70" s="42"/>
      <c r="O70" s="2"/>
    </row>
    <row r="71" spans="1:15" s="70" customFormat="1" ht="12.75" customHeight="1" x14ac:dyDescent="0.2">
      <c r="A71" s="87">
        <v>45328</v>
      </c>
      <c r="B71" s="120" t="s">
        <v>6</v>
      </c>
      <c r="C71" s="75" t="s">
        <v>606</v>
      </c>
      <c r="D71" s="88">
        <v>1312580</v>
      </c>
      <c r="E71" s="2"/>
      <c r="F71" s="2"/>
      <c r="G71" s="30"/>
      <c r="H71" s="30"/>
      <c r="I71" s="2"/>
      <c r="J71" s="2"/>
      <c r="K71" s="2"/>
      <c r="L71" s="2"/>
      <c r="M71" s="41"/>
      <c r="N71" s="42"/>
      <c r="O71" s="2"/>
    </row>
    <row r="72" spans="1:15" s="70" customFormat="1" ht="12.75" customHeight="1" x14ac:dyDescent="0.2">
      <c r="A72" s="87">
        <v>45327</v>
      </c>
      <c r="B72" s="120" t="s">
        <v>6</v>
      </c>
      <c r="C72" s="75" t="s">
        <v>606</v>
      </c>
      <c r="D72" s="88">
        <v>56647</v>
      </c>
      <c r="E72" s="2"/>
      <c r="F72" s="2"/>
      <c r="G72" s="30"/>
      <c r="H72" s="30"/>
      <c r="I72" s="2"/>
      <c r="J72" s="2"/>
      <c r="K72" s="2"/>
      <c r="L72" s="2"/>
      <c r="M72" s="41"/>
      <c r="N72" s="42"/>
      <c r="O72" s="2"/>
    </row>
    <row r="73" spans="1:15" s="70" customFormat="1" ht="12.75" customHeight="1" x14ac:dyDescent="0.2">
      <c r="A73" s="87">
        <v>45329</v>
      </c>
      <c r="B73" s="120" t="s">
        <v>6</v>
      </c>
      <c r="C73" s="75" t="s">
        <v>2030</v>
      </c>
      <c r="D73" s="88">
        <v>548859</v>
      </c>
      <c r="E73" s="2"/>
      <c r="F73" s="2"/>
      <c r="G73" s="30"/>
      <c r="H73" s="30"/>
      <c r="I73" s="2"/>
      <c r="J73" s="2"/>
      <c r="K73" s="2"/>
      <c r="L73" s="2"/>
      <c r="M73" s="41"/>
      <c r="N73" s="42"/>
      <c r="O73" s="2"/>
    </row>
    <row r="74" spans="1:15" s="70" customFormat="1" ht="12.75" customHeight="1" x14ac:dyDescent="0.2">
      <c r="A74" s="87">
        <v>45332</v>
      </c>
      <c r="B74" s="120" t="s">
        <v>6</v>
      </c>
      <c r="C74" s="75" t="s">
        <v>1084</v>
      </c>
      <c r="D74" s="88">
        <v>1603904</v>
      </c>
      <c r="E74" s="2"/>
      <c r="F74" s="2"/>
      <c r="G74" s="30"/>
      <c r="H74" s="30"/>
      <c r="I74" s="2"/>
      <c r="J74" s="2"/>
      <c r="K74" s="2"/>
      <c r="L74" s="2"/>
      <c r="M74" s="41"/>
      <c r="N74" s="42"/>
      <c r="O74" s="2"/>
    </row>
    <row r="75" spans="1:15" s="2" customFormat="1" x14ac:dyDescent="0.2">
      <c r="A75" s="87"/>
      <c r="B75" s="74"/>
      <c r="C75" s="75"/>
      <c r="D75" s="51">
        <f>SUM(D69:D74)</f>
        <v>4450939</v>
      </c>
      <c r="F75" s="2" t="s">
        <v>396</v>
      </c>
      <c r="G75" s="1"/>
      <c r="H75" s="1"/>
    </row>
    <row r="76" spans="1:15" s="2" customFormat="1" x14ac:dyDescent="0.2">
      <c r="A76" s="24"/>
      <c r="B76" s="1"/>
      <c r="C76" s="14"/>
      <c r="D76" s="56"/>
      <c r="E76" s="13"/>
      <c r="G76" s="1"/>
      <c r="H76" s="1"/>
    </row>
    <row r="77" spans="1:15" s="2" customFormat="1" x14ac:dyDescent="0.2">
      <c r="A77" s="24"/>
      <c r="B77" s="1"/>
      <c r="C77" s="218" t="s">
        <v>77</v>
      </c>
      <c r="D77" s="219"/>
      <c r="E77" s="219"/>
      <c r="F77" s="220"/>
      <c r="I77" s="2" t="s">
        <v>396</v>
      </c>
    </row>
    <row r="78" spans="1:15" s="2" customFormat="1" x14ac:dyDescent="0.2">
      <c r="A78" s="24"/>
      <c r="B78" s="1"/>
      <c r="C78" s="50"/>
      <c r="D78" s="57" t="s">
        <v>78</v>
      </c>
      <c r="E78" s="58" t="s">
        <v>79</v>
      </c>
      <c r="F78" s="57" t="s">
        <v>72</v>
      </c>
      <c r="I78" s="2" t="s">
        <v>396</v>
      </c>
    </row>
    <row r="79" spans="1:15" s="2" customFormat="1" x14ac:dyDescent="0.2">
      <c r="A79" s="24"/>
      <c r="B79" s="1"/>
      <c r="C79" s="59" t="str">
        <f>"01-02-2024 to "&amp;TEXT(A5-2,"dd-mm-yyyy")</f>
        <v>01-02-2024 to 10-02-2024</v>
      </c>
      <c r="D79" s="60">
        <v>1347.41</v>
      </c>
      <c r="E79" s="60">
        <v>222.44</v>
      </c>
      <c r="F79" s="61">
        <f>SUM(D79:E79)</f>
        <v>1569.8500000000001</v>
      </c>
    </row>
    <row r="80" spans="1:15" s="2" customFormat="1" x14ac:dyDescent="0.2">
      <c r="A80" s="24"/>
      <c r="B80" s="1"/>
      <c r="C80" s="62" t="str">
        <f>TEXT(A5-1,"dd-mm-yyyy")</f>
        <v>11-02-2024</v>
      </c>
      <c r="D80" s="60">
        <v>7.25</v>
      </c>
      <c r="E80" s="60">
        <v>11.45</v>
      </c>
      <c r="F80" s="61">
        <f>SUM(D80:E80)</f>
        <v>18.7</v>
      </c>
      <c r="G80" s="1"/>
      <c r="H80" s="1"/>
      <c r="I80" s="53"/>
    </row>
    <row r="81" spans="1:14" s="2" customFormat="1" ht="13.5" thickBot="1" x14ac:dyDescent="0.25">
      <c r="A81" s="24"/>
      <c r="B81" s="1"/>
      <c r="C81" s="63" t="str">
        <f>"01-02-2024 to "&amp;TEXT(A5-1,"dd-mm-yyyy")</f>
        <v>01-02-2024 to 11-02-2024</v>
      </c>
      <c r="D81" s="64">
        <f>SUM(D79:D80)</f>
        <v>1354.66</v>
      </c>
      <c r="E81" s="64">
        <f>SUM(E79:E80)</f>
        <v>233.89</v>
      </c>
      <c r="F81" s="64">
        <f>SUM(F79:F80)</f>
        <v>1588.5500000000002</v>
      </c>
      <c r="G81" s="1"/>
      <c r="H81" s="1"/>
      <c r="I81" s="53"/>
    </row>
    <row r="82" spans="1:14" s="2" customFormat="1" ht="13.5" thickTop="1" x14ac:dyDescent="0.2">
      <c r="A82" s="24"/>
      <c r="B82" s="1"/>
      <c r="C82" s="62"/>
      <c r="D82" s="65"/>
      <c r="E82" s="66"/>
      <c r="F82" s="67"/>
      <c r="M82" s="1"/>
      <c r="N82" s="1"/>
    </row>
    <row r="83" spans="1:14" s="2" customFormat="1" x14ac:dyDescent="0.2">
      <c r="A83" s="24"/>
      <c r="B83" s="1"/>
      <c r="C83" s="62" t="str">
        <f>"01-04-2023 to " &amp;C80</f>
        <v>01-04-2023 to 11-02-2024</v>
      </c>
      <c r="D83" s="68">
        <f>+D81+37155.69</f>
        <v>38510.350000000006</v>
      </c>
      <c r="E83" s="68">
        <f>+E81+4497.36</f>
        <v>4731.25</v>
      </c>
      <c r="F83" s="68">
        <f>+F81+41653.05</f>
        <v>43241.600000000006</v>
      </c>
      <c r="G83" s="1"/>
      <c r="H83" s="1"/>
      <c r="M83" s="1"/>
      <c r="N83" s="1"/>
    </row>
    <row r="84" spans="1:14" s="2" customFormat="1" x14ac:dyDescent="0.2">
      <c r="A84" s="24"/>
      <c r="B84" s="1"/>
      <c r="C84" s="52"/>
      <c r="D84" s="85"/>
      <c r="E84" s="53"/>
      <c r="F84" s="53"/>
      <c r="G84" s="1"/>
      <c r="H84" s="1"/>
      <c r="M84" s="1"/>
      <c r="N84" s="1"/>
    </row>
    <row r="85" spans="1:14" s="2" customFormat="1" x14ac:dyDescent="0.2">
      <c r="A85" s="24"/>
      <c r="B85" s="1"/>
      <c r="C85" s="52"/>
      <c r="D85" s="85"/>
      <c r="E85" s="53"/>
      <c r="F85" s="53"/>
      <c r="G85" s="1"/>
      <c r="H85" s="1"/>
      <c r="M85" s="1"/>
      <c r="N85" s="1"/>
    </row>
    <row r="86" spans="1:14" s="2" customFormat="1" x14ac:dyDescent="0.2">
      <c r="A86" s="24"/>
      <c r="B86" s="1"/>
      <c r="C86" s="52"/>
      <c r="D86" s="85"/>
      <c r="E86" s="53"/>
      <c r="F86" s="53"/>
      <c r="G86" s="1"/>
      <c r="H86" s="1"/>
      <c r="M86" s="1"/>
      <c r="N86" s="1"/>
    </row>
    <row r="87" spans="1:14" s="2" customFormat="1" x14ac:dyDescent="0.2">
      <c r="A87" s="24"/>
      <c r="B87" s="1"/>
      <c r="C87" s="52"/>
      <c r="D87" s="85"/>
      <c r="E87" s="53"/>
      <c r="F87" s="53"/>
      <c r="G87" s="1"/>
      <c r="H87" s="1"/>
      <c r="M87" s="1"/>
      <c r="N87" s="1"/>
    </row>
    <row r="88" spans="1:14" s="2" customFormat="1" x14ac:dyDescent="0.2">
      <c r="A88" s="24"/>
      <c r="B88" s="1"/>
      <c r="C88" s="14"/>
      <c r="D88" s="25">
        <f>SUM(D85:D87)</f>
        <v>0</v>
      </c>
      <c r="E88" s="2">
        <f>SUM(E85:E87)</f>
        <v>0</v>
      </c>
      <c r="G88" s="1"/>
      <c r="H88" s="1"/>
      <c r="M88" s="1"/>
      <c r="N88" s="1"/>
    </row>
    <row r="89" spans="1:14" s="2" customFormat="1" x14ac:dyDescent="0.2">
      <c r="A89" s="24"/>
      <c r="B89" s="1"/>
      <c r="C89" s="14"/>
      <c r="D89" s="25"/>
      <c r="G89" s="1"/>
      <c r="H89" s="1"/>
      <c r="M89" s="1"/>
      <c r="N89" s="1"/>
    </row>
    <row r="90" spans="1:14" s="2" customFormat="1" x14ac:dyDescent="0.2">
      <c r="A90" s="24"/>
      <c r="B90" s="1"/>
      <c r="C90" s="14"/>
      <c r="D90" s="25"/>
      <c r="G90" s="1"/>
      <c r="H90" s="1"/>
      <c r="M90" s="1"/>
      <c r="N90" s="1"/>
    </row>
    <row r="91" spans="1:14" s="2" customFormat="1" x14ac:dyDescent="0.2">
      <c r="A91" s="24"/>
      <c r="B91" s="1"/>
      <c r="C91" s="14"/>
      <c r="D91" s="25"/>
      <c r="G91" s="1"/>
      <c r="H91" s="1"/>
      <c r="M91" s="1"/>
      <c r="N91" s="1"/>
    </row>
    <row r="92" spans="1:14" s="2" customFormat="1" x14ac:dyDescent="0.2">
      <c r="A92" s="24"/>
      <c r="B92" s="1"/>
      <c r="C92" s="14"/>
      <c r="D92" s="25"/>
      <c r="G92" s="1"/>
      <c r="H92" s="1"/>
      <c r="M92" s="1"/>
      <c r="N92" s="1"/>
    </row>
    <row r="93" spans="1:14" s="2" customFormat="1" x14ac:dyDescent="0.2">
      <c r="A93" s="24"/>
      <c r="B93" s="1"/>
      <c r="C93" s="14"/>
      <c r="D93" s="25"/>
      <c r="G93" s="1"/>
      <c r="H93" s="1"/>
      <c r="M93" s="1"/>
      <c r="N93" s="1"/>
    </row>
    <row r="94" spans="1:14" s="2" customFormat="1" x14ac:dyDescent="0.2">
      <c r="A94" s="24"/>
      <c r="B94" s="1"/>
      <c r="C94" s="14"/>
      <c r="D94" s="25"/>
      <c r="G94" s="1"/>
      <c r="H94" s="1"/>
      <c r="M94" s="1"/>
      <c r="N94" s="1"/>
    </row>
    <row r="95" spans="1:14" s="2" customFormat="1" x14ac:dyDescent="0.2">
      <c r="A95" s="24"/>
      <c r="B95" s="1"/>
      <c r="C95" s="14"/>
      <c r="D95" s="25"/>
      <c r="G95" s="1"/>
      <c r="H95" s="1"/>
      <c r="M95" s="1"/>
      <c r="N95" s="1"/>
    </row>
    <row r="96" spans="1:14" s="2" customFormat="1" x14ac:dyDescent="0.2">
      <c r="A96" s="24"/>
      <c r="B96" s="1"/>
      <c r="C96" s="14"/>
      <c r="D96" s="25"/>
      <c r="G96" s="1"/>
      <c r="H96" s="1"/>
      <c r="M96" s="1"/>
      <c r="N96" s="1"/>
    </row>
    <row r="97" spans="1:15" s="2" customFormat="1" x14ac:dyDescent="0.2">
      <c r="A97" s="24"/>
      <c r="B97" s="1"/>
      <c r="C97" s="14"/>
      <c r="D97" s="25"/>
      <c r="G97" s="1"/>
      <c r="H97" s="1"/>
      <c r="M97" s="1"/>
      <c r="N97" s="1"/>
    </row>
    <row r="98" spans="1:15" s="2" customFormat="1" x14ac:dyDescent="0.2">
      <c r="A98" s="24"/>
      <c r="B98" s="1"/>
      <c r="C98" s="14"/>
      <c r="D98" s="25"/>
      <c r="G98" s="1"/>
      <c r="H98" s="1"/>
      <c r="M98" s="1"/>
      <c r="N98" s="1"/>
    </row>
    <row r="99" spans="1:15" s="2" customFormat="1" x14ac:dyDescent="0.2">
      <c r="A99" s="24"/>
      <c r="B99" s="1"/>
      <c r="C99" s="14"/>
      <c r="D99" s="25"/>
      <c r="G99" s="1"/>
      <c r="H99" s="1"/>
      <c r="M99" s="1"/>
      <c r="N99" s="1"/>
    </row>
    <row r="100" spans="1:15" s="2" customFormat="1" x14ac:dyDescent="0.2">
      <c r="A100" s="24"/>
      <c r="B100" s="1"/>
      <c r="C100" s="14"/>
      <c r="D100" s="25"/>
      <c r="G100" s="1"/>
      <c r="H100" s="1"/>
      <c r="M100" s="1"/>
      <c r="N100" s="1"/>
    </row>
    <row r="101" spans="1:15" s="2" customFormat="1" x14ac:dyDescent="0.2">
      <c r="A101" s="24"/>
      <c r="B101" s="1"/>
      <c r="C101" s="14"/>
      <c r="D101" s="25"/>
      <c r="G101" s="1"/>
      <c r="H101" s="1"/>
      <c r="M101" s="1"/>
      <c r="N101" s="1"/>
    </row>
    <row r="102" spans="1:15" s="2" customFormat="1" x14ac:dyDescent="0.2">
      <c r="A102" s="24"/>
      <c r="B102" s="1"/>
      <c r="C102" s="14"/>
      <c r="D102" s="25"/>
      <c r="G102" s="1"/>
      <c r="H102" s="1"/>
      <c r="J102" s="1"/>
      <c r="K102" s="1"/>
      <c r="L102" s="1"/>
      <c r="M102" s="1"/>
      <c r="N102" s="1"/>
    </row>
    <row r="103" spans="1:15" s="2" customFormat="1" x14ac:dyDescent="0.2">
      <c r="A103" s="24"/>
      <c r="B103" s="1"/>
      <c r="C103" s="14"/>
      <c r="D103" s="25"/>
      <c r="G103" s="1"/>
      <c r="H103" s="1"/>
    </row>
    <row r="104" spans="1:15" s="2" customFormat="1" x14ac:dyDescent="0.2">
      <c r="A104" s="24"/>
      <c r="B104" s="1"/>
      <c r="C104" s="14"/>
      <c r="D104" s="25"/>
      <c r="G104" s="1"/>
      <c r="H104" s="1"/>
      <c r="J104" s="1"/>
      <c r="K104" s="1"/>
      <c r="L104" s="1"/>
      <c r="M104" s="1"/>
      <c r="N104" s="1"/>
    </row>
    <row r="105" spans="1:15" s="2" customFormat="1" x14ac:dyDescent="0.2">
      <c r="A105" s="24"/>
      <c r="B105" s="1"/>
      <c r="C105" s="14"/>
      <c r="D105" s="25"/>
      <c r="G105" s="54"/>
      <c r="H105" s="54"/>
      <c r="J105" s="1"/>
      <c r="K105" s="1"/>
      <c r="L105" s="1"/>
      <c r="M105" s="1"/>
      <c r="N105" s="1"/>
    </row>
    <row r="106" spans="1:15" s="2" customFormat="1" x14ac:dyDescent="0.2">
      <c r="A106" s="24"/>
      <c r="B106" s="1"/>
      <c r="C106" s="14"/>
      <c r="D106" s="25"/>
      <c r="G106" s="54"/>
      <c r="H106" s="54"/>
      <c r="J106" s="1"/>
      <c r="K106" s="1"/>
      <c r="L106" s="1"/>
      <c r="M106" s="1"/>
      <c r="N106" s="1"/>
    </row>
    <row r="107" spans="1:15" s="2" customFormat="1" x14ac:dyDescent="0.2">
      <c r="A107" s="24"/>
      <c r="B107" s="1"/>
      <c r="C107" s="14"/>
      <c r="D107" s="25"/>
      <c r="G107" s="54"/>
      <c r="H107" s="54"/>
      <c r="J107" s="1"/>
      <c r="K107" s="1"/>
      <c r="L107" s="1"/>
      <c r="M107" s="1"/>
      <c r="N107" s="1"/>
    </row>
    <row r="108" spans="1:15" s="2" customFormat="1" x14ac:dyDescent="0.2">
      <c r="A108" s="24"/>
      <c r="B108" s="1"/>
      <c r="C108" s="14"/>
      <c r="D108" s="25"/>
      <c r="G108" s="54"/>
      <c r="H108" s="54"/>
      <c r="I108" s="2" t="s">
        <v>396</v>
      </c>
      <c r="J108" s="1"/>
      <c r="K108" s="1"/>
      <c r="L108" s="1"/>
      <c r="M108" s="1"/>
      <c r="N108" s="1"/>
      <c r="O108" s="1"/>
    </row>
    <row r="109" spans="1:15" s="2" customFormat="1" x14ac:dyDescent="0.2">
      <c r="A109" s="24"/>
      <c r="B109" s="1"/>
      <c r="C109" s="14"/>
      <c r="D109" s="25"/>
      <c r="G109" s="54"/>
      <c r="H109" s="54"/>
      <c r="I109" s="53"/>
    </row>
    <row r="110" spans="1:15" s="2" customFormat="1" x14ac:dyDescent="0.2">
      <c r="A110" s="24"/>
      <c r="B110" s="1"/>
      <c r="C110" s="14"/>
      <c r="D110" s="25"/>
      <c r="G110" s="54"/>
      <c r="H110" s="54"/>
      <c r="I110" s="53" t="s">
        <v>396</v>
      </c>
      <c r="J110" s="1"/>
      <c r="K110" s="1"/>
      <c r="L110" s="1"/>
      <c r="M110" s="1"/>
      <c r="N110" s="1"/>
      <c r="O110" s="1"/>
    </row>
    <row r="111" spans="1:15" x14ac:dyDescent="0.2">
      <c r="G111" s="54"/>
      <c r="H111" s="54"/>
      <c r="I111" s="53" t="s">
        <v>396</v>
      </c>
      <c r="K111" s="42"/>
    </row>
    <row r="112" spans="1:15" s="2" customFormat="1" x14ac:dyDescent="0.2">
      <c r="A112" s="24"/>
      <c r="B112" s="1"/>
      <c r="C112" s="14"/>
      <c r="D112" s="25"/>
      <c r="G112" s="54"/>
      <c r="H112" s="54"/>
      <c r="I112" s="53"/>
      <c r="J112" s="101"/>
      <c r="K112" s="1"/>
      <c r="L112" s="1"/>
      <c r="M112" s="1"/>
      <c r="N112" s="1"/>
      <c r="O112" s="1"/>
    </row>
    <row r="113" spans="7:9" x14ac:dyDescent="0.2">
      <c r="G113" s="54"/>
      <c r="H113" s="54"/>
      <c r="I113" s="53"/>
    </row>
    <row r="114" spans="7:9" x14ac:dyDescent="0.2">
      <c r="G114" s="54"/>
      <c r="H114" s="54"/>
      <c r="I114" s="53"/>
    </row>
    <row r="115" spans="7:9" x14ac:dyDescent="0.2">
      <c r="G115" s="54"/>
      <c r="H115" s="54"/>
      <c r="I115" s="53"/>
    </row>
  </sheetData>
  <sheetProtection insertRows="0"/>
  <mergeCells count="7">
    <mergeCell ref="K60:L60"/>
    <mergeCell ref="A67:D67"/>
    <mergeCell ref="C77:F77"/>
    <mergeCell ref="A1:H1"/>
    <mergeCell ref="A3:F3"/>
    <mergeCell ref="A9:F9"/>
    <mergeCell ref="A23:F23"/>
  </mergeCells>
  <conditionalFormatting sqref="H64:H65">
    <cfRule type="cellIs" dxfId="79" priority="1" operator="lessThan">
      <formula>0</formula>
    </cfRule>
  </conditionalFormatting>
  <conditionalFormatting sqref="C25">
    <cfRule type="duplicateValues" dxfId="78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FB00-000000000000}">
  <sheetPr codeName="Sheet547">
    <pageSetUpPr fitToPage="1"/>
  </sheetPr>
  <dimension ref="A1:O116"/>
  <sheetViews>
    <sheetView topLeftCell="D37" zoomScaleNormal="100" workbookViewId="0">
      <selection activeCell="D53" sqref="D53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12.85546875" style="1" customWidth="1"/>
    <col min="9" max="9" width="24.85546875" style="2" bestFit="1" customWidth="1"/>
    <col min="10" max="10" width="21.5703125" style="1" bestFit="1" customWidth="1"/>
    <col min="11" max="11" width="16.85546875" style="1" bestFit="1" customWidth="1"/>
    <col min="12" max="12" width="19.5703125" style="1" bestFit="1" customWidth="1"/>
    <col min="13" max="13" width="13.5703125" style="1" bestFit="1" customWidth="1"/>
    <col min="14" max="14" width="17.42578125" style="1" bestFit="1" customWidth="1"/>
    <col min="15" max="15" width="12.85546875" style="1" bestFit="1" customWidth="1"/>
    <col min="16" max="17" width="9.140625" style="1"/>
    <col min="18" max="18" width="15.5703125" style="1" bestFit="1" customWidth="1"/>
    <col min="19" max="16384" width="9.140625" style="1"/>
  </cols>
  <sheetData>
    <row r="1" spans="1:14" ht="20.25" customHeight="1" x14ac:dyDescent="0.4">
      <c r="A1" s="212" t="s">
        <v>2066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4" ht="12.75" customHeight="1" x14ac:dyDescent="0.4">
      <c r="I2" s="112"/>
      <c r="J2" s="112"/>
    </row>
    <row r="3" spans="1:14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4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4" s="2" customFormat="1" ht="14.25" customHeight="1" x14ac:dyDescent="0.4">
      <c r="A5" s="89">
        <v>45335</v>
      </c>
      <c r="B5" s="9" t="s">
        <v>6</v>
      </c>
      <c r="C5" s="10" t="s">
        <v>7</v>
      </c>
      <c r="D5" s="11"/>
      <c r="E5" s="12">
        <v>615685.23000000045</v>
      </c>
      <c r="F5" s="12"/>
      <c r="G5" s="1"/>
      <c r="H5" s="1"/>
      <c r="I5" s="112"/>
      <c r="J5" s="112"/>
    </row>
    <row r="6" spans="1:14" s="2" customFormat="1" ht="14.25" customHeight="1" x14ac:dyDescent="0.4">
      <c r="A6" s="89">
        <v>45335</v>
      </c>
      <c r="B6" s="9" t="s">
        <v>6</v>
      </c>
      <c r="C6" s="10" t="s">
        <v>683</v>
      </c>
      <c r="D6" s="11" t="s">
        <v>13</v>
      </c>
      <c r="E6" s="12">
        <v>66121.45</v>
      </c>
      <c r="F6" s="12"/>
      <c r="G6" s="1"/>
      <c r="H6" s="1"/>
      <c r="I6" s="112"/>
      <c r="J6" s="112"/>
    </row>
    <row r="7" spans="1:14" s="2" customFormat="1" ht="12.75" customHeight="1" x14ac:dyDescent="0.2">
      <c r="D7" s="15" t="s">
        <v>8</v>
      </c>
      <c r="E7" s="16">
        <f>SUM(E5:E6)</f>
        <v>681806.6800000004</v>
      </c>
      <c r="F7" s="16">
        <f>F5</f>
        <v>0</v>
      </c>
      <c r="G7" s="1"/>
      <c r="H7" s="1"/>
      <c r="I7" s="13" t="s">
        <v>1582</v>
      </c>
      <c r="J7" s="13" t="s">
        <v>1583</v>
      </c>
    </row>
    <row r="8" spans="1:14" s="2" customFormat="1" ht="12.75" customHeight="1" x14ac:dyDescent="0.2">
      <c r="A8" s="17"/>
      <c r="B8" s="18"/>
      <c r="C8" s="19" t="s">
        <v>9</v>
      </c>
      <c r="D8" s="20"/>
      <c r="E8" s="21">
        <f>+E7-F7</f>
        <v>681806.6800000004</v>
      </c>
      <c r="F8" s="22"/>
      <c r="G8" s="23"/>
      <c r="H8" s="23"/>
      <c r="I8" s="2">
        <v>0</v>
      </c>
      <c r="J8" s="2">
        <v>0</v>
      </c>
      <c r="K8" s="176">
        <f>I8-J8</f>
        <v>0</v>
      </c>
    </row>
    <row r="9" spans="1:14" ht="12.75" customHeight="1" x14ac:dyDescent="0.4">
      <c r="I9" s="112"/>
      <c r="J9" s="112"/>
    </row>
    <row r="10" spans="1:14" ht="18" customHeight="1" x14ac:dyDescent="0.4">
      <c r="A10" s="213" t="s">
        <v>1037</v>
      </c>
      <c r="B10" s="213"/>
      <c r="C10" s="213"/>
      <c r="D10" s="213"/>
      <c r="E10" s="213"/>
      <c r="F10" s="213"/>
      <c r="I10" s="112"/>
      <c r="J10" s="169">
        <f>90000000-60000000</f>
        <v>30000000</v>
      </c>
      <c r="K10" s="169" t="s">
        <v>1508</v>
      </c>
    </row>
    <row r="11" spans="1:14" ht="12.75" customHeight="1" x14ac:dyDescent="0.4">
      <c r="A11" s="3" t="s">
        <v>1</v>
      </c>
      <c r="B11" s="4" t="s">
        <v>2</v>
      </c>
      <c r="C11" s="5"/>
      <c r="D11" s="6" t="s">
        <v>3</v>
      </c>
      <c r="E11" s="7" t="s">
        <v>4</v>
      </c>
      <c r="F11" s="7" t="s">
        <v>5</v>
      </c>
      <c r="I11" s="112"/>
      <c r="J11" s="169">
        <v>29677078.52</v>
      </c>
      <c r="K11" s="169" t="s">
        <v>1509</v>
      </c>
      <c r="L11" s="124"/>
    </row>
    <row r="12" spans="1:14" s="2" customFormat="1" ht="14.25" customHeight="1" x14ac:dyDescent="0.2">
      <c r="A12" s="89">
        <v>45335</v>
      </c>
      <c r="B12" s="9" t="s">
        <v>6</v>
      </c>
      <c r="C12" s="10" t="s">
        <v>7</v>
      </c>
      <c r="D12" s="11"/>
      <c r="F12" s="12">
        <v>29277078.520000007</v>
      </c>
      <c r="G12" s="1"/>
      <c r="H12" s="1"/>
      <c r="I12" s="130" t="s">
        <v>396</v>
      </c>
      <c r="J12" s="169">
        <f>+J10-J11</f>
        <v>322921.48000000045</v>
      </c>
      <c r="K12" s="169" t="s">
        <v>712</v>
      </c>
      <c r="L12" s="165" t="s">
        <v>1512</v>
      </c>
    </row>
    <row r="13" spans="1:14" s="2" customFormat="1" ht="14.25" customHeight="1" x14ac:dyDescent="0.2">
      <c r="A13" s="89">
        <v>45335</v>
      </c>
      <c r="B13" s="9" t="s">
        <v>11</v>
      </c>
      <c r="C13" s="76" t="s">
        <v>2067</v>
      </c>
      <c r="D13" s="11" t="s">
        <v>29</v>
      </c>
      <c r="E13" s="12"/>
      <c r="F13" s="31">
        <v>150000</v>
      </c>
      <c r="G13" s="1"/>
      <c r="H13" s="1"/>
      <c r="I13" s="130"/>
      <c r="J13" s="169"/>
      <c r="K13" s="169"/>
      <c r="L13" s="165"/>
    </row>
    <row r="14" spans="1:14" s="2" customFormat="1" ht="14.25" customHeight="1" x14ac:dyDescent="0.2">
      <c r="A14" s="89">
        <v>45335</v>
      </c>
      <c r="B14" s="9" t="s">
        <v>11</v>
      </c>
      <c r="C14" s="76" t="s">
        <v>1976</v>
      </c>
      <c r="D14" s="11" t="s">
        <v>29</v>
      </c>
      <c r="F14" s="31">
        <v>200000</v>
      </c>
      <c r="G14" s="1"/>
      <c r="H14" s="1"/>
      <c r="I14" s="130"/>
      <c r="J14" s="169"/>
      <c r="K14" s="169"/>
      <c r="L14" s="165"/>
    </row>
    <row r="15" spans="1:14" s="2" customFormat="1" ht="14.25" customHeight="1" x14ac:dyDescent="0.2">
      <c r="A15" s="89">
        <v>45335</v>
      </c>
      <c r="B15" s="9" t="s">
        <v>11</v>
      </c>
      <c r="C15" s="76" t="s">
        <v>1251</v>
      </c>
      <c r="D15" s="11" t="s">
        <v>29</v>
      </c>
      <c r="F15" s="31">
        <v>50000</v>
      </c>
      <c r="G15" s="1"/>
      <c r="H15" s="1"/>
      <c r="I15" s="130"/>
      <c r="J15" s="169"/>
      <c r="K15" s="169"/>
      <c r="L15" s="165"/>
    </row>
    <row r="16" spans="1:14" s="2" customFormat="1" ht="14.25" customHeight="1" x14ac:dyDescent="0.2">
      <c r="D16" s="11" t="s">
        <v>8</v>
      </c>
      <c r="E16" s="16">
        <f>SUM(E13:E15)</f>
        <v>0</v>
      </c>
      <c r="F16" s="16">
        <f>SUM(F12:F15)</f>
        <v>29677078.520000007</v>
      </c>
      <c r="G16" s="1"/>
      <c r="H16" s="1"/>
      <c r="I16" s="143"/>
      <c r="J16" s="130"/>
      <c r="K16" s="143"/>
      <c r="L16" s="143"/>
      <c r="M16" s="143"/>
      <c r="N16" s="143"/>
    </row>
    <row r="17" spans="1:12" s="2" customFormat="1" ht="14.25" customHeight="1" x14ac:dyDescent="0.4">
      <c r="A17" s="17"/>
      <c r="B17" s="18"/>
      <c r="C17" s="96" t="s">
        <v>9</v>
      </c>
      <c r="D17" s="20"/>
      <c r="E17" s="21">
        <f>+F16-E16</f>
        <v>29677078.520000007</v>
      </c>
      <c r="G17" s="1"/>
      <c r="H17" s="1"/>
      <c r="J17" s="112"/>
      <c r="K17" s="153" t="s">
        <v>779</v>
      </c>
    </row>
    <row r="18" spans="1:12" s="2" customFormat="1" ht="14.25" customHeight="1" x14ac:dyDescent="0.2">
      <c r="A18" s="17"/>
      <c r="B18" s="28" t="s">
        <v>66</v>
      </c>
      <c r="C18" s="43" t="s">
        <v>1458</v>
      </c>
      <c r="D18" s="43"/>
      <c r="E18" s="12">
        <f>30000000+60000000</f>
        <v>90000000</v>
      </c>
      <c r="F18" s="22"/>
      <c r="G18" s="1"/>
      <c r="H18" s="1"/>
      <c r="J18" s="40">
        <v>29677078.52</v>
      </c>
      <c r="K18" s="154">
        <f>J18-E17</f>
        <v>0</v>
      </c>
    </row>
    <row r="19" spans="1:12" s="2" customFormat="1" ht="14.25" customHeight="1" x14ac:dyDescent="0.25">
      <c r="A19" s="36"/>
      <c r="B19" s="28"/>
      <c r="C19" s="44" t="s">
        <v>1541</v>
      </c>
      <c r="D19" s="43"/>
      <c r="E19" s="7">
        <f>+E17+E18</f>
        <v>119677078.52000001</v>
      </c>
      <c r="F19" s="22"/>
      <c r="G19" s="1"/>
      <c r="H19" s="1"/>
      <c r="I19" s="13" t="s">
        <v>1582</v>
      </c>
      <c r="J19" s="13" t="s">
        <v>1583</v>
      </c>
    </row>
    <row r="20" spans="1:12" s="2" customFormat="1" ht="14.25" customHeight="1" x14ac:dyDescent="0.25">
      <c r="A20" s="36"/>
      <c r="B20" s="28"/>
      <c r="C20" s="44" t="s">
        <v>1511</v>
      </c>
      <c r="D20" s="43"/>
      <c r="E20" s="38">
        <f>+J12+I8-J8</f>
        <v>322921.48000000045</v>
      </c>
      <c r="F20" s="22"/>
      <c r="G20" s="1"/>
      <c r="H20" s="1"/>
      <c r="I20" s="2">
        <v>1919720</v>
      </c>
      <c r="J20" s="2">
        <v>5131496</v>
      </c>
      <c r="K20" s="176">
        <f>I20-J20</f>
        <v>-3211776</v>
      </c>
    </row>
    <row r="21" spans="1:12" s="2" customFormat="1" ht="14.25" customHeight="1" x14ac:dyDescent="0.2">
      <c r="A21" s="24"/>
      <c r="B21" s="1"/>
      <c r="C21" s="14"/>
      <c r="D21" s="25"/>
      <c r="G21" s="1"/>
      <c r="H21" s="1"/>
      <c r="J21" s="130"/>
      <c r="K21" s="130"/>
    </row>
    <row r="22" spans="1:12" s="2" customFormat="1" x14ac:dyDescent="0.2">
      <c r="A22" s="214" t="s">
        <v>10</v>
      </c>
      <c r="B22" s="214"/>
      <c r="C22" s="214"/>
      <c r="D22" s="214"/>
      <c r="E22" s="214"/>
      <c r="F22" s="214"/>
      <c r="G22" s="1"/>
      <c r="H22" s="1"/>
      <c r="I22" s="159"/>
      <c r="J22" s="160">
        <f>100000000</f>
        <v>100000000</v>
      </c>
      <c r="K22" s="160" t="s">
        <v>1506</v>
      </c>
      <c r="L22" s="70"/>
    </row>
    <row r="23" spans="1:12" s="2" customFormat="1" ht="15" x14ac:dyDescent="0.35">
      <c r="A23" s="26" t="s">
        <v>1</v>
      </c>
      <c r="B23" s="27" t="s">
        <v>2</v>
      </c>
      <c r="C23" s="5"/>
      <c r="D23" s="6" t="s">
        <v>3</v>
      </c>
      <c r="E23" s="7" t="s">
        <v>4</v>
      </c>
      <c r="F23" s="7" t="s">
        <v>5</v>
      </c>
      <c r="G23" s="1"/>
      <c r="H23" s="1"/>
      <c r="I23" s="159"/>
      <c r="J23" s="179">
        <v>81522663.010000005</v>
      </c>
      <c r="K23" s="160" t="s">
        <v>1507</v>
      </c>
      <c r="L23" s="70" t="s">
        <v>1512</v>
      </c>
    </row>
    <row r="24" spans="1:12" s="2" customFormat="1" x14ac:dyDescent="0.2">
      <c r="A24" s="89">
        <v>45335</v>
      </c>
      <c r="B24" s="128" t="s">
        <v>11</v>
      </c>
      <c r="C24" s="29" t="s">
        <v>7</v>
      </c>
      <c r="D24" s="25"/>
      <c r="E24" s="31"/>
      <c r="F24" s="2">
        <v>104341858.69999991</v>
      </c>
      <c r="G24" s="23"/>
      <c r="H24" s="23"/>
      <c r="I24" s="159" t="s">
        <v>1505</v>
      </c>
      <c r="J24" s="160">
        <f>+J22-J23</f>
        <v>18477336.989999995</v>
      </c>
      <c r="K24" s="160"/>
      <c r="L24" s="70"/>
    </row>
    <row r="25" spans="1:12" s="2" customFormat="1" x14ac:dyDescent="0.2">
      <c r="A25" s="89">
        <v>45335</v>
      </c>
      <c r="B25" s="128" t="s">
        <v>6</v>
      </c>
      <c r="C25" s="76" t="s">
        <v>667</v>
      </c>
      <c r="D25" s="11" t="s">
        <v>13</v>
      </c>
      <c r="E25" s="31">
        <v>27353</v>
      </c>
      <c r="G25" s="23"/>
      <c r="H25" s="23"/>
      <c r="I25" s="159"/>
      <c r="J25" s="160"/>
      <c r="K25" s="160"/>
      <c r="L25" s="70"/>
    </row>
    <row r="26" spans="1:12" s="2" customFormat="1" x14ac:dyDescent="0.2">
      <c r="A26" s="89">
        <v>45335</v>
      </c>
      <c r="B26" s="128" t="s">
        <v>6</v>
      </c>
      <c r="C26" s="76" t="s">
        <v>15</v>
      </c>
      <c r="D26" s="11" t="s">
        <v>13</v>
      </c>
      <c r="E26" s="31">
        <v>2801.0499999999997</v>
      </c>
      <c r="G26" s="23"/>
      <c r="H26" s="23"/>
      <c r="I26" s="159"/>
      <c r="J26" s="160"/>
      <c r="K26" s="160"/>
      <c r="L26" s="70"/>
    </row>
    <row r="27" spans="1:12" s="2" customFormat="1" x14ac:dyDescent="0.2">
      <c r="A27" s="89">
        <v>45335</v>
      </c>
      <c r="B27" s="128" t="s">
        <v>6</v>
      </c>
      <c r="C27" s="76" t="s">
        <v>332</v>
      </c>
      <c r="D27" s="11" t="s">
        <v>13</v>
      </c>
      <c r="E27" s="31">
        <v>81297</v>
      </c>
      <c r="G27" s="23"/>
      <c r="H27" s="23"/>
      <c r="I27" s="159"/>
      <c r="J27" s="160"/>
      <c r="K27" s="160"/>
      <c r="L27" s="70"/>
    </row>
    <row r="28" spans="1:12" s="2" customFormat="1" x14ac:dyDescent="0.2">
      <c r="A28" s="89">
        <v>45335</v>
      </c>
      <c r="B28" s="128" t="s">
        <v>6</v>
      </c>
      <c r="C28" s="76" t="s">
        <v>752</v>
      </c>
      <c r="D28" s="11" t="s">
        <v>13</v>
      </c>
      <c r="E28" s="31">
        <v>256410</v>
      </c>
      <c r="G28" s="23"/>
      <c r="H28" s="23"/>
      <c r="I28" s="159"/>
      <c r="J28" s="160"/>
      <c r="K28" s="160"/>
      <c r="L28" s="70"/>
    </row>
    <row r="29" spans="1:12" s="2" customFormat="1" x14ac:dyDescent="0.2">
      <c r="A29" s="89">
        <v>45335</v>
      </c>
      <c r="B29" s="128" t="s">
        <v>6</v>
      </c>
      <c r="C29" s="76" t="s">
        <v>177</v>
      </c>
      <c r="D29" s="11" t="s">
        <v>13</v>
      </c>
      <c r="E29" s="31">
        <v>5624159</v>
      </c>
      <c r="G29" s="23"/>
      <c r="H29" s="23"/>
      <c r="I29" s="159"/>
      <c r="J29" s="160"/>
      <c r="K29" s="160"/>
      <c r="L29" s="70"/>
    </row>
    <row r="30" spans="1:12" s="2" customFormat="1" x14ac:dyDescent="0.2">
      <c r="A30" s="89">
        <v>45335</v>
      </c>
      <c r="B30" s="128" t="s">
        <v>6</v>
      </c>
      <c r="C30" s="76" t="s">
        <v>1155</v>
      </c>
      <c r="D30" s="11" t="s">
        <v>13</v>
      </c>
      <c r="E30" s="31">
        <v>25000000</v>
      </c>
      <c r="G30" s="23"/>
      <c r="H30" s="23"/>
      <c r="I30" s="159"/>
      <c r="J30" s="160"/>
      <c r="K30" s="160"/>
      <c r="L30" s="70"/>
    </row>
    <row r="31" spans="1:12" s="2" customFormat="1" x14ac:dyDescent="0.2">
      <c r="A31" s="89">
        <v>45335</v>
      </c>
      <c r="B31" s="128" t="s">
        <v>6</v>
      </c>
      <c r="C31" s="76" t="s">
        <v>27</v>
      </c>
      <c r="D31" s="11" t="s">
        <v>13</v>
      </c>
      <c r="E31" s="31">
        <v>9126</v>
      </c>
      <c r="G31" s="23"/>
      <c r="H31" s="23"/>
      <c r="I31" s="159"/>
      <c r="J31" s="160"/>
      <c r="K31" s="160"/>
      <c r="L31" s="70"/>
    </row>
    <row r="32" spans="1:12" s="2" customFormat="1" x14ac:dyDescent="0.2">
      <c r="A32" s="89">
        <v>45335</v>
      </c>
      <c r="B32" s="128" t="s">
        <v>6</v>
      </c>
      <c r="C32" s="76" t="s">
        <v>2068</v>
      </c>
      <c r="D32" s="11" t="s">
        <v>13</v>
      </c>
      <c r="E32" s="31">
        <v>225000</v>
      </c>
      <c r="G32" s="23"/>
      <c r="H32" s="23"/>
      <c r="I32" s="159"/>
      <c r="J32" s="160"/>
      <c r="K32" s="160"/>
      <c r="L32" s="70"/>
    </row>
    <row r="33" spans="1:15" s="2" customFormat="1" x14ac:dyDescent="0.2">
      <c r="A33" s="89">
        <v>45335</v>
      </c>
      <c r="B33" s="128" t="s">
        <v>6</v>
      </c>
      <c r="C33" s="76" t="s">
        <v>1906</v>
      </c>
      <c r="D33" s="11" t="s">
        <v>13</v>
      </c>
      <c r="E33" s="31">
        <v>8400</v>
      </c>
      <c r="G33" s="23"/>
      <c r="H33" s="23"/>
      <c r="I33" s="159"/>
      <c r="J33" s="160"/>
      <c r="K33" s="160"/>
      <c r="L33" s="70"/>
    </row>
    <row r="34" spans="1:15" s="2" customFormat="1" x14ac:dyDescent="0.2">
      <c r="A34" s="89">
        <v>45335</v>
      </c>
      <c r="B34" s="128" t="s">
        <v>6</v>
      </c>
      <c r="C34" s="76" t="s">
        <v>385</v>
      </c>
      <c r="D34" s="11" t="s">
        <v>13</v>
      </c>
      <c r="E34" s="31">
        <v>400000</v>
      </c>
      <c r="G34" s="23"/>
      <c r="H34" s="23"/>
      <c r="I34" s="159"/>
      <c r="J34" s="160"/>
      <c r="K34" s="160"/>
      <c r="L34" s="70"/>
    </row>
    <row r="35" spans="1:15" s="2" customFormat="1" x14ac:dyDescent="0.2">
      <c r="A35" s="89">
        <v>45335</v>
      </c>
      <c r="B35" s="128" t="s">
        <v>11</v>
      </c>
      <c r="C35" s="76" t="s">
        <v>64</v>
      </c>
      <c r="D35" s="11" t="s">
        <v>29</v>
      </c>
      <c r="E35" s="31"/>
      <c r="F35" s="2">
        <v>1772.3600000000001</v>
      </c>
      <c r="G35" s="23"/>
      <c r="H35" s="23"/>
      <c r="I35" s="159"/>
      <c r="J35" s="160"/>
      <c r="K35" s="160"/>
      <c r="L35" s="70"/>
    </row>
    <row r="36" spans="1:15" s="2" customFormat="1" x14ac:dyDescent="0.2">
      <c r="A36" s="89">
        <v>45335</v>
      </c>
      <c r="B36" s="128" t="s">
        <v>11</v>
      </c>
      <c r="C36" s="76" t="s">
        <v>1734</v>
      </c>
      <c r="D36" s="11" t="s">
        <v>29</v>
      </c>
      <c r="E36" s="31"/>
      <c r="F36" s="2">
        <v>2914785</v>
      </c>
      <c r="G36" s="23"/>
      <c r="H36" s="23"/>
      <c r="I36" s="159"/>
      <c r="J36" s="160"/>
      <c r="K36" s="160"/>
      <c r="L36" s="70"/>
    </row>
    <row r="37" spans="1:15" s="2" customFormat="1" x14ac:dyDescent="0.2">
      <c r="A37" s="89">
        <v>45335</v>
      </c>
      <c r="B37" s="128" t="s">
        <v>11</v>
      </c>
      <c r="C37" s="76" t="s">
        <v>1403</v>
      </c>
      <c r="D37" s="11" t="s">
        <v>29</v>
      </c>
      <c r="E37" s="31"/>
      <c r="F37" s="2">
        <v>5001966</v>
      </c>
      <c r="G37" s="23"/>
      <c r="H37" s="23"/>
      <c r="I37" s="159"/>
      <c r="J37" s="160"/>
      <c r="K37" s="160"/>
      <c r="L37" s="70"/>
    </row>
    <row r="38" spans="1:15" s="2" customFormat="1" x14ac:dyDescent="0.2">
      <c r="A38" s="89">
        <v>45335</v>
      </c>
      <c r="B38" s="128" t="s">
        <v>11</v>
      </c>
      <c r="C38" s="76" t="s">
        <v>253</v>
      </c>
      <c r="D38" s="11" t="s">
        <v>29</v>
      </c>
      <c r="E38" s="31"/>
      <c r="F38" s="2">
        <v>623040</v>
      </c>
      <c r="G38" s="23"/>
      <c r="H38" s="23"/>
      <c r="I38" s="159"/>
      <c r="J38" s="160"/>
      <c r="K38" s="160"/>
      <c r="L38" s="70"/>
    </row>
    <row r="39" spans="1:15" s="2" customFormat="1" x14ac:dyDescent="0.2">
      <c r="A39" s="89">
        <v>45335</v>
      </c>
      <c r="B39" s="128" t="s">
        <v>11</v>
      </c>
      <c r="C39" s="76" t="s">
        <v>279</v>
      </c>
      <c r="D39" s="11" t="s">
        <v>29</v>
      </c>
      <c r="E39" s="31"/>
      <c r="F39" s="2">
        <v>1659428</v>
      </c>
      <c r="G39" s="23"/>
      <c r="H39" s="23"/>
      <c r="I39" s="159"/>
      <c r="J39" s="160"/>
      <c r="K39" s="160"/>
      <c r="L39" s="70"/>
    </row>
    <row r="40" spans="1:15" s="2" customFormat="1" x14ac:dyDescent="0.2">
      <c r="A40" s="89">
        <v>45335</v>
      </c>
      <c r="B40" s="128" t="s">
        <v>11</v>
      </c>
      <c r="C40" s="76" t="s">
        <v>308</v>
      </c>
      <c r="D40" s="11" t="s">
        <v>29</v>
      </c>
      <c r="E40" s="31"/>
      <c r="F40" s="2">
        <v>206500</v>
      </c>
      <c r="G40" s="23"/>
      <c r="H40" s="23"/>
      <c r="I40" s="159"/>
      <c r="J40" s="160"/>
      <c r="K40" s="160"/>
      <c r="L40" s="70"/>
    </row>
    <row r="41" spans="1:15" s="2" customFormat="1" x14ac:dyDescent="0.2">
      <c r="A41" s="89">
        <v>45335</v>
      </c>
      <c r="B41" s="128" t="s">
        <v>11</v>
      </c>
      <c r="C41" s="76" t="s">
        <v>341</v>
      </c>
      <c r="D41" s="11" t="s">
        <v>29</v>
      </c>
      <c r="E41" s="31"/>
      <c r="F41" s="2">
        <v>294183</v>
      </c>
      <c r="G41" s="23"/>
      <c r="H41" s="23"/>
      <c r="I41" s="159"/>
      <c r="J41" s="160"/>
      <c r="K41" s="160"/>
      <c r="L41" s="70"/>
    </row>
    <row r="42" spans="1:15" s="2" customFormat="1" x14ac:dyDescent="0.2">
      <c r="A42" s="89">
        <v>45335</v>
      </c>
      <c r="B42" s="128" t="s">
        <v>11</v>
      </c>
      <c r="C42" s="76" t="s">
        <v>254</v>
      </c>
      <c r="D42" s="11" t="s">
        <v>29</v>
      </c>
      <c r="E42" s="31"/>
      <c r="F42" s="2">
        <v>385226</v>
      </c>
      <c r="G42" s="23"/>
      <c r="H42" s="23"/>
      <c r="I42" s="159"/>
      <c r="J42" s="160"/>
      <c r="K42" s="160"/>
      <c r="L42" s="70"/>
    </row>
    <row r="43" spans="1:15" s="2" customFormat="1" x14ac:dyDescent="0.2">
      <c r="A43" s="89">
        <v>45335</v>
      </c>
      <c r="B43" s="128" t="s">
        <v>11</v>
      </c>
      <c r="C43" s="76" t="s">
        <v>356</v>
      </c>
      <c r="D43" s="11" t="s">
        <v>29</v>
      </c>
      <c r="E43" s="31"/>
      <c r="F43" s="2">
        <v>1430828</v>
      </c>
      <c r="G43" s="23"/>
      <c r="H43" s="23"/>
      <c r="I43" s="159"/>
      <c r="J43" s="160"/>
      <c r="K43" s="160"/>
      <c r="L43" s="70"/>
    </row>
    <row r="44" spans="1:15" s="2" customFormat="1" x14ac:dyDescent="0.2">
      <c r="A44" s="89">
        <v>45335</v>
      </c>
      <c r="B44" s="128" t="s">
        <v>11</v>
      </c>
      <c r="C44" s="76" t="s">
        <v>116</v>
      </c>
      <c r="D44" s="11" t="s">
        <v>29</v>
      </c>
      <c r="E44" s="31"/>
      <c r="F44" s="2">
        <v>467103</v>
      </c>
      <c r="G44" s="23"/>
      <c r="H44" s="23"/>
      <c r="I44" s="159"/>
      <c r="J44" s="160"/>
      <c r="K44" s="160"/>
      <c r="L44" s="148" t="s">
        <v>329</v>
      </c>
    </row>
    <row r="45" spans="1:15" s="2" customFormat="1" x14ac:dyDescent="0.2">
      <c r="A45" s="32"/>
      <c r="B45" s="33"/>
      <c r="C45" s="14"/>
      <c r="D45" s="34"/>
      <c r="E45" s="16">
        <f>SUM(E24:E44)</f>
        <v>31634546.050000001</v>
      </c>
      <c r="F45" s="16">
        <f>SUM(F24:F44)</f>
        <v>117326690.05999991</v>
      </c>
      <c r="G45" s="1"/>
      <c r="H45" s="1"/>
      <c r="I45" s="1"/>
      <c r="J45" s="38">
        <v>84734439.010000005</v>
      </c>
      <c r="L45" s="92">
        <f>E46-J45</f>
        <v>957704.99999991059</v>
      </c>
      <c r="O45" s="1"/>
    </row>
    <row r="46" spans="1:15" s="2" customFormat="1" x14ac:dyDescent="0.2">
      <c r="A46" s="36"/>
      <c r="B46" s="28" t="s">
        <v>11</v>
      </c>
      <c r="C46" s="19" t="s">
        <v>65</v>
      </c>
      <c r="D46" s="37"/>
      <c r="E46" s="38">
        <f>F45-E45</f>
        <v>85692144.009999916</v>
      </c>
      <c r="F46" s="22"/>
      <c r="G46" s="1"/>
      <c r="H46" s="1"/>
      <c r="I46" s="1"/>
      <c r="J46" s="70"/>
      <c r="K46" s="70"/>
      <c r="L46" s="70"/>
      <c r="O46" s="1"/>
    </row>
    <row r="47" spans="1:15" s="2" customFormat="1" x14ac:dyDescent="0.2">
      <c r="A47" s="36"/>
      <c r="B47" s="28" t="s">
        <v>66</v>
      </c>
      <c r="C47" s="19" t="s">
        <v>67</v>
      </c>
      <c r="D47" s="37"/>
      <c r="E47" s="38">
        <v>11500000</v>
      </c>
      <c r="F47" s="22"/>
      <c r="G47" s="1"/>
      <c r="H47" s="1"/>
      <c r="I47" s="70"/>
      <c r="J47" s="70"/>
      <c r="K47" s="70"/>
      <c r="L47" s="70"/>
      <c r="O47" s="1"/>
    </row>
    <row r="48" spans="1:15" s="2" customFormat="1" x14ac:dyDescent="0.2">
      <c r="A48" s="36"/>
      <c r="B48" s="28" t="s">
        <v>66</v>
      </c>
      <c r="C48" s="43" t="s">
        <v>1457</v>
      </c>
      <c r="D48" s="43"/>
      <c r="E48" s="12">
        <f>400000000</f>
        <v>400000000</v>
      </c>
      <c r="F48" s="22"/>
      <c r="G48" s="1"/>
      <c r="H48" s="1"/>
      <c r="I48" s="70"/>
      <c r="J48" s="45">
        <v>1367.28</v>
      </c>
      <c r="K48" s="46"/>
      <c r="L48" s="46"/>
      <c r="O48" s="1"/>
    </row>
    <row r="49" spans="1:15" s="2" customFormat="1" ht="15" x14ac:dyDescent="0.25">
      <c r="A49" s="36"/>
      <c r="B49" s="28"/>
      <c r="C49" s="44" t="s">
        <v>1541</v>
      </c>
      <c r="D49" s="43"/>
      <c r="E49" s="7">
        <f>+E48+E46+E47</f>
        <v>497192144.00999993</v>
      </c>
      <c r="F49" s="22"/>
      <c r="G49" s="1"/>
      <c r="H49" s="1"/>
      <c r="I49" s="103" t="s">
        <v>69</v>
      </c>
      <c r="J49" s="45">
        <v>-70.61</v>
      </c>
      <c r="K49" s="46"/>
      <c r="L49" s="46"/>
      <c r="O49" s="1"/>
    </row>
    <row r="50" spans="1:15" s="2" customFormat="1" ht="15" x14ac:dyDescent="0.25">
      <c r="A50" s="24"/>
      <c r="B50" s="1"/>
      <c r="C50" s="44" t="s">
        <v>1510</v>
      </c>
      <c r="D50" s="25"/>
      <c r="E50" s="156">
        <f>+J24-E47+I20-J20</f>
        <v>3765560.9899999946</v>
      </c>
      <c r="G50" s="1"/>
      <c r="H50" s="1"/>
      <c r="I50" s="35">
        <v>1</v>
      </c>
      <c r="J50" s="45">
        <v>60.07</v>
      </c>
      <c r="K50" s="46">
        <f>+J51-D53</f>
        <v>0</v>
      </c>
      <c r="O50" s="1"/>
    </row>
    <row r="51" spans="1:15" s="124" customFormat="1" ht="12.75" customHeight="1" x14ac:dyDescent="0.2">
      <c r="A51" s="24"/>
      <c r="B51" s="1"/>
      <c r="C51" s="56"/>
      <c r="D51" s="56"/>
      <c r="E51" s="104"/>
      <c r="F51" s="2"/>
      <c r="G51" s="166"/>
      <c r="H51" s="166"/>
      <c r="I51" s="70"/>
      <c r="J51" s="49">
        <f>SUM(J48:J50)</f>
        <v>1356.74</v>
      </c>
      <c r="K51" s="46"/>
      <c r="L51" s="46"/>
    </row>
    <row r="52" spans="1:15" s="124" customFormat="1" ht="12.75" customHeight="1" x14ac:dyDescent="0.2">
      <c r="A52" s="24"/>
      <c r="B52" s="1"/>
      <c r="C52" s="78" t="s">
        <v>575</v>
      </c>
      <c r="D52" s="48" t="s">
        <v>576</v>
      </c>
      <c r="E52" s="104"/>
      <c r="F52" s="2"/>
      <c r="G52" s="168"/>
      <c r="H52" s="168"/>
      <c r="I52" s="167"/>
      <c r="J52" s="167"/>
      <c r="K52" s="168"/>
    </row>
    <row r="53" spans="1:15" s="124" customFormat="1" ht="12.75" customHeight="1" x14ac:dyDescent="0.2">
      <c r="A53" s="24"/>
      <c r="B53" s="1"/>
      <c r="C53" s="47" t="s">
        <v>570</v>
      </c>
      <c r="D53" s="111">
        <v>1356.74</v>
      </c>
      <c r="E53" s="104"/>
      <c r="F53" s="2"/>
      <c r="G53" s="168"/>
      <c r="H53" s="168"/>
      <c r="I53" s="110" t="s">
        <v>581</v>
      </c>
      <c r="J53" s="167"/>
      <c r="K53" s="168"/>
    </row>
    <row r="54" spans="1:15" s="124" customFormat="1" ht="12.75" customHeight="1" x14ac:dyDescent="0.2">
      <c r="A54" s="24"/>
      <c r="B54" s="1"/>
      <c r="C54" s="47" t="s">
        <v>931</v>
      </c>
      <c r="D54" s="111">
        <v>105.65</v>
      </c>
      <c r="E54" s="104"/>
      <c r="F54" s="2"/>
      <c r="G54" s="168"/>
      <c r="H54" s="168"/>
      <c r="I54" s="110" t="s">
        <v>580</v>
      </c>
      <c r="J54" s="167"/>
      <c r="K54" s="168"/>
    </row>
    <row r="55" spans="1:15" s="124" customFormat="1" ht="12.75" customHeight="1" x14ac:dyDescent="0.2">
      <c r="A55" s="24"/>
      <c r="B55" s="1"/>
      <c r="C55" s="47" t="s">
        <v>572</v>
      </c>
      <c r="D55" s="111">
        <f>+D76/100000</f>
        <v>44.509390000000003</v>
      </c>
      <c r="E55" s="104"/>
      <c r="F55" s="2"/>
      <c r="G55" s="166"/>
      <c r="H55" s="166"/>
      <c r="I55" s="90" t="s">
        <v>587</v>
      </c>
      <c r="J55" s="167"/>
      <c r="K55" s="168"/>
    </row>
    <row r="56" spans="1:15" s="2" customFormat="1" x14ac:dyDescent="0.2">
      <c r="A56" s="24"/>
      <c r="B56" s="1"/>
      <c r="C56" s="108" t="s">
        <v>578</v>
      </c>
      <c r="D56" s="48">
        <f>SUM(D53:D55)</f>
        <v>1506.89939</v>
      </c>
      <c r="E56" s="104"/>
      <c r="G56" s="30"/>
      <c r="H56" s="30"/>
      <c r="J56" s="13"/>
      <c r="K56" s="13"/>
    </row>
    <row r="57" spans="1:15" s="70" customFormat="1" x14ac:dyDescent="0.2">
      <c r="A57" s="24"/>
      <c r="B57" s="1"/>
      <c r="C57" s="47"/>
      <c r="D57" s="107"/>
      <c r="E57" s="104"/>
      <c r="F57" s="2"/>
      <c r="G57" s="30"/>
      <c r="H57" s="30"/>
      <c r="I57" s="2"/>
    </row>
    <row r="58" spans="1:15" s="70" customFormat="1" x14ac:dyDescent="0.2">
      <c r="A58" s="24"/>
      <c r="B58" s="1"/>
      <c r="C58" s="47" t="s">
        <v>932</v>
      </c>
      <c r="D58" s="111">
        <v>16.14</v>
      </c>
      <c r="E58" s="104"/>
      <c r="F58" s="2"/>
      <c r="G58" s="30"/>
      <c r="H58" s="30"/>
      <c r="I58" s="110" t="s">
        <v>581</v>
      </c>
    </row>
    <row r="59" spans="1:15" s="70" customFormat="1" x14ac:dyDescent="0.2">
      <c r="A59" s="24"/>
      <c r="B59" s="1"/>
      <c r="C59" s="136" t="s">
        <v>1142</v>
      </c>
      <c r="D59" s="111">
        <v>331.37</v>
      </c>
      <c r="E59" s="104"/>
      <c r="F59" s="2"/>
      <c r="G59" s="30"/>
      <c r="H59" s="30"/>
      <c r="I59" s="110" t="s">
        <v>581</v>
      </c>
    </row>
    <row r="60" spans="1:15" s="70" customFormat="1" x14ac:dyDescent="0.2">
      <c r="A60" s="24"/>
      <c r="B60" s="1"/>
      <c r="C60" s="78" t="s">
        <v>579</v>
      </c>
      <c r="D60" s="109">
        <f>D58+D59</f>
        <v>347.51</v>
      </c>
      <c r="E60" s="104"/>
      <c r="F60" s="2"/>
      <c r="G60" s="30"/>
      <c r="H60" s="30"/>
    </row>
    <row r="61" spans="1:15" s="70" customFormat="1" x14ac:dyDescent="0.2">
      <c r="A61" s="24"/>
      <c r="B61" s="1"/>
      <c r="C61" s="105"/>
      <c r="D61" s="106"/>
      <c r="E61" s="104"/>
      <c r="F61" s="2"/>
      <c r="G61" s="30"/>
      <c r="H61" s="30"/>
      <c r="J61" s="2"/>
      <c r="K61" s="221" t="str">
        <f>"FROM ( 01-02-2024 to "&amp;TEXT(A5,"dd-mm-yyyy")&amp;" )"</f>
        <v>FROM ( 01-02-2024 to 13-02-2024 )</v>
      </c>
      <c r="L61" s="221"/>
      <c r="M61" s="2"/>
      <c r="N61" s="2"/>
    </row>
    <row r="62" spans="1:15" s="70" customFormat="1" x14ac:dyDescent="0.2">
      <c r="A62" s="24"/>
      <c r="B62" s="1"/>
      <c r="C62" s="78" t="s">
        <v>577</v>
      </c>
      <c r="D62" s="109">
        <f>D53+D60</f>
        <v>1704.25</v>
      </c>
      <c r="E62" s="104"/>
      <c r="F62" s="2"/>
      <c r="G62" s="30"/>
      <c r="H62" s="30"/>
      <c r="J62" s="113"/>
      <c r="K62" s="113" t="s">
        <v>709</v>
      </c>
      <c r="L62" s="113" t="s">
        <v>710</v>
      </c>
      <c r="M62" s="113" t="s">
        <v>711</v>
      </c>
      <c r="N62" s="113" t="s">
        <v>712</v>
      </c>
    </row>
    <row r="63" spans="1:15" s="70" customFormat="1" x14ac:dyDescent="0.2">
      <c r="A63" s="24"/>
      <c r="B63" s="1"/>
      <c r="C63" s="56"/>
      <c r="D63" s="56"/>
      <c r="E63" s="104"/>
      <c r="F63" s="2"/>
      <c r="G63" s="30"/>
      <c r="H63" s="30"/>
      <c r="J63" s="113" t="s">
        <v>1860</v>
      </c>
      <c r="K63" s="115">
        <v>191.98999999999998</v>
      </c>
      <c r="L63" s="115">
        <v>0</v>
      </c>
      <c r="M63" s="115">
        <v>0</v>
      </c>
      <c r="N63" s="113">
        <f>+K63+M63-L63</f>
        <v>191.98999999999998</v>
      </c>
    </row>
    <row r="64" spans="1:15" s="70" customFormat="1" ht="38.25" x14ac:dyDescent="0.2">
      <c r="A64" s="24"/>
      <c r="B64" s="1"/>
      <c r="C64" s="79" t="str">
        <f>"Particulars ( 01-02-2024 to "&amp;TEXT(A5,"dd-mm-yyyy")&amp;" )"</f>
        <v>Particulars ( 01-02-2024 to 13-02-2024 )</v>
      </c>
      <c r="D64" s="79" t="s">
        <v>7</v>
      </c>
      <c r="E64" s="80" t="s">
        <v>73</v>
      </c>
      <c r="F64" s="80" t="s">
        <v>74</v>
      </c>
      <c r="G64" s="81" t="s">
        <v>75</v>
      </c>
      <c r="H64" s="80" t="s">
        <v>76</v>
      </c>
      <c r="J64" s="113" t="s">
        <v>1861</v>
      </c>
      <c r="K64" s="115">
        <v>1862.06</v>
      </c>
      <c r="L64" s="115">
        <v>44.6</v>
      </c>
      <c r="M64" s="115">
        <v>331.28</v>
      </c>
      <c r="N64" s="113">
        <f>+K64+M64-L64</f>
        <v>2148.7400000000002</v>
      </c>
    </row>
    <row r="65" spans="1:15" s="70" customFormat="1" x14ac:dyDescent="0.2">
      <c r="A65" s="24"/>
      <c r="B65" s="1"/>
      <c r="C65" s="50" t="s">
        <v>444</v>
      </c>
      <c r="D65" s="55">
        <f>+K65</f>
        <v>332.44</v>
      </c>
      <c r="E65" s="55">
        <f>+IF(M65=0,0,M65)</f>
        <v>16.14</v>
      </c>
      <c r="F65" s="55">
        <f>+L65</f>
        <v>105.65</v>
      </c>
      <c r="G65" s="55">
        <f>+D65+E65-F65</f>
        <v>242.92999999999998</v>
      </c>
      <c r="H65" s="55">
        <f>1500-G65</f>
        <v>1257.07</v>
      </c>
      <c r="I65" s="70">
        <f>+IF(M65=0,0,M65)</f>
        <v>16.14</v>
      </c>
      <c r="J65" s="113" t="s">
        <v>707</v>
      </c>
      <c r="K65" s="115">
        <v>332.44</v>
      </c>
      <c r="L65" s="115">
        <v>105.65</v>
      </c>
      <c r="M65" s="115">
        <v>16.14</v>
      </c>
      <c r="N65" s="113">
        <f>+K65+M65-L65</f>
        <v>242.92999999999998</v>
      </c>
    </row>
    <row r="66" spans="1:15" s="70" customFormat="1" ht="12.75" customHeight="1" x14ac:dyDescent="0.2">
      <c r="A66" s="24"/>
      <c r="B66" s="1"/>
      <c r="C66" s="50" t="s">
        <v>71</v>
      </c>
      <c r="D66" s="55">
        <f>+K63+K64</f>
        <v>2054.0499999999997</v>
      </c>
      <c r="E66" s="55">
        <f>+M63+M64</f>
        <v>331.28</v>
      </c>
      <c r="F66" s="55">
        <f>+L63+L64</f>
        <v>44.6</v>
      </c>
      <c r="G66" s="55">
        <f>+D66+E66-F66</f>
        <v>2340.73</v>
      </c>
      <c r="H66" s="55">
        <f>1500+700+200-G66</f>
        <v>59.269999999999982</v>
      </c>
      <c r="J66" s="2"/>
      <c r="K66" s="118">
        <f>SUM(K63:K65)</f>
        <v>2386.4899999999998</v>
      </c>
      <c r="L66" s="118">
        <f>SUM(L63:L65)</f>
        <v>150.25</v>
      </c>
      <c r="M66" s="118">
        <f>SUM(M63:M65)</f>
        <v>347.41999999999996</v>
      </c>
      <c r="N66" s="118">
        <f>SUM(N63:N65)</f>
        <v>2583.66</v>
      </c>
    </row>
    <row r="67" spans="1:15" s="70" customFormat="1" ht="12.75" customHeight="1" x14ac:dyDescent="0.2">
      <c r="A67" s="24"/>
      <c r="B67" s="1"/>
      <c r="C67" s="14"/>
      <c r="D67" s="56"/>
      <c r="E67" s="13"/>
      <c r="F67" s="2"/>
      <c r="G67" s="30"/>
      <c r="H67" s="30"/>
    </row>
    <row r="68" spans="1:15" s="70" customFormat="1" ht="12.75" customHeight="1" x14ac:dyDescent="0.2">
      <c r="A68" s="215" t="s">
        <v>80</v>
      </c>
      <c r="B68" s="216"/>
      <c r="C68" s="216"/>
      <c r="D68" s="217"/>
      <c r="E68" s="69"/>
      <c r="G68" s="30"/>
      <c r="H68" s="30"/>
    </row>
    <row r="69" spans="1:15" s="70" customFormat="1" ht="12.75" customHeight="1" x14ac:dyDescent="0.2">
      <c r="A69" s="71" t="s">
        <v>81</v>
      </c>
      <c r="B69" s="71"/>
      <c r="C69" s="72" t="s">
        <v>82</v>
      </c>
      <c r="D69" s="73" t="s">
        <v>83</v>
      </c>
      <c r="E69" s="69"/>
      <c r="G69" s="30"/>
      <c r="H69" s="30"/>
    </row>
    <row r="70" spans="1:15" s="70" customFormat="1" ht="12.75" customHeight="1" x14ac:dyDescent="0.2">
      <c r="A70" s="87">
        <v>45323</v>
      </c>
      <c r="B70" s="120" t="s">
        <v>6</v>
      </c>
      <c r="C70" s="75" t="s">
        <v>2030</v>
      </c>
      <c r="D70" s="88">
        <v>881220</v>
      </c>
      <c r="E70" s="2"/>
      <c r="F70" s="2"/>
      <c r="G70" s="30"/>
      <c r="H70" s="30"/>
      <c r="I70" s="2"/>
      <c r="J70" s="2"/>
      <c r="K70" s="2"/>
      <c r="L70" s="2"/>
      <c r="M70" s="41"/>
      <c r="N70" s="42"/>
      <c r="O70" s="2"/>
    </row>
    <row r="71" spans="1:15" s="70" customFormat="1" ht="12.75" customHeight="1" x14ac:dyDescent="0.2">
      <c r="A71" s="87">
        <v>45324</v>
      </c>
      <c r="B71" s="120" t="s">
        <v>6</v>
      </c>
      <c r="C71" s="75" t="s">
        <v>1934</v>
      </c>
      <c r="D71" s="88">
        <v>47729</v>
      </c>
      <c r="E71" s="2"/>
      <c r="F71" s="2"/>
      <c r="G71" s="30"/>
      <c r="H71" s="30"/>
      <c r="I71" s="2"/>
      <c r="J71" s="2"/>
      <c r="K71" s="2"/>
      <c r="L71" s="2"/>
      <c r="M71" s="41"/>
      <c r="N71" s="42"/>
      <c r="O71" s="2"/>
    </row>
    <row r="72" spans="1:15" s="70" customFormat="1" ht="12.75" customHeight="1" x14ac:dyDescent="0.2">
      <c r="A72" s="87">
        <v>45328</v>
      </c>
      <c r="B72" s="120" t="s">
        <v>6</v>
      </c>
      <c r="C72" s="75" t="s">
        <v>606</v>
      </c>
      <c r="D72" s="88">
        <v>1312580</v>
      </c>
      <c r="E72" s="2"/>
      <c r="F72" s="2"/>
      <c r="G72" s="30"/>
      <c r="H72" s="30"/>
      <c r="I72" s="2"/>
      <c r="J72" s="2"/>
      <c r="K72" s="2"/>
      <c r="L72" s="2"/>
      <c r="M72" s="41"/>
      <c r="N72" s="42"/>
      <c r="O72" s="2"/>
    </row>
    <row r="73" spans="1:15" s="70" customFormat="1" ht="12.75" customHeight="1" x14ac:dyDescent="0.2">
      <c r="A73" s="87">
        <v>45327</v>
      </c>
      <c r="B73" s="120" t="s">
        <v>6</v>
      </c>
      <c r="C73" s="75" t="s">
        <v>606</v>
      </c>
      <c r="D73" s="88">
        <v>56647</v>
      </c>
      <c r="E73" s="2"/>
      <c r="F73" s="2"/>
      <c r="G73" s="30"/>
      <c r="H73" s="30"/>
      <c r="I73" s="2"/>
      <c r="J73" s="2"/>
      <c r="K73" s="2"/>
      <c r="L73" s="2"/>
      <c r="M73" s="41"/>
      <c r="N73" s="42"/>
      <c r="O73" s="2"/>
    </row>
    <row r="74" spans="1:15" s="70" customFormat="1" ht="12.75" customHeight="1" x14ac:dyDescent="0.2">
      <c r="A74" s="87">
        <v>45329</v>
      </c>
      <c r="B74" s="120" t="s">
        <v>6</v>
      </c>
      <c r="C74" s="75" t="s">
        <v>2030</v>
      </c>
      <c r="D74" s="88">
        <v>548859</v>
      </c>
      <c r="E74" s="2"/>
      <c r="F74" s="2"/>
      <c r="G74" s="30"/>
      <c r="H74" s="30"/>
      <c r="I74" s="2"/>
      <c r="J74" s="2"/>
      <c r="K74" s="2"/>
      <c r="L74" s="2"/>
      <c r="M74" s="41"/>
      <c r="N74" s="42"/>
      <c r="O74" s="2"/>
    </row>
    <row r="75" spans="1:15" s="70" customFormat="1" ht="12.75" customHeight="1" x14ac:dyDescent="0.2">
      <c r="A75" s="87">
        <v>45332</v>
      </c>
      <c r="B75" s="120" t="s">
        <v>6</v>
      </c>
      <c r="C75" s="75" t="s">
        <v>1084</v>
      </c>
      <c r="D75" s="88">
        <v>1603904</v>
      </c>
      <c r="E75" s="2"/>
      <c r="F75" s="2"/>
      <c r="G75" s="30"/>
      <c r="H75" s="30"/>
      <c r="I75" s="2"/>
      <c r="J75" s="2"/>
      <c r="K75" s="2"/>
      <c r="L75" s="2"/>
      <c r="M75" s="41"/>
      <c r="N75" s="42"/>
      <c r="O75" s="2"/>
    </row>
    <row r="76" spans="1:15" s="2" customFormat="1" x14ac:dyDescent="0.2">
      <c r="A76" s="87"/>
      <c r="B76" s="74"/>
      <c r="C76" s="75"/>
      <c r="D76" s="51">
        <f>SUM(D70:D75)</f>
        <v>4450939</v>
      </c>
      <c r="F76" s="2" t="s">
        <v>396</v>
      </c>
      <c r="G76" s="1"/>
      <c r="H76" s="1"/>
    </row>
    <row r="77" spans="1:15" s="2" customFormat="1" x14ac:dyDescent="0.2">
      <c r="A77" s="24"/>
      <c r="B77" s="1"/>
      <c r="C77" s="14"/>
      <c r="D77" s="56"/>
      <c r="E77" s="13"/>
      <c r="G77" s="1"/>
      <c r="H77" s="1"/>
    </row>
    <row r="78" spans="1:15" s="2" customFormat="1" x14ac:dyDescent="0.2">
      <c r="A78" s="24"/>
      <c r="B78" s="1"/>
      <c r="C78" s="218" t="s">
        <v>77</v>
      </c>
      <c r="D78" s="219"/>
      <c r="E78" s="219"/>
      <c r="F78" s="220"/>
      <c r="I78" s="2" t="s">
        <v>396</v>
      </c>
    </row>
    <row r="79" spans="1:15" s="2" customFormat="1" x14ac:dyDescent="0.2">
      <c r="A79" s="24"/>
      <c r="B79" s="1"/>
      <c r="C79" s="50"/>
      <c r="D79" s="57" t="s">
        <v>78</v>
      </c>
      <c r="E79" s="58" t="s">
        <v>79</v>
      </c>
      <c r="F79" s="57" t="s">
        <v>72</v>
      </c>
      <c r="I79" s="2" t="s">
        <v>396</v>
      </c>
    </row>
    <row r="80" spans="1:15" s="2" customFormat="1" x14ac:dyDescent="0.2">
      <c r="A80" s="24"/>
      <c r="B80" s="1"/>
      <c r="C80" s="59" t="str">
        <f>"01-02-2024 to "&amp;TEXT(A5-2,"dd-mm-yyyy")</f>
        <v>01-02-2024 to 11-02-2024</v>
      </c>
      <c r="D80" s="60">
        <v>1354.66</v>
      </c>
      <c r="E80" s="60">
        <v>233.89</v>
      </c>
      <c r="F80" s="61">
        <f>SUM(D80:E80)</f>
        <v>1588.5500000000002</v>
      </c>
    </row>
    <row r="81" spans="1:14" s="2" customFormat="1" x14ac:dyDescent="0.2">
      <c r="A81" s="24"/>
      <c r="B81" s="1"/>
      <c r="C81" s="62" t="str">
        <f>TEXT(A5-1,"dd-mm-yyyy")</f>
        <v>12-02-2024</v>
      </c>
      <c r="D81" s="60">
        <v>125.03</v>
      </c>
      <c r="E81" s="60">
        <v>24.86</v>
      </c>
      <c r="F81" s="61">
        <f>SUM(D81:E81)</f>
        <v>149.88999999999999</v>
      </c>
      <c r="G81" s="1"/>
      <c r="H81" s="1"/>
      <c r="I81" s="53"/>
    </row>
    <row r="82" spans="1:14" s="2" customFormat="1" ht="13.5" thickBot="1" x14ac:dyDescent="0.25">
      <c r="A82" s="24"/>
      <c r="B82" s="1"/>
      <c r="C82" s="63" t="str">
        <f>"01-02-2024 to "&amp;TEXT(A5-1,"dd-mm-yyyy")</f>
        <v>01-02-2024 to 12-02-2024</v>
      </c>
      <c r="D82" s="64">
        <f>SUM(D80:D81)</f>
        <v>1479.69</v>
      </c>
      <c r="E82" s="64">
        <f>SUM(E80:E81)</f>
        <v>258.75</v>
      </c>
      <c r="F82" s="64">
        <f>SUM(F80:F81)</f>
        <v>1738.44</v>
      </c>
      <c r="G82" s="1"/>
      <c r="H82" s="1"/>
      <c r="I82" s="53"/>
    </row>
    <row r="83" spans="1:14" s="2" customFormat="1" ht="13.5" thickTop="1" x14ac:dyDescent="0.2">
      <c r="A83" s="24"/>
      <c r="B83" s="1"/>
      <c r="C83" s="62"/>
      <c r="D83" s="65"/>
      <c r="E83" s="66"/>
      <c r="F83" s="67"/>
      <c r="M83" s="1"/>
      <c r="N83" s="1"/>
    </row>
    <row r="84" spans="1:14" s="2" customFormat="1" x14ac:dyDescent="0.2">
      <c r="A84" s="24"/>
      <c r="B84" s="1"/>
      <c r="C84" s="62" t="str">
        <f>"01-04-2023 to " &amp;C81</f>
        <v>01-04-2023 to 12-02-2024</v>
      </c>
      <c r="D84" s="68">
        <f>+D82+37155.69</f>
        <v>38635.380000000005</v>
      </c>
      <c r="E84" s="68">
        <f>+E82+4497.36</f>
        <v>4756.1099999999997</v>
      </c>
      <c r="F84" s="68">
        <f>+F82+41653.05</f>
        <v>43391.490000000005</v>
      </c>
      <c r="G84" s="1"/>
      <c r="H84" s="1"/>
      <c r="M84" s="1"/>
      <c r="N84" s="1"/>
    </row>
    <row r="85" spans="1:14" s="2" customFormat="1" x14ac:dyDescent="0.2">
      <c r="A85" s="24"/>
      <c r="B85" s="1"/>
      <c r="C85" s="52"/>
      <c r="D85" s="85"/>
      <c r="E85" s="53"/>
      <c r="F85" s="53"/>
      <c r="G85" s="1"/>
      <c r="H85" s="1"/>
      <c r="M85" s="1"/>
      <c r="N85" s="1"/>
    </row>
    <row r="86" spans="1:14" s="2" customFormat="1" x14ac:dyDescent="0.2">
      <c r="A86" s="24"/>
      <c r="B86" s="1"/>
      <c r="C86" s="52"/>
      <c r="D86" s="85"/>
      <c r="E86" s="53"/>
      <c r="F86" s="53"/>
      <c r="G86" s="1"/>
      <c r="H86" s="1"/>
      <c r="M86" s="1"/>
      <c r="N86" s="1"/>
    </row>
    <row r="87" spans="1:14" s="2" customFormat="1" x14ac:dyDescent="0.2">
      <c r="A87" s="24"/>
      <c r="B87" s="1"/>
      <c r="C87" s="52"/>
      <c r="D87" s="85"/>
      <c r="E87" s="53"/>
      <c r="F87" s="53"/>
      <c r="G87" s="1"/>
      <c r="H87" s="1"/>
      <c r="M87" s="1"/>
      <c r="N87" s="1"/>
    </row>
    <row r="88" spans="1:14" s="2" customFormat="1" x14ac:dyDescent="0.2">
      <c r="A88" s="24"/>
      <c r="B88" s="1"/>
      <c r="C88" s="52"/>
      <c r="D88" s="85"/>
      <c r="E88" s="53"/>
      <c r="F88" s="53"/>
      <c r="G88" s="1"/>
      <c r="H88" s="1"/>
      <c r="M88" s="1"/>
      <c r="N88" s="1"/>
    </row>
    <row r="89" spans="1:14" s="2" customFormat="1" x14ac:dyDescent="0.2">
      <c r="A89" s="24"/>
      <c r="B89" s="1"/>
      <c r="C89" s="14"/>
      <c r="D89" s="25">
        <f>SUM(D86:D88)</f>
        <v>0</v>
      </c>
      <c r="E89" s="2">
        <f>SUM(E86:E88)</f>
        <v>0</v>
      </c>
      <c r="G89" s="1"/>
      <c r="H89" s="1"/>
      <c r="M89" s="1"/>
      <c r="N89" s="1"/>
    </row>
    <row r="90" spans="1:14" s="2" customFormat="1" x14ac:dyDescent="0.2">
      <c r="A90" s="24"/>
      <c r="B90" s="1"/>
      <c r="C90" s="14"/>
      <c r="D90" s="25"/>
      <c r="G90" s="1"/>
      <c r="H90" s="1"/>
      <c r="M90" s="1"/>
      <c r="N90" s="1"/>
    </row>
    <row r="91" spans="1:14" s="2" customFormat="1" x14ac:dyDescent="0.2">
      <c r="A91" s="24"/>
      <c r="B91" s="1"/>
      <c r="C91" s="14"/>
      <c r="D91" s="25"/>
      <c r="G91" s="1"/>
      <c r="H91" s="1"/>
      <c r="M91" s="1"/>
      <c r="N91" s="1"/>
    </row>
    <row r="92" spans="1:14" s="2" customFormat="1" x14ac:dyDescent="0.2">
      <c r="A92" s="24"/>
      <c r="B92" s="1"/>
      <c r="C92" s="14"/>
      <c r="D92" s="25"/>
      <c r="G92" s="1"/>
      <c r="H92" s="1"/>
      <c r="M92" s="1"/>
      <c r="N92" s="1"/>
    </row>
    <row r="93" spans="1:14" s="2" customFormat="1" x14ac:dyDescent="0.2">
      <c r="A93" s="24"/>
      <c r="B93" s="1"/>
      <c r="C93" s="14"/>
      <c r="D93" s="25"/>
      <c r="G93" s="1"/>
      <c r="H93" s="1"/>
      <c r="M93" s="1"/>
      <c r="N93" s="1"/>
    </row>
    <row r="94" spans="1:14" s="2" customFormat="1" x14ac:dyDescent="0.2">
      <c r="A94" s="24"/>
      <c r="B94" s="1"/>
      <c r="C94" s="14"/>
      <c r="D94" s="25"/>
      <c r="G94" s="1"/>
      <c r="H94" s="1"/>
      <c r="M94" s="1"/>
      <c r="N94" s="1"/>
    </row>
    <row r="95" spans="1:14" s="2" customFormat="1" x14ac:dyDescent="0.2">
      <c r="A95" s="24"/>
      <c r="B95" s="1"/>
      <c r="C95" s="14"/>
      <c r="D95" s="25"/>
      <c r="G95" s="1"/>
      <c r="H95" s="1"/>
      <c r="M95" s="1"/>
      <c r="N95" s="1"/>
    </row>
    <row r="96" spans="1:14" s="2" customFormat="1" x14ac:dyDescent="0.2">
      <c r="A96" s="24"/>
      <c r="B96" s="1"/>
      <c r="C96" s="14"/>
      <c r="D96" s="25"/>
      <c r="G96" s="1"/>
      <c r="H96" s="1"/>
      <c r="M96" s="1"/>
      <c r="N96" s="1"/>
    </row>
    <row r="97" spans="1:15" s="2" customFormat="1" x14ac:dyDescent="0.2">
      <c r="A97" s="24"/>
      <c r="B97" s="1"/>
      <c r="C97" s="14"/>
      <c r="D97" s="25"/>
      <c r="G97" s="1"/>
      <c r="H97" s="1"/>
      <c r="M97" s="1"/>
      <c r="N97" s="1"/>
    </row>
    <row r="98" spans="1:15" s="2" customFormat="1" x14ac:dyDescent="0.2">
      <c r="A98" s="24"/>
      <c r="B98" s="1"/>
      <c r="C98" s="14"/>
      <c r="D98" s="25"/>
      <c r="G98" s="1"/>
      <c r="H98" s="1"/>
      <c r="M98" s="1"/>
      <c r="N98" s="1"/>
    </row>
    <row r="99" spans="1:15" s="2" customFormat="1" x14ac:dyDescent="0.2">
      <c r="A99" s="24"/>
      <c r="B99" s="1"/>
      <c r="C99" s="14"/>
      <c r="D99" s="25"/>
      <c r="G99" s="1"/>
      <c r="H99" s="1"/>
      <c r="M99" s="1"/>
      <c r="N99" s="1"/>
    </row>
    <row r="100" spans="1:15" s="2" customFormat="1" x14ac:dyDescent="0.2">
      <c r="A100" s="24"/>
      <c r="B100" s="1"/>
      <c r="C100" s="14"/>
      <c r="D100" s="25"/>
      <c r="G100" s="1"/>
      <c r="H100" s="1"/>
      <c r="M100" s="1"/>
      <c r="N100" s="1"/>
    </row>
    <row r="101" spans="1:15" s="2" customFormat="1" x14ac:dyDescent="0.2">
      <c r="A101" s="24"/>
      <c r="B101" s="1"/>
      <c r="C101" s="14"/>
      <c r="D101" s="25"/>
      <c r="G101" s="1"/>
      <c r="H101" s="1"/>
      <c r="M101" s="1"/>
      <c r="N101" s="1"/>
    </row>
    <row r="102" spans="1:15" s="2" customFormat="1" x14ac:dyDescent="0.2">
      <c r="A102" s="24"/>
      <c r="B102" s="1"/>
      <c r="C102" s="14"/>
      <c r="D102" s="25"/>
      <c r="G102" s="1"/>
      <c r="H102" s="1"/>
      <c r="M102" s="1"/>
      <c r="N102" s="1"/>
    </row>
    <row r="103" spans="1:15" s="2" customFormat="1" x14ac:dyDescent="0.2">
      <c r="A103" s="24"/>
      <c r="B103" s="1"/>
      <c r="C103" s="14"/>
      <c r="D103" s="25"/>
      <c r="G103" s="1"/>
      <c r="H103" s="1"/>
      <c r="J103" s="1"/>
      <c r="K103" s="1"/>
      <c r="L103" s="1"/>
      <c r="M103" s="1"/>
      <c r="N103" s="1"/>
    </row>
    <row r="104" spans="1:15" s="2" customFormat="1" x14ac:dyDescent="0.2">
      <c r="A104" s="24"/>
      <c r="B104" s="1"/>
      <c r="C104" s="14"/>
      <c r="D104" s="25"/>
      <c r="G104" s="1"/>
      <c r="H104" s="1"/>
    </row>
    <row r="105" spans="1:15" s="2" customFormat="1" x14ac:dyDescent="0.2">
      <c r="A105" s="24"/>
      <c r="B105" s="1"/>
      <c r="C105" s="14"/>
      <c r="D105" s="25"/>
      <c r="G105" s="1"/>
      <c r="H105" s="1"/>
      <c r="J105" s="1"/>
      <c r="K105" s="1"/>
      <c r="L105" s="1"/>
      <c r="M105" s="1"/>
      <c r="N105" s="1"/>
    </row>
    <row r="106" spans="1:15" s="2" customFormat="1" x14ac:dyDescent="0.2">
      <c r="A106" s="24"/>
      <c r="B106" s="1"/>
      <c r="C106" s="14"/>
      <c r="D106" s="25"/>
      <c r="G106" s="54"/>
      <c r="H106" s="54"/>
      <c r="J106" s="1"/>
      <c r="K106" s="1"/>
      <c r="L106" s="1"/>
      <c r="M106" s="1"/>
      <c r="N106" s="1"/>
    </row>
    <row r="107" spans="1:15" s="2" customFormat="1" x14ac:dyDescent="0.2">
      <c r="A107" s="24"/>
      <c r="B107" s="1"/>
      <c r="C107" s="14"/>
      <c r="D107" s="25"/>
      <c r="G107" s="54"/>
      <c r="H107" s="54"/>
      <c r="J107" s="1"/>
      <c r="K107" s="1"/>
      <c r="L107" s="1"/>
      <c r="M107" s="1"/>
      <c r="N107" s="1"/>
    </row>
    <row r="108" spans="1:15" s="2" customFormat="1" x14ac:dyDescent="0.2">
      <c r="A108" s="24"/>
      <c r="B108" s="1"/>
      <c r="C108" s="14"/>
      <c r="D108" s="25"/>
      <c r="G108" s="54"/>
      <c r="H108" s="54"/>
      <c r="J108" s="1"/>
      <c r="K108" s="1"/>
      <c r="L108" s="1"/>
      <c r="M108" s="1"/>
      <c r="N108" s="1"/>
    </row>
    <row r="109" spans="1:15" s="2" customFormat="1" x14ac:dyDescent="0.2">
      <c r="A109" s="24"/>
      <c r="B109" s="1"/>
      <c r="C109" s="14"/>
      <c r="D109" s="25"/>
      <c r="G109" s="54"/>
      <c r="H109" s="54"/>
      <c r="I109" s="2" t="s">
        <v>396</v>
      </c>
      <c r="J109" s="1"/>
      <c r="K109" s="1"/>
      <c r="L109" s="1"/>
      <c r="M109" s="1"/>
      <c r="N109" s="1"/>
      <c r="O109" s="1"/>
    </row>
    <row r="110" spans="1:15" s="2" customFormat="1" x14ac:dyDescent="0.2">
      <c r="A110" s="24"/>
      <c r="B110" s="1"/>
      <c r="C110" s="14"/>
      <c r="D110" s="25"/>
      <c r="G110" s="54"/>
      <c r="H110" s="54"/>
      <c r="I110" s="53"/>
    </row>
    <row r="111" spans="1:15" s="2" customFormat="1" x14ac:dyDescent="0.2">
      <c r="A111" s="24"/>
      <c r="B111" s="1"/>
      <c r="C111" s="14"/>
      <c r="D111" s="25"/>
      <c r="G111" s="54"/>
      <c r="H111" s="54"/>
      <c r="I111" s="53" t="s">
        <v>396</v>
      </c>
      <c r="J111" s="1"/>
      <c r="K111" s="1"/>
      <c r="L111" s="1"/>
      <c r="M111" s="1"/>
      <c r="N111" s="1"/>
      <c r="O111" s="1"/>
    </row>
    <row r="112" spans="1:15" x14ac:dyDescent="0.2">
      <c r="G112" s="54"/>
      <c r="H112" s="54"/>
      <c r="I112" s="53" t="s">
        <v>396</v>
      </c>
      <c r="K112" s="42"/>
    </row>
    <row r="113" spans="1:15" s="2" customFormat="1" x14ac:dyDescent="0.2">
      <c r="A113" s="24"/>
      <c r="B113" s="1"/>
      <c r="C113" s="14"/>
      <c r="D113" s="25"/>
      <c r="G113" s="54"/>
      <c r="H113" s="54"/>
      <c r="I113" s="53"/>
      <c r="J113" s="101"/>
      <c r="K113" s="1"/>
      <c r="L113" s="1"/>
      <c r="M113" s="1"/>
      <c r="N113" s="1"/>
      <c r="O113" s="1"/>
    </row>
    <row r="114" spans="1:15" x14ac:dyDescent="0.2">
      <c r="G114" s="54"/>
      <c r="H114" s="54"/>
      <c r="I114" s="53"/>
    </row>
    <row r="115" spans="1:15" x14ac:dyDescent="0.2">
      <c r="G115" s="54"/>
      <c r="H115" s="54"/>
      <c r="I115" s="53"/>
    </row>
    <row r="116" spans="1:15" x14ac:dyDescent="0.2">
      <c r="G116" s="54"/>
      <c r="H116" s="54"/>
      <c r="I116" s="53"/>
    </row>
  </sheetData>
  <sheetProtection insertRows="0"/>
  <mergeCells count="7">
    <mergeCell ref="K61:L61"/>
    <mergeCell ref="A68:D68"/>
    <mergeCell ref="C78:F78"/>
    <mergeCell ref="A1:H1"/>
    <mergeCell ref="A3:F3"/>
    <mergeCell ref="A10:F10"/>
    <mergeCell ref="A22:F22"/>
  </mergeCells>
  <conditionalFormatting sqref="H65:H66">
    <cfRule type="cellIs" dxfId="77" priority="1" operator="lessThan">
      <formula>0</formula>
    </cfRule>
  </conditionalFormatting>
  <conditionalFormatting sqref="C24">
    <cfRule type="duplicateValues" dxfId="76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FC00-000000000000}">
  <sheetPr codeName="Sheet548">
    <pageSetUpPr fitToPage="1"/>
  </sheetPr>
  <dimension ref="A1:O107"/>
  <sheetViews>
    <sheetView topLeftCell="A17" zoomScaleNormal="100" workbookViewId="0">
      <selection activeCell="F21" sqref="F21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12.85546875" style="1" customWidth="1"/>
    <col min="9" max="9" width="24.85546875" style="2" bestFit="1" customWidth="1"/>
    <col min="10" max="10" width="21.5703125" style="1" bestFit="1" customWidth="1"/>
    <col min="11" max="11" width="16.85546875" style="1" bestFit="1" customWidth="1"/>
    <col min="12" max="12" width="19.5703125" style="1" bestFit="1" customWidth="1"/>
    <col min="13" max="13" width="13.5703125" style="1" bestFit="1" customWidth="1"/>
    <col min="14" max="14" width="17.42578125" style="1" bestFit="1" customWidth="1"/>
    <col min="15" max="15" width="12.85546875" style="1" bestFit="1" customWidth="1"/>
    <col min="16" max="17" width="9.140625" style="1"/>
    <col min="18" max="18" width="15.5703125" style="1" bestFit="1" customWidth="1"/>
    <col min="19" max="16384" width="9.140625" style="1"/>
  </cols>
  <sheetData>
    <row r="1" spans="1:14" ht="20.25" customHeight="1" x14ac:dyDescent="0.4">
      <c r="A1" s="212" t="s">
        <v>2069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4" ht="12.75" customHeight="1" x14ac:dyDescent="0.4">
      <c r="I2" s="112"/>
      <c r="J2" s="112"/>
    </row>
    <row r="3" spans="1:14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4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4" s="2" customFormat="1" ht="14.25" customHeight="1" x14ac:dyDescent="0.4">
      <c r="A5" s="89">
        <v>45336</v>
      </c>
      <c r="B5" s="9" t="s">
        <v>6</v>
      </c>
      <c r="C5" s="10" t="s">
        <v>7</v>
      </c>
      <c r="D5" s="11"/>
      <c r="E5" s="12">
        <v>681806.6800000004</v>
      </c>
      <c r="F5" s="12"/>
      <c r="G5" s="1"/>
      <c r="H5" s="1"/>
      <c r="I5" s="112"/>
      <c r="J5" s="112"/>
    </row>
    <row r="6" spans="1:14" s="2" customFormat="1" ht="12.75" customHeight="1" x14ac:dyDescent="0.2">
      <c r="D6" s="15" t="s">
        <v>8</v>
      </c>
      <c r="E6" s="16">
        <f>SUM(E5:E5)</f>
        <v>681806.6800000004</v>
      </c>
      <c r="F6" s="16">
        <f>F5</f>
        <v>0</v>
      </c>
      <c r="G6" s="1"/>
      <c r="H6" s="1"/>
      <c r="I6" s="13" t="s">
        <v>1582</v>
      </c>
      <c r="J6" s="13" t="s">
        <v>1583</v>
      </c>
    </row>
    <row r="7" spans="1:14" s="2" customFormat="1" ht="12.75" customHeight="1" x14ac:dyDescent="0.2">
      <c r="A7" s="17"/>
      <c r="B7" s="18"/>
      <c r="C7" s="19" t="s">
        <v>9</v>
      </c>
      <c r="D7" s="20"/>
      <c r="E7" s="21">
        <f>+E6-F6</f>
        <v>681806.6800000004</v>
      </c>
      <c r="F7" s="22"/>
      <c r="G7" s="23"/>
      <c r="H7" s="23"/>
      <c r="I7" s="2">
        <v>0</v>
      </c>
      <c r="J7" s="2">
        <v>0</v>
      </c>
      <c r="K7" s="176">
        <f>I7-J7</f>
        <v>0</v>
      </c>
    </row>
    <row r="8" spans="1:14" ht="12.75" customHeight="1" x14ac:dyDescent="0.4">
      <c r="I8" s="112"/>
      <c r="J8" s="112"/>
    </row>
    <row r="9" spans="1:14" ht="18" customHeight="1" x14ac:dyDescent="0.4">
      <c r="A9" s="213" t="s">
        <v>1037</v>
      </c>
      <c r="B9" s="213"/>
      <c r="C9" s="213"/>
      <c r="D9" s="213"/>
      <c r="E9" s="213"/>
      <c r="F9" s="213"/>
      <c r="I9" s="112"/>
      <c r="J9" s="169">
        <f>90000000-60000000</f>
        <v>30000000</v>
      </c>
      <c r="K9" s="169" t="s">
        <v>1508</v>
      </c>
    </row>
    <row r="10" spans="1:14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I10" s="112"/>
      <c r="J10" s="169">
        <v>29685651.52</v>
      </c>
      <c r="K10" s="169" t="s">
        <v>1509</v>
      </c>
      <c r="L10" s="124"/>
    </row>
    <row r="11" spans="1:14" s="2" customFormat="1" ht="14.25" customHeight="1" x14ac:dyDescent="0.2">
      <c r="A11" s="89">
        <v>45336</v>
      </c>
      <c r="B11" s="9" t="s">
        <v>6</v>
      </c>
      <c r="C11" s="10" t="s">
        <v>7</v>
      </c>
      <c r="D11" s="11"/>
      <c r="F11" s="12">
        <v>29677078.520000007</v>
      </c>
      <c r="G11" s="1"/>
      <c r="H11" s="1"/>
      <c r="I11" s="130" t="s">
        <v>396</v>
      </c>
      <c r="J11" s="169">
        <f>+J9-J10</f>
        <v>314348.48000000045</v>
      </c>
      <c r="K11" s="169" t="s">
        <v>712</v>
      </c>
      <c r="L11" s="165" t="s">
        <v>1512</v>
      </c>
    </row>
    <row r="12" spans="1:14" s="2" customFormat="1" ht="14.25" customHeight="1" x14ac:dyDescent="0.2">
      <c r="A12" s="89">
        <v>45336</v>
      </c>
      <c r="B12" s="9" t="s">
        <v>11</v>
      </c>
      <c r="C12" s="76" t="s">
        <v>1137</v>
      </c>
      <c r="D12" s="11" t="s">
        <v>29</v>
      </c>
      <c r="E12" s="12"/>
      <c r="F12" s="31">
        <v>8573</v>
      </c>
      <c r="G12" s="1"/>
      <c r="H12" s="1"/>
      <c r="I12" s="130"/>
      <c r="J12" s="169"/>
      <c r="K12" s="169"/>
      <c r="L12" s="165"/>
    </row>
    <row r="13" spans="1:14" s="2" customFormat="1" ht="14.25" customHeight="1" x14ac:dyDescent="0.2">
      <c r="D13" s="11" t="s">
        <v>8</v>
      </c>
      <c r="E13" s="16">
        <f>SUM(E12:E12)</f>
        <v>0</v>
      </c>
      <c r="F13" s="16">
        <f>SUM(F11:F12)</f>
        <v>29685651.520000007</v>
      </c>
      <c r="G13" s="1"/>
      <c r="H13" s="1"/>
      <c r="I13" s="143"/>
      <c r="J13" s="130"/>
      <c r="K13" s="143"/>
      <c r="L13" s="143"/>
      <c r="M13" s="143"/>
      <c r="N13" s="143"/>
    </row>
    <row r="14" spans="1:14" s="2" customFormat="1" ht="14.25" customHeight="1" x14ac:dyDescent="0.4">
      <c r="A14" s="17"/>
      <c r="B14" s="18"/>
      <c r="C14" s="96" t="s">
        <v>9</v>
      </c>
      <c r="D14" s="20"/>
      <c r="E14" s="21">
        <f>+F13-E13</f>
        <v>29685651.520000007</v>
      </c>
      <c r="G14" s="1"/>
      <c r="H14" s="1"/>
      <c r="J14" s="112"/>
      <c r="K14" s="153" t="s">
        <v>779</v>
      </c>
    </row>
    <row r="15" spans="1:14" s="2" customFormat="1" ht="14.25" customHeight="1" x14ac:dyDescent="0.2">
      <c r="A15" s="17"/>
      <c r="B15" s="28" t="s">
        <v>66</v>
      </c>
      <c r="C15" s="43" t="s">
        <v>1458</v>
      </c>
      <c r="D15" s="43"/>
      <c r="E15" s="12">
        <f>30000000+60000000</f>
        <v>90000000</v>
      </c>
      <c r="F15" s="22"/>
      <c r="G15" s="1"/>
      <c r="H15" s="1"/>
      <c r="J15" s="40">
        <v>29685651.52</v>
      </c>
      <c r="K15" s="154">
        <f>J15-E14</f>
        <v>0</v>
      </c>
    </row>
    <row r="16" spans="1:14" s="2" customFormat="1" ht="14.25" customHeight="1" x14ac:dyDescent="0.25">
      <c r="A16" s="36"/>
      <c r="B16" s="28"/>
      <c r="C16" s="44" t="s">
        <v>1541</v>
      </c>
      <c r="D16" s="43"/>
      <c r="E16" s="7">
        <f>+E14+E15</f>
        <v>119685651.52000001</v>
      </c>
      <c r="F16" s="22"/>
      <c r="G16" s="1"/>
      <c r="H16" s="1"/>
      <c r="I16" s="13" t="s">
        <v>1582</v>
      </c>
      <c r="J16" s="13" t="s">
        <v>1583</v>
      </c>
    </row>
    <row r="17" spans="1:12" s="2" customFormat="1" ht="14.25" customHeight="1" x14ac:dyDescent="0.25">
      <c r="A17" s="36"/>
      <c r="B17" s="28"/>
      <c r="C17" s="44" t="s">
        <v>1511</v>
      </c>
      <c r="D17" s="43"/>
      <c r="E17" s="38">
        <f>+J11+I7-J7</f>
        <v>314348.48000000045</v>
      </c>
      <c r="F17" s="22"/>
      <c r="G17" s="1"/>
      <c r="H17" s="1"/>
      <c r="I17" s="2">
        <v>400000</v>
      </c>
      <c r="J17" s="2">
        <v>1338525</v>
      </c>
      <c r="K17" s="176">
        <f>I17-J17</f>
        <v>-938525</v>
      </c>
    </row>
    <row r="18" spans="1:12" s="2" customFormat="1" ht="14.25" customHeight="1" x14ac:dyDescent="0.2">
      <c r="A18" s="24"/>
      <c r="B18" s="1"/>
      <c r="C18" s="14"/>
      <c r="D18" s="25"/>
      <c r="G18" s="1"/>
      <c r="H18" s="1"/>
      <c r="J18" s="130"/>
      <c r="K18" s="130"/>
    </row>
    <row r="19" spans="1:12" s="2" customFormat="1" x14ac:dyDescent="0.2">
      <c r="A19" s="214" t="s">
        <v>10</v>
      </c>
      <c r="B19" s="214"/>
      <c r="C19" s="214"/>
      <c r="D19" s="214"/>
      <c r="E19" s="214"/>
      <c r="F19" s="214"/>
      <c r="G19" s="1"/>
      <c r="H19" s="1"/>
      <c r="I19" s="159"/>
      <c r="J19" s="160">
        <f>100000000</f>
        <v>100000000</v>
      </c>
      <c r="K19" s="160" t="s">
        <v>1506</v>
      </c>
      <c r="L19" s="70"/>
    </row>
    <row r="20" spans="1:12" s="2" customFormat="1" ht="15" x14ac:dyDescent="0.35">
      <c r="A20" s="26" t="s">
        <v>1</v>
      </c>
      <c r="B20" s="27" t="s">
        <v>2</v>
      </c>
      <c r="C20" s="5"/>
      <c r="D20" s="6" t="s">
        <v>3</v>
      </c>
      <c r="E20" s="7" t="s">
        <v>4</v>
      </c>
      <c r="F20" s="7" t="s">
        <v>5</v>
      </c>
      <c r="G20" s="1"/>
      <c r="H20" s="1"/>
      <c r="I20" s="159"/>
      <c r="J20" s="179">
        <v>76296951.010000005</v>
      </c>
      <c r="K20" s="160" t="s">
        <v>1507</v>
      </c>
      <c r="L20" s="70" t="s">
        <v>1512</v>
      </c>
    </row>
    <row r="21" spans="1:12" s="2" customFormat="1" x14ac:dyDescent="0.2">
      <c r="A21" s="89">
        <v>45336</v>
      </c>
      <c r="B21" s="128" t="s">
        <v>11</v>
      </c>
      <c r="C21" s="29" t="s">
        <v>7</v>
      </c>
      <c r="D21" s="25"/>
      <c r="E21" s="31"/>
      <c r="F21" s="2">
        <v>85692144.009999916</v>
      </c>
      <c r="G21" s="23"/>
      <c r="H21" s="23"/>
      <c r="I21" s="159" t="s">
        <v>1505</v>
      </c>
      <c r="J21" s="160">
        <f>+J19-J20</f>
        <v>23703048.989999995</v>
      </c>
      <c r="K21" s="160"/>
      <c r="L21" s="70"/>
    </row>
    <row r="22" spans="1:12" s="2" customFormat="1" x14ac:dyDescent="0.2">
      <c r="A22" s="89">
        <v>45336</v>
      </c>
      <c r="B22" s="128" t="s">
        <v>6</v>
      </c>
      <c r="C22" s="76" t="s">
        <v>200</v>
      </c>
      <c r="D22" s="11" t="s">
        <v>13</v>
      </c>
      <c r="E22" s="31">
        <v>103904</v>
      </c>
      <c r="G22" s="23"/>
      <c r="H22" s="23"/>
      <c r="I22" s="159"/>
      <c r="J22" s="160"/>
      <c r="K22" s="160"/>
      <c r="L22" s="70"/>
    </row>
    <row r="23" spans="1:12" s="2" customFormat="1" x14ac:dyDescent="0.2">
      <c r="A23" s="89">
        <v>45336</v>
      </c>
      <c r="B23" s="128" t="s">
        <v>6</v>
      </c>
      <c r="C23" s="76" t="s">
        <v>2070</v>
      </c>
      <c r="D23" s="11" t="s">
        <v>13</v>
      </c>
      <c r="E23" s="31">
        <v>199000</v>
      </c>
      <c r="G23" s="23"/>
      <c r="H23" s="23"/>
      <c r="I23" s="159"/>
      <c r="J23" s="160"/>
      <c r="K23" s="160"/>
      <c r="L23" s="70"/>
    </row>
    <row r="24" spans="1:12" s="2" customFormat="1" x14ac:dyDescent="0.2">
      <c r="A24" s="89">
        <v>45336</v>
      </c>
      <c r="B24" s="128" t="s">
        <v>6</v>
      </c>
      <c r="C24" s="76" t="s">
        <v>311</v>
      </c>
      <c r="D24" s="11" t="s">
        <v>13</v>
      </c>
      <c r="E24" s="31">
        <v>12600</v>
      </c>
      <c r="G24" s="23"/>
      <c r="H24" s="23"/>
      <c r="I24" s="159"/>
      <c r="J24" s="160"/>
      <c r="K24" s="160"/>
      <c r="L24" s="70"/>
    </row>
    <row r="25" spans="1:12" s="2" customFormat="1" x14ac:dyDescent="0.2">
      <c r="A25" s="89">
        <v>45336</v>
      </c>
      <c r="B25" s="128" t="s">
        <v>6</v>
      </c>
      <c r="C25" s="76" t="s">
        <v>761</v>
      </c>
      <c r="D25" s="11" t="s">
        <v>13</v>
      </c>
      <c r="E25" s="31">
        <v>573993</v>
      </c>
      <c r="G25" s="23"/>
      <c r="H25" s="23"/>
      <c r="I25" s="159"/>
      <c r="J25" s="160"/>
      <c r="K25" s="160"/>
      <c r="L25" s="70"/>
    </row>
    <row r="26" spans="1:12" s="2" customFormat="1" x14ac:dyDescent="0.2">
      <c r="A26" s="89">
        <v>45336</v>
      </c>
      <c r="B26" s="128" t="s">
        <v>6</v>
      </c>
      <c r="C26" s="76" t="s">
        <v>1270</v>
      </c>
      <c r="D26" s="11" t="s">
        <v>13</v>
      </c>
      <c r="E26" s="31">
        <v>10000</v>
      </c>
      <c r="G26" s="23"/>
      <c r="H26" s="23"/>
      <c r="I26" s="159"/>
      <c r="J26" s="160"/>
      <c r="K26" s="160"/>
      <c r="L26" s="70"/>
    </row>
    <row r="27" spans="1:12" s="2" customFormat="1" x14ac:dyDescent="0.2">
      <c r="A27" s="89">
        <v>45336</v>
      </c>
      <c r="B27" s="128" t="s">
        <v>6</v>
      </c>
      <c r="C27" s="76" t="s">
        <v>785</v>
      </c>
      <c r="D27" s="11" t="s">
        <v>13</v>
      </c>
      <c r="E27" s="31">
        <v>763721</v>
      </c>
      <c r="G27" s="23"/>
      <c r="H27" s="23"/>
      <c r="I27" s="159"/>
      <c r="J27" s="160"/>
      <c r="K27" s="160"/>
      <c r="L27" s="70"/>
    </row>
    <row r="28" spans="1:12" s="2" customFormat="1" x14ac:dyDescent="0.2">
      <c r="A28" s="89">
        <v>45336</v>
      </c>
      <c r="B28" s="128" t="s">
        <v>6</v>
      </c>
      <c r="C28" s="76" t="s">
        <v>1808</v>
      </c>
      <c r="D28" s="11" t="s">
        <v>13</v>
      </c>
      <c r="E28" s="31">
        <v>5901350</v>
      </c>
      <c r="G28" s="23"/>
      <c r="H28" s="23"/>
      <c r="I28" s="159"/>
      <c r="J28" s="160"/>
      <c r="K28" s="160"/>
      <c r="L28" s="70"/>
    </row>
    <row r="29" spans="1:12" s="2" customFormat="1" x14ac:dyDescent="0.2">
      <c r="A29" s="89">
        <v>45336</v>
      </c>
      <c r="B29" s="128" t="s">
        <v>6</v>
      </c>
      <c r="C29" s="76" t="s">
        <v>1568</v>
      </c>
      <c r="D29" s="11" t="s">
        <v>13</v>
      </c>
      <c r="E29" s="31">
        <v>25200</v>
      </c>
      <c r="G29" s="23"/>
      <c r="H29" s="23"/>
      <c r="I29" s="159"/>
      <c r="J29" s="160"/>
      <c r="K29" s="160"/>
      <c r="L29" s="70"/>
    </row>
    <row r="30" spans="1:12" s="2" customFormat="1" x14ac:dyDescent="0.2">
      <c r="A30" s="89">
        <v>45336</v>
      </c>
      <c r="B30" s="128" t="s">
        <v>6</v>
      </c>
      <c r="C30" s="76" t="s">
        <v>1996</v>
      </c>
      <c r="D30" s="11" t="s">
        <v>13</v>
      </c>
      <c r="E30" s="31">
        <v>326020</v>
      </c>
      <c r="G30" s="23"/>
      <c r="H30" s="23"/>
      <c r="I30" s="159"/>
      <c r="J30" s="160"/>
      <c r="K30" s="160"/>
      <c r="L30" s="70"/>
    </row>
    <row r="31" spans="1:12" s="2" customFormat="1" x14ac:dyDescent="0.2">
      <c r="A31" s="89">
        <v>45336</v>
      </c>
      <c r="B31" s="128" t="s">
        <v>6</v>
      </c>
      <c r="C31" s="76" t="s">
        <v>149</v>
      </c>
      <c r="D31" s="11" t="s">
        <v>13</v>
      </c>
      <c r="E31" s="31">
        <v>9148</v>
      </c>
      <c r="G31" s="23"/>
      <c r="H31" s="23"/>
      <c r="I31" s="159"/>
      <c r="J31" s="160"/>
      <c r="K31" s="160"/>
      <c r="L31" s="70"/>
    </row>
    <row r="32" spans="1:12" s="2" customFormat="1" x14ac:dyDescent="0.2">
      <c r="A32" s="89">
        <v>45336</v>
      </c>
      <c r="B32" s="128" t="s">
        <v>6</v>
      </c>
      <c r="C32" s="76" t="s">
        <v>19</v>
      </c>
      <c r="D32" s="11" t="s">
        <v>13</v>
      </c>
      <c r="E32" s="31">
        <v>22202</v>
      </c>
      <c r="G32" s="23"/>
      <c r="H32" s="23"/>
      <c r="I32" s="159"/>
      <c r="J32" s="160"/>
      <c r="K32" s="160"/>
      <c r="L32" s="70"/>
    </row>
    <row r="33" spans="1:15" s="2" customFormat="1" x14ac:dyDescent="0.2">
      <c r="A33" s="89">
        <v>45336</v>
      </c>
      <c r="B33" s="128" t="s">
        <v>11</v>
      </c>
      <c r="C33" s="76" t="s">
        <v>15</v>
      </c>
      <c r="D33" s="11" t="s">
        <v>29</v>
      </c>
      <c r="E33" s="31"/>
      <c r="F33" s="2">
        <v>27380.560000000001</v>
      </c>
      <c r="G33" s="23"/>
      <c r="H33" s="23"/>
      <c r="I33" s="159"/>
      <c r="J33" s="160"/>
      <c r="K33" s="160"/>
      <c r="L33" s="70"/>
    </row>
    <row r="34" spans="1:15" s="2" customFormat="1" x14ac:dyDescent="0.2">
      <c r="A34" s="89">
        <v>45336</v>
      </c>
      <c r="B34" s="128" t="s">
        <v>11</v>
      </c>
      <c r="C34" s="76" t="s">
        <v>64</v>
      </c>
      <c r="D34" s="11" t="s">
        <v>29</v>
      </c>
      <c r="E34" s="31"/>
      <c r="F34" s="2">
        <v>3549.44</v>
      </c>
      <c r="G34" s="23"/>
      <c r="H34" s="23"/>
      <c r="I34" s="159"/>
      <c r="J34" s="160"/>
      <c r="K34" s="160"/>
      <c r="L34" s="70"/>
    </row>
    <row r="35" spans="1:15" s="2" customFormat="1" x14ac:dyDescent="0.2">
      <c r="A35" s="89">
        <v>45336</v>
      </c>
      <c r="B35" s="128" t="s">
        <v>11</v>
      </c>
      <c r="C35" s="76" t="s">
        <v>1472</v>
      </c>
      <c r="D35" s="11" t="s">
        <v>29</v>
      </c>
      <c r="E35" s="31"/>
      <c r="F35" s="2">
        <v>417245</v>
      </c>
      <c r="G35" s="23"/>
      <c r="H35" s="23"/>
      <c r="I35" s="159"/>
      <c r="J35" s="160"/>
      <c r="K35" s="160"/>
      <c r="L35" s="148" t="s">
        <v>329</v>
      </c>
    </row>
    <row r="36" spans="1:15" s="2" customFormat="1" x14ac:dyDescent="0.2">
      <c r="A36" s="32"/>
      <c r="B36" s="33"/>
      <c r="C36" s="14"/>
      <c r="D36" s="34"/>
      <c r="E36" s="16">
        <f>SUM(E21:E35)</f>
        <v>7947138</v>
      </c>
      <c r="F36" s="16">
        <f>SUM(F21:F35)</f>
        <v>86140319.009999916</v>
      </c>
      <c r="G36" s="1"/>
      <c r="H36" s="1"/>
      <c r="I36" s="1"/>
      <c r="J36" s="38">
        <v>77235476.010000005</v>
      </c>
      <c r="L36" s="92">
        <f>E37-J36</f>
        <v>957704.99999991059</v>
      </c>
      <c r="O36" s="1"/>
    </row>
    <row r="37" spans="1:15" s="2" customFormat="1" x14ac:dyDescent="0.2">
      <c r="A37" s="36"/>
      <c r="B37" s="28" t="s">
        <v>11</v>
      </c>
      <c r="C37" s="19" t="s">
        <v>65</v>
      </c>
      <c r="D37" s="37"/>
      <c r="E37" s="38">
        <f>F36-E36</f>
        <v>78193181.009999916</v>
      </c>
      <c r="F37" s="22"/>
      <c r="G37" s="1"/>
      <c r="H37" s="1"/>
      <c r="I37" s="1"/>
      <c r="J37" s="70"/>
      <c r="K37" s="70"/>
      <c r="L37" s="70"/>
      <c r="O37" s="1"/>
    </row>
    <row r="38" spans="1:15" s="2" customFormat="1" x14ac:dyDescent="0.2">
      <c r="A38" s="36"/>
      <c r="B38" s="28" t="s">
        <v>66</v>
      </c>
      <c r="C38" s="19" t="s">
        <v>67</v>
      </c>
      <c r="D38" s="37"/>
      <c r="E38" s="38">
        <v>11500000</v>
      </c>
      <c r="F38" s="22"/>
      <c r="G38" s="1"/>
      <c r="H38" s="1"/>
      <c r="I38" s="70"/>
      <c r="J38" s="70"/>
      <c r="K38" s="70"/>
      <c r="L38" s="70"/>
      <c r="O38" s="1"/>
    </row>
    <row r="39" spans="1:15" s="2" customFormat="1" x14ac:dyDescent="0.2">
      <c r="A39" s="36"/>
      <c r="B39" s="28" t="s">
        <v>66</v>
      </c>
      <c r="C39" s="43" t="s">
        <v>1457</v>
      </c>
      <c r="D39" s="43"/>
      <c r="E39" s="12">
        <f>400000000</f>
        <v>400000000</v>
      </c>
      <c r="F39" s="22"/>
      <c r="G39" s="1"/>
      <c r="H39" s="1"/>
      <c r="I39" s="70"/>
      <c r="J39" s="45">
        <v>1381.63</v>
      </c>
      <c r="K39" s="46"/>
      <c r="L39" s="46"/>
      <c r="O39" s="1"/>
    </row>
    <row r="40" spans="1:15" s="2" customFormat="1" ht="15" x14ac:dyDescent="0.25">
      <c r="A40" s="36"/>
      <c r="B40" s="28"/>
      <c r="C40" s="44" t="s">
        <v>1541</v>
      </c>
      <c r="D40" s="43"/>
      <c r="E40" s="7">
        <f>+E39+E37+E38</f>
        <v>489693181.00999993</v>
      </c>
      <c r="F40" s="22"/>
      <c r="G40" s="1"/>
      <c r="H40" s="1"/>
      <c r="I40" s="103" t="s">
        <v>69</v>
      </c>
      <c r="J40" s="45">
        <v>-70.58</v>
      </c>
      <c r="K40" s="46"/>
      <c r="L40" s="46"/>
      <c r="O40" s="1"/>
    </row>
    <row r="41" spans="1:15" s="2" customFormat="1" ht="15" x14ac:dyDescent="0.25">
      <c r="A41" s="24"/>
      <c r="B41" s="1"/>
      <c r="C41" s="44" t="s">
        <v>1510</v>
      </c>
      <c r="D41" s="25"/>
      <c r="E41" s="156">
        <f>+J21-E38+I17-J17</f>
        <v>11264523.989999995</v>
      </c>
      <c r="G41" s="1"/>
      <c r="H41" s="1"/>
      <c r="I41" s="35">
        <v>1</v>
      </c>
      <c r="J41" s="45">
        <v>60.07</v>
      </c>
      <c r="K41" s="46">
        <f>+J42-D44</f>
        <v>0</v>
      </c>
      <c r="O41" s="1"/>
    </row>
    <row r="42" spans="1:15" s="124" customFormat="1" ht="12.75" customHeight="1" x14ac:dyDescent="0.2">
      <c r="A42" s="24"/>
      <c r="B42" s="1"/>
      <c r="C42" s="56"/>
      <c r="D42" s="56"/>
      <c r="E42" s="104"/>
      <c r="F42" s="2"/>
      <c r="G42" s="166"/>
      <c r="H42" s="166"/>
      <c r="I42" s="70"/>
      <c r="J42" s="49">
        <f>SUM(J39:J41)</f>
        <v>1371.1200000000001</v>
      </c>
      <c r="K42" s="46"/>
      <c r="L42" s="46"/>
    </row>
    <row r="43" spans="1:15" s="124" customFormat="1" ht="12.75" customHeight="1" x14ac:dyDescent="0.2">
      <c r="A43" s="24"/>
      <c r="B43" s="1"/>
      <c r="C43" s="78" t="s">
        <v>575</v>
      </c>
      <c r="D43" s="48" t="s">
        <v>576</v>
      </c>
      <c r="E43" s="104"/>
      <c r="F43" s="2"/>
      <c r="G43" s="168"/>
      <c r="H43" s="168"/>
      <c r="I43" s="167"/>
      <c r="J43" s="167"/>
      <c r="K43" s="168"/>
    </row>
    <row r="44" spans="1:15" s="124" customFormat="1" ht="12.75" customHeight="1" x14ac:dyDescent="0.2">
      <c r="A44" s="24"/>
      <c r="B44" s="1"/>
      <c r="C44" s="47" t="s">
        <v>570</v>
      </c>
      <c r="D44" s="111">
        <v>1371.12</v>
      </c>
      <c r="E44" s="104"/>
      <c r="F44" s="2"/>
      <c r="G44" s="168"/>
      <c r="H44" s="168"/>
      <c r="I44" s="110" t="s">
        <v>581</v>
      </c>
      <c r="J44" s="167"/>
      <c r="K44" s="168"/>
    </row>
    <row r="45" spans="1:15" s="124" customFormat="1" ht="12.75" customHeight="1" x14ac:dyDescent="0.2">
      <c r="A45" s="24"/>
      <c r="B45" s="1"/>
      <c r="C45" s="47" t="s">
        <v>931</v>
      </c>
      <c r="D45" s="111">
        <v>105.65</v>
      </c>
      <c r="E45" s="104"/>
      <c r="F45" s="2"/>
      <c r="G45" s="168"/>
      <c r="H45" s="168"/>
      <c r="I45" s="110" t="s">
        <v>580</v>
      </c>
      <c r="J45" s="167"/>
      <c r="K45" s="168"/>
    </row>
    <row r="46" spans="1:15" s="124" customFormat="1" ht="12.75" customHeight="1" x14ac:dyDescent="0.2">
      <c r="A46" s="24"/>
      <c r="B46" s="1"/>
      <c r="C46" s="47" t="s">
        <v>572</v>
      </c>
      <c r="D46" s="111">
        <f>+D67/100000</f>
        <v>44.509390000000003</v>
      </c>
      <c r="E46" s="104"/>
      <c r="F46" s="2"/>
      <c r="G46" s="166"/>
      <c r="H46" s="166"/>
      <c r="I46" s="90" t="s">
        <v>587</v>
      </c>
      <c r="J46" s="167"/>
      <c r="K46" s="168"/>
    </row>
    <row r="47" spans="1:15" s="2" customFormat="1" x14ac:dyDescent="0.2">
      <c r="A47" s="24"/>
      <c r="B47" s="1"/>
      <c r="C47" s="108" t="s">
        <v>578</v>
      </c>
      <c r="D47" s="48">
        <f>SUM(D44:D46)</f>
        <v>1521.2793899999999</v>
      </c>
      <c r="E47" s="104"/>
      <c r="G47" s="30"/>
      <c r="H47" s="30"/>
      <c r="J47" s="13"/>
      <c r="K47" s="13"/>
    </row>
    <row r="48" spans="1:15" s="70" customFormat="1" x14ac:dyDescent="0.2">
      <c r="A48" s="24"/>
      <c r="B48" s="1"/>
      <c r="C48" s="47"/>
      <c r="D48" s="107"/>
      <c r="E48" s="104"/>
      <c r="F48" s="2"/>
      <c r="G48" s="30"/>
      <c r="H48" s="30"/>
      <c r="I48" s="2"/>
    </row>
    <row r="49" spans="1:15" s="70" customFormat="1" x14ac:dyDescent="0.2">
      <c r="A49" s="24"/>
      <c r="B49" s="1"/>
      <c r="C49" s="47" t="s">
        <v>932</v>
      </c>
      <c r="D49" s="111">
        <v>82.8</v>
      </c>
      <c r="E49" s="104"/>
      <c r="F49" s="2"/>
      <c r="G49" s="30"/>
      <c r="H49" s="30"/>
      <c r="I49" s="110" t="s">
        <v>581</v>
      </c>
    </row>
    <row r="50" spans="1:15" s="70" customFormat="1" x14ac:dyDescent="0.2">
      <c r="A50" s="24"/>
      <c r="B50" s="1"/>
      <c r="C50" s="136" t="s">
        <v>1142</v>
      </c>
      <c r="D50" s="111">
        <v>331.37</v>
      </c>
      <c r="E50" s="104"/>
      <c r="F50" s="2"/>
      <c r="G50" s="30"/>
      <c r="H50" s="30"/>
      <c r="I50" s="110" t="s">
        <v>581</v>
      </c>
    </row>
    <row r="51" spans="1:15" s="70" customFormat="1" x14ac:dyDescent="0.2">
      <c r="A51" s="24"/>
      <c r="B51" s="1"/>
      <c r="C51" s="78" t="s">
        <v>579</v>
      </c>
      <c r="D51" s="109">
        <f>D49+D50</f>
        <v>414.17</v>
      </c>
      <c r="E51" s="104"/>
      <c r="F51" s="2"/>
      <c r="G51" s="30"/>
      <c r="H51" s="30"/>
    </row>
    <row r="52" spans="1:15" s="70" customFormat="1" x14ac:dyDescent="0.2">
      <c r="A52" s="24"/>
      <c r="B52" s="1"/>
      <c r="C52" s="105"/>
      <c r="D52" s="106"/>
      <c r="E52" s="104"/>
      <c r="F52" s="2"/>
      <c r="G52" s="30"/>
      <c r="H52" s="30"/>
      <c r="J52" s="2"/>
      <c r="K52" s="221" t="str">
        <f>"FROM ( 01-02-2024 to "&amp;TEXT(A5,"dd-mm-yyyy")&amp;" )"</f>
        <v>FROM ( 01-02-2024 to 14-02-2024 )</v>
      </c>
      <c r="L52" s="221"/>
      <c r="M52" s="2"/>
      <c r="N52" s="2"/>
    </row>
    <row r="53" spans="1:15" s="70" customFormat="1" x14ac:dyDescent="0.2">
      <c r="A53" s="24"/>
      <c r="B53" s="1"/>
      <c r="C53" s="78" t="s">
        <v>577</v>
      </c>
      <c r="D53" s="109">
        <f>D44+D51</f>
        <v>1785.29</v>
      </c>
      <c r="E53" s="104"/>
      <c r="F53" s="2"/>
      <c r="G53" s="30"/>
      <c r="H53" s="30"/>
      <c r="J53" s="113"/>
      <c r="K53" s="113" t="s">
        <v>709</v>
      </c>
      <c r="L53" s="113" t="s">
        <v>710</v>
      </c>
      <c r="M53" s="113" t="s">
        <v>711</v>
      </c>
      <c r="N53" s="113" t="s">
        <v>712</v>
      </c>
    </row>
    <row r="54" spans="1:15" s="70" customFormat="1" x14ac:dyDescent="0.2">
      <c r="A54" s="24"/>
      <c r="B54" s="1"/>
      <c r="C54" s="56"/>
      <c r="D54" s="56"/>
      <c r="E54" s="104"/>
      <c r="F54" s="2"/>
      <c r="G54" s="30"/>
      <c r="H54" s="30"/>
      <c r="J54" s="113" t="s">
        <v>1860</v>
      </c>
      <c r="K54" s="115">
        <v>191.98999999999998</v>
      </c>
      <c r="L54" s="115">
        <v>0</v>
      </c>
      <c r="M54" s="115">
        <v>0</v>
      </c>
      <c r="N54" s="113">
        <f>+K54+M54-L54</f>
        <v>191.98999999999998</v>
      </c>
    </row>
    <row r="55" spans="1:15" s="70" customFormat="1" ht="38.25" x14ac:dyDescent="0.2">
      <c r="A55" s="24"/>
      <c r="B55" s="1"/>
      <c r="C55" s="79" t="str">
        <f>"Particulars ( 01-02-2024 to "&amp;TEXT(A5,"dd-mm-yyyy")&amp;" )"</f>
        <v>Particulars ( 01-02-2024 to 14-02-2024 )</v>
      </c>
      <c r="D55" s="79" t="s">
        <v>7</v>
      </c>
      <c r="E55" s="80" t="s">
        <v>73</v>
      </c>
      <c r="F55" s="80" t="s">
        <v>74</v>
      </c>
      <c r="G55" s="81" t="s">
        <v>75</v>
      </c>
      <c r="H55" s="80" t="s">
        <v>76</v>
      </c>
      <c r="J55" s="113" t="s">
        <v>1861</v>
      </c>
      <c r="K55" s="115">
        <v>1862.06</v>
      </c>
      <c r="L55" s="115">
        <v>44.6</v>
      </c>
      <c r="M55" s="115">
        <v>331.37</v>
      </c>
      <c r="N55" s="113">
        <f>+K55+M55-L55</f>
        <v>2148.83</v>
      </c>
    </row>
    <row r="56" spans="1:15" s="70" customFormat="1" x14ac:dyDescent="0.2">
      <c r="A56" s="24"/>
      <c r="B56" s="1"/>
      <c r="C56" s="50" t="s">
        <v>444</v>
      </c>
      <c r="D56" s="55">
        <f>+K56</f>
        <v>332.44</v>
      </c>
      <c r="E56" s="55">
        <f>+IF(M56=0,0,M56)</f>
        <v>82.8</v>
      </c>
      <c r="F56" s="55">
        <f>+L56</f>
        <v>105.65</v>
      </c>
      <c r="G56" s="55">
        <f>+D56+E56-F56</f>
        <v>309.59000000000003</v>
      </c>
      <c r="H56" s="55">
        <f>1500-G56</f>
        <v>1190.4099999999999</v>
      </c>
      <c r="I56" s="70">
        <f>+IF(M56=0,0,M56)</f>
        <v>82.8</v>
      </c>
      <c r="J56" s="113" t="s">
        <v>707</v>
      </c>
      <c r="K56" s="115">
        <v>332.44</v>
      </c>
      <c r="L56" s="115">
        <v>105.65</v>
      </c>
      <c r="M56" s="115">
        <v>82.8</v>
      </c>
      <c r="N56" s="113">
        <f>+K56+M56-L56</f>
        <v>309.59000000000003</v>
      </c>
    </row>
    <row r="57" spans="1:15" s="70" customFormat="1" ht="12.75" customHeight="1" x14ac:dyDescent="0.2">
      <c r="A57" s="24"/>
      <c r="B57" s="1"/>
      <c r="C57" s="50" t="s">
        <v>71</v>
      </c>
      <c r="D57" s="55">
        <f>+K54+K55</f>
        <v>2054.0499999999997</v>
      </c>
      <c r="E57" s="55">
        <f>+M54+M55</f>
        <v>331.37</v>
      </c>
      <c r="F57" s="55">
        <f>+L54+L55</f>
        <v>44.6</v>
      </c>
      <c r="G57" s="55">
        <f>+D57+E57-F57</f>
        <v>2340.8199999999997</v>
      </c>
      <c r="H57" s="55">
        <f>1500+700+200-G57</f>
        <v>59.180000000000291</v>
      </c>
      <c r="J57" s="2"/>
      <c r="K57" s="118">
        <f>SUM(K54:K56)</f>
        <v>2386.4899999999998</v>
      </c>
      <c r="L57" s="118">
        <f>SUM(L54:L56)</f>
        <v>150.25</v>
      </c>
      <c r="M57" s="118">
        <f>SUM(M54:M56)</f>
        <v>414.17</v>
      </c>
      <c r="N57" s="118">
        <f>SUM(N54:N56)</f>
        <v>2650.41</v>
      </c>
    </row>
    <row r="58" spans="1:15" s="70" customFormat="1" ht="12.75" customHeight="1" x14ac:dyDescent="0.2">
      <c r="A58" s="24"/>
      <c r="B58" s="1"/>
      <c r="C58" s="14"/>
      <c r="D58" s="56"/>
      <c r="E58" s="13"/>
      <c r="F58" s="2"/>
      <c r="G58" s="30"/>
      <c r="H58" s="30"/>
    </row>
    <row r="59" spans="1:15" s="70" customFormat="1" ht="12.75" customHeight="1" x14ac:dyDescent="0.2">
      <c r="A59" s="215" t="s">
        <v>80</v>
      </c>
      <c r="B59" s="216"/>
      <c r="C59" s="216"/>
      <c r="D59" s="217"/>
      <c r="E59" s="69"/>
      <c r="G59" s="30"/>
      <c r="H59" s="30"/>
    </row>
    <row r="60" spans="1:15" s="70" customFormat="1" ht="12.75" customHeight="1" x14ac:dyDescent="0.2">
      <c r="A60" s="71" t="s">
        <v>81</v>
      </c>
      <c r="B60" s="71"/>
      <c r="C60" s="72" t="s">
        <v>82</v>
      </c>
      <c r="D60" s="73" t="s">
        <v>83</v>
      </c>
      <c r="E60" s="69"/>
      <c r="G60" s="30"/>
      <c r="H60" s="30"/>
    </row>
    <row r="61" spans="1:15" s="70" customFormat="1" ht="12.75" customHeight="1" x14ac:dyDescent="0.2">
      <c r="A61" s="87">
        <v>45323</v>
      </c>
      <c r="B61" s="120" t="s">
        <v>6</v>
      </c>
      <c r="C61" s="75" t="s">
        <v>2030</v>
      </c>
      <c r="D61" s="88">
        <v>881220</v>
      </c>
      <c r="E61" s="2"/>
      <c r="F61" s="2"/>
      <c r="G61" s="30"/>
      <c r="H61" s="30"/>
      <c r="I61" s="2"/>
      <c r="J61" s="2"/>
      <c r="K61" s="2"/>
      <c r="L61" s="2"/>
      <c r="M61" s="41"/>
      <c r="N61" s="42"/>
      <c r="O61" s="2"/>
    </row>
    <row r="62" spans="1:15" s="70" customFormat="1" ht="12.75" customHeight="1" x14ac:dyDescent="0.2">
      <c r="A62" s="87">
        <v>45324</v>
      </c>
      <c r="B62" s="120" t="s">
        <v>6</v>
      </c>
      <c r="C62" s="75" t="s">
        <v>1934</v>
      </c>
      <c r="D62" s="88">
        <v>47729</v>
      </c>
      <c r="E62" s="2"/>
      <c r="F62" s="2"/>
      <c r="G62" s="30"/>
      <c r="H62" s="30"/>
      <c r="I62" s="2"/>
      <c r="J62" s="2"/>
      <c r="K62" s="2"/>
      <c r="L62" s="2"/>
      <c r="M62" s="41"/>
      <c r="N62" s="42"/>
      <c r="O62" s="2"/>
    </row>
    <row r="63" spans="1:15" s="70" customFormat="1" ht="12.75" customHeight="1" x14ac:dyDescent="0.2">
      <c r="A63" s="87">
        <v>45328</v>
      </c>
      <c r="B63" s="120" t="s">
        <v>6</v>
      </c>
      <c r="C63" s="75" t="s">
        <v>606</v>
      </c>
      <c r="D63" s="88">
        <v>1312580</v>
      </c>
      <c r="E63" s="2"/>
      <c r="F63" s="2"/>
      <c r="G63" s="30"/>
      <c r="H63" s="30"/>
      <c r="I63" s="2"/>
      <c r="J63" s="2"/>
      <c r="K63" s="2"/>
      <c r="L63" s="2"/>
      <c r="M63" s="41"/>
      <c r="N63" s="42"/>
      <c r="O63" s="2"/>
    </row>
    <row r="64" spans="1:15" s="70" customFormat="1" ht="12.75" customHeight="1" x14ac:dyDescent="0.2">
      <c r="A64" s="87">
        <v>45327</v>
      </c>
      <c r="B64" s="120" t="s">
        <v>6</v>
      </c>
      <c r="C64" s="75" t="s">
        <v>606</v>
      </c>
      <c r="D64" s="88">
        <v>56647</v>
      </c>
      <c r="E64" s="2"/>
      <c r="F64" s="2"/>
      <c r="G64" s="30"/>
      <c r="H64" s="30"/>
      <c r="I64" s="2"/>
      <c r="J64" s="2"/>
      <c r="K64" s="2"/>
      <c r="L64" s="2"/>
      <c r="M64" s="41"/>
      <c r="N64" s="42"/>
      <c r="O64" s="2"/>
    </row>
    <row r="65" spans="1:15" s="70" customFormat="1" ht="12.75" customHeight="1" x14ac:dyDescent="0.2">
      <c r="A65" s="87">
        <v>45329</v>
      </c>
      <c r="B65" s="120" t="s">
        <v>6</v>
      </c>
      <c r="C65" s="75" t="s">
        <v>2030</v>
      </c>
      <c r="D65" s="88">
        <v>548859</v>
      </c>
      <c r="E65" s="2"/>
      <c r="F65" s="2"/>
      <c r="G65" s="30"/>
      <c r="H65" s="30"/>
      <c r="I65" s="2"/>
      <c r="J65" s="2"/>
      <c r="K65" s="2"/>
      <c r="L65" s="2"/>
      <c r="M65" s="41"/>
      <c r="N65" s="42"/>
      <c r="O65" s="2"/>
    </row>
    <row r="66" spans="1:15" s="70" customFormat="1" ht="12.75" customHeight="1" x14ac:dyDescent="0.2">
      <c r="A66" s="87">
        <v>45332</v>
      </c>
      <c r="B66" s="120" t="s">
        <v>6</v>
      </c>
      <c r="C66" s="75" t="s">
        <v>1084</v>
      </c>
      <c r="D66" s="88">
        <v>1603904</v>
      </c>
      <c r="E66" s="2"/>
      <c r="F66" s="2"/>
      <c r="G66" s="30"/>
      <c r="H66" s="30"/>
      <c r="I66" s="2"/>
      <c r="J66" s="2"/>
      <c r="K66" s="2"/>
      <c r="L66" s="2"/>
      <c r="M66" s="41"/>
      <c r="N66" s="42"/>
      <c r="O66" s="2"/>
    </row>
    <row r="67" spans="1:15" s="2" customFormat="1" x14ac:dyDescent="0.2">
      <c r="A67" s="87"/>
      <c r="B67" s="74"/>
      <c r="C67" s="75"/>
      <c r="D67" s="51">
        <f>SUM(D61:D66)</f>
        <v>4450939</v>
      </c>
      <c r="F67" s="2" t="s">
        <v>396</v>
      </c>
      <c r="G67" s="1"/>
      <c r="H67" s="1"/>
    </row>
    <row r="68" spans="1:15" s="2" customFormat="1" x14ac:dyDescent="0.2">
      <c r="A68" s="24"/>
      <c r="B68" s="1"/>
      <c r="C68" s="14"/>
      <c r="D68" s="56"/>
      <c r="E68" s="13"/>
      <c r="G68" s="1"/>
      <c r="H68" s="1"/>
    </row>
    <row r="69" spans="1:15" s="2" customFormat="1" x14ac:dyDescent="0.2">
      <c r="A69" s="24"/>
      <c r="B69" s="1"/>
      <c r="C69" s="218" t="s">
        <v>77</v>
      </c>
      <c r="D69" s="219"/>
      <c r="E69" s="219"/>
      <c r="F69" s="220"/>
      <c r="I69" s="2" t="s">
        <v>396</v>
      </c>
    </row>
    <row r="70" spans="1:15" s="2" customFormat="1" x14ac:dyDescent="0.2">
      <c r="A70" s="24"/>
      <c r="B70" s="1"/>
      <c r="C70" s="50"/>
      <c r="D70" s="57" t="s">
        <v>78</v>
      </c>
      <c r="E70" s="58" t="s">
        <v>79</v>
      </c>
      <c r="F70" s="57" t="s">
        <v>72</v>
      </c>
      <c r="I70" s="2" t="s">
        <v>396</v>
      </c>
    </row>
    <row r="71" spans="1:15" s="2" customFormat="1" x14ac:dyDescent="0.2">
      <c r="A71" s="24"/>
      <c r="B71" s="1"/>
      <c r="C71" s="59" t="str">
        <f>"01-02-2024 to "&amp;TEXT(A5-2,"dd-mm-yyyy")</f>
        <v>01-02-2024 to 12-02-2024</v>
      </c>
      <c r="D71" s="60">
        <v>1479.69</v>
      </c>
      <c r="E71" s="60">
        <v>259.05</v>
      </c>
      <c r="F71" s="61">
        <f>SUM(D71:E71)</f>
        <v>1738.74</v>
      </c>
    </row>
    <row r="72" spans="1:15" s="2" customFormat="1" x14ac:dyDescent="0.2">
      <c r="A72" s="24"/>
      <c r="B72" s="1"/>
      <c r="C72" s="62" t="str">
        <f>TEXT(A5-1,"dd-mm-yyyy")</f>
        <v>13-02-2024</v>
      </c>
      <c r="D72" s="60">
        <v>192.53</v>
      </c>
      <c r="E72" s="60">
        <v>19.41</v>
      </c>
      <c r="F72" s="61">
        <f>SUM(D72:E72)</f>
        <v>211.94</v>
      </c>
      <c r="G72" s="1"/>
      <c r="H72" s="1"/>
      <c r="I72" s="53"/>
    </row>
    <row r="73" spans="1:15" s="2" customFormat="1" ht="13.5" thickBot="1" x14ac:dyDescent="0.25">
      <c r="A73" s="24"/>
      <c r="B73" s="1"/>
      <c r="C73" s="63" t="str">
        <f>"01-02-2024 to "&amp;TEXT(A5-1,"dd-mm-yyyy")</f>
        <v>01-02-2024 to 13-02-2024</v>
      </c>
      <c r="D73" s="64">
        <f>SUM(D71:D72)</f>
        <v>1672.22</v>
      </c>
      <c r="E73" s="64">
        <f>SUM(E71:E72)</f>
        <v>278.46000000000004</v>
      </c>
      <c r="F73" s="64">
        <f>SUM(F71:F72)</f>
        <v>1950.68</v>
      </c>
      <c r="G73" s="1"/>
      <c r="H73" s="1"/>
      <c r="I73" s="53"/>
    </row>
    <row r="74" spans="1:15" s="2" customFormat="1" ht="13.5" thickTop="1" x14ac:dyDescent="0.2">
      <c r="A74" s="24"/>
      <c r="B74" s="1"/>
      <c r="C74" s="62"/>
      <c r="D74" s="65"/>
      <c r="E74" s="66"/>
      <c r="F74" s="67"/>
      <c r="M74" s="1"/>
      <c r="N74" s="1"/>
    </row>
    <row r="75" spans="1:15" s="2" customFormat="1" x14ac:dyDescent="0.2">
      <c r="A75" s="24"/>
      <c r="B75" s="1"/>
      <c r="C75" s="62" t="str">
        <f>"01-04-2023 to " &amp;C72</f>
        <v>01-04-2023 to 13-02-2024</v>
      </c>
      <c r="D75" s="68">
        <f>+D73+37155.69</f>
        <v>38827.910000000003</v>
      </c>
      <c r="E75" s="68">
        <f>+E73+4497.36</f>
        <v>4775.82</v>
      </c>
      <c r="F75" s="68">
        <f>+F73+41653.05</f>
        <v>43603.73</v>
      </c>
      <c r="G75" s="1"/>
      <c r="H75" s="1"/>
      <c r="M75" s="1"/>
      <c r="N75" s="1"/>
    </row>
    <row r="76" spans="1:15" s="2" customFormat="1" x14ac:dyDescent="0.2">
      <c r="A76" s="24"/>
      <c r="B76" s="1"/>
      <c r="C76" s="52"/>
      <c r="D76" s="85"/>
      <c r="E76" s="53"/>
      <c r="F76" s="53"/>
      <c r="G76" s="1"/>
      <c r="H76" s="1"/>
      <c r="M76" s="1"/>
      <c r="N76" s="1"/>
    </row>
    <row r="77" spans="1:15" s="2" customFormat="1" x14ac:dyDescent="0.2">
      <c r="A77" s="24"/>
      <c r="B77" s="1"/>
      <c r="C77" s="52"/>
      <c r="D77" s="85"/>
      <c r="E77" s="53"/>
      <c r="F77" s="53"/>
      <c r="G77" s="1"/>
      <c r="H77" s="1"/>
      <c r="M77" s="1"/>
      <c r="N77" s="1"/>
    </row>
    <row r="78" spans="1:15" s="2" customFormat="1" x14ac:dyDescent="0.2">
      <c r="A78" s="24"/>
      <c r="B78" s="1"/>
      <c r="C78" s="52"/>
      <c r="D78" s="85"/>
      <c r="E78" s="53"/>
      <c r="F78" s="53"/>
      <c r="G78" s="1"/>
      <c r="H78" s="1"/>
      <c r="M78" s="1"/>
      <c r="N78" s="1"/>
    </row>
    <row r="79" spans="1:15" s="2" customFormat="1" x14ac:dyDescent="0.2">
      <c r="A79" s="24"/>
      <c r="B79" s="1"/>
      <c r="C79" s="52"/>
      <c r="D79" s="85"/>
      <c r="E79" s="53"/>
      <c r="F79" s="53"/>
      <c r="G79" s="1"/>
      <c r="H79" s="1"/>
      <c r="M79" s="1"/>
      <c r="N79" s="1"/>
    </row>
    <row r="80" spans="1:15" s="2" customFormat="1" x14ac:dyDescent="0.2">
      <c r="A80" s="24"/>
      <c r="B80" s="1"/>
      <c r="C80" s="14"/>
      <c r="D80" s="25">
        <f>SUM(D77:D79)</f>
        <v>0</v>
      </c>
      <c r="E80" s="2">
        <f>SUM(E77:E79)</f>
        <v>0</v>
      </c>
      <c r="G80" s="1"/>
      <c r="H80" s="1"/>
      <c r="M80" s="1"/>
      <c r="N80" s="1"/>
    </row>
    <row r="81" spans="1:14" s="2" customFormat="1" x14ac:dyDescent="0.2">
      <c r="A81" s="24"/>
      <c r="B81" s="1"/>
      <c r="C81" s="14"/>
      <c r="D81" s="25"/>
      <c r="G81" s="1"/>
      <c r="H81" s="1"/>
      <c r="M81" s="1"/>
      <c r="N81" s="1"/>
    </row>
    <row r="82" spans="1:14" s="2" customFormat="1" x14ac:dyDescent="0.2">
      <c r="A82" s="24"/>
      <c r="B82" s="1"/>
      <c r="C82" s="14"/>
      <c r="D82" s="25"/>
      <c r="G82" s="1"/>
      <c r="H82" s="1"/>
      <c r="M82" s="1"/>
      <c r="N82" s="1"/>
    </row>
    <row r="83" spans="1:14" s="2" customFormat="1" x14ac:dyDescent="0.2">
      <c r="A83" s="24"/>
      <c r="B83" s="1"/>
      <c r="C83" s="14"/>
      <c r="D83" s="25"/>
      <c r="G83" s="1"/>
      <c r="H83" s="1"/>
      <c r="M83" s="1"/>
      <c r="N83" s="1"/>
    </row>
    <row r="84" spans="1:14" s="2" customFormat="1" x14ac:dyDescent="0.2">
      <c r="A84" s="24"/>
      <c r="B84" s="1"/>
      <c r="C84" s="14"/>
      <c r="D84" s="25"/>
      <c r="G84" s="1"/>
      <c r="H84" s="1"/>
      <c r="M84" s="1"/>
      <c r="N84" s="1"/>
    </row>
    <row r="85" spans="1:14" s="2" customFormat="1" x14ac:dyDescent="0.2">
      <c r="A85" s="24"/>
      <c r="B85" s="1"/>
      <c r="C85" s="14"/>
      <c r="D85" s="25"/>
      <c r="G85" s="1"/>
      <c r="H85" s="1"/>
      <c r="M85" s="1"/>
      <c r="N85" s="1"/>
    </row>
    <row r="86" spans="1:14" s="2" customFormat="1" x14ac:dyDescent="0.2">
      <c r="A86" s="24"/>
      <c r="B86" s="1"/>
      <c r="C86" s="14"/>
      <c r="D86" s="25"/>
      <c r="G86" s="1"/>
      <c r="H86" s="1"/>
      <c r="M86" s="1"/>
      <c r="N86" s="1"/>
    </row>
    <row r="87" spans="1:14" s="2" customFormat="1" x14ac:dyDescent="0.2">
      <c r="A87" s="24"/>
      <c r="B87" s="1"/>
      <c r="C87" s="14"/>
      <c r="D87" s="25"/>
      <c r="G87" s="1"/>
      <c r="H87" s="1"/>
      <c r="M87" s="1"/>
      <c r="N87" s="1"/>
    </row>
    <row r="88" spans="1:14" s="2" customFormat="1" x14ac:dyDescent="0.2">
      <c r="A88" s="24"/>
      <c r="B88" s="1"/>
      <c r="C88" s="14"/>
      <c r="D88" s="25"/>
      <c r="G88" s="1"/>
      <c r="H88" s="1"/>
      <c r="M88" s="1"/>
      <c r="N88" s="1"/>
    </row>
    <row r="89" spans="1:14" s="2" customFormat="1" x14ac:dyDescent="0.2">
      <c r="A89" s="24"/>
      <c r="B89" s="1"/>
      <c r="C89" s="14"/>
      <c r="D89" s="25"/>
      <c r="G89" s="1"/>
      <c r="H89" s="1"/>
      <c r="M89" s="1"/>
      <c r="N89" s="1"/>
    </row>
    <row r="90" spans="1:14" s="2" customFormat="1" x14ac:dyDescent="0.2">
      <c r="A90" s="24"/>
      <c r="B90" s="1"/>
      <c r="C90" s="14"/>
      <c r="D90" s="25"/>
      <c r="G90" s="1"/>
      <c r="H90" s="1"/>
      <c r="M90" s="1"/>
      <c r="N90" s="1"/>
    </row>
    <row r="91" spans="1:14" s="2" customFormat="1" x14ac:dyDescent="0.2">
      <c r="A91" s="24"/>
      <c r="B91" s="1"/>
      <c r="C91" s="14"/>
      <c r="D91" s="25"/>
      <c r="G91" s="1"/>
      <c r="H91" s="1"/>
      <c r="M91" s="1"/>
      <c r="N91" s="1"/>
    </row>
    <row r="92" spans="1:14" s="2" customFormat="1" x14ac:dyDescent="0.2">
      <c r="A92" s="24"/>
      <c r="B92" s="1"/>
      <c r="C92" s="14"/>
      <c r="D92" s="25"/>
      <c r="G92" s="1"/>
      <c r="H92" s="1"/>
      <c r="M92" s="1"/>
      <c r="N92" s="1"/>
    </row>
    <row r="93" spans="1:14" s="2" customFormat="1" x14ac:dyDescent="0.2">
      <c r="A93" s="24"/>
      <c r="B93" s="1"/>
      <c r="C93" s="14"/>
      <c r="D93" s="25"/>
      <c r="G93" s="1"/>
      <c r="H93" s="1"/>
      <c r="M93" s="1"/>
      <c r="N93" s="1"/>
    </row>
    <row r="94" spans="1:14" s="2" customFormat="1" x14ac:dyDescent="0.2">
      <c r="A94" s="24"/>
      <c r="B94" s="1"/>
      <c r="C94" s="14"/>
      <c r="D94" s="25"/>
      <c r="G94" s="1"/>
      <c r="H94" s="1"/>
      <c r="J94" s="1"/>
      <c r="K94" s="1"/>
      <c r="L94" s="1"/>
      <c r="M94" s="1"/>
      <c r="N94" s="1"/>
    </row>
    <row r="95" spans="1:14" s="2" customFormat="1" x14ac:dyDescent="0.2">
      <c r="A95" s="24"/>
      <c r="B95" s="1"/>
      <c r="C95" s="14"/>
      <c r="D95" s="25"/>
      <c r="G95" s="1"/>
      <c r="H95" s="1"/>
    </row>
    <row r="96" spans="1:14" s="2" customFormat="1" x14ac:dyDescent="0.2">
      <c r="A96" s="24"/>
      <c r="B96" s="1"/>
      <c r="C96" s="14"/>
      <c r="D96" s="25"/>
      <c r="G96" s="1"/>
      <c r="H96" s="1"/>
      <c r="J96" s="1"/>
      <c r="K96" s="1"/>
      <c r="L96" s="1"/>
      <c r="M96" s="1"/>
      <c r="N96" s="1"/>
    </row>
    <row r="97" spans="1:15" s="2" customFormat="1" x14ac:dyDescent="0.2">
      <c r="A97" s="24"/>
      <c r="B97" s="1"/>
      <c r="C97" s="14"/>
      <c r="D97" s="25"/>
      <c r="G97" s="54"/>
      <c r="H97" s="54"/>
      <c r="J97" s="1"/>
      <c r="K97" s="1"/>
      <c r="L97" s="1"/>
      <c r="M97" s="1"/>
      <c r="N97" s="1"/>
    </row>
    <row r="98" spans="1:15" s="2" customFormat="1" x14ac:dyDescent="0.2">
      <c r="A98" s="24"/>
      <c r="B98" s="1"/>
      <c r="C98" s="14"/>
      <c r="D98" s="25"/>
      <c r="G98" s="54"/>
      <c r="H98" s="54"/>
      <c r="J98" s="1"/>
      <c r="K98" s="1"/>
      <c r="L98" s="1"/>
      <c r="M98" s="1"/>
      <c r="N98" s="1"/>
    </row>
    <row r="99" spans="1:15" s="2" customFormat="1" x14ac:dyDescent="0.2">
      <c r="A99" s="24"/>
      <c r="B99" s="1"/>
      <c r="C99" s="14"/>
      <c r="D99" s="25"/>
      <c r="G99" s="54"/>
      <c r="H99" s="54"/>
      <c r="J99" s="1"/>
      <c r="K99" s="1"/>
      <c r="L99" s="1"/>
      <c r="M99" s="1"/>
      <c r="N99" s="1"/>
    </row>
    <row r="100" spans="1:15" s="2" customFormat="1" x14ac:dyDescent="0.2">
      <c r="A100" s="24"/>
      <c r="B100" s="1"/>
      <c r="C100" s="14"/>
      <c r="D100" s="25"/>
      <c r="G100" s="54"/>
      <c r="H100" s="54"/>
      <c r="I100" s="2" t="s">
        <v>396</v>
      </c>
      <c r="J100" s="1"/>
      <c r="K100" s="1"/>
      <c r="L100" s="1"/>
      <c r="M100" s="1"/>
      <c r="N100" s="1"/>
      <c r="O100" s="1"/>
    </row>
    <row r="101" spans="1:15" s="2" customFormat="1" x14ac:dyDescent="0.2">
      <c r="A101" s="24"/>
      <c r="B101" s="1"/>
      <c r="C101" s="14"/>
      <c r="D101" s="25"/>
      <c r="G101" s="54"/>
      <c r="H101" s="54"/>
      <c r="I101" s="53"/>
    </row>
    <row r="102" spans="1:15" s="2" customFormat="1" x14ac:dyDescent="0.2">
      <c r="A102" s="24"/>
      <c r="B102" s="1"/>
      <c r="C102" s="14"/>
      <c r="D102" s="25"/>
      <c r="G102" s="54"/>
      <c r="H102" s="54"/>
      <c r="I102" s="53" t="s">
        <v>396</v>
      </c>
      <c r="J102" s="1"/>
      <c r="K102" s="1"/>
      <c r="L102" s="1"/>
      <c r="M102" s="1"/>
      <c r="N102" s="1"/>
      <c r="O102" s="1"/>
    </row>
    <row r="103" spans="1:15" x14ac:dyDescent="0.2">
      <c r="G103" s="54"/>
      <c r="H103" s="54"/>
      <c r="I103" s="53" t="s">
        <v>396</v>
      </c>
      <c r="K103" s="42"/>
    </row>
    <row r="104" spans="1:15" s="2" customFormat="1" x14ac:dyDescent="0.2">
      <c r="A104" s="24"/>
      <c r="B104" s="1"/>
      <c r="C104" s="14"/>
      <c r="D104" s="25"/>
      <c r="G104" s="54"/>
      <c r="H104" s="54"/>
      <c r="I104" s="53"/>
      <c r="J104" s="101"/>
      <c r="K104" s="1"/>
      <c r="L104" s="1"/>
      <c r="M104" s="1"/>
      <c r="N104" s="1"/>
      <c r="O104" s="1"/>
    </row>
    <row r="105" spans="1:15" x14ac:dyDescent="0.2">
      <c r="G105" s="54"/>
      <c r="H105" s="54"/>
      <c r="I105" s="53"/>
    </row>
    <row r="106" spans="1:15" x14ac:dyDescent="0.2">
      <c r="G106" s="54"/>
      <c r="H106" s="54"/>
      <c r="I106" s="53"/>
    </row>
    <row r="107" spans="1:15" x14ac:dyDescent="0.2">
      <c r="G107" s="54"/>
      <c r="H107" s="54"/>
      <c r="I107" s="53"/>
    </row>
  </sheetData>
  <sheetProtection insertRows="0"/>
  <mergeCells count="7">
    <mergeCell ref="K52:L52"/>
    <mergeCell ref="A59:D59"/>
    <mergeCell ref="C69:F69"/>
    <mergeCell ref="A1:H1"/>
    <mergeCell ref="A3:F3"/>
    <mergeCell ref="A9:F9"/>
    <mergeCell ref="A19:F19"/>
  </mergeCells>
  <conditionalFormatting sqref="H56:H57">
    <cfRule type="cellIs" dxfId="75" priority="1" operator="lessThan">
      <formula>0</formula>
    </cfRule>
  </conditionalFormatting>
  <conditionalFormatting sqref="C21">
    <cfRule type="duplicateValues" dxfId="74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FD00-000000000000}">
  <sheetPr codeName="Sheet549">
    <pageSetUpPr fitToPage="1"/>
  </sheetPr>
  <dimension ref="A1:S150"/>
  <sheetViews>
    <sheetView topLeftCell="D73" zoomScaleNormal="100" workbookViewId="0">
      <selection activeCell="E79" sqref="E79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12.85546875" style="1" customWidth="1"/>
    <col min="9" max="9" width="24.85546875" style="2" bestFit="1" customWidth="1"/>
    <col min="10" max="10" width="21.5703125" style="1" bestFit="1" customWidth="1"/>
    <col min="11" max="11" width="16.85546875" style="1" bestFit="1" customWidth="1"/>
    <col min="12" max="12" width="19.5703125" style="1" bestFit="1" customWidth="1"/>
    <col min="13" max="13" width="13.5703125" style="1" bestFit="1" customWidth="1"/>
    <col min="14" max="14" width="17.42578125" style="1" bestFit="1" customWidth="1"/>
    <col min="15" max="15" width="12.85546875" style="1" bestFit="1" customWidth="1"/>
    <col min="16" max="17" width="9.140625" style="1"/>
    <col min="18" max="18" width="15.5703125" style="1" bestFit="1" customWidth="1"/>
    <col min="19" max="16384" width="9.140625" style="1"/>
  </cols>
  <sheetData>
    <row r="1" spans="1:14" ht="20.25" customHeight="1" x14ac:dyDescent="0.4">
      <c r="A1" s="212" t="s">
        <v>2071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4" ht="12.75" customHeight="1" x14ac:dyDescent="0.4">
      <c r="I2" s="112"/>
      <c r="J2" s="112"/>
    </row>
    <row r="3" spans="1:14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4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4" s="2" customFormat="1" ht="14.25" customHeight="1" x14ac:dyDescent="0.4">
      <c r="A5" s="89">
        <v>45337</v>
      </c>
      <c r="B5" s="9" t="s">
        <v>6</v>
      </c>
      <c r="C5" s="10" t="s">
        <v>7</v>
      </c>
      <c r="D5" s="11"/>
      <c r="E5" s="12">
        <v>681806.6800000004</v>
      </c>
      <c r="F5" s="12"/>
      <c r="G5" s="1"/>
      <c r="H5" s="1"/>
      <c r="I5" s="112"/>
      <c r="J5" s="112"/>
    </row>
    <row r="6" spans="1:14" s="2" customFormat="1" ht="12.75" customHeight="1" x14ac:dyDescent="0.2">
      <c r="D6" s="15" t="s">
        <v>8</v>
      </c>
      <c r="E6" s="16">
        <f>SUM(E5:E5)</f>
        <v>681806.6800000004</v>
      </c>
      <c r="F6" s="16">
        <f>F5</f>
        <v>0</v>
      </c>
      <c r="G6" s="1"/>
      <c r="H6" s="1"/>
      <c r="I6" s="13" t="s">
        <v>1582</v>
      </c>
      <c r="J6" s="13" t="s">
        <v>1583</v>
      </c>
    </row>
    <row r="7" spans="1:14" s="2" customFormat="1" ht="12.75" customHeight="1" x14ac:dyDescent="0.2">
      <c r="A7" s="17"/>
      <c r="B7" s="18"/>
      <c r="C7" s="19" t="s">
        <v>9</v>
      </c>
      <c r="D7" s="20"/>
      <c r="E7" s="21">
        <f>+E6-F6</f>
        <v>681806.6800000004</v>
      </c>
      <c r="F7" s="22"/>
      <c r="G7" s="23"/>
      <c r="H7" s="23"/>
      <c r="I7" s="2">
        <v>408668</v>
      </c>
      <c r="J7" s="2">
        <v>0</v>
      </c>
      <c r="K7" s="176">
        <f>I7-J7</f>
        <v>408668</v>
      </c>
    </row>
    <row r="8" spans="1:14" ht="12.75" customHeight="1" x14ac:dyDescent="0.4">
      <c r="I8" s="112"/>
      <c r="J8" s="112"/>
    </row>
    <row r="9" spans="1:14" ht="18" customHeight="1" x14ac:dyDescent="0.4">
      <c r="A9" s="213" t="s">
        <v>1037</v>
      </c>
      <c r="B9" s="213"/>
      <c r="C9" s="213"/>
      <c r="D9" s="213"/>
      <c r="E9" s="213"/>
      <c r="F9" s="213"/>
      <c r="I9" s="112"/>
      <c r="J9" s="169">
        <f>90000000-60000000</f>
        <v>30000000</v>
      </c>
      <c r="K9" s="169" t="s">
        <v>1508</v>
      </c>
    </row>
    <row r="10" spans="1:14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I10" s="112"/>
      <c r="J10" s="169">
        <v>29685651.52</v>
      </c>
      <c r="K10" s="169" t="s">
        <v>1509</v>
      </c>
      <c r="L10" s="124"/>
    </row>
    <row r="11" spans="1:14" s="2" customFormat="1" ht="14.25" customHeight="1" x14ac:dyDescent="0.2">
      <c r="A11" s="89">
        <v>45337</v>
      </c>
      <c r="B11" s="9" t="s">
        <v>6</v>
      </c>
      <c r="C11" s="10" t="s">
        <v>7</v>
      </c>
      <c r="D11" s="11"/>
      <c r="F11" s="12">
        <v>29677078.520000007</v>
      </c>
      <c r="G11" s="1"/>
      <c r="H11" s="1"/>
      <c r="I11" s="130" t="s">
        <v>396</v>
      </c>
      <c r="J11" s="169">
        <f>+J9-J10</f>
        <v>314348.48000000045</v>
      </c>
      <c r="K11" s="169" t="s">
        <v>712</v>
      </c>
      <c r="L11" s="165" t="s">
        <v>1512</v>
      </c>
    </row>
    <row r="12" spans="1:14" s="2" customFormat="1" ht="14.25" customHeight="1" x14ac:dyDescent="0.2">
      <c r="A12" s="89">
        <v>45336</v>
      </c>
      <c r="B12" s="9" t="s">
        <v>11</v>
      </c>
      <c r="C12" s="76" t="s">
        <v>1137</v>
      </c>
      <c r="D12" s="11" t="s">
        <v>29</v>
      </c>
      <c r="E12" s="12"/>
      <c r="F12" s="31">
        <v>8573</v>
      </c>
      <c r="G12" s="1"/>
      <c r="H12" s="1"/>
      <c r="I12" s="130"/>
      <c r="J12" s="169"/>
      <c r="K12" s="169"/>
      <c r="L12" s="165"/>
    </row>
    <row r="13" spans="1:14" s="2" customFormat="1" ht="14.25" customHeight="1" x14ac:dyDescent="0.2">
      <c r="A13" s="89">
        <v>45337</v>
      </c>
      <c r="B13" s="9" t="s">
        <v>6</v>
      </c>
      <c r="C13" s="76" t="s">
        <v>1333</v>
      </c>
      <c r="D13" s="11" t="s">
        <v>13</v>
      </c>
      <c r="E13" s="12">
        <v>408668</v>
      </c>
      <c r="F13" s="31"/>
      <c r="G13" s="1"/>
      <c r="H13" s="1"/>
      <c r="I13" s="143"/>
      <c r="J13" s="130"/>
      <c r="K13" s="143"/>
      <c r="L13" s="143"/>
      <c r="M13" s="143"/>
      <c r="N13" s="143"/>
    </row>
    <row r="14" spans="1:14" s="2" customFormat="1" ht="14.25" customHeight="1" x14ac:dyDescent="0.4">
      <c r="D14" s="11" t="s">
        <v>8</v>
      </c>
      <c r="E14" s="16">
        <f>SUM(E11:E13)</f>
        <v>408668</v>
      </c>
      <c r="F14" s="16">
        <f>SUM(F11:F13)</f>
        <v>29685651.520000007</v>
      </c>
      <c r="G14" s="1"/>
      <c r="H14" s="1"/>
      <c r="J14" s="112"/>
      <c r="K14" s="153" t="s">
        <v>779</v>
      </c>
    </row>
    <row r="15" spans="1:14" s="2" customFormat="1" ht="14.25" customHeight="1" x14ac:dyDescent="0.2">
      <c r="A15" s="17"/>
      <c r="B15" s="18"/>
      <c r="C15" s="96" t="s">
        <v>9</v>
      </c>
      <c r="D15" s="20"/>
      <c r="E15" s="21">
        <f>+F14-E14</f>
        <v>29276983.520000007</v>
      </c>
      <c r="G15" s="1"/>
      <c r="H15" s="1"/>
      <c r="J15" s="40">
        <v>29276983.52</v>
      </c>
      <c r="K15" s="154">
        <f>J15-E15</f>
        <v>0</v>
      </c>
    </row>
    <row r="16" spans="1:14" s="2" customFormat="1" ht="14.25" customHeight="1" x14ac:dyDescent="0.2">
      <c r="A16" s="17"/>
      <c r="B16" s="28" t="s">
        <v>66</v>
      </c>
      <c r="C16" s="43" t="s">
        <v>1458</v>
      </c>
      <c r="D16" s="43"/>
      <c r="E16" s="12">
        <f>30000000+60000000</f>
        <v>90000000</v>
      </c>
      <c r="F16" s="22"/>
      <c r="G16" s="1"/>
      <c r="H16" s="1"/>
      <c r="I16" s="13" t="s">
        <v>1582</v>
      </c>
      <c r="J16" s="13" t="s">
        <v>1583</v>
      </c>
    </row>
    <row r="17" spans="1:12" s="2" customFormat="1" ht="14.25" customHeight="1" x14ac:dyDescent="0.25">
      <c r="A17" s="36"/>
      <c r="B17" s="28"/>
      <c r="C17" s="44" t="s">
        <v>1541</v>
      </c>
      <c r="D17" s="43"/>
      <c r="E17" s="7">
        <f>+E15+E16</f>
        <v>119276983.52000001</v>
      </c>
      <c r="F17" s="22"/>
      <c r="G17" s="1"/>
      <c r="H17" s="1"/>
      <c r="I17" s="2">
        <v>3441348</v>
      </c>
      <c r="J17" s="2">
        <v>2576622</v>
      </c>
      <c r="K17" s="176">
        <f>I17-J17</f>
        <v>864726</v>
      </c>
    </row>
    <row r="18" spans="1:12" s="2" customFormat="1" ht="14.25" customHeight="1" x14ac:dyDescent="0.25">
      <c r="A18" s="36"/>
      <c r="B18" s="28"/>
      <c r="C18" s="44" t="s">
        <v>1511</v>
      </c>
      <c r="D18" s="43"/>
      <c r="E18" s="38">
        <f>+J11+I7-J7</f>
        <v>723016.48000000045</v>
      </c>
      <c r="F18" s="22"/>
      <c r="G18" s="1"/>
      <c r="H18" s="1"/>
      <c r="J18" s="130"/>
      <c r="K18" s="130"/>
    </row>
    <row r="19" spans="1:12" s="2" customFormat="1" x14ac:dyDescent="0.2">
      <c r="A19" s="24"/>
      <c r="B19" s="1"/>
      <c r="C19" s="14"/>
      <c r="D19" s="25"/>
      <c r="G19" s="1"/>
      <c r="H19" s="1"/>
      <c r="I19" s="159"/>
      <c r="J19" s="160">
        <f>100000000</f>
        <v>100000000</v>
      </c>
      <c r="K19" s="160" t="s">
        <v>1506</v>
      </c>
      <c r="L19" s="70"/>
    </row>
    <row r="20" spans="1:12" s="2" customFormat="1" ht="15" x14ac:dyDescent="0.35">
      <c r="A20" s="214" t="s">
        <v>10</v>
      </c>
      <c r="B20" s="214"/>
      <c r="C20" s="214"/>
      <c r="D20" s="214"/>
      <c r="E20" s="214"/>
      <c r="F20" s="214"/>
      <c r="G20" s="1"/>
      <c r="H20" s="1"/>
      <c r="I20" s="159"/>
      <c r="J20" s="179">
        <v>82908906.549999997</v>
      </c>
      <c r="K20" s="160" t="s">
        <v>1507</v>
      </c>
      <c r="L20" s="70" t="s">
        <v>1512</v>
      </c>
    </row>
    <row r="21" spans="1:12" s="2" customFormat="1" x14ac:dyDescent="0.2">
      <c r="A21" s="26" t="s">
        <v>1</v>
      </c>
      <c r="B21" s="27" t="s">
        <v>2</v>
      </c>
      <c r="C21" s="5"/>
      <c r="D21" s="6" t="s">
        <v>3</v>
      </c>
      <c r="E21" s="7" t="s">
        <v>4</v>
      </c>
      <c r="F21" s="7" t="s">
        <v>5</v>
      </c>
      <c r="G21" s="1"/>
      <c r="H21" s="1"/>
      <c r="I21" s="159" t="s">
        <v>1505</v>
      </c>
      <c r="J21" s="160">
        <f>+J19-J20</f>
        <v>17091093.450000003</v>
      </c>
      <c r="K21" s="160"/>
      <c r="L21" s="70"/>
    </row>
    <row r="22" spans="1:12" s="2" customFormat="1" x14ac:dyDescent="0.2">
      <c r="A22" s="89">
        <v>45337</v>
      </c>
      <c r="B22" s="128" t="s">
        <v>11</v>
      </c>
      <c r="C22" s="29" t="s">
        <v>7</v>
      </c>
      <c r="D22" s="25"/>
      <c r="E22" s="31"/>
      <c r="F22" s="2">
        <v>85692144.009999916</v>
      </c>
      <c r="G22" s="23"/>
      <c r="H22" s="23"/>
      <c r="I22" s="159"/>
      <c r="J22" s="160"/>
      <c r="K22" s="160"/>
      <c r="L22" s="70"/>
    </row>
    <row r="23" spans="1:12" s="2" customFormat="1" x14ac:dyDescent="0.2">
      <c r="A23" s="89">
        <v>45336</v>
      </c>
      <c r="B23" s="128" t="s">
        <v>6</v>
      </c>
      <c r="C23" s="76" t="s">
        <v>200</v>
      </c>
      <c r="D23" s="11" t="s">
        <v>13</v>
      </c>
      <c r="E23" s="31">
        <v>103904</v>
      </c>
      <c r="G23" s="23"/>
      <c r="H23" s="23"/>
      <c r="I23" s="159"/>
      <c r="J23" s="160"/>
      <c r="K23" s="160"/>
      <c r="L23" s="70"/>
    </row>
    <row r="24" spans="1:12" s="2" customFormat="1" x14ac:dyDescent="0.2">
      <c r="A24" s="89">
        <v>45336</v>
      </c>
      <c r="B24" s="128" t="s">
        <v>6</v>
      </c>
      <c r="C24" s="76" t="s">
        <v>2070</v>
      </c>
      <c r="D24" s="11" t="s">
        <v>13</v>
      </c>
      <c r="E24" s="31">
        <v>199000</v>
      </c>
      <c r="G24" s="23"/>
      <c r="H24" s="23"/>
      <c r="I24" s="159"/>
      <c r="J24" s="160"/>
      <c r="K24" s="160"/>
      <c r="L24" s="70"/>
    </row>
    <row r="25" spans="1:12" s="2" customFormat="1" x14ac:dyDescent="0.2">
      <c r="A25" s="89">
        <v>45336</v>
      </c>
      <c r="B25" s="128" t="s">
        <v>6</v>
      </c>
      <c r="C25" s="76" t="s">
        <v>311</v>
      </c>
      <c r="D25" s="11" t="s">
        <v>13</v>
      </c>
      <c r="E25" s="31">
        <v>12600</v>
      </c>
      <c r="G25" s="23"/>
      <c r="H25" s="23"/>
      <c r="I25" s="159"/>
      <c r="J25" s="160"/>
      <c r="K25" s="160"/>
      <c r="L25" s="70"/>
    </row>
    <row r="26" spans="1:12" s="2" customFormat="1" x14ac:dyDescent="0.2">
      <c r="A26" s="89">
        <v>45336</v>
      </c>
      <c r="B26" s="128" t="s">
        <v>6</v>
      </c>
      <c r="C26" s="76" t="s">
        <v>761</v>
      </c>
      <c r="D26" s="11" t="s">
        <v>13</v>
      </c>
      <c r="E26" s="31">
        <v>573993</v>
      </c>
      <c r="G26" s="23"/>
      <c r="H26" s="23"/>
      <c r="I26" s="159"/>
      <c r="J26" s="160"/>
      <c r="K26" s="160"/>
      <c r="L26" s="70"/>
    </row>
    <row r="27" spans="1:12" s="2" customFormat="1" x14ac:dyDescent="0.2">
      <c r="A27" s="89">
        <v>45336</v>
      </c>
      <c r="B27" s="128" t="s">
        <v>6</v>
      </c>
      <c r="C27" s="76" t="s">
        <v>1270</v>
      </c>
      <c r="D27" s="11" t="s">
        <v>13</v>
      </c>
      <c r="E27" s="31">
        <v>10000</v>
      </c>
      <c r="G27" s="23"/>
      <c r="H27" s="23"/>
      <c r="I27" s="159"/>
      <c r="J27" s="160"/>
      <c r="K27" s="160"/>
      <c r="L27" s="70"/>
    </row>
    <row r="28" spans="1:12" s="2" customFormat="1" x14ac:dyDescent="0.2">
      <c r="A28" s="89">
        <v>45336</v>
      </c>
      <c r="B28" s="128" t="s">
        <v>6</v>
      </c>
      <c r="C28" s="76" t="s">
        <v>785</v>
      </c>
      <c r="D28" s="11" t="s">
        <v>13</v>
      </c>
      <c r="E28" s="31">
        <v>763721</v>
      </c>
      <c r="G28" s="23"/>
      <c r="H28" s="23"/>
      <c r="I28" s="159"/>
      <c r="J28" s="160"/>
      <c r="K28" s="160"/>
      <c r="L28" s="70"/>
    </row>
    <row r="29" spans="1:12" s="2" customFormat="1" x14ac:dyDescent="0.2">
      <c r="A29" s="89">
        <v>45336</v>
      </c>
      <c r="B29" s="128" t="s">
        <v>6</v>
      </c>
      <c r="C29" s="76" t="s">
        <v>1808</v>
      </c>
      <c r="D29" s="11" t="s">
        <v>13</v>
      </c>
      <c r="E29" s="31">
        <v>5901350</v>
      </c>
      <c r="G29" s="23"/>
      <c r="H29" s="23"/>
      <c r="I29" s="159"/>
      <c r="J29" s="160"/>
      <c r="K29" s="160"/>
      <c r="L29" s="70"/>
    </row>
    <row r="30" spans="1:12" s="2" customFormat="1" x14ac:dyDescent="0.2">
      <c r="A30" s="89">
        <v>45336</v>
      </c>
      <c r="B30" s="128" t="s">
        <v>6</v>
      </c>
      <c r="C30" s="76" t="s">
        <v>1568</v>
      </c>
      <c r="D30" s="11" t="s">
        <v>13</v>
      </c>
      <c r="E30" s="31">
        <v>25200</v>
      </c>
      <c r="G30" s="23"/>
      <c r="H30" s="23"/>
      <c r="I30" s="159"/>
      <c r="J30" s="160"/>
      <c r="K30" s="160"/>
      <c r="L30" s="70"/>
    </row>
    <row r="31" spans="1:12" s="2" customFormat="1" x14ac:dyDescent="0.2">
      <c r="A31" s="89">
        <v>45336</v>
      </c>
      <c r="B31" s="128" t="s">
        <v>6</v>
      </c>
      <c r="C31" s="76" t="s">
        <v>1996</v>
      </c>
      <c r="D31" s="11" t="s">
        <v>13</v>
      </c>
      <c r="E31" s="31">
        <v>326020</v>
      </c>
      <c r="G31" s="23"/>
      <c r="H31" s="23"/>
      <c r="I31" s="159"/>
      <c r="J31" s="160"/>
      <c r="K31" s="160"/>
      <c r="L31" s="70"/>
    </row>
    <row r="32" spans="1:12" s="2" customFormat="1" x14ac:dyDescent="0.2">
      <c r="A32" s="89">
        <v>45336</v>
      </c>
      <c r="B32" s="128" t="s">
        <v>6</v>
      </c>
      <c r="C32" s="76" t="s">
        <v>149</v>
      </c>
      <c r="D32" s="11" t="s">
        <v>13</v>
      </c>
      <c r="E32" s="31">
        <v>9148</v>
      </c>
      <c r="G32" s="23"/>
      <c r="H32" s="23"/>
      <c r="I32" s="159"/>
      <c r="J32" s="160"/>
      <c r="K32" s="160"/>
      <c r="L32" s="70"/>
    </row>
    <row r="33" spans="1:12" s="2" customFormat="1" x14ac:dyDescent="0.2">
      <c r="A33" s="89">
        <v>45336</v>
      </c>
      <c r="B33" s="128" t="s">
        <v>6</v>
      </c>
      <c r="C33" s="76" t="s">
        <v>19</v>
      </c>
      <c r="D33" s="11" t="s">
        <v>13</v>
      </c>
      <c r="E33" s="31">
        <v>22202</v>
      </c>
      <c r="G33" s="23"/>
      <c r="H33" s="23"/>
      <c r="I33" s="159"/>
      <c r="J33" s="160"/>
      <c r="K33" s="160"/>
      <c r="L33" s="70"/>
    </row>
    <row r="34" spans="1:12" s="2" customFormat="1" x14ac:dyDescent="0.2">
      <c r="A34" s="89">
        <v>45337</v>
      </c>
      <c r="B34" s="128" t="s">
        <v>6</v>
      </c>
      <c r="C34" s="76" t="s">
        <v>19</v>
      </c>
      <c r="D34" s="11" t="s">
        <v>13</v>
      </c>
      <c r="E34" s="31">
        <v>27652</v>
      </c>
      <c r="G34" s="23"/>
      <c r="H34" s="23"/>
      <c r="I34" s="159"/>
      <c r="J34" s="160"/>
      <c r="K34" s="160"/>
      <c r="L34" s="70"/>
    </row>
    <row r="35" spans="1:12" s="2" customFormat="1" x14ac:dyDescent="0.2">
      <c r="A35" s="89">
        <v>45337</v>
      </c>
      <c r="B35" s="128" t="s">
        <v>6</v>
      </c>
      <c r="C35" s="76" t="s">
        <v>101</v>
      </c>
      <c r="D35" s="11" t="s">
        <v>13</v>
      </c>
      <c r="E35" s="31">
        <v>500000</v>
      </c>
      <c r="G35" s="23"/>
      <c r="H35" s="23"/>
      <c r="I35" s="159"/>
      <c r="J35" s="160"/>
      <c r="K35" s="160"/>
      <c r="L35" s="70"/>
    </row>
    <row r="36" spans="1:12" s="2" customFormat="1" x14ac:dyDescent="0.2">
      <c r="A36" s="89">
        <v>45337</v>
      </c>
      <c r="B36" s="128" t="s">
        <v>6</v>
      </c>
      <c r="C36" s="76" t="s">
        <v>2072</v>
      </c>
      <c r="D36" s="11" t="s">
        <v>13</v>
      </c>
      <c r="E36" s="31">
        <v>55000</v>
      </c>
      <c r="G36" s="23"/>
      <c r="H36" s="23"/>
      <c r="I36" s="159"/>
      <c r="J36" s="160"/>
      <c r="K36" s="160"/>
      <c r="L36" s="70"/>
    </row>
    <row r="37" spans="1:12" s="2" customFormat="1" x14ac:dyDescent="0.2">
      <c r="A37" s="89">
        <v>45337</v>
      </c>
      <c r="B37" s="128" t="s">
        <v>6</v>
      </c>
      <c r="C37" s="76" t="s">
        <v>516</v>
      </c>
      <c r="D37" s="11" t="s">
        <v>13</v>
      </c>
      <c r="E37" s="31">
        <v>50000</v>
      </c>
      <c r="G37" s="23"/>
      <c r="H37" s="23"/>
      <c r="I37" s="159"/>
      <c r="J37" s="160"/>
      <c r="K37" s="160"/>
      <c r="L37" s="70"/>
    </row>
    <row r="38" spans="1:12" s="2" customFormat="1" x14ac:dyDescent="0.2">
      <c r="A38" s="89">
        <v>45337</v>
      </c>
      <c r="B38" s="128" t="s">
        <v>6</v>
      </c>
      <c r="C38" s="76" t="s">
        <v>334</v>
      </c>
      <c r="D38" s="11" t="s">
        <v>13</v>
      </c>
      <c r="E38" s="31">
        <v>3002603</v>
      </c>
      <c r="G38" s="23"/>
      <c r="H38" s="23"/>
      <c r="I38" s="159"/>
      <c r="J38" s="160"/>
      <c r="K38" s="160"/>
      <c r="L38" s="70"/>
    </row>
    <row r="39" spans="1:12" s="2" customFormat="1" x14ac:dyDescent="0.2">
      <c r="A39" s="89">
        <v>45337</v>
      </c>
      <c r="B39" s="128" t="s">
        <v>6</v>
      </c>
      <c r="C39" s="76" t="s">
        <v>133</v>
      </c>
      <c r="D39" s="11" t="s">
        <v>13</v>
      </c>
      <c r="E39" s="31">
        <v>38745</v>
      </c>
      <c r="G39" s="23"/>
      <c r="H39" s="23"/>
      <c r="I39" s="159"/>
      <c r="J39" s="160"/>
      <c r="K39" s="160"/>
      <c r="L39" s="70"/>
    </row>
    <row r="40" spans="1:12" s="2" customFormat="1" x14ac:dyDescent="0.2">
      <c r="A40" s="89">
        <v>45337</v>
      </c>
      <c r="B40" s="128" t="s">
        <v>6</v>
      </c>
      <c r="C40" s="76" t="s">
        <v>480</v>
      </c>
      <c r="D40" s="11" t="s">
        <v>13</v>
      </c>
      <c r="E40" s="31">
        <v>782145</v>
      </c>
      <c r="G40" s="23"/>
      <c r="H40" s="23"/>
      <c r="I40" s="159"/>
      <c r="J40" s="160"/>
      <c r="K40" s="160"/>
      <c r="L40" s="70"/>
    </row>
    <row r="41" spans="1:12" s="2" customFormat="1" x14ac:dyDescent="0.2">
      <c r="A41" s="89">
        <v>45337</v>
      </c>
      <c r="B41" s="128" t="s">
        <v>6</v>
      </c>
      <c r="C41" s="76" t="s">
        <v>1906</v>
      </c>
      <c r="D41" s="11" t="s">
        <v>13</v>
      </c>
      <c r="E41" s="31">
        <v>38588</v>
      </c>
      <c r="G41" s="23"/>
      <c r="H41" s="23"/>
      <c r="I41" s="159"/>
      <c r="J41" s="160"/>
      <c r="K41" s="160"/>
      <c r="L41" s="70"/>
    </row>
    <row r="42" spans="1:12" s="2" customFormat="1" x14ac:dyDescent="0.2">
      <c r="A42" s="89">
        <v>45337</v>
      </c>
      <c r="B42" s="128" t="s">
        <v>6</v>
      </c>
      <c r="C42" s="76" t="s">
        <v>2073</v>
      </c>
      <c r="D42" s="11" t="s">
        <v>13</v>
      </c>
      <c r="E42" s="31">
        <v>50000</v>
      </c>
      <c r="G42" s="23"/>
      <c r="H42" s="23"/>
      <c r="I42" s="159"/>
      <c r="J42" s="160"/>
      <c r="K42" s="160"/>
      <c r="L42" s="70"/>
    </row>
    <row r="43" spans="1:12" s="2" customFormat="1" x14ac:dyDescent="0.2">
      <c r="A43" s="89">
        <v>45337</v>
      </c>
      <c r="B43" s="128" t="s">
        <v>6</v>
      </c>
      <c r="C43" s="76" t="s">
        <v>589</v>
      </c>
      <c r="D43" s="11" t="s">
        <v>13</v>
      </c>
      <c r="E43" s="31">
        <v>301834</v>
      </c>
      <c r="G43" s="23"/>
      <c r="H43" s="23"/>
      <c r="I43" s="159"/>
      <c r="J43" s="160"/>
      <c r="K43" s="160"/>
      <c r="L43" s="70"/>
    </row>
    <row r="44" spans="1:12" s="2" customFormat="1" x14ac:dyDescent="0.2">
      <c r="A44" s="89">
        <v>45337</v>
      </c>
      <c r="B44" s="128" t="s">
        <v>6</v>
      </c>
      <c r="C44" s="76" t="s">
        <v>2076</v>
      </c>
      <c r="D44" s="11" t="s">
        <v>13</v>
      </c>
      <c r="E44" s="31">
        <v>11140</v>
      </c>
      <c r="G44" s="23"/>
      <c r="H44" s="23"/>
      <c r="I44" s="159"/>
      <c r="J44" s="160"/>
      <c r="K44" s="160"/>
      <c r="L44" s="70"/>
    </row>
    <row r="45" spans="1:12" s="2" customFormat="1" x14ac:dyDescent="0.2">
      <c r="A45" s="89">
        <v>45337</v>
      </c>
      <c r="B45" s="128" t="s">
        <v>6</v>
      </c>
      <c r="C45" s="76" t="s">
        <v>2077</v>
      </c>
      <c r="D45" s="11" t="s">
        <v>13</v>
      </c>
      <c r="E45" s="31">
        <v>4042.5</v>
      </c>
      <c r="G45" s="23"/>
      <c r="H45" s="23"/>
      <c r="I45" s="159"/>
      <c r="J45" s="160"/>
      <c r="K45" s="160"/>
      <c r="L45" s="70"/>
    </row>
    <row r="46" spans="1:12" s="2" customFormat="1" x14ac:dyDescent="0.2">
      <c r="A46" s="89">
        <v>45337</v>
      </c>
      <c r="B46" s="128" t="s">
        <v>6</v>
      </c>
      <c r="C46" s="76" t="s">
        <v>1706</v>
      </c>
      <c r="D46" s="11" t="s">
        <v>13</v>
      </c>
      <c r="E46" s="31">
        <v>30713</v>
      </c>
      <c r="G46" s="23"/>
      <c r="H46" s="23"/>
      <c r="I46" s="159"/>
      <c r="J46" s="160"/>
      <c r="K46" s="160"/>
      <c r="L46" s="70"/>
    </row>
    <row r="47" spans="1:12" s="2" customFormat="1" x14ac:dyDescent="0.2">
      <c r="A47" s="89">
        <v>45337</v>
      </c>
      <c r="B47" s="128" t="s">
        <v>6</v>
      </c>
      <c r="C47" s="76" t="s">
        <v>325</v>
      </c>
      <c r="D47" s="11" t="s">
        <v>13</v>
      </c>
      <c r="E47" s="31">
        <v>3648</v>
      </c>
      <c r="G47" s="23"/>
      <c r="H47" s="23"/>
      <c r="I47" s="159"/>
      <c r="J47" s="160"/>
      <c r="K47" s="160"/>
      <c r="L47" s="70"/>
    </row>
    <row r="48" spans="1:12" s="2" customFormat="1" x14ac:dyDescent="0.2">
      <c r="A48" s="89">
        <v>45337</v>
      </c>
      <c r="B48" s="128" t="s">
        <v>6</v>
      </c>
      <c r="C48" s="76" t="s">
        <v>332</v>
      </c>
      <c r="D48" s="11" t="s">
        <v>13</v>
      </c>
      <c r="E48" s="31">
        <v>12167</v>
      </c>
      <c r="G48" s="23"/>
      <c r="H48" s="23"/>
      <c r="I48" s="159"/>
      <c r="J48" s="160"/>
      <c r="K48" s="160"/>
      <c r="L48" s="70"/>
    </row>
    <row r="49" spans="1:12" s="2" customFormat="1" x14ac:dyDescent="0.2">
      <c r="A49" s="89">
        <v>45337</v>
      </c>
      <c r="B49" s="128" t="s">
        <v>6</v>
      </c>
      <c r="C49" s="76" t="s">
        <v>403</v>
      </c>
      <c r="D49" s="11" t="s">
        <v>13</v>
      </c>
      <c r="E49" s="31">
        <v>59062</v>
      </c>
      <c r="G49" s="23"/>
      <c r="H49" s="23"/>
      <c r="I49" s="159"/>
      <c r="J49" s="160"/>
      <c r="K49" s="160"/>
      <c r="L49" s="70"/>
    </row>
    <row r="50" spans="1:12" s="2" customFormat="1" x14ac:dyDescent="0.2">
      <c r="A50" s="89">
        <v>45336</v>
      </c>
      <c r="B50" s="128" t="s">
        <v>11</v>
      </c>
      <c r="C50" s="76" t="s">
        <v>15</v>
      </c>
      <c r="D50" s="11" t="s">
        <v>29</v>
      </c>
      <c r="E50" s="31"/>
      <c r="F50" s="2">
        <v>27380.560000000001</v>
      </c>
      <c r="G50" s="23"/>
      <c r="H50" s="23"/>
      <c r="I50" s="159"/>
      <c r="J50" s="160"/>
      <c r="K50" s="160"/>
      <c r="L50" s="70"/>
    </row>
    <row r="51" spans="1:12" s="2" customFormat="1" x14ac:dyDescent="0.2">
      <c r="A51" s="89">
        <v>45336</v>
      </c>
      <c r="B51" s="128" t="s">
        <v>11</v>
      </c>
      <c r="C51" s="76" t="s">
        <v>64</v>
      </c>
      <c r="D51" s="11" t="s">
        <v>29</v>
      </c>
      <c r="E51" s="31"/>
      <c r="F51" s="2">
        <v>3549.44</v>
      </c>
      <c r="G51" s="23"/>
      <c r="H51" s="23"/>
      <c r="I51" s="159"/>
      <c r="J51" s="160"/>
      <c r="K51" s="160"/>
      <c r="L51" s="70"/>
    </row>
    <row r="52" spans="1:12" s="2" customFormat="1" x14ac:dyDescent="0.2">
      <c r="A52" s="89">
        <v>45336</v>
      </c>
      <c r="B52" s="128" t="s">
        <v>11</v>
      </c>
      <c r="C52" s="76" t="s">
        <v>1472</v>
      </c>
      <c r="D52" s="11" t="s">
        <v>29</v>
      </c>
      <c r="E52" s="31"/>
      <c r="F52" s="2">
        <v>417245</v>
      </c>
      <c r="G52" s="23"/>
      <c r="H52" s="23"/>
      <c r="I52" s="159"/>
      <c r="J52" s="160"/>
      <c r="K52" s="160"/>
      <c r="L52" s="70"/>
    </row>
    <row r="53" spans="1:12" s="2" customFormat="1" x14ac:dyDescent="0.2">
      <c r="A53" s="89">
        <v>45337</v>
      </c>
      <c r="B53" s="128" t="s">
        <v>11</v>
      </c>
      <c r="C53" s="76" t="s">
        <v>1734</v>
      </c>
      <c r="D53" s="11" t="s">
        <v>29</v>
      </c>
      <c r="E53" s="31"/>
      <c r="F53" s="2">
        <v>1655342</v>
      </c>
      <c r="G53" s="23"/>
      <c r="H53" s="23"/>
      <c r="I53" s="159"/>
      <c r="J53" s="160"/>
      <c r="K53" s="160"/>
      <c r="L53" s="70"/>
    </row>
    <row r="54" spans="1:12" s="2" customFormat="1" x14ac:dyDescent="0.2">
      <c r="A54" s="89">
        <v>45337</v>
      </c>
      <c r="B54" s="128" t="s">
        <v>11</v>
      </c>
      <c r="C54" s="76" t="s">
        <v>2074</v>
      </c>
      <c r="D54" s="11" t="s">
        <v>29</v>
      </c>
      <c r="E54" s="31"/>
      <c r="F54" s="2">
        <v>300000</v>
      </c>
      <c r="G54" s="23"/>
      <c r="H54" s="23"/>
      <c r="I54" s="159"/>
      <c r="J54" s="160"/>
      <c r="K54" s="160"/>
      <c r="L54" s="70"/>
    </row>
    <row r="55" spans="1:12" s="2" customFormat="1" x14ac:dyDescent="0.2">
      <c r="A55" s="89">
        <v>45337</v>
      </c>
      <c r="B55" s="128" t="s">
        <v>11</v>
      </c>
      <c r="C55" s="76" t="s">
        <v>685</v>
      </c>
      <c r="D55" s="11" t="s">
        <v>29</v>
      </c>
      <c r="E55" s="31"/>
      <c r="F55" s="2">
        <v>101790</v>
      </c>
      <c r="G55" s="23"/>
      <c r="H55" s="23"/>
      <c r="I55" s="159"/>
      <c r="J55" s="160"/>
      <c r="K55" s="160"/>
      <c r="L55" s="70"/>
    </row>
    <row r="56" spans="1:12" s="2" customFormat="1" x14ac:dyDescent="0.2">
      <c r="A56" s="89">
        <v>45337</v>
      </c>
      <c r="B56" s="128" t="s">
        <v>11</v>
      </c>
      <c r="C56" s="76" t="s">
        <v>392</v>
      </c>
      <c r="D56" s="11" t="s">
        <v>29</v>
      </c>
      <c r="E56" s="31"/>
      <c r="F56" s="2">
        <v>56787.17</v>
      </c>
      <c r="G56" s="23"/>
      <c r="H56" s="23"/>
      <c r="I56" s="159"/>
      <c r="J56" s="160"/>
      <c r="K56" s="160"/>
      <c r="L56" s="70"/>
    </row>
    <row r="57" spans="1:12" s="2" customFormat="1" x14ac:dyDescent="0.2">
      <c r="A57" s="89">
        <v>45337</v>
      </c>
      <c r="B57" s="128" t="s">
        <v>11</v>
      </c>
      <c r="C57" s="76" t="s">
        <v>1341</v>
      </c>
      <c r="D57" s="11" t="s">
        <v>29</v>
      </c>
      <c r="E57" s="31"/>
      <c r="F57" s="2">
        <v>61440.800000000003</v>
      </c>
      <c r="G57" s="23"/>
      <c r="H57" s="23"/>
      <c r="I57" s="159"/>
      <c r="J57" s="160"/>
      <c r="K57" s="160"/>
      <c r="L57" s="70"/>
    </row>
    <row r="58" spans="1:12" s="2" customFormat="1" x14ac:dyDescent="0.2">
      <c r="A58" s="89">
        <v>45337</v>
      </c>
      <c r="B58" s="128" t="s">
        <v>11</v>
      </c>
      <c r="C58" s="76" t="s">
        <v>507</v>
      </c>
      <c r="D58" s="11" t="s">
        <v>29</v>
      </c>
      <c r="E58" s="31"/>
      <c r="F58" s="2">
        <v>11800</v>
      </c>
      <c r="G58" s="23"/>
      <c r="H58" s="23"/>
      <c r="I58" s="159"/>
      <c r="J58" s="160"/>
      <c r="K58" s="160"/>
      <c r="L58" s="70"/>
    </row>
    <row r="59" spans="1:12" s="2" customFormat="1" x14ac:dyDescent="0.2">
      <c r="A59" s="89">
        <v>45337</v>
      </c>
      <c r="B59" s="128" t="s">
        <v>11</v>
      </c>
      <c r="C59" s="76" t="s">
        <v>753</v>
      </c>
      <c r="D59" s="11" t="s">
        <v>29</v>
      </c>
      <c r="E59" s="31"/>
      <c r="F59" s="2">
        <v>36698</v>
      </c>
      <c r="G59" s="23"/>
      <c r="H59" s="23"/>
      <c r="I59" s="159"/>
      <c r="J59" s="160"/>
      <c r="K59" s="160"/>
      <c r="L59" s="70"/>
    </row>
    <row r="60" spans="1:12" s="2" customFormat="1" x14ac:dyDescent="0.2">
      <c r="A60" s="89">
        <v>45337</v>
      </c>
      <c r="B60" s="128" t="s">
        <v>11</v>
      </c>
      <c r="C60" s="76" t="s">
        <v>224</v>
      </c>
      <c r="D60" s="11" t="s">
        <v>29</v>
      </c>
      <c r="E60" s="31"/>
      <c r="F60" s="2">
        <v>27543</v>
      </c>
      <c r="G60" s="23"/>
      <c r="H60" s="23"/>
      <c r="I60" s="159"/>
      <c r="J60" s="160"/>
      <c r="K60" s="160"/>
      <c r="L60" s="70"/>
    </row>
    <row r="61" spans="1:12" s="2" customFormat="1" x14ac:dyDescent="0.2">
      <c r="A61" s="89">
        <v>45337</v>
      </c>
      <c r="B61" s="128" t="s">
        <v>11</v>
      </c>
      <c r="C61" s="76" t="s">
        <v>226</v>
      </c>
      <c r="D61" s="11" t="s">
        <v>29</v>
      </c>
      <c r="E61" s="31"/>
      <c r="F61" s="2">
        <v>14950</v>
      </c>
      <c r="G61" s="23"/>
      <c r="H61" s="23"/>
      <c r="I61" s="159"/>
      <c r="J61" s="160"/>
      <c r="K61" s="160"/>
      <c r="L61" s="70"/>
    </row>
    <row r="62" spans="1:12" s="2" customFormat="1" x14ac:dyDescent="0.2">
      <c r="A62" s="89">
        <v>45337</v>
      </c>
      <c r="B62" s="128" t="s">
        <v>11</v>
      </c>
      <c r="C62" s="76" t="s">
        <v>409</v>
      </c>
      <c r="D62" s="11" t="s">
        <v>29</v>
      </c>
      <c r="E62" s="31"/>
      <c r="F62" s="2">
        <v>15943</v>
      </c>
      <c r="G62" s="23"/>
      <c r="H62" s="23"/>
      <c r="I62" s="159"/>
      <c r="J62" s="160"/>
      <c r="K62" s="160"/>
      <c r="L62" s="70"/>
    </row>
    <row r="63" spans="1:12" s="2" customFormat="1" x14ac:dyDescent="0.2">
      <c r="A63" s="89">
        <v>45337</v>
      </c>
      <c r="B63" s="128" t="s">
        <v>11</v>
      </c>
      <c r="C63" s="76" t="s">
        <v>1605</v>
      </c>
      <c r="D63" s="11" t="s">
        <v>29</v>
      </c>
      <c r="E63" s="31"/>
      <c r="F63" s="2">
        <v>63135</v>
      </c>
      <c r="G63" s="23"/>
      <c r="H63" s="23"/>
      <c r="I63" s="159"/>
      <c r="J63" s="160"/>
      <c r="K63" s="160"/>
      <c r="L63" s="70"/>
    </row>
    <row r="64" spans="1:12" s="2" customFormat="1" x14ac:dyDescent="0.2">
      <c r="A64" s="89">
        <v>45337</v>
      </c>
      <c r="B64" s="128" t="s">
        <v>11</v>
      </c>
      <c r="C64" s="76" t="s">
        <v>437</v>
      </c>
      <c r="D64" s="11" t="s">
        <v>29</v>
      </c>
      <c r="E64" s="31"/>
      <c r="F64" s="2">
        <v>14440</v>
      </c>
      <c r="G64" s="23"/>
      <c r="H64" s="23"/>
      <c r="I64" s="159"/>
      <c r="J64" s="160"/>
      <c r="K64" s="160"/>
      <c r="L64" s="70"/>
    </row>
    <row r="65" spans="1:19" s="2" customFormat="1" x14ac:dyDescent="0.2">
      <c r="A65" s="89">
        <v>45337</v>
      </c>
      <c r="B65" s="128" t="s">
        <v>11</v>
      </c>
      <c r="C65" s="76" t="s">
        <v>436</v>
      </c>
      <c r="D65" s="11" t="s">
        <v>29</v>
      </c>
      <c r="E65" s="31"/>
      <c r="F65" s="2">
        <v>32910</v>
      </c>
      <c r="G65" s="23"/>
      <c r="H65" s="23"/>
      <c r="I65" s="159"/>
      <c r="J65" s="160"/>
      <c r="K65" s="160"/>
      <c r="L65" s="70"/>
    </row>
    <row r="66" spans="1:19" s="2" customFormat="1" x14ac:dyDescent="0.2">
      <c r="A66" s="89">
        <v>45337</v>
      </c>
      <c r="B66" s="128" t="s">
        <v>11</v>
      </c>
      <c r="C66" s="76" t="s">
        <v>1908</v>
      </c>
      <c r="D66" s="11" t="s">
        <v>29</v>
      </c>
      <c r="E66" s="31"/>
      <c r="F66" s="2">
        <v>124320</v>
      </c>
      <c r="G66" s="23"/>
      <c r="H66" s="23"/>
      <c r="I66" s="159"/>
      <c r="J66" s="160"/>
      <c r="K66" s="160"/>
      <c r="L66" s="70"/>
    </row>
    <row r="67" spans="1:19" s="2" customFormat="1" x14ac:dyDescent="0.2">
      <c r="A67" s="89">
        <v>45337</v>
      </c>
      <c r="B67" s="128" t="s">
        <v>11</v>
      </c>
      <c r="C67" s="76" t="s">
        <v>2075</v>
      </c>
      <c r="D67" s="11" t="s">
        <v>29</v>
      </c>
      <c r="E67" s="31"/>
      <c r="F67" s="2">
        <v>21948</v>
      </c>
      <c r="G67" s="23"/>
      <c r="H67" s="23"/>
      <c r="I67" s="159"/>
      <c r="J67" s="160"/>
      <c r="K67" s="160"/>
      <c r="L67" s="70"/>
    </row>
    <row r="68" spans="1:19" s="2" customFormat="1" x14ac:dyDescent="0.2">
      <c r="A68" s="89">
        <v>45337</v>
      </c>
      <c r="B68" s="128" t="s">
        <v>11</v>
      </c>
      <c r="C68" s="76" t="s">
        <v>107</v>
      </c>
      <c r="D68" s="11" t="s">
        <v>29</v>
      </c>
      <c r="E68" s="31"/>
      <c r="F68" s="2">
        <v>979360.2300000001</v>
      </c>
      <c r="G68" s="23"/>
      <c r="H68" s="23"/>
      <c r="I68" s="159"/>
      <c r="J68" s="160"/>
      <c r="K68" s="160"/>
      <c r="L68" s="70"/>
    </row>
    <row r="69" spans="1:19" s="124" customFormat="1" ht="12.75" customHeight="1" x14ac:dyDescent="0.2">
      <c r="A69" s="89">
        <v>45337</v>
      </c>
      <c r="B69" s="128" t="s">
        <v>11</v>
      </c>
      <c r="C69" s="76" t="s">
        <v>260</v>
      </c>
      <c r="D69" s="11" t="s">
        <v>29</v>
      </c>
      <c r="E69" s="31"/>
      <c r="F69" s="2">
        <v>2432987.2000000002</v>
      </c>
      <c r="G69" s="23"/>
      <c r="H69" s="23"/>
      <c r="I69" s="159"/>
      <c r="J69" s="160"/>
      <c r="K69" s="160"/>
      <c r="L69" s="70"/>
      <c r="M69" s="2"/>
      <c r="N69" s="2"/>
      <c r="O69" s="2"/>
      <c r="P69" s="2"/>
    </row>
    <row r="70" spans="1:19" s="124" customFormat="1" ht="12.75" customHeight="1" x14ac:dyDescent="0.2">
      <c r="A70" s="89">
        <v>45337</v>
      </c>
      <c r="B70" s="128" t="s">
        <v>11</v>
      </c>
      <c r="C70" s="76" t="s">
        <v>754</v>
      </c>
      <c r="D70" s="11" t="s">
        <v>29</v>
      </c>
      <c r="E70" s="31"/>
      <c r="F70" s="2">
        <v>1934146.64</v>
      </c>
      <c r="G70" s="23"/>
      <c r="H70" s="23"/>
      <c r="I70" s="159"/>
      <c r="J70" s="160"/>
      <c r="K70" s="160"/>
      <c r="L70" s="70"/>
      <c r="M70" s="2"/>
      <c r="N70" s="2"/>
      <c r="O70" s="2"/>
      <c r="P70" s="2"/>
    </row>
    <row r="71" spans="1:19" s="124" customFormat="1" ht="12.75" customHeight="1" x14ac:dyDescent="0.2">
      <c r="A71" s="89">
        <v>45337</v>
      </c>
      <c r="B71" s="128" t="s">
        <v>11</v>
      </c>
      <c r="C71" s="76" t="s">
        <v>171</v>
      </c>
      <c r="D71" s="11" t="s">
        <v>29</v>
      </c>
      <c r="E71" s="31"/>
      <c r="F71" s="2">
        <v>5611</v>
      </c>
      <c r="G71" s="23"/>
      <c r="H71" s="23"/>
      <c r="I71" s="159"/>
      <c r="J71" s="160"/>
      <c r="K71" s="160"/>
      <c r="L71" s="70"/>
      <c r="M71" s="2"/>
      <c r="N71" s="2"/>
      <c r="O71" s="2"/>
      <c r="P71" s="2"/>
    </row>
    <row r="72" spans="1:19" s="124" customFormat="1" ht="12.75" customHeight="1" x14ac:dyDescent="0.2">
      <c r="A72" s="89">
        <v>45337</v>
      </c>
      <c r="B72" s="128" t="s">
        <v>11</v>
      </c>
      <c r="C72" s="76" t="s">
        <v>937</v>
      </c>
      <c r="D72" s="11" t="s">
        <v>29</v>
      </c>
      <c r="E72" s="31"/>
      <c r="F72" s="2">
        <v>4930</v>
      </c>
      <c r="G72" s="23"/>
      <c r="H72" s="23"/>
      <c r="I72" s="159"/>
      <c r="J72" s="160"/>
      <c r="K72" s="160"/>
      <c r="L72" s="70"/>
      <c r="M72" s="2"/>
      <c r="N72" s="2"/>
      <c r="O72" s="2"/>
      <c r="P72" s="2"/>
    </row>
    <row r="73" spans="1:19" s="124" customFormat="1" ht="12.75" customHeight="1" x14ac:dyDescent="0.2">
      <c r="A73" s="89">
        <v>45337</v>
      </c>
      <c r="B73" s="128" t="s">
        <v>11</v>
      </c>
      <c r="C73" s="76" t="s">
        <v>642</v>
      </c>
      <c r="D73" s="11" t="s">
        <v>29</v>
      </c>
      <c r="E73" s="31"/>
      <c r="F73" s="2">
        <v>6000</v>
      </c>
      <c r="G73" s="23"/>
      <c r="H73" s="23"/>
      <c r="I73" s="159"/>
      <c r="J73" s="160"/>
      <c r="K73" s="160"/>
      <c r="L73" s="70"/>
      <c r="M73" s="2"/>
      <c r="N73" s="2"/>
      <c r="O73" s="2"/>
      <c r="P73" s="2"/>
      <c r="Q73" s="2"/>
      <c r="R73" s="2"/>
      <c r="S73" s="2"/>
    </row>
    <row r="74" spans="1:19" s="2" customFormat="1" x14ac:dyDescent="0.2">
      <c r="A74" s="89">
        <v>45337</v>
      </c>
      <c r="B74" s="128" t="s">
        <v>11</v>
      </c>
      <c r="C74" s="76" t="s">
        <v>302</v>
      </c>
      <c r="D74" s="11" t="s">
        <v>29</v>
      </c>
      <c r="E74" s="31"/>
      <c r="F74" s="2">
        <v>19834</v>
      </c>
      <c r="G74" s="23"/>
      <c r="H74" s="23"/>
      <c r="I74" s="159"/>
      <c r="J74" s="160"/>
      <c r="K74" s="160"/>
      <c r="L74" s="70"/>
      <c r="Q74" s="70"/>
      <c r="R74" s="70"/>
      <c r="S74" s="70"/>
    </row>
    <row r="75" spans="1:19" s="70" customFormat="1" x14ac:dyDescent="0.2">
      <c r="A75" s="89">
        <v>45337</v>
      </c>
      <c r="B75" s="128" t="s">
        <v>11</v>
      </c>
      <c r="C75" s="76" t="s">
        <v>57</v>
      </c>
      <c r="D75" s="11" t="s">
        <v>29</v>
      </c>
      <c r="E75" s="31"/>
      <c r="F75" s="2">
        <v>500000</v>
      </c>
      <c r="G75" s="23"/>
      <c r="H75" s="23"/>
      <c r="I75" s="159"/>
      <c r="J75" s="160"/>
      <c r="K75" s="160"/>
      <c r="M75" s="2"/>
      <c r="N75" s="2"/>
      <c r="O75" s="2"/>
      <c r="P75" s="2"/>
    </row>
    <row r="76" spans="1:19" s="70" customFormat="1" x14ac:dyDescent="0.2">
      <c r="A76" s="89">
        <v>45337</v>
      </c>
      <c r="B76" s="128" t="s">
        <v>11</v>
      </c>
      <c r="C76" s="76" t="s">
        <v>194</v>
      </c>
      <c r="D76" s="11" t="s">
        <v>29</v>
      </c>
      <c r="E76" s="31"/>
      <c r="F76" s="2">
        <v>1054128</v>
      </c>
      <c r="G76" s="23"/>
      <c r="H76" s="23"/>
      <c r="I76" s="159"/>
      <c r="J76" s="160"/>
      <c r="K76" s="160"/>
      <c r="M76" s="2"/>
      <c r="N76" s="2"/>
      <c r="O76" s="2"/>
      <c r="P76" s="2"/>
    </row>
    <row r="77" spans="1:19" s="70" customFormat="1" x14ac:dyDescent="0.2">
      <c r="A77" s="89">
        <v>45337</v>
      </c>
      <c r="B77" s="128" t="s">
        <v>11</v>
      </c>
      <c r="C77" s="76" t="s">
        <v>600</v>
      </c>
      <c r="D77" s="11" t="s">
        <v>29</v>
      </c>
      <c r="E77" s="31"/>
      <c r="F77" s="2">
        <v>300000</v>
      </c>
      <c r="G77" s="23"/>
      <c r="H77" s="23"/>
      <c r="I77" s="159"/>
      <c r="J77" s="160"/>
      <c r="K77" s="160"/>
      <c r="L77" s="148" t="s">
        <v>329</v>
      </c>
      <c r="M77" s="2"/>
      <c r="N77" s="2"/>
      <c r="O77" s="2"/>
      <c r="P77" s="2"/>
    </row>
    <row r="78" spans="1:19" s="70" customFormat="1" x14ac:dyDescent="0.2">
      <c r="A78" s="32"/>
      <c r="B78" s="33"/>
      <c r="C78" s="14"/>
      <c r="D78" s="34"/>
      <c r="E78" s="16">
        <f>SUM(E22:E77)</f>
        <v>12914477.5</v>
      </c>
      <c r="F78" s="16">
        <f>SUM(F22:F77)</f>
        <v>95916363.049999923</v>
      </c>
      <c r="G78" s="1"/>
      <c r="H78" s="1"/>
      <c r="I78" s="1"/>
      <c r="J78" s="38">
        <v>82044180.549999997</v>
      </c>
      <c r="K78" s="2"/>
      <c r="L78" s="92">
        <f>E79-J78</f>
        <v>957704.99999992549</v>
      </c>
      <c r="M78" s="2"/>
      <c r="N78" s="2"/>
      <c r="O78" s="2"/>
      <c r="P78" s="2"/>
    </row>
    <row r="79" spans="1:19" s="70" customFormat="1" x14ac:dyDescent="0.2">
      <c r="A79" s="36"/>
      <c r="B79" s="28" t="s">
        <v>11</v>
      </c>
      <c r="C79" s="19" t="s">
        <v>65</v>
      </c>
      <c r="D79" s="37"/>
      <c r="E79" s="38">
        <f>F78-E78</f>
        <v>83001885.549999923</v>
      </c>
      <c r="F79" s="22"/>
      <c r="G79" s="1"/>
      <c r="H79" s="1"/>
      <c r="I79" s="1"/>
      <c r="M79" s="2"/>
      <c r="N79" s="2"/>
      <c r="O79" s="1"/>
      <c r="P79" s="2"/>
    </row>
    <row r="80" spans="1:19" s="70" customFormat="1" x14ac:dyDescent="0.2">
      <c r="A80" s="36"/>
      <c r="B80" s="28" t="s">
        <v>66</v>
      </c>
      <c r="C80" s="19" t="s">
        <v>67</v>
      </c>
      <c r="D80" s="37"/>
      <c r="E80" s="38">
        <v>11500000</v>
      </c>
      <c r="F80" s="22"/>
      <c r="G80" s="1"/>
      <c r="H80" s="1"/>
      <c r="M80" s="2"/>
      <c r="N80" s="2"/>
      <c r="O80" s="1"/>
      <c r="P80" s="2"/>
    </row>
    <row r="81" spans="1:19" s="70" customFormat="1" x14ac:dyDescent="0.2">
      <c r="A81" s="36"/>
      <c r="B81" s="28" t="s">
        <v>66</v>
      </c>
      <c r="C81" s="43" t="s">
        <v>1457</v>
      </c>
      <c r="D81" s="43"/>
      <c r="E81" s="12">
        <f>400000000</f>
        <v>400000000</v>
      </c>
      <c r="F81" s="22"/>
      <c r="G81" s="1"/>
      <c r="H81" s="1"/>
      <c r="J81" s="45">
        <v>1456.58</v>
      </c>
      <c r="K81" s="46"/>
      <c r="L81" s="46"/>
      <c r="M81" s="2"/>
      <c r="N81" s="2"/>
      <c r="O81" s="1"/>
      <c r="P81" s="2"/>
    </row>
    <row r="82" spans="1:19" s="70" customFormat="1" ht="15" x14ac:dyDescent="0.25">
      <c r="A82" s="36"/>
      <c r="B82" s="28"/>
      <c r="C82" s="44" t="s">
        <v>1541</v>
      </c>
      <c r="D82" s="43"/>
      <c r="E82" s="7">
        <f>+E81+E79+E80</f>
        <v>494501885.54999995</v>
      </c>
      <c r="F82" s="22"/>
      <c r="G82" s="1"/>
      <c r="H82" s="1"/>
      <c r="I82" s="103" t="s">
        <v>69</v>
      </c>
      <c r="J82" s="45">
        <v>-70.58</v>
      </c>
      <c r="K82" s="46"/>
      <c r="L82" s="46"/>
      <c r="M82" s="2"/>
      <c r="N82" s="2"/>
      <c r="O82" s="1"/>
      <c r="P82" s="2"/>
    </row>
    <row r="83" spans="1:19" s="70" customFormat="1" ht="15" x14ac:dyDescent="0.25">
      <c r="A83" s="24"/>
      <c r="B83" s="1"/>
      <c r="C83" s="44" t="s">
        <v>1510</v>
      </c>
      <c r="D83" s="25"/>
      <c r="E83" s="156">
        <f>+J21-E80+I17-J17</f>
        <v>6455819.450000003</v>
      </c>
      <c r="F83" s="2"/>
      <c r="G83" s="1"/>
      <c r="H83" s="1"/>
      <c r="I83" s="35">
        <v>1</v>
      </c>
      <c r="J83" s="45">
        <v>60.07</v>
      </c>
      <c r="K83" s="46">
        <f>+J84-D86</f>
        <v>0</v>
      </c>
      <c r="L83" s="2"/>
      <c r="M83" s="2"/>
      <c r="N83" s="2"/>
      <c r="O83" s="1"/>
      <c r="P83" s="2"/>
    </row>
    <row r="84" spans="1:19" s="70" customFormat="1" ht="12.75" customHeight="1" x14ac:dyDescent="0.2">
      <c r="A84" s="24"/>
      <c r="B84" s="1"/>
      <c r="C84" s="56"/>
      <c r="D84" s="56"/>
      <c r="E84" s="104"/>
      <c r="F84" s="2"/>
      <c r="G84" s="166"/>
      <c r="H84" s="166"/>
      <c r="J84" s="49">
        <f>SUM(J81:J83)</f>
        <v>1446.07</v>
      </c>
      <c r="K84" s="46"/>
      <c r="L84" s="46"/>
      <c r="M84" s="124"/>
      <c r="N84" s="124"/>
      <c r="O84" s="1"/>
      <c r="P84" s="2"/>
    </row>
    <row r="85" spans="1:19" s="70" customFormat="1" ht="12.75" customHeight="1" x14ac:dyDescent="0.2">
      <c r="A85" s="24"/>
      <c r="B85" s="1"/>
      <c r="C85" s="78" t="s">
        <v>575</v>
      </c>
      <c r="D85" s="48" t="s">
        <v>576</v>
      </c>
      <c r="E85" s="104"/>
      <c r="F85" s="2"/>
      <c r="G85" s="168"/>
      <c r="H85" s="168"/>
      <c r="I85" s="167"/>
      <c r="J85" s="167"/>
      <c r="K85" s="168"/>
      <c r="L85" s="124"/>
      <c r="M85" s="124"/>
      <c r="N85" s="124"/>
      <c r="O85" s="124"/>
      <c r="P85" s="2"/>
    </row>
    <row r="86" spans="1:19" s="70" customFormat="1" ht="12.75" customHeight="1" x14ac:dyDescent="0.2">
      <c r="A86" s="24"/>
      <c r="B86" s="1"/>
      <c r="C86" s="47" t="s">
        <v>570</v>
      </c>
      <c r="D86" s="111">
        <v>1446.07</v>
      </c>
      <c r="E86" s="104"/>
      <c r="F86" s="2"/>
      <c r="G86" s="168"/>
      <c r="H86" s="168"/>
      <c r="I86" s="110" t="s">
        <v>581</v>
      </c>
      <c r="J86" s="167"/>
      <c r="K86" s="168"/>
      <c r="L86" s="124"/>
      <c r="M86" s="124"/>
      <c r="N86" s="124"/>
      <c r="O86" s="124"/>
      <c r="P86" s="124"/>
    </row>
    <row r="87" spans="1:19" s="70" customFormat="1" ht="12.75" customHeight="1" x14ac:dyDescent="0.2">
      <c r="A87" s="24"/>
      <c r="B87" s="1"/>
      <c r="C87" s="47" t="s">
        <v>931</v>
      </c>
      <c r="D87" s="111">
        <v>105.65</v>
      </c>
      <c r="E87" s="104"/>
      <c r="F87" s="2"/>
      <c r="G87" s="168"/>
      <c r="H87" s="168"/>
      <c r="I87" s="110" t="s">
        <v>580</v>
      </c>
      <c r="J87" s="167"/>
      <c r="K87" s="168"/>
      <c r="L87" s="124"/>
      <c r="M87" s="124"/>
      <c r="N87" s="124"/>
      <c r="O87" s="124"/>
      <c r="P87" s="124"/>
    </row>
    <row r="88" spans="1:19" s="70" customFormat="1" ht="12.75" customHeight="1" x14ac:dyDescent="0.2">
      <c r="A88" s="24"/>
      <c r="B88" s="1"/>
      <c r="C88" s="47" t="s">
        <v>572</v>
      </c>
      <c r="D88" s="111">
        <f>+D110/100000</f>
        <v>44.600650000000002</v>
      </c>
      <c r="E88" s="104"/>
      <c r="F88" s="2"/>
      <c r="G88" s="166"/>
      <c r="H88" s="166"/>
      <c r="I88" s="90" t="s">
        <v>587</v>
      </c>
      <c r="J88" s="167"/>
      <c r="K88" s="168"/>
      <c r="L88" s="124"/>
      <c r="M88" s="124"/>
      <c r="N88" s="124"/>
      <c r="O88" s="124"/>
      <c r="P88" s="124"/>
    </row>
    <row r="89" spans="1:19" s="70" customFormat="1" ht="12.75" customHeight="1" x14ac:dyDescent="0.2">
      <c r="A89" s="24"/>
      <c r="B89" s="1"/>
      <c r="C89" s="108" t="s">
        <v>578</v>
      </c>
      <c r="D89" s="48">
        <f>SUM(D86:D88)</f>
        <v>1596.3206500000001</v>
      </c>
      <c r="E89" s="104"/>
      <c r="F89" s="2"/>
      <c r="G89" s="30"/>
      <c r="H89" s="30"/>
      <c r="I89" s="2"/>
      <c r="J89" s="13"/>
      <c r="K89" s="13"/>
      <c r="L89" s="2"/>
      <c r="M89" s="2"/>
      <c r="N89" s="2"/>
      <c r="O89" s="124"/>
      <c r="P89" s="124"/>
    </row>
    <row r="90" spans="1:19" s="70" customFormat="1" ht="12.75" customHeight="1" x14ac:dyDescent="0.2">
      <c r="A90" s="24"/>
      <c r="B90" s="1"/>
      <c r="C90" s="47"/>
      <c r="D90" s="107"/>
      <c r="E90" s="104"/>
      <c r="F90" s="2"/>
      <c r="G90" s="30"/>
      <c r="H90" s="30"/>
      <c r="I90" s="2"/>
      <c r="O90" s="2"/>
      <c r="P90" s="124"/>
    </row>
    <row r="91" spans="1:19" s="70" customFormat="1" ht="12.75" customHeight="1" x14ac:dyDescent="0.2">
      <c r="A91" s="24"/>
      <c r="B91" s="1"/>
      <c r="C91" s="47" t="s">
        <v>932</v>
      </c>
      <c r="D91" s="111">
        <v>82.8</v>
      </c>
      <c r="E91" s="104"/>
      <c r="F91" s="2"/>
      <c r="G91" s="30"/>
      <c r="H91" s="30"/>
      <c r="I91" s="110" t="s">
        <v>581</v>
      </c>
      <c r="P91" s="2"/>
    </row>
    <row r="92" spans="1:19" s="70" customFormat="1" ht="12.75" customHeight="1" x14ac:dyDescent="0.2">
      <c r="A92" s="24"/>
      <c r="B92" s="1"/>
      <c r="C92" s="136" t="s">
        <v>1142</v>
      </c>
      <c r="D92" s="111">
        <v>331.37</v>
      </c>
      <c r="E92" s="104"/>
      <c r="F92" s="2"/>
      <c r="G92" s="30"/>
      <c r="H92" s="30"/>
      <c r="I92" s="110" t="s">
        <v>581</v>
      </c>
    </row>
    <row r="93" spans="1:19" s="70" customFormat="1" ht="12.75" customHeight="1" x14ac:dyDescent="0.2">
      <c r="A93" s="24"/>
      <c r="B93" s="1"/>
      <c r="C93" s="78" t="s">
        <v>579</v>
      </c>
      <c r="D93" s="109">
        <f>D91+D92</f>
        <v>414.17</v>
      </c>
      <c r="E93" s="104"/>
      <c r="F93" s="2"/>
      <c r="G93" s="30"/>
      <c r="H93" s="30"/>
      <c r="Q93" s="2"/>
      <c r="R93" s="2"/>
      <c r="S93" s="2"/>
    </row>
    <row r="94" spans="1:19" s="2" customFormat="1" x14ac:dyDescent="0.2">
      <c r="A94" s="24"/>
      <c r="B94" s="1"/>
      <c r="C94" s="105"/>
      <c r="D94" s="106"/>
      <c r="E94" s="104"/>
      <c r="G94" s="30"/>
      <c r="H94" s="30"/>
      <c r="I94" s="70"/>
      <c r="K94" s="221" t="str">
        <f>"FROM ( 01-02-2024 to "&amp;TEXT(A5,"dd-mm-yyyy")&amp;" )"</f>
        <v>FROM ( 01-02-2024 to 15-02-2024 )</v>
      </c>
      <c r="L94" s="221"/>
      <c r="O94" s="70"/>
      <c r="P94" s="70"/>
    </row>
    <row r="95" spans="1:19" s="2" customFormat="1" x14ac:dyDescent="0.2">
      <c r="A95" s="24"/>
      <c r="B95" s="1"/>
      <c r="C95" s="78" t="s">
        <v>577</v>
      </c>
      <c r="D95" s="109">
        <f>D86+D93</f>
        <v>1860.24</v>
      </c>
      <c r="E95" s="104"/>
      <c r="G95" s="30"/>
      <c r="H95" s="30"/>
      <c r="I95" s="70"/>
      <c r="J95" s="113"/>
      <c r="K95" s="113" t="s">
        <v>709</v>
      </c>
      <c r="L95" s="113" t="s">
        <v>710</v>
      </c>
      <c r="M95" s="113" t="s">
        <v>711</v>
      </c>
      <c r="N95" s="113" t="s">
        <v>712</v>
      </c>
      <c r="O95" s="70"/>
      <c r="P95" s="70"/>
    </row>
    <row r="96" spans="1:19" s="2" customFormat="1" x14ac:dyDescent="0.2">
      <c r="A96" s="24"/>
      <c r="B96" s="1"/>
      <c r="C96" s="56"/>
      <c r="D96" s="56"/>
      <c r="E96" s="104"/>
      <c r="G96" s="30"/>
      <c r="H96" s="30"/>
      <c r="I96" s="70"/>
      <c r="J96" s="113" t="s">
        <v>1860</v>
      </c>
      <c r="K96" s="115">
        <v>191.98999999999998</v>
      </c>
      <c r="L96" s="115">
        <v>0</v>
      </c>
      <c r="M96" s="115">
        <v>0</v>
      </c>
      <c r="N96" s="113">
        <f>+K96+M96-L96</f>
        <v>191.98999999999998</v>
      </c>
      <c r="O96" s="70"/>
      <c r="P96" s="70"/>
    </row>
    <row r="97" spans="1:16" s="2" customFormat="1" ht="38.25" x14ac:dyDescent="0.2">
      <c r="A97" s="24"/>
      <c r="B97" s="1"/>
      <c r="C97" s="79" t="str">
        <f>"Particulars ( 01-02-2024 to "&amp;TEXT(A5,"dd-mm-yyyy")&amp;" )"</f>
        <v>Particulars ( 01-02-2024 to 15-02-2024 )</v>
      </c>
      <c r="D97" s="79" t="s">
        <v>7</v>
      </c>
      <c r="E97" s="80" t="s">
        <v>73</v>
      </c>
      <c r="F97" s="80" t="s">
        <v>74</v>
      </c>
      <c r="G97" s="81" t="s">
        <v>75</v>
      </c>
      <c r="H97" s="80" t="s">
        <v>76</v>
      </c>
      <c r="I97" s="70"/>
      <c r="J97" s="113" t="s">
        <v>1861</v>
      </c>
      <c r="K97" s="115">
        <v>1862.06</v>
      </c>
      <c r="L97" s="115">
        <v>44.6</v>
      </c>
      <c r="M97" s="115">
        <v>331.37</v>
      </c>
      <c r="N97" s="113">
        <f>+K97+M97-L97</f>
        <v>2148.83</v>
      </c>
      <c r="O97" s="70"/>
      <c r="P97" s="70"/>
    </row>
    <row r="98" spans="1:16" s="2" customFormat="1" x14ac:dyDescent="0.2">
      <c r="A98" s="24"/>
      <c r="B98" s="1"/>
      <c r="C98" s="50" t="s">
        <v>444</v>
      </c>
      <c r="D98" s="55">
        <f>+K98</f>
        <v>332.44</v>
      </c>
      <c r="E98" s="55">
        <f>+IF(M98=0,0,M98)</f>
        <v>82.8</v>
      </c>
      <c r="F98" s="55">
        <f>+L98</f>
        <v>105.65</v>
      </c>
      <c r="G98" s="55">
        <f>+D98+E98-F98</f>
        <v>309.59000000000003</v>
      </c>
      <c r="H98" s="55">
        <f>1500-G98</f>
        <v>1190.4099999999999</v>
      </c>
      <c r="I98" s="70">
        <f>+IF(M98=0,0,M98)</f>
        <v>82.8</v>
      </c>
      <c r="J98" s="113" t="s">
        <v>707</v>
      </c>
      <c r="K98" s="115">
        <v>332.44</v>
      </c>
      <c r="L98" s="115">
        <v>105.65</v>
      </c>
      <c r="M98" s="115">
        <v>82.8</v>
      </c>
      <c r="N98" s="113">
        <f>+K98+M98-L98</f>
        <v>309.59000000000003</v>
      </c>
      <c r="O98" s="70"/>
      <c r="P98" s="70"/>
    </row>
    <row r="99" spans="1:16" s="2" customFormat="1" x14ac:dyDescent="0.2">
      <c r="A99" s="24"/>
      <c r="B99" s="1"/>
      <c r="C99" s="50" t="s">
        <v>71</v>
      </c>
      <c r="D99" s="55">
        <f>+K96+K97</f>
        <v>2054.0499999999997</v>
      </c>
      <c r="E99" s="55">
        <f>+M96+M97</f>
        <v>331.37</v>
      </c>
      <c r="F99" s="55">
        <f>+L96+L97</f>
        <v>44.6</v>
      </c>
      <c r="G99" s="55">
        <f>+D99+E99-F99</f>
        <v>2340.8199999999997</v>
      </c>
      <c r="H99" s="55">
        <f>1500+700+200-G99</f>
        <v>59.180000000000291</v>
      </c>
      <c r="I99" s="70"/>
      <c r="K99" s="118">
        <f>SUM(K96:K98)</f>
        <v>2386.4899999999998</v>
      </c>
      <c r="L99" s="118">
        <f>SUM(L96:L98)</f>
        <v>150.25</v>
      </c>
      <c r="M99" s="118">
        <f>SUM(M96:M98)</f>
        <v>414.17</v>
      </c>
      <c r="N99" s="118">
        <f>SUM(N96:N98)</f>
        <v>2650.41</v>
      </c>
      <c r="O99" s="70"/>
      <c r="P99" s="70"/>
    </row>
    <row r="100" spans="1:16" s="2" customFormat="1" x14ac:dyDescent="0.2">
      <c r="A100" s="24"/>
      <c r="B100" s="1"/>
      <c r="C100" s="14"/>
      <c r="D100" s="56"/>
      <c r="E100" s="13"/>
      <c r="G100" s="30"/>
      <c r="H100" s="30"/>
      <c r="I100" s="70"/>
      <c r="J100" s="70"/>
      <c r="K100" s="70"/>
      <c r="L100" s="70"/>
      <c r="M100" s="70"/>
      <c r="N100" s="70"/>
      <c r="O100" s="70"/>
      <c r="P100" s="70"/>
    </row>
    <row r="101" spans="1:16" s="2" customFormat="1" x14ac:dyDescent="0.2">
      <c r="A101" s="215" t="s">
        <v>80</v>
      </c>
      <c r="B101" s="216"/>
      <c r="C101" s="216"/>
      <c r="D101" s="217"/>
      <c r="E101" s="69"/>
      <c r="F101" s="70"/>
      <c r="G101" s="30"/>
      <c r="H101" s="30"/>
      <c r="I101" s="70"/>
      <c r="J101" s="70"/>
      <c r="K101" s="70"/>
      <c r="L101" s="70"/>
      <c r="M101" s="70"/>
      <c r="N101" s="70"/>
      <c r="O101" s="70"/>
      <c r="P101" s="70"/>
    </row>
    <row r="102" spans="1:16" s="2" customFormat="1" x14ac:dyDescent="0.2">
      <c r="A102" s="71" t="s">
        <v>81</v>
      </c>
      <c r="B102" s="71"/>
      <c r="C102" s="72" t="s">
        <v>82</v>
      </c>
      <c r="D102" s="73" t="s">
        <v>83</v>
      </c>
      <c r="E102" s="69"/>
      <c r="F102" s="70"/>
      <c r="G102" s="30"/>
      <c r="H102" s="30"/>
      <c r="I102" s="70"/>
      <c r="J102" s="70"/>
      <c r="K102" s="70"/>
      <c r="L102" s="70"/>
      <c r="M102" s="70"/>
      <c r="N102" s="70"/>
      <c r="O102" s="70"/>
      <c r="P102" s="70"/>
    </row>
    <row r="103" spans="1:16" s="2" customFormat="1" x14ac:dyDescent="0.2">
      <c r="A103" s="87">
        <v>45323</v>
      </c>
      <c r="B103" s="120" t="s">
        <v>6</v>
      </c>
      <c r="C103" s="75" t="s">
        <v>2030</v>
      </c>
      <c r="D103" s="88">
        <v>881220</v>
      </c>
      <c r="G103" s="30"/>
      <c r="H103" s="30"/>
      <c r="M103" s="41"/>
      <c r="N103" s="42"/>
      <c r="O103" s="70"/>
      <c r="P103" s="70"/>
    </row>
    <row r="104" spans="1:16" s="2" customFormat="1" x14ac:dyDescent="0.2">
      <c r="A104" s="87">
        <v>45324</v>
      </c>
      <c r="B104" s="120" t="s">
        <v>6</v>
      </c>
      <c r="C104" s="75" t="s">
        <v>1934</v>
      </c>
      <c r="D104" s="88">
        <v>47729</v>
      </c>
      <c r="G104" s="30"/>
      <c r="H104" s="30"/>
      <c r="M104" s="41"/>
      <c r="N104" s="42"/>
      <c r="P104" s="70"/>
    </row>
    <row r="105" spans="1:16" s="2" customFormat="1" x14ac:dyDescent="0.2">
      <c r="A105" s="87">
        <v>45328</v>
      </c>
      <c r="B105" s="120" t="s">
        <v>6</v>
      </c>
      <c r="C105" s="75" t="s">
        <v>606</v>
      </c>
      <c r="D105" s="88">
        <v>1312580</v>
      </c>
      <c r="G105" s="30"/>
      <c r="H105" s="30"/>
      <c r="M105" s="41"/>
      <c r="N105" s="42"/>
      <c r="P105" s="70"/>
    </row>
    <row r="106" spans="1:16" s="2" customFormat="1" x14ac:dyDescent="0.2">
      <c r="A106" s="87">
        <v>45327</v>
      </c>
      <c r="B106" s="120" t="s">
        <v>6</v>
      </c>
      <c r="C106" s="75" t="s">
        <v>606</v>
      </c>
      <c r="D106" s="88">
        <v>56647</v>
      </c>
      <c r="G106" s="30"/>
      <c r="H106" s="30"/>
      <c r="M106" s="41"/>
      <c r="N106" s="42"/>
      <c r="P106" s="70"/>
    </row>
    <row r="107" spans="1:16" s="2" customFormat="1" x14ac:dyDescent="0.2">
      <c r="A107" s="87">
        <v>45329</v>
      </c>
      <c r="B107" s="120" t="s">
        <v>6</v>
      </c>
      <c r="C107" s="75" t="s">
        <v>2030</v>
      </c>
      <c r="D107" s="88">
        <v>548859</v>
      </c>
      <c r="G107" s="30"/>
      <c r="H107" s="30"/>
      <c r="M107" s="41"/>
      <c r="N107" s="42"/>
      <c r="P107" s="70"/>
    </row>
    <row r="108" spans="1:16" s="2" customFormat="1" x14ac:dyDescent="0.2">
      <c r="A108" s="87">
        <v>45332</v>
      </c>
      <c r="B108" s="120" t="s">
        <v>6</v>
      </c>
      <c r="C108" s="75" t="s">
        <v>1084</v>
      </c>
      <c r="D108" s="88">
        <v>1603904</v>
      </c>
      <c r="G108" s="30"/>
      <c r="H108" s="30"/>
      <c r="M108" s="41"/>
      <c r="N108" s="42"/>
      <c r="P108" s="70"/>
    </row>
    <row r="109" spans="1:16" s="2" customFormat="1" x14ac:dyDescent="0.2">
      <c r="A109" s="87">
        <v>45335</v>
      </c>
      <c r="B109" s="120" t="s">
        <v>6</v>
      </c>
      <c r="C109" s="75" t="s">
        <v>271</v>
      </c>
      <c r="D109" s="88">
        <v>9126</v>
      </c>
      <c r="G109" s="30"/>
      <c r="H109" s="30"/>
      <c r="P109" s="70"/>
    </row>
    <row r="110" spans="1:16" s="2" customFormat="1" x14ac:dyDescent="0.2">
      <c r="A110" s="87"/>
      <c r="B110" s="74"/>
      <c r="C110" s="75"/>
      <c r="D110" s="51">
        <f>SUM(D103:D109)</f>
        <v>4460065</v>
      </c>
      <c r="F110" s="2" t="s">
        <v>396</v>
      </c>
      <c r="G110" s="1"/>
      <c r="H110" s="1"/>
      <c r="P110" s="70"/>
    </row>
    <row r="111" spans="1:16" s="2" customFormat="1" x14ac:dyDescent="0.2">
      <c r="A111" s="24"/>
      <c r="B111" s="1"/>
      <c r="C111" s="14"/>
      <c r="D111" s="56"/>
      <c r="E111" s="13"/>
      <c r="G111" s="1"/>
      <c r="H111" s="1"/>
      <c r="I111" s="2" t="s">
        <v>396</v>
      </c>
    </row>
    <row r="112" spans="1:16" s="2" customFormat="1" x14ac:dyDescent="0.2">
      <c r="A112" s="24"/>
      <c r="B112" s="1"/>
      <c r="C112" s="218" t="s">
        <v>77</v>
      </c>
      <c r="D112" s="219"/>
      <c r="E112" s="219"/>
      <c r="F112" s="220"/>
      <c r="I112" s="2" t="s">
        <v>396</v>
      </c>
    </row>
    <row r="113" spans="1:14" s="2" customFormat="1" x14ac:dyDescent="0.2">
      <c r="A113" s="24"/>
      <c r="B113" s="1"/>
      <c r="C113" s="50"/>
      <c r="D113" s="57" t="s">
        <v>78</v>
      </c>
      <c r="E113" s="58" t="s">
        <v>79</v>
      </c>
      <c r="F113" s="57" t="s">
        <v>72</v>
      </c>
    </row>
    <row r="114" spans="1:14" s="2" customFormat="1" x14ac:dyDescent="0.2">
      <c r="A114" s="24"/>
      <c r="B114" s="1"/>
      <c r="C114" s="59" t="str">
        <f>"01-02-2024 to "&amp;TEXT(A5-2,"dd-mm-yyyy")</f>
        <v>01-02-2024 to 13-02-2024</v>
      </c>
      <c r="D114" s="60">
        <v>1666.66</v>
      </c>
      <c r="E114" s="60">
        <v>278.45999999999998</v>
      </c>
      <c r="F114" s="61">
        <f>SUM(D114:E114)</f>
        <v>1945.1200000000001</v>
      </c>
      <c r="I114" s="53"/>
    </row>
    <row r="115" spans="1:14" s="2" customFormat="1" x14ac:dyDescent="0.2">
      <c r="A115" s="24"/>
      <c r="B115" s="1"/>
      <c r="C115" s="62" t="str">
        <f>TEXT(A5-1,"dd-mm-yyyy")</f>
        <v>14-02-2024</v>
      </c>
      <c r="D115" s="60">
        <v>130.21</v>
      </c>
      <c r="E115" s="60">
        <v>41.03</v>
      </c>
      <c r="F115" s="61">
        <f>SUM(D115:E115)</f>
        <v>171.24</v>
      </c>
      <c r="G115" s="1"/>
      <c r="H115" s="1"/>
      <c r="I115" s="53"/>
    </row>
    <row r="116" spans="1:14" s="2" customFormat="1" ht="13.5" thickBot="1" x14ac:dyDescent="0.25">
      <c r="A116" s="24"/>
      <c r="B116" s="1"/>
      <c r="C116" s="63" t="str">
        <f>"01-02-2024 to "&amp;TEXT(A5-1,"dd-mm-yyyy")</f>
        <v>01-02-2024 to 14-02-2024</v>
      </c>
      <c r="D116" s="64">
        <f>SUM(D114:D115)</f>
        <v>1796.8700000000001</v>
      </c>
      <c r="E116" s="64">
        <f>SUM(E114:E115)</f>
        <v>319.49</v>
      </c>
      <c r="F116" s="64">
        <f>SUM(F114:F115)</f>
        <v>2116.36</v>
      </c>
      <c r="G116" s="1"/>
      <c r="H116" s="1"/>
      <c r="M116" s="1"/>
      <c r="N116" s="1"/>
    </row>
    <row r="117" spans="1:14" s="2" customFormat="1" ht="13.5" thickTop="1" x14ac:dyDescent="0.2">
      <c r="A117" s="24"/>
      <c r="B117" s="1"/>
      <c r="C117" s="62"/>
      <c r="D117" s="65"/>
      <c r="E117" s="66"/>
      <c r="F117" s="67"/>
      <c r="M117" s="1"/>
      <c r="N117" s="1"/>
    </row>
    <row r="118" spans="1:14" s="2" customFormat="1" x14ac:dyDescent="0.2">
      <c r="A118" s="24"/>
      <c r="B118" s="1"/>
      <c r="C118" s="62" t="str">
        <f>"01-04-2023 to " &amp;C115</f>
        <v>01-04-2023 to 14-02-2024</v>
      </c>
      <c r="D118" s="68">
        <f>+D116+37155.6</f>
        <v>38952.47</v>
      </c>
      <c r="E118" s="68">
        <f>+E116+4502.26</f>
        <v>4821.75</v>
      </c>
      <c r="F118" s="68">
        <f>+F116+41657.86</f>
        <v>43774.22</v>
      </c>
      <c r="G118" s="1"/>
      <c r="H118" s="1"/>
      <c r="M118" s="1"/>
      <c r="N118" s="1"/>
    </row>
    <row r="119" spans="1:14" s="2" customFormat="1" x14ac:dyDescent="0.2">
      <c r="A119" s="24"/>
      <c r="B119" s="1"/>
      <c r="C119" s="52"/>
      <c r="D119" s="85"/>
      <c r="E119" s="53"/>
      <c r="F119" s="53"/>
      <c r="G119" s="1"/>
      <c r="H119" s="1"/>
      <c r="M119" s="1"/>
      <c r="N119" s="1"/>
    </row>
    <row r="120" spans="1:14" s="2" customFormat="1" x14ac:dyDescent="0.2">
      <c r="A120" s="24"/>
      <c r="B120" s="1"/>
      <c r="C120" s="52"/>
      <c r="D120" s="85"/>
      <c r="E120" s="53"/>
      <c r="F120" s="53"/>
      <c r="G120" s="1"/>
      <c r="H120" s="1"/>
      <c r="M120" s="1"/>
      <c r="N120" s="1"/>
    </row>
    <row r="121" spans="1:14" s="2" customFormat="1" x14ac:dyDescent="0.2">
      <c r="A121" s="24"/>
      <c r="B121" s="1"/>
      <c r="C121" s="52"/>
      <c r="D121" s="85"/>
      <c r="E121" s="53"/>
      <c r="F121" s="53"/>
      <c r="G121" s="1"/>
      <c r="H121" s="1"/>
      <c r="M121" s="1"/>
      <c r="N121" s="1"/>
    </row>
    <row r="122" spans="1:14" s="2" customFormat="1" x14ac:dyDescent="0.2">
      <c r="A122" s="24"/>
      <c r="B122" s="1"/>
      <c r="C122" s="52"/>
      <c r="D122" s="85"/>
      <c r="E122" s="53"/>
      <c r="F122" s="53"/>
      <c r="G122" s="1"/>
      <c r="H122" s="1"/>
      <c r="M122" s="1"/>
      <c r="N122" s="1"/>
    </row>
    <row r="123" spans="1:14" s="2" customFormat="1" x14ac:dyDescent="0.2">
      <c r="A123" s="24"/>
      <c r="B123" s="1"/>
      <c r="C123" s="14"/>
      <c r="D123" s="25">
        <f>SUM(D120:D122)</f>
        <v>0</v>
      </c>
      <c r="E123" s="2">
        <f>SUM(E120:E122)</f>
        <v>0</v>
      </c>
      <c r="G123" s="1"/>
      <c r="H123" s="1"/>
      <c r="M123" s="1"/>
      <c r="N123" s="1"/>
    </row>
    <row r="124" spans="1:14" s="2" customFormat="1" x14ac:dyDescent="0.2">
      <c r="A124" s="24"/>
      <c r="B124" s="1"/>
      <c r="C124" s="14"/>
      <c r="D124" s="25"/>
      <c r="G124" s="1"/>
      <c r="H124" s="1"/>
      <c r="M124" s="1"/>
      <c r="N124" s="1"/>
    </row>
    <row r="125" spans="1:14" s="2" customFormat="1" x14ac:dyDescent="0.2">
      <c r="A125" s="24"/>
      <c r="B125" s="1"/>
      <c r="C125" s="14"/>
      <c r="D125" s="25"/>
      <c r="G125" s="1"/>
      <c r="H125" s="1"/>
      <c r="M125" s="1"/>
      <c r="N125" s="1"/>
    </row>
    <row r="126" spans="1:14" s="2" customFormat="1" x14ac:dyDescent="0.2">
      <c r="A126" s="24"/>
      <c r="B126" s="1"/>
      <c r="C126" s="14"/>
      <c r="D126" s="25"/>
      <c r="G126" s="1"/>
      <c r="H126" s="1"/>
      <c r="M126" s="1"/>
      <c r="N126" s="1"/>
    </row>
    <row r="127" spans="1:14" s="2" customFormat="1" x14ac:dyDescent="0.2">
      <c r="A127" s="24"/>
      <c r="B127" s="1"/>
      <c r="C127" s="14"/>
      <c r="D127" s="25"/>
      <c r="G127" s="1"/>
      <c r="H127" s="1"/>
      <c r="M127" s="1"/>
      <c r="N127" s="1"/>
    </row>
    <row r="128" spans="1:14" s="2" customFormat="1" x14ac:dyDescent="0.2">
      <c r="A128" s="24"/>
      <c r="B128" s="1"/>
      <c r="C128" s="14"/>
      <c r="D128" s="25"/>
      <c r="G128" s="1"/>
      <c r="H128" s="1"/>
      <c r="M128" s="1"/>
      <c r="N128" s="1"/>
    </row>
    <row r="129" spans="1:19" s="2" customFormat="1" x14ac:dyDescent="0.2">
      <c r="A129" s="24"/>
      <c r="B129" s="1"/>
      <c r="C129" s="14"/>
      <c r="D129" s="25"/>
      <c r="G129" s="1"/>
      <c r="H129" s="1"/>
      <c r="M129" s="1"/>
      <c r="N129" s="1"/>
    </row>
    <row r="130" spans="1:19" s="2" customFormat="1" x14ac:dyDescent="0.2">
      <c r="A130" s="24"/>
      <c r="B130" s="1"/>
      <c r="C130" s="14"/>
      <c r="D130" s="25"/>
      <c r="G130" s="1"/>
      <c r="H130" s="1"/>
      <c r="M130" s="1"/>
      <c r="N130" s="1"/>
      <c r="Q130" s="1"/>
      <c r="R130" s="1"/>
      <c r="S130" s="1"/>
    </row>
    <row r="131" spans="1:19" x14ac:dyDescent="0.2">
      <c r="J131" s="2"/>
      <c r="K131" s="2"/>
      <c r="L131" s="2"/>
      <c r="O131" s="2"/>
      <c r="P131" s="2"/>
      <c r="Q131" s="2"/>
      <c r="R131" s="2"/>
      <c r="S131" s="2"/>
    </row>
    <row r="132" spans="1:19" s="2" customFormat="1" x14ac:dyDescent="0.2">
      <c r="A132" s="24"/>
      <c r="B132" s="1"/>
      <c r="C132" s="14"/>
      <c r="D132" s="25"/>
      <c r="G132" s="1"/>
      <c r="H132" s="1"/>
      <c r="M132" s="1"/>
      <c r="N132" s="1"/>
      <c r="Q132" s="1"/>
      <c r="R132" s="1"/>
      <c r="S132" s="1"/>
    </row>
    <row r="133" spans="1:19" x14ac:dyDescent="0.2">
      <c r="J133" s="2"/>
      <c r="K133" s="2"/>
      <c r="L133" s="2"/>
      <c r="O133" s="2"/>
      <c r="P133" s="2"/>
    </row>
    <row r="134" spans="1:19" x14ac:dyDescent="0.2">
      <c r="J134" s="2"/>
      <c r="K134" s="2"/>
      <c r="L134" s="2"/>
      <c r="O134" s="2"/>
      <c r="P134" s="2"/>
    </row>
    <row r="135" spans="1:19" x14ac:dyDescent="0.2">
      <c r="J135" s="2"/>
      <c r="K135" s="2"/>
      <c r="L135" s="2"/>
      <c r="O135" s="2"/>
      <c r="P135" s="2"/>
    </row>
    <row r="136" spans="1:19" x14ac:dyDescent="0.2">
      <c r="J136" s="2"/>
      <c r="K136" s="2"/>
      <c r="L136" s="2"/>
      <c r="O136" s="2"/>
      <c r="P136" s="2"/>
    </row>
    <row r="137" spans="1:19" x14ac:dyDescent="0.2">
      <c r="O137" s="2"/>
      <c r="P137" s="2"/>
    </row>
    <row r="138" spans="1:19" x14ac:dyDescent="0.2">
      <c r="J138" s="2"/>
      <c r="K138" s="2"/>
      <c r="L138" s="2"/>
      <c r="M138" s="2"/>
      <c r="N138" s="2"/>
      <c r="O138" s="2"/>
      <c r="P138" s="2"/>
    </row>
    <row r="139" spans="1:19" x14ac:dyDescent="0.2">
      <c r="O139" s="2"/>
      <c r="P139" s="2"/>
    </row>
    <row r="140" spans="1:19" x14ac:dyDescent="0.2">
      <c r="G140" s="54"/>
      <c r="H140" s="54"/>
      <c r="O140" s="2"/>
      <c r="P140" s="2"/>
    </row>
    <row r="141" spans="1:19" x14ac:dyDescent="0.2">
      <c r="G141" s="54"/>
      <c r="H141" s="54"/>
      <c r="O141" s="2"/>
      <c r="P141" s="2"/>
    </row>
    <row r="142" spans="1:19" x14ac:dyDescent="0.2">
      <c r="G142" s="54"/>
      <c r="H142" s="54"/>
      <c r="O142" s="2"/>
      <c r="P142" s="2"/>
    </row>
    <row r="143" spans="1:19" x14ac:dyDescent="0.2">
      <c r="G143" s="54"/>
      <c r="H143" s="54"/>
      <c r="I143" s="2" t="s">
        <v>396</v>
      </c>
      <c r="O143" s="2"/>
      <c r="P143" s="2"/>
    </row>
    <row r="144" spans="1:19" x14ac:dyDescent="0.2">
      <c r="G144" s="54"/>
      <c r="H144" s="54"/>
      <c r="I144" s="53"/>
      <c r="J144" s="2"/>
      <c r="K144" s="2"/>
      <c r="L144" s="2"/>
      <c r="M144" s="2"/>
      <c r="N144" s="2"/>
      <c r="P144" s="2"/>
    </row>
    <row r="145" spans="7:16" x14ac:dyDescent="0.2">
      <c r="G145" s="54"/>
      <c r="H145" s="54"/>
      <c r="I145" s="53" t="s">
        <v>396</v>
      </c>
      <c r="O145" s="2"/>
      <c r="P145" s="2"/>
    </row>
    <row r="146" spans="7:16" x14ac:dyDescent="0.2">
      <c r="G146" s="54"/>
      <c r="H146" s="54"/>
      <c r="I146" s="53" t="s">
        <v>396</v>
      </c>
      <c r="K146" s="42"/>
      <c r="P146" s="2"/>
    </row>
    <row r="147" spans="7:16" x14ac:dyDescent="0.2">
      <c r="G147" s="54"/>
      <c r="H147" s="54"/>
      <c r="I147" s="53"/>
      <c r="J147" s="101"/>
      <c r="P147" s="2"/>
    </row>
    <row r="148" spans="7:16" x14ac:dyDescent="0.2">
      <c r="G148" s="54"/>
      <c r="H148" s="54"/>
      <c r="I148" s="53"/>
    </row>
    <row r="149" spans="7:16" x14ac:dyDescent="0.2">
      <c r="G149" s="54"/>
      <c r="H149" s="54"/>
      <c r="I149" s="53"/>
      <c r="P149" s="2"/>
    </row>
    <row r="150" spans="7:16" x14ac:dyDescent="0.2">
      <c r="G150" s="54"/>
      <c r="H150" s="54"/>
      <c r="I150" s="53"/>
    </row>
  </sheetData>
  <sheetProtection insertRows="0"/>
  <mergeCells count="7">
    <mergeCell ref="K94:L94"/>
    <mergeCell ref="A101:D101"/>
    <mergeCell ref="C112:F112"/>
    <mergeCell ref="A1:H1"/>
    <mergeCell ref="A3:F3"/>
    <mergeCell ref="A9:F9"/>
    <mergeCell ref="A20:F20"/>
  </mergeCells>
  <conditionalFormatting sqref="H98:H99">
    <cfRule type="cellIs" dxfId="73" priority="1" operator="lessThan">
      <formula>0</formula>
    </cfRule>
  </conditionalFormatting>
  <conditionalFormatting sqref="C22">
    <cfRule type="duplicateValues" dxfId="72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FE00-000000000000}">
  <sheetPr codeName="Sheet550">
    <pageSetUpPr fitToPage="1"/>
  </sheetPr>
  <dimension ref="A1:S134"/>
  <sheetViews>
    <sheetView topLeftCell="D47" zoomScaleNormal="100" workbookViewId="0">
      <selection activeCell="J16" sqref="J16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12.85546875" style="1" customWidth="1"/>
    <col min="9" max="9" width="24.85546875" style="2" bestFit="1" customWidth="1"/>
    <col min="10" max="10" width="21.5703125" style="1" bestFit="1" customWidth="1"/>
    <col min="11" max="11" width="16.85546875" style="1" bestFit="1" customWidth="1"/>
    <col min="12" max="12" width="19.5703125" style="1" bestFit="1" customWidth="1"/>
    <col min="13" max="13" width="13.5703125" style="1" bestFit="1" customWidth="1"/>
    <col min="14" max="14" width="17.42578125" style="1" bestFit="1" customWidth="1"/>
    <col min="15" max="15" width="12.85546875" style="1" bestFit="1" customWidth="1"/>
    <col min="16" max="17" width="9.140625" style="1"/>
    <col min="18" max="18" width="15.5703125" style="1" bestFit="1" customWidth="1"/>
    <col min="19" max="16384" width="9.140625" style="1"/>
  </cols>
  <sheetData>
    <row r="1" spans="1:14" ht="20.25" customHeight="1" x14ac:dyDescent="0.4">
      <c r="A1" s="212" t="s">
        <v>2078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4" ht="12.75" customHeight="1" x14ac:dyDescent="0.4">
      <c r="I2" s="112"/>
      <c r="J2" s="112"/>
    </row>
    <row r="3" spans="1:14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4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4" s="2" customFormat="1" ht="14.25" customHeight="1" x14ac:dyDescent="0.4">
      <c r="A5" s="89">
        <v>45338</v>
      </c>
      <c r="B5" s="9" t="s">
        <v>6</v>
      </c>
      <c r="C5" s="10" t="s">
        <v>7</v>
      </c>
      <c r="D5" s="11"/>
      <c r="E5" s="12">
        <v>681806.6800000004</v>
      </c>
      <c r="F5" s="12"/>
      <c r="G5" s="1"/>
      <c r="H5" s="1"/>
      <c r="I5" s="112"/>
      <c r="J5" s="112"/>
    </row>
    <row r="6" spans="1:14" s="2" customFormat="1" ht="12.75" customHeight="1" x14ac:dyDescent="0.2">
      <c r="D6" s="15" t="s">
        <v>8</v>
      </c>
      <c r="E6" s="16">
        <f>SUM(E5:E5)</f>
        <v>681806.6800000004</v>
      </c>
      <c r="F6" s="16">
        <f>F5</f>
        <v>0</v>
      </c>
      <c r="G6" s="1"/>
      <c r="H6" s="1"/>
      <c r="I6" s="13" t="s">
        <v>1582</v>
      </c>
      <c r="J6" s="13" t="s">
        <v>1583</v>
      </c>
    </row>
    <row r="7" spans="1:14" s="2" customFormat="1" ht="12.75" customHeight="1" x14ac:dyDescent="0.2">
      <c r="A7" s="17"/>
      <c r="B7" s="18"/>
      <c r="C7" s="19" t="s">
        <v>9</v>
      </c>
      <c r="D7" s="20"/>
      <c r="E7" s="21">
        <f>+E6-F6</f>
        <v>681806.6800000004</v>
      </c>
      <c r="F7" s="22"/>
      <c r="G7" s="23"/>
      <c r="H7" s="23"/>
      <c r="I7" s="2">
        <v>0</v>
      </c>
      <c r="J7" s="2">
        <v>0</v>
      </c>
      <c r="K7" s="176">
        <f>I7-J7</f>
        <v>0</v>
      </c>
    </row>
    <row r="8" spans="1:14" ht="12.75" customHeight="1" x14ac:dyDescent="0.4">
      <c r="I8" s="112"/>
      <c r="J8" s="112"/>
    </row>
    <row r="9" spans="1:14" ht="18" customHeight="1" x14ac:dyDescent="0.4">
      <c r="A9" s="213" t="s">
        <v>1037</v>
      </c>
      <c r="B9" s="213"/>
      <c r="C9" s="213"/>
      <c r="D9" s="213"/>
      <c r="E9" s="213"/>
      <c r="F9" s="213"/>
      <c r="I9" s="112"/>
      <c r="J9" s="169">
        <f>90000000-60000000</f>
        <v>30000000</v>
      </c>
      <c r="K9" s="169" t="s">
        <v>1508</v>
      </c>
    </row>
    <row r="10" spans="1:14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I10" s="112"/>
      <c r="J10" s="169">
        <v>28620274.52</v>
      </c>
      <c r="K10" s="169" t="s">
        <v>1509</v>
      </c>
      <c r="L10" s="124"/>
    </row>
    <row r="11" spans="1:14" s="2" customFormat="1" ht="14.25" customHeight="1" x14ac:dyDescent="0.2">
      <c r="A11" s="89">
        <v>45338</v>
      </c>
      <c r="B11" s="9" t="s">
        <v>6</v>
      </c>
      <c r="C11" s="10" t="s">
        <v>7</v>
      </c>
      <c r="D11" s="11"/>
      <c r="F11" s="12">
        <v>29276983.520000007</v>
      </c>
      <c r="G11" s="1"/>
      <c r="H11" s="1"/>
      <c r="I11" s="130" t="s">
        <v>396</v>
      </c>
      <c r="J11" s="169">
        <f>+J9-J10</f>
        <v>1379725.4800000004</v>
      </c>
      <c r="K11" s="169" t="s">
        <v>712</v>
      </c>
      <c r="L11" s="165" t="s">
        <v>1512</v>
      </c>
    </row>
    <row r="12" spans="1:14" s="2" customFormat="1" ht="14.25" customHeight="1" x14ac:dyDescent="0.2">
      <c r="A12" s="89">
        <v>45338</v>
      </c>
      <c r="B12" s="9" t="s">
        <v>6</v>
      </c>
      <c r="C12" s="76" t="s">
        <v>21</v>
      </c>
      <c r="D12" s="11" t="s">
        <v>13</v>
      </c>
      <c r="E12" s="12">
        <v>500000</v>
      </c>
      <c r="F12" s="31"/>
      <c r="G12" s="1"/>
      <c r="H12" s="1"/>
      <c r="I12" s="130"/>
      <c r="J12" s="169"/>
      <c r="K12" s="169"/>
      <c r="L12" s="165"/>
    </row>
    <row r="13" spans="1:14" s="2" customFormat="1" ht="14.25" customHeight="1" x14ac:dyDescent="0.2">
      <c r="A13" s="89">
        <v>45338</v>
      </c>
      <c r="B13" s="9" t="s">
        <v>6</v>
      </c>
      <c r="C13" s="76" t="s">
        <v>1647</v>
      </c>
      <c r="D13" s="11" t="s">
        <v>13</v>
      </c>
      <c r="E13" s="12">
        <v>210989</v>
      </c>
      <c r="F13" s="31"/>
      <c r="G13" s="1"/>
      <c r="H13" s="1"/>
      <c r="I13" s="130"/>
      <c r="J13" s="169"/>
      <c r="K13" s="169"/>
      <c r="L13" s="165"/>
    </row>
    <row r="14" spans="1:14" s="2" customFormat="1" ht="14.25" customHeight="1" x14ac:dyDescent="0.2">
      <c r="A14" s="89">
        <v>45338</v>
      </c>
      <c r="B14" s="9" t="s">
        <v>11</v>
      </c>
      <c r="C14" s="76" t="s">
        <v>1091</v>
      </c>
      <c r="D14" s="11" t="s">
        <v>29</v>
      </c>
      <c r="E14" s="12"/>
      <c r="F14" s="31">
        <v>54280</v>
      </c>
      <c r="G14" s="1"/>
      <c r="H14" s="1"/>
      <c r="I14" s="143"/>
      <c r="J14" s="130"/>
      <c r="K14" s="143"/>
      <c r="L14" s="143"/>
      <c r="M14" s="143"/>
      <c r="N14" s="143"/>
    </row>
    <row r="15" spans="1:14" s="2" customFormat="1" ht="14.25" customHeight="1" x14ac:dyDescent="0.4">
      <c r="D15" s="11" t="s">
        <v>8</v>
      </c>
      <c r="E15" s="16">
        <f>SUM(E11:E14)</f>
        <v>710989</v>
      </c>
      <c r="F15" s="16">
        <f>SUM(F11:F14)</f>
        <v>29331263.520000007</v>
      </c>
      <c r="G15" s="1"/>
      <c r="H15" s="1"/>
      <c r="J15" s="112"/>
      <c r="K15" s="153" t="s">
        <v>779</v>
      </c>
    </row>
    <row r="16" spans="1:14" s="2" customFormat="1" ht="14.25" customHeight="1" x14ac:dyDescent="0.2">
      <c r="A16" s="17"/>
      <c r="B16" s="18"/>
      <c r="C16" s="96" t="s">
        <v>9</v>
      </c>
      <c r="D16" s="20"/>
      <c r="E16" s="21">
        <f>+F15-E15</f>
        <v>28620274.520000007</v>
      </c>
      <c r="G16" s="1"/>
      <c r="H16" s="1"/>
      <c r="J16" s="40">
        <v>28620274.52</v>
      </c>
      <c r="K16" s="154">
        <f>J16-E16</f>
        <v>0</v>
      </c>
    </row>
    <row r="17" spans="1:12" s="2" customFormat="1" ht="14.25" customHeight="1" x14ac:dyDescent="0.2">
      <c r="A17" s="17"/>
      <c r="B17" s="28" t="s">
        <v>66</v>
      </c>
      <c r="C17" s="43" t="s">
        <v>1458</v>
      </c>
      <c r="D17" s="43"/>
      <c r="E17" s="12">
        <f>30000000+60000000</f>
        <v>90000000</v>
      </c>
      <c r="F17" s="22"/>
      <c r="G17" s="1"/>
      <c r="H17" s="1"/>
      <c r="I17" s="13" t="s">
        <v>1582</v>
      </c>
      <c r="J17" s="13" t="s">
        <v>1583</v>
      </c>
    </row>
    <row r="18" spans="1:12" s="2" customFormat="1" ht="14.25" customHeight="1" x14ac:dyDescent="0.25">
      <c r="A18" s="36"/>
      <c r="B18" s="28"/>
      <c r="C18" s="44" t="s">
        <v>1541</v>
      </c>
      <c r="D18" s="43"/>
      <c r="E18" s="7">
        <f>+E16+E17</f>
        <v>118620274.52000001</v>
      </c>
      <c r="F18" s="22"/>
      <c r="G18" s="1"/>
      <c r="H18" s="1"/>
      <c r="I18" s="2">
        <v>4779153</v>
      </c>
      <c r="J18" s="2">
        <v>11359545.85</v>
      </c>
      <c r="K18" s="176">
        <f>I18-J18</f>
        <v>-6580392.8499999996</v>
      </c>
    </row>
    <row r="19" spans="1:12" s="2" customFormat="1" ht="14.25" customHeight="1" x14ac:dyDescent="0.25">
      <c r="A19" s="36"/>
      <c r="B19" s="28"/>
      <c r="C19" s="44" t="s">
        <v>1511</v>
      </c>
      <c r="D19" s="43"/>
      <c r="E19" s="38">
        <f>+J11+I7-J7</f>
        <v>1379725.4800000004</v>
      </c>
      <c r="F19" s="22"/>
      <c r="G19" s="1"/>
      <c r="H19" s="1"/>
      <c r="J19" s="130"/>
      <c r="K19" s="130"/>
    </row>
    <row r="20" spans="1:12" s="2" customFormat="1" x14ac:dyDescent="0.2">
      <c r="A20" s="24"/>
      <c r="B20" s="1"/>
      <c r="C20" s="14"/>
      <c r="D20" s="25"/>
      <c r="G20" s="1"/>
      <c r="H20" s="1"/>
      <c r="I20" s="159"/>
      <c r="J20" s="160">
        <f>100000000</f>
        <v>100000000</v>
      </c>
      <c r="K20" s="160" t="s">
        <v>1506</v>
      </c>
      <c r="L20" s="70"/>
    </row>
    <row r="21" spans="1:12" s="2" customFormat="1" ht="15" x14ac:dyDescent="0.35">
      <c r="A21" s="214" t="s">
        <v>10</v>
      </c>
      <c r="B21" s="214"/>
      <c r="C21" s="214"/>
      <c r="D21" s="214"/>
      <c r="E21" s="214"/>
      <c r="F21" s="214"/>
      <c r="G21" s="1"/>
      <c r="H21" s="1"/>
      <c r="I21" s="159"/>
      <c r="J21" s="179">
        <v>70937146.379999995</v>
      </c>
      <c r="K21" s="160" t="s">
        <v>1507</v>
      </c>
      <c r="L21" s="70" t="s">
        <v>1512</v>
      </c>
    </row>
    <row r="22" spans="1:12" s="2" customFormat="1" x14ac:dyDescent="0.2">
      <c r="A22" s="26" t="s">
        <v>1</v>
      </c>
      <c r="B22" s="27" t="s">
        <v>2</v>
      </c>
      <c r="C22" s="5"/>
      <c r="D22" s="6" t="s">
        <v>3</v>
      </c>
      <c r="E22" s="7" t="s">
        <v>4</v>
      </c>
      <c r="F22" s="7" t="s">
        <v>5</v>
      </c>
      <c r="G22" s="1"/>
      <c r="H22" s="1"/>
      <c r="I22" s="159" t="s">
        <v>1505</v>
      </c>
      <c r="J22" s="160">
        <f>+J20-J21</f>
        <v>29062853.620000005</v>
      </c>
      <c r="K22" s="160"/>
      <c r="L22" s="70"/>
    </row>
    <row r="23" spans="1:12" s="2" customFormat="1" x14ac:dyDescent="0.2">
      <c r="A23" s="89">
        <v>45338</v>
      </c>
      <c r="B23" s="128" t="s">
        <v>11</v>
      </c>
      <c r="C23" s="29" t="s">
        <v>7</v>
      </c>
      <c r="D23" s="25"/>
      <c r="E23" s="31"/>
      <c r="F23" s="2">
        <v>83001885.549999923</v>
      </c>
      <c r="G23" s="23"/>
      <c r="H23" s="23"/>
      <c r="I23" s="159"/>
      <c r="J23" s="160"/>
      <c r="K23" s="160"/>
      <c r="L23" s="70"/>
    </row>
    <row r="24" spans="1:12" s="2" customFormat="1" x14ac:dyDescent="0.2">
      <c r="A24" s="89">
        <v>45338</v>
      </c>
      <c r="B24" s="128" t="s">
        <v>6</v>
      </c>
      <c r="C24" s="76" t="s">
        <v>1496</v>
      </c>
      <c r="D24" s="11" t="s">
        <v>13</v>
      </c>
      <c r="E24" s="31">
        <v>1491869</v>
      </c>
      <c r="G24" s="23"/>
      <c r="H24" s="23"/>
      <c r="I24" s="159"/>
      <c r="J24" s="160"/>
      <c r="K24" s="160"/>
      <c r="L24" s="70"/>
    </row>
    <row r="25" spans="1:12" s="2" customFormat="1" x14ac:dyDescent="0.2">
      <c r="A25" s="89">
        <v>45338</v>
      </c>
      <c r="B25" s="128" t="s">
        <v>6</v>
      </c>
      <c r="C25" s="76" t="s">
        <v>165</v>
      </c>
      <c r="D25" s="11" t="s">
        <v>13</v>
      </c>
      <c r="E25" s="31">
        <v>5287</v>
      </c>
      <c r="G25" s="23"/>
      <c r="H25" s="23"/>
      <c r="I25" s="159"/>
      <c r="J25" s="160"/>
      <c r="K25" s="160"/>
      <c r="L25" s="70"/>
    </row>
    <row r="26" spans="1:12" s="2" customFormat="1" x14ac:dyDescent="0.2">
      <c r="A26" s="89">
        <v>45338</v>
      </c>
      <c r="B26" s="128" t="s">
        <v>6</v>
      </c>
      <c r="C26" s="76" t="s">
        <v>2079</v>
      </c>
      <c r="D26" s="11" t="s">
        <v>13</v>
      </c>
      <c r="E26" s="31">
        <v>1</v>
      </c>
      <c r="G26" s="23"/>
      <c r="H26" s="23"/>
      <c r="I26" s="159"/>
      <c r="J26" s="160"/>
      <c r="K26" s="160"/>
      <c r="L26" s="70"/>
    </row>
    <row r="27" spans="1:12" s="2" customFormat="1" x14ac:dyDescent="0.2">
      <c r="A27" s="89">
        <v>45338</v>
      </c>
      <c r="B27" s="128" t="s">
        <v>6</v>
      </c>
      <c r="C27" s="76" t="s">
        <v>749</v>
      </c>
      <c r="D27" s="11" t="s">
        <v>13</v>
      </c>
      <c r="E27" s="31">
        <v>1367354.89</v>
      </c>
      <c r="G27" s="23"/>
      <c r="H27" s="23"/>
      <c r="I27" s="159"/>
      <c r="J27" s="160"/>
      <c r="K27" s="160"/>
      <c r="L27" s="70"/>
    </row>
    <row r="28" spans="1:12" s="2" customFormat="1" x14ac:dyDescent="0.2">
      <c r="A28" s="89">
        <v>45338</v>
      </c>
      <c r="B28" s="128" t="s">
        <v>6</v>
      </c>
      <c r="C28" s="76" t="s">
        <v>1925</v>
      </c>
      <c r="D28" s="11" t="s">
        <v>13</v>
      </c>
      <c r="E28" s="31">
        <v>3140531.3</v>
      </c>
      <c r="G28" s="23"/>
      <c r="H28" s="23"/>
      <c r="I28" s="159"/>
      <c r="J28" s="160"/>
      <c r="K28" s="160"/>
      <c r="L28" s="70"/>
    </row>
    <row r="29" spans="1:12" s="2" customFormat="1" x14ac:dyDescent="0.2">
      <c r="A29" s="89">
        <v>45338</v>
      </c>
      <c r="B29" s="128" t="s">
        <v>6</v>
      </c>
      <c r="C29" s="76" t="s">
        <v>1246</v>
      </c>
      <c r="D29" s="11" t="s">
        <v>13</v>
      </c>
      <c r="E29" s="31">
        <v>74962</v>
      </c>
      <c r="G29" s="23"/>
      <c r="H29" s="23"/>
      <c r="I29" s="159"/>
      <c r="J29" s="160"/>
      <c r="K29" s="160"/>
      <c r="L29" s="70"/>
    </row>
    <row r="30" spans="1:12" s="2" customFormat="1" x14ac:dyDescent="0.2">
      <c r="A30" s="89">
        <v>45338</v>
      </c>
      <c r="B30" s="128" t="s">
        <v>6</v>
      </c>
      <c r="C30" s="76" t="s">
        <v>1808</v>
      </c>
      <c r="D30" s="11" t="s">
        <v>13</v>
      </c>
      <c r="E30" s="31">
        <v>1182403</v>
      </c>
      <c r="G30" s="23"/>
      <c r="H30" s="23"/>
      <c r="I30" s="159"/>
      <c r="J30" s="160"/>
      <c r="K30" s="160"/>
      <c r="L30" s="70"/>
    </row>
    <row r="31" spans="1:12" s="2" customFormat="1" x14ac:dyDescent="0.2">
      <c r="A31" s="89">
        <v>45338</v>
      </c>
      <c r="B31" s="128" t="s">
        <v>6</v>
      </c>
      <c r="C31" s="76" t="s">
        <v>785</v>
      </c>
      <c r="D31" s="11" t="s">
        <v>13</v>
      </c>
      <c r="E31" s="31">
        <v>1674487</v>
      </c>
      <c r="G31" s="23"/>
      <c r="H31" s="23"/>
      <c r="I31" s="159"/>
      <c r="J31" s="160"/>
      <c r="K31" s="160"/>
      <c r="L31" s="70"/>
    </row>
    <row r="32" spans="1:12" s="2" customFormat="1" x14ac:dyDescent="0.2">
      <c r="A32" s="89">
        <v>45338</v>
      </c>
      <c r="B32" s="128" t="s">
        <v>6</v>
      </c>
      <c r="C32" s="76" t="s">
        <v>679</v>
      </c>
      <c r="D32" s="11" t="s">
        <v>13</v>
      </c>
      <c r="E32" s="31">
        <v>27090</v>
      </c>
      <c r="G32" s="23"/>
      <c r="H32" s="23"/>
      <c r="I32" s="159"/>
      <c r="J32" s="160"/>
      <c r="K32" s="160"/>
      <c r="L32" s="70"/>
    </row>
    <row r="33" spans="1:12" s="2" customFormat="1" x14ac:dyDescent="0.2">
      <c r="A33" s="89">
        <v>45338</v>
      </c>
      <c r="B33" s="128" t="s">
        <v>6</v>
      </c>
      <c r="C33" s="76" t="s">
        <v>640</v>
      </c>
      <c r="D33" s="11" t="s">
        <v>13</v>
      </c>
      <c r="E33" s="31">
        <v>366156</v>
      </c>
      <c r="G33" s="23"/>
      <c r="H33" s="23"/>
      <c r="I33" s="159"/>
      <c r="J33" s="160"/>
      <c r="K33" s="160"/>
      <c r="L33" s="70"/>
    </row>
    <row r="34" spans="1:12" s="2" customFormat="1" x14ac:dyDescent="0.2">
      <c r="A34" s="89">
        <v>45338</v>
      </c>
      <c r="B34" s="128" t="s">
        <v>6</v>
      </c>
      <c r="C34" s="76" t="s">
        <v>425</v>
      </c>
      <c r="D34" s="11" t="s">
        <v>13</v>
      </c>
      <c r="E34" s="31">
        <v>60165</v>
      </c>
      <c r="G34" s="23"/>
      <c r="H34" s="23"/>
      <c r="I34" s="159"/>
      <c r="J34" s="160"/>
      <c r="K34" s="160"/>
      <c r="L34" s="70"/>
    </row>
    <row r="35" spans="1:12" s="2" customFormat="1" x14ac:dyDescent="0.2">
      <c r="A35" s="89">
        <v>45338</v>
      </c>
      <c r="B35" s="128" t="s">
        <v>6</v>
      </c>
      <c r="C35" s="76" t="s">
        <v>1396</v>
      </c>
      <c r="D35" s="11" t="s">
        <v>13</v>
      </c>
      <c r="E35" s="31">
        <v>3213</v>
      </c>
      <c r="G35" s="23"/>
      <c r="H35" s="23"/>
      <c r="I35" s="159"/>
      <c r="J35" s="160"/>
      <c r="K35" s="160"/>
      <c r="L35" s="70"/>
    </row>
    <row r="36" spans="1:12" s="2" customFormat="1" x14ac:dyDescent="0.2">
      <c r="A36" s="89">
        <v>45338</v>
      </c>
      <c r="B36" s="128" t="s">
        <v>6</v>
      </c>
      <c r="C36" s="76" t="s">
        <v>1927</v>
      </c>
      <c r="D36" s="11" t="s">
        <v>13</v>
      </c>
      <c r="E36" s="31">
        <v>18911</v>
      </c>
      <c r="G36" s="23"/>
      <c r="H36" s="23"/>
      <c r="I36" s="159"/>
      <c r="J36" s="160"/>
      <c r="K36" s="160"/>
      <c r="L36" s="70"/>
    </row>
    <row r="37" spans="1:12" s="2" customFormat="1" x14ac:dyDescent="0.2">
      <c r="A37" s="89">
        <v>45338</v>
      </c>
      <c r="B37" s="128" t="s">
        <v>6</v>
      </c>
      <c r="C37" s="76" t="s">
        <v>614</v>
      </c>
      <c r="D37" s="11" t="s">
        <v>13</v>
      </c>
      <c r="E37" s="31">
        <v>9185</v>
      </c>
      <c r="G37" s="23"/>
      <c r="H37" s="23"/>
      <c r="I37" s="159"/>
      <c r="J37" s="160"/>
      <c r="K37" s="160"/>
      <c r="L37" s="70"/>
    </row>
    <row r="38" spans="1:12" s="2" customFormat="1" x14ac:dyDescent="0.2">
      <c r="A38" s="89">
        <v>45338</v>
      </c>
      <c r="B38" s="128" t="s">
        <v>6</v>
      </c>
      <c r="C38" s="76" t="s">
        <v>1953</v>
      </c>
      <c r="D38" s="11" t="s">
        <v>13</v>
      </c>
      <c r="E38" s="31">
        <v>289731</v>
      </c>
      <c r="G38" s="23"/>
      <c r="H38" s="23"/>
      <c r="I38" s="159"/>
      <c r="J38" s="160"/>
      <c r="K38" s="160"/>
      <c r="L38" s="70"/>
    </row>
    <row r="39" spans="1:12" s="2" customFormat="1" x14ac:dyDescent="0.2">
      <c r="A39" s="89">
        <v>45338</v>
      </c>
      <c r="B39" s="128" t="s">
        <v>6</v>
      </c>
      <c r="C39" s="76" t="s">
        <v>1192</v>
      </c>
      <c r="D39" s="11" t="s">
        <v>13</v>
      </c>
      <c r="E39" s="31">
        <v>45150</v>
      </c>
      <c r="G39" s="23"/>
      <c r="H39" s="23"/>
      <c r="I39" s="159"/>
      <c r="J39" s="160"/>
      <c r="K39" s="160"/>
      <c r="L39" s="70"/>
    </row>
    <row r="40" spans="1:12" s="2" customFormat="1" x14ac:dyDescent="0.2">
      <c r="A40" s="89">
        <v>45338</v>
      </c>
      <c r="B40" s="128" t="s">
        <v>6</v>
      </c>
      <c r="C40" s="76" t="s">
        <v>272</v>
      </c>
      <c r="D40" s="11" t="s">
        <v>13</v>
      </c>
      <c r="E40" s="31">
        <v>183796</v>
      </c>
      <c r="G40" s="23"/>
      <c r="H40" s="23"/>
      <c r="I40" s="159"/>
      <c r="J40" s="160"/>
      <c r="K40" s="160"/>
      <c r="L40" s="70"/>
    </row>
    <row r="41" spans="1:12" s="2" customFormat="1" x14ac:dyDescent="0.2">
      <c r="A41" s="89">
        <v>45338</v>
      </c>
      <c r="B41" s="128" t="s">
        <v>6</v>
      </c>
      <c r="C41" s="76" t="s">
        <v>1365</v>
      </c>
      <c r="D41" s="11" t="s">
        <v>13</v>
      </c>
      <c r="E41" s="31">
        <v>334408</v>
      </c>
      <c r="G41" s="23"/>
      <c r="H41" s="23"/>
      <c r="I41" s="159"/>
      <c r="J41" s="160"/>
      <c r="K41" s="160"/>
      <c r="L41" s="70"/>
    </row>
    <row r="42" spans="1:12" s="2" customFormat="1" x14ac:dyDescent="0.2">
      <c r="A42" s="89">
        <v>45338</v>
      </c>
      <c r="B42" s="128" t="s">
        <v>6</v>
      </c>
      <c r="C42" s="76" t="s">
        <v>2080</v>
      </c>
      <c r="D42" s="11" t="s">
        <v>13</v>
      </c>
      <c r="E42" s="31">
        <v>7508</v>
      </c>
      <c r="G42" s="23"/>
      <c r="H42" s="23"/>
      <c r="I42" s="159"/>
      <c r="J42" s="160"/>
      <c r="K42" s="160"/>
      <c r="L42" s="70"/>
    </row>
    <row r="43" spans="1:12" s="2" customFormat="1" x14ac:dyDescent="0.2">
      <c r="A43" s="89">
        <v>45338</v>
      </c>
      <c r="B43" s="128" t="s">
        <v>6</v>
      </c>
      <c r="C43" s="76" t="s">
        <v>23</v>
      </c>
      <c r="D43" s="11" t="s">
        <v>13</v>
      </c>
      <c r="E43" s="31">
        <v>370073</v>
      </c>
      <c r="G43" s="23"/>
      <c r="H43" s="23"/>
      <c r="I43" s="159"/>
      <c r="J43" s="160"/>
      <c r="K43" s="160"/>
      <c r="L43" s="70"/>
    </row>
    <row r="44" spans="1:12" s="2" customFormat="1" x14ac:dyDescent="0.2">
      <c r="A44" s="89">
        <v>45338</v>
      </c>
      <c r="B44" s="128" t="s">
        <v>6</v>
      </c>
      <c r="C44" s="76" t="s">
        <v>2073</v>
      </c>
      <c r="D44" s="11" t="s">
        <v>13</v>
      </c>
      <c r="E44" s="31">
        <v>534472</v>
      </c>
      <c r="G44" s="23"/>
      <c r="H44" s="23"/>
      <c r="I44" s="159"/>
      <c r="J44" s="160"/>
      <c r="K44" s="160"/>
      <c r="L44" s="70"/>
    </row>
    <row r="45" spans="1:12" s="2" customFormat="1" x14ac:dyDescent="0.2">
      <c r="A45" s="89">
        <v>45338</v>
      </c>
      <c r="B45" s="128" t="s">
        <v>6</v>
      </c>
      <c r="C45" s="76" t="s">
        <v>177</v>
      </c>
      <c r="D45" s="11" t="s">
        <v>13</v>
      </c>
      <c r="E45" s="31">
        <v>2261602</v>
      </c>
      <c r="G45" s="23"/>
      <c r="H45" s="23"/>
      <c r="I45" s="159"/>
      <c r="J45" s="160"/>
      <c r="K45" s="160"/>
      <c r="L45" s="70"/>
    </row>
    <row r="46" spans="1:12" s="2" customFormat="1" x14ac:dyDescent="0.2">
      <c r="A46" s="89">
        <v>45338</v>
      </c>
      <c r="B46" s="128" t="s">
        <v>6</v>
      </c>
      <c r="C46" s="76" t="s">
        <v>149</v>
      </c>
      <c r="D46" s="11" t="s">
        <v>13</v>
      </c>
      <c r="E46" s="31">
        <v>43358</v>
      </c>
      <c r="G46" s="23"/>
      <c r="H46" s="23"/>
      <c r="I46" s="159"/>
      <c r="J46" s="160"/>
      <c r="K46" s="160"/>
      <c r="L46" s="70"/>
    </row>
    <row r="47" spans="1:12" s="2" customFormat="1" x14ac:dyDescent="0.2">
      <c r="A47" s="89">
        <v>45338</v>
      </c>
      <c r="B47" s="128" t="s">
        <v>6</v>
      </c>
      <c r="C47" s="76" t="s">
        <v>1212</v>
      </c>
      <c r="D47" s="11" t="s">
        <v>13</v>
      </c>
      <c r="E47" s="31">
        <v>4883</v>
      </c>
      <c r="G47" s="23"/>
      <c r="H47" s="23"/>
      <c r="I47" s="159"/>
      <c r="J47" s="160"/>
      <c r="K47" s="160"/>
      <c r="L47" s="70"/>
    </row>
    <row r="48" spans="1:12" s="2" customFormat="1" x14ac:dyDescent="0.2">
      <c r="A48" s="89">
        <v>45338</v>
      </c>
      <c r="B48" s="128" t="s">
        <v>6</v>
      </c>
      <c r="C48" s="76" t="s">
        <v>122</v>
      </c>
      <c r="D48" s="11" t="s">
        <v>13</v>
      </c>
      <c r="E48" s="31">
        <v>75757</v>
      </c>
      <c r="G48" s="23"/>
      <c r="H48" s="23"/>
      <c r="I48" s="159"/>
      <c r="J48" s="160"/>
      <c r="K48" s="160"/>
      <c r="L48" s="70"/>
    </row>
    <row r="49" spans="1:16" s="2" customFormat="1" x14ac:dyDescent="0.2">
      <c r="A49" s="89">
        <v>45338</v>
      </c>
      <c r="B49" s="128" t="s">
        <v>6</v>
      </c>
      <c r="C49" s="76" t="s">
        <v>2081</v>
      </c>
      <c r="D49" s="11" t="s">
        <v>13</v>
      </c>
      <c r="E49" s="31">
        <v>54394</v>
      </c>
      <c r="G49" s="23"/>
      <c r="H49" s="23"/>
      <c r="I49" s="159"/>
      <c r="J49" s="160"/>
      <c r="K49" s="160"/>
      <c r="L49" s="70"/>
    </row>
    <row r="50" spans="1:16" s="2" customFormat="1" x14ac:dyDescent="0.2">
      <c r="A50" s="89">
        <v>45338</v>
      </c>
      <c r="B50" s="128" t="s">
        <v>6</v>
      </c>
      <c r="C50" s="76" t="s">
        <v>1138</v>
      </c>
      <c r="D50" s="11" t="s">
        <v>13</v>
      </c>
      <c r="E50" s="31">
        <v>1820344</v>
      </c>
      <c r="G50" s="23"/>
      <c r="H50" s="23"/>
      <c r="I50" s="159"/>
      <c r="J50" s="160"/>
      <c r="K50" s="160"/>
      <c r="L50" s="70"/>
    </row>
    <row r="51" spans="1:16" s="2" customFormat="1" x14ac:dyDescent="0.2">
      <c r="A51" s="89">
        <v>45338</v>
      </c>
      <c r="B51" s="128" t="s">
        <v>6</v>
      </c>
      <c r="C51" s="76" t="s">
        <v>2014</v>
      </c>
      <c r="D51" s="11" t="s">
        <v>13</v>
      </c>
      <c r="E51" s="31">
        <v>300000</v>
      </c>
      <c r="G51" s="23"/>
      <c r="H51" s="23"/>
      <c r="I51" s="159"/>
      <c r="J51" s="160"/>
      <c r="K51" s="160"/>
      <c r="L51" s="70"/>
    </row>
    <row r="52" spans="1:16" s="2" customFormat="1" x14ac:dyDescent="0.2">
      <c r="A52" s="89">
        <v>45338</v>
      </c>
      <c r="B52" s="128" t="s">
        <v>6</v>
      </c>
      <c r="C52" s="76" t="s">
        <v>331</v>
      </c>
      <c r="D52" s="11" t="s">
        <v>13</v>
      </c>
      <c r="E52" s="31">
        <v>2520</v>
      </c>
      <c r="G52" s="23"/>
      <c r="H52" s="23"/>
      <c r="I52" s="159"/>
      <c r="J52" s="160"/>
      <c r="K52" s="160"/>
      <c r="L52" s="70"/>
    </row>
    <row r="53" spans="1:16" s="2" customFormat="1" x14ac:dyDescent="0.2">
      <c r="A53" s="89">
        <v>45338</v>
      </c>
      <c r="B53" s="128" t="s">
        <v>11</v>
      </c>
      <c r="C53" s="76" t="s">
        <v>64</v>
      </c>
      <c r="D53" s="11" t="s">
        <v>29</v>
      </c>
      <c r="E53" s="31"/>
      <c r="F53" s="2">
        <v>10937.42</v>
      </c>
      <c r="G53" s="23"/>
      <c r="H53" s="23"/>
      <c r="I53" s="159"/>
      <c r="J53" s="160"/>
      <c r="K53" s="160"/>
      <c r="L53" s="70"/>
    </row>
    <row r="54" spans="1:16" s="2" customFormat="1" x14ac:dyDescent="0.2">
      <c r="A54" s="89">
        <v>45338</v>
      </c>
      <c r="B54" s="128" t="s">
        <v>11</v>
      </c>
      <c r="C54" s="76" t="s">
        <v>15</v>
      </c>
      <c r="D54" s="11" t="s">
        <v>29</v>
      </c>
      <c r="E54" s="31"/>
      <c r="F54" s="2">
        <v>29665.03</v>
      </c>
      <c r="G54" s="23"/>
      <c r="H54" s="23"/>
      <c r="I54" s="159"/>
      <c r="J54" s="160"/>
      <c r="K54" s="160"/>
      <c r="L54" s="70"/>
    </row>
    <row r="55" spans="1:16" s="2" customFormat="1" x14ac:dyDescent="0.2">
      <c r="A55" s="89">
        <v>45338</v>
      </c>
      <c r="B55" s="128" t="s">
        <v>11</v>
      </c>
      <c r="C55" s="76" t="s">
        <v>1884</v>
      </c>
      <c r="D55" s="11" t="s">
        <v>29</v>
      </c>
      <c r="E55" s="31"/>
      <c r="F55" s="2">
        <v>10438265.850000001</v>
      </c>
      <c r="G55" s="23"/>
      <c r="H55" s="23"/>
      <c r="I55" s="159"/>
      <c r="J55" s="160"/>
      <c r="K55" s="160"/>
      <c r="L55" s="70"/>
    </row>
    <row r="56" spans="1:16" s="2" customFormat="1" x14ac:dyDescent="0.2">
      <c r="A56" s="89">
        <v>45338</v>
      </c>
      <c r="B56" s="128" t="s">
        <v>11</v>
      </c>
      <c r="C56" s="76" t="s">
        <v>309</v>
      </c>
      <c r="D56" s="11" t="s">
        <v>29</v>
      </c>
      <c r="E56" s="31"/>
      <c r="F56" s="2">
        <v>563500</v>
      </c>
      <c r="G56" s="23"/>
      <c r="H56" s="23"/>
      <c r="I56" s="159"/>
      <c r="J56" s="160"/>
      <c r="K56" s="160"/>
      <c r="L56" s="70"/>
    </row>
    <row r="57" spans="1:16" s="2" customFormat="1" x14ac:dyDescent="0.2">
      <c r="A57" s="89">
        <v>45338</v>
      </c>
      <c r="B57" s="128" t="s">
        <v>11</v>
      </c>
      <c r="C57" s="76" t="s">
        <v>2082</v>
      </c>
      <c r="D57" s="11" t="s">
        <v>29</v>
      </c>
      <c r="E57" s="31"/>
      <c r="F57" s="2">
        <v>128856</v>
      </c>
      <c r="G57" s="23"/>
      <c r="H57" s="23"/>
      <c r="I57" s="159"/>
      <c r="J57" s="160"/>
      <c r="K57" s="160"/>
      <c r="L57" s="70"/>
    </row>
    <row r="58" spans="1:16" s="2" customFormat="1" x14ac:dyDescent="0.2">
      <c r="A58" s="89">
        <v>45338</v>
      </c>
      <c r="B58" s="128" t="s">
        <v>11</v>
      </c>
      <c r="C58" s="76" t="s">
        <v>1979</v>
      </c>
      <c r="D58" s="11" t="s">
        <v>29</v>
      </c>
      <c r="E58" s="31"/>
      <c r="F58" s="2">
        <v>51745.57</v>
      </c>
      <c r="G58" s="23"/>
      <c r="H58" s="23"/>
      <c r="I58" s="159"/>
      <c r="J58" s="160"/>
      <c r="K58" s="160"/>
      <c r="L58" s="70" t="s">
        <v>2083</v>
      </c>
    </row>
    <row r="59" spans="1:16" s="70" customFormat="1" x14ac:dyDescent="0.2">
      <c r="A59" s="32"/>
      <c r="B59" s="33"/>
      <c r="C59" s="14"/>
      <c r="D59" s="34"/>
      <c r="E59" s="16">
        <f>SUM(E23:E58)</f>
        <v>15749611.189999999</v>
      </c>
      <c r="F59" s="16">
        <f>SUM(F23:F58)</f>
        <v>94224855.419999927</v>
      </c>
      <c r="G59" s="1"/>
      <c r="H59" s="1"/>
      <c r="I59" s="1"/>
      <c r="J59" s="38">
        <v>77517539.230000004</v>
      </c>
      <c r="K59" s="2"/>
      <c r="L59" s="92">
        <f>E60-J59</f>
        <v>957704.99999992549</v>
      </c>
      <c r="M59" s="2"/>
      <c r="N59" s="2"/>
      <c r="O59" s="2"/>
      <c r="P59" s="2"/>
    </row>
    <row r="60" spans="1:16" s="70" customFormat="1" x14ac:dyDescent="0.2">
      <c r="A60" s="36"/>
      <c r="B60" s="28" t="s">
        <v>11</v>
      </c>
      <c r="C60" s="19" t="s">
        <v>65</v>
      </c>
      <c r="D60" s="37"/>
      <c r="E60" s="38">
        <f>F59-E59</f>
        <v>78475244.22999993</v>
      </c>
      <c r="F60" s="22"/>
      <c r="G60" s="1"/>
      <c r="H60" s="1"/>
      <c r="I60" s="1"/>
      <c r="M60" s="2"/>
      <c r="N60" s="2"/>
      <c r="O60" s="1"/>
      <c r="P60" s="2"/>
    </row>
    <row r="61" spans="1:16" s="70" customFormat="1" x14ac:dyDescent="0.2">
      <c r="A61" s="36"/>
      <c r="B61" s="28" t="s">
        <v>66</v>
      </c>
      <c r="C61" s="19" t="s">
        <v>67</v>
      </c>
      <c r="D61" s="37"/>
      <c r="E61" s="38">
        <v>11500000</v>
      </c>
      <c r="F61" s="22"/>
      <c r="G61" s="1"/>
      <c r="H61" s="1"/>
      <c r="M61" s="2"/>
      <c r="N61" s="2"/>
      <c r="O61" s="1"/>
      <c r="P61" s="2"/>
    </row>
    <row r="62" spans="1:16" s="70" customFormat="1" x14ac:dyDescent="0.2">
      <c r="A62" s="36"/>
      <c r="B62" s="28" t="s">
        <v>66</v>
      </c>
      <c r="C62" s="43" t="s">
        <v>1457</v>
      </c>
      <c r="D62" s="43"/>
      <c r="E62" s="12">
        <f>400000000</f>
        <v>400000000</v>
      </c>
      <c r="F62" s="22"/>
      <c r="G62" s="1"/>
      <c r="H62" s="1"/>
      <c r="J62" s="45">
        <v>1562.3</v>
      </c>
      <c r="K62" s="46"/>
      <c r="L62" s="46"/>
      <c r="M62" s="2"/>
      <c r="N62" s="2"/>
      <c r="O62" s="1"/>
      <c r="P62" s="2"/>
    </row>
    <row r="63" spans="1:16" s="70" customFormat="1" ht="15" x14ac:dyDescent="0.25">
      <c r="A63" s="36"/>
      <c r="B63" s="28"/>
      <c r="C63" s="44" t="s">
        <v>1541</v>
      </c>
      <c r="D63" s="43"/>
      <c r="E63" s="7">
        <f>+E62+E60+E61</f>
        <v>489975244.2299999</v>
      </c>
      <c r="F63" s="22"/>
      <c r="G63" s="1"/>
      <c r="H63" s="1"/>
      <c r="I63" s="103" t="s">
        <v>69</v>
      </c>
      <c r="J63" s="45">
        <v>-71.099999999999994</v>
      </c>
      <c r="K63" s="46"/>
      <c r="L63" s="46"/>
      <c r="M63" s="2"/>
      <c r="N63" s="2"/>
      <c r="O63" s="1"/>
      <c r="P63" s="2"/>
    </row>
    <row r="64" spans="1:16" s="70" customFormat="1" ht="15" x14ac:dyDescent="0.25">
      <c r="A64" s="24"/>
      <c r="B64" s="1"/>
      <c r="C64" s="44" t="s">
        <v>1510</v>
      </c>
      <c r="D64" s="25"/>
      <c r="E64" s="156">
        <f>+J22-E61+I18-J18</f>
        <v>10982460.770000005</v>
      </c>
      <c r="F64" s="2"/>
      <c r="G64" s="1"/>
      <c r="H64" s="1"/>
      <c r="I64" s="35">
        <v>1</v>
      </c>
      <c r="J64" s="45">
        <v>60.07</v>
      </c>
      <c r="K64" s="46">
        <f>+J65-D67</f>
        <v>0</v>
      </c>
      <c r="L64" s="2"/>
      <c r="M64" s="2"/>
      <c r="N64" s="2"/>
      <c r="O64" s="1"/>
      <c r="P64" s="2"/>
    </row>
    <row r="65" spans="1:19" s="70" customFormat="1" ht="12.75" customHeight="1" x14ac:dyDescent="0.2">
      <c r="A65" s="24"/>
      <c r="B65" s="1"/>
      <c r="C65" s="56"/>
      <c r="D65" s="56"/>
      <c r="E65" s="104"/>
      <c r="F65" s="2"/>
      <c r="G65" s="166"/>
      <c r="H65" s="166"/>
      <c r="J65" s="49">
        <f>SUM(J62:J64)</f>
        <v>1551.27</v>
      </c>
      <c r="K65" s="46"/>
      <c r="L65" s="46"/>
      <c r="M65" s="124"/>
      <c r="N65" s="124"/>
      <c r="O65" s="1"/>
      <c r="P65" s="2"/>
    </row>
    <row r="66" spans="1:19" s="70" customFormat="1" ht="12.75" customHeight="1" x14ac:dyDescent="0.2">
      <c r="A66" s="24"/>
      <c r="B66" s="1"/>
      <c r="C66" s="78" t="s">
        <v>575</v>
      </c>
      <c r="D66" s="48" t="s">
        <v>576</v>
      </c>
      <c r="E66" s="104"/>
      <c r="F66" s="2"/>
      <c r="G66" s="168"/>
      <c r="H66" s="168"/>
      <c r="I66" s="167"/>
      <c r="J66" s="167"/>
      <c r="K66" s="168"/>
      <c r="L66" s="124"/>
      <c r="M66" s="124"/>
      <c r="N66" s="124"/>
      <c r="O66" s="124"/>
      <c r="P66" s="2"/>
    </row>
    <row r="67" spans="1:19" s="70" customFormat="1" ht="12.75" customHeight="1" x14ac:dyDescent="0.2">
      <c r="A67" s="24"/>
      <c r="B67" s="1"/>
      <c r="C67" s="47" t="s">
        <v>570</v>
      </c>
      <c r="D67" s="111">
        <v>1551.27</v>
      </c>
      <c r="E67" s="104"/>
      <c r="F67" s="2"/>
      <c r="G67" s="168"/>
      <c r="H67" s="168"/>
      <c r="I67" s="110" t="s">
        <v>581</v>
      </c>
      <c r="J67" s="167"/>
      <c r="K67" s="168"/>
      <c r="L67" s="124"/>
      <c r="M67" s="124"/>
      <c r="N67" s="124"/>
      <c r="O67" s="124"/>
      <c r="P67" s="124"/>
    </row>
    <row r="68" spans="1:19" s="70" customFormat="1" ht="12.75" customHeight="1" x14ac:dyDescent="0.2">
      <c r="A68" s="24"/>
      <c r="B68" s="1"/>
      <c r="C68" s="47" t="s">
        <v>931</v>
      </c>
      <c r="D68" s="111">
        <v>105.65</v>
      </c>
      <c r="E68" s="104"/>
      <c r="F68" s="2"/>
      <c r="G68" s="168"/>
      <c r="H68" s="168"/>
      <c r="I68" s="110" t="s">
        <v>580</v>
      </c>
      <c r="J68" s="167"/>
      <c r="K68" s="168"/>
      <c r="L68" s="124"/>
      <c r="M68" s="124"/>
      <c r="N68" s="124"/>
      <c r="O68" s="124"/>
      <c r="P68" s="124"/>
    </row>
    <row r="69" spans="1:19" s="70" customFormat="1" ht="12.75" customHeight="1" x14ac:dyDescent="0.2">
      <c r="A69" s="24"/>
      <c r="B69" s="1"/>
      <c r="C69" s="47" t="s">
        <v>572</v>
      </c>
      <c r="D69" s="111">
        <f>+D94/100000</f>
        <v>96.432190000000006</v>
      </c>
      <c r="E69" s="104"/>
      <c r="F69" s="2"/>
      <c r="G69" s="166"/>
      <c r="H69" s="166"/>
      <c r="I69" s="90" t="s">
        <v>587</v>
      </c>
      <c r="J69" s="167"/>
      <c r="K69" s="168"/>
      <c r="L69" s="124"/>
      <c r="M69" s="124"/>
      <c r="N69" s="124"/>
      <c r="O69" s="124"/>
      <c r="P69" s="124"/>
    </row>
    <row r="70" spans="1:19" s="70" customFormat="1" ht="12.75" customHeight="1" x14ac:dyDescent="0.2">
      <c r="A70" s="24"/>
      <c r="B70" s="1"/>
      <c r="C70" s="108" t="s">
        <v>578</v>
      </c>
      <c r="D70" s="48">
        <f>SUM(D67:D69)</f>
        <v>1753.3521900000001</v>
      </c>
      <c r="E70" s="104"/>
      <c r="F70" s="2"/>
      <c r="G70" s="30"/>
      <c r="H70" s="30"/>
      <c r="I70" s="2"/>
      <c r="J70" s="13"/>
      <c r="K70" s="13"/>
      <c r="L70" s="2"/>
      <c r="M70" s="2"/>
      <c r="N70" s="2"/>
      <c r="O70" s="124"/>
      <c r="P70" s="124"/>
    </row>
    <row r="71" spans="1:19" s="70" customFormat="1" ht="12.75" customHeight="1" x14ac:dyDescent="0.2">
      <c r="A71" s="24"/>
      <c r="B71" s="1"/>
      <c r="C71" s="47"/>
      <c r="D71" s="107"/>
      <c r="E71" s="104"/>
      <c r="F71" s="2"/>
      <c r="G71" s="30"/>
      <c r="H71" s="30"/>
      <c r="I71" s="2"/>
      <c r="O71" s="2"/>
      <c r="P71" s="124"/>
    </row>
    <row r="72" spans="1:19" s="70" customFormat="1" ht="12.75" customHeight="1" x14ac:dyDescent="0.2">
      <c r="A72" s="24"/>
      <c r="B72" s="1"/>
      <c r="C72" s="47" t="s">
        <v>932</v>
      </c>
      <c r="D72" s="111">
        <v>111.36</v>
      </c>
      <c r="E72" s="104"/>
      <c r="F72" s="2"/>
      <c r="G72" s="30"/>
      <c r="H72" s="30"/>
      <c r="I72" s="110" t="s">
        <v>581</v>
      </c>
      <c r="P72" s="2"/>
    </row>
    <row r="73" spans="1:19" s="70" customFormat="1" ht="12.75" customHeight="1" x14ac:dyDescent="0.2">
      <c r="A73" s="24"/>
      <c r="B73" s="1"/>
      <c r="C73" s="136" t="s">
        <v>1142</v>
      </c>
      <c r="D73" s="111">
        <v>377.48</v>
      </c>
      <c r="E73" s="104"/>
      <c r="F73" s="2"/>
      <c r="G73" s="30"/>
      <c r="H73" s="30"/>
      <c r="I73" s="110" t="s">
        <v>581</v>
      </c>
    </row>
    <row r="74" spans="1:19" s="70" customFormat="1" ht="12.75" customHeight="1" x14ac:dyDescent="0.2">
      <c r="A74" s="24"/>
      <c r="B74" s="1"/>
      <c r="C74" s="78" t="s">
        <v>579</v>
      </c>
      <c r="D74" s="109">
        <f>D72+D73</f>
        <v>488.84000000000003</v>
      </c>
      <c r="E74" s="104"/>
      <c r="F74" s="2"/>
      <c r="G74" s="30"/>
      <c r="H74" s="30"/>
      <c r="Q74" s="2"/>
      <c r="R74" s="2"/>
      <c r="S74" s="2"/>
    </row>
    <row r="75" spans="1:19" s="2" customFormat="1" x14ac:dyDescent="0.2">
      <c r="A75" s="24"/>
      <c r="B75" s="1"/>
      <c r="C75" s="105"/>
      <c r="D75" s="106"/>
      <c r="E75" s="104"/>
      <c r="G75" s="30"/>
      <c r="H75" s="30"/>
      <c r="I75" s="70"/>
      <c r="K75" s="221" t="str">
        <f>"FROM ( 01-02-2024 to "&amp;TEXT(A5,"dd-mm-yyyy")&amp;" )"</f>
        <v>FROM ( 01-02-2024 to 16-02-2024 )</v>
      </c>
      <c r="L75" s="221"/>
      <c r="O75" s="70"/>
      <c r="P75" s="70"/>
    </row>
    <row r="76" spans="1:19" s="2" customFormat="1" x14ac:dyDescent="0.2">
      <c r="A76" s="24"/>
      <c r="B76" s="1"/>
      <c r="C76" s="78" t="s">
        <v>577</v>
      </c>
      <c r="D76" s="109">
        <f>D67+D74</f>
        <v>2040.1100000000001</v>
      </c>
      <c r="E76" s="104"/>
      <c r="G76" s="30"/>
      <c r="H76" s="30"/>
      <c r="I76" s="70"/>
      <c r="J76" s="113"/>
      <c r="K76" s="113" t="s">
        <v>709</v>
      </c>
      <c r="L76" s="113" t="s">
        <v>710</v>
      </c>
      <c r="M76" s="113" t="s">
        <v>711</v>
      </c>
      <c r="N76" s="113" t="s">
        <v>712</v>
      </c>
      <c r="O76" s="70"/>
      <c r="P76" s="70"/>
    </row>
    <row r="77" spans="1:19" s="2" customFormat="1" x14ac:dyDescent="0.2">
      <c r="A77" s="24"/>
      <c r="B77" s="1"/>
      <c r="C77" s="56"/>
      <c r="D77" s="56"/>
      <c r="E77" s="104"/>
      <c r="G77" s="30"/>
      <c r="H77" s="30"/>
      <c r="I77" s="70"/>
      <c r="J77" s="113" t="s">
        <v>1860</v>
      </c>
      <c r="K77" s="115">
        <v>191.98999999999998</v>
      </c>
      <c r="L77" s="115">
        <v>0</v>
      </c>
      <c r="M77" s="115">
        <v>0</v>
      </c>
      <c r="N77" s="113">
        <f>+K77+M77-L77</f>
        <v>191.98999999999998</v>
      </c>
      <c r="O77" s="70"/>
      <c r="P77" s="70"/>
    </row>
    <row r="78" spans="1:19" s="2" customFormat="1" ht="38.25" x14ac:dyDescent="0.2">
      <c r="A78" s="24"/>
      <c r="B78" s="1"/>
      <c r="C78" s="79" t="str">
        <f>"Particulars ( 01-02-2024 to "&amp;TEXT(A5,"dd-mm-yyyy")&amp;" )"</f>
        <v>Particulars ( 01-02-2024 to 16-02-2024 )</v>
      </c>
      <c r="D78" s="79" t="s">
        <v>7</v>
      </c>
      <c r="E78" s="80" t="s">
        <v>73</v>
      </c>
      <c r="F78" s="80" t="s">
        <v>74</v>
      </c>
      <c r="G78" s="81" t="s">
        <v>75</v>
      </c>
      <c r="H78" s="80" t="s">
        <v>76</v>
      </c>
      <c r="I78" s="70"/>
      <c r="J78" s="113" t="s">
        <v>1861</v>
      </c>
      <c r="K78" s="115">
        <v>1862.06</v>
      </c>
      <c r="L78" s="115">
        <v>97.69</v>
      </c>
      <c r="M78" s="115">
        <v>377.48</v>
      </c>
      <c r="N78" s="113">
        <f>+K78+M78-L78</f>
        <v>2141.85</v>
      </c>
      <c r="O78" s="70"/>
      <c r="P78" s="70"/>
    </row>
    <row r="79" spans="1:19" s="2" customFormat="1" x14ac:dyDescent="0.2">
      <c r="A79" s="24"/>
      <c r="B79" s="1"/>
      <c r="C79" s="50" t="s">
        <v>444</v>
      </c>
      <c r="D79" s="55">
        <f>+K79</f>
        <v>332.44</v>
      </c>
      <c r="E79" s="55">
        <f>+IF(M79=0,0,M79)</f>
        <v>111.36</v>
      </c>
      <c r="F79" s="55">
        <f>+L79</f>
        <v>105.65</v>
      </c>
      <c r="G79" s="55">
        <f>+D79+E79-F79</f>
        <v>338.15</v>
      </c>
      <c r="H79" s="55">
        <f>1500-G79</f>
        <v>1161.8499999999999</v>
      </c>
      <c r="I79" s="70">
        <f>+IF(M79=0,0,M79)</f>
        <v>111.36</v>
      </c>
      <c r="J79" s="113" t="s">
        <v>707</v>
      </c>
      <c r="K79" s="115">
        <v>332.44</v>
      </c>
      <c r="L79" s="115">
        <v>105.65</v>
      </c>
      <c r="M79" s="115">
        <v>111.36</v>
      </c>
      <c r="N79" s="113">
        <f>+K79+M79-L79</f>
        <v>338.15</v>
      </c>
      <c r="O79" s="70"/>
      <c r="P79" s="70"/>
    </row>
    <row r="80" spans="1:19" s="2" customFormat="1" x14ac:dyDescent="0.2">
      <c r="A80" s="24"/>
      <c r="B80" s="1"/>
      <c r="C80" s="50" t="s">
        <v>71</v>
      </c>
      <c r="D80" s="55">
        <f>+K77+K78</f>
        <v>2054.0499999999997</v>
      </c>
      <c r="E80" s="55">
        <f>+M77+M78</f>
        <v>377.48</v>
      </c>
      <c r="F80" s="55">
        <f>+L77+L78</f>
        <v>97.69</v>
      </c>
      <c r="G80" s="55">
        <f>+D80+E80-F80</f>
        <v>2333.8399999999997</v>
      </c>
      <c r="H80" s="55">
        <f>1500+700+200-G80</f>
        <v>66.160000000000309</v>
      </c>
      <c r="I80" s="70"/>
      <c r="K80" s="118">
        <f>SUM(K77:K79)</f>
        <v>2386.4899999999998</v>
      </c>
      <c r="L80" s="118">
        <f>SUM(L77:L79)</f>
        <v>203.34</v>
      </c>
      <c r="M80" s="118">
        <f>SUM(M77:M79)</f>
        <v>488.84000000000003</v>
      </c>
      <c r="N80" s="118">
        <f>SUM(N77:N79)</f>
        <v>2671.99</v>
      </c>
      <c r="O80" s="70"/>
      <c r="P80" s="70"/>
    </row>
    <row r="81" spans="1:16" s="2" customFormat="1" x14ac:dyDescent="0.2">
      <c r="A81" s="24"/>
      <c r="B81" s="1"/>
      <c r="C81" s="14"/>
      <c r="D81" s="56"/>
      <c r="E81" s="13"/>
      <c r="G81" s="30"/>
      <c r="H81" s="30"/>
      <c r="I81" s="70"/>
      <c r="J81" s="70"/>
      <c r="K81" s="70"/>
      <c r="L81" s="70"/>
      <c r="M81" s="70"/>
      <c r="N81" s="70"/>
      <c r="O81" s="70"/>
      <c r="P81" s="70"/>
    </row>
    <row r="82" spans="1:16" s="2" customFormat="1" x14ac:dyDescent="0.2">
      <c r="A82" s="215" t="s">
        <v>80</v>
      </c>
      <c r="B82" s="216"/>
      <c r="C82" s="216"/>
      <c r="D82" s="217"/>
      <c r="E82" s="69"/>
      <c r="F82" s="70"/>
      <c r="G82" s="30"/>
      <c r="H82" s="30"/>
      <c r="I82" s="70"/>
      <c r="J82" s="70"/>
      <c r="K82" s="70"/>
      <c r="L82" s="70"/>
      <c r="M82" s="70"/>
      <c r="N82" s="70"/>
      <c r="O82" s="70"/>
      <c r="P82" s="70"/>
    </row>
    <row r="83" spans="1:16" s="2" customFormat="1" x14ac:dyDescent="0.2">
      <c r="A83" s="71" t="s">
        <v>81</v>
      </c>
      <c r="B83" s="71"/>
      <c r="C83" s="72" t="s">
        <v>82</v>
      </c>
      <c r="D83" s="73" t="s">
        <v>83</v>
      </c>
      <c r="E83" s="69"/>
      <c r="F83" s="70"/>
      <c r="G83" s="30"/>
      <c r="H83" s="30"/>
      <c r="I83" s="70"/>
      <c r="J83" s="70"/>
      <c r="K83" s="70"/>
      <c r="L83" s="70"/>
      <c r="M83" s="70"/>
      <c r="N83" s="70"/>
      <c r="O83" s="70"/>
      <c r="P83" s="70"/>
    </row>
    <row r="84" spans="1:16" s="2" customFormat="1" x14ac:dyDescent="0.2">
      <c r="A84" s="87">
        <v>45323</v>
      </c>
      <c r="B84" s="120" t="s">
        <v>6</v>
      </c>
      <c r="C84" s="75" t="s">
        <v>2030</v>
      </c>
      <c r="D84" s="88">
        <v>881220</v>
      </c>
      <c r="G84" s="30"/>
      <c r="H84" s="30"/>
      <c r="M84" s="41"/>
      <c r="N84" s="42"/>
      <c r="O84" s="70"/>
      <c r="P84" s="70"/>
    </row>
    <row r="85" spans="1:16" s="2" customFormat="1" x14ac:dyDescent="0.2">
      <c r="A85" s="87">
        <v>45324</v>
      </c>
      <c r="B85" s="120" t="s">
        <v>6</v>
      </c>
      <c r="C85" s="75" t="s">
        <v>1934</v>
      </c>
      <c r="D85" s="88">
        <v>47729</v>
      </c>
      <c r="G85" s="30"/>
      <c r="H85" s="30"/>
      <c r="M85" s="41"/>
      <c r="N85" s="42"/>
      <c r="P85" s="70"/>
    </row>
    <row r="86" spans="1:16" s="2" customFormat="1" x14ac:dyDescent="0.2">
      <c r="A86" s="87">
        <v>45328</v>
      </c>
      <c r="B86" s="120" t="s">
        <v>6</v>
      </c>
      <c r="C86" s="75" t="s">
        <v>606</v>
      </c>
      <c r="D86" s="88">
        <v>1312580</v>
      </c>
      <c r="G86" s="30"/>
      <c r="H86" s="30"/>
      <c r="M86" s="41"/>
      <c r="N86" s="42"/>
      <c r="P86" s="70"/>
    </row>
    <row r="87" spans="1:16" s="2" customFormat="1" x14ac:dyDescent="0.2">
      <c r="A87" s="87">
        <v>45327</v>
      </c>
      <c r="B87" s="120" t="s">
        <v>6</v>
      </c>
      <c r="C87" s="75" t="s">
        <v>606</v>
      </c>
      <c r="D87" s="88">
        <v>56647</v>
      </c>
      <c r="G87" s="30"/>
      <c r="H87" s="30"/>
      <c r="M87" s="41"/>
      <c r="N87" s="42"/>
      <c r="P87" s="70"/>
    </row>
    <row r="88" spans="1:16" s="2" customFormat="1" x14ac:dyDescent="0.2">
      <c r="A88" s="87">
        <v>45329</v>
      </c>
      <c r="B88" s="120" t="s">
        <v>6</v>
      </c>
      <c r="C88" s="75" t="s">
        <v>2030</v>
      </c>
      <c r="D88" s="88">
        <v>548859</v>
      </c>
      <c r="G88" s="30"/>
      <c r="H88" s="30"/>
      <c r="M88" s="41"/>
      <c r="N88" s="42"/>
      <c r="P88" s="70"/>
    </row>
    <row r="89" spans="1:16" s="2" customFormat="1" x14ac:dyDescent="0.2">
      <c r="A89" s="87">
        <v>45332</v>
      </c>
      <c r="B89" s="120" t="s">
        <v>6</v>
      </c>
      <c r="C89" s="75" t="s">
        <v>1084</v>
      </c>
      <c r="D89" s="88">
        <v>1603904</v>
      </c>
      <c r="G89" s="30"/>
      <c r="H89" s="30"/>
      <c r="M89" s="41"/>
      <c r="N89" s="42"/>
      <c r="P89" s="70"/>
    </row>
    <row r="90" spans="1:16" s="2" customFormat="1" x14ac:dyDescent="0.2">
      <c r="A90" s="87">
        <v>45335</v>
      </c>
      <c r="B90" s="120" t="s">
        <v>6</v>
      </c>
      <c r="C90" s="75" t="s">
        <v>271</v>
      </c>
      <c r="D90" s="88">
        <v>9126</v>
      </c>
      <c r="G90" s="30"/>
      <c r="H90" s="30"/>
      <c r="P90" s="70"/>
    </row>
    <row r="91" spans="1:16" s="2" customFormat="1" x14ac:dyDescent="0.2">
      <c r="A91" s="87">
        <v>45337</v>
      </c>
      <c r="B91" s="120" t="s">
        <v>6</v>
      </c>
      <c r="C91" s="75" t="s">
        <v>1806</v>
      </c>
      <c r="D91" s="88">
        <v>78251</v>
      </c>
      <c r="G91" s="30"/>
      <c r="H91" s="30"/>
      <c r="P91" s="70"/>
    </row>
    <row r="92" spans="1:16" s="2" customFormat="1" x14ac:dyDescent="0.2">
      <c r="A92" s="87">
        <v>45338</v>
      </c>
      <c r="B92" s="120" t="s">
        <v>6</v>
      </c>
      <c r="C92" s="75" t="s">
        <v>1806</v>
      </c>
      <c r="D92" s="88">
        <v>1418915</v>
      </c>
      <c r="G92" s="30"/>
      <c r="H92" s="30"/>
      <c r="P92" s="70"/>
    </row>
    <row r="93" spans="1:16" s="2" customFormat="1" x14ac:dyDescent="0.2">
      <c r="A93" s="87">
        <v>45338</v>
      </c>
      <c r="B93" s="120" t="s">
        <v>6</v>
      </c>
      <c r="C93" s="75" t="s">
        <v>606</v>
      </c>
      <c r="D93" s="88">
        <v>3685988</v>
      </c>
      <c r="G93" s="30"/>
      <c r="H93" s="30"/>
      <c r="P93" s="70"/>
    </row>
    <row r="94" spans="1:16" s="2" customFormat="1" x14ac:dyDescent="0.2">
      <c r="A94" s="87"/>
      <c r="B94" s="74"/>
      <c r="C94" s="75"/>
      <c r="D94" s="51">
        <f>SUM(D84:D93)</f>
        <v>9643219</v>
      </c>
      <c r="F94" s="2" t="s">
        <v>396</v>
      </c>
      <c r="G94" s="1"/>
      <c r="H94" s="1"/>
      <c r="P94" s="70"/>
    </row>
    <row r="95" spans="1:16" s="2" customFormat="1" x14ac:dyDescent="0.2">
      <c r="A95" s="24"/>
      <c r="B95" s="1"/>
      <c r="C95" s="14"/>
      <c r="D95" s="56"/>
      <c r="E95" s="13"/>
      <c r="G95" s="1"/>
      <c r="H95" s="1"/>
      <c r="I95" s="2" t="s">
        <v>396</v>
      </c>
    </row>
    <row r="96" spans="1:16" s="2" customFormat="1" x14ac:dyDescent="0.2">
      <c r="A96" s="24"/>
      <c r="B96" s="1"/>
      <c r="C96" s="218" t="s">
        <v>77</v>
      </c>
      <c r="D96" s="219"/>
      <c r="E96" s="219"/>
      <c r="F96" s="220"/>
      <c r="I96" s="2" t="s">
        <v>396</v>
      </c>
    </row>
    <row r="97" spans="1:14" s="2" customFormat="1" x14ac:dyDescent="0.2">
      <c r="A97" s="24"/>
      <c r="B97" s="1"/>
      <c r="C97" s="50"/>
      <c r="D97" s="57" t="s">
        <v>78</v>
      </c>
      <c r="E97" s="58" t="s">
        <v>79</v>
      </c>
      <c r="F97" s="57" t="s">
        <v>72</v>
      </c>
    </row>
    <row r="98" spans="1:14" s="2" customFormat="1" x14ac:dyDescent="0.2">
      <c r="A98" s="24"/>
      <c r="B98" s="1"/>
      <c r="C98" s="59" t="str">
        <f>"01-02-2024 to "&amp;TEXT(A5-2,"dd-mm-yyyy")</f>
        <v>01-02-2024 to 14-02-2024</v>
      </c>
      <c r="D98" s="60">
        <v>1796.88</v>
      </c>
      <c r="E98" s="60">
        <v>319.49</v>
      </c>
      <c r="F98" s="61">
        <f>SUM(D98:E98)</f>
        <v>2116.37</v>
      </c>
      <c r="I98" s="53"/>
    </row>
    <row r="99" spans="1:14" s="2" customFormat="1" x14ac:dyDescent="0.2">
      <c r="A99" s="24"/>
      <c r="B99" s="1"/>
      <c r="C99" s="62" t="str">
        <f>TEXT(A5-1,"dd-mm-yyyy")</f>
        <v>15-02-2024</v>
      </c>
      <c r="D99" s="60">
        <v>163.41999999999999</v>
      </c>
      <c r="E99" s="60">
        <v>16.989999999999998</v>
      </c>
      <c r="F99" s="61">
        <f>SUM(D99:E99)</f>
        <v>180.41</v>
      </c>
      <c r="G99" s="1"/>
      <c r="H99" s="1"/>
      <c r="I99" s="53"/>
    </row>
    <row r="100" spans="1:14" s="2" customFormat="1" ht="13.5" thickBot="1" x14ac:dyDescent="0.25">
      <c r="A100" s="24"/>
      <c r="B100" s="1"/>
      <c r="C100" s="63" t="str">
        <f>"01-02-2024 to "&amp;TEXT(A5-1,"dd-mm-yyyy")</f>
        <v>01-02-2024 to 15-02-2024</v>
      </c>
      <c r="D100" s="64">
        <f>SUM(D98:D99)</f>
        <v>1960.3000000000002</v>
      </c>
      <c r="E100" s="64">
        <f>SUM(E98:E99)</f>
        <v>336.48</v>
      </c>
      <c r="F100" s="64">
        <f>SUM(F98:F99)</f>
        <v>2296.7799999999997</v>
      </c>
      <c r="G100" s="1"/>
      <c r="H100" s="1"/>
      <c r="M100" s="1"/>
      <c r="N100" s="1"/>
    </row>
    <row r="101" spans="1:14" s="2" customFormat="1" ht="13.5" thickTop="1" x14ac:dyDescent="0.2">
      <c r="A101" s="24"/>
      <c r="B101" s="1"/>
      <c r="C101" s="62"/>
      <c r="D101" s="65"/>
      <c r="E101" s="66"/>
      <c r="F101" s="67"/>
      <c r="M101" s="1"/>
      <c r="N101" s="1"/>
    </row>
    <row r="102" spans="1:14" s="2" customFormat="1" x14ac:dyDescent="0.2">
      <c r="A102" s="24"/>
      <c r="B102" s="1"/>
      <c r="C102" s="62" t="str">
        <f>"01-04-2023 to " &amp;C99</f>
        <v>01-04-2023 to 15-02-2024</v>
      </c>
      <c r="D102" s="68">
        <f>+D100+37155.6</f>
        <v>39115.9</v>
      </c>
      <c r="E102" s="68">
        <f>+E100+4502.26</f>
        <v>4838.74</v>
      </c>
      <c r="F102" s="68">
        <f>+F100+41657.86</f>
        <v>43954.64</v>
      </c>
      <c r="G102" s="1"/>
      <c r="H102" s="1"/>
      <c r="M102" s="1"/>
      <c r="N102" s="1"/>
    </row>
    <row r="103" spans="1:14" s="2" customFormat="1" x14ac:dyDescent="0.2">
      <c r="A103" s="24"/>
      <c r="B103" s="1"/>
      <c r="C103" s="52"/>
      <c r="D103" s="85"/>
      <c r="E103" s="53"/>
      <c r="F103" s="53"/>
      <c r="G103" s="1"/>
      <c r="H103" s="1"/>
      <c r="M103" s="1"/>
      <c r="N103" s="1"/>
    </row>
    <row r="104" spans="1:14" s="2" customFormat="1" x14ac:dyDescent="0.2">
      <c r="A104" s="24"/>
      <c r="B104" s="1"/>
      <c r="C104" s="52"/>
      <c r="D104" s="85"/>
      <c r="E104" s="53"/>
      <c r="F104" s="53"/>
      <c r="G104" s="1"/>
      <c r="H104" s="1"/>
      <c r="M104" s="1"/>
      <c r="N104" s="1"/>
    </row>
    <row r="105" spans="1:14" s="2" customFormat="1" x14ac:dyDescent="0.2">
      <c r="A105" s="24"/>
      <c r="B105" s="1"/>
      <c r="C105" s="52"/>
      <c r="D105" s="85"/>
      <c r="E105" s="53"/>
      <c r="F105" s="53"/>
      <c r="G105" s="1"/>
      <c r="H105" s="1"/>
      <c r="M105" s="1"/>
      <c r="N105" s="1"/>
    </row>
    <row r="106" spans="1:14" s="2" customFormat="1" x14ac:dyDescent="0.2">
      <c r="A106" s="24"/>
      <c r="B106" s="1"/>
      <c r="C106" s="52"/>
      <c r="D106" s="85"/>
      <c r="E106" s="53"/>
      <c r="F106" s="53"/>
      <c r="G106" s="1"/>
      <c r="H106" s="1"/>
      <c r="M106" s="1"/>
      <c r="N106" s="1"/>
    </row>
    <row r="107" spans="1:14" s="2" customFormat="1" x14ac:dyDescent="0.2">
      <c r="A107" s="24"/>
      <c r="B107" s="1"/>
      <c r="C107" s="14"/>
      <c r="D107" s="25">
        <f>SUM(D104:D106)</f>
        <v>0</v>
      </c>
      <c r="E107" s="2">
        <f>SUM(E104:E106)</f>
        <v>0</v>
      </c>
      <c r="G107" s="1"/>
      <c r="H107" s="1"/>
      <c r="M107" s="1"/>
      <c r="N107" s="1"/>
    </row>
    <row r="108" spans="1:14" s="2" customFormat="1" x14ac:dyDescent="0.2">
      <c r="A108" s="24"/>
      <c r="B108" s="1"/>
      <c r="C108" s="14"/>
      <c r="D108" s="25"/>
      <c r="G108" s="1"/>
      <c r="H108" s="1"/>
      <c r="M108" s="1"/>
      <c r="N108" s="1"/>
    </row>
    <row r="109" spans="1:14" s="2" customFormat="1" x14ac:dyDescent="0.2">
      <c r="A109" s="24"/>
      <c r="B109" s="1"/>
      <c r="C109" s="14"/>
      <c r="D109" s="25"/>
      <c r="G109" s="1"/>
      <c r="H109" s="1"/>
      <c r="M109" s="1"/>
      <c r="N109" s="1"/>
    </row>
    <row r="110" spans="1:14" s="2" customFormat="1" x14ac:dyDescent="0.2">
      <c r="A110" s="24"/>
      <c r="B110" s="1"/>
      <c r="C110" s="14"/>
      <c r="D110" s="25"/>
      <c r="G110" s="1"/>
      <c r="H110" s="1"/>
      <c r="M110" s="1"/>
      <c r="N110" s="1"/>
    </row>
    <row r="111" spans="1:14" s="2" customFormat="1" x14ac:dyDescent="0.2">
      <c r="A111" s="24"/>
      <c r="B111" s="1"/>
      <c r="C111" s="14"/>
      <c r="D111" s="25"/>
      <c r="G111" s="1"/>
      <c r="H111" s="1"/>
      <c r="M111" s="1"/>
      <c r="N111" s="1"/>
    </row>
    <row r="112" spans="1:14" s="2" customFormat="1" x14ac:dyDescent="0.2">
      <c r="A112" s="24"/>
      <c r="B112" s="1"/>
      <c r="C112" s="14"/>
      <c r="D112" s="25"/>
      <c r="G112" s="1"/>
      <c r="H112" s="1"/>
      <c r="M112" s="1"/>
      <c r="N112" s="1"/>
    </row>
    <row r="113" spans="1:19" s="2" customFormat="1" x14ac:dyDescent="0.2">
      <c r="A113" s="24"/>
      <c r="B113" s="1"/>
      <c r="C113" s="14"/>
      <c r="D113" s="25"/>
      <c r="G113" s="1"/>
      <c r="H113" s="1"/>
      <c r="M113" s="1"/>
      <c r="N113" s="1"/>
    </row>
    <row r="114" spans="1:19" s="2" customFormat="1" x14ac:dyDescent="0.2">
      <c r="A114" s="24"/>
      <c r="B114" s="1"/>
      <c r="C114" s="14"/>
      <c r="D114" s="25"/>
      <c r="G114" s="1"/>
      <c r="H114" s="1"/>
      <c r="M114" s="1"/>
      <c r="N114" s="1"/>
      <c r="Q114" s="1"/>
      <c r="R114" s="1"/>
      <c r="S114" s="1"/>
    </row>
    <row r="115" spans="1:19" x14ac:dyDescent="0.2">
      <c r="J115" s="2"/>
      <c r="K115" s="2"/>
      <c r="L115" s="2"/>
      <c r="O115" s="2"/>
      <c r="P115" s="2"/>
      <c r="Q115" s="2"/>
      <c r="R115" s="2"/>
      <c r="S115" s="2"/>
    </row>
    <row r="116" spans="1:19" s="2" customFormat="1" x14ac:dyDescent="0.2">
      <c r="A116" s="24"/>
      <c r="B116" s="1"/>
      <c r="C116" s="14"/>
      <c r="D116" s="25"/>
      <c r="G116" s="1"/>
      <c r="H116" s="1"/>
      <c r="M116" s="1"/>
      <c r="N116" s="1"/>
      <c r="Q116" s="1"/>
      <c r="R116" s="1"/>
      <c r="S116" s="1"/>
    </row>
    <row r="117" spans="1:19" x14ac:dyDescent="0.2">
      <c r="J117" s="2"/>
      <c r="K117" s="2"/>
      <c r="L117" s="2"/>
      <c r="O117" s="2"/>
      <c r="P117" s="2"/>
    </row>
    <row r="118" spans="1:19" x14ac:dyDescent="0.2">
      <c r="J118" s="2"/>
      <c r="K118" s="2"/>
      <c r="L118" s="2"/>
      <c r="O118" s="2"/>
      <c r="P118" s="2"/>
    </row>
    <row r="119" spans="1:19" x14ac:dyDescent="0.2">
      <c r="J119" s="2"/>
      <c r="K119" s="2"/>
      <c r="L119" s="2"/>
      <c r="O119" s="2"/>
      <c r="P119" s="2"/>
    </row>
    <row r="120" spans="1:19" x14ac:dyDescent="0.2">
      <c r="J120" s="2"/>
      <c r="K120" s="2"/>
      <c r="L120" s="2"/>
      <c r="O120" s="2"/>
      <c r="P120" s="2"/>
    </row>
    <row r="121" spans="1:19" x14ac:dyDescent="0.2">
      <c r="O121" s="2"/>
      <c r="P121" s="2"/>
    </row>
    <row r="122" spans="1:19" x14ac:dyDescent="0.2">
      <c r="J122" s="2"/>
      <c r="K122" s="2"/>
      <c r="L122" s="2"/>
      <c r="M122" s="2"/>
      <c r="N122" s="2"/>
      <c r="O122" s="2"/>
      <c r="P122" s="2"/>
    </row>
    <row r="123" spans="1:19" x14ac:dyDescent="0.2">
      <c r="O123" s="2"/>
      <c r="P123" s="2"/>
    </row>
    <row r="124" spans="1:19" x14ac:dyDescent="0.2">
      <c r="G124" s="54"/>
      <c r="H124" s="54"/>
      <c r="O124" s="2"/>
      <c r="P124" s="2"/>
    </row>
    <row r="125" spans="1:19" x14ac:dyDescent="0.2">
      <c r="G125" s="54"/>
      <c r="H125" s="54"/>
      <c r="O125" s="2"/>
      <c r="P125" s="2"/>
    </row>
    <row r="126" spans="1:19" x14ac:dyDescent="0.2">
      <c r="G126" s="54"/>
      <c r="H126" s="54"/>
      <c r="O126" s="2"/>
      <c r="P126" s="2"/>
    </row>
    <row r="127" spans="1:19" x14ac:dyDescent="0.2">
      <c r="G127" s="54"/>
      <c r="H127" s="54"/>
      <c r="I127" s="2" t="s">
        <v>396</v>
      </c>
      <c r="O127" s="2"/>
      <c r="P127" s="2"/>
    </row>
    <row r="128" spans="1:19" x14ac:dyDescent="0.2">
      <c r="G128" s="54"/>
      <c r="H128" s="54"/>
      <c r="I128" s="53"/>
      <c r="J128" s="2"/>
      <c r="K128" s="2"/>
      <c r="L128" s="2"/>
      <c r="M128" s="2"/>
      <c r="N128" s="2"/>
      <c r="P128" s="2"/>
    </row>
    <row r="129" spans="7:16" x14ac:dyDescent="0.2">
      <c r="G129" s="54"/>
      <c r="H129" s="54"/>
      <c r="I129" s="53" t="s">
        <v>396</v>
      </c>
      <c r="O129" s="2"/>
      <c r="P129" s="2"/>
    </row>
    <row r="130" spans="7:16" x14ac:dyDescent="0.2">
      <c r="G130" s="54"/>
      <c r="H130" s="54"/>
      <c r="I130" s="53" t="s">
        <v>396</v>
      </c>
      <c r="K130" s="42"/>
      <c r="P130" s="2"/>
    </row>
    <row r="131" spans="7:16" x14ac:dyDescent="0.2">
      <c r="G131" s="54"/>
      <c r="H131" s="54"/>
      <c r="I131" s="53"/>
      <c r="J131" s="101"/>
      <c r="P131" s="2"/>
    </row>
    <row r="132" spans="7:16" x14ac:dyDescent="0.2">
      <c r="G132" s="54"/>
      <c r="H132" s="54"/>
      <c r="I132" s="53"/>
    </row>
    <row r="133" spans="7:16" x14ac:dyDescent="0.2">
      <c r="G133" s="54"/>
      <c r="H133" s="54"/>
      <c r="I133" s="53"/>
      <c r="P133" s="2"/>
    </row>
    <row r="134" spans="7:16" x14ac:dyDescent="0.2">
      <c r="G134" s="54"/>
      <c r="H134" s="54"/>
      <c r="I134" s="53"/>
    </row>
  </sheetData>
  <sheetProtection insertRows="0"/>
  <mergeCells count="7">
    <mergeCell ref="K75:L75"/>
    <mergeCell ref="A82:D82"/>
    <mergeCell ref="C96:F96"/>
    <mergeCell ref="A1:H1"/>
    <mergeCell ref="A3:F3"/>
    <mergeCell ref="A9:F9"/>
    <mergeCell ref="A21:F21"/>
  </mergeCells>
  <conditionalFormatting sqref="H79:H80">
    <cfRule type="cellIs" dxfId="71" priority="1" operator="lessThan">
      <formula>0</formula>
    </cfRule>
  </conditionalFormatting>
  <conditionalFormatting sqref="C23">
    <cfRule type="duplicateValues" dxfId="70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FF00-000000000000}">
  <sheetPr codeName="Sheet551">
    <pageSetUpPr fitToPage="1"/>
  </sheetPr>
  <dimension ref="A1:S124"/>
  <sheetViews>
    <sheetView topLeftCell="A28" zoomScaleNormal="100" workbookViewId="0">
      <selection activeCell="E36" sqref="E36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12.85546875" style="1" customWidth="1"/>
    <col min="9" max="9" width="24.85546875" style="2" bestFit="1" customWidth="1"/>
    <col min="10" max="10" width="21.5703125" style="1" bestFit="1" customWidth="1"/>
    <col min="11" max="11" width="16.85546875" style="1" bestFit="1" customWidth="1"/>
    <col min="12" max="12" width="19.5703125" style="1" bestFit="1" customWidth="1"/>
    <col min="13" max="13" width="13.5703125" style="1" bestFit="1" customWidth="1"/>
    <col min="14" max="14" width="17.42578125" style="1" bestFit="1" customWidth="1"/>
    <col min="15" max="15" width="12.85546875" style="1" bestFit="1" customWidth="1"/>
    <col min="16" max="17" width="9.140625" style="1"/>
    <col min="18" max="18" width="15.5703125" style="1" bestFit="1" customWidth="1"/>
    <col min="19" max="16384" width="9.140625" style="1"/>
  </cols>
  <sheetData>
    <row r="1" spans="1:12" ht="20.25" customHeight="1" x14ac:dyDescent="0.4">
      <c r="A1" s="212" t="s">
        <v>2084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2" ht="12.75" customHeight="1" x14ac:dyDescent="0.4">
      <c r="I2" s="112"/>
      <c r="J2" s="112"/>
    </row>
    <row r="3" spans="1:12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2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2" s="2" customFormat="1" ht="14.25" customHeight="1" x14ac:dyDescent="0.4">
      <c r="A5" s="89">
        <v>45339</v>
      </c>
      <c r="B5" s="9" t="s">
        <v>6</v>
      </c>
      <c r="C5" s="10" t="s">
        <v>7</v>
      </c>
      <c r="D5" s="11"/>
      <c r="E5" s="12">
        <v>681806.6800000004</v>
      </c>
      <c r="F5" s="12"/>
      <c r="G5" s="1"/>
      <c r="H5" s="1"/>
      <c r="I5" s="112"/>
      <c r="J5" s="112"/>
    </row>
    <row r="6" spans="1:12" s="2" customFormat="1" ht="12.75" customHeight="1" x14ac:dyDescent="0.2">
      <c r="D6" s="15" t="s">
        <v>8</v>
      </c>
      <c r="E6" s="16">
        <f>SUM(E5:E5)</f>
        <v>681806.6800000004</v>
      </c>
      <c r="F6" s="16">
        <f>F5</f>
        <v>0</v>
      </c>
      <c r="G6" s="1"/>
      <c r="H6" s="1"/>
      <c r="I6" s="13" t="s">
        <v>1582</v>
      </c>
      <c r="J6" s="13" t="s">
        <v>1583</v>
      </c>
    </row>
    <row r="7" spans="1:12" s="2" customFormat="1" ht="12.75" customHeight="1" x14ac:dyDescent="0.2">
      <c r="A7" s="17"/>
      <c r="B7" s="18"/>
      <c r="C7" s="19" t="s">
        <v>9</v>
      </c>
      <c r="D7" s="20"/>
      <c r="E7" s="21">
        <f>+E6-F6</f>
        <v>681806.6800000004</v>
      </c>
      <c r="F7" s="22"/>
      <c r="G7" s="23"/>
      <c r="H7" s="23"/>
      <c r="I7" s="2">
        <v>0</v>
      </c>
      <c r="J7" s="2">
        <v>0</v>
      </c>
      <c r="K7" s="176">
        <f>I7-J7</f>
        <v>0</v>
      </c>
    </row>
    <row r="8" spans="1:12" ht="12.75" customHeight="1" x14ac:dyDescent="0.4">
      <c r="I8" s="112"/>
      <c r="J8" s="112"/>
    </row>
    <row r="9" spans="1:12" ht="18" customHeight="1" x14ac:dyDescent="0.4">
      <c r="A9" s="213" t="s">
        <v>1037</v>
      </c>
      <c r="B9" s="213"/>
      <c r="C9" s="213"/>
      <c r="D9" s="213"/>
      <c r="E9" s="213"/>
      <c r="F9" s="213"/>
      <c r="I9" s="112"/>
      <c r="J9" s="169">
        <f>90000000-60000000</f>
        <v>30000000</v>
      </c>
      <c r="K9" s="169" t="s">
        <v>1508</v>
      </c>
    </row>
    <row r="10" spans="1:12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I10" s="112"/>
      <c r="J10" s="169">
        <v>28620274.52</v>
      </c>
      <c r="K10" s="169" t="s">
        <v>1509</v>
      </c>
      <c r="L10" s="124"/>
    </row>
    <row r="11" spans="1:12" s="2" customFormat="1" ht="14.25" customHeight="1" x14ac:dyDescent="0.2">
      <c r="A11" s="89">
        <v>45339</v>
      </c>
      <c r="B11" s="9" t="s">
        <v>6</v>
      </c>
      <c r="C11" s="10" t="s">
        <v>7</v>
      </c>
      <c r="D11" s="11"/>
      <c r="F11" s="12">
        <v>28620274.52</v>
      </c>
      <c r="G11" s="1"/>
      <c r="H11" s="1"/>
      <c r="I11" s="130" t="s">
        <v>396</v>
      </c>
      <c r="J11" s="169">
        <f>+J9-J10</f>
        <v>1379725.4800000004</v>
      </c>
      <c r="K11" s="169" t="s">
        <v>712</v>
      </c>
      <c r="L11" s="165" t="s">
        <v>1512</v>
      </c>
    </row>
    <row r="12" spans="1:12" s="2" customFormat="1" ht="14.25" customHeight="1" x14ac:dyDescent="0.4">
      <c r="D12" s="11" t="s">
        <v>8</v>
      </c>
      <c r="E12" s="16">
        <f>SUM(E11:E11)</f>
        <v>0</v>
      </c>
      <c r="F12" s="16">
        <f>SUM(F11:F11)</f>
        <v>28620274.52</v>
      </c>
      <c r="G12" s="1"/>
      <c r="H12" s="1"/>
      <c r="J12" s="112"/>
      <c r="K12" s="153" t="s">
        <v>779</v>
      </c>
    </row>
    <row r="13" spans="1:12" s="2" customFormat="1" ht="14.25" customHeight="1" x14ac:dyDescent="0.2">
      <c r="A13" s="17"/>
      <c r="B13" s="18"/>
      <c r="C13" s="96" t="s">
        <v>9</v>
      </c>
      <c r="D13" s="20"/>
      <c r="E13" s="21">
        <f>+F12-E12</f>
        <v>28620274.52</v>
      </c>
      <c r="G13" s="1"/>
      <c r="H13" s="1"/>
      <c r="J13" s="40">
        <v>28620274.52</v>
      </c>
      <c r="K13" s="154">
        <f>J13-E13</f>
        <v>0</v>
      </c>
    </row>
    <row r="14" spans="1:12" s="2" customFormat="1" ht="14.25" customHeight="1" x14ac:dyDescent="0.2">
      <c r="A14" s="17"/>
      <c r="B14" s="28" t="s">
        <v>66</v>
      </c>
      <c r="C14" s="43" t="s">
        <v>1458</v>
      </c>
      <c r="D14" s="43"/>
      <c r="E14" s="12">
        <f>30000000+60000000</f>
        <v>90000000</v>
      </c>
      <c r="F14" s="22"/>
      <c r="G14" s="1"/>
      <c r="H14" s="1"/>
      <c r="I14" s="13" t="s">
        <v>1582</v>
      </c>
      <c r="J14" s="13" t="s">
        <v>1583</v>
      </c>
    </row>
    <row r="15" spans="1:12" s="2" customFormat="1" ht="14.25" customHeight="1" x14ac:dyDescent="0.25">
      <c r="A15" s="36"/>
      <c r="B15" s="28"/>
      <c r="C15" s="44" t="s">
        <v>1541</v>
      </c>
      <c r="D15" s="43"/>
      <c r="E15" s="7">
        <f>+E13+E14</f>
        <v>118620274.52</v>
      </c>
      <c r="F15" s="22"/>
      <c r="G15" s="1"/>
      <c r="H15" s="1"/>
      <c r="I15" s="2">
        <v>4779153</v>
      </c>
      <c r="J15" s="2">
        <v>11359545.85</v>
      </c>
      <c r="K15" s="176">
        <f>I15-J15</f>
        <v>-6580392.8499999996</v>
      </c>
    </row>
    <row r="16" spans="1:12" s="2" customFormat="1" ht="14.25" customHeight="1" x14ac:dyDescent="0.25">
      <c r="A16" s="36"/>
      <c r="B16" s="28"/>
      <c r="C16" s="44" t="s">
        <v>1511</v>
      </c>
      <c r="D16" s="43"/>
      <c r="E16" s="38">
        <f>+J11+I7-J7</f>
        <v>1379725.4800000004</v>
      </c>
      <c r="F16" s="22"/>
      <c r="G16" s="1"/>
      <c r="H16" s="1"/>
      <c r="J16" s="130"/>
      <c r="K16" s="130"/>
    </row>
    <row r="17" spans="1:12" s="2" customFormat="1" x14ac:dyDescent="0.2">
      <c r="A17" s="24"/>
      <c r="B17" s="1"/>
      <c r="C17" s="14"/>
      <c r="D17" s="25"/>
      <c r="G17" s="1"/>
      <c r="H17" s="1"/>
      <c r="I17" s="159"/>
      <c r="J17" s="160">
        <f>100000000</f>
        <v>100000000</v>
      </c>
      <c r="K17" s="160" t="s">
        <v>1506</v>
      </c>
      <c r="L17" s="70"/>
    </row>
    <row r="18" spans="1:12" s="2" customFormat="1" ht="15" x14ac:dyDescent="0.35">
      <c r="A18" s="214" t="s">
        <v>10</v>
      </c>
      <c r="B18" s="214"/>
      <c r="C18" s="214"/>
      <c r="D18" s="214"/>
      <c r="E18" s="214"/>
      <c r="F18" s="214"/>
      <c r="G18" s="1"/>
      <c r="H18" s="1"/>
      <c r="I18" s="159"/>
      <c r="J18" s="179">
        <v>70937146.379999995</v>
      </c>
      <c r="K18" s="160" t="s">
        <v>1507</v>
      </c>
      <c r="L18" s="70" t="s">
        <v>1512</v>
      </c>
    </row>
    <row r="19" spans="1:12" s="2" customFormat="1" x14ac:dyDescent="0.2">
      <c r="A19" s="26" t="s">
        <v>1</v>
      </c>
      <c r="B19" s="27" t="s">
        <v>2</v>
      </c>
      <c r="C19" s="5"/>
      <c r="D19" s="6" t="s">
        <v>3</v>
      </c>
      <c r="E19" s="7" t="s">
        <v>4</v>
      </c>
      <c r="F19" s="7" t="s">
        <v>5</v>
      </c>
      <c r="G19" s="1"/>
      <c r="H19" s="1"/>
      <c r="I19" s="159" t="s">
        <v>1505</v>
      </c>
      <c r="J19" s="160">
        <f>+J17-J18</f>
        <v>29062853.620000005</v>
      </c>
      <c r="K19" s="160"/>
      <c r="L19" s="70"/>
    </row>
    <row r="20" spans="1:12" s="2" customFormat="1" x14ac:dyDescent="0.2">
      <c r="A20" s="89">
        <v>45339</v>
      </c>
      <c r="B20" s="128" t="s">
        <v>11</v>
      </c>
      <c r="C20" s="29" t="s">
        <v>7</v>
      </c>
      <c r="D20" s="25"/>
      <c r="E20" s="31"/>
      <c r="F20" s="13">
        <v>78475244.22999993</v>
      </c>
      <c r="G20" s="23"/>
      <c r="H20" s="23"/>
      <c r="I20" s="159"/>
      <c r="J20" s="160"/>
      <c r="K20" s="160"/>
      <c r="L20" s="70"/>
    </row>
    <row r="21" spans="1:12" s="2" customFormat="1" x14ac:dyDescent="0.2">
      <c r="A21" s="89">
        <v>45339</v>
      </c>
      <c r="B21" s="128" t="s">
        <v>6</v>
      </c>
      <c r="C21" s="181" t="s">
        <v>1629</v>
      </c>
      <c r="D21" s="11" t="s">
        <v>13</v>
      </c>
      <c r="E21" s="86">
        <v>261701</v>
      </c>
      <c r="G21" s="23"/>
      <c r="H21" s="23"/>
      <c r="I21" s="159"/>
      <c r="J21" s="160"/>
      <c r="K21" s="160"/>
      <c r="L21" s="70"/>
    </row>
    <row r="22" spans="1:12" s="2" customFormat="1" x14ac:dyDescent="0.2">
      <c r="A22" s="89">
        <v>45339</v>
      </c>
      <c r="B22" s="128" t="s">
        <v>6</v>
      </c>
      <c r="C22" s="181" t="s">
        <v>247</v>
      </c>
      <c r="D22" s="11" t="s">
        <v>13</v>
      </c>
      <c r="E22" s="86">
        <v>1960000</v>
      </c>
      <c r="G22" s="23"/>
      <c r="H22" s="23"/>
      <c r="I22" s="159"/>
      <c r="J22" s="160"/>
      <c r="K22" s="160"/>
      <c r="L22" s="70"/>
    </row>
    <row r="23" spans="1:12" s="2" customFormat="1" x14ac:dyDescent="0.2">
      <c r="A23" s="89">
        <v>45339</v>
      </c>
      <c r="B23" s="128" t="s">
        <v>6</v>
      </c>
      <c r="C23" s="181" t="s">
        <v>200</v>
      </c>
      <c r="D23" s="11" t="s">
        <v>13</v>
      </c>
      <c r="E23" s="86">
        <v>690708</v>
      </c>
      <c r="G23" s="23"/>
      <c r="H23" s="23"/>
      <c r="I23" s="159"/>
      <c r="J23" s="160"/>
      <c r="K23" s="160"/>
      <c r="L23" s="70"/>
    </row>
    <row r="24" spans="1:12" s="2" customFormat="1" x14ac:dyDescent="0.2">
      <c r="A24" s="89">
        <v>45339</v>
      </c>
      <c r="B24" s="128" t="s">
        <v>6</v>
      </c>
      <c r="C24" s="181" t="s">
        <v>1744</v>
      </c>
      <c r="D24" s="11" t="s">
        <v>13</v>
      </c>
      <c r="E24" s="86">
        <v>271629</v>
      </c>
      <c r="G24" s="23"/>
      <c r="H24" s="23"/>
      <c r="I24" s="159"/>
      <c r="J24" s="160"/>
      <c r="K24" s="160"/>
      <c r="L24" s="70"/>
    </row>
    <row r="25" spans="1:12" s="2" customFormat="1" x14ac:dyDescent="0.2">
      <c r="A25" s="89">
        <v>45339</v>
      </c>
      <c r="B25" s="128" t="s">
        <v>6</v>
      </c>
      <c r="C25" s="181" t="s">
        <v>683</v>
      </c>
      <c r="D25" s="11" t="s">
        <v>13</v>
      </c>
      <c r="E25" s="86">
        <v>29425.5</v>
      </c>
      <c r="G25" s="23"/>
      <c r="H25" s="23"/>
      <c r="I25" s="159"/>
      <c r="J25" s="160"/>
      <c r="K25" s="160"/>
      <c r="L25" s="70"/>
    </row>
    <row r="26" spans="1:12" s="2" customFormat="1" x14ac:dyDescent="0.2">
      <c r="A26" s="89">
        <v>45339</v>
      </c>
      <c r="B26" s="128" t="s">
        <v>6</v>
      </c>
      <c r="C26" s="181" t="s">
        <v>1212</v>
      </c>
      <c r="D26" s="11" t="s">
        <v>13</v>
      </c>
      <c r="E26" s="86">
        <v>4883</v>
      </c>
      <c r="G26" s="23"/>
      <c r="H26" s="23"/>
      <c r="I26" s="159"/>
      <c r="J26" s="160"/>
      <c r="K26" s="160"/>
      <c r="L26" s="70"/>
    </row>
    <row r="27" spans="1:12" s="2" customFormat="1" x14ac:dyDescent="0.2">
      <c r="A27" s="89">
        <v>45339</v>
      </c>
      <c r="B27" s="128" t="s">
        <v>6</v>
      </c>
      <c r="C27" s="181" t="s">
        <v>1133</v>
      </c>
      <c r="D27" s="11" t="s">
        <v>13</v>
      </c>
      <c r="E27" s="86">
        <v>3098</v>
      </c>
      <c r="G27" s="23"/>
      <c r="H27" s="23"/>
      <c r="I27" s="159"/>
      <c r="J27" s="160"/>
      <c r="K27" s="160"/>
      <c r="L27" s="70"/>
    </row>
    <row r="28" spans="1:12" s="2" customFormat="1" x14ac:dyDescent="0.2">
      <c r="A28" s="89">
        <v>45339</v>
      </c>
      <c r="B28" s="128" t="s">
        <v>6</v>
      </c>
      <c r="C28" s="181" t="s">
        <v>817</v>
      </c>
      <c r="D28" s="11" t="s">
        <v>13</v>
      </c>
      <c r="E28" s="86">
        <v>735</v>
      </c>
      <c r="G28" s="23"/>
      <c r="H28" s="23"/>
      <c r="I28" s="159"/>
      <c r="J28" s="160"/>
      <c r="K28" s="160"/>
      <c r="L28" s="70"/>
    </row>
    <row r="29" spans="1:12" s="2" customFormat="1" x14ac:dyDescent="0.2">
      <c r="A29" s="89">
        <v>45339</v>
      </c>
      <c r="B29" s="128" t="s">
        <v>6</v>
      </c>
      <c r="C29" s="181" t="s">
        <v>1446</v>
      </c>
      <c r="D29" s="11" t="s">
        <v>13</v>
      </c>
      <c r="E29" s="86">
        <v>9450</v>
      </c>
      <c r="G29" s="23"/>
      <c r="H29" s="23"/>
      <c r="I29" s="159"/>
      <c r="J29" s="160"/>
      <c r="K29" s="160"/>
      <c r="L29" s="70"/>
    </row>
    <row r="30" spans="1:12" s="2" customFormat="1" x14ac:dyDescent="0.2">
      <c r="A30" s="89">
        <v>45339</v>
      </c>
      <c r="B30" s="128" t="s">
        <v>6</v>
      </c>
      <c r="C30" s="181" t="s">
        <v>2086</v>
      </c>
      <c r="D30" s="11" t="s">
        <v>13</v>
      </c>
      <c r="E30" s="86">
        <v>50000000</v>
      </c>
      <c r="G30" s="23"/>
      <c r="H30" s="23"/>
      <c r="I30" s="159"/>
      <c r="J30" s="160"/>
      <c r="K30" s="160"/>
      <c r="L30" s="70"/>
    </row>
    <row r="31" spans="1:12" s="2" customFormat="1" x14ac:dyDescent="0.2">
      <c r="A31" s="89">
        <v>45339</v>
      </c>
      <c r="B31" s="128" t="s">
        <v>6</v>
      </c>
      <c r="C31" s="181" t="s">
        <v>1236</v>
      </c>
      <c r="D31" s="11" t="s">
        <v>13</v>
      </c>
      <c r="E31" s="86">
        <v>422314</v>
      </c>
      <c r="G31" s="23"/>
      <c r="H31" s="23"/>
      <c r="I31" s="159"/>
      <c r="J31" s="160"/>
      <c r="K31" s="160"/>
      <c r="L31" s="70"/>
    </row>
    <row r="32" spans="1:12" s="2" customFormat="1" x14ac:dyDescent="0.2">
      <c r="A32" s="89">
        <v>45339</v>
      </c>
      <c r="B32" s="128" t="s">
        <v>6</v>
      </c>
      <c r="C32" s="181" t="s">
        <v>177</v>
      </c>
      <c r="D32" s="11" t="s">
        <v>13</v>
      </c>
      <c r="E32" s="86">
        <v>1040198</v>
      </c>
      <c r="G32" s="23"/>
      <c r="H32" s="23"/>
      <c r="I32" s="159"/>
      <c r="J32" s="160"/>
      <c r="K32" s="160"/>
      <c r="L32" s="70"/>
    </row>
    <row r="33" spans="1:16" s="2" customFormat="1" x14ac:dyDescent="0.2">
      <c r="A33" s="89">
        <v>45339</v>
      </c>
      <c r="B33" s="128" t="s">
        <v>6</v>
      </c>
      <c r="C33" s="181" t="s">
        <v>2085</v>
      </c>
      <c r="D33" s="11" t="s">
        <v>13</v>
      </c>
      <c r="E33" s="86">
        <v>500000</v>
      </c>
      <c r="G33" s="23"/>
      <c r="H33" s="23"/>
      <c r="I33" s="159"/>
      <c r="J33" s="160"/>
      <c r="K33" s="160"/>
      <c r="L33" s="70"/>
    </row>
    <row r="34" spans="1:16" s="2" customFormat="1" x14ac:dyDescent="0.2">
      <c r="A34" s="89">
        <v>45339</v>
      </c>
      <c r="B34" s="128" t="s">
        <v>6</v>
      </c>
      <c r="C34" s="181" t="s">
        <v>264</v>
      </c>
      <c r="D34" s="11" t="s">
        <v>13</v>
      </c>
      <c r="E34" s="86">
        <v>2277411</v>
      </c>
      <c r="G34" s="23"/>
      <c r="H34" s="23"/>
      <c r="I34" s="159"/>
      <c r="J34" s="160"/>
      <c r="K34" s="160"/>
      <c r="L34" s="70"/>
    </row>
    <row r="35" spans="1:16" s="2" customFormat="1" x14ac:dyDescent="0.2">
      <c r="A35" s="89">
        <v>45339</v>
      </c>
      <c r="B35" s="128" t="s">
        <v>6</v>
      </c>
      <c r="C35" s="181" t="s">
        <v>149</v>
      </c>
      <c r="D35" s="11" t="s">
        <v>13</v>
      </c>
      <c r="E35" s="86">
        <v>2818</v>
      </c>
      <c r="G35" s="23"/>
      <c r="H35" s="23"/>
      <c r="I35" s="159"/>
      <c r="J35" s="160"/>
      <c r="K35" s="160"/>
      <c r="L35" s="70"/>
    </row>
    <row r="36" spans="1:16" s="2" customFormat="1" x14ac:dyDescent="0.2">
      <c r="A36" s="89">
        <v>45339</v>
      </c>
      <c r="B36" s="128" t="s">
        <v>6</v>
      </c>
      <c r="C36" s="181" t="s">
        <v>2081</v>
      </c>
      <c r="D36" s="11" t="s">
        <v>13</v>
      </c>
      <c r="E36" s="86">
        <v>57000</v>
      </c>
      <c r="G36" s="23"/>
      <c r="H36" s="23"/>
      <c r="I36" s="159"/>
      <c r="J36" s="160"/>
      <c r="K36" s="160"/>
      <c r="L36" s="70"/>
    </row>
    <row r="37" spans="1:16" s="2" customFormat="1" x14ac:dyDescent="0.2">
      <c r="A37" s="89">
        <v>45339</v>
      </c>
      <c r="B37" s="128" t="s">
        <v>6</v>
      </c>
      <c r="C37" s="181" t="s">
        <v>1831</v>
      </c>
      <c r="D37" s="11" t="s">
        <v>13</v>
      </c>
      <c r="E37" s="86">
        <v>415946</v>
      </c>
      <c r="G37" s="23"/>
      <c r="H37" s="23"/>
      <c r="I37" s="159"/>
      <c r="J37" s="160"/>
      <c r="K37" s="160"/>
      <c r="L37" s="70"/>
    </row>
    <row r="38" spans="1:16" s="2" customFormat="1" x14ac:dyDescent="0.2">
      <c r="A38" s="89">
        <v>45339</v>
      </c>
      <c r="B38" s="128" t="s">
        <v>6</v>
      </c>
      <c r="C38" s="181" t="s">
        <v>55</v>
      </c>
      <c r="D38" s="11" t="s">
        <v>13</v>
      </c>
      <c r="E38" s="86">
        <v>37800</v>
      </c>
      <c r="G38" s="23"/>
      <c r="H38" s="23"/>
      <c r="I38" s="159"/>
      <c r="J38" s="160"/>
      <c r="K38" s="160"/>
      <c r="L38" s="70"/>
    </row>
    <row r="39" spans="1:16" s="2" customFormat="1" x14ac:dyDescent="0.2">
      <c r="A39" s="89">
        <v>45339</v>
      </c>
      <c r="B39" s="128" t="s">
        <v>6</v>
      </c>
      <c r="C39" s="181" t="s">
        <v>503</v>
      </c>
      <c r="D39" s="11" t="s">
        <v>13</v>
      </c>
      <c r="E39" s="86">
        <v>5135</v>
      </c>
      <c r="G39" s="23"/>
      <c r="H39" s="23"/>
      <c r="I39" s="159"/>
      <c r="J39" s="160"/>
      <c r="K39" s="160"/>
      <c r="L39" s="70"/>
    </row>
    <row r="40" spans="1:16" s="2" customFormat="1" x14ac:dyDescent="0.2">
      <c r="A40" s="89">
        <v>45339</v>
      </c>
      <c r="B40" s="128" t="s">
        <v>6</v>
      </c>
      <c r="C40" s="181" t="s">
        <v>332</v>
      </c>
      <c r="D40" s="11" t="s">
        <v>13</v>
      </c>
      <c r="E40" s="86">
        <v>4353</v>
      </c>
      <c r="G40" s="23"/>
      <c r="H40" s="23"/>
      <c r="I40" s="159"/>
      <c r="J40" s="160"/>
      <c r="K40" s="160"/>
      <c r="L40" s="70"/>
    </row>
    <row r="41" spans="1:16" s="2" customFormat="1" x14ac:dyDescent="0.2">
      <c r="A41" s="89">
        <v>45339</v>
      </c>
      <c r="B41" s="128" t="s">
        <v>6</v>
      </c>
      <c r="C41" s="181" t="s">
        <v>133</v>
      </c>
      <c r="D41" s="11" t="s">
        <v>13</v>
      </c>
      <c r="E41" s="86">
        <v>216813</v>
      </c>
      <c r="G41" s="23"/>
      <c r="H41" s="23"/>
      <c r="I41" s="159"/>
      <c r="J41" s="160"/>
      <c r="K41" s="160"/>
      <c r="L41" s="70"/>
    </row>
    <row r="42" spans="1:16" s="2" customFormat="1" x14ac:dyDescent="0.2">
      <c r="A42" s="89">
        <v>45339</v>
      </c>
      <c r="B42" s="128" t="s">
        <v>6</v>
      </c>
      <c r="C42" s="181" t="s">
        <v>666</v>
      </c>
      <c r="D42" s="11" t="s">
        <v>13</v>
      </c>
      <c r="E42" s="86">
        <v>1758133</v>
      </c>
      <c r="G42" s="23"/>
      <c r="H42" s="23"/>
      <c r="I42" s="159"/>
      <c r="J42" s="160"/>
      <c r="K42" s="160"/>
      <c r="L42" s="70"/>
    </row>
    <row r="43" spans="1:16" s="2" customFormat="1" x14ac:dyDescent="0.2">
      <c r="A43" s="89">
        <v>45339</v>
      </c>
      <c r="B43" s="128" t="s">
        <v>11</v>
      </c>
      <c r="C43" s="181" t="s">
        <v>64</v>
      </c>
      <c r="D43" s="11" t="s">
        <v>29</v>
      </c>
      <c r="E43" s="31"/>
      <c r="F43" s="86">
        <v>6947.25</v>
      </c>
      <c r="G43" s="23"/>
      <c r="H43" s="23"/>
      <c r="I43" s="159"/>
      <c r="J43" s="160"/>
      <c r="K43" s="160"/>
      <c r="L43" s="70"/>
    </row>
    <row r="44" spans="1:16" s="2" customFormat="1" x14ac:dyDescent="0.2">
      <c r="A44" s="89">
        <v>45339</v>
      </c>
      <c r="B44" s="128" t="s">
        <v>11</v>
      </c>
      <c r="C44" s="181" t="s">
        <v>449</v>
      </c>
      <c r="D44" s="11" t="s">
        <v>29</v>
      </c>
      <c r="E44" s="31"/>
      <c r="F44" s="86">
        <v>226411.94</v>
      </c>
      <c r="G44" s="23"/>
      <c r="H44" s="23"/>
      <c r="I44" s="159"/>
      <c r="J44" s="160"/>
      <c r="K44" s="160"/>
      <c r="L44" s="70"/>
    </row>
    <row r="45" spans="1:16" s="2" customFormat="1" x14ac:dyDescent="0.2">
      <c r="A45" s="89">
        <v>45339</v>
      </c>
      <c r="B45" s="128" t="s">
        <v>11</v>
      </c>
      <c r="C45" s="181" t="s">
        <v>57</v>
      </c>
      <c r="D45" s="11" t="s">
        <v>29</v>
      </c>
      <c r="E45" s="31"/>
      <c r="F45" s="86">
        <v>4000000</v>
      </c>
      <c r="G45" s="23"/>
      <c r="H45" s="23"/>
      <c r="I45" s="159"/>
      <c r="J45" s="160"/>
      <c r="K45" s="160"/>
      <c r="L45" s="70"/>
    </row>
    <row r="46" spans="1:16" s="70" customFormat="1" x14ac:dyDescent="0.2">
      <c r="A46" s="32"/>
      <c r="B46" s="33"/>
      <c r="C46" s="14"/>
      <c r="D46" s="34"/>
      <c r="E46" s="16">
        <f>SUM(E20:E45)</f>
        <v>59969550.5</v>
      </c>
      <c r="F46" s="16">
        <f>SUM(F20:F45)</f>
        <v>82708603.419999927</v>
      </c>
      <c r="G46" s="1"/>
      <c r="H46" s="1"/>
      <c r="I46" s="1"/>
      <c r="J46" s="38">
        <v>21781347.920000002</v>
      </c>
      <c r="K46" s="2"/>
      <c r="L46" s="92">
        <f>E47-J46</f>
        <v>957704.99999992549</v>
      </c>
      <c r="M46" s="2"/>
      <c r="N46" s="2"/>
      <c r="O46" s="2"/>
      <c r="P46" s="2"/>
    </row>
    <row r="47" spans="1:16" s="70" customFormat="1" x14ac:dyDescent="0.2">
      <c r="A47" s="36"/>
      <c r="B47" s="28" t="s">
        <v>11</v>
      </c>
      <c r="C47" s="19" t="s">
        <v>65</v>
      </c>
      <c r="D47" s="37"/>
      <c r="E47" s="38">
        <f>F46-E46</f>
        <v>22739052.919999927</v>
      </c>
      <c r="F47" s="22"/>
      <c r="G47" s="1"/>
      <c r="H47" s="1"/>
      <c r="I47" s="1"/>
      <c r="M47" s="2"/>
      <c r="N47" s="2"/>
      <c r="O47" s="1"/>
      <c r="P47" s="2"/>
    </row>
    <row r="48" spans="1:16" s="70" customFormat="1" x14ac:dyDescent="0.2">
      <c r="A48" s="36"/>
      <c r="B48" s="28" t="s">
        <v>66</v>
      </c>
      <c r="C48" s="19" t="s">
        <v>67</v>
      </c>
      <c r="D48" s="37"/>
      <c r="E48" s="38">
        <v>11500000</v>
      </c>
      <c r="F48" s="22"/>
      <c r="G48" s="1"/>
      <c r="H48" s="1"/>
      <c r="M48" s="2"/>
      <c r="N48" s="2"/>
      <c r="O48" s="1"/>
      <c r="P48" s="2"/>
    </row>
    <row r="49" spans="1:19" s="70" customFormat="1" x14ac:dyDescent="0.2">
      <c r="A49" s="36"/>
      <c r="B49" s="28" t="s">
        <v>66</v>
      </c>
      <c r="C49" s="43" t="s">
        <v>1457</v>
      </c>
      <c r="D49" s="43"/>
      <c r="E49" s="12">
        <f>400000000</f>
        <v>400000000</v>
      </c>
      <c r="F49" s="22"/>
      <c r="G49" s="1"/>
      <c r="H49" s="1"/>
      <c r="J49" s="45">
        <v>1661.73</v>
      </c>
      <c r="K49" s="46"/>
      <c r="L49" s="46"/>
      <c r="M49" s="2"/>
      <c r="N49" s="2"/>
      <c r="O49" s="1"/>
      <c r="P49" s="2"/>
    </row>
    <row r="50" spans="1:19" s="70" customFormat="1" ht="15" x14ac:dyDescent="0.25">
      <c r="A50" s="36"/>
      <c r="B50" s="28"/>
      <c r="C50" s="44" t="s">
        <v>1541</v>
      </c>
      <c r="D50" s="43"/>
      <c r="E50" s="7">
        <f>+E49+E47+E48</f>
        <v>434239052.91999996</v>
      </c>
      <c r="F50" s="22"/>
      <c r="G50" s="1"/>
      <c r="H50" s="1"/>
      <c r="I50" s="103" t="s">
        <v>69</v>
      </c>
      <c r="J50" s="45">
        <v>-71.290000000000006</v>
      </c>
      <c r="K50" s="46"/>
      <c r="L50" s="46"/>
      <c r="M50" s="2"/>
      <c r="N50" s="2"/>
      <c r="O50" s="1"/>
      <c r="P50" s="2"/>
    </row>
    <row r="51" spans="1:19" s="70" customFormat="1" ht="15" x14ac:dyDescent="0.25">
      <c r="A51" s="24"/>
      <c r="B51" s="1"/>
      <c r="C51" s="44" t="s">
        <v>1510</v>
      </c>
      <c r="D51" s="25"/>
      <c r="E51" s="156">
        <f>+J19-E48+I15-J15</f>
        <v>10982460.770000005</v>
      </c>
      <c r="F51" s="2"/>
      <c r="G51" s="1"/>
      <c r="H51" s="1"/>
      <c r="I51" s="35">
        <v>1</v>
      </c>
      <c r="J51" s="45">
        <v>60.07</v>
      </c>
      <c r="K51" s="46">
        <f>+J52-D54</f>
        <v>0</v>
      </c>
      <c r="L51" s="2"/>
      <c r="M51" s="2"/>
      <c r="N51" s="2"/>
      <c r="O51" s="1"/>
      <c r="P51" s="2"/>
    </row>
    <row r="52" spans="1:19" s="70" customFormat="1" ht="12.75" customHeight="1" x14ac:dyDescent="0.2">
      <c r="A52" s="24"/>
      <c r="B52" s="1"/>
      <c r="C52" s="56"/>
      <c r="D52" s="56"/>
      <c r="E52" s="104"/>
      <c r="F52" s="2"/>
      <c r="G52" s="166"/>
      <c r="H52" s="166"/>
      <c r="J52" s="49">
        <f>SUM(J49:J51)</f>
        <v>1650.51</v>
      </c>
      <c r="K52" s="46"/>
      <c r="L52" s="46"/>
      <c r="M52" s="124"/>
      <c r="N52" s="124"/>
      <c r="O52" s="1"/>
      <c r="P52" s="2"/>
    </row>
    <row r="53" spans="1:19" s="70" customFormat="1" ht="12.75" customHeight="1" x14ac:dyDescent="0.2">
      <c r="A53" s="24"/>
      <c r="B53" s="1"/>
      <c r="C53" s="78" t="s">
        <v>575</v>
      </c>
      <c r="D53" s="48" t="s">
        <v>576</v>
      </c>
      <c r="E53" s="104"/>
      <c r="F53" s="2"/>
      <c r="G53" s="168"/>
      <c r="H53" s="168"/>
      <c r="I53" s="167"/>
      <c r="J53" s="167"/>
      <c r="K53" s="168"/>
      <c r="L53" s="124"/>
      <c r="M53" s="124"/>
      <c r="N53" s="124"/>
      <c r="O53" s="124"/>
      <c r="P53" s="2"/>
    </row>
    <row r="54" spans="1:19" s="70" customFormat="1" ht="12.75" customHeight="1" x14ac:dyDescent="0.2">
      <c r="A54" s="24"/>
      <c r="B54" s="1"/>
      <c r="C54" s="47" t="s">
        <v>570</v>
      </c>
      <c r="D54" s="111">
        <v>1650.51</v>
      </c>
      <c r="E54" s="104"/>
      <c r="F54" s="2"/>
      <c r="G54" s="168"/>
      <c r="H54" s="168"/>
      <c r="I54" s="110" t="s">
        <v>581</v>
      </c>
      <c r="J54" s="167"/>
      <c r="K54" s="168"/>
      <c r="L54" s="124"/>
      <c r="M54" s="124"/>
      <c r="N54" s="124"/>
      <c r="O54" s="124"/>
      <c r="P54" s="124"/>
    </row>
    <row r="55" spans="1:19" s="70" customFormat="1" ht="12.75" customHeight="1" x14ac:dyDescent="0.2">
      <c r="A55" s="24"/>
      <c r="B55" s="1"/>
      <c r="C55" s="47" t="s">
        <v>931</v>
      </c>
      <c r="D55" s="111">
        <v>105.65</v>
      </c>
      <c r="E55" s="104"/>
      <c r="F55" s="2"/>
      <c r="G55" s="168"/>
      <c r="H55" s="168"/>
      <c r="I55" s="110" t="s">
        <v>580</v>
      </c>
      <c r="J55" s="167"/>
      <c r="K55" s="168"/>
      <c r="L55" s="124"/>
      <c r="M55" s="124"/>
      <c r="N55" s="124"/>
      <c r="O55" s="124"/>
      <c r="P55" s="124"/>
    </row>
    <row r="56" spans="1:19" s="70" customFormat="1" ht="12.75" customHeight="1" x14ac:dyDescent="0.2">
      <c r="A56" s="24"/>
      <c r="B56" s="1"/>
      <c r="C56" s="47" t="s">
        <v>572</v>
      </c>
      <c r="D56" s="111">
        <f>+D84/100000</f>
        <v>102.10507</v>
      </c>
      <c r="E56" s="104"/>
      <c r="F56" s="2"/>
      <c r="G56" s="166"/>
      <c r="H56" s="166"/>
      <c r="I56" s="90" t="s">
        <v>587</v>
      </c>
      <c r="J56" s="167"/>
      <c r="K56" s="168"/>
      <c r="L56" s="124"/>
      <c r="M56" s="124"/>
      <c r="N56" s="124"/>
      <c r="O56" s="124"/>
      <c r="P56" s="124"/>
    </row>
    <row r="57" spans="1:19" s="70" customFormat="1" ht="12.75" customHeight="1" x14ac:dyDescent="0.2">
      <c r="A57" s="24"/>
      <c r="B57" s="1"/>
      <c r="C57" s="108" t="s">
        <v>578</v>
      </c>
      <c r="D57" s="48">
        <f>SUM(D54:D56)</f>
        <v>1858.2650700000002</v>
      </c>
      <c r="E57" s="104"/>
      <c r="F57" s="2"/>
      <c r="G57" s="30"/>
      <c r="H57" s="30"/>
      <c r="I57" s="2"/>
      <c r="J57" s="13"/>
      <c r="K57" s="13"/>
      <c r="L57" s="2"/>
      <c r="M57" s="2"/>
      <c r="N57" s="2"/>
      <c r="O57" s="124"/>
      <c r="P57" s="124"/>
    </row>
    <row r="58" spans="1:19" s="70" customFormat="1" ht="12.75" customHeight="1" x14ac:dyDescent="0.2">
      <c r="A58" s="24"/>
      <c r="B58" s="1"/>
      <c r="C58" s="47"/>
      <c r="D58" s="107"/>
      <c r="E58" s="104"/>
      <c r="F58" s="2"/>
      <c r="G58" s="30"/>
      <c r="H58" s="30"/>
      <c r="I58" s="2"/>
      <c r="O58" s="2"/>
      <c r="P58" s="124"/>
    </row>
    <row r="59" spans="1:19" s="70" customFormat="1" ht="12.75" customHeight="1" x14ac:dyDescent="0.2">
      <c r="A59" s="24"/>
      <c r="B59" s="1"/>
      <c r="C59" s="47" t="s">
        <v>932</v>
      </c>
      <c r="D59" s="111">
        <v>111.36</v>
      </c>
      <c r="E59" s="104"/>
      <c r="F59" s="2"/>
      <c r="G59" s="30"/>
      <c r="H59" s="30"/>
      <c r="I59" s="110" t="s">
        <v>581</v>
      </c>
      <c r="P59" s="2"/>
    </row>
    <row r="60" spans="1:19" s="70" customFormat="1" ht="12.75" customHeight="1" x14ac:dyDescent="0.2">
      <c r="A60" s="24"/>
      <c r="B60" s="1"/>
      <c r="C60" s="136" t="s">
        <v>1142</v>
      </c>
      <c r="D60" s="111">
        <v>377.48</v>
      </c>
      <c r="E60" s="104"/>
      <c r="F60" s="2"/>
      <c r="G60" s="30"/>
      <c r="H60" s="30"/>
      <c r="I60" s="110" t="s">
        <v>581</v>
      </c>
    </row>
    <row r="61" spans="1:19" s="70" customFormat="1" ht="12.75" customHeight="1" x14ac:dyDescent="0.2">
      <c r="A61" s="24"/>
      <c r="B61" s="1"/>
      <c r="C61" s="78" t="s">
        <v>579</v>
      </c>
      <c r="D61" s="109">
        <f>D59+D60</f>
        <v>488.84000000000003</v>
      </c>
      <c r="E61" s="104"/>
      <c r="F61" s="2"/>
      <c r="G61" s="30"/>
      <c r="H61" s="30"/>
      <c r="Q61" s="2"/>
      <c r="R61" s="2"/>
      <c r="S61" s="2"/>
    </row>
    <row r="62" spans="1:19" s="2" customFormat="1" x14ac:dyDescent="0.2">
      <c r="A62" s="24"/>
      <c r="B62" s="1"/>
      <c r="C62" s="105"/>
      <c r="D62" s="106"/>
      <c r="E62" s="104"/>
      <c r="G62" s="30"/>
      <c r="H62" s="30"/>
      <c r="I62" s="70"/>
      <c r="K62" s="221" t="str">
        <f>"FROM ( 01-02-2024 to "&amp;TEXT(A5,"dd-mm-yyyy")&amp;" )"</f>
        <v>FROM ( 01-02-2024 to 17-02-2024 )</v>
      </c>
      <c r="L62" s="221"/>
      <c r="O62" s="70"/>
      <c r="P62" s="70"/>
    </row>
    <row r="63" spans="1:19" s="2" customFormat="1" x14ac:dyDescent="0.2">
      <c r="A63" s="24"/>
      <c r="B63" s="1"/>
      <c r="C63" s="78" t="s">
        <v>577</v>
      </c>
      <c r="D63" s="109">
        <f>D54+D61</f>
        <v>2139.35</v>
      </c>
      <c r="E63" s="104"/>
      <c r="G63" s="30"/>
      <c r="H63" s="30"/>
      <c r="I63" s="70"/>
      <c r="J63" s="113"/>
      <c r="K63" s="113" t="s">
        <v>709</v>
      </c>
      <c r="L63" s="113" t="s">
        <v>710</v>
      </c>
      <c r="M63" s="113" t="s">
        <v>711</v>
      </c>
      <c r="N63" s="113" t="s">
        <v>712</v>
      </c>
      <c r="O63" s="70"/>
      <c r="P63" s="70"/>
    </row>
    <row r="64" spans="1:19" s="2" customFormat="1" x14ac:dyDescent="0.2">
      <c r="A64" s="24"/>
      <c r="B64" s="1"/>
      <c r="C64" s="56"/>
      <c r="D64" s="56"/>
      <c r="E64" s="104"/>
      <c r="G64" s="30"/>
      <c r="H64" s="30"/>
      <c r="I64" s="70"/>
      <c r="J64" s="113" t="s">
        <v>1860</v>
      </c>
      <c r="K64" s="115">
        <v>191.98999999999998</v>
      </c>
      <c r="L64" s="115">
        <v>0</v>
      </c>
      <c r="M64" s="115">
        <v>0</v>
      </c>
      <c r="N64" s="113">
        <f>+K64+M64-L64</f>
        <v>191.98999999999998</v>
      </c>
      <c r="O64" s="70"/>
      <c r="P64" s="70"/>
    </row>
    <row r="65" spans="1:16" s="2" customFormat="1" ht="38.25" x14ac:dyDescent="0.2">
      <c r="A65" s="24"/>
      <c r="B65" s="1"/>
      <c r="C65" s="79" t="str">
        <f>"Particulars ( 01-02-2024 to "&amp;TEXT(A5,"dd-mm-yyyy")&amp;" )"</f>
        <v>Particulars ( 01-02-2024 to 17-02-2024 )</v>
      </c>
      <c r="D65" s="79" t="s">
        <v>7</v>
      </c>
      <c r="E65" s="80" t="s">
        <v>73</v>
      </c>
      <c r="F65" s="80" t="s">
        <v>74</v>
      </c>
      <c r="G65" s="81" t="s">
        <v>75</v>
      </c>
      <c r="H65" s="80" t="s">
        <v>76</v>
      </c>
      <c r="I65" s="70"/>
      <c r="J65" s="113" t="s">
        <v>1861</v>
      </c>
      <c r="K65" s="115">
        <v>1862.06</v>
      </c>
      <c r="L65" s="115">
        <v>102.11</v>
      </c>
      <c r="M65" s="115">
        <v>377.48</v>
      </c>
      <c r="N65" s="113">
        <f>+K65+M65-L65</f>
        <v>2137.4299999999998</v>
      </c>
      <c r="O65" s="70"/>
      <c r="P65" s="70"/>
    </row>
    <row r="66" spans="1:16" s="2" customFormat="1" x14ac:dyDescent="0.2">
      <c r="A66" s="24"/>
      <c r="B66" s="1"/>
      <c r="C66" s="50" t="s">
        <v>444</v>
      </c>
      <c r="D66" s="55">
        <f>+K66</f>
        <v>332.44</v>
      </c>
      <c r="E66" s="55">
        <f>+IF(M66=0,0,M66)</f>
        <v>111.36</v>
      </c>
      <c r="F66" s="55">
        <f>+L66</f>
        <v>105.65</v>
      </c>
      <c r="G66" s="55">
        <f>+D66+E66-F66</f>
        <v>338.15</v>
      </c>
      <c r="H66" s="55">
        <f>1500-G66</f>
        <v>1161.8499999999999</v>
      </c>
      <c r="I66" s="70">
        <f>+IF(M66=0,0,M66)</f>
        <v>111.36</v>
      </c>
      <c r="J66" s="113" t="s">
        <v>707</v>
      </c>
      <c r="K66" s="115">
        <v>332.44</v>
      </c>
      <c r="L66" s="115">
        <v>105.65</v>
      </c>
      <c r="M66" s="115">
        <v>111.36</v>
      </c>
      <c r="N66" s="113">
        <f>+K66+M66-L66</f>
        <v>338.15</v>
      </c>
      <c r="O66" s="70"/>
      <c r="P66" s="70"/>
    </row>
    <row r="67" spans="1:16" s="2" customFormat="1" x14ac:dyDescent="0.2">
      <c r="A67" s="24"/>
      <c r="B67" s="1"/>
      <c r="C67" s="50" t="s">
        <v>71</v>
      </c>
      <c r="D67" s="55">
        <f>+K64+K65</f>
        <v>2054.0499999999997</v>
      </c>
      <c r="E67" s="55">
        <f>+M64+M65</f>
        <v>377.48</v>
      </c>
      <c r="F67" s="55">
        <f>+L64+L65</f>
        <v>102.11</v>
      </c>
      <c r="G67" s="55">
        <f>+D67+E67-F67</f>
        <v>2329.4199999999996</v>
      </c>
      <c r="H67" s="55">
        <f>1500+700+200-G67</f>
        <v>70.580000000000382</v>
      </c>
      <c r="I67" s="70"/>
      <c r="K67" s="118">
        <f>SUM(K64:K66)</f>
        <v>2386.4899999999998</v>
      </c>
      <c r="L67" s="118">
        <f>SUM(L64:L66)</f>
        <v>207.76</v>
      </c>
      <c r="M67" s="118">
        <f>SUM(M64:M66)</f>
        <v>488.84000000000003</v>
      </c>
      <c r="N67" s="118">
        <f>SUM(N64:N66)</f>
        <v>2667.5699999999997</v>
      </c>
      <c r="O67" s="70"/>
      <c r="P67" s="70"/>
    </row>
    <row r="68" spans="1:16" s="2" customFormat="1" x14ac:dyDescent="0.2">
      <c r="A68" s="24"/>
      <c r="B68" s="1"/>
      <c r="C68" s="14"/>
      <c r="D68" s="56"/>
      <c r="E68" s="13"/>
      <c r="G68" s="30"/>
      <c r="H68" s="30"/>
      <c r="I68" s="70"/>
      <c r="J68" s="70"/>
      <c r="K68" s="70"/>
      <c r="L68" s="70"/>
      <c r="M68" s="70"/>
      <c r="N68" s="70"/>
      <c r="O68" s="70"/>
      <c r="P68" s="70"/>
    </row>
    <row r="69" spans="1:16" s="2" customFormat="1" x14ac:dyDescent="0.2">
      <c r="A69" s="215" t="s">
        <v>80</v>
      </c>
      <c r="B69" s="216"/>
      <c r="C69" s="216"/>
      <c r="D69" s="217"/>
      <c r="E69" s="69"/>
      <c r="F69" s="70"/>
      <c r="G69" s="30"/>
      <c r="H69" s="30"/>
      <c r="I69" s="70"/>
      <c r="J69" s="70"/>
      <c r="K69" s="70"/>
      <c r="L69" s="70"/>
      <c r="M69" s="70"/>
      <c r="N69" s="70"/>
      <c r="O69" s="70"/>
      <c r="P69" s="70"/>
    </row>
    <row r="70" spans="1:16" s="2" customFormat="1" x14ac:dyDescent="0.2">
      <c r="A70" s="71" t="s">
        <v>81</v>
      </c>
      <c r="B70" s="71"/>
      <c r="C70" s="72" t="s">
        <v>82</v>
      </c>
      <c r="D70" s="73" t="s">
        <v>83</v>
      </c>
      <c r="E70" s="69"/>
      <c r="F70" s="70"/>
      <c r="G70" s="30"/>
      <c r="H70" s="30"/>
      <c r="I70" s="70"/>
      <c r="J70" s="70"/>
      <c r="K70" s="70"/>
      <c r="L70" s="70"/>
      <c r="M70" s="70"/>
      <c r="N70" s="70"/>
      <c r="O70" s="70"/>
      <c r="P70" s="70"/>
    </row>
    <row r="71" spans="1:16" s="2" customFormat="1" x14ac:dyDescent="0.2">
      <c r="A71" s="87">
        <v>45323</v>
      </c>
      <c r="B71" s="120" t="s">
        <v>6</v>
      </c>
      <c r="C71" s="75" t="s">
        <v>2030</v>
      </c>
      <c r="D71" s="88">
        <v>881220</v>
      </c>
      <c r="G71" s="30"/>
      <c r="H71" s="30"/>
      <c r="M71" s="41"/>
      <c r="N71" s="42"/>
      <c r="O71" s="70"/>
      <c r="P71" s="70"/>
    </row>
    <row r="72" spans="1:16" s="2" customFormat="1" x14ac:dyDescent="0.2">
      <c r="A72" s="87">
        <v>45324</v>
      </c>
      <c r="B72" s="120" t="s">
        <v>6</v>
      </c>
      <c r="C72" s="75" t="s">
        <v>1934</v>
      </c>
      <c r="D72" s="88">
        <v>47729</v>
      </c>
      <c r="G72" s="30"/>
      <c r="H72" s="30"/>
      <c r="M72" s="41"/>
      <c r="N72" s="42"/>
      <c r="P72" s="70"/>
    </row>
    <row r="73" spans="1:16" s="2" customFormat="1" x14ac:dyDescent="0.2">
      <c r="A73" s="87">
        <v>45328</v>
      </c>
      <c r="B73" s="120" t="s">
        <v>6</v>
      </c>
      <c r="C73" s="75" t="s">
        <v>606</v>
      </c>
      <c r="D73" s="88">
        <v>1312580</v>
      </c>
      <c r="G73" s="30"/>
      <c r="H73" s="30"/>
      <c r="M73" s="41"/>
      <c r="N73" s="42"/>
      <c r="P73" s="70"/>
    </row>
    <row r="74" spans="1:16" s="2" customFormat="1" x14ac:dyDescent="0.2">
      <c r="A74" s="87">
        <v>45327</v>
      </c>
      <c r="B74" s="120" t="s">
        <v>6</v>
      </c>
      <c r="C74" s="75" t="s">
        <v>606</v>
      </c>
      <c r="D74" s="88">
        <v>56647</v>
      </c>
      <c r="G74" s="30"/>
      <c r="H74" s="30"/>
      <c r="M74" s="41"/>
      <c r="N74" s="42"/>
      <c r="P74" s="70"/>
    </row>
    <row r="75" spans="1:16" s="2" customFormat="1" x14ac:dyDescent="0.2">
      <c r="A75" s="87">
        <v>45329</v>
      </c>
      <c r="B75" s="120" t="s">
        <v>6</v>
      </c>
      <c r="C75" s="75" t="s">
        <v>2030</v>
      </c>
      <c r="D75" s="88">
        <v>548859</v>
      </c>
      <c r="G75" s="30"/>
      <c r="H75" s="30"/>
      <c r="M75" s="41"/>
      <c r="N75" s="42"/>
      <c r="P75" s="70"/>
    </row>
    <row r="76" spans="1:16" s="2" customFormat="1" x14ac:dyDescent="0.2">
      <c r="A76" s="87">
        <v>45332</v>
      </c>
      <c r="B76" s="120" t="s">
        <v>6</v>
      </c>
      <c r="C76" s="75" t="s">
        <v>1084</v>
      </c>
      <c r="D76" s="88">
        <v>1603904</v>
      </c>
      <c r="G76" s="30"/>
      <c r="H76" s="30"/>
      <c r="M76" s="41"/>
      <c r="N76" s="42"/>
      <c r="P76" s="70"/>
    </row>
    <row r="77" spans="1:16" s="2" customFormat="1" x14ac:dyDescent="0.2">
      <c r="A77" s="87">
        <v>45334</v>
      </c>
      <c r="B77" s="120" t="s">
        <v>6</v>
      </c>
      <c r="C77" s="75" t="s">
        <v>1934</v>
      </c>
      <c r="D77" s="88">
        <v>126143</v>
      </c>
      <c r="G77" s="30"/>
      <c r="H77" s="30"/>
      <c r="M77" s="41"/>
      <c r="N77" s="42"/>
      <c r="P77" s="70"/>
    </row>
    <row r="78" spans="1:16" s="2" customFormat="1" x14ac:dyDescent="0.2">
      <c r="A78" s="87">
        <v>45335</v>
      </c>
      <c r="B78" s="120" t="s">
        <v>6</v>
      </c>
      <c r="C78" s="75" t="s">
        <v>271</v>
      </c>
      <c r="D78" s="88">
        <v>9126</v>
      </c>
      <c r="G78" s="30"/>
      <c r="H78" s="30"/>
      <c r="P78" s="70"/>
    </row>
    <row r="79" spans="1:16" s="2" customFormat="1" x14ac:dyDescent="0.2">
      <c r="A79" s="87">
        <v>45337</v>
      </c>
      <c r="B79" s="120" t="s">
        <v>6</v>
      </c>
      <c r="C79" s="75" t="s">
        <v>1806</v>
      </c>
      <c r="D79" s="88">
        <v>78251</v>
      </c>
      <c r="G79" s="30"/>
      <c r="H79" s="30"/>
      <c r="P79" s="70"/>
    </row>
    <row r="80" spans="1:16" s="2" customFormat="1" x14ac:dyDescent="0.2">
      <c r="A80" s="87">
        <v>45337</v>
      </c>
      <c r="B80" s="120" t="s">
        <v>6</v>
      </c>
      <c r="C80" s="75" t="s">
        <v>271</v>
      </c>
      <c r="D80" s="88">
        <v>17527</v>
      </c>
      <c r="G80" s="30"/>
      <c r="H80" s="30"/>
      <c r="P80" s="70"/>
    </row>
    <row r="81" spans="1:16" s="2" customFormat="1" x14ac:dyDescent="0.2">
      <c r="A81" s="87">
        <v>45338</v>
      </c>
      <c r="B81" s="120" t="s">
        <v>6</v>
      </c>
      <c r="C81" s="75" t="s">
        <v>1806</v>
      </c>
      <c r="D81" s="88">
        <v>1418915</v>
      </c>
      <c r="G81" s="30"/>
      <c r="H81" s="30"/>
      <c r="P81" s="70"/>
    </row>
    <row r="82" spans="1:16" s="2" customFormat="1" x14ac:dyDescent="0.2">
      <c r="A82" s="87">
        <v>45338</v>
      </c>
      <c r="B82" s="120" t="s">
        <v>6</v>
      </c>
      <c r="C82" s="75" t="s">
        <v>606</v>
      </c>
      <c r="D82" s="88">
        <v>3685988</v>
      </c>
      <c r="G82" s="30"/>
      <c r="H82" s="30"/>
      <c r="P82" s="70"/>
    </row>
    <row r="83" spans="1:16" s="2" customFormat="1" x14ac:dyDescent="0.2">
      <c r="A83" s="87">
        <v>45339</v>
      </c>
      <c r="B83" s="120" t="s">
        <v>6</v>
      </c>
      <c r="C83" s="75" t="s">
        <v>271</v>
      </c>
      <c r="D83" s="88">
        <v>423618</v>
      </c>
      <c r="G83" s="30"/>
      <c r="H83" s="30"/>
      <c r="P83" s="70"/>
    </row>
    <row r="84" spans="1:16" s="2" customFormat="1" x14ac:dyDescent="0.2">
      <c r="A84" s="87"/>
      <c r="B84" s="74"/>
      <c r="C84" s="75"/>
      <c r="D84" s="51">
        <f>SUM(D71:D83)</f>
        <v>10210507</v>
      </c>
      <c r="F84" s="2" t="s">
        <v>396</v>
      </c>
      <c r="G84" s="1"/>
      <c r="H84" s="1"/>
      <c r="P84" s="70"/>
    </row>
    <row r="85" spans="1:16" s="2" customFormat="1" x14ac:dyDescent="0.2">
      <c r="A85" s="24"/>
      <c r="B85" s="1"/>
      <c r="C85" s="14"/>
      <c r="D85" s="56"/>
      <c r="E85" s="13"/>
      <c r="G85" s="1"/>
      <c r="H85" s="1"/>
      <c r="I85" s="2" t="s">
        <v>396</v>
      </c>
    </row>
    <row r="86" spans="1:16" s="2" customFormat="1" x14ac:dyDescent="0.2">
      <c r="A86" s="24"/>
      <c r="B86" s="1"/>
      <c r="C86" s="218" t="s">
        <v>77</v>
      </c>
      <c r="D86" s="219"/>
      <c r="E86" s="219"/>
      <c r="F86" s="220"/>
      <c r="I86" s="2" t="s">
        <v>396</v>
      </c>
    </row>
    <row r="87" spans="1:16" s="2" customFormat="1" x14ac:dyDescent="0.2">
      <c r="A87" s="24"/>
      <c r="B87" s="1"/>
      <c r="C87" s="50"/>
      <c r="D87" s="57" t="s">
        <v>78</v>
      </c>
      <c r="E87" s="58" t="s">
        <v>79</v>
      </c>
      <c r="F87" s="57" t="s">
        <v>72</v>
      </c>
    </row>
    <row r="88" spans="1:16" s="2" customFormat="1" x14ac:dyDescent="0.2">
      <c r="A88" s="24"/>
      <c r="B88" s="1"/>
      <c r="C88" s="59" t="str">
        <f>"01-02-2024 to "&amp;TEXT(A5-2,"dd-mm-yyyy")</f>
        <v>01-02-2024 to 15-02-2024</v>
      </c>
      <c r="D88" s="60">
        <v>1960.3</v>
      </c>
      <c r="E88" s="60">
        <v>341.39</v>
      </c>
      <c r="F88" s="61">
        <f>SUM(D88:E88)</f>
        <v>2301.69</v>
      </c>
      <c r="I88" s="53"/>
    </row>
    <row r="89" spans="1:16" s="2" customFormat="1" x14ac:dyDescent="0.2">
      <c r="A89" s="24"/>
      <c r="B89" s="1"/>
      <c r="C89" s="62" t="str">
        <f>TEXT(A5-1,"dd-mm-yyyy")</f>
        <v>16-02-2024</v>
      </c>
      <c r="D89" s="60">
        <v>172.9</v>
      </c>
      <c r="E89" s="60">
        <v>34.61</v>
      </c>
      <c r="F89" s="61">
        <f>SUM(D89:E89)</f>
        <v>207.51</v>
      </c>
      <c r="G89" s="1"/>
      <c r="H89" s="1"/>
      <c r="I89" s="53"/>
    </row>
    <row r="90" spans="1:16" s="2" customFormat="1" ht="13.5" thickBot="1" x14ac:dyDescent="0.25">
      <c r="A90" s="24"/>
      <c r="B90" s="1"/>
      <c r="C90" s="63" t="str">
        <f>"01-02-2024 to "&amp;TEXT(A5-1,"dd-mm-yyyy")</f>
        <v>01-02-2024 to 16-02-2024</v>
      </c>
      <c r="D90" s="64">
        <f>SUM(D88:D89)</f>
        <v>2133.1999999999998</v>
      </c>
      <c r="E90" s="64">
        <f>SUM(E88:E89)</f>
        <v>376</v>
      </c>
      <c r="F90" s="64">
        <f>SUM(F88:F89)</f>
        <v>2509.1999999999998</v>
      </c>
      <c r="G90" s="1"/>
      <c r="H90" s="1"/>
      <c r="M90" s="1"/>
      <c r="N90" s="1"/>
    </row>
    <row r="91" spans="1:16" s="2" customFormat="1" ht="13.5" thickTop="1" x14ac:dyDescent="0.2">
      <c r="A91" s="24"/>
      <c r="B91" s="1"/>
      <c r="C91" s="62"/>
      <c r="D91" s="65"/>
      <c r="E91" s="66"/>
      <c r="F91" s="67"/>
      <c r="M91" s="1"/>
      <c r="N91" s="1"/>
    </row>
    <row r="92" spans="1:16" s="2" customFormat="1" x14ac:dyDescent="0.2">
      <c r="A92" s="24"/>
      <c r="B92" s="1"/>
      <c r="C92" s="62" t="str">
        <f>"01-04-2023 to " &amp;C89</f>
        <v>01-04-2023 to 16-02-2024</v>
      </c>
      <c r="D92" s="68">
        <f>+D90+37155.6</f>
        <v>39288.799999999996</v>
      </c>
      <c r="E92" s="68">
        <f>+E90+4502.26</f>
        <v>4878.26</v>
      </c>
      <c r="F92" s="68">
        <f>+F90+41657.86</f>
        <v>44167.06</v>
      </c>
      <c r="G92" s="1"/>
      <c r="H92" s="1"/>
      <c r="M92" s="1"/>
      <c r="N92" s="1"/>
    </row>
    <row r="93" spans="1:16" s="2" customFormat="1" x14ac:dyDescent="0.2">
      <c r="A93" s="24"/>
      <c r="B93" s="1"/>
      <c r="C93" s="52"/>
      <c r="D93" s="85"/>
      <c r="E93" s="53"/>
      <c r="F93" s="53"/>
      <c r="G93" s="1"/>
      <c r="H93" s="1"/>
      <c r="M93" s="1"/>
      <c r="N93" s="1"/>
    </row>
    <row r="94" spans="1:16" s="2" customFormat="1" x14ac:dyDescent="0.2">
      <c r="A94" s="24"/>
      <c r="B94" s="1"/>
      <c r="C94" s="52"/>
      <c r="D94" s="85"/>
      <c r="E94" s="53"/>
      <c r="F94" s="53"/>
      <c r="G94" s="1"/>
      <c r="H94" s="1"/>
      <c r="M94" s="1"/>
      <c r="N94" s="1"/>
    </row>
    <row r="95" spans="1:16" s="2" customFormat="1" x14ac:dyDescent="0.2">
      <c r="A95" s="24"/>
      <c r="B95" s="1"/>
      <c r="C95" s="52"/>
      <c r="D95" s="85"/>
      <c r="E95" s="53"/>
      <c r="F95" s="53"/>
      <c r="G95" s="1"/>
      <c r="H95" s="1"/>
      <c r="M95" s="1"/>
      <c r="N95" s="1"/>
    </row>
    <row r="96" spans="1:16" s="2" customFormat="1" x14ac:dyDescent="0.2">
      <c r="A96" s="24"/>
      <c r="B96" s="1"/>
      <c r="C96" s="52"/>
      <c r="D96" s="85"/>
      <c r="E96" s="53"/>
      <c r="F96" s="53"/>
      <c r="G96" s="1"/>
      <c r="H96" s="1"/>
      <c r="M96" s="1"/>
      <c r="N96" s="1"/>
    </row>
    <row r="97" spans="1:19" s="2" customFormat="1" x14ac:dyDescent="0.2">
      <c r="A97" s="24"/>
      <c r="B97" s="1"/>
      <c r="C97" s="14"/>
      <c r="D97" s="25">
        <f>SUM(D94:D96)</f>
        <v>0</v>
      </c>
      <c r="E97" s="2">
        <f>SUM(E94:E96)</f>
        <v>0</v>
      </c>
      <c r="G97" s="1"/>
      <c r="H97" s="1"/>
      <c r="M97" s="1"/>
      <c r="N97" s="1"/>
    </row>
    <row r="98" spans="1:19" s="2" customFormat="1" x14ac:dyDescent="0.2">
      <c r="A98" s="24"/>
      <c r="B98" s="1"/>
      <c r="C98" s="14"/>
      <c r="D98" s="25"/>
      <c r="G98" s="1"/>
      <c r="H98" s="1"/>
      <c r="M98" s="1"/>
      <c r="N98" s="1"/>
    </row>
    <row r="99" spans="1:19" s="2" customFormat="1" x14ac:dyDescent="0.2">
      <c r="A99" s="24"/>
      <c r="B99" s="1"/>
      <c r="C99" s="14"/>
      <c r="D99" s="25"/>
      <c r="G99" s="1"/>
      <c r="H99" s="1"/>
      <c r="M99" s="1"/>
      <c r="N99" s="1"/>
    </row>
    <row r="100" spans="1:19" s="2" customFormat="1" x14ac:dyDescent="0.2">
      <c r="A100" s="24"/>
      <c r="B100" s="1"/>
      <c r="C100" s="14"/>
      <c r="D100" s="25"/>
      <c r="G100" s="1"/>
      <c r="H100" s="1"/>
      <c r="M100" s="1"/>
      <c r="N100" s="1"/>
    </row>
    <row r="101" spans="1:19" s="2" customFormat="1" x14ac:dyDescent="0.2">
      <c r="A101" s="24"/>
      <c r="B101" s="1"/>
      <c r="C101" s="14"/>
      <c r="D101" s="25"/>
      <c r="G101" s="1"/>
      <c r="H101" s="1"/>
      <c r="M101" s="1"/>
      <c r="N101" s="1"/>
    </row>
    <row r="102" spans="1:19" s="2" customFormat="1" x14ac:dyDescent="0.2">
      <c r="A102" s="24"/>
      <c r="B102" s="1"/>
      <c r="C102" s="14"/>
      <c r="D102" s="25"/>
      <c r="G102" s="1"/>
      <c r="H102" s="1"/>
      <c r="M102" s="1"/>
      <c r="N102" s="1"/>
    </row>
    <row r="103" spans="1:19" s="2" customFormat="1" x14ac:dyDescent="0.2">
      <c r="A103" s="24"/>
      <c r="B103" s="1"/>
      <c r="C103" s="14"/>
      <c r="D103" s="25"/>
      <c r="G103" s="1"/>
      <c r="H103" s="1"/>
      <c r="M103" s="1"/>
      <c r="N103" s="1"/>
    </row>
    <row r="104" spans="1:19" s="2" customFormat="1" x14ac:dyDescent="0.2">
      <c r="A104" s="24"/>
      <c r="B104" s="1"/>
      <c r="C104" s="14"/>
      <c r="D104" s="25"/>
      <c r="G104" s="1"/>
      <c r="H104" s="1"/>
      <c r="M104" s="1"/>
      <c r="N104" s="1"/>
      <c r="Q104" s="1"/>
      <c r="R104" s="1"/>
      <c r="S104" s="1"/>
    </row>
    <row r="105" spans="1:19" x14ac:dyDescent="0.2">
      <c r="J105" s="2"/>
      <c r="K105" s="2"/>
      <c r="L105" s="2"/>
      <c r="O105" s="2"/>
      <c r="P105" s="2"/>
      <c r="Q105" s="2"/>
      <c r="R105" s="2"/>
      <c r="S105" s="2"/>
    </row>
    <row r="106" spans="1:19" s="2" customFormat="1" x14ac:dyDescent="0.2">
      <c r="A106" s="24"/>
      <c r="B106" s="1"/>
      <c r="C106" s="14"/>
      <c r="D106" s="25"/>
      <c r="G106" s="1"/>
      <c r="H106" s="1"/>
      <c r="M106" s="1"/>
      <c r="N106" s="1"/>
      <c r="Q106" s="1"/>
      <c r="R106" s="1"/>
      <c r="S106" s="1"/>
    </row>
    <row r="107" spans="1:19" x14ac:dyDescent="0.2">
      <c r="J107" s="2"/>
      <c r="K107" s="2"/>
      <c r="L107" s="2"/>
      <c r="O107" s="2"/>
      <c r="P107" s="2"/>
    </row>
    <row r="108" spans="1:19" x14ac:dyDescent="0.2">
      <c r="J108" s="2"/>
      <c r="K108" s="2"/>
      <c r="L108" s="2"/>
      <c r="O108" s="2"/>
      <c r="P108" s="2"/>
    </row>
    <row r="109" spans="1:19" x14ac:dyDescent="0.2">
      <c r="J109" s="2"/>
      <c r="K109" s="2"/>
      <c r="L109" s="2"/>
      <c r="O109" s="2"/>
      <c r="P109" s="2"/>
    </row>
    <row r="110" spans="1:19" x14ac:dyDescent="0.2">
      <c r="J110" s="2"/>
      <c r="K110" s="2"/>
      <c r="L110" s="2"/>
      <c r="O110" s="2"/>
      <c r="P110" s="2"/>
    </row>
    <row r="111" spans="1:19" x14ac:dyDescent="0.2">
      <c r="O111" s="2"/>
      <c r="P111" s="2"/>
    </row>
    <row r="112" spans="1:19" x14ac:dyDescent="0.2">
      <c r="J112" s="2"/>
      <c r="K112" s="2"/>
      <c r="L112" s="2"/>
      <c r="M112" s="2"/>
      <c r="N112" s="2"/>
      <c r="O112" s="2"/>
      <c r="P112" s="2"/>
    </row>
    <row r="113" spans="7:16" x14ac:dyDescent="0.2">
      <c r="O113" s="2"/>
      <c r="P113" s="2"/>
    </row>
    <row r="114" spans="7:16" x14ac:dyDescent="0.2">
      <c r="G114" s="54"/>
      <c r="H114" s="54"/>
      <c r="O114" s="2"/>
      <c r="P114" s="2"/>
    </row>
    <row r="115" spans="7:16" x14ac:dyDescent="0.2">
      <c r="G115" s="54"/>
      <c r="H115" s="54"/>
      <c r="O115" s="2"/>
      <c r="P115" s="2"/>
    </row>
    <row r="116" spans="7:16" x14ac:dyDescent="0.2">
      <c r="G116" s="54"/>
      <c r="H116" s="54"/>
      <c r="O116" s="2"/>
      <c r="P116" s="2"/>
    </row>
    <row r="117" spans="7:16" x14ac:dyDescent="0.2">
      <c r="G117" s="54"/>
      <c r="H117" s="54"/>
      <c r="I117" s="2" t="s">
        <v>396</v>
      </c>
      <c r="O117" s="2"/>
      <c r="P117" s="2"/>
    </row>
    <row r="118" spans="7:16" x14ac:dyDescent="0.2">
      <c r="G118" s="54"/>
      <c r="H118" s="54"/>
      <c r="I118" s="53"/>
      <c r="J118" s="2"/>
      <c r="K118" s="2"/>
      <c r="L118" s="2"/>
      <c r="M118" s="2"/>
      <c r="N118" s="2"/>
      <c r="P118" s="2"/>
    </row>
    <row r="119" spans="7:16" x14ac:dyDescent="0.2">
      <c r="G119" s="54"/>
      <c r="H119" s="54"/>
      <c r="I119" s="53" t="s">
        <v>396</v>
      </c>
      <c r="O119" s="2"/>
      <c r="P119" s="2"/>
    </row>
    <row r="120" spans="7:16" x14ac:dyDescent="0.2">
      <c r="G120" s="54"/>
      <c r="H120" s="54"/>
      <c r="I120" s="53" t="s">
        <v>396</v>
      </c>
      <c r="K120" s="42"/>
      <c r="P120" s="2"/>
    </row>
    <row r="121" spans="7:16" x14ac:dyDescent="0.2">
      <c r="G121" s="54"/>
      <c r="H121" s="54"/>
      <c r="I121" s="53"/>
      <c r="J121" s="101"/>
      <c r="P121" s="2"/>
    </row>
    <row r="122" spans="7:16" x14ac:dyDescent="0.2">
      <c r="G122" s="54"/>
      <c r="H122" s="54"/>
      <c r="I122" s="53"/>
    </row>
    <row r="123" spans="7:16" x14ac:dyDescent="0.2">
      <c r="G123" s="54"/>
      <c r="H123" s="54"/>
      <c r="I123" s="53"/>
      <c r="P123" s="2"/>
    </row>
    <row r="124" spans="7:16" x14ac:dyDescent="0.2">
      <c r="G124" s="54"/>
      <c r="H124" s="54"/>
      <c r="I124" s="53"/>
    </row>
  </sheetData>
  <sheetProtection insertRows="0"/>
  <mergeCells count="7">
    <mergeCell ref="K62:L62"/>
    <mergeCell ref="A69:D69"/>
    <mergeCell ref="C86:F86"/>
    <mergeCell ref="A1:H1"/>
    <mergeCell ref="A3:F3"/>
    <mergeCell ref="A9:F9"/>
    <mergeCell ref="A18:F18"/>
  </mergeCells>
  <conditionalFormatting sqref="H66:H67">
    <cfRule type="cellIs" dxfId="69" priority="1" operator="lessThan">
      <formula>0</formula>
    </cfRule>
  </conditionalFormatting>
  <conditionalFormatting sqref="C20">
    <cfRule type="duplicateValues" dxfId="68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1-000000000000}">
  <sheetPr codeName="Sheet552">
    <pageSetUpPr fitToPage="1"/>
  </sheetPr>
  <dimension ref="A1:S122"/>
  <sheetViews>
    <sheetView topLeftCell="D23" zoomScaleNormal="100" workbookViewId="0">
      <selection activeCell="E18" sqref="E18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12.85546875" style="1" customWidth="1"/>
    <col min="9" max="9" width="24.85546875" style="2" bestFit="1" customWidth="1"/>
    <col min="10" max="10" width="21.5703125" style="1" bestFit="1" customWidth="1"/>
    <col min="11" max="11" width="16.85546875" style="1" bestFit="1" customWidth="1"/>
    <col min="12" max="12" width="19.5703125" style="1" bestFit="1" customWidth="1"/>
    <col min="13" max="13" width="13.5703125" style="1" bestFit="1" customWidth="1"/>
    <col min="14" max="14" width="17.42578125" style="1" bestFit="1" customWidth="1"/>
    <col min="15" max="15" width="12.85546875" style="1" bestFit="1" customWidth="1"/>
    <col min="16" max="17" width="9.140625" style="1"/>
    <col min="18" max="18" width="15.5703125" style="1" bestFit="1" customWidth="1"/>
    <col min="19" max="16384" width="9.140625" style="1"/>
  </cols>
  <sheetData>
    <row r="1" spans="1:12" ht="20.25" customHeight="1" x14ac:dyDescent="0.4">
      <c r="A1" s="212" t="s">
        <v>2087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2" ht="12.75" customHeight="1" x14ac:dyDescent="0.4">
      <c r="I2" s="112"/>
      <c r="J2" s="112"/>
    </row>
    <row r="3" spans="1:12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2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2" s="2" customFormat="1" ht="14.25" customHeight="1" x14ac:dyDescent="0.4">
      <c r="A5" s="89">
        <v>45341</v>
      </c>
      <c r="B5" s="9" t="s">
        <v>6</v>
      </c>
      <c r="C5" s="10" t="s">
        <v>7</v>
      </c>
      <c r="D5" s="11"/>
      <c r="E5" s="12">
        <v>681806.6800000004</v>
      </c>
      <c r="F5" s="12"/>
      <c r="G5" s="1"/>
      <c r="H5" s="1"/>
      <c r="I5" s="112"/>
      <c r="J5" s="112"/>
    </row>
    <row r="6" spans="1:12" s="2" customFormat="1" ht="12.75" customHeight="1" x14ac:dyDescent="0.2">
      <c r="D6" s="15" t="s">
        <v>8</v>
      </c>
      <c r="E6" s="16">
        <f>SUM(E5:E5)</f>
        <v>681806.6800000004</v>
      </c>
      <c r="F6" s="16">
        <f>F5</f>
        <v>0</v>
      </c>
      <c r="G6" s="1"/>
      <c r="H6" s="1"/>
      <c r="I6" s="13" t="s">
        <v>1582</v>
      </c>
      <c r="J6" s="13" t="s">
        <v>1583</v>
      </c>
    </row>
    <row r="7" spans="1:12" s="2" customFormat="1" ht="12.75" customHeight="1" x14ac:dyDescent="0.2">
      <c r="A7" s="17"/>
      <c r="B7" s="18"/>
      <c r="C7" s="19" t="s">
        <v>9</v>
      </c>
      <c r="D7" s="20"/>
      <c r="E7" s="21">
        <f>+E6-F6</f>
        <v>681806.6800000004</v>
      </c>
      <c r="F7" s="22"/>
      <c r="G7" s="23"/>
      <c r="H7" s="23"/>
      <c r="I7" s="2">
        <v>687188.13</v>
      </c>
      <c r="J7" s="2">
        <v>0</v>
      </c>
      <c r="K7" s="176">
        <f>I7-J7</f>
        <v>687188.13</v>
      </c>
    </row>
    <row r="8" spans="1:12" ht="12.75" customHeight="1" x14ac:dyDescent="0.4">
      <c r="I8" s="112"/>
      <c r="J8" s="112"/>
    </row>
    <row r="9" spans="1:12" ht="18" customHeight="1" x14ac:dyDescent="0.4">
      <c r="A9" s="213" t="s">
        <v>1037</v>
      </c>
      <c r="B9" s="213"/>
      <c r="C9" s="213"/>
      <c r="D9" s="213"/>
      <c r="E9" s="213"/>
      <c r="F9" s="213"/>
      <c r="I9" s="112"/>
      <c r="J9" s="169">
        <f>90000000-60000000</f>
        <v>30000000</v>
      </c>
      <c r="K9" s="169" t="s">
        <v>1508</v>
      </c>
    </row>
    <row r="10" spans="1:12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I10" s="112"/>
      <c r="J10" s="169">
        <v>28762624.52</v>
      </c>
      <c r="K10" s="169" t="s">
        <v>1509</v>
      </c>
      <c r="L10" s="124"/>
    </row>
    <row r="11" spans="1:12" s="2" customFormat="1" ht="14.25" customHeight="1" x14ac:dyDescent="0.2">
      <c r="A11" s="89">
        <v>45341</v>
      </c>
      <c r="B11" s="9" t="s">
        <v>6</v>
      </c>
      <c r="C11" s="10" t="s">
        <v>7</v>
      </c>
      <c r="D11" s="11"/>
      <c r="F11" s="12">
        <v>28620274.52</v>
      </c>
      <c r="G11" s="1"/>
      <c r="H11" s="1"/>
      <c r="I11" s="130" t="s">
        <v>396</v>
      </c>
      <c r="J11" s="169">
        <f>+J9-J10</f>
        <v>1237375.4800000004</v>
      </c>
      <c r="K11" s="169" t="s">
        <v>712</v>
      </c>
      <c r="L11" s="165" t="s">
        <v>1512</v>
      </c>
    </row>
    <row r="12" spans="1:12" s="2" customFormat="1" ht="14.25" customHeight="1" x14ac:dyDescent="0.2">
      <c r="A12" s="89">
        <v>45341</v>
      </c>
      <c r="B12" s="9" t="s">
        <v>6</v>
      </c>
      <c r="C12" s="76" t="s">
        <v>298</v>
      </c>
      <c r="D12" s="11" t="s">
        <v>13</v>
      </c>
      <c r="E12" s="31">
        <v>687188.13</v>
      </c>
      <c r="F12" s="31"/>
      <c r="G12" s="1"/>
      <c r="H12" s="1"/>
      <c r="I12" s="130"/>
      <c r="J12" s="169"/>
      <c r="K12" s="169"/>
      <c r="L12" s="165"/>
    </row>
    <row r="13" spans="1:12" s="2" customFormat="1" ht="14.25" customHeight="1" x14ac:dyDescent="0.2">
      <c r="A13" s="89">
        <v>45341</v>
      </c>
      <c r="B13" s="9" t="s">
        <v>11</v>
      </c>
      <c r="C13" s="76" t="s">
        <v>738</v>
      </c>
      <c r="D13" s="11" t="s">
        <v>29</v>
      </c>
      <c r="E13" s="31"/>
      <c r="F13" s="31">
        <v>64621</v>
      </c>
      <c r="G13" s="1"/>
      <c r="H13" s="1"/>
      <c r="I13" s="130"/>
      <c r="J13" s="169"/>
      <c r="K13" s="169"/>
      <c r="L13" s="165"/>
    </row>
    <row r="14" spans="1:12" s="2" customFormat="1" ht="14.25" customHeight="1" x14ac:dyDescent="0.2">
      <c r="A14" s="89">
        <v>45341</v>
      </c>
      <c r="B14" s="9" t="s">
        <v>11</v>
      </c>
      <c r="C14" s="76" t="s">
        <v>2088</v>
      </c>
      <c r="D14" s="11" t="s">
        <v>29</v>
      </c>
      <c r="E14" s="31"/>
      <c r="F14" s="31">
        <v>30090</v>
      </c>
      <c r="G14" s="1"/>
      <c r="H14" s="1"/>
      <c r="I14" s="130"/>
      <c r="J14" s="169"/>
      <c r="K14" s="169"/>
      <c r="L14" s="165"/>
    </row>
    <row r="15" spans="1:12" s="2" customFormat="1" ht="14.25" customHeight="1" x14ac:dyDescent="0.2">
      <c r="A15" s="89">
        <v>45341</v>
      </c>
      <c r="B15" s="9" t="s">
        <v>11</v>
      </c>
      <c r="C15" s="76" t="s">
        <v>2089</v>
      </c>
      <c r="D15" s="11" t="s">
        <v>29</v>
      </c>
      <c r="E15" s="31"/>
      <c r="F15" s="31">
        <v>19319</v>
      </c>
      <c r="G15" s="1"/>
      <c r="H15" s="1"/>
      <c r="I15" s="130"/>
      <c r="J15" s="169"/>
      <c r="K15" s="169"/>
      <c r="L15" s="165"/>
    </row>
    <row r="16" spans="1:12" s="2" customFormat="1" ht="14.25" customHeight="1" x14ac:dyDescent="0.2">
      <c r="A16" s="89">
        <v>45341</v>
      </c>
      <c r="B16" s="9" t="s">
        <v>11</v>
      </c>
      <c r="C16" s="76" t="s">
        <v>1091</v>
      </c>
      <c r="D16" s="11" t="s">
        <v>29</v>
      </c>
      <c r="E16" s="31"/>
      <c r="F16" s="31">
        <v>28320</v>
      </c>
      <c r="G16" s="1"/>
      <c r="H16" s="1"/>
      <c r="I16" s="130"/>
      <c r="J16" s="169"/>
      <c r="K16" s="169"/>
      <c r="L16" s="165"/>
    </row>
    <row r="17" spans="1:12" s="2" customFormat="1" ht="14.25" customHeight="1" x14ac:dyDescent="0.4">
      <c r="D17" s="11" t="s">
        <v>8</v>
      </c>
      <c r="E17" s="16">
        <f>SUM(E12:E16)</f>
        <v>687188.13</v>
      </c>
      <c r="F17" s="16">
        <f>SUM(F11:F16)</f>
        <v>28762624.52</v>
      </c>
      <c r="G17" s="1"/>
      <c r="H17" s="1"/>
      <c r="J17" s="112"/>
      <c r="K17" s="153" t="s">
        <v>779</v>
      </c>
    </row>
    <row r="18" spans="1:12" s="2" customFormat="1" ht="14.25" customHeight="1" x14ac:dyDescent="0.2">
      <c r="A18" s="17"/>
      <c r="B18" s="18"/>
      <c r="C18" s="96" t="s">
        <v>9</v>
      </c>
      <c r="D18" s="20"/>
      <c r="E18" s="21">
        <f>+F17-E17</f>
        <v>28075436.390000001</v>
      </c>
      <c r="G18" s="1"/>
      <c r="H18" s="1"/>
      <c r="J18" s="40">
        <v>28075436.390000001</v>
      </c>
      <c r="K18" s="154">
        <f>J18-E18</f>
        <v>0</v>
      </c>
    </row>
    <row r="19" spans="1:12" s="2" customFormat="1" ht="14.25" customHeight="1" x14ac:dyDescent="0.2">
      <c r="A19" s="17"/>
      <c r="B19" s="28" t="s">
        <v>66</v>
      </c>
      <c r="C19" s="43" t="s">
        <v>1458</v>
      </c>
      <c r="D19" s="43"/>
      <c r="E19" s="12">
        <f>30000000+60000000</f>
        <v>90000000</v>
      </c>
      <c r="F19" s="22"/>
      <c r="G19" s="1"/>
      <c r="H19" s="1"/>
      <c r="I19" s="13" t="s">
        <v>1582</v>
      </c>
      <c r="J19" s="13" t="s">
        <v>1583</v>
      </c>
    </row>
    <row r="20" spans="1:12" s="2" customFormat="1" ht="14.25" customHeight="1" x14ac:dyDescent="0.25">
      <c r="A20" s="36"/>
      <c r="B20" s="28"/>
      <c r="C20" s="44" t="s">
        <v>1541</v>
      </c>
      <c r="D20" s="43"/>
      <c r="E20" s="7">
        <f>+E18+E19</f>
        <v>118075436.39</v>
      </c>
      <c r="F20" s="22"/>
      <c r="G20" s="1"/>
      <c r="H20" s="1"/>
      <c r="I20" s="2">
        <v>229358</v>
      </c>
      <c r="J20" s="2">
        <v>3642888</v>
      </c>
      <c r="K20" s="176">
        <f>I20-J20</f>
        <v>-3413530</v>
      </c>
    </row>
    <row r="21" spans="1:12" s="2" customFormat="1" ht="14.25" customHeight="1" x14ac:dyDescent="0.25">
      <c r="A21" s="36"/>
      <c r="B21" s="28"/>
      <c r="C21" s="44" t="s">
        <v>1511</v>
      </c>
      <c r="D21" s="43"/>
      <c r="E21" s="38">
        <f>+J11+I7-J7</f>
        <v>1924563.6100000003</v>
      </c>
      <c r="F21" s="22"/>
      <c r="G21" s="1"/>
      <c r="H21" s="1"/>
      <c r="J21" s="130"/>
      <c r="K21" s="130"/>
    </row>
    <row r="22" spans="1:12" s="2" customFormat="1" x14ac:dyDescent="0.2">
      <c r="A22" s="24"/>
      <c r="B22" s="1"/>
      <c r="C22" s="14"/>
      <c r="D22" s="25"/>
      <c r="G22" s="1"/>
      <c r="H22" s="1"/>
      <c r="I22" s="159"/>
      <c r="J22" s="160">
        <f>100000000</f>
        <v>100000000</v>
      </c>
      <c r="K22" s="160" t="s">
        <v>1506</v>
      </c>
      <c r="L22" s="70"/>
    </row>
    <row r="23" spans="1:12" s="2" customFormat="1" ht="15" x14ac:dyDescent="0.35">
      <c r="A23" s="214" t="s">
        <v>10</v>
      </c>
      <c r="B23" s="214"/>
      <c r="C23" s="214"/>
      <c r="D23" s="214"/>
      <c r="E23" s="214"/>
      <c r="F23" s="214"/>
      <c r="G23" s="1"/>
      <c r="H23" s="1"/>
      <c r="I23" s="159"/>
      <c r="J23" s="179">
        <v>83564229.340000004</v>
      </c>
      <c r="K23" s="160" t="s">
        <v>1507</v>
      </c>
      <c r="L23" s="70" t="s">
        <v>1512</v>
      </c>
    </row>
    <row r="24" spans="1:12" s="2" customFormat="1" x14ac:dyDescent="0.2">
      <c r="A24" s="26" t="s">
        <v>1</v>
      </c>
      <c r="B24" s="27" t="s">
        <v>2</v>
      </c>
      <c r="C24" s="5"/>
      <c r="D24" s="6" t="s">
        <v>3</v>
      </c>
      <c r="E24" s="7" t="s">
        <v>4</v>
      </c>
      <c r="F24" s="7" t="s">
        <v>5</v>
      </c>
      <c r="G24" s="1"/>
      <c r="H24" s="1"/>
      <c r="I24" s="159" t="s">
        <v>1505</v>
      </c>
      <c r="J24" s="160">
        <f>+J22-J23</f>
        <v>16435770.659999996</v>
      </c>
      <c r="K24" s="160"/>
      <c r="L24" s="70"/>
    </row>
    <row r="25" spans="1:12" s="2" customFormat="1" x14ac:dyDescent="0.2">
      <c r="A25" s="89">
        <v>45341</v>
      </c>
      <c r="B25" s="128" t="s">
        <v>11</v>
      </c>
      <c r="C25" s="29" t="s">
        <v>7</v>
      </c>
      <c r="D25" s="25"/>
      <c r="E25" s="31"/>
      <c r="F25" s="13">
        <v>22739052.919999927</v>
      </c>
      <c r="G25" s="23"/>
      <c r="H25" s="23"/>
      <c r="I25" s="159"/>
      <c r="J25" s="160"/>
      <c r="K25" s="160"/>
      <c r="L25" s="70"/>
    </row>
    <row r="26" spans="1:12" s="2" customFormat="1" x14ac:dyDescent="0.2">
      <c r="A26" s="89">
        <v>45341</v>
      </c>
      <c r="B26" s="128" t="s">
        <v>6</v>
      </c>
      <c r="C26" s="181" t="s">
        <v>682</v>
      </c>
      <c r="D26" s="11" t="s">
        <v>13</v>
      </c>
      <c r="E26" s="86">
        <v>5513</v>
      </c>
      <c r="G26" s="23"/>
      <c r="H26" s="23"/>
      <c r="I26" s="159"/>
      <c r="J26" s="160"/>
      <c r="K26" s="160"/>
      <c r="L26" s="70"/>
    </row>
    <row r="27" spans="1:12" s="2" customFormat="1" x14ac:dyDescent="0.2">
      <c r="A27" s="89">
        <v>45341</v>
      </c>
      <c r="B27" s="128" t="s">
        <v>6</v>
      </c>
      <c r="C27" s="181" t="s">
        <v>2090</v>
      </c>
      <c r="D27" s="11" t="s">
        <v>13</v>
      </c>
      <c r="E27" s="86">
        <v>125286</v>
      </c>
      <c r="G27" s="23"/>
      <c r="H27" s="23"/>
      <c r="I27" s="159"/>
      <c r="J27" s="160"/>
      <c r="K27" s="160"/>
      <c r="L27" s="70"/>
    </row>
    <row r="28" spans="1:12" s="2" customFormat="1" x14ac:dyDescent="0.2">
      <c r="A28" s="89">
        <v>45341</v>
      </c>
      <c r="B28" s="128" t="s">
        <v>6</v>
      </c>
      <c r="C28" s="181" t="s">
        <v>15</v>
      </c>
      <c r="D28" s="11" t="s">
        <v>13</v>
      </c>
      <c r="E28" s="86">
        <v>656.4</v>
      </c>
      <c r="G28" s="23"/>
      <c r="H28" s="23"/>
      <c r="I28" s="159"/>
      <c r="J28" s="160"/>
      <c r="K28" s="160"/>
      <c r="L28" s="70"/>
    </row>
    <row r="29" spans="1:12" s="2" customFormat="1" x14ac:dyDescent="0.2">
      <c r="A29" s="89">
        <v>45341</v>
      </c>
      <c r="B29" s="128" t="s">
        <v>6</v>
      </c>
      <c r="C29" s="181" t="s">
        <v>276</v>
      </c>
      <c r="D29" s="11" t="s">
        <v>13</v>
      </c>
      <c r="E29" s="86">
        <v>2360</v>
      </c>
      <c r="G29" s="23"/>
      <c r="H29" s="23"/>
      <c r="I29" s="159"/>
      <c r="J29" s="160"/>
      <c r="K29" s="160"/>
      <c r="L29" s="70"/>
    </row>
    <row r="30" spans="1:12" s="2" customFormat="1" x14ac:dyDescent="0.2">
      <c r="A30" s="89">
        <v>45341</v>
      </c>
      <c r="B30" s="128" t="s">
        <v>6</v>
      </c>
      <c r="C30" s="181" t="s">
        <v>146</v>
      </c>
      <c r="D30" s="11" t="s">
        <v>13</v>
      </c>
      <c r="E30" s="86">
        <v>5775</v>
      </c>
      <c r="G30" s="23"/>
      <c r="H30" s="23"/>
      <c r="I30" s="159"/>
      <c r="J30" s="160"/>
      <c r="K30" s="160"/>
      <c r="L30" s="70"/>
    </row>
    <row r="31" spans="1:12" s="2" customFormat="1" x14ac:dyDescent="0.2">
      <c r="A31" s="89">
        <v>45341</v>
      </c>
      <c r="B31" s="128" t="s">
        <v>6</v>
      </c>
      <c r="C31" s="181" t="s">
        <v>2081</v>
      </c>
      <c r="D31" s="11" t="s">
        <v>13</v>
      </c>
      <c r="E31" s="86">
        <v>100000</v>
      </c>
      <c r="G31" s="23"/>
      <c r="H31" s="23"/>
      <c r="I31" s="159"/>
      <c r="J31" s="160"/>
      <c r="K31" s="160"/>
      <c r="L31" s="70"/>
    </row>
    <row r="32" spans="1:12" s="2" customFormat="1" x14ac:dyDescent="0.2">
      <c r="A32" s="89">
        <v>45341</v>
      </c>
      <c r="B32" s="128" t="s">
        <v>6</v>
      </c>
      <c r="C32" s="181" t="s">
        <v>2091</v>
      </c>
      <c r="D32" s="11" t="s">
        <v>13</v>
      </c>
      <c r="E32" s="86">
        <v>2206</v>
      </c>
      <c r="G32" s="23"/>
      <c r="H32" s="23"/>
      <c r="I32" s="159"/>
      <c r="J32" s="160"/>
      <c r="K32" s="160"/>
      <c r="L32" s="70"/>
    </row>
    <row r="33" spans="1:16" s="2" customFormat="1" x14ac:dyDescent="0.2">
      <c r="A33" s="89">
        <v>45341</v>
      </c>
      <c r="B33" s="128" t="s">
        <v>6</v>
      </c>
      <c r="C33" s="181" t="s">
        <v>474</v>
      </c>
      <c r="D33" s="11" t="s">
        <v>13</v>
      </c>
      <c r="E33" s="86">
        <v>1105808</v>
      </c>
      <c r="G33" s="23"/>
      <c r="H33" s="23"/>
      <c r="I33" s="159"/>
      <c r="J33" s="160"/>
      <c r="K33" s="160"/>
      <c r="L33" s="70"/>
    </row>
    <row r="34" spans="1:16" s="2" customFormat="1" x14ac:dyDescent="0.2">
      <c r="A34" s="89">
        <v>45341</v>
      </c>
      <c r="B34" s="128" t="s">
        <v>6</v>
      </c>
      <c r="C34" s="181" t="s">
        <v>121</v>
      </c>
      <c r="D34" s="11" t="s">
        <v>13</v>
      </c>
      <c r="E34" s="86">
        <v>500000</v>
      </c>
      <c r="G34" s="23"/>
      <c r="H34" s="23"/>
      <c r="I34" s="159"/>
      <c r="J34" s="160"/>
      <c r="K34" s="160"/>
      <c r="L34" s="70"/>
    </row>
    <row r="35" spans="1:16" s="2" customFormat="1" x14ac:dyDescent="0.2">
      <c r="A35" s="89">
        <v>45341</v>
      </c>
      <c r="B35" s="128" t="s">
        <v>6</v>
      </c>
      <c r="C35" s="181" t="s">
        <v>2027</v>
      </c>
      <c r="D35" s="11" t="s">
        <v>13</v>
      </c>
      <c r="E35" s="86">
        <v>1970456</v>
      </c>
      <c r="G35" s="23"/>
      <c r="H35" s="23"/>
      <c r="I35" s="159"/>
      <c r="J35" s="160"/>
      <c r="K35" s="160"/>
      <c r="L35" s="70"/>
    </row>
    <row r="36" spans="1:16" s="2" customFormat="1" x14ac:dyDescent="0.2">
      <c r="A36" s="89">
        <v>45341</v>
      </c>
      <c r="B36" s="128" t="s">
        <v>11</v>
      </c>
      <c r="C36" s="181" t="s">
        <v>1797</v>
      </c>
      <c r="D36" s="11" t="s">
        <v>29</v>
      </c>
      <c r="E36" s="86"/>
      <c r="F36" s="2">
        <v>50000000</v>
      </c>
      <c r="G36" s="23"/>
      <c r="H36" s="23"/>
      <c r="I36" s="159"/>
      <c r="J36" s="160"/>
      <c r="K36" s="160"/>
      <c r="L36" s="70"/>
    </row>
    <row r="37" spans="1:16" s="2" customFormat="1" x14ac:dyDescent="0.2">
      <c r="A37" s="89">
        <v>45341</v>
      </c>
      <c r="B37" s="128" t="s">
        <v>11</v>
      </c>
      <c r="C37" s="181" t="s">
        <v>1734</v>
      </c>
      <c r="D37" s="11" t="s">
        <v>29</v>
      </c>
      <c r="E37" s="86"/>
      <c r="F37" s="2">
        <v>327581</v>
      </c>
      <c r="G37" s="23"/>
      <c r="H37" s="23"/>
      <c r="I37" s="159"/>
      <c r="J37" s="160"/>
      <c r="K37" s="160"/>
      <c r="L37" s="70"/>
    </row>
    <row r="38" spans="1:16" s="2" customFormat="1" x14ac:dyDescent="0.2">
      <c r="A38" s="89">
        <v>45341</v>
      </c>
      <c r="B38" s="128" t="s">
        <v>11</v>
      </c>
      <c r="C38" s="181" t="s">
        <v>1746</v>
      </c>
      <c r="D38" s="11" t="s">
        <v>29</v>
      </c>
      <c r="E38" s="86"/>
      <c r="F38" s="2">
        <v>1533072</v>
      </c>
      <c r="G38" s="23"/>
      <c r="H38" s="23"/>
      <c r="I38" s="159"/>
      <c r="J38" s="160"/>
      <c r="K38" s="160"/>
      <c r="L38" s="70"/>
    </row>
    <row r="39" spans="1:16" s="2" customFormat="1" x14ac:dyDescent="0.2">
      <c r="A39" s="89">
        <v>45341</v>
      </c>
      <c r="B39" s="128" t="s">
        <v>11</v>
      </c>
      <c r="C39" s="181" t="s">
        <v>1472</v>
      </c>
      <c r="D39" s="11" t="s">
        <v>29</v>
      </c>
      <c r="E39" s="86"/>
      <c r="F39" s="2">
        <v>1731677</v>
      </c>
      <c r="G39" s="23"/>
      <c r="H39" s="23"/>
      <c r="I39" s="159"/>
      <c r="J39" s="160"/>
      <c r="K39" s="160"/>
      <c r="L39" s="70"/>
    </row>
    <row r="40" spans="1:16" s="2" customFormat="1" x14ac:dyDescent="0.2">
      <c r="A40" s="89">
        <v>45341</v>
      </c>
      <c r="B40" s="128" t="s">
        <v>11</v>
      </c>
      <c r="C40" s="181" t="s">
        <v>2093</v>
      </c>
      <c r="D40" s="11" t="s">
        <v>29</v>
      </c>
      <c r="E40" s="86"/>
      <c r="F40" s="2">
        <v>285450.82</v>
      </c>
      <c r="G40" s="23"/>
      <c r="H40" s="23"/>
      <c r="I40" s="159"/>
      <c r="J40" s="160"/>
      <c r="K40" s="160"/>
      <c r="L40" s="70"/>
    </row>
    <row r="41" spans="1:16" s="2" customFormat="1" x14ac:dyDescent="0.2">
      <c r="A41" s="89">
        <v>45341</v>
      </c>
      <c r="B41" s="128" t="s">
        <v>11</v>
      </c>
      <c r="C41" s="181" t="s">
        <v>1403</v>
      </c>
      <c r="D41" s="11" t="s">
        <v>29</v>
      </c>
      <c r="E41" s="86"/>
      <c r="F41" s="2">
        <v>15134626</v>
      </c>
      <c r="G41" s="23"/>
      <c r="H41" s="23"/>
      <c r="I41" s="159"/>
      <c r="J41" s="160"/>
      <c r="K41" s="160"/>
      <c r="L41" s="70"/>
    </row>
    <row r="42" spans="1:16" s="2" customFormat="1" x14ac:dyDescent="0.2">
      <c r="A42" s="89">
        <v>45341</v>
      </c>
      <c r="B42" s="128" t="s">
        <v>11</v>
      </c>
      <c r="C42" s="181" t="s">
        <v>64</v>
      </c>
      <c r="D42" s="11" t="s">
        <v>29</v>
      </c>
      <c r="E42" s="86"/>
      <c r="F42" s="2">
        <v>2065</v>
      </c>
      <c r="G42" s="23"/>
      <c r="H42" s="23"/>
      <c r="I42" s="159"/>
      <c r="J42" s="160"/>
      <c r="K42" s="160"/>
      <c r="L42" s="70" t="s">
        <v>329</v>
      </c>
    </row>
    <row r="43" spans="1:16" s="70" customFormat="1" x14ac:dyDescent="0.2">
      <c r="A43" s="32"/>
      <c r="B43" s="33"/>
      <c r="C43" s="14"/>
      <c r="D43" s="34"/>
      <c r="E43" s="16">
        <f>SUM(E25:E42)</f>
        <v>3818060.4</v>
      </c>
      <c r="F43" s="16">
        <f>SUM(F25:F42)</f>
        <v>91753524.73999992</v>
      </c>
      <c r="G43" s="1"/>
      <c r="H43" s="1"/>
      <c r="I43" s="1"/>
      <c r="J43" s="38">
        <v>86977759.340000004</v>
      </c>
      <c r="K43" s="2"/>
      <c r="L43" s="92">
        <f>E44-J43</f>
        <v>957704.99999991059</v>
      </c>
      <c r="M43" s="2"/>
      <c r="N43" s="2"/>
      <c r="O43" s="2"/>
      <c r="P43" s="2"/>
    </row>
    <row r="44" spans="1:16" s="70" customFormat="1" x14ac:dyDescent="0.2">
      <c r="A44" s="36"/>
      <c r="B44" s="28" t="s">
        <v>11</v>
      </c>
      <c r="C44" s="19" t="s">
        <v>65</v>
      </c>
      <c r="D44" s="37"/>
      <c r="E44" s="38">
        <f>F43-E43</f>
        <v>87935464.339999914</v>
      </c>
      <c r="F44" s="22"/>
      <c r="G44" s="1"/>
      <c r="H44" s="1"/>
      <c r="I44" s="1"/>
      <c r="M44" s="2"/>
      <c r="N44" s="2"/>
      <c r="O44" s="1"/>
      <c r="P44" s="2"/>
    </row>
    <row r="45" spans="1:16" s="70" customFormat="1" x14ac:dyDescent="0.2">
      <c r="A45" s="36"/>
      <c r="B45" s="28" t="s">
        <v>66</v>
      </c>
      <c r="C45" s="19" t="s">
        <v>67</v>
      </c>
      <c r="D45" s="37"/>
      <c r="E45" s="38">
        <v>11500000</v>
      </c>
      <c r="F45" s="22"/>
      <c r="G45" s="1"/>
      <c r="H45" s="1"/>
      <c r="M45" s="2"/>
      <c r="N45" s="2"/>
      <c r="O45" s="1"/>
      <c r="P45" s="2"/>
    </row>
    <row r="46" spans="1:16" s="70" customFormat="1" x14ac:dyDescent="0.2">
      <c r="A46" s="36"/>
      <c r="B46" s="28" t="s">
        <v>66</v>
      </c>
      <c r="C46" s="43" t="s">
        <v>1457</v>
      </c>
      <c r="D46" s="43"/>
      <c r="E46" s="12">
        <f>400000000</f>
        <v>400000000</v>
      </c>
      <c r="F46" s="22"/>
      <c r="G46" s="1"/>
      <c r="H46" s="1"/>
      <c r="J46" s="45">
        <v>1724.73</v>
      </c>
      <c r="K46" s="46"/>
      <c r="L46" s="46"/>
      <c r="M46" s="2"/>
      <c r="N46" s="2"/>
      <c r="O46" s="1"/>
      <c r="P46" s="2"/>
    </row>
    <row r="47" spans="1:16" s="70" customFormat="1" ht="15" x14ac:dyDescent="0.25">
      <c r="A47" s="36"/>
      <c r="B47" s="28"/>
      <c r="C47" s="44" t="s">
        <v>1541</v>
      </c>
      <c r="D47" s="43"/>
      <c r="E47" s="7">
        <f>+E46+E44+E45</f>
        <v>499435464.33999991</v>
      </c>
      <c r="F47" s="22"/>
      <c r="G47" s="1"/>
      <c r="H47" s="1"/>
      <c r="I47" s="103" t="s">
        <v>69</v>
      </c>
      <c r="J47" s="45">
        <v>-74.14</v>
      </c>
      <c r="K47" s="46"/>
      <c r="L47" s="46"/>
      <c r="M47" s="2"/>
      <c r="N47" s="2"/>
      <c r="O47" s="1"/>
      <c r="P47" s="2"/>
    </row>
    <row r="48" spans="1:16" s="70" customFormat="1" ht="15" x14ac:dyDescent="0.25">
      <c r="A48" s="24"/>
      <c r="B48" s="1"/>
      <c r="C48" s="44" t="s">
        <v>1510</v>
      </c>
      <c r="D48" s="25"/>
      <c r="E48" s="156">
        <f>+J24-E45+I20-J20</f>
        <v>1522240.6599999964</v>
      </c>
      <c r="F48" s="2"/>
      <c r="G48" s="1"/>
      <c r="H48" s="1"/>
      <c r="I48" s="35">
        <v>1</v>
      </c>
      <c r="J48" s="45">
        <v>60.07</v>
      </c>
      <c r="K48" s="46">
        <f>+J49-D51</f>
        <v>0</v>
      </c>
      <c r="L48" s="2"/>
      <c r="M48" s="2"/>
      <c r="N48" s="2"/>
      <c r="O48" s="1"/>
      <c r="P48" s="2"/>
    </row>
    <row r="49" spans="1:19" s="70" customFormat="1" ht="12.75" customHeight="1" x14ac:dyDescent="0.2">
      <c r="A49" s="24"/>
      <c r="B49" s="1"/>
      <c r="C49" s="56"/>
      <c r="D49" s="56"/>
      <c r="E49" s="104"/>
      <c r="F49" s="2"/>
      <c r="G49" s="166"/>
      <c r="H49" s="166"/>
      <c r="J49" s="49">
        <f>SUM(J46:J48)</f>
        <v>1710.6599999999999</v>
      </c>
      <c r="K49" s="46"/>
      <c r="L49" s="46"/>
      <c r="M49" s="124"/>
      <c r="N49" s="124"/>
      <c r="O49" s="1"/>
      <c r="P49" s="2"/>
    </row>
    <row r="50" spans="1:19" s="70" customFormat="1" ht="12.75" customHeight="1" x14ac:dyDescent="0.2">
      <c r="A50" s="24"/>
      <c r="B50" s="1"/>
      <c r="C50" s="78" t="s">
        <v>575</v>
      </c>
      <c r="D50" s="48" t="s">
        <v>576</v>
      </c>
      <c r="E50" s="104"/>
      <c r="F50" s="2"/>
      <c r="G50" s="168"/>
      <c r="H50" s="168"/>
      <c r="I50" s="167"/>
      <c r="J50" s="167"/>
      <c r="K50" s="168"/>
      <c r="L50" s="124"/>
      <c r="M50" s="124"/>
      <c r="N50" s="124"/>
      <c r="O50" s="124"/>
      <c r="P50" s="2"/>
    </row>
    <row r="51" spans="1:19" s="70" customFormat="1" ht="12.75" customHeight="1" x14ac:dyDescent="0.2">
      <c r="A51" s="24"/>
      <c r="B51" s="1"/>
      <c r="C51" s="47" t="s">
        <v>570</v>
      </c>
      <c r="D51" s="111">
        <v>1710.66</v>
      </c>
      <c r="E51" s="104"/>
      <c r="F51" s="2"/>
      <c r="G51" s="168"/>
      <c r="H51" s="168"/>
      <c r="I51" s="110" t="s">
        <v>581</v>
      </c>
      <c r="J51" s="167"/>
      <c r="K51" s="168"/>
      <c r="L51" s="124"/>
      <c r="M51" s="124"/>
      <c r="N51" s="124"/>
      <c r="O51" s="124"/>
      <c r="P51" s="124"/>
    </row>
    <row r="52" spans="1:19" s="70" customFormat="1" ht="12.75" customHeight="1" x14ac:dyDescent="0.2">
      <c r="A52" s="24"/>
      <c r="B52" s="1"/>
      <c r="C52" s="47" t="s">
        <v>931</v>
      </c>
      <c r="D52" s="111">
        <v>115.45</v>
      </c>
      <c r="E52" s="104"/>
      <c r="F52" s="2"/>
      <c r="G52" s="168"/>
      <c r="H52" s="168"/>
      <c r="I52" s="110" t="s">
        <v>580</v>
      </c>
      <c r="J52" s="167"/>
      <c r="K52" s="168"/>
      <c r="L52" s="124"/>
      <c r="M52" s="124"/>
      <c r="N52" s="124"/>
      <c r="O52" s="124"/>
      <c r="P52" s="124"/>
    </row>
    <row r="53" spans="1:19" s="70" customFormat="1" ht="12.75" customHeight="1" x14ac:dyDescent="0.2">
      <c r="A53" s="24"/>
      <c r="B53" s="1"/>
      <c r="C53" s="47" t="s">
        <v>572</v>
      </c>
      <c r="D53" s="111">
        <f>+D82/100000</f>
        <v>104.41614</v>
      </c>
      <c r="E53" s="104"/>
      <c r="F53" s="2"/>
      <c r="G53" s="166"/>
      <c r="H53" s="166"/>
      <c r="I53" s="90" t="s">
        <v>587</v>
      </c>
      <c r="J53" s="167"/>
      <c r="K53" s="168"/>
      <c r="L53" s="124"/>
      <c r="M53" s="124"/>
      <c r="N53" s="124"/>
      <c r="O53" s="124"/>
      <c r="P53" s="124"/>
    </row>
    <row r="54" spans="1:19" s="70" customFormat="1" ht="12.75" customHeight="1" x14ac:dyDescent="0.2">
      <c r="A54" s="24"/>
      <c r="B54" s="1"/>
      <c r="C54" s="108" t="s">
        <v>578</v>
      </c>
      <c r="D54" s="48">
        <f>SUM(D51:D53)</f>
        <v>1930.5261400000002</v>
      </c>
      <c r="E54" s="104"/>
      <c r="F54" s="2"/>
      <c r="G54" s="30"/>
      <c r="H54" s="30"/>
      <c r="I54" s="2"/>
      <c r="J54" s="13"/>
      <c r="K54" s="13"/>
      <c r="L54" s="2"/>
      <c r="M54" s="2"/>
      <c r="N54" s="2"/>
      <c r="O54" s="124"/>
      <c r="P54" s="124"/>
    </row>
    <row r="55" spans="1:19" s="70" customFormat="1" ht="12.75" customHeight="1" x14ac:dyDescent="0.2">
      <c r="A55" s="24"/>
      <c r="B55" s="1"/>
      <c r="C55" s="47"/>
      <c r="D55" s="107"/>
      <c r="E55" s="104"/>
      <c r="F55" s="2"/>
      <c r="G55" s="30"/>
      <c r="H55" s="30"/>
      <c r="I55" s="2"/>
      <c r="O55" s="2"/>
      <c r="P55" s="124"/>
    </row>
    <row r="56" spans="1:19" s="70" customFormat="1" ht="12.75" customHeight="1" x14ac:dyDescent="0.2">
      <c r="A56" s="24"/>
      <c r="B56" s="1"/>
      <c r="C56" s="47" t="s">
        <v>932</v>
      </c>
      <c r="D56" s="111">
        <v>111.36</v>
      </c>
      <c r="E56" s="104"/>
      <c r="F56" s="2"/>
      <c r="G56" s="30"/>
      <c r="H56" s="30"/>
      <c r="I56" s="110" t="s">
        <v>581</v>
      </c>
      <c r="P56" s="2"/>
    </row>
    <row r="57" spans="1:19" s="70" customFormat="1" ht="12.75" customHeight="1" x14ac:dyDescent="0.2">
      <c r="A57" s="24"/>
      <c r="B57" s="1"/>
      <c r="C57" s="136" t="s">
        <v>1142</v>
      </c>
      <c r="D57" s="111">
        <v>381.89</v>
      </c>
      <c r="E57" s="104"/>
      <c r="F57" s="2"/>
      <c r="G57" s="30"/>
      <c r="H57" s="30"/>
      <c r="I57" s="110" t="s">
        <v>581</v>
      </c>
    </row>
    <row r="58" spans="1:19" s="70" customFormat="1" ht="12.75" customHeight="1" x14ac:dyDescent="0.2">
      <c r="A58" s="24"/>
      <c r="B58" s="1"/>
      <c r="C58" s="78" t="s">
        <v>579</v>
      </c>
      <c r="D58" s="109">
        <f>D56+D57</f>
        <v>493.25</v>
      </c>
      <c r="E58" s="104"/>
      <c r="F58" s="2"/>
      <c r="G58" s="30"/>
      <c r="H58" s="30"/>
      <c r="Q58" s="2"/>
      <c r="R58" s="2"/>
      <c r="S58" s="2"/>
    </row>
    <row r="59" spans="1:19" s="2" customFormat="1" x14ac:dyDescent="0.2">
      <c r="A59" s="24"/>
      <c r="B59" s="1"/>
      <c r="C59" s="105"/>
      <c r="D59" s="106"/>
      <c r="E59" s="104"/>
      <c r="G59" s="30"/>
      <c r="H59" s="30"/>
      <c r="I59" s="70"/>
      <c r="K59" s="221" t="str">
        <f>"FROM ( 01-02-2024 to "&amp;TEXT(A5,"dd-mm-yyyy")&amp;" )"</f>
        <v>FROM ( 01-02-2024 to 19-02-2024 )</v>
      </c>
      <c r="L59" s="221"/>
      <c r="O59" s="70"/>
      <c r="P59" s="70"/>
    </row>
    <row r="60" spans="1:19" s="2" customFormat="1" x14ac:dyDescent="0.2">
      <c r="A60" s="24"/>
      <c r="B60" s="1"/>
      <c r="C60" s="78" t="s">
        <v>577</v>
      </c>
      <c r="D60" s="109">
        <f>D51+D58</f>
        <v>2203.91</v>
      </c>
      <c r="E60" s="104"/>
      <c r="G60" s="30"/>
      <c r="H60" s="30"/>
      <c r="I60" s="70"/>
      <c r="J60" s="113"/>
      <c r="K60" s="113" t="s">
        <v>709</v>
      </c>
      <c r="L60" s="113" t="s">
        <v>710</v>
      </c>
      <c r="M60" s="113" t="s">
        <v>711</v>
      </c>
      <c r="N60" s="113" t="s">
        <v>712</v>
      </c>
      <c r="O60" s="70"/>
      <c r="P60" s="70"/>
    </row>
    <row r="61" spans="1:19" s="2" customFormat="1" x14ac:dyDescent="0.2">
      <c r="A61" s="24"/>
      <c r="B61" s="1"/>
      <c r="C61" s="56"/>
      <c r="D61" s="56"/>
      <c r="E61" s="104"/>
      <c r="G61" s="30"/>
      <c r="H61" s="30"/>
      <c r="I61" s="70"/>
      <c r="J61" s="113" t="s">
        <v>1860</v>
      </c>
      <c r="K61" s="115">
        <v>191.98999999999998</v>
      </c>
      <c r="L61" s="115">
        <v>0</v>
      </c>
      <c r="M61" s="115">
        <v>0</v>
      </c>
      <c r="N61" s="113">
        <f>+K61+M61-L61</f>
        <v>191.98999999999998</v>
      </c>
      <c r="O61" s="70"/>
      <c r="P61" s="70"/>
    </row>
    <row r="62" spans="1:19" s="2" customFormat="1" ht="38.25" x14ac:dyDescent="0.2">
      <c r="A62" s="24"/>
      <c r="B62" s="1"/>
      <c r="C62" s="79" t="str">
        <f>"Particulars ( 01-02-2024 to "&amp;TEXT(A5,"dd-mm-yyyy")&amp;" )"</f>
        <v>Particulars ( 01-02-2024 to 19-02-2024 )</v>
      </c>
      <c r="D62" s="79" t="s">
        <v>7</v>
      </c>
      <c r="E62" s="80" t="s">
        <v>73</v>
      </c>
      <c r="F62" s="80" t="s">
        <v>74</v>
      </c>
      <c r="G62" s="81" t="s">
        <v>75</v>
      </c>
      <c r="H62" s="80" t="s">
        <v>76</v>
      </c>
      <c r="I62" s="70"/>
      <c r="J62" s="113" t="s">
        <v>1861</v>
      </c>
      <c r="K62" s="115">
        <v>1862.06</v>
      </c>
      <c r="L62" s="115">
        <v>104.42</v>
      </c>
      <c r="M62" s="115">
        <v>381.89</v>
      </c>
      <c r="N62" s="113">
        <f>+K62+M62-L62</f>
        <v>2139.5299999999997</v>
      </c>
      <c r="O62" s="70"/>
      <c r="P62" s="70"/>
    </row>
    <row r="63" spans="1:19" s="2" customFormat="1" x14ac:dyDescent="0.2">
      <c r="A63" s="24"/>
      <c r="B63" s="1"/>
      <c r="C63" s="50" t="s">
        <v>444</v>
      </c>
      <c r="D63" s="55">
        <f>+K63</f>
        <v>332.44</v>
      </c>
      <c r="E63" s="55">
        <f>+IF(M63=0,0,M63)</f>
        <v>111.36</v>
      </c>
      <c r="F63" s="55">
        <f>+L63</f>
        <v>115.45</v>
      </c>
      <c r="G63" s="55">
        <f>+D63+E63-F63</f>
        <v>328.35</v>
      </c>
      <c r="H63" s="55">
        <f>1500-G63</f>
        <v>1171.6500000000001</v>
      </c>
      <c r="I63" s="70">
        <f>+IF(M63=0,0,M63)</f>
        <v>111.36</v>
      </c>
      <c r="J63" s="113" t="s">
        <v>707</v>
      </c>
      <c r="K63" s="115">
        <v>332.44</v>
      </c>
      <c r="L63" s="115">
        <v>115.45</v>
      </c>
      <c r="M63" s="115">
        <v>111.36</v>
      </c>
      <c r="N63" s="113">
        <f>+K63+M63-L63</f>
        <v>328.35</v>
      </c>
      <c r="O63" s="70"/>
      <c r="P63" s="70"/>
    </row>
    <row r="64" spans="1:19" s="2" customFormat="1" x14ac:dyDescent="0.2">
      <c r="A64" s="24"/>
      <c r="B64" s="1"/>
      <c r="C64" s="50" t="s">
        <v>71</v>
      </c>
      <c r="D64" s="55">
        <f>+K61+K62</f>
        <v>2054.0499999999997</v>
      </c>
      <c r="E64" s="55">
        <f>+M61+M62</f>
        <v>381.89</v>
      </c>
      <c r="F64" s="55">
        <f>+L61+L62</f>
        <v>104.42</v>
      </c>
      <c r="G64" s="55">
        <f>+D64+E64-F64</f>
        <v>2331.5199999999995</v>
      </c>
      <c r="H64" s="55">
        <f>1500+700+200-G64</f>
        <v>68.480000000000473</v>
      </c>
      <c r="I64" s="70"/>
      <c r="K64" s="118">
        <f>SUM(K61:K63)</f>
        <v>2386.4899999999998</v>
      </c>
      <c r="L64" s="118">
        <f>SUM(L61:L63)</f>
        <v>219.87</v>
      </c>
      <c r="M64" s="118">
        <f>SUM(M61:M63)</f>
        <v>493.25</v>
      </c>
      <c r="N64" s="118">
        <f>SUM(N61:N63)</f>
        <v>2659.8699999999994</v>
      </c>
      <c r="O64" s="70"/>
      <c r="P64" s="70"/>
    </row>
    <row r="65" spans="1:16" s="2" customFormat="1" x14ac:dyDescent="0.2">
      <c r="A65" s="24"/>
      <c r="B65" s="1"/>
      <c r="C65" s="14"/>
      <c r="D65" s="56"/>
      <c r="E65" s="13"/>
      <c r="G65" s="30"/>
      <c r="H65" s="30"/>
      <c r="I65" s="70"/>
      <c r="J65" s="70"/>
      <c r="K65" s="70"/>
      <c r="L65" s="70"/>
      <c r="M65" s="70"/>
      <c r="N65" s="70"/>
      <c r="O65" s="70"/>
      <c r="P65" s="70"/>
    </row>
    <row r="66" spans="1:16" s="2" customFormat="1" x14ac:dyDescent="0.2">
      <c r="A66" s="215" t="s">
        <v>80</v>
      </c>
      <c r="B66" s="216"/>
      <c r="C66" s="216"/>
      <c r="D66" s="217"/>
      <c r="E66" s="69"/>
      <c r="F66" s="70"/>
      <c r="G66" s="30"/>
      <c r="H66" s="30"/>
      <c r="I66" s="70"/>
      <c r="J66" s="70"/>
      <c r="K66" s="70"/>
      <c r="L66" s="70"/>
      <c r="M66" s="70"/>
      <c r="N66" s="70"/>
      <c r="O66" s="70"/>
      <c r="P66" s="70"/>
    </row>
    <row r="67" spans="1:16" s="2" customFormat="1" x14ac:dyDescent="0.2">
      <c r="A67" s="71" t="s">
        <v>81</v>
      </c>
      <c r="B67" s="71"/>
      <c r="C67" s="72" t="s">
        <v>82</v>
      </c>
      <c r="D67" s="73" t="s">
        <v>83</v>
      </c>
      <c r="E67" s="69"/>
      <c r="F67" s="70"/>
      <c r="G67" s="30"/>
      <c r="H67" s="30"/>
      <c r="I67" s="70"/>
      <c r="J67" s="70"/>
      <c r="K67" s="70"/>
      <c r="L67" s="70"/>
      <c r="M67" s="70"/>
      <c r="N67" s="70"/>
      <c r="O67" s="70"/>
      <c r="P67" s="70"/>
    </row>
    <row r="68" spans="1:16" s="2" customFormat="1" x14ac:dyDescent="0.2">
      <c r="A68" s="87">
        <v>45323</v>
      </c>
      <c r="B68" s="120" t="s">
        <v>6</v>
      </c>
      <c r="C68" s="75" t="s">
        <v>2030</v>
      </c>
      <c r="D68" s="88">
        <v>881220</v>
      </c>
      <c r="G68" s="30"/>
      <c r="H68" s="30"/>
      <c r="M68" s="41"/>
      <c r="N68" s="42"/>
      <c r="O68" s="70"/>
      <c r="P68" s="70"/>
    </row>
    <row r="69" spans="1:16" s="2" customFormat="1" x14ac:dyDescent="0.2">
      <c r="A69" s="87">
        <v>45324</v>
      </c>
      <c r="B69" s="120" t="s">
        <v>6</v>
      </c>
      <c r="C69" s="75" t="s">
        <v>1934</v>
      </c>
      <c r="D69" s="88">
        <v>47729</v>
      </c>
      <c r="G69" s="30"/>
      <c r="H69" s="30"/>
      <c r="M69" s="41"/>
      <c r="N69" s="42"/>
      <c r="P69" s="70"/>
    </row>
    <row r="70" spans="1:16" s="2" customFormat="1" x14ac:dyDescent="0.2">
      <c r="A70" s="87">
        <v>45328</v>
      </c>
      <c r="B70" s="120" t="s">
        <v>6</v>
      </c>
      <c r="C70" s="75" t="s">
        <v>606</v>
      </c>
      <c r="D70" s="88">
        <v>1312580</v>
      </c>
      <c r="G70" s="30"/>
      <c r="H70" s="30"/>
      <c r="M70" s="41"/>
      <c r="N70" s="42"/>
      <c r="P70" s="70"/>
    </row>
    <row r="71" spans="1:16" s="2" customFormat="1" x14ac:dyDescent="0.2">
      <c r="A71" s="87">
        <v>45327</v>
      </c>
      <c r="B71" s="120" t="s">
        <v>6</v>
      </c>
      <c r="C71" s="75" t="s">
        <v>606</v>
      </c>
      <c r="D71" s="88">
        <v>56647</v>
      </c>
      <c r="G71" s="30"/>
      <c r="H71" s="30"/>
      <c r="M71" s="41"/>
      <c r="N71" s="42"/>
      <c r="P71" s="70"/>
    </row>
    <row r="72" spans="1:16" s="2" customFormat="1" x14ac:dyDescent="0.2">
      <c r="A72" s="87">
        <v>45329</v>
      </c>
      <c r="B72" s="120" t="s">
        <v>6</v>
      </c>
      <c r="C72" s="75" t="s">
        <v>2030</v>
      </c>
      <c r="D72" s="88">
        <v>548859</v>
      </c>
      <c r="G72" s="30"/>
      <c r="H72" s="30"/>
      <c r="M72" s="41"/>
      <c r="N72" s="42"/>
      <c r="P72" s="70"/>
    </row>
    <row r="73" spans="1:16" s="2" customFormat="1" x14ac:dyDescent="0.2">
      <c r="A73" s="87">
        <v>45332</v>
      </c>
      <c r="B73" s="120" t="s">
        <v>6</v>
      </c>
      <c r="C73" s="75" t="s">
        <v>1084</v>
      </c>
      <c r="D73" s="88">
        <v>1603904</v>
      </c>
      <c r="G73" s="30"/>
      <c r="H73" s="30"/>
      <c r="M73" s="41"/>
      <c r="N73" s="42"/>
      <c r="P73" s="70"/>
    </row>
    <row r="74" spans="1:16" s="2" customFormat="1" x14ac:dyDescent="0.2">
      <c r="A74" s="87">
        <v>45334</v>
      </c>
      <c r="B74" s="120" t="s">
        <v>6</v>
      </c>
      <c r="C74" s="75" t="s">
        <v>1934</v>
      </c>
      <c r="D74" s="88">
        <v>126143</v>
      </c>
      <c r="G74" s="30"/>
      <c r="H74" s="30"/>
      <c r="M74" s="41"/>
      <c r="N74" s="42"/>
      <c r="P74" s="70"/>
    </row>
    <row r="75" spans="1:16" s="2" customFormat="1" x14ac:dyDescent="0.2">
      <c r="A75" s="87">
        <v>45334</v>
      </c>
      <c r="B75" s="120" t="s">
        <v>6</v>
      </c>
      <c r="C75" s="75" t="s">
        <v>2092</v>
      </c>
      <c r="D75" s="88">
        <v>231107</v>
      </c>
      <c r="G75" s="30"/>
      <c r="H75" s="30"/>
      <c r="M75" s="41"/>
      <c r="N75" s="42"/>
      <c r="P75" s="70"/>
    </row>
    <row r="76" spans="1:16" s="2" customFormat="1" x14ac:dyDescent="0.2">
      <c r="A76" s="87">
        <v>45335</v>
      </c>
      <c r="B76" s="120" t="s">
        <v>6</v>
      </c>
      <c r="C76" s="75" t="s">
        <v>271</v>
      </c>
      <c r="D76" s="88">
        <v>9126</v>
      </c>
      <c r="G76" s="30"/>
      <c r="H76" s="30"/>
      <c r="P76" s="70"/>
    </row>
    <row r="77" spans="1:16" s="2" customFormat="1" x14ac:dyDescent="0.2">
      <c r="A77" s="87">
        <v>45337</v>
      </c>
      <c r="B77" s="120" t="s">
        <v>6</v>
      </c>
      <c r="C77" s="75" t="s">
        <v>1806</v>
      </c>
      <c r="D77" s="88">
        <v>78251</v>
      </c>
      <c r="G77" s="30"/>
      <c r="H77" s="30"/>
      <c r="P77" s="70"/>
    </row>
    <row r="78" spans="1:16" s="2" customFormat="1" x14ac:dyDescent="0.2">
      <c r="A78" s="87">
        <v>45337</v>
      </c>
      <c r="B78" s="120" t="s">
        <v>6</v>
      </c>
      <c r="C78" s="75" t="s">
        <v>271</v>
      </c>
      <c r="D78" s="88">
        <v>17527</v>
      </c>
      <c r="F78" s="2" t="s">
        <v>396</v>
      </c>
      <c r="G78" s="30"/>
      <c r="H78" s="30"/>
      <c r="P78" s="70"/>
    </row>
    <row r="79" spans="1:16" s="2" customFormat="1" x14ac:dyDescent="0.2">
      <c r="A79" s="87">
        <v>45338</v>
      </c>
      <c r="B79" s="120" t="s">
        <v>6</v>
      </c>
      <c r="C79" s="75" t="s">
        <v>1806</v>
      </c>
      <c r="D79" s="88">
        <v>1418915</v>
      </c>
      <c r="G79" s="30"/>
      <c r="H79" s="30"/>
      <c r="P79" s="70"/>
    </row>
    <row r="80" spans="1:16" s="2" customFormat="1" x14ac:dyDescent="0.2">
      <c r="A80" s="87">
        <v>45338</v>
      </c>
      <c r="B80" s="120" t="s">
        <v>6</v>
      </c>
      <c r="C80" s="75" t="s">
        <v>606</v>
      </c>
      <c r="D80" s="88">
        <v>3685988</v>
      </c>
      <c r="F80" s="2" t="s">
        <v>396</v>
      </c>
      <c r="G80" s="30"/>
      <c r="H80" s="30"/>
      <c r="P80" s="70"/>
    </row>
    <row r="81" spans="1:16" s="2" customFormat="1" x14ac:dyDescent="0.2">
      <c r="A81" s="87">
        <v>45339</v>
      </c>
      <c r="B81" s="120" t="s">
        <v>6</v>
      </c>
      <c r="C81" s="75" t="s">
        <v>271</v>
      </c>
      <c r="D81" s="88">
        <v>423618</v>
      </c>
      <c r="G81" s="30"/>
      <c r="H81" s="30"/>
      <c r="P81" s="70"/>
    </row>
    <row r="82" spans="1:16" s="2" customFormat="1" x14ac:dyDescent="0.2">
      <c r="A82" s="87"/>
      <c r="B82" s="74"/>
      <c r="C82" s="75"/>
      <c r="D82" s="51">
        <f>SUM(D68:D81)</f>
        <v>10441614</v>
      </c>
      <c r="F82" s="2" t="s">
        <v>396</v>
      </c>
      <c r="G82" s="1"/>
      <c r="H82" s="1"/>
      <c r="P82" s="70"/>
    </row>
    <row r="83" spans="1:16" s="2" customFormat="1" x14ac:dyDescent="0.2">
      <c r="A83" s="24"/>
      <c r="B83" s="1"/>
      <c r="C83" s="14"/>
      <c r="D83" s="56"/>
      <c r="E83" s="13"/>
      <c r="G83" s="1"/>
      <c r="H83" s="1"/>
      <c r="I83" s="2" t="s">
        <v>396</v>
      </c>
    </row>
    <row r="84" spans="1:16" s="2" customFormat="1" x14ac:dyDescent="0.2">
      <c r="A84" s="24"/>
      <c r="B84" s="1"/>
      <c r="C84" s="218" t="s">
        <v>77</v>
      </c>
      <c r="D84" s="219"/>
      <c r="E84" s="219"/>
      <c r="F84" s="220"/>
      <c r="I84" s="2" t="s">
        <v>396</v>
      </c>
    </row>
    <row r="85" spans="1:16" s="2" customFormat="1" x14ac:dyDescent="0.2">
      <c r="A85" s="24"/>
      <c r="B85" s="1"/>
      <c r="C85" s="50"/>
      <c r="D85" s="57" t="s">
        <v>78</v>
      </c>
      <c r="E85" s="58" t="s">
        <v>79</v>
      </c>
      <c r="F85" s="57" t="s">
        <v>72</v>
      </c>
    </row>
    <row r="86" spans="1:16" s="2" customFormat="1" x14ac:dyDescent="0.2">
      <c r="A86" s="24"/>
      <c r="B86" s="1"/>
      <c r="C86" s="59" t="str">
        <f>"01-02-2024 to "&amp;TEXT(A5-2,"dd-mm-yyyy")</f>
        <v>01-02-2024 to 17-02-2024</v>
      </c>
      <c r="D86" s="60">
        <v>2257.37</v>
      </c>
      <c r="E86" s="60">
        <v>408.84</v>
      </c>
      <c r="F86" s="61">
        <f>SUM(D86:E86)</f>
        <v>2666.21</v>
      </c>
      <c r="I86" s="53"/>
    </row>
    <row r="87" spans="1:16" s="2" customFormat="1" x14ac:dyDescent="0.2">
      <c r="A87" s="24"/>
      <c r="B87" s="1"/>
      <c r="C87" s="62" t="str">
        <f>TEXT(A5-1,"dd-mm-yyyy")</f>
        <v>18-02-2024</v>
      </c>
      <c r="D87" s="60">
        <v>79.78</v>
      </c>
      <c r="E87" s="60">
        <v>0</v>
      </c>
      <c r="F87" s="61">
        <f>SUM(D87:E87)</f>
        <v>79.78</v>
      </c>
      <c r="G87" s="1"/>
      <c r="H87" s="1"/>
      <c r="I87" s="53"/>
    </row>
    <row r="88" spans="1:16" s="2" customFormat="1" ht="13.5" thickBot="1" x14ac:dyDescent="0.25">
      <c r="A88" s="24"/>
      <c r="B88" s="1"/>
      <c r="C88" s="63" t="str">
        <f>"01-02-2024 to "&amp;TEXT(A5-1,"dd-mm-yyyy")</f>
        <v>01-02-2024 to 18-02-2024</v>
      </c>
      <c r="D88" s="64">
        <f>SUM(D86:D87)</f>
        <v>2337.15</v>
      </c>
      <c r="E88" s="64">
        <f>SUM(E86:E87)</f>
        <v>408.84</v>
      </c>
      <c r="F88" s="64">
        <f>SUM(F86:F87)</f>
        <v>2745.9900000000002</v>
      </c>
      <c r="G88" s="1"/>
      <c r="H88" s="1"/>
      <c r="M88" s="1"/>
      <c r="N88" s="1"/>
    </row>
    <row r="89" spans="1:16" s="2" customFormat="1" ht="13.5" thickTop="1" x14ac:dyDescent="0.2">
      <c r="A89" s="24"/>
      <c r="B89" s="1"/>
      <c r="C89" s="62"/>
      <c r="D89" s="65"/>
      <c r="E89" s="66"/>
      <c r="F89" s="67"/>
      <c r="M89" s="1"/>
      <c r="N89" s="1"/>
    </row>
    <row r="90" spans="1:16" s="2" customFormat="1" x14ac:dyDescent="0.2">
      <c r="A90" s="24"/>
      <c r="B90" s="1"/>
      <c r="C90" s="62" t="str">
        <f>"01-04-2023 to " &amp;C87</f>
        <v>01-04-2023 to 18-02-2024</v>
      </c>
      <c r="D90" s="68">
        <f>+D88+37155.6</f>
        <v>39492.75</v>
      </c>
      <c r="E90" s="68">
        <f>+E88+4502.26</f>
        <v>4911.1000000000004</v>
      </c>
      <c r="F90" s="68">
        <f>+F88+41657.86</f>
        <v>44403.85</v>
      </c>
      <c r="G90" s="1"/>
      <c r="H90" s="1"/>
      <c r="M90" s="1"/>
      <c r="N90" s="1"/>
    </row>
    <row r="91" spans="1:16" s="2" customFormat="1" x14ac:dyDescent="0.2">
      <c r="A91" s="24"/>
      <c r="B91" s="1"/>
      <c r="C91" s="52"/>
      <c r="D91" s="85"/>
      <c r="E91" s="53"/>
      <c r="F91" s="53"/>
      <c r="G91" s="1"/>
      <c r="H91" s="1"/>
      <c r="M91" s="1"/>
      <c r="N91" s="1"/>
    </row>
    <row r="92" spans="1:16" s="2" customFormat="1" x14ac:dyDescent="0.2">
      <c r="A92" s="24"/>
      <c r="B92" s="1"/>
      <c r="C92" s="52"/>
      <c r="D92" s="85"/>
      <c r="E92" s="53"/>
      <c r="F92" s="53"/>
      <c r="G92" s="1"/>
      <c r="H92" s="1"/>
      <c r="M92" s="1"/>
      <c r="N92" s="1"/>
    </row>
    <row r="93" spans="1:16" s="2" customFormat="1" x14ac:dyDescent="0.2">
      <c r="A93" s="24"/>
      <c r="B93" s="1"/>
      <c r="C93" s="52"/>
      <c r="D93" s="85"/>
      <c r="E93" s="53"/>
      <c r="F93" s="53"/>
      <c r="G93" s="1"/>
      <c r="H93" s="1"/>
      <c r="M93" s="1"/>
      <c r="N93" s="1"/>
    </row>
    <row r="94" spans="1:16" s="2" customFormat="1" x14ac:dyDescent="0.2">
      <c r="A94" s="24"/>
      <c r="B94" s="1"/>
      <c r="C94" s="52"/>
      <c r="D94" s="85"/>
      <c r="E94" s="53"/>
      <c r="F94" s="53"/>
      <c r="G94" s="1"/>
      <c r="H94" s="1"/>
      <c r="M94" s="1"/>
      <c r="N94" s="1"/>
    </row>
    <row r="95" spans="1:16" s="2" customFormat="1" x14ac:dyDescent="0.2">
      <c r="A95" s="24"/>
      <c r="B95" s="1"/>
      <c r="C95" s="14"/>
      <c r="D95" s="25">
        <f>SUM(D92:D94)</f>
        <v>0</v>
      </c>
      <c r="E95" s="2">
        <f>SUM(E92:E94)</f>
        <v>0</v>
      </c>
      <c r="G95" s="1"/>
      <c r="H95" s="1"/>
      <c r="M95" s="1"/>
      <c r="N95" s="1"/>
    </row>
    <row r="96" spans="1:16" s="2" customFormat="1" x14ac:dyDescent="0.2">
      <c r="A96" s="24"/>
      <c r="B96" s="1"/>
      <c r="C96" s="14"/>
      <c r="D96" s="25"/>
      <c r="G96" s="1"/>
      <c r="H96" s="1"/>
      <c r="M96" s="1"/>
      <c r="N96" s="1"/>
    </row>
    <row r="97" spans="1:19" s="2" customFormat="1" x14ac:dyDescent="0.2">
      <c r="A97" s="24"/>
      <c r="B97" s="1"/>
      <c r="C97" s="14"/>
      <c r="D97" s="25"/>
      <c r="G97" s="1"/>
      <c r="H97" s="1"/>
      <c r="M97" s="1"/>
      <c r="N97" s="1"/>
    </row>
    <row r="98" spans="1:19" s="2" customFormat="1" x14ac:dyDescent="0.2">
      <c r="A98" s="24"/>
      <c r="B98" s="1"/>
      <c r="C98" s="14"/>
      <c r="D98" s="25"/>
      <c r="G98" s="1"/>
      <c r="H98" s="1"/>
      <c r="M98" s="1"/>
      <c r="N98" s="1"/>
    </row>
    <row r="99" spans="1:19" s="2" customFormat="1" x14ac:dyDescent="0.2">
      <c r="A99" s="24"/>
      <c r="B99" s="1"/>
      <c r="C99" s="14"/>
      <c r="D99" s="25"/>
      <c r="G99" s="1"/>
      <c r="H99" s="1"/>
      <c r="M99" s="1"/>
      <c r="N99" s="1"/>
    </row>
    <row r="100" spans="1:19" s="2" customFormat="1" x14ac:dyDescent="0.2">
      <c r="A100" s="24"/>
      <c r="B100" s="1"/>
      <c r="C100" s="14"/>
      <c r="D100" s="25"/>
      <c r="G100" s="1"/>
      <c r="H100" s="1"/>
      <c r="M100" s="1"/>
      <c r="N100" s="1"/>
    </row>
    <row r="101" spans="1:19" s="2" customFormat="1" x14ac:dyDescent="0.2">
      <c r="A101" s="24"/>
      <c r="B101" s="1"/>
      <c r="C101" s="14"/>
      <c r="D101" s="25"/>
      <c r="G101" s="1"/>
      <c r="H101" s="1"/>
      <c r="M101" s="1"/>
      <c r="N101" s="1"/>
    </row>
    <row r="102" spans="1:19" s="2" customFormat="1" x14ac:dyDescent="0.2">
      <c r="A102" s="24"/>
      <c r="B102" s="1"/>
      <c r="C102" s="14"/>
      <c r="D102" s="25"/>
      <c r="G102" s="1"/>
      <c r="H102" s="1"/>
      <c r="M102" s="1"/>
      <c r="N102" s="1"/>
      <c r="Q102" s="1"/>
      <c r="R102" s="1"/>
      <c r="S102" s="1"/>
    </row>
    <row r="103" spans="1:19" x14ac:dyDescent="0.2">
      <c r="J103" s="2"/>
      <c r="K103" s="2"/>
      <c r="L103" s="2"/>
      <c r="O103" s="2"/>
      <c r="P103" s="2"/>
      <c r="Q103" s="2"/>
      <c r="R103" s="2"/>
      <c r="S103" s="2"/>
    </row>
    <row r="104" spans="1:19" s="2" customFormat="1" x14ac:dyDescent="0.2">
      <c r="A104" s="24"/>
      <c r="B104" s="1"/>
      <c r="C104" s="14"/>
      <c r="D104" s="25"/>
      <c r="G104" s="1"/>
      <c r="H104" s="1"/>
      <c r="M104" s="1"/>
      <c r="N104" s="1"/>
      <c r="Q104" s="1"/>
      <c r="R104" s="1"/>
      <c r="S104" s="1"/>
    </row>
    <row r="105" spans="1:19" x14ac:dyDescent="0.2">
      <c r="J105" s="2"/>
      <c r="K105" s="2"/>
      <c r="L105" s="2"/>
      <c r="O105" s="2"/>
      <c r="P105" s="2"/>
    </row>
    <row r="106" spans="1:19" x14ac:dyDescent="0.2">
      <c r="J106" s="2"/>
      <c r="K106" s="2"/>
      <c r="L106" s="2"/>
      <c r="O106" s="2"/>
      <c r="P106" s="2"/>
    </row>
    <row r="107" spans="1:19" x14ac:dyDescent="0.2">
      <c r="J107" s="2"/>
      <c r="K107" s="2"/>
      <c r="L107" s="2"/>
      <c r="O107" s="2"/>
      <c r="P107" s="2"/>
    </row>
    <row r="108" spans="1:19" x14ac:dyDescent="0.2">
      <c r="J108" s="2"/>
      <c r="K108" s="2"/>
      <c r="L108" s="2"/>
      <c r="O108" s="2"/>
      <c r="P108" s="2"/>
    </row>
    <row r="109" spans="1:19" x14ac:dyDescent="0.2">
      <c r="O109" s="2"/>
      <c r="P109" s="2"/>
    </row>
    <row r="110" spans="1:19" x14ac:dyDescent="0.2">
      <c r="J110" s="2"/>
      <c r="K110" s="2"/>
      <c r="L110" s="2"/>
      <c r="M110" s="2"/>
      <c r="N110" s="2"/>
      <c r="O110" s="2"/>
      <c r="P110" s="2"/>
    </row>
    <row r="111" spans="1:19" x14ac:dyDescent="0.2">
      <c r="O111" s="2"/>
      <c r="P111" s="2"/>
    </row>
    <row r="112" spans="1:19" x14ac:dyDescent="0.2">
      <c r="G112" s="54"/>
      <c r="H112" s="54"/>
      <c r="O112" s="2"/>
      <c r="P112" s="2"/>
    </row>
    <row r="113" spans="7:16" x14ac:dyDescent="0.2">
      <c r="G113" s="54"/>
      <c r="H113" s="54"/>
      <c r="O113" s="2"/>
      <c r="P113" s="2"/>
    </row>
    <row r="114" spans="7:16" x14ac:dyDescent="0.2">
      <c r="G114" s="54"/>
      <c r="H114" s="54"/>
      <c r="O114" s="2"/>
      <c r="P114" s="2"/>
    </row>
    <row r="115" spans="7:16" x14ac:dyDescent="0.2">
      <c r="G115" s="54"/>
      <c r="H115" s="54"/>
      <c r="I115" s="2" t="s">
        <v>396</v>
      </c>
      <c r="O115" s="2"/>
      <c r="P115" s="2"/>
    </row>
    <row r="116" spans="7:16" x14ac:dyDescent="0.2">
      <c r="G116" s="54"/>
      <c r="H116" s="54"/>
      <c r="I116" s="53"/>
      <c r="J116" s="2"/>
      <c r="K116" s="2"/>
      <c r="L116" s="2"/>
      <c r="M116" s="2"/>
      <c r="N116" s="2"/>
      <c r="P116" s="2"/>
    </row>
    <row r="117" spans="7:16" x14ac:dyDescent="0.2">
      <c r="G117" s="54"/>
      <c r="H117" s="54"/>
      <c r="I117" s="53" t="s">
        <v>396</v>
      </c>
      <c r="O117" s="2"/>
      <c r="P117" s="2"/>
    </row>
    <row r="118" spans="7:16" x14ac:dyDescent="0.2">
      <c r="G118" s="54"/>
      <c r="H118" s="54"/>
      <c r="I118" s="53" t="s">
        <v>396</v>
      </c>
      <c r="K118" s="42"/>
      <c r="P118" s="2"/>
    </row>
    <row r="119" spans="7:16" x14ac:dyDescent="0.2">
      <c r="G119" s="54"/>
      <c r="H119" s="54"/>
      <c r="I119" s="53"/>
      <c r="J119" s="101"/>
      <c r="P119" s="2"/>
    </row>
    <row r="120" spans="7:16" x14ac:dyDescent="0.2">
      <c r="G120" s="54"/>
      <c r="H120" s="54"/>
      <c r="I120" s="53"/>
    </row>
    <row r="121" spans="7:16" x14ac:dyDescent="0.2">
      <c r="G121" s="54"/>
      <c r="H121" s="54"/>
      <c r="I121" s="53"/>
      <c r="P121" s="2"/>
    </row>
    <row r="122" spans="7:16" x14ac:dyDescent="0.2">
      <c r="G122" s="54"/>
      <c r="H122" s="54"/>
      <c r="I122" s="53"/>
    </row>
  </sheetData>
  <sheetProtection insertRows="0"/>
  <mergeCells count="7">
    <mergeCell ref="K59:L59"/>
    <mergeCell ref="A66:D66"/>
    <mergeCell ref="C84:F84"/>
    <mergeCell ref="A1:H1"/>
    <mergeCell ref="A3:F3"/>
    <mergeCell ref="A9:F9"/>
    <mergeCell ref="A23:F23"/>
  </mergeCells>
  <conditionalFormatting sqref="H63:H64">
    <cfRule type="cellIs" dxfId="67" priority="1" operator="lessThan">
      <formula>0</formula>
    </cfRule>
  </conditionalFormatting>
  <conditionalFormatting sqref="C25">
    <cfRule type="duplicateValues" dxfId="66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1-000000000000}">
  <sheetPr codeName="Sheet553">
    <pageSetUpPr fitToPage="1"/>
  </sheetPr>
  <dimension ref="A1:S147"/>
  <sheetViews>
    <sheetView topLeftCell="D61" zoomScaleNormal="100" workbookViewId="0">
      <selection activeCell="K74" sqref="K74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12.85546875" style="1" customWidth="1"/>
    <col min="9" max="9" width="24.85546875" style="2" bestFit="1" customWidth="1"/>
    <col min="10" max="10" width="21.5703125" style="1" bestFit="1" customWidth="1"/>
    <col min="11" max="11" width="16.85546875" style="1" bestFit="1" customWidth="1"/>
    <col min="12" max="12" width="19.5703125" style="1" bestFit="1" customWidth="1"/>
    <col min="13" max="13" width="13.5703125" style="1" bestFit="1" customWidth="1"/>
    <col min="14" max="14" width="17.42578125" style="1" bestFit="1" customWidth="1"/>
    <col min="15" max="15" width="12.85546875" style="1" bestFit="1" customWidth="1"/>
    <col min="16" max="17" width="9.140625" style="1"/>
    <col min="18" max="18" width="15.5703125" style="1" bestFit="1" customWidth="1"/>
    <col min="19" max="16384" width="9.140625" style="1"/>
  </cols>
  <sheetData>
    <row r="1" spans="1:12" ht="20.25" customHeight="1" x14ac:dyDescent="0.4">
      <c r="A1" s="212" t="s">
        <v>2094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2" ht="12.75" customHeight="1" x14ac:dyDescent="0.4">
      <c r="I2" s="112"/>
      <c r="J2" s="112"/>
    </row>
    <row r="3" spans="1:12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2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2" s="2" customFormat="1" ht="14.25" customHeight="1" x14ac:dyDescent="0.4">
      <c r="A5" s="89">
        <v>45342</v>
      </c>
      <c r="B5" s="9" t="s">
        <v>6</v>
      </c>
      <c r="C5" s="10" t="s">
        <v>7</v>
      </c>
      <c r="D5" s="11"/>
      <c r="E5" s="12">
        <v>681806.6800000004</v>
      </c>
      <c r="F5" s="12"/>
      <c r="G5" s="1"/>
      <c r="H5" s="1"/>
      <c r="I5" s="112"/>
      <c r="J5" s="112"/>
    </row>
    <row r="6" spans="1:12" s="2" customFormat="1" ht="12.75" customHeight="1" x14ac:dyDescent="0.2">
      <c r="D6" s="15" t="s">
        <v>8</v>
      </c>
      <c r="E6" s="16">
        <f>SUM(E5:E5)</f>
        <v>681806.6800000004</v>
      </c>
      <c r="F6" s="16">
        <f>F5</f>
        <v>0</v>
      </c>
      <c r="G6" s="1"/>
      <c r="H6" s="1"/>
      <c r="I6" s="13" t="s">
        <v>1582</v>
      </c>
      <c r="J6" s="13" t="s">
        <v>1583</v>
      </c>
    </row>
    <row r="7" spans="1:12" s="2" customFormat="1" ht="12.75" customHeight="1" x14ac:dyDescent="0.2">
      <c r="A7" s="17"/>
      <c r="B7" s="18"/>
      <c r="C7" s="19" t="s">
        <v>9</v>
      </c>
      <c r="D7" s="20"/>
      <c r="E7" s="21">
        <f>+E6-F6</f>
        <v>681806.6800000004</v>
      </c>
      <c r="F7" s="22"/>
      <c r="G7" s="23"/>
      <c r="H7" s="23"/>
      <c r="I7" s="2">
        <v>687188.13</v>
      </c>
      <c r="J7" s="2">
        <v>0</v>
      </c>
      <c r="K7" s="176">
        <f>I7-J7</f>
        <v>687188.13</v>
      </c>
    </row>
    <row r="8" spans="1:12" ht="12.75" customHeight="1" x14ac:dyDescent="0.4">
      <c r="I8" s="112"/>
      <c r="J8" s="112"/>
    </row>
    <row r="9" spans="1:12" ht="18" customHeight="1" x14ac:dyDescent="0.4">
      <c r="A9" s="213" t="s">
        <v>1037</v>
      </c>
      <c r="B9" s="213"/>
      <c r="C9" s="213"/>
      <c r="D9" s="213"/>
      <c r="E9" s="213"/>
      <c r="F9" s="213"/>
      <c r="I9" s="112"/>
      <c r="J9" s="169">
        <f>90000000-60000000</f>
        <v>30000000</v>
      </c>
      <c r="K9" s="169" t="s">
        <v>1508</v>
      </c>
    </row>
    <row r="10" spans="1:12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I10" s="112"/>
      <c r="J10" s="169">
        <v>29906584.16</v>
      </c>
      <c r="K10" s="169" t="s">
        <v>1509</v>
      </c>
      <c r="L10" s="124"/>
    </row>
    <row r="11" spans="1:12" s="2" customFormat="1" ht="14.25" customHeight="1" x14ac:dyDescent="0.2">
      <c r="A11" s="89">
        <v>45342</v>
      </c>
      <c r="B11" s="9" t="s">
        <v>6</v>
      </c>
      <c r="C11" s="10" t="s">
        <v>7</v>
      </c>
      <c r="D11" s="11"/>
      <c r="F11" s="12">
        <v>28075436.390000001</v>
      </c>
      <c r="G11" s="1"/>
      <c r="H11" s="1"/>
      <c r="I11" s="130" t="s">
        <v>396</v>
      </c>
      <c r="J11" s="169">
        <f>+J9-J10</f>
        <v>93415.839999999851</v>
      </c>
      <c r="K11" s="169" t="s">
        <v>712</v>
      </c>
      <c r="L11" s="165" t="s">
        <v>1512</v>
      </c>
    </row>
    <row r="12" spans="1:12" s="2" customFormat="1" ht="14.25" customHeight="1" x14ac:dyDescent="0.2">
      <c r="A12" s="89">
        <v>45342</v>
      </c>
      <c r="B12" s="9" t="s">
        <v>11</v>
      </c>
      <c r="C12" s="76" t="s">
        <v>302</v>
      </c>
      <c r="D12" s="11" t="s">
        <v>13</v>
      </c>
      <c r="E12" s="31"/>
      <c r="F12" s="31">
        <v>7541</v>
      </c>
      <c r="G12" s="1"/>
      <c r="H12" s="1"/>
      <c r="I12" s="130"/>
      <c r="J12" s="169"/>
      <c r="K12" s="169"/>
      <c r="L12" s="165"/>
    </row>
    <row r="13" spans="1:12" s="2" customFormat="1" ht="14.25" customHeight="1" x14ac:dyDescent="0.2">
      <c r="A13" s="89">
        <v>45342</v>
      </c>
      <c r="B13" s="9" t="s">
        <v>11</v>
      </c>
      <c r="C13" s="76" t="s">
        <v>292</v>
      </c>
      <c r="D13" s="11" t="s">
        <v>29</v>
      </c>
      <c r="E13" s="31"/>
      <c r="F13" s="31">
        <v>11600</v>
      </c>
      <c r="G13" s="1"/>
      <c r="H13" s="1"/>
      <c r="I13" s="130"/>
      <c r="J13" s="169"/>
      <c r="K13" s="169"/>
      <c r="L13" s="165"/>
    </row>
    <row r="14" spans="1:12" s="2" customFormat="1" ht="14.25" customHeight="1" x14ac:dyDescent="0.2">
      <c r="A14" s="89">
        <v>45342</v>
      </c>
      <c r="B14" s="9" t="s">
        <v>11</v>
      </c>
      <c r="C14" s="76" t="s">
        <v>1068</v>
      </c>
      <c r="D14" s="11" t="s">
        <v>29</v>
      </c>
      <c r="E14" s="31"/>
      <c r="F14" s="31">
        <v>21240</v>
      </c>
      <c r="G14" s="1"/>
      <c r="H14" s="1"/>
      <c r="I14" s="130"/>
      <c r="J14" s="169"/>
      <c r="K14" s="169"/>
      <c r="L14" s="165"/>
    </row>
    <row r="15" spans="1:12" s="2" customFormat="1" ht="14.25" customHeight="1" x14ac:dyDescent="0.2">
      <c r="A15" s="89">
        <v>45342</v>
      </c>
      <c r="B15" s="9" t="s">
        <v>11</v>
      </c>
      <c r="C15" s="76" t="s">
        <v>823</v>
      </c>
      <c r="D15" s="11" t="s">
        <v>29</v>
      </c>
      <c r="E15" s="31"/>
      <c r="F15" s="31">
        <v>20870</v>
      </c>
      <c r="G15" s="1"/>
      <c r="H15" s="1"/>
      <c r="I15" s="130"/>
      <c r="J15" s="169"/>
      <c r="K15" s="169"/>
      <c r="L15" s="165"/>
    </row>
    <row r="16" spans="1:12" s="2" customFormat="1" ht="14.25" customHeight="1" x14ac:dyDescent="0.2">
      <c r="A16" s="89">
        <v>45342</v>
      </c>
      <c r="B16" s="9" t="s">
        <v>11</v>
      </c>
      <c r="C16" s="76" t="s">
        <v>800</v>
      </c>
      <c r="D16" s="11" t="s">
        <v>29</v>
      </c>
      <c r="E16" s="31"/>
      <c r="F16" s="31">
        <v>18305</v>
      </c>
      <c r="G16" s="1"/>
      <c r="H16" s="1"/>
      <c r="I16" s="130"/>
      <c r="J16" s="169"/>
      <c r="K16" s="169"/>
      <c r="L16" s="165"/>
    </row>
    <row r="17" spans="1:12" s="2" customFormat="1" ht="14.25" customHeight="1" x14ac:dyDescent="0.2">
      <c r="A17" s="89">
        <v>45342</v>
      </c>
      <c r="B17" s="9" t="s">
        <v>11</v>
      </c>
      <c r="C17" s="76" t="s">
        <v>738</v>
      </c>
      <c r="D17" s="11" t="s">
        <v>29</v>
      </c>
      <c r="E17" s="31"/>
      <c r="F17" s="31">
        <v>4346.7700000000004</v>
      </c>
      <c r="G17" s="1"/>
      <c r="H17" s="1"/>
      <c r="I17" s="130"/>
      <c r="J17" s="169"/>
      <c r="K17" s="169"/>
      <c r="L17" s="165"/>
    </row>
    <row r="18" spans="1:12" s="2" customFormat="1" ht="14.25" customHeight="1" x14ac:dyDescent="0.2">
      <c r="A18" s="89">
        <v>45342</v>
      </c>
      <c r="B18" s="9" t="s">
        <v>11</v>
      </c>
      <c r="C18" s="76" t="s">
        <v>345</v>
      </c>
      <c r="D18" s="11" t="s">
        <v>29</v>
      </c>
      <c r="E18" s="31"/>
      <c r="F18" s="31">
        <v>2992</v>
      </c>
      <c r="G18" s="1"/>
      <c r="H18" s="1"/>
      <c r="I18" s="130"/>
      <c r="J18" s="169"/>
      <c r="K18" s="169"/>
      <c r="L18" s="165"/>
    </row>
    <row r="19" spans="1:12" s="2" customFormat="1" ht="14.25" customHeight="1" x14ac:dyDescent="0.2">
      <c r="A19" s="89">
        <v>45342</v>
      </c>
      <c r="B19" s="9" t="s">
        <v>11</v>
      </c>
      <c r="C19" s="76" t="s">
        <v>124</v>
      </c>
      <c r="D19" s="11" t="s">
        <v>29</v>
      </c>
      <c r="E19" s="31"/>
      <c r="F19" s="31">
        <v>60933.99</v>
      </c>
      <c r="G19" s="1"/>
      <c r="H19" s="1"/>
      <c r="I19" s="130"/>
      <c r="J19" s="169"/>
      <c r="K19" s="169"/>
      <c r="L19" s="165"/>
    </row>
    <row r="20" spans="1:12" s="2" customFormat="1" ht="14.25" customHeight="1" x14ac:dyDescent="0.2">
      <c r="A20" s="89">
        <v>45342</v>
      </c>
      <c r="B20" s="9" t="s">
        <v>11</v>
      </c>
      <c r="C20" s="76" t="s">
        <v>600</v>
      </c>
      <c r="D20" s="11" t="s">
        <v>29</v>
      </c>
      <c r="E20" s="31"/>
      <c r="F20" s="31">
        <v>250000</v>
      </c>
      <c r="G20" s="1"/>
      <c r="H20" s="1"/>
      <c r="I20" s="130"/>
      <c r="J20" s="169"/>
      <c r="K20" s="169"/>
      <c r="L20" s="165"/>
    </row>
    <row r="21" spans="1:12" s="2" customFormat="1" ht="14.25" customHeight="1" x14ac:dyDescent="0.2">
      <c r="A21" s="89">
        <v>45342</v>
      </c>
      <c r="B21" s="9" t="s">
        <v>11</v>
      </c>
      <c r="C21" s="76" t="s">
        <v>2095</v>
      </c>
      <c r="D21" s="11" t="s">
        <v>29</v>
      </c>
      <c r="E21" s="31"/>
      <c r="F21" s="31">
        <v>19000</v>
      </c>
      <c r="G21" s="1"/>
      <c r="H21" s="1"/>
      <c r="I21" s="130"/>
      <c r="J21" s="169"/>
      <c r="K21" s="169"/>
      <c r="L21" s="165"/>
    </row>
    <row r="22" spans="1:12" s="2" customFormat="1" ht="14.25" customHeight="1" x14ac:dyDescent="0.2">
      <c r="A22" s="89">
        <v>45342</v>
      </c>
      <c r="B22" s="9" t="s">
        <v>11</v>
      </c>
      <c r="C22" s="76" t="s">
        <v>1347</v>
      </c>
      <c r="D22" s="11" t="s">
        <v>29</v>
      </c>
      <c r="E22" s="31"/>
      <c r="F22" s="31">
        <v>625</v>
      </c>
      <c r="G22" s="1"/>
      <c r="H22" s="1"/>
      <c r="I22" s="130"/>
      <c r="J22" s="169"/>
      <c r="K22" s="169"/>
      <c r="L22" s="165"/>
    </row>
    <row r="23" spans="1:12" s="2" customFormat="1" ht="14.25" customHeight="1" x14ac:dyDescent="0.2">
      <c r="A23" s="89">
        <v>45342</v>
      </c>
      <c r="B23" s="9" t="s">
        <v>11</v>
      </c>
      <c r="C23" s="76" t="s">
        <v>357</v>
      </c>
      <c r="D23" s="11" t="s">
        <v>29</v>
      </c>
      <c r="E23" s="31"/>
      <c r="F23" s="31">
        <v>4480.38</v>
      </c>
      <c r="G23" s="1"/>
      <c r="H23" s="1"/>
      <c r="I23" s="130"/>
      <c r="J23" s="169"/>
      <c r="K23" s="169"/>
      <c r="L23" s="165"/>
    </row>
    <row r="24" spans="1:12" s="2" customFormat="1" ht="14.25" customHeight="1" x14ac:dyDescent="0.2">
      <c r="A24" s="89">
        <v>45342</v>
      </c>
      <c r="B24" s="9" t="s">
        <v>11</v>
      </c>
      <c r="C24" s="76" t="s">
        <v>2096</v>
      </c>
      <c r="D24" s="11" t="s">
        <v>29</v>
      </c>
      <c r="E24" s="31"/>
      <c r="F24" s="31">
        <v>99000</v>
      </c>
      <c r="G24" s="1"/>
      <c r="H24" s="1"/>
      <c r="I24" s="130"/>
      <c r="J24" s="169"/>
      <c r="K24" s="169"/>
      <c r="L24" s="165"/>
    </row>
    <row r="25" spans="1:12" s="2" customFormat="1" ht="14.25" customHeight="1" x14ac:dyDescent="0.2">
      <c r="A25" s="89">
        <v>45342</v>
      </c>
      <c r="B25" s="9" t="s">
        <v>11</v>
      </c>
      <c r="C25" s="76" t="s">
        <v>447</v>
      </c>
      <c r="D25" s="11" t="s">
        <v>29</v>
      </c>
      <c r="E25" s="31"/>
      <c r="F25" s="31">
        <v>297000</v>
      </c>
      <c r="G25" s="1"/>
      <c r="H25" s="1"/>
      <c r="I25" s="130"/>
      <c r="J25" s="169"/>
      <c r="K25" s="169"/>
      <c r="L25" s="165"/>
    </row>
    <row r="26" spans="1:12" s="2" customFormat="1" ht="14.25" customHeight="1" x14ac:dyDescent="0.2">
      <c r="A26" s="89">
        <v>45342</v>
      </c>
      <c r="B26" s="9" t="s">
        <v>11</v>
      </c>
      <c r="C26" s="76" t="s">
        <v>63</v>
      </c>
      <c r="D26" s="11" t="s">
        <v>29</v>
      </c>
      <c r="E26" s="31"/>
      <c r="F26" s="31">
        <v>250000</v>
      </c>
      <c r="G26" s="1"/>
      <c r="H26" s="1"/>
      <c r="I26" s="130"/>
      <c r="J26" s="169"/>
      <c r="K26" s="169"/>
      <c r="L26" s="165"/>
    </row>
    <row r="27" spans="1:12" s="2" customFormat="1" ht="14.25" customHeight="1" x14ac:dyDescent="0.2">
      <c r="A27" s="89">
        <v>45342</v>
      </c>
      <c r="B27" s="9" t="s">
        <v>11</v>
      </c>
      <c r="C27" s="76" t="s">
        <v>34</v>
      </c>
      <c r="D27" s="11" t="s">
        <v>29</v>
      </c>
      <c r="E27" s="31"/>
      <c r="F27" s="31">
        <v>20000</v>
      </c>
      <c r="G27" s="1"/>
      <c r="H27" s="1"/>
      <c r="I27" s="130"/>
      <c r="J27" s="169"/>
      <c r="K27" s="169"/>
      <c r="L27" s="165"/>
    </row>
    <row r="28" spans="1:12" s="2" customFormat="1" ht="14.25" customHeight="1" x14ac:dyDescent="0.2">
      <c r="A28" s="89">
        <v>45342</v>
      </c>
      <c r="B28" s="9" t="s">
        <v>11</v>
      </c>
      <c r="C28" s="76" t="s">
        <v>34</v>
      </c>
      <c r="D28" s="11" t="s">
        <v>29</v>
      </c>
      <c r="E28" s="31"/>
      <c r="F28" s="31">
        <v>50000</v>
      </c>
      <c r="G28" s="1"/>
      <c r="H28" s="1"/>
      <c r="I28" s="130"/>
      <c r="J28" s="169"/>
      <c r="K28" s="169"/>
      <c r="L28" s="165"/>
    </row>
    <row r="29" spans="1:12" s="2" customFormat="1" ht="14.25" customHeight="1" x14ac:dyDescent="0.2">
      <c r="A29" s="89">
        <v>45342</v>
      </c>
      <c r="B29" s="9" t="s">
        <v>11</v>
      </c>
      <c r="C29" s="76" t="s">
        <v>1911</v>
      </c>
      <c r="D29" s="11" t="s">
        <v>29</v>
      </c>
      <c r="E29" s="31"/>
      <c r="F29" s="31">
        <v>6025.5</v>
      </c>
      <c r="G29" s="1"/>
      <c r="H29" s="1"/>
      <c r="I29" s="130"/>
      <c r="J29" s="169"/>
      <c r="K29" s="169"/>
      <c r="L29" s="165"/>
    </row>
    <row r="30" spans="1:12" s="2" customFormat="1" ht="14.25" customHeight="1" x14ac:dyDescent="0.4">
      <c r="D30" s="11" t="s">
        <v>8</v>
      </c>
      <c r="E30" s="16">
        <f>SUM(E12:E29)</f>
        <v>0</v>
      </c>
      <c r="F30" s="16">
        <f>SUM(F11:F29)</f>
        <v>29219396.029999997</v>
      </c>
      <c r="G30" s="1"/>
      <c r="H30" s="1"/>
      <c r="J30" s="112"/>
      <c r="K30" s="153" t="s">
        <v>779</v>
      </c>
    </row>
    <row r="31" spans="1:12" s="2" customFormat="1" ht="14.25" customHeight="1" x14ac:dyDescent="0.2">
      <c r="A31" s="17"/>
      <c r="B31" s="18"/>
      <c r="C31" s="96" t="s">
        <v>9</v>
      </c>
      <c r="D31" s="20"/>
      <c r="E31" s="21">
        <f>+F30-E30</f>
        <v>29219396.029999997</v>
      </c>
      <c r="G31" s="1"/>
      <c r="H31" s="1"/>
      <c r="J31" s="40">
        <v>29219396.030000001</v>
      </c>
      <c r="K31" s="154">
        <f>J31-E31</f>
        <v>0</v>
      </c>
    </row>
    <row r="32" spans="1:12" s="2" customFormat="1" ht="14.25" customHeight="1" x14ac:dyDescent="0.2">
      <c r="A32" s="17"/>
      <c r="B32" s="28" t="s">
        <v>66</v>
      </c>
      <c r="C32" s="43" t="s">
        <v>1458</v>
      </c>
      <c r="D32" s="43"/>
      <c r="E32" s="12">
        <f>30000000+60000000</f>
        <v>90000000</v>
      </c>
      <c r="F32" s="22"/>
      <c r="G32" s="1"/>
      <c r="H32" s="1"/>
      <c r="I32" s="13" t="s">
        <v>1582</v>
      </c>
      <c r="J32" s="13" t="s">
        <v>1583</v>
      </c>
    </row>
    <row r="33" spans="1:12" s="2" customFormat="1" ht="14.25" customHeight="1" x14ac:dyDescent="0.25">
      <c r="A33" s="36"/>
      <c r="B33" s="28"/>
      <c r="C33" s="44" t="s">
        <v>1541</v>
      </c>
      <c r="D33" s="43"/>
      <c r="E33" s="7">
        <f>+E31+E32</f>
        <v>119219396.03</v>
      </c>
      <c r="F33" s="22"/>
      <c r="G33" s="1"/>
      <c r="H33" s="1"/>
      <c r="I33" s="2">
        <v>2360</v>
      </c>
      <c r="J33" s="2">
        <v>2579675.15</v>
      </c>
      <c r="K33" s="176">
        <f>I33-J33</f>
        <v>-2577315.15</v>
      </c>
    </row>
    <row r="34" spans="1:12" s="2" customFormat="1" ht="14.25" customHeight="1" x14ac:dyDescent="0.25">
      <c r="A34" s="36"/>
      <c r="B34" s="28"/>
      <c r="C34" s="44" t="s">
        <v>1511</v>
      </c>
      <c r="D34" s="43"/>
      <c r="E34" s="38">
        <f>+J11+I7-J7</f>
        <v>780603.96999999986</v>
      </c>
      <c r="F34" s="22"/>
      <c r="G34" s="1"/>
      <c r="H34" s="1"/>
      <c r="J34" s="130"/>
      <c r="K34" s="130"/>
    </row>
    <row r="35" spans="1:12" s="2" customFormat="1" x14ac:dyDescent="0.2">
      <c r="A35" s="24"/>
      <c r="B35" s="1"/>
      <c r="C35" s="14"/>
      <c r="D35" s="25"/>
      <c r="G35" s="1"/>
      <c r="H35" s="1"/>
      <c r="I35" s="159"/>
      <c r="J35" s="160">
        <f>100000000+75000000</f>
        <v>175000000</v>
      </c>
      <c r="K35" s="160" t="s">
        <v>1506</v>
      </c>
      <c r="L35" s="70"/>
    </row>
    <row r="36" spans="1:12" s="2" customFormat="1" ht="15" x14ac:dyDescent="0.35">
      <c r="A36" s="214" t="s">
        <v>10</v>
      </c>
      <c r="B36" s="214"/>
      <c r="C36" s="214"/>
      <c r="D36" s="214"/>
      <c r="E36" s="214"/>
      <c r="F36" s="214"/>
      <c r="G36" s="1"/>
      <c r="H36" s="1"/>
      <c r="I36" s="159"/>
      <c r="J36" s="179">
        <v>160747902.5</v>
      </c>
      <c r="K36" s="160" t="s">
        <v>1507</v>
      </c>
      <c r="L36" s="70" t="s">
        <v>1512</v>
      </c>
    </row>
    <row r="37" spans="1:12" s="2" customFormat="1" x14ac:dyDescent="0.2">
      <c r="A37" s="26" t="s">
        <v>1</v>
      </c>
      <c r="B37" s="27" t="s">
        <v>2</v>
      </c>
      <c r="C37" s="5"/>
      <c r="D37" s="6" t="s">
        <v>3</v>
      </c>
      <c r="E37" s="7" t="s">
        <v>4</v>
      </c>
      <c r="F37" s="7" t="s">
        <v>5</v>
      </c>
      <c r="G37" s="1"/>
      <c r="H37" s="1"/>
      <c r="I37" s="159" t="s">
        <v>1505</v>
      </c>
      <c r="J37" s="160">
        <f>+J35-J36</f>
        <v>14252097.5</v>
      </c>
      <c r="K37" s="160"/>
      <c r="L37" s="70"/>
    </row>
    <row r="38" spans="1:12" s="2" customFormat="1" x14ac:dyDescent="0.2">
      <c r="A38" s="89">
        <v>45342</v>
      </c>
      <c r="B38" s="128" t="s">
        <v>11</v>
      </c>
      <c r="C38" s="29" t="s">
        <v>7</v>
      </c>
      <c r="D38" s="25"/>
      <c r="E38" s="31"/>
      <c r="F38" s="13">
        <v>87935464.339999914</v>
      </c>
      <c r="G38" s="23"/>
      <c r="H38" s="23"/>
      <c r="I38" s="159"/>
      <c r="J38" s="160"/>
      <c r="K38" s="160"/>
      <c r="L38" s="70"/>
    </row>
    <row r="39" spans="1:12" s="2" customFormat="1" x14ac:dyDescent="0.2">
      <c r="A39" s="89">
        <v>45342</v>
      </c>
      <c r="B39" s="128" t="s">
        <v>6</v>
      </c>
      <c r="C39" s="181" t="s">
        <v>2097</v>
      </c>
      <c r="D39" s="11" t="s">
        <v>13</v>
      </c>
      <c r="E39" s="86">
        <v>2835</v>
      </c>
      <c r="G39" s="23"/>
      <c r="H39" s="23"/>
      <c r="I39" s="159"/>
      <c r="J39" s="160"/>
      <c r="K39" s="160"/>
      <c r="L39" s="70"/>
    </row>
    <row r="40" spans="1:12" s="2" customFormat="1" x14ac:dyDescent="0.2">
      <c r="A40" s="89">
        <v>45342</v>
      </c>
      <c r="B40" s="128" t="s">
        <v>6</v>
      </c>
      <c r="C40" s="181" t="s">
        <v>177</v>
      </c>
      <c r="D40" s="11" t="s">
        <v>13</v>
      </c>
      <c r="E40" s="86">
        <v>5612572</v>
      </c>
      <c r="G40" s="23"/>
      <c r="H40" s="23"/>
      <c r="I40" s="159"/>
      <c r="J40" s="160"/>
      <c r="K40" s="160"/>
      <c r="L40" s="70"/>
    </row>
    <row r="41" spans="1:12" s="2" customFormat="1" x14ac:dyDescent="0.2">
      <c r="A41" s="89">
        <v>45342</v>
      </c>
      <c r="B41" s="128" t="s">
        <v>6</v>
      </c>
      <c r="C41" s="181" t="s">
        <v>149</v>
      </c>
      <c r="D41" s="11" t="s">
        <v>13</v>
      </c>
      <c r="E41" s="86">
        <v>665</v>
      </c>
      <c r="G41" s="23"/>
      <c r="H41" s="23"/>
      <c r="I41" s="159"/>
      <c r="J41" s="160"/>
      <c r="K41" s="160"/>
      <c r="L41" s="70"/>
    </row>
    <row r="42" spans="1:12" s="2" customFormat="1" x14ac:dyDescent="0.2">
      <c r="A42" s="89">
        <v>45342</v>
      </c>
      <c r="B42" s="128" t="s">
        <v>6</v>
      </c>
      <c r="C42" s="181" t="s">
        <v>304</v>
      </c>
      <c r="D42" s="11" t="s">
        <v>13</v>
      </c>
      <c r="E42" s="86">
        <v>500000</v>
      </c>
      <c r="G42" s="23"/>
      <c r="H42" s="23"/>
      <c r="I42" s="159"/>
      <c r="J42" s="160"/>
      <c r="K42" s="160"/>
      <c r="L42" s="70"/>
    </row>
    <row r="43" spans="1:12" s="2" customFormat="1" x14ac:dyDescent="0.2">
      <c r="A43" s="89">
        <v>45342</v>
      </c>
      <c r="B43" s="128" t="s">
        <v>6</v>
      </c>
      <c r="C43" s="181" t="s">
        <v>15</v>
      </c>
      <c r="D43" s="11" t="s">
        <v>13</v>
      </c>
      <c r="E43" s="86">
        <v>25435.52</v>
      </c>
      <c r="G43" s="23"/>
      <c r="H43" s="23"/>
      <c r="I43" s="159"/>
      <c r="J43" s="160"/>
      <c r="K43" s="160"/>
      <c r="L43" s="70"/>
    </row>
    <row r="44" spans="1:12" s="2" customFormat="1" x14ac:dyDescent="0.2">
      <c r="A44" s="89">
        <v>45342</v>
      </c>
      <c r="B44" s="128" t="s">
        <v>6</v>
      </c>
      <c r="C44" s="181" t="s">
        <v>757</v>
      </c>
      <c r="D44" s="11" t="s">
        <v>13</v>
      </c>
      <c r="E44" s="86">
        <v>252217.9</v>
      </c>
      <c r="G44" s="23"/>
      <c r="H44" s="23"/>
      <c r="I44" s="159"/>
      <c r="J44" s="160"/>
      <c r="K44" s="160"/>
      <c r="L44" s="70"/>
    </row>
    <row r="45" spans="1:12" s="2" customFormat="1" x14ac:dyDescent="0.2">
      <c r="A45" s="89">
        <v>45342</v>
      </c>
      <c r="B45" s="128" t="s">
        <v>6</v>
      </c>
      <c r="C45" s="181" t="s">
        <v>748</v>
      </c>
      <c r="D45" s="11" t="s">
        <v>13</v>
      </c>
      <c r="E45" s="86">
        <v>56002.2</v>
      </c>
      <c r="G45" s="23"/>
      <c r="H45" s="23"/>
      <c r="I45" s="159"/>
      <c r="J45" s="160"/>
      <c r="K45" s="160"/>
      <c r="L45" s="70"/>
    </row>
    <row r="46" spans="1:12" s="2" customFormat="1" x14ac:dyDescent="0.2">
      <c r="A46" s="89">
        <v>45342</v>
      </c>
      <c r="B46" s="128" t="s">
        <v>6</v>
      </c>
      <c r="C46" s="181" t="s">
        <v>174</v>
      </c>
      <c r="D46" s="11" t="s">
        <v>13</v>
      </c>
      <c r="E46" s="86">
        <v>531615</v>
      </c>
      <c r="G46" s="23"/>
      <c r="H46" s="23"/>
      <c r="I46" s="159"/>
      <c r="J46" s="160"/>
      <c r="K46" s="160"/>
      <c r="L46" s="70"/>
    </row>
    <row r="47" spans="1:12" s="2" customFormat="1" x14ac:dyDescent="0.2">
      <c r="A47" s="89">
        <v>45342</v>
      </c>
      <c r="B47" s="128" t="s">
        <v>11</v>
      </c>
      <c r="C47" s="181" t="s">
        <v>64</v>
      </c>
      <c r="D47" s="11" t="s">
        <v>29</v>
      </c>
      <c r="E47" s="86"/>
      <c r="F47" s="2">
        <v>2184.1799999999998</v>
      </c>
      <c r="G47" s="23"/>
      <c r="H47" s="23"/>
      <c r="I47" s="159"/>
      <c r="J47" s="160"/>
      <c r="K47" s="160"/>
      <c r="L47" s="70"/>
    </row>
    <row r="48" spans="1:12" s="2" customFormat="1" x14ac:dyDescent="0.2">
      <c r="A48" s="89">
        <v>45342</v>
      </c>
      <c r="B48" s="128" t="s">
        <v>11</v>
      </c>
      <c r="C48" s="181" t="s">
        <v>1403</v>
      </c>
      <c r="D48" s="11" t="s">
        <v>29</v>
      </c>
      <c r="E48" s="86"/>
      <c r="F48" s="2">
        <v>915533</v>
      </c>
      <c r="G48" s="23"/>
      <c r="H48" s="23"/>
      <c r="I48" s="159"/>
      <c r="J48" s="160"/>
      <c r="K48" s="160"/>
      <c r="L48" s="70"/>
    </row>
    <row r="49" spans="1:12" s="2" customFormat="1" x14ac:dyDescent="0.2">
      <c r="A49" s="89">
        <v>45342</v>
      </c>
      <c r="B49" s="128" t="s">
        <v>11</v>
      </c>
      <c r="C49" s="181" t="s">
        <v>110</v>
      </c>
      <c r="D49" s="11" t="s">
        <v>29</v>
      </c>
      <c r="E49" s="86"/>
      <c r="F49" s="2">
        <v>1009511.15</v>
      </c>
      <c r="G49" s="23"/>
      <c r="H49" s="23"/>
      <c r="I49" s="159"/>
      <c r="J49" s="160"/>
      <c r="K49" s="160"/>
      <c r="L49" s="70"/>
    </row>
    <row r="50" spans="1:12" s="2" customFormat="1" x14ac:dyDescent="0.2">
      <c r="A50" s="89">
        <v>45342</v>
      </c>
      <c r="B50" s="128" t="s">
        <v>11</v>
      </c>
      <c r="C50" s="181" t="s">
        <v>284</v>
      </c>
      <c r="D50" s="11" t="s">
        <v>29</v>
      </c>
      <c r="E50" s="86"/>
      <c r="F50" s="2">
        <v>604073</v>
      </c>
      <c r="G50" s="23"/>
      <c r="H50" s="23"/>
      <c r="I50" s="159"/>
      <c r="J50" s="160"/>
      <c r="K50" s="160"/>
      <c r="L50" s="70"/>
    </row>
    <row r="51" spans="1:12" s="2" customFormat="1" x14ac:dyDescent="0.2">
      <c r="A51" s="89">
        <v>45342</v>
      </c>
      <c r="B51" s="128" t="s">
        <v>11</v>
      </c>
      <c r="C51" s="181" t="s">
        <v>107</v>
      </c>
      <c r="D51" s="11" t="s">
        <v>29</v>
      </c>
      <c r="E51" s="86"/>
      <c r="F51" s="2">
        <v>225529.99</v>
      </c>
      <c r="G51" s="23"/>
      <c r="H51" s="23"/>
      <c r="I51" s="159"/>
      <c r="J51" s="160"/>
      <c r="K51" s="160"/>
      <c r="L51" s="70"/>
    </row>
    <row r="52" spans="1:12" s="2" customFormat="1" x14ac:dyDescent="0.2">
      <c r="A52" s="89">
        <v>45342</v>
      </c>
      <c r="B52" s="128" t="s">
        <v>11</v>
      </c>
      <c r="C52" s="181" t="s">
        <v>498</v>
      </c>
      <c r="D52" s="11" t="s">
        <v>29</v>
      </c>
      <c r="E52" s="86"/>
      <c r="F52" s="2">
        <v>321430.78000000003</v>
      </c>
      <c r="G52" s="23"/>
      <c r="H52" s="23"/>
      <c r="I52" s="159"/>
      <c r="J52" s="160"/>
      <c r="K52" s="160"/>
      <c r="L52" s="70"/>
    </row>
    <row r="53" spans="1:12" s="2" customFormat="1" x14ac:dyDescent="0.2">
      <c r="A53" s="89">
        <v>45342</v>
      </c>
      <c r="B53" s="128" t="s">
        <v>11</v>
      </c>
      <c r="C53" s="181" t="s">
        <v>285</v>
      </c>
      <c r="D53" s="11" t="s">
        <v>29</v>
      </c>
      <c r="E53" s="86"/>
      <c r="F53" s="2">
        <v>435650.48</v>
      </c>
      <c r="G53" s="23"/>
      <c r="H53" s="23"/>
      <c r="I53" s="159"/>
      <c r="J53" s="160"/>
      <c r="K53" s="160"/>
      <c r="L53" s="70"/>
    </row>
    <row r="54" spans="1:12" s="2" customFormat="1" x14ac:dyDescent="0.2">
      <c r="A54" s="89">
        <v>45342</v>
      </c>
      <c r="B54" s="128" t="s">
        <v>11</v>
      </c>
      <c r="C54" s="181" t="s">
        <v>1155</v>
      </c>
      <c r="D54" s="11" t="s">
        <v>29</v>
      </c>
      <c r="E54" s="86"/>
      <c r="F54" s="2">
        <v>75352356.549999997</v>
      </c>
      <c r="G54" s="23"/>
      <c r="H54" s="23"/>
      <c r="I54" s="159"/>
      <c r="J54" s="160"/>
      <c r="K54" s="160"/>
      <c r="L54" s="70"/>
    </row>
    <row r="55" spans="1:12" s="2" customFormat="1" x14ac:dyDescent="0.2">
      <c r="A55" s="89">
        <v>45342</v>
      </c>
      <c r="B55" s="128" t="s">
        <v>11</v>
      </c>
      <c r="C55" s="181" t="s">
        <v>1299</v>
      </c>
      <c r="D55" s="11" t="s">
        <v>29</v>
      </c>
      <c r="E55" s="86"/>
      <c r="F55" s="2">
        <v>320556</v>
      </c>
      <c r="G55" s="23"/>
      <c r="H55" s="23"/>
      <c r="I55" s="159"/>
      <c r="J55" s="160"/>
      <c r="K55" s="160"/>
      <c r="L55" s="70"/>
    </row>
    <row r="56" spans="1:12" s="2" customFormat="1" x14ac:dyDescent="0.2">
      <c r="A56" s="89">
        <v>45342</v>
      </c>
      <c r="B56" s="128" t="s">
        <v>11</v>
      </c>
      <c r="C56" s="181" t="s">
        <v>680</v>
      </c>
      <c r="D56" s="11" t="s">
        <v>29</v>
      </c>
      <c r="E56" s="86"/>
      <c r="F56" s="2">
        <v>91433</v>
      </c>
      <c r="G56" s="23"/>
      <c r="H56" s="23"/>
      <c r="I56" s="159"/>
      <c r="J56" s="160"/>
      <c r="K56" s="160"/>
      <c r="L56" s="70"/>
    </row>
    <row r="57" spans="1:12" s="2" customFormat="1" x14ac:dyDescent="0.2">
      <c r="A57" s="89">
        <v>45342</v>
      </c>
      <c r="B57" s="128" t="s">
        <v>11</v>
      </c>
      <c r="C57" s="181" t="s">
        <v>702</v>
      </c>
      <c r="D57" s="11" t="s">
        <v>29</v>
      </c>
      <c r="E57" s="86"/>
      <c r="F57" s="2">
        <v>100000</v>
      </c>
      <c r="G57" s="23"/>
      <c r="H57" s="23"/>
      <c r="I57" s="159"/>
      <c r="J57" s="160"/>
      <c r="K57" s="160"/>
      <c r="L57" s="70"/>
    </row>
    <row r="58" spans="1:12" s="2" customFormat="1" x14ac:dyDescent="0.2">
      <c r="A58" s="89">
        <v>45342</v>
      </c>
      <c r="B58" s="128" t="s">
        <v>11</v>
      </c>
      <c r="C58" s="181" t="s">
        <v>849</v>
      </c>
      <c r="D58" s="11" t="s">
        <v>29</v>
      </c>
      <c r="E58" s="86"/>
      <c r="F58" s="2">
        <v>773057</v>
      </c>
      <c r="G58" s="23"/>
      <c r="H58" s="23"/>
      <c r="I58" s="159"/>
      <c r="J58" s="160"/>
      <c r="K58" s="160"/>
      <c r="L58" s="70"/>
    </row>
    <row r="59" spans="1:12" s="2" customFormat="1" x14ac:dyDescent="0.2">
      <c r="A59" s="89">
        <v>45342</v>
      </c>
      <c r="B59" s="128" t="s">
        <v>11</v>
      </c>
      <c r="C59" s="181" t="s">
        <v>2021</v>
      </c>
      <c r="D59" s="11" t="s">
        <v>29</v>
      </c>
      <c r="E59" s="86"/>
      <c r="F59" s="2">
        <v>208734</v>
      </c>
      <c r="G59" s="23"/>
      <c r="H59" s="23"/>
      <c r="I59" s="159"/>
      <c r="J59" s="160"/>
      <c r="K59" s="160"/>
      <c r="L59" s="70"/>
    </row>
    <row r="60" spans="1:12" s="2" customFormat="1" x14ac:dyDescent="0.2">
      <c r="A60" s="89">
        <v>45342</v>
      </c>
      <c r="B60" s="128" t="s">
        <v>11</v>
      </c>
      <c r="C60" s="181" t="s">
        <v>2098</v>
      </c>
      <c r="D60" s="11" t="s">
        <v>29</v>
      </c>
      <c r="E60" s="86"/>
      <c r="F60" s="2">
        <v>237048.2</v>
      </c>
      <c r="G60" s="23"/>
      <c r="H60" s="23"/>
      <c r="I60" s="159"/>
      <c r="J60" s="160"/>
      <c r="K60" s="160"/>
      <c r="L60" s="70"/>
    </row>
    <row r="61" spans="1:12" s="2" customFormat="1" x14ac:dyDescent="0.2">
      <c r="A61" s="89">
        <v>45342</v>
      </c>
      <c r="B61" s="128" t="s">
        <v>11</v>
      </c>
      <c r="C61" s="181" t="s">
        <v>616</v>
      </c>
      <c r="D61" s="11" t="s">
        <v>29</v>
      </c>
      <c r="E61" s="86"/>
      <c r="F61" s="2">
        <v>132753</v>
      </c>
      <c r="G61" s="23"/>
      <c r="H61" s="23"/>
      <c r="I61" s="159"/>
      <c r="J61" s="160"/>
      <c r="K61" s="160"/>
      <c r="L61" s="70"/>
    </row>
    <row r="62" spans="1:12" s="2" customFormat="1" x14ac:dyDescent="0.2">
      <c r="A62" s="89">
        <v>45342</v>
      </c>
      <c r="B62" s="128" t="s">
        <v>11</v>
      </c>
      <c r="C62" s="181" t="s">
        <v>745</v>
      </c>
      <c r="D62" s="11" t="s">
        <v>29</v>
      </c>
      <c r="E62" s="86"/>
      <c r="F62" s="2">
        <v>1413951</v>
      </c>
      <c r="G62" s="23"/>
      <c r="H62" s="23"/>
      <c r="I62" s="159"/>
      <c r="J62" s="160"/>
      <c r="K62" s="160"/>
      <c r="L62" s="70"/>
    </row>
    <row r="63" spans="1:12" s="2" customFormat="1" x14ac:dyDescent="0.2">
      <c r="A63" s="89">
        <v>45342</v>
      </c>
      <c r="B63" s="128" t="s">
        <v>11</v>
      </c>
      <c r="C63" s="181" t="s">
        <v>289</v>
      </c>
      <c r="D63" s="11" t="s">
        <v>29</v>
      </c>
      <c r="E63" s="86"/>
      <c r="F63" s="2">
        <v>50000</v>
      </c>
      <c r="G63" s="23"/>
      <c r="H63" s="23"/>
      <c r="I63" s="159"/>
      <c r="J63" s="160"/>
      <c r="K63" s="160"/>
      <c r="L63" s="70"/>
    </row>
    <row r="64" spans="1:12" s="2" customFormat="1" x14ac:dyDescent="0.2">
      <c r="A64" s="89">
        <v>45342</v>
      </c>
      <c r="B64" s="128" t="s">
        <v>11</v>
      </c>
      <c r="C64" s="181" t="s">
        <v>417</v>
      </c>
      <c r="D64" s="11" t="s">
        <v>29</v>
      </c>
      <c r="E64" s="86"/>
      <c r="F64" s="2">
        <v>1000000</v>
      </c>
      <c r="G64" s="23"/>
      <c r="H64" s="23"/>
      <c r="I64" s="159"/>
      <c r="J64" s="160"/>
      <c r="K64" s="160"/>
      <c r="L64" s="70"/>
    </row>
    <row r="65" spans="1:16" s="2" customFormat="1" x14ac:dyDescent="0.2">
      <c r="A65" s="89">
        <v>45342</v>
      </c>
      <c r="B65" s="128" t="s">
        <v>11</v>
      </c>
      <c r="C65" s="181" t="s">
        <v>337</v>
      </c>
      <c r="D65" s="11" t="s">
        <v>29</v>
      </c>
      <c r="E65" s="86"/>
      <c r="F65" s="2">
        <v>135000</v>
      </c>
      <c r="G65" s="23"/>
      <c r="H65" s="23"/>
      <c r="I65" s="159"/>
      <c r="J65" s="160"/>
      <c r="K65" s="160"/>
      <c r="L65" s="70" t="s">
        <v>329</v>
      </c>
    </row>
    <row r="66" spans="1:16" s="70" customFormat="1" x14ac:dyDescent="0.2">
      <c r="A66" s="32"/>
      <c r="B66" s="33"/>
      <c r="C66" s="14"/>
      <c r="D66" s="34"/>
      <c r="E66" s="16">
        <f>SUM(E38:E65)</f>
        <v>6981342.6200000001</v>
      </c>
      <c r="F66" s="16">
        <f>SUM(F38:F65)</f>
        <v>171264265.6699999</v>
      </c>
      <c r="G66" s="1"/>
      <c r="H66" s="1"/>
      <c r="I66" s="1"/>
      <c r="J66" s="38">
        <v>163325218.05000001</v>
      </c>
      <c r="K66" s="2"/>
      <c r="L66" s="92">
        <f>E67-J66</f>
        <v>957704.99999988079</v>
      </c>
      <c r="M66" s="2"/>
      <c r="N66" s="2"/>
      <c r="O66" s="2"/>
      <c r="P66" s="2"/>
    </row>
    <row r="67" spans="1:16" s="70" customFormat="1" x14ac:dyDescent="0.2">
      <c r="A67" s="36"/>
      <c r="B67" s="28" t="s">
        <v>11</v>
      </c>
      <c r="C67" s="19" t="s">
        <v>65</v>
      </c>
      <c r="D67" s="37"/>
      <c r="E67" s="38">
        <f>F66-E66</f>
        <v>164282923.04999989</v>
      </c>
      <c r="F67" s="22"/>
      <c r="G67" s="1"/>
      <c r="H67" s="1"/>
      <c r="I67" s="1"/>
      <c r="M67" s="2"/>
      <c r="N67" s="2"/>
      <c r="O67" s="1"/>
      <c r="P67" s="2"/>
    </row>
    <row r="68" spans="1:16" s="70" customFormat="1" x14ac:dyDescent="0.2">
      <c r="A68" s="36"/>
      <c r="B68" s="28" t="s">
        <v>66</v>
      </c>
      <c r="C68" s="19" t="s">
        <v>67</v>
      </c>
      <c r="D68" s="37"/>
      <c r="E68" s="38">
        <v>11500000</v>
      </c>
      <c r="F68" s="22"/>
      <c r="G68" s="1"/>
      <c r="H68" s="1"/>
      <c r="M68" s="2"/>
      <c r="N68" s="2"/>
      <c r="O68" s="1"/>
      <c r="P68" s="2"/>
    </row>
    <row r="69" spans="1:16" s="70" customFormat="1" x14ac:dyDescent="0.2">
      <c r="A69" s="36"/>
      <c r="B69" s="28" t="s">
        <v>66</v>
      </c>
      <c r="C69" s="43" t="s">
        <v>1457</v>
      </c>
      <c r="D69" s="43"/>
      <c r="E69" s="12">
        <f>400000000-75000000</f>
        <v>325000000</v>
      </c>
      <c r="F69" s="22"/>
      <c r="G69" s="1"/>
      <c r="H69" s="1"/>
      <c r="J69" s="45">
        <v>1830.04</v>
      </c>
      <c r="K69" s="46"/>
      <c r="L69" s="46"/>
      <c r="M69" s="2"/>
      <c r="N69" s="2"/>
      <c r="O69" s="1"/>
      <c r="P69" s="2"/>
    </row>
    <row r="70" spans="1:16" s="70" customFormat="1" ht="15" x14ac:dyDescent="0.25">
      <c r="A70" s="36"/>
      <c r="B70" s="28"/>
      <c r="C70" s="44" t="s">
        <v>1541</v>
      </c>
      <c r="D70" s="43"/>
      <c r="E70" s="7">
        <f>+E69+E67+E68</f>
        <v>500782923.04999989</v>
      </c>
      <c r="F70" s="22"/>
      <c r="G70" s="1"/>
      <c r="H70" s="1"/>
      <c r="I70" s="103" t="s">
        <v>69</v>
      </c>
      <c r="J70" s="45">
        <v>-74.14</v>
      </c>
      <c r="K70" s="46"/>
      <c r="L70" s="46"/>
      <c r="M70" s="2"/>
      <c r="N70" s="2"/>
      <c r="O70" s="1"/>
      <c r="P70" s="2"/>
    </row>
    <row r="71" spans="1:16" s="70" customFormat="1" ht="15" x14ac:dyDescent="0.25">
      <c r="A71" s="24"/>
      <c r="B71" s="1"/>
      <c r="C71" s="44" t="s">
        <v>1510</v>
      </c>
      <c r="D71" s="25"/>
      <c r="E71" s="156">
        <f>+J37-E68+I33-J33</f>
        <v>174782.35000000009</v>
      </c>
      <c r="F71" s="2"/>
      <c r="G71" s="1"/>
      <c r="H71" s="1"/>
      <c r="I71" s="35">
        <v>1</v>
      </c>
      <c r="J71" s="45">
        <f>60.07-38</f>
        <v>22.07</v>
      </c>
      <c r="K71" s="46">
        <f>+J72-D74</f>
        <v>0</v>
      </c>
      <c r="L71" s="2"/>
      <c r="M71" s="2"/>
      <c r="N71" s="2"/>
      <c r="O71" s="1"/>
      <c r="P71" s="2"/>
    </row>
    <row r="72" spans="1:16" s="70" customFormat="1" ht="12.75" customHeight="1" x14ac:dyDescent="0.2">
      <c r="A72" s="24"/>
      <c r="B72" s="1"/>
      <c r="C72" s="56"/>
      <c r="D72" s="56"/>
      <c r="E72" s="104"/>
      <c r="F72" s="2"/>
      <c r="G72" s="166"/>
      <c r="H72" s="166"/>
      <c r="J72" s="49">
        <f>SUM(J69:J71)</f>
        <v>1777.9699999999998</v>
      </c>
      <c r="K72" s="46"/>
      <c r="L72" s="46"/>
      <c r="M72" s="124"/>
      <c r="N72" s="124"/>
      <c r="O72" s="1"/>
      <c r="P72" s="2"/>
    </row>
    <row r="73" spans="1:16" s="70" customFormat="1" ht="12.75" customHeight="1" x14ac:dyDescent="0.2">
      <c r="A73" s="24"/>
      <c r="B73" s="1"/>
      <c r="C73" s="78" t="s">
        <v>575</v>
      </c>
      <c r="D73" s="48" t="s">
        <v>576</v>
      </c>
      <c r="E73" s="104"/>
      <c r="F73" s="2"/>
      <c r="G73" s="168"/>
      <c r="H73" s="168"/>
      <c r="I73" s="167"/>
      <c r="J73" s="167"/>
      <c r="K73" s="168"/>
      <c r="L73" s="124"/>
      <c r="M73" s="124"/>
      <c r="N73" s="124"/>
      <c r="O73" s="124"/>
      <c r="P73" s="2"/>
    </row>
    <row r="74" spans="1:16" s="70" customFormat="1" ht="12.75" customHeight="1" x14ac:dyDescent="0.2">
      <c r="A74" s="24"/>
      <c r="B74" s="1"/>
      <c r="C74" s="47" t="s">
        <v>570</v>
      </c>
      <c r="D74" s="111">
        <v>1777.97</v>
      </c>
      <c r="E74" s="104"/>
      <c r="F74" s="2"/>
      <c r="G74" s="168"/>
      <c r="H74" s="168"/>
      <c r="I74" s="110" t="s">
        <v>581</v>
      </c>
      <c r="J74" s="167"/>
      <c r="K74" s="168"/>
      <c r="L74" s="124"/>
      <c r="M74" s="124"/>
      <c r="N74" s="124"/>
      <c r="O74" s="124"/>
      <c r="P74" s="124"/>
    </row>
    <row r="75" spans="1:16" s="70" customFormat="1" ht="12.75" customHeight="1" x14ac:dyDescent="0.2">
      <c r="A75" s="24"/>
      <c r="B75" s="1"/>
      <c r="C75" s="47" t="s">
        <v>931</v>
      </c>
      <c r="D75" s="111">
        <v>115.45</v>
      </c>
      <c r="E75" s="104"/>
      <c r="F75" s="2"/>
      <c r="G75" s="168"/>
      <c r="H75" s="168"/>
      <c r="I75" s="110" t="s">
        <v>580</v>
      </c>
      <c r="J75" s="167"/>
      <c r="K75" s="168"/>
      <c r="L75" s="124"/>
      <c r="M75" s="124"/>
      <c r="N75" s="124"/>
      <c r="O75" s="124"/>
      <c r="P75" s="124"/>
    </row>
    <row r="76" spans="1:16" s="70" customFormat="1" ht="12.75" customHeight="1" x14ac:dyDescent="0.2">
      <c r="A76" s="24"/>
      <c r="B76" s="1"/>
      <c r="C76" s="47" t="s">
        <v>572</v>
      </c>
      <c r="D76" s="111">
        <f>+D107/100000</f>
        <v>170.99632</v>
      </c>
      <c r="E76" s="104"/>
      <c r="F76" s="2"/>
      <c r="G76" s="166"/>
      <c r="H76" s="166"/>
      <c r="I76" s="90" t="s">
        <v>587</v>
      </c>
      <c r="J76" s="167"/>
      <c r="K76" s="168"/>
      <c r="L76" s="124"/>
      <c r="M76" s="124"/>
      <c r="N76" s="124"/>
      <c r="O76" s="124"/>
      <c r="P76" s="124"/>
    </row>
    <row r="77" spans="1:16" s="70" customFormat="1" ht="12.75" customHeight="1" x14ac:dyDescent="0.2">
      <c r="A77" s="24"/>
      <c r="B77" s="1"/>
      <c r="C77" s="108" t="s">
        <v>578</v>
      </c>
      <c r="D77" s="48">
        <f>SUM(D74:D76)</f>
        <v>2064.4163200000003</v>
      </c>
      <c r="E77" s="104"/>
      <c r="F77" s="2"/>
      <c r="G77" s="30"/>
      <c r="H77" s="30"/>
      <c r="I77" s="2"/>
      <c r="J77" s="13"/>
      <c r="K77" s="13"/>
      <c r="L77" s="2"/>
      <c r="M77" s="2"/>
      <c r="N77" s="2"/>
      <c r="O77" s="124"/>
      <c r="P77" s="124"/>
    </row>
    <row r="78" spans="1:16" s="70" customFormat="1" ht="12.75" customHeight="1" x14ac:dyDescent="0.2">
      <c r="A78" s="24"/>
      <c r="B78" s="1"/>
      <c r="C78" s="47"/>
      <c r="D78" s="107"/>
      <c r="E78" s="104"/>
      <c r="F78" s="2"/>
      <c r="G78" s="30"/>
      <c r="H78" s="30"/>
      <c r="I78" s="2"/>
      <c r="O78" s="2"/>
      <c r="P78" s="124"/>
    </row>
    <row r="79" spans="1:16" s="70" customFormat="1" ht="12.75" customHeight="1" x14ac:dyDescent="0.2">
      <c r="A79" s="24"/>
      <c r="B79" s="1"/>
      <c r="C79" s="47" t="s">
        <v>932</v>
      </c>
      <c r="D79" s="111">
        <v>111.36</v>
      </c>
      <c r="E79" s="104"/>
      <c r="F79" s="2"/>
      <c r="G79" s="30"/>
      <c r="H79" s="30"/>
      <c r="I79" s="110" t="s">
        <v>581</v>
      </c>
      <c r="P79" s="2"/>
    </row>
    <row r="80" spans="1:16" s="70" customFormat="1" ht="12.75" customHeight="1" x14ac:dyDescent="0.2">
      <c r="A80" s="24"/>
      <c r="B80" s="1"/>
      <c r="C80" s="136" t="s">
        <v>1142</v>
      </c>
      <c r="D80" s="111">
        <v>384.97</v>
      </c>
      <c r="E80" s="104"/>
      <c r="F80" s="2"/>
      <c r="G80" s="30"/>
      <c r="H80" s="30"/>
      <c r="I80" s="110" t="s">
        <v>581</v>
      </c>
    </row>
    <row r="81" spans="1:19" s="70" customFormat="1" ht="12.75" customHeight="1" x14ac:dyDescent="0.2">
      <c r="A81" s="24"/>
      <c r="B81" s="1"/>
      <c r="C81" s="78" t="s">
        <v>579</v>
      </c>
      <c r="D81" s="109">
        <f>D79+D80</f>
        <v>496.33000000000004</v>
      </c>
      <c r="E81" s="104"/>
      <c r="F81" s="2"/>
      <c r="G81" s="30"/>
      <c r="H81" s="30"/>
      <c r="Q81" s="2"/>
      <c r="R81" s="2"/>
      <c r="S81" s="2"/>
    </row>
    <row r="82" spans="1:19" s="2" customFormat="1" x14ac:dyDescent="0.2">
      <c r="A82" s="24"/>
      <c r="B82" s="1"/>
      <c r="C82" s="105"/>
      <c r="D82" s="106"/>
      <c r="E82" s="104"/>
      <c r="G82" s="30"/>
      <c r="H82" s="30"/>
      <c r="I82" s="70"/>
      <c r="K82" s="221" t="str">
        <f>"FROM ( 01-02-2024 to "&amp;TEXT(A5,"dd-mm-yyyy")&amp;" )"</f>
        <v>FROM ( 01-02-2024 to 20-02-2024 )</v>
      </c>
      <c r="L82" s="221"/>
      <c r="O82" s="70"/>
      <c r="P82" s="70"/>
    </row>
    <row r="83" spans="1:19" s="2" customFormat="1" x14ac:dyDescent="0.2">
      <c r="A83" s="24"/>
      <c r="B83" s="1"/>
      <c r="C83" s="78" t="s">
        <v>577</v>
      </c>
      <c r="D83" s="109">
        <f>D74+D81</f>
        <v>2274.3000000000002</v>
      </c>
      <c r="E83" s="104"/>
      <c r="G83" s="30"/>
      <c r="H83" s="30"/>
      <c r="I83" s="70"/>
      <c r="J83" s="113"/>
      <c r="K83" s="113" t="s">
        <v>709</v>
      </c>
      <c r="L83" s="113" t="s">
        <v>710</v>
      </c>
      <c r="M83" s="113" t="s">
        <v>711</v>
      </c>
      <c r="N83" s="113" t="s">
        <v>712</v>
      </c>
      <c r="O83" s="70"/>
      <c r="P83" s="70"/>
    </row>
    <row r="84" spans="1:19" s="2" customFormat="1" x14ac:dyDescent="0.2">
      <c r="A84" s="24"/>
      <c r="B84" s="1"/>
      <c r="C84" s="56"/>
      <c r="D84" s="56"/>
      <c r="E84" s="104"/>
      <c r="G84" s="30"/>
      <c r="H84" s="30"/>
      <c r="I84" s="70"/>
      <c r="J84" s="113" t="s">
        <v>1860</v>
      </c>
      <c r="K84" s="115">
        <v>191.98999999999998</v>
      </c>
      <c r="L84" s="115">
        <v>0</v>
      </c>
      <c r="M84" s="115">
        <v>0</v>
      </c>
      <c r="N84" s="113">
        <f>+K84+M84-L84</f>
        <v>191.98999999999998</v>
      </c>
      <c r="O84" s="70"/>
      <c r="P84" s="70"/>
    </row>
    <row r="85" spans="1:19" s="2" customFormat="1" ht="38.25" x14ac:dyDescent="0.2">
      <c r="A85" s="24"/>
      <c r="B85" s="1"/>
      <c r="C85" s="79" t="str">
        <f>"Particulars ( 01-02-2024 to "&amp;TEXT(A5,"dd-mm-yyyy")&amp;" )"</f>
        <v>Particulars ( 01-02-2024 to 20-02-2024 )</v>
      </c>
      <c r="D85" s="79" t="s">
        <v>7</v>
      </c>
      <c r="E85" s="80" t="s">
        <v>73</v>
      </c>
      <c r="F85" s="80" t="s">
        <v>74</v>
      </c>
      <c r="G85" s="81" t="s">
        <v>75</v>
      </c>
      <c r="H85" s="80" t="s">
        <v>76</v>
      </c>
      <c r="I85" s="70"/>
      <c r="J85" s="113" t="s">
        <v>1861</v>
      </c>
      <c r="K85" s="115">
        <v>1862.06</v>
      </c>
      <c r="L85" s="115">
        <v>171</v>
      </c>
      <c r="M85" s="115">
        <v>384.97</v>
      </c>
      <c r="N85" s="113">
        <f>+K85+M85-L85</f>
        <v>2076.0299999999997</v>
      </c>
      <c r="O85" s="70"/>
      <c r="P85" s="70"/>
    </row>
    <row r="86" spans="1:19" s="2" customFormat="1" x14ac:dyDescent="0.2">
      <c r="A86" s="24"/>
      <c r="B86" s="1"/>
      <c r="C86" s="50" t="s">
        <v>444</v>
      </c>
      <c r="D86" s="55">
        <f>+K86</f>
        <v>332.44</v>
      </c>
      <c r="E86" s="55">
        <f>+IF(M86=0,0,M86)</f>
        <v>111.36</v>
      </c>
      <c r="F86" s="55">
        <f>+L86</f>
        <v>115.45</v>
      </c>
      <c r="G86" s="55">
        <f>+D86+E86-F86</f>
        <v>328.35</v>
      </c>
      <c r="H86" s="55">
        <f>1500-G86</f>
        <v>1171.6500000000001</v>
      </c>
      <c r="I86" s="70">
        <f>+IF(M86=0,0,M86)</f>
        <v>111.36</v>
      </c>
      <c r="J86" s="113" t="s">
        <v>707</v>
      </c>
      <c r="K86" s="115">
        <v>332.44</v>
      </c>
      <c r="L86" s="115">
        <v>115.45</v>
      </c>
      <c r="M86" s="115">
        <v>111.36</v>
      </c>
      <c r="N86" s="113">
        <f>+K86+M86-L86</f>
        <v>328.35</v>
      </c>
      <c r="O86" s="70"/>
      <c r="P86" s="70"/>
    </row>
    <row r="87" spans="1:19" s="2" customFormat="1" x14ac:dyDescent="0.2">
      <c r="A87" s="24"/>
      <c r="B87" s="1"/>
      <c r="C87" s="50" t="s">
        <v>71</v>
      </c>
      <c r="D87" s="55">
        <f>+K84+K85</f>
        <v>2054.0499999999997</v>
      </c>
      <c r="E87" s="55">
        <f>+M84+M85</f>
        <v>384.97</v>
      </c>
      <c r="F87" s="55">
        <f>+L84+L85</f>
        <v>171</v>
      </c>
      <c r="G87" s="55">
        <f>+D87+E87-F87</f>
        <v>2268.0199999999995</v>
      </c>
      <c r="H87" s="55">
        <f>1500+700+200-G87</f>
        <v>131.98000000000047</v>
      </c>
      <c r="I87" s="70"/>
      <c r="K87" s="118">
        <f>SUM(K84:K86)</f>
        <v>2386.4899999999998</v>
      </c>
      <c r="L87" s="118">
        <f>SUM(L84:L86)</f>
        <v>286.45</v>
      </c>
      <c r="M87" s="118">
        <f>SUM(M84:M86)</f>
        <v>496.33000000000004</v>
      </c>
      <c r="N87" s="118">
        <f>SUM(N84:N86)</f>
        <v>2596.3699999999994</v>
      </c>
      <c r="O87" s="70"/>
      <c r="P87" s="70"/>
    </row>
    <row r="88" spans="1:19" s="2" customFormat="1" x14ac:dyDescent="0.2">
      <c r="A88" s="24"/>
      <c r="B88" s="1"/>
      <c r="C88" s="14"/>
      <c r="D88" s="56"/>
      <c r="E88" s="13"/>
      <c r="G88" s="30"/>
      <c r="H88" s="30"/>
      <c r="I88" s="70"/>
      <c r="J88" s="70"/>
      <c r="K88" s="70"/>
      <c r="L88" s="70"/>
      <c r="M88" s="70"/>
      <c r="N88" s="70"/>
      <c r="O88" s="70"/>
      <c r="P88" s="70"/>
    </row>
    <row r="89" spans="1:19" s="2" customFormat="1" x14ac:dyDescent="0.2">
      <c r="A89" s="215" t="s">
        <v>80</v>
      </c>
      <c r="B89" s="216"/>
      <c r="C89" s="216"/>
      <c r="D89" s="217"/>
      <c r="E89" s="69"/>
      <c r="F89" s="70"/>
      <c r="G89" s="30"/>
      <c r="H89" s="30"/>
      <c r="I89" s="70"/>
      <c r="J89" s="70"/>
      <c r="K89" s="70"/>
      <c r="L89" s="70"/>
      <c r="M89" s="70"/>
      <c r="N89" s="70"/>
      <c r="O89" s="70"/>
      <c r="P89" s="70"/>
    </row>
    <row r="90" spans="1:19" s="2" customFormat="1" x14ac:dyDescent="0.2">
      <c r="A90" s="71" t="s">
        <v>81</v>
      </c>
      <c r="B90" s="71"/>
      <c r="C90" s="72" t="s">
        <v>82</v>
      </c>
      <c r="D90" s="73" t="s">
        <v>83</v>
      </c>
      <c r="E90" s="69"/>
      <c r="F90" s="70"/>
      <c r="G90" s="30"/>
      <c r="H90" s="30"/>
      <c r="I90" s="70"/>
      <c r="J90" s="70"/>
      <c r="K90" s="70"/>
      <c r="L90" s="70"/>
      <c r="M90" s="70"/>
      <c r="N90" s="70"/>
      <c r="O90" s="70"/>
      <c r="P90" s="70"/>
    </row>
    <row r="91" spans="1:19" s="2" customFormat="1" x14ac:dyDescent="0.2">
      <c r="A91" s="87">
        <v>45323</v>
      </c>
      <c r="B91" s="120" t="s">
        <v>6</v>
      </c>
      <c r="C91" s="75" t="s">
        <v>2030</v>
      </c>
      <c r="D91" s="88">
        <v>881220</v>
      </c>
      <c r="G91" s="30"/>
      <c r="H91" s="30"/>
      <c r="M91" s="41"/>
      <c r="N91" s="42"/>
      <c r="O91" s="70"/>
      <c r="P91" s="70"/>
    </row>
    <row r="92" spans="1:19" s="2" customFormat="1" x14ac:dyDescent="0.2">
      <c r="A92" s="87">
        <v>45324</v>
      </c>
      <c r="B92" s="120" t="s">
        <v>6</v>
      </c>
      <c r="C92" s="75" t="s">
        <v>1934</v>
      </c>
      <c r="D92" s="88">
        <v>47729</v>
      </c>
      <c r="G92" s="30"/>
      <c r="H92" s="30"/>
      <c r="M92" s="41"/>
      <c r="N92" s="42"/>
      <c r="P92" s="70"/>
    </row>
    <row r="93" spans="1:19" s="2" customFormat="1" x14ac:dyDescent="0.2">
      <c r="A93" s="87">
        <v>45328</v>
      </c>
      <c r="B93" s="120" t="s">
        <v>6</v>
      </c>
      <c r="C93" s="75" t="s">
        <v>606</v>
      </c>
      <c r="D93" s="88">
        <v>1312580</v>
      </c>
      <c r="G93" s="30"/>
      <c r="H93" s="30"/>
      <c r="M93" s="41"/>
      <c r="N93" s="42"/>
      <c r="P93" s="70"/>
    </row>
    <row r="94" spans="1:19" s="2" customFormat="1" x14ac:dyDescent="0.2">
      <c r="A94" s="87">
        <v>45327</v>
      </c>
      <c r="B94" s="120" t="s">
        <v>6</v>
      </c>
      <c r="C94" s="75" t="s">
        <v>606</v>
      </c>
      <c r="D94" s="88">
        <v>56647</v>
      </c>
      <c r="G94" s="30"/>
      <c r="H94" s="30"/>
      <c r="M94" s="41"/>
      <c r="N94" s="42"/>
      <c r="P94" s="70"/>
    </row>
    <row r="95" spans="1:19" s="2" customFormat="1" x14ac:dyDescent="0.2">
      <c r="A95" s="87">
        <v>45329</v>
      </c>
      <c r="B95" s="120" t="s">
        <v>6</v>
      </c>
      <c r="C95" s="75" t="s">
        <v>2030</v>
      </c>
      <c r="D95" s="88">
        <v>548859</v>
      </c>
      <c r="G95" s="30"/>
      <c r="H95" s="30"/>
      <c r="M95" s="41"/>
      <c r="N95" s="42"/>
      <c r="P95" s="70"/>
    </row>
    <row r="96" spans="1:19" s="2" customFormat="1" x14ac:dyDescent="0.2">
      <c r="A96" s="87">
        <v>45332</v>
      </c>
      <c r="B96" s="120" t="s">
        <v>6</v>
      </c>
      <c r="C96" s="75" t="s">
        <v>1084</v>
      </c>
      <c r="D96" s="88">
        <v>1603904</v>
      </c>
      <c r="G96" s="30"/>
      <c r="H96" s="30"/>
      <c r="M96" s="41"/>
      <c r="N96" s="42"/>
      <c r="P96" s="70"/>
    </row>
    <row r="97" spans="1:16" s="2" customFormat="1" x14ac:dyDescent="0.2">
      <c r="A97" s="87">
        <v>45334</v>
      </c>
      <c r="B97" s="120" t="s">
        <v>6</v>
      </c>
      <c r="C97" s="75" t="s">
        <v>1934</v>
      </c>
      <c r="D97" s="88">
        <v>126143</v>
      </c>
      <c r="G97" s="30"/>
      <c r="H97" s="30"/>
      <c r="M97" s="41"/>
      <c r="N97" s="42"/>
      <c r="P97" s="70"/>
    </row>
    <row r="98" spans="1:16" s="2" customFormat="1" x14ac:dyDescent="0.2">
      <c r="A98" s="87">
        <v>45334</v>
      </c>
      <c r="B98" s="120" t="s">
        <v>6</v>
      </c>
      <c r="C98" s="75" t="s">
        <v>2092</v>
      </c>
      <c r="D98" s="88">
        <v>231107</v>
      </c>
      <c r="G98" s="30"/>
      <c r="H98" s="30"/>
      <c r="M98" s="41"/>
      <c r="N98" s="42"/>
      <c r="P98" s="70"/>
    </row>
    <row r="99" spans="1:16" s="2" customFormat="1" x14ac:dyDescent="0.2">
      <c r="A99" s="87">
        <v>45335</v>
      </c>
      <c r="B99" s="120" t="s">
        <v>6</v>
      </c>
      <c r="C99" s="75" t="s">
        <v>271</v>
      </c>
      <c r="D99" s="88">
        <v>9126</v>
      </c>
      <c r="G99" s="30"/>
      <c r="H99" s="30"/>
      <c r="P99" s="70"/>
    </row>
    <row r="100" spans="1:16" s="2" customFormat="1" x14ac:dyDescent="0.2">
      <c r="A100" s="87">
        <v>45337</v>
      </c>
      <c r="B100" s="120" t="s">
        <v>6</v>
      </c>
      <c r="C100" s="75" t="s">
        <v>1806</v>
      </c>
      <c r="D100" s="88">
        <v>78251</v>
      </c>
      <c r="G100" s="30"/>
      <c r="H100" s="30"/>
      <c r="P100" s="70"/>
    </row>
    <row r="101" spans="1:16" s="2" customFormat="1" x14ac:dyDescent="0.2">
      <c r="A101" s="87">
        <v>45337</v>
      </c>
      <c r="B101" s="120" t="s">
        <v>6</v>
      </c>
      <c r="C101" s="75" t="s">
        <v>271</v>
      </c>
      <c r="D101" s="88">
        <v>17527</v>
      </c>
      <c r="F101" s="2" t="s">
        <v>396</v>
      </c>
      <c r="G101" s="30"/>
      <c r="H101" s="30"/>
      <c r="P101" s="70"/>
    </row>
    <row r="102" spans="1:16" s="2" customFormat="1" x14ac:dyDescent="0.2">
      <c r="A102" s="87">
        <v>45338</v>
      </c>
      <c r="B102" s="120" t="s">
        <v>6</v>
      </c>
      <c r="C102" s="75" t="s">
        <v>1806</v>
      </c>
      <c r="D102" s="88">
        <v>1418915</v>
      </c>
      <c r="G102" s="30"/>
      <c r="H102" s="30"/>
      <c r="P102" s="70"/>
    </row>
    <row r="103" spans="1:16" s="2" customFormat="1" x14ac:dyDescent="0.2">
      <c r="A103" s="87">
        <v>45338</v>
      </c>
      <c r="B103" s="120" t="s">
        <v>6</v>
      </c>
      <c r="C103" s="75" t="s">
        <v>606</v>
      </c>
      <c r="D103" s="88">
        <v>3685988</v>
      </c>
      <c r="F103" s="2" t="s">
        <v>396</v>
      </c>
      <c r="G103" s="30"/>
      <c r="H103" s="30"/>
      <c r="P103" s="70"/>
    </row>
    <row r="104" spans="1:16" s="2" customFormat="1" x14ac:dyDescent="0.2">
      <c r="A104" s="87">
        <v>45339</v>
      </c>
      <c r="B104" s="120" t="s">
        <v>6</v>
      </c>
      <c r="C104" s="75" t="s">
        <v>271</v>
      </c>
      <c r="D104" s="88">
        <v>423618</v>
      </c>
      <c r="G104" s="30"/>
      <c r="H104" s="30"/>
      <c r="P104" s="70"/>
    </row>
    <row r="105" spans="1:16" s="2" customFormat="1" x14ac:dyDescent="0.2">
      <c r="A105" s="87">
        <v>45341</v>
      </c>
      <c r="B105" s="120" t="s">
        <v>6</v>
      </c>
      <c r="C105" s="75" t="s">
        <v>271</v>
      </c>
      <c r="D105" s="88">
        <v>121500</v>
      </c>
      <c r="G105" s="30"/>
      <c r="H105" s="30"/>
      <c r="P105" s="70"/>
    </row>
    <row r="106" spans="1:16" s="2" customFormat="1" x14ac:dyDescent="0.2">
      <c r="A106" s="87">
        <v>45342</v>
      </c>
      <c r="B106" s="120" t="s">
        <v>6</v>
      </c>
      <c r="C106" s="75" t="s">
        <v>1806</v>
      </c>
      <c r="D106" s="88">
        <v>6536518</v>
      </c>
      <c r="G106" s="30"/>
      <c r="H106" s="30"/>
      <c r="P106" s="70"/>
    </row>
    <row r="107" spans="1:16" s="2" customFormat="1" x14ac:dyDescent="0.2">
      <c r="A107" s="87"/>
      <c r="B107" s="74"/>
      <c r="C107" s="75"/>
      <c r="D107" s="51">
        <f>SUM(D91:D106)</f>
        <v>17099632</v>
      </c>
      <c r="F107" s="2" t="s">
        <v>396</v>
      </c>
      <c r="G107" s="1"/>
      <c r="H107" s="1"/>
      <c r="P107" s="70"/>
    </row>
    <row r="108" spans="1:16" s="2" customFormat="1" x14ac:dyDescent="0.2">
      <c r="A108" s="24"/>
      <c r="B108" s="1"/>
      <c r="C108" s="14"/>
      <c r="D108" s="56"/>
      <c r="E108" s="13"/>
      <c r="G108" s="1"/>
      <c r="H108" s="1"/>
      <c r="I108" s="2" t="s">
        <v>396</v>
      </c>
    </row>
    <row r="109" spans="1:16" s="2" customFormat="1" x14ac:dyDescent="0.2">
      <c r="A109" s="24"/>
      <c r="B109" s="1"/>
      <c r="C109" s="218" t="s">
        <v>77</v>
      </c>
      <c r="D109" s="219"/>
      <c r="E109" s="219"/>
      <c r="F109" s="220"/>
      <c r="I109" s="2" t="s">
        <v>396</v>
      </c>
    </row>
    <row r="110" spans="1:16" s="2" customFormat="1" x14ac:dyDescent="0.2">
      <c r="A110" s="24"/>
      <c r="B110" s="1"/>
      <c r="C110" s="50"/>
      <c r="D110" s="57" t="s">
        <v>78</v>
      </c>
      <c r="E110" s="58" t="s">
        <v>79</v>
      </c>
      <c r="F110" s="57" t="s">
        <v>72</v>
      </c>
    </row>
    <row r="111" spans="1:16" s="2" customFormat="1" x14ac:dyDescent="0.2">
      <c r="A111" s="24"/>
      <c r="B111" s="1"/>
      <c r="C111" s="59" t="str">
        <f>"01-02-2024 to "&amp;TEXT(A5-2,"dd-mm-yyyy")</f>
        <v>01-02-2024 to 18-02-2024</v>
      </c>
      <c r="D111" s="60">
        <v>2337.14</v>
      </c>
      <c r="E111" s="60">
        <v>408.84</v>
      </c>
      <c r="F111" s="61">
        <f>SUM(D111:E111)</f>
        <v>2745.98</v>
      </c>
      <c r="I111" s="53"/>
    </row>
    <row r="112" spans="1:16" s="2" customFormat="1" x14ac:dyDescent="0.2">
      <c r="A112" s="24"/>
      <c r="B112" s="1"/>
      <c r="C112" s="62" t="str">
        <f>TEXT(A5-1,"dd-mm-yyyy")</f>
        <v>19-02-2024</v>
      </c>
      <c r="D112" s="60">
        <v>21.19</v>
      </c>
      <c r="E112" s="60">
        <v>15.93</v>
      </c>
      <c r="F112" s="61">
        <f>SUM(D112:E112)</f>
        <v>37.120000000000005</v>
      </c>
      <c r="G112" s="1"/>
      <c r="H112" s="1"/>
      <c r="I112" s="53"/>
    </row>
    <row r="113" spans="1:19" s="2" customFormat="1" ht="13.5" thickBot="1" x14ac:dyDescent="0.25">
      <c r="A113" s="24"/>
      <c r="B113" s="1"/>
      <c r="C113" s="63" t="str">
        <f>"01-02-2024 to "&amp;TEXT(A5-1,"dd-mm-yyyy")</f>
        <v>01-02-2024 to 19-02-2024</v>
      </c>
      <c r="D113" s="64">
        <f>SUM(D111:D112)</f>
        <v>2358.33</v>
      </c>
      <c r="E113" s="64">
        <f>SUM(E111:E112)</f>
        <v>424.77</v>
      </c>
      <c r="F113" s="64">
        <f>SUM(F111:F112)</f>
        <v>2783.1</v>
      </c>
      <c r="G113" s="1"/>
      <c r="H113" s="1"/>
      <c r="M113" s="1"/>
      <c r="N113" s="1"/>
    </row>
    <row r="114" spans="1:19" s="2" customFormat="1" ht="13.5" thickTop="1" x14ac:dyDescent="0.2">
      <c r="A114" s="24"/>
      <c r="B114" s="1"/>
      <c r="C114" s="62"/>
      <c r="D114" s="65"/>
      <c r="E114" s="66"/>
      <c r="F114" s="67"/>
      <c r="M114" s="1"/>
      <c r="N114" s="1"/>
    </row>
    <row r="115" spans="1:19" s="2" customFormat="1" x14ac:dyDescent="0.2">
      <c r="A115" s="24"/>
      <c r="B115" s="1"/>
      <c r="C115" s="62" t="str">
        <f>"01-04-2023 to " &amp;C112</f>
        <v>01-04-2023 to 19-02-2024</v>
      </c>
      <c r="D115" s="68">
        <f>+D113+37155.6</f>
        <v>39513.93</v>
      </c>
      <c r="E115" s="68">
        <f>+E113+4502.26</f>
        <v>4927.0300000000007</v>
      </c>
      <c r="F115" s="68">
        <f>+F113+41657.86</f>
        <v>44440.959999999999</v>
      </c>
      <c r="G115" s="1"/>
      <c r="H115" s="1"/>
      <c r="M115" s="1"/>
      <c r="N115" s="1"/>
    </row>
    <row r="116" spans="1:19" s="2" customFormat="1" x14ac:dyDescent="0.2">
      <c r="A116" s="24"/>
      <c r="B116" s="1"/>
      <c r="C116" s="52"/>
      <c r="D116" s="85"/>
      <c r="E116" s="53"/>
      <c r="F116" s="53"/>
      <c r="G116" s="1"/>
      <c r="H116" s="1"/>
      <c r="M116" s="1"/>
      <c r="N116" s="1"/>
    </row>
    <row r="117" spans="1:19" s="2" customFormat="1" x14ac:dyDescent="0.2">
      <c r="A117" s="24"/>
      <c r="B117" s="1"/>
      <c r="C117" s="52"/>
      <c r="D117" s="85"/>
      <c r="E117" s="53"/>
      <c r="F117" s="53"/>
      <c r="G117" s="1"/>
      <c r="H117" s="1"/>
      <c r="M117" s="1"/>
      <c r="N117" s="1"/>
    </row>
    <row r="118" spans="1:19" s="2" customFormat="1" x14ac:dyDescent="0.2">
      <c r="A118" s="24"/>
      <c r="B118" s="1"/>
      <c r="C118" s="52"/>
      <c r="D118" s="85"/>
      <c r="E118" s="53"/>
      <c r="F118" s="53"/>
      <c r="G118" s="1"/>
      <c r="H118" s="1"/>
      <c r="M118" s="1"/>
      <c r="N118" s="1"/>
    </row>
    <row r="119" spans="1:19" s="2" customFormat="1" x14ac:dyDescent="0.2">
      <c r="A119" s="24"/>
      <c r="B119" s="1"/>
      <c r="C119" s="52"/>
      <c r="D119" s="85"/>
      <c r="E119" s="53"/>
      <c r="F119" s="53"/>
      <c r="G119" s="1"/>
      <c r="H119" s="1"/>
      <c r="M119" s="1"/>
      <c r="N119" s="1"/>
    </row>
    <row r="120" spans="1:19" s="2" customFormat="1" x14ac:dyDescent="0.2">
      <c r="A120" s="24"/>
      <c r="B120" s="1"/>
      <c r="C120" s="14"/>
      <c r="D120" s="25">
        <f>SUM(D117:D119)</f>
        <v>0</v>
      </c>
      <c r="E120" s="2">
        <f>SUM(E117:E119)</f>
        <v>0</v>
      </c>
      <c r="G120" s="1"/>
      <c r="H120" s="1"/>
      <c r="M120" s="1"/>
      <c r="N120" s="1"/>
    </row>
    <row r="121" spans="1:19" s="2" customFormat="1" x14ac:dyDescent="0.2">
      <c r="A121" s="24"/>
      <c r="B121" s="1"/>
      <c r="C121" s="14"/>
      <c r="D121" s="25"/>
      <c r="G121" s="1"/>
      <c r="H121" s="1"/>
      <c r="M121" s="1"/>
      <c r="N121" s="1"/>
    </row>
    <row r="122" spans="1:19" s="2" customFormat="1" x14ac:dyDescent="0.2">
      <c r="A122" s="24"/>
      <c r="B122" s="1"/>
      <c r="C122" s="14"/>
      <c r="D122" s="25"/>
      <c r="G122" s="1"/>
      <c r="H122" s="1"/>
      <c r="M122" s="1"/>
      <c r="N122" s="1"/>
    </row>
    <row r="123" spans="1:19" s="2" customFormat="1" x14ac:dyDescent="0.2">
      <c r="A123" s="24"/>
      <c r="B123" s="1"/>
      <c r="C123" s="14"/>
      <c r="D123" s="25"/>
      <c r="G123" s="1"/>
      <c r="H123" s="1"/>
      <c r="M123" s="1"/>
      <c r="N123" s="1"/>
    </row>
    <row r="124" spans="1:19" s="2" customFormat="1" x14ac:dyDescent="0.2">
      <c r="A124" s="24"/>
      <c r="B124" s="1"/>
      <c r="C124" s="14"/>
      <c r="D124" s="25"/>
      <c r="G124" s="1"/>
      <c r="H124" s="1"/>
      <c r="M124" s="1"/>
      <c r="N124" s="1"/>
    </row>
    <row r="125" spans="1:19" s="2" customFormat="1" x14ac:dyDescent="0.2">
      <c r="A125" s="24"/>
      <c r="B125" s="1"/>
      <c r="C125" s="14"/>
      <c r="D125" s="25"/>
      <c r="G125" s="1"/>
      <c r="H125" s="1"/>
      <c r="M125" s="1"/>
      <c r="N125" s="1"/>
    </row>
    <row r="126" spans="1:19" s="2" customFormat="1" x14ac:dyDescent="0.2">
      <c r="A126" s="24"/>
      <c r="B126" s="1"/>
      <c r="C126" s="14"/>
      <c r="D126" s="25"/>
      <c r="G126" s="1"/>
      <c r="H126" s="1"/>
      <c r="M126" s="1"/>
      <c r="N126" s="1"/>
    </row>
    <row r="127" spans="1:19" s="2" customFormat="1" x14ac:dyDescent="0.2">
      <c r="A127" s="24"/>
      <c r="B127" s="1"/>
      <c r="C127" s="14"/>
      <c r="D127" s="25"/>
      <c r="G127" s="1"/>
      <c r="H127" s="1"/>
      <c r="M127" s="1"/>
      <c r="N127" s="1"/>
      <c r="Q127" s="1"/>
      <c r="R127" s="1"/>
      <c r="S127" s="1"/>
    </row>
    <row r="128" spans="1:19" x14ac:dyDescent="0.2">
      <c r="J128" s="2"/>
      <c r="K128" s="2"/>
      <c r="L128" s="2"/>
      <c r="O128" s="2"/>
      <c r="P128" s="2"/>
      <c r="Q128" s="2"/>
      <c r="R128" s="2"/>
      <c r="S128" s="2"/>
    </row>
    <row r="129" spans="1:19" s="2" customFormat="1" x14ac:dyDescent="0.2">
      <c r="A129" s="24"/>
      <c r="B129" s="1"/>
      <c r="C129" s="14"/>
      <c r="D129" s="25"/>
      <c r="G129" s="1"/>
      <c r="H129" s="1"/>
      <c r="M129" s="1"/>
      <c r="N129" s="1"/>
      <c r="Q129" s="1"/>
      <c r="R129" s="1"/>
      <c r="S129" s="1"/>
    </row>
    <row r="130" spans="1:19" x14ac:dyDescent="0.2">
      <c r="J130" s="2"/>
      <c r="K130" s="2"/>
      <c r="L130" s="2"/>
      <c r="O130" s="2"/>
      <c r="P130" s="2"/>
    </row>
    <row r="131" spans="1:19" x14ac:dyDescent="0.2">
      <c r="J131" s="2"/>
      <c r="K131" s="2"/>
      <c r="L131" s="2"/>
      <c r="O131" s="2"/>
      <c r="P131" s="2"/>
    </row>
    <row r="132" spans="1:19" x14ac:dyDescent="0.2">
      <c r="J132" s="2"/>
      <c r="K132" s="2"/>
      <c r="L132" s="2"/>
      <c r="O132" s="2"/>
      <c r="P132" s="2"/>
    </row>
    <row r="133" spans="1:19" x14ac:dyDescent="0.2">
      <c r="J133" s="2"/>
      <c r="K133" s="2"/>
      <c r="L133" s="2"/>
      <c r="O133" s="2"/>
      <c r="P133" s="2"/>
    </row>
    <row r="134" spans="1:19" x14ac:dyDescent="0.2">
      <c r="O134" s="2"/>
      <c r="P134" s="2"/>
    </row>
    <row r="135" spans="1:19" x14ac:dyDescent="0.2">
      <c r="J135" s="2"/>
      <c r="K135" s="2"/>
      <c r="L135" s="2"/>
      <c r="M135" s="2"/>
      <c r="N135" s="2"/>
      <c r="O135" s="2"/>
      <c r="P135" s="2"/>
    </row>
    <row r="136" spans="1:19" x14ac:dyDescent="0.2">
      <c r="O136" s="2"/>
      <c r="P136" s="2"/>
    </row>
    <row r="137" spans="1:19" x14ac:dyDescent="0.2">
      <c r="G137" s="54"/>
      <c r="H137" s="54"/>
      <c r="O137" s="2"/>
      <c r="P137" s="2"/>
    </row>
    <row r="138" spans="1:19" x14ac:dyDescent="0.2">
      <c r="G138" s="54"/>
      <c r="H138" s="54"/>
      <c r="O138" s="2"/>
      <c r="P138" s="2"/>
    </row>
    <row r="139" spans="1:19" x14ac:dyDescent="0.2">
      <c r="G139" s="54"/>
      <c r="H139" s="54"/>
      <c r="O139" s="2"/>
      <c r="P139" s="2"/>
    </row>
    <row r="140" spans="1:19" x14ac:dyDescent="0.2">
      <c r="G140" s="54"/>
      <c r="H140" s="54"/>
      <c r="I140" s="2" t="s">
        <v>396</v>
      </c>
      <c r="O140" s="2"/>
      <c r="P140" s="2"/>
    </row>
    <row r="141" spans="1:19" x14ac:dyDescent="0.2">
      <c r="G141" s="54"/>
      <c r="H141" s="54"/>
      <c r="I141" s="53"/>
      <c r="J141" s="2"/>
      <c r="K141" s="2"/>
      <c r="L141" s="2"/>
      <c r="M141" s="2"/>
      <c r="N141" s="2"/>
      <c r="P141" s="2"/>
    </row>
    <row r="142" spans="1:19" x14ac:dyDescent="0.2">
      <c r="G142" s="54"/>
      <c r="H142" s="54"/>
      <c r="I142" s="53" t="s">
        <v>396</v>
      </c>
      <c r="O142" s="2"/>
      <c r="P142" s="2"/>
    </row>
    <row r="143" spans="1:19" x14ac:dyDescent="0.2">
      <c r="G143" s="54"/>
      <c r="H143" s="54"/>
      <c r="I143" s="53" t="s">
        <v>396</v>
      </c>
      <c r="K143" s="42"/>
      <c r="P143" s="2"/>
    </row>
    <row r="144" spans="1:19" x14ac:dyDescent="0.2">
      <c r="G144" s="54"/>
      <c r="H144" s="54"/>
      <c r="I144" s="53"/>
      <c r="J144" s="101"/>
      <c r="P144" s="2"/>
    </row>
    <row r="145" spans="7:16" x14ac:dyDescent="0.2">
      <c r="G145" s="54"/>
      <c r="H145" s="54"/>
      <c r="I145" s="53"/>
    </row>
    <row r="146" spans="7:16" x14ac:dyDescent="0.2">
      <c r="G146" s="54"/>
      <c r="H146" s="54"/>
      <c r="I146" s="53"/>
      <c r="P146" s="2"/>
    </row>
    <row r="147" spans="7:16" x14ac:dyDescent="0.2">
      <c r="G147" s="54"/>
      <c r="H147" s="54"/>
      <c r="I147" s="53"/>
    </row>
  </sheetData>
  <sheetProtection insertRows="0"/>
  <mergeCells count="7">
    <mergeCell ref="K82:L82"/>
    <mergeCell ref="A89:D89"/>
    <mergeCell ref="C109:F109"/>
    <mergeCell ref="A1:H1"/>
    <mergeCell ref="A3:F3"/>
    <mergeCell ref="A9:F9"/>
    <mergeCell ref="A36:F36"/>
  </mergeCells>
  <conditionalFormatting sqref="H86:H87">
    <cfRule type="cellIs" dxfId="65" priority="1" operator="lessThan">
      <formula>0</formula>
    </cfRule>
  </conditionalFormatting>
  <conditionalFormatting sqref="C38">
    <cfRule type="duplicateValues" dxfId="64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1-000000000000}">
  <sheetPr codeName="Sheet554">
    <pageSetUpPr fitToPage="1"/>
  </sheetPr>
  <dimension ref="A1:S176"/>
  <sheetViews>
    <sheetView topLeftCell="A64" zoomScaleNormal="100" workbookViewId="0">
      <selection activeCell="E50" sqref="E50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12.85546875" style="1" customWidth="1"/>
    <col min="9" max="9" width="24.85546875" style="2" bestFit="1" customWidth="1"/>
    <col min="10" max="10" width="21.5703125" style="1" bestFit="1" customWidth="1"/>
    <col min="11" max="11" width="16.85546875" style="1" bestFit="1" customWidth="1"/>
    <col min="12" max="12" width="19.5703125" style="1" bestFit="1" customWidth="1"/>
    <col min="13" max="13" width="13.5703125" style="1" bestFit="1" customWidth="1"/>
    <col min="14" max="14" width="17.42578125" style="1" bestFit="1" customWidth="1"/>
    <col min="15" max="15" width="12.85546875" style="1" bestFit="1" customWidth="1"/>
    <col min="16" max="17" width="9.140625" style="1"/>
    <col min="18" max="18" width="15.5703125" style="1" bestFit="1" customWidth="1"/>
    <col min="19" max="16384" width="9.140625" style="1"/>
  </cols>
  <sheetData>
    <row r="1" spans="1:11" ht="20.25" customHeight="1" x14ac:dyDescent="0.4">
      <c r="A1" s="212" t="s">
        <v>2099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1" ht="12.75" customHeight="1" x14ac:dyDescent="0.4">
      <c r="I2" s="112"/>
      <c r="J2" s="112"/>
    </row>
    <row r="3" spans="1:11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1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1" s="2" customFormat="1" ht="14.25" customHeight="1" x14ac:dyDescent="0.4">
      <c r="A5" s="89">
        <v>45343</v>
      </c>
      <c r="B5" s="9" t="s">
        <v>6</v>
      </c>
      <c r="C5" s="10" t="s">
        <v>7</v>
      </c>
      <c r="D5" s="11"/>
      <c r="E5" s="12">
        <v>681806.6800000004</v>
      </c>
      <c r="F5" s="12"/>
      <c r="G5" s="1"/>
      <c r="H5" s="1"/>
      <c r="I5" s="112"/>
      <c r="J5" s="112"/>
    </row>
    <row r="6" spans="1:11" s="2" customFormat="1" ht="14.25" customHeight="1" x14ac:dyDescent="0.4">
      <c r="A6" s="89">
        <v>45343</v>
      </c>
      <c r="B6" s="9" t="s">
        <v>11</v>
      </c>
      <c r="C6" s="10" t="s">
        <v>1225</v>
      </c>
      <c r="D6" s="11" t="s">
        <v>29</v>
      </c>
      <c r="E6" s="12"/>
      <c r="F6" s="12">
        <v>59236</v>
      </c>
      <c r="G6" s="1"/>
      <c r="H6" s="1"/>
      <c r="I6" s="112"/>
      <c r="J6" s="112"/>
    </row>
    <row r="7" spans="1:11" s="2" customFormat="1" ht="14.25" customHeight="1" x14ac:dyDescent="0.4">
      <c r="A7" s="89">
        <v>45343</v>
      </c>
      <c r="B7" s="9" t="s">
        <v>11</v>
      </c>
      <c r="C7" s="10" t="s">
        <v>489</v>
      </c>
      <c r="D7" s="11" t="s">
        <v>29</v>
      </c>
      <c r="E7" s="12"/>
      <c r="F7" s="12">
        <v>300000</v>
      </c>
      <c r="G7" s="1"/>
      <c r="H7" s="1"/>
      <c r="I7" s="112"/>
      <c r="J7" s="112"/>
    </row>
    <row r="8" spans="1:11" s="2" customFormat="1" ht="12.75" customHeight="1" x14ac:dyDescent="0.2">
      <c r="D8" s="15" t="s">
        <v>8</v>
      </c>
      <c r="E8" s="16">
        <f>SUM(E5:E5)</f>
        <v>681806.6800000004</v>
      </c>
      <c r="F8" s="16">
        <f>F6+F7</f>
        <v>359236</v>
      </c>
      <c r="G8" s="1"/>
      <c r="H8" s="1"/>
      <c r="I8" s="13" t="s">
        <v>1582</v>
      </c>
      <c r="J8" s="13" t="s">
        <v>1583</v>
      </c>
    </row>
    <row r="9" spans="1:11" s="2" customFormat="1" ht="12.75" customHeight="1" x14ac:dyDescent="0.2">
      <c r="A9" s="17"/>
      <c r="B9" s="18"/>
      <c r="C9" s="19" t="s">
        <v>9</v>
      </c>
      <c r="D9" s="20"/>
      <c r="E9" s="21">
        <f>+E8-F8</f>
        <v>322570.6800000004</v>
      </c>
      <c r="F9" s="22"/>
      <c r="G9" s="23"/>
      <c r="H9" s="23"/>
      <c r="I9" s="2">
        <v>0</v>
      </c>
      <c r="J9" s="2">
        <v>0</v>
      </c>
      <c r="K9" s="176">
        <f>I9-J9</f>
        <v>0</v>
      </c>
    </row>
    <row r="10" spans="1:11" ht="11.25" customHeight="1" x14ac:dyDescent="0.4">
      <c r="I10" s="112"/>
      <c r="J10" s="112"/>
    </row>
    <row r="11" spans="1:11" ht="18" customHeight="1" x14ac:dyDescent="0.4">
      <c r="A11" s="213" t="s">
        <v>2103</v>
      </c>
      <c r="B11" s="213"/>
      <c r="C11" s="213"/>
      <c r="D11" s="213"/>
      <c r="E11" s="213"/>
      <c r="F11" s="213"/>
      <c r="I11" s="112"/>
      <c r="J11" s="112"/>
    </row>
    <row r="12" spans="1:11" ht="12.75" customHeight="1" x14ac:dyDescent="0.4">
      <c r="A12" s="3" t="s">
        <v>1</v>
      </c>
      <c r="B12" s="4" t="s">
        <v>2</v>
      </c>
      <c r="C12" s="5"/>
      <c r="D12" s="6" t="s">
        <v>3</v>
      </c>
      <c r="E12" s="7" t="s">
        <v>4</v>
      </c>
      <c r="F12" s="7" t="s">
        <v>5</v>
      </c>
      <c r="I12" s="112"/>
      <c r="J12" s="112"/>
    </row>
    <row r="13" spans="1:11" ht="12.75" customHeight="1" x14ac:dyDescent="0.4">
      <c r="A13" s="89">
        <v>45343</v>
      </c>
      <c r="B13" s="9" t="s">
        <v>6</v>
      </c>
      <c r="C13" s="10" t="s">
        <v>7</v>
      </c>
      <c r="D13" s="11"/>
      <c r="E13" s="12">
        <v>6133105.6200000001</v>
      </c>
      <c r="F13" s="1"/>
      <c r="I13" s="112"/>
      <c r="J13" s="112"/>
    </row>
    <row r="14" spans="1:11" ht="12.75" customHeight="1" x14ac:dyDescent="0.4">
      <c r="A14" s="89">
        <v>45343</v>
      </c>
      <c r="B14" s="9" t="s">
        <v>6</v>
      </c>
      <c r="C14" s="76" t="s">
        <v>152</v>
      </c>
      <c r="D14" s="11" t="s">
        <v>13</v>
      </c>
      <c r="E14" s="31">
        <v>7523.87</v>
      </c>
      <c r="F14" s="31"/>
      <c r="I14" s="112"/>
      <c r="J14" s="112"/>
    </row>
    <row r="15" spans="1:11" ht="12.75" customHeight="1" x14ac:dyDescent="0.4">
      <c r="A15" s="89">
        <v>45343</v>
      </c>
      <c r="B15" s="9" t="s">
        <v>11</v>
      </c>
      <c r="C15" s="76" t="s">
        <v>2106</v>
      </c>
      <c r="D15" s="11" t="s">
        <v>29</v>
      </c>
      <c r="E15" s="31"/>
      <c r="F15" s="31">
        <v>199000</v>
      </c>
      <c r="I15" s="112"/>
      <c r="J15" s="112"/>
    </row>
    <row r="16" spans="1:11" ht="12.75" customHeight="1" x14ac:dyDescent="0.4">
      <c r="A16" s="89">
        <v>45343</v>
      </c>
      <c r="B16" s="9" t="s">
        <v>11</v>
      </c>
      <c r="C16" s="76" t="s">
        <v>584</v>
      </c>
      <c r="D16" s="11" t="s">
        <v>29</v>
      </c>
      <c r="E16" s="31"/>
      <c r="F16" s="31">
        <v>13009</v>
      </c>
      <c r="I16" s="112"/>
      <c r="J16" s="112"/>
    </row>
    <row r="17" spans="1:10" ht="12.75" customHeight="1" x14ac:dyDescent="0.4">
      <c r="A17" s="89">
        <v>45343</v>
      </c>
      <c r="B17" s="9" t="s">
        <v>11</v>
      </c>
      <c r="C17" s="76" t="s">
        <v>52</v>
      </c>
      <c r="D17" s="11" t="s">
        <v>29</v>
      </c>
      <c r="E17" s="31"/>
      <c r="F17" s="31">
        <v>34800</v>
      </c>
      <c r="I17" s="112"/>
      <c r="J17" s="112"/>
    </row>
    <row r="18" spans="1:10" ht="12.75" customHeight="1" x14ac:dyDescent="0.4">
      <c r="A18" s="89">
        <v>45343</v>
      </c>
      <c r="B18" s="9" t="s">
        <v>11</v>
      </c>
      <c r="C18" s="76" t="s">
        <v>482</v>
      </c>
      <c r="D18" s="11" t="s">
        <v>29</v>
      </c>
      <c r="E18" s="31"/>
      <c r="F18" s="31">
        <v>48139</v>
      </c>
      <c r="I18" s="112"/>
      <c r="J18" s="112"/>
    </row>
    <row r="19" spans="1:10" ht="12.75" customHeight="1" x14ac:dyDescent="0.4">
      <c r="A19" s="89">
        <v>45343</v>
      </c>
      <c r="B19" s="9" t="s">
        <v>11</v>
      </c>
      <c r="C19" s="76" t="s">
        <v>49</v>
      </c>
      <c r="D19" s="11" t="s">
        <v>29</v>
      </c>
      <c r="E19" s="31"/>
      <c r="F19" s="31">
        <v>12980</v>
      </c>
      <c r="I19" s="112"/>
      <c r="J19" s="112"/>
    </row>
    <row r="20" spans="1:10" ht="12.75" customHeight="1" x14ac:dyDescent="0.4">
      <c r="A20" s="89">
        <v>45343</v>
      </c>
      <c r="B20" s="9" t="s">
        <v>11</v>
      </c>
      <c r="C20" s="76" t="s">
        <v>1111</v>
      </c>
      <c r="D20" s="11" t="s">
        <v>29</v>
      </c>
      <c r="E20" s="31"/>
      <c r="F20" s="31">
        <v>18810</v>
      </c>
      <c r="I20" s="112"/>
      <c r="J20" s="112"/>
    </row>
    <row r="21" spans="1:10" ht="12.75" customHeight="1" x14ac:dyDescent="0.4">
      <c r="A21" s="89">
        <v>45343</v>
      </c>
      <c r="B21" s="9" t="s">
        <v>11</v>
      </c>
      <c r="C21" s="76" t="s">
        <v>731</v>
      </c>
      <c r="D21" s="11" t="s">
        <v>29</v>
      </c>
      <c r="E21" s="31"/>
      <c r="F21" s="31">
        <v>59400</v>
      </c>
      <c r="I21" s="112"/>
      <c r="J21" s="112"/>
    </row>
    <row r="22" spans="1:10" ht="12.75" customHeight="1" x14ac:dyDescent="0.4">
      <c r="A22" s="89">
        <v>45343</v>
      </c>
      <c r="B22" s="9" t="s">
        <v>11</v>
      </c>
      <c r="C22" s="76" t="s">
        <v>1912</v>
      </c>
      <c r="D22" s="11" t="s">
        <v>29</v>
      </c>
      <c r="E22" s="31"/>
      <c r="F22" s="31">
        <v>83655</v>
      </c>
      <c r="I22" s="112"/>
      <c r="J22" s="112"/>
    </row>
    <row r="23" spans="1:10" ht="12.75" customHeight="1" x14ac:dyDescent="0.4">
      <c r="A23" s="89">
        <v>45343</v>
      </c>
      <c r="B23" s="9" t="s">
        <v>11</v>
      </c>
      <c r="C23" s="76" t="s">
        <v>439</v>
      </c>
      <c r="D23" s="11" t="s">
        <v>29</v>
      </c>
      <c r="E23" s="31"/>
      <c r="F23" s="31">
        <v>9311</v>
      </c>
      <c r="I23" s="112"/>
      <c r="J23" s="112"/>
    </row>
    <row r="24" spans="1:10" ht="12.75" customHeight="1" x14ac:dyDescent="0.4">
      <c r="A24" s="89">
        <v>45343</v>
      </c>
      <c r="B24" s="9" t="s">
        <v>11</v>
      </c>
      <c r="C24" s="76" t="s">
        <v>290</v>
      </c>
      <c r="D24" s="11" t="s">
        <v>29</v>
      </c>
      <c r="E24" s="31"/>
      <c r="F24" s="31">
        <v>10554</v>
      </c>
      <c r="I24" s="112"/>
      <c r="J24" s="112"/>
    </row>
    <row r="25" spans="1:10" ht="12.75" customHeight="1" x14ac:dyDescent="0.4">
      <c r="A25" s="89">
        <v>45343</v>
      </c>
      <c r="B25" s="9" t="s">
        <v>11</v>
      </c>
      <c r="C25" s="76" t="s">
        <v>47</v>
      </c>
      <c r="D25" s="11" t="s">
        <v>29</v>
      </c>
      <c r="E25" s="31"/>
      <c r="F25" s="31">
        <v>15317</v>
      </c>
      <c r="I25" s="112"/>
      <c r="J25" s="112"/>
    </row>
    <row r="26" spans="1:10" ht="12.75" customHeight="1" x14ac:dyDescent="0.4">
      <c r="A26" s="89">
        <v>45343</v>
      </c>
      <c r="B26" s="9" t="s">
        <v>11</v>
      </c>
      <c r="C26" s="76" t="s">
        <v>34</v>
      </c>
      <c r="D26" s="11" t="s">
        <v>29</v>
      </c>
      <c r="E26" s="31"/>
      <c r="F26" s="31">
        <v>12000</v>
      </c>
      <c r="I26" s="112"/>
      <c r="J26" s="112"/>
    </row>
    <row r="27" spans="1:10" ht="12.75" customHeight="1" x14ac:dyDescent="0.4">
      <c r="A27" s="89">
        <v>45343</v>
      </c>
      <c r="B27" s="9" t="s">
        <v>11</v>
      </c>
      <c r="C27" s="76" t="s">
        <v>62</v>
      </c>
      <c r="D27" s="11" t="s">
        <v>29</v>
      </c>
      <c r="E27" s="31"/>
      <c r="F27" s="31">
        <v>30000</v>
      </c>
      <c r="I27" s="112"/>
      <c r="J27" s="112"/>
    </row>
    <row r="28" spans="1:10" ht="12.75" customHeight="1" x14ac:dyDescent="0.4">
      <c r="A28" s="89">
        <v>45343</v>
      </c>
      <c r="B28" s="9" t="s">
        <v>11</v>
      </c>
      <c r="C28" s="76" t="s">
        <v>287</v>
      </c>
      <c r="D28" s="11" t="s">
        <v>29</v>
      </c>
      <c r="E28" s="31"/>
      <c r="F28" s="31">
        <v>13069</v>
      </c>
      <c r="I28" s="112"/>
      <c r="J28" s="112"/>
    </row>
    <row r="29" spans="1:10" ht="12.75" customHeight="1" x14ac:dyDescent="0.4">
      <c r="A29" s="89">
        <v>45343</v>
      </c>
      <c r="B29" s="9" t="s">
        <v>11</v>
      </c>
      <c r="C29" s="76" t="s">
        <v>2105</v>
      </c>
      <c r="D29" s="11" t="s">
        <v>29</v>
      </c>
      <c r="E29" s="31"/>
      <c r="F29" s="31">
        <v>112500</v>
      </c>
      <c r="I29" s="112"/>
      <c r="J29" s="112"/>
    </row>
    <row r="30" spans="1:10" ht="12.75" customHeight="1" x14ac:dyDescent="0.4">
      <c r="A30" s="89">
        <v>45343</v>
      </c>
      <c r="B30" s="9" t="s">
        <v>11</v>
      </c>
      <c r="C30" s="76" t="s">
        <v>1170</v>
      </c>
      <c r="D30" s="11" t="s">
        <v>29</v>
      </c>
      <c r="E30" s="31"/>
      <c r="F30" s="31">
        <v>2500000</v>
      </c>
      <c r="I30" s="112"/>
      <c r="J30" s="112"/>
    </row>
    <row r="31" spans="1:10" ht="12.75" customHeight="1" x14ac:dyDescent="0.4">
      <c r="A31" s="89">
        <v>45343</v>
      </c>
      <c r="B31" s="9" t="s">
        <v>11</v>
      </c>
      <c r="C31" s="76" t="s">
        <v>944</v>
      </c>
      <c r="D31" s="11" t="s">
        <v>29</v>
      </c>
      <c r="E31" s="31"/>
      <c r="F31" s="31">
        <v>1000000</v>
      </c>
      <c r="I31" s="112"/>
      <c r="J31" s="112"/>
    </row>
    <row r="32" spans="1:10" ht="12.75" customHeight="1" x14ac:dyDescent="0.4">
      <c r="A32" s="89">
        <v>45343</v>
      </c>
      <c r="B32" s="9" t="s">
        <v>11</v>
      </c>
      <c r="C32" s="76" t="s">
        <v>243</v>
      </c>
      <c r="D32" s="11" t="s">
        <v>29</v>
      </c>
      <c r="E32" s="31"/>
      <c r="F32" s="31">
        <v>2802.82</v>
      </c>
      <c r="I32" s="112"/>
      <c r="J32" s="112"/>
    </row>
    <row r="33" spans="1:12" ht="12.75" customHeight="1" x14ac:dyDescent="0.4">
      <c r="A33" s="89">
        <v>45343</v>
      </c>
      <c r="B33" s="9" t="s">
        <v>11</v>
      </c>
      <c r="C33" s="76" t="s">
        <v>550</v>
      </c>
      <c r="D33" s="11" t="s">
        <v>29</v>
      </c>
      <c r="E33" s="31"/>
      <c r="F33" s="31">
        <v>1500000</v>
      </c>
      <c r="I33" s="112"/>
      <c r="J33" s="112"/>
    </row>
    <row r="34" spans="1:12" ht="12.75" customHeight="1" x14ac:dyDescent="0.4">
      <c r="A34" s="89">
        <v>45343</v>
      </c>
      <c r="B34" s="9" t="s">
        <v>11</v>
      </c>
      <c r="C34" s="76" t="s">
        <v>96</v>
      </c>
      <c r="D34" s="11" t="s">
        <v>29</v>
      </c>
      <c r="E34" s="31"/>
      <c r="F34" s="31">
        <v>5725</v>
      </c>
      <c r="I34" s="112"/>
      <c r="J34" s="112"/>
    </row>
    <row r="35" spans="1:12" ht="12.75" customHeight="1" x14ac:dyDescent="0.4">
      <c r="A35" s="89">
        <v>45343</v>
      </c>
      <c r="B35" s="9" t="s">
        <v>11</v>
      </c>
      <c r="C35" s="76" t="s">
        <v>408</v>
      </c>
      <c r="D35" s="11" t="s">
        <v>29</v>
      </c>
      <c r="E35" s="31"/>
      <c r="F35" s="31">
        <v>25960</v>
      </c>
      <c r="I35" s="112"/>
      <c r="J35" s="112"/>
    </row>
    <row r="36" spans="1:12" ht="12.75" customHeight="1" x14ac:dyDescent="0.4">
      <c r="A36" s="89">
        <v>45343</v>
      </c>
      <c r="B36" s="9" t="s">
        <v>11</v>
      </c>
      <c r="C36" s="76" t="s">
        <v>131</v>
      </c>
      <c r="D36" s="11" t="s">
        <v>29</v>
      </c>
      <c r="E36" s="31"/>
      <c r="F36" s="31">
        <v>14437</v>
      </c>
      <c r="I36" s="112"/>
      <c r="J36" s="112"/>
    </row>
    <row r="37" spans="1:12" ht="12.75" customHeight="1" x14ac:dyDescent="0.4">
      <c r="A37" s="89">
        <v>45343</v>
      </c>
      <c r="B37" s="9" t="s">
        <v>11</v>
      </c>
      <c r="C37" s="76" t="s">
        <v>1772</v>
      </c>
      <c r="D37" s="11" t="s">
        <v>29</v>
      </c>
      <c r="E37" s="31"/>
      <c r="F37" s="31">
        <v>40682.410000000003</v>
      </c>
      <c r="I37" s="112"/>
      <c r="J37" s="112"/>
    </row>
    <row r="38" spans="1:12" ht="12.75" customHeight="1" x14ac:dyDescent="0.4">
      <c r="A38" s="89">
        <v>45343</v>
      </c>
      <c r="B38" s="9" t="s">
        <v>11</v>
      </c>
      <c r="C38" s="76" t="s">
        <v>2088</v>
      </c>
      <c r="D38" s="11" t="s">
        <v>29</v>
      </c>
      <c r="E38" s="31"/>
      <c r="F38" s="31">
        <v>95698</v>
      </c>
      <c r="I38" s="112"/>
      <c r="J38" s="112"/>
    </row>
    <row r="39" spans="1:12" ht="12.75" customHeight="1" x14ac:dyDescent="0.4">
      <c r="A39" s="89">
        <v>45343</v>
      </c>
      <c r="B39" s="9" t="s">
        <v>11</v>
      </c>
      <c r="C39" s="76" t="s">
        <v>273</v>
      </c>
      <c r="D39" s="11" t="s">
        <v>29</v>
      </c>
      <c r="E39" s="31"/>
      <c r="F39" s="31">
        <v>28333.07</v>
      </c>
      <c r="I39" s="112"/>
      <c r="J39" s="112"/>
    </row>
    <row r="40" spans="1:12" ht="12.75" customHeight="1" x14ac:dyDescent="0.2">
      <c r="A40" s="2"/>
      <c r="B40" s="2"/>
      <c r="C40" s="2"/>
      <c r="D40" s="11" t="s">
        <v>8</v>
      </c>
      <c r="E40" s="16">
        <f>SUM(E13:E39)</f>
        <v>6140629.4900000002</v>
      </c>
      <c r="F40" s="16">
        <f>SUM(F13:F39)</f>
        <v>5886182.3000000007</v>
      </c>
      <c r="I40" s="13" t="s">
        <v>1582</v>
      </c>
      <c r="J40" s="13" t="s">
        <v>1583</v>
      </c>
    </row>
    <row r="41" spans="1:12" ht="17.25" customHeight="1" x14ac:dyDescent="0.2">
      <c r="A41" s="17"/>
      <c r="B41" s="18"/>
      <c r="C41" s="19" t="s">
        <v>9</v>
      </c>
      <c r="D41" s="20"/>
      <c r="E41" s="21">
        <f>+E40-F40</f>
        <v>254447.18999999948</v>
      </c>
      <c r="I41" s="2">
        <v>0</v>
      </c>
      <c r="J41" s="2">
        <v>0</v>
      </c>
    </row>
    <row r="42" spans="1:12" ht="18" customHeight="1" x14ac:dyDescent="0.25">
      <c r="A42" s="36"/>
      <c r="B42" s="28"/>
      <c r="C42" s="44"/>
      <c r="D42" s="43"/>
      <c r="E42" s="38"/>
      <c r="F42" s="22"/>
      <c r="J42" s="2"/>
    </row>
    <row r="43" spans="1:12" ht="18" customHeight="1" x14ac:dyDescent="0.4">
      <c r="A43" s="213" t="s">
        <v>2104</v>
      </c>
      <c r="B43" s="213"/>
      <c r="C43" s="213"/>
      <c r="D43" s="213"/>
      <c r="E43" s="213"/>
      <c r="F43" s="213"/>
      <c r="I43" s="112"/>
      <c r="J43" s="169">
        <f>90000000-60000000</f>
        <v>30000000</v>
      </c>
      <c r="K43" s="169" t="s">
        <v>1508</v>
      </c>
    </row>
    <row r="44" spans="1:12" ht="12.75" customHeight="1" x14ac:dyDescent="0.4">
      <c r="A44" s="3" t="s">
        <v>1</v>
      </c>
      <c r="B44" s="4" t="s">
        <v>2</v>
      </c>
      <c r="C44" s="5"/>
      <c r="D44" s="6" t="s">
        <v>3</v>
      </c>
      <c r="E44" s="7" t="s">
        <v>4</v>
      </c>
      <c r="F44" s="7" t="s">
        <v>5</v>
      </c>
      <c r="I44" s="112"/>
      <c r="J44" s="169">
        <v>28882059</v>
      </c>
      <c r="K44" s="169" t="s">
        <v>1509</v>
      </c>
      <c r="L44" s="124"/>
    </row>
    <row r="45" spans="1:12" s="2" customFormat="1" ht="14.25" customHeight="1" x14ac:dyDescent="0.2">
      <c r="A45" s="89">
        <v>45343</v>
      </c>
      <c r="B45" s="9" t="s">
        <v>6</v>
      </c>
      <c r="C45" s="10" t="s">
        <v>7</v>
      </c>
      <c r="D45" s="11"/>
      <c r="F45" s="12">
        <v>29219396.029999997</v>
      </c>
      <c r="G45" s="1"/>
      <c r="H45" s="1"/>
      <c r="I45" s="130" t="s">
        <v>396</v>
      </c>
      <c r="J45" s="169">
        <f>+J43-J44</f>
        <v>1117941</v>
      </c>
      <c r="K45" s="169" t="s">
        <v>712</v>
      </c>
      <c r="L45" s="165" t="s">
        <v>1512</v>
      </c>
    </row>
    <row r="46" spans="1:12" s="2" customFormat="1" ht="14.25" customHeight="1" x14ac:dyDescent="0.2">
      <c r="A46" s="89">
        <v>45343</v>
      </c>
      <c r="B46" s="9" t="s">
        <v>6</v>
      </c>
      <c r="C46" s="76" t="s">
        <v>1647</v>
      </c>
      <c r="D46" s="11" t="s">
        <v>13</v>
      </c>
      <c r="E46" s="31">
        <v>117941</v>
      </c>
      <c r="F46" s="31"/>
      <c r="G46" s="1"/>
      <c r="H46" s="1"/>
      <c r="I46" s="130"/>
      <c r="J46" s="169"/>
      <c r="K46" s="169"/>
      <c r="L46" s="165"/>
    </row>
    <row r="47" spans="1:12" s="2" customFormat="1" ht="14.25" customHeight="1" x14ac:dyDescent="0.2">
      <c r="A47" s="89">
        <v>45343</v>
      </c>
      <c r="B47" s="9" t="s">
        <v>6</v>
      </c>
      <c r="C47" s="76" t="s">
        <v>2102</v>
      </c>
      <c r="D47" s="11" t="s">
        <v>13</v>
      </c>
      <c r="E47" s="31">
        <v>1000000</v>
      </c>
      <c r="F47" s="31"/>
      <c r="G47" s="1"/>
      <c r="H47" s="1"/>
      <c r="I47" s="130"/>
      <c r="J47" s="169"/>
      <c r="K47" s="169"/>
      <c r="L47" s="165"/>
    </row>
    <row r="48" spans="1:12" s="2" customFormat="1" ht="14.25" customHeight="1" x14ac:dyDescent="0.2">
      <c r="A48" s="89">
        <v>45343</v>
      </c>
      <c r="B48" s="9" t="s">
        <v>11</v>
      </c>
      <c r="C48" s="76" t="s">
        <v>1681</v>
      </c>
      <c r="D48" s="11" t="s">
        <v>29</v>
      </c>
      <c r="E48" s="31"/>
      <c r="F48" s="31">
        <v>780603.97</v>
      </c>
      <c r="G48" s="1"/>
      <c r="H48" s="1"/>
      <c r="I48" s="130"/>
      <c r="J48" s="169"/>
      <c r="K48" s="169"/>
      <c r="L48" s="165"/>
    </row>
    <row r="49" spans="1:12" s="2" customFormat="1" ht="14.25" customHeight="1" x14ac:dyDescent="0.4">
      <c r="D49" s="11" t="s">
        <v>8</v>
      </c>
      <c r="E49" s="16">
        <f>SUM(E46:E48)</f>
        <v>1117941</v>
      </c>
      <c r="F49" s="16">
        <f>SUM(F45:F48)</f>
        <v>29999999.999999996</v>
      </c>
      <c r="G49" s="1"/>
      <c r="H49" s="1"/>
      <c r="J49" s="112"/>
      <c r="K49" s="153" t="s">
        <v>779</v>
      </c>
    </row>
    <row r="50" spans="1:12" s="2" customFormat="1" ht="14.25" customHeight="1" x14ac:dyDescent="0.2">
      <c r="A50" s="17"/>
      <c r="B50" s="18"/>
      <c r="C50" s="96" t="s">
        <v>9</v>
      </c>
      <c r="D50" s="20"/>
      <c r="E50" s="21">
        <f>+F49-E49</f>
        <v>28882058.999999996</v>
      </c>
      <c r="G50" s="1"/>
      <c r="H50" s="1"/>
      <c r="J50" s="40">
        <v>28882059</v>
      </c>
      <c r="K50" s="154">
        <f>J50-E50</f>
        <v>0</v>
      </c>
    </row>
    <row r="51" spans="1:12" s="2" customFormat="1" ht="14.25" customHeight="1" x14ac:dyDescent="0.2">
      <c r="A51" s="17"/>
      <c r="B51" s="28" t="s">
        <v>66</v>
      </c>
      <c r="C51" s="43" t="s">
        <v>1458</v>
      </c>
      <c r="D51" s="43"/>
      <c r="E51" s="12">
        <f>30000000+60000000</f>
        <v>90000000</v>
      </c>
      <c r="F51" s="22"/>
      <c r="G51" s="1"/>
      <c r="H51" s="1"/>
      <c r="I51" s="13" t="s">
        <v>1582</v>
      </c>
      <c r="J51" s="13" t="s">
        <v>1583</v>
      </c>
    </row>
    <row r="52" spans="1:12" s="2" customFormat="1" ht="14.25" customHeight="1" x14ac:dyDescent="0.25">
      <c r="A52" s="36"/>
      <c r="B52" s="28"/>
      <c r="C52" s="44" t="s">
        <v>1541</v>
      </c>
      <c r="D52" s="43"/>
      <c r="E52" s="7">
        <f>+E50+E51</f>
        <v>118882059</v>
      </c>
      <c r="F52" s="22"/>
      <c r="G52" s="1"/>
      <c r="H52" s="1"/>
      <c r="I52" s="2">
        <v>2806513</v>
      </c>
      <c r="J52" s="2">
        <v>5723806</v>
      </c>
      <c r="K52" s="176">
        <f>I52-J52</f>
        <v>-2917293</v>
      </c>
    </row>
    <row r="53" spans="1:12" s="2" customFormat="1" ht="14.25" customHeight="1" x14ac:dyDescent="0.25">
      <c r="A53" s="36"/>
      <c r="B53" s="28"/>
      <c r="C53" s="44" t="s">
        <v>1511</v>
      </c>
      <c r="D53" s="43"/>
      <c r="E53" s="38">
        <f>+J45+I9-J9</f>
        <v>1117941</v>
      </c>
      <c r="F53" s="22"/>
      <c r="G53" s="1"/>
      <c r="H53" s="1"/>
      <c r="J53" s="130"/>
      <c r="K53" s="130"/>
    </row>
    <row r="54" spans="1:12" s="2" customFormat="1" x14ac:dyDescent="0.2">
      <c r="A54" s="24"/>
      <c r="B54" s="1"/>
      <c r="C54" s="14"/>
      <c r="D54" s="25"/>
      <c r="G54" s="1"/>
      <c r="H54" s="1"/>
      <c r="I54" s="159"/>
      <c r="J54" s="160">
        <f>100000000</f>
        <v>100000000</v>
      </c>
      <c r="K54" s="160" t="s">
        <v>1506</v>
      </c>
      <c r="L54" s="70"/>
    </row>
    <row r="55" spans="1:12" s="2" customFormat="1" ht="15" x14ac:dyDescent="0.35">
      <c r="A55" s="214" t="s">
        <v>10</v>
      </c>
      <c r="B55" s="214"/>
      <c r="C55" s="214"/>
      <c r="D55" s="214"/>
      <c r="E55" s="214"/>
      <c r="F55" s="214"/>
      <c r="G55" s="1"/>
      <c r="H55" s="1"/>
      <c r="I55" s="159"/>
      <c r="J55" s="179">
        <v>79013405.030000001</v>
      </c>
      <c r="K55" s="160" t="s">
        <v>1507</v>
      </c>
      <c r="L55" s="70" t="s">
        <v>1512</v>
      </c>
    </row>
    <row r="56" spans="1:12" s="2" customFormat="1" x14ac:dyDescent="0.2">
      <c r="A56" s="26" t="s">
        <v>1</v>
      </c>
      <c r="B56" s="27" t="s">
        <v>2</v>
      </c>
      <c r="C56" s="5"/>
      <c r="D56" s="6" t="s">
        <v>3</v>
      </c>
      <c r="E56" s="7" t="s">
        <v>4</v>
      </c>
      <c r="F56" s="7" t="s">
        <v>5</v>
      </c>
      <c r="G56" s="1"/>
      <c r="H56" s="1"/>
      <c r="I56" s="159" t="s">
        <v>1505</v>
      </c>
      <c r="J56" s="160">
        <f>+J54-J55</f>
        <v>20986594.969999999</v>
      </c>
      <c r="K56" s="160"/>
      <c r="L56" s="70"/>
    </row>
    <row r="57" spans="1:12" s="2" customFormat="1" x14ac:dyDescent="0.2">
      <c r="A57" s="89">
        <v>45343</v>
      </c>
      <c r="B57" s="128" t="s">
        <v>11</v>
      </c>
      <c r="C57" s="29" t="s">
        <v>7</v>
      </c>
      <c r="D57" s="25"/>
      <c r="E57" s="31"/>
      <c r="F57" s="13">
        <v>164282923.04999989</v>
      </c>
      <c r="G57" s="23"/>
      <c r="H57" s="23"/>
      <c r="I57" s="159"/>
      <c r="J57" s="160"/>
      <c r="K57" s="160"/>
      <c r="L57" s="70"/>
    </row>
    <row r="58" spans="1:12" s="2" customFormat="1" x14ac:dyDescent="0.2">
      <c r="A58" s="89">
        <v>45343</v>
      </c>
      <c r="B58" s="128" t="s">
        <v>6</v>
      </c>
      <c r="C58" s="181" t="s">
        <v>843</v>
      </c>
      <c r="D58" s="11" t="s">
        <v>13</v>
      </c>
      <c r="E58" s="86">
        <v>300000</v>
      </c>
      <c r="G58" s="23"/>
      <c r="H58" s="23"/>
      <c r="I58" s="159"/>
      <c r="J58" s="160"/>
      <c r="K58" s="160"/>
      <c r="L58" s="70"/>
    </row>
    <row r="59" spans="1:12" s="2" customFormat="1" x14ac:dyDescent="0.2">
      <c r="A59" s="89">
        <v>45343</v>
      </c>
      <c r="B59" s="128" t="s">
        <v>6</v>
      </c>
      <c r="C59" s="181" t="s">
        <v>727</v>
      </c>
      <c r="D59" s="11" t="s">
        <v>13</v>
      </c>
      <c r="E59" s="86">
        <v>138403</v>
      </c>
      <c r="G59" s="23"/>
      <c r="H59" s="23"/>
      <c r="I59" s="159"/>
      <c r="J59" s="160"/>
      <c r="K59" s="160"/>
      <c r="L59" s="70"/>
    </row>
    <row r="60" spans="1:12" s="2" customFormat="1" x14ac:dyDescent="0.2">
      <c r="A60" s="89">
        <v>45343</v>
      </c>
      <c r="B60" s="128" t="s">
        <v>6</v>
      </c>
      <c r="C60" s="181" t="s">
        <v>670</v>
      </c>
      <c r="D60" s="11" t="s">
        <v>13</v>
      </c>
      <c r="E60" s="86">
        <v>552569</v>
      </c>
      <c r="G60" s="23"/>
      <c r="H60" s="23"/>
      <c r="I60" s="159"/>
      <c r="J60" s="160"/>
      <c r="K60" s="160"/>
      <c r="L60" s="70"/>
    </row>
    <row r="61" spans="1:12" s="2" customFormat="1" x14ac:dyDescent="0.2">
      <c r="A61" s="89">
        <v>45343</v>
      </c>
      <c r="B61" s="128" t="s">
        <v>6</v>
      </c>
      <c r="C61" s="181" t="s">
        <v>15</v>
      </c>
      <c r="D61" s="11" t="s">
        <v>13</v>
      </c>
      <c r="E61" s="86">
        <v>69149.070000000007</v>
      </c>
      <c r="G61" s="23"/>
      <c r="H61" s="23"/>
      <c r="I61" s="159"/>
      <c r="J61" s="160"/>
      <c r="K61" s="160"/>
      <c r="L61" s="70"/>
    </row>
    <row r="62" spans="1:12" s="2" customFormat="1" x14ac:dyDescent="0.2">
      <c r="A62" s="89">
        <v>45343</v>
      </c>
      <c r="B62" s="128" t="s">
        <v>6</v>
      </c>
      <c r="C62" s="181" t="s">
        <v>749</v>
      </c>
      <c r="D62" s="11" t="s">
        <v>13</v>
      </c>
      <c r="E62" s="86">
        <v>631736.4</v>
      </c>
      <c r="G62" s="23"/>
      <c r="H62" s="23"/>
      <c r="I62" s="159"/>
      <c r="J62" s="160"/>
      <c r="K62" s="160"/>
      <c r="L62" s="70"/>
    </row>
    <row r="63" spans="1:12" s="2" customFormat="1" x14ac:dyDescent="0.2">
      <c r="A63" s="89">
        <v>45343</v>
      </c>
      <c r="B63" s="128" t="s">
        <v>6</v>
      </c>
      <c r="C63" s="181" t="s">
        <v>27</v>
      </c>
      <c r="D63" s="11" t="s">
        <v>13</v>
      </c>
      <c r="E63" s="86">
        <v>121500</v>
      </c>
      <c r="G63" s="23"/>
      <c r="H63" s="23"/>
      <c r="I63" s="159"/>
      <c r="J63" s="160"/>
      <c r="K63" s="160"/>
      <c r="L63" s="70"/>
    </row>
    <row r="64" spans="1:12" s="2" customFormat="1" x14ac:dyDescent="0.2">
      <c r="A64" s="89">
        <v>45343</v>
      </c>
      <c r="B64" s="128" t="s">
        <v>6</v>
      </c>
      <c r="C64" s="181" t="s">
        <v>1649</v>
      </c>
      <c r="D64" s="11" t="s">
        <v>13</v>
      </c>
      <c r="E64" s="86">
        <v>163282</v>
      </c>
      <c r="G64" s="23"/>
      <c r="H64" s="23"/>
      <c r="I64" s="159"/>
      <c r="J64" s="160"/>
      <c r="K64" s="160"/>
      <c r="L64" s="70"/>
    </row>
    <row r="65" spans="1:12" s="2" customFormat="1" x14ac:dyDescent="0.2">
      <c r="A65" s="89">
        <v>45343</v>
      </c>
      <c r="B65" s="128" t="s">
        <v>6</v>
      </c>
      <c r="C65" s="181" t="s">
        <v>101</v>
      </c>
      <c r="D65" s="11" t="s">
        <v>13</v>
      </c>
      <c r="E65" s="86">
        <v>527112</v>
      </c>
      <c r="G65" s="23"/>
      <c r="H65" s="23"/>
      <c r="I65" s="159"/>
      <c r="J65" s="160"/>
      <c r="K65" s="160"/>
      <c r="L65" s="70"/>
    </row>
    <row r="66" spans="1:12" s="2" customFormat="1" x14ac:dyDescent="0.2">
      <c r="A66" s="89">
        <v>45343</v>
      </c>
      <c r="B66" s="128" t="s">
        <v>6</v>
      </c>
      <c r="C66" s="181" t="s">
        <v>761</v>
      </c>
      <c r="D66" s="11" t="s">
        <v>13</v>
      </c>
      <c r="E66" s="86">
        <v>45022</v>
      </c>
      <c r="G66" s="23"/>
      <c r="H66" s="23"/>
      <c r="I66" s="159"/>
      <c r="J66" s="160"/>
      <c r="K66" s="160"/>
      <c r="L66" s="70"/>
    </row>
    <row r="67" spans="1:12" s="2" customFormat="1" x14ac:dyDescent="0.2">
      <c r="A67" s="89">
        <v>45343</v>
      </c>
      <c r="B67" s="128" t="s">
        <v>6</v>
      </c>
      <c r="C67" s="181" t="s">
        <v>2100</v>
      </c>
      <c r="D67" s="11" t="s">
        <v>13</v>
      </c>
      <c r="E67" s="86">
        <v>19949</v>
      </c>
      <c r="G67" s="23"/>
      <c r="H67" s="23"/>
      <c r="I67" s="159"/>
      <c r="J67" s="160"/>
      <c r="K67" s="160"/>
      <c r="L67" s="70"/>
    </row>
    <row r="68" spans="1:12" s="2" customFormat="1" x14ac:dyDescent="0.2">
      <c r="A68" s="89">
        <v>45343</v>
      </c>
      <c r="B68" s="128" t="s">
        <v>6</v>
      </c>
      <c r="C68" s="181" t="s">
        <v>614</v>
      </c>
      <c r="D68" s="11" t="s">
        <v>13</v>
      </c>
      <c r="E68" s="86">
        <v>615167</v>
      </c>
      <c r="G68" s="23"/>
      <c r="H68" s="23"/>
      <c r="I68" s="159"/>
      <c r="J68" s="160"/>
      <c r="K68" s="160"/>
      <c r="L68" s="70"/>
    </row>
    <row r="69" spans="1:12" s="2" customFormat="1" x14ac:dyDescent="0.2">
      <c r="A69" s="89">
        <v>45343</v>
      </c>
      <c r="B69" s="128" t="s">
        <v>6</v>
      </c>
      <c r="C69" s="181" t="s">
        <v>1497</v>
      </c>
      <c r="D69" s="11" t="s">
        <v>13</v>
      </c>
      <c r="E69" s="86">
        <v>952236</v>
      </c>
      <c r="G69" s="23"/>
      <c r="H69" s="23"/>
      <c r="I69" s="159"/>
      <c r="J69" s="160"/>
      <c r="K69" s="160"/>
      <c r="L69" s="70"/>
    </row>
    <row r="70" spans="1:12" s="2" customFormat="1" x14ac:dyDescent="0.2">
      <c r="A70" s="89">
        <v>45343</v>
      </c>
      <c r="B70" s="128" t="s">
        <v>6</v>
      </c>
      <c r="C70" s="181" t="s">
        <v>1192</v>
      </c>
      <c r="D70" s="11" t="s">
        <v>13</v>
      </c>
      <c r="E70" s="86">
        <v>20570</v>
      </c>
      <c r="G70" s="23"/>
      <c r="H70" s="23"/>
      <c r="I70" s="159"/>
      <c r="J70" s="160"/>
      <c r="K70" s="160"/>
      <c r="L70" s="70"/>
    </row>
    <row r="71" spans="1:12" s="2" customFormat="1" x14ac:dyDescent="0.2">
      <c r="A71" s="89">
        <v>45343</v>
      </c>
      <c r="B71" s="128" t="s">
        <v>6</v>
      </c>
      <c r="C71" s="181" t="s">
        <v>694</v>
      </c>
      <c r="D71" s="11" t="s">
        <v>13</v>
      </c>
      <c r="E71" s="86">
        <v>1000000</v>
      </c>
      <c r="G71" s="23"/>
      <c r="H71" s="23"/>
      <c r="I71" s="159"/>
      <c r="J71" s="160"/>
      <c r="K71" s="160"/>
      <c r="L71" s="70"/>
    </row>
    <row r="72" spans="1:12" s="2" customFormat="1" x14ac:dyDescent="0.2">
      <c r="A72" s="89">
        <v>45343</v>
      </c>
      <c r="B72" s="128" t="s">
        <v>6</v>
      </c>
      <c r="C72" s="181" t="s">
        <v>538</v>
      </c>
      <c r="D72" s="11" t="s">
        <v>13</v>
      </c>
      <c r="E72" s="86">
        <v>18882</v>
      </c>
      <c r="G72" s="23"/>
      <c r="H72" s="23"/>
      <c r="I72" s="159"/>
      <c r="J72" s="160"/>
      <c r="K72" s="160"/>
      <c r="L72" s="70"/>
    </row>
    <row r="73" spans="1:12" s="2" customFormat="1" x14ac:dyDescent="0.2">
      <c r="A73" s="89">
        <v>45343</v>
      </c>
      <c r="B73" s="128" t="s">
        <v>6</v>
      </c>
      <c r="C73" s="181" t="s">
        <v>741</v>
      </c>
      <c r="D73" s="11" t="s">
        <v>13</v>
      </c>
      <c r="E73" s="86">
        <v>199658</v>
      </c>
      <c r="G73" s="23"/>
      <c r="H73" s="23"/>
      <c r="I73" s="159"/>
      <c r="J73" s="160"/>
      <c r="K73" s="160"/>
      <c r="L73" s="70"/>
    </row>
    <row r="74" spans="1:12" s="2" customFormat="1" x14ac:dyDescent="0.2">
      <c r="A74" s="89">
        <v>45343</v>
      </c>
      <c r="B74" s="128" t="s">
        <v>6</v>
      </c>
      <c r="C74" s="181" t="s">
        <v>1025</v>
      </c>
      <c r="D74" s="11" t="s">
        <v>13</v>
      </c>
      <c r="E74" s="86">
        <v>2500000</v>
      </c>
      <c r="G74" s="23"/>
      <c r="H74" s="23"/>
      <c r="I74" s="159"/>
      <c r="J74" s="160"/>
      <c r="K74" s="160"/>
      <c r="L74" s="70"/>
    </row>
    <row r="75" spans="1:12" s="2" customFormat="1" x14ac:dyDescent="0.2">
      <c r="A75" s="89">
        <v>45343</v>
      </c>
      <c r="B75" s="128" t="s">
        <v>6</v>
      </c>
      <c r="C75" s="181" t="s">
        <v>1155</v>
      </c>
      <c r="D75" s="11" t="s">
        <v>13</v>
      </c>
      <c r="E75" s="86">
        <v>75000000</v>
      </c>
      <c r="G75" s="23"/>
      <c r="H75" s="23"/>
      <c r="I75" s="159"/>
      <c r="J75" s="160"/>
      <c r="K75" s="160"/>
      <c r="L75" s="70"/>
    </row>
    <row r="76" spans="1:12" s="2" customFormat="1" x14ac:dyDescent="0.2">
      <c r="A76" s="89">
        <v>45343</v>
      </c>
      <c r="B76" s="128" t="s">
        <v>6</v>
      </c>
      <c r="C76" s="181" t="s">
        <v>565</v>
      </c>
      <c r="D76" s="11" t="s">
        <v>13</v>
      </c>
      <c r="E76" s="86">
        <v>58082</v>
      </c>
      <c r="G76" s="23"/>
      <c r="H76" s="23"/>
      <c r="I76" s="159"/>
      <c r="J76" s="160"/>
      <c r="K76" s="160"/>
      <c r="L76" s="70"/>
    </row>
    <row r="77" spans="1:12" s="2" customFormat="1" x14ac:dyDescent="0.2">
      <c r="A77" s="89">
        <v>45343</v>
      </c>
      <c r="B77" s="128" t="s">
        <v>6</v>
      </c>
      <c r="C77" s="181" t="s">
        <v>1954</v>
      </c>
      <c r="D77" s="11" t="s">
        <v>13</v>
      </c>
      <c r="E77" s="86">
        <v>50000</v>
      </c>
      <c r="G77" s="23"/>
      <c r="H77" s="23"/>
      <c r="I77" s="159"/>
      <c r="J77" s="160"/>
      <c r="K77" s="160"/>
      <c r="L77" s="70"/>
    </row>
    <row r="78" spans="1:12" s="2" customFormat="1" x14ac:dyDescent="0.2">
      <c r="A78" s="89">
        <v>45343</v>
      </c>
      <c r="B78" s="128" t="s">
        <v>6</v>
      </c>
      <c r="C78" s="181" t="s">
        <v>1959</v>
      </c>
      <c r="D78" s="11" t="s">
        <v>13</v>
      </c>
      <c r="E78" s="86">
        <v>26100</v>
      </c>
      <c r="G78" s="23"/>
      <c r="H78" s="23"/>
      <c r="I78" s="159"/>
      <c r="J78" s="160"/>
      <c r="K78" s="160"/>
      <c r="L78" s="70"/>
    </row>
    <row r="79" spans="1:12" s="2" customFormat="1" x14ac:dyDescent="0.2">
      <c r="A79" s="89">
        <v>45343</v>
      </c>
      <c r="B79" s="128" t="s">
        <v>6</v>
      </c>
      <c r="C79" s="181" t="s">
        <v>1733</v>
      </c>
      <c r="D79" s="11" t="s">
        <v>13</v>
      </c>
      <c r="E79" s="86">
        <v>96359</v>
      </c>
      <c r="G79" s="23"/>
      <c r="H79" s="23"/>
      <c r="I79" s="159"/>
      <c r="J79" s="160"/>
      <c r="K79" s="160"/>
      <c r="L79" s="70"/>
    </row>
    <row r="80" spans="1:12" s="2" customFormat="1" x14ac:dyDescent="0.2">
      <c r="A80" s="89">
        <v>45343</v>
      </c>
      <c r="B80" s="128" t="s">
        <v>6</v>
      </c>
      <c r="C80" s="181" t="s">
        <v>2101</v>
      </c>
      <c r="D80" s="11" t="s">
        <v>13</v>
      </c>
      <c r="E80" s="86">
        <v>510601</v>
      </c>
      <c r="G80" s="23"/>
      <c r="H80" s="23"/>
      <c r="I80" s="159"/>
      <c r="J80" s="160"/>
      <c r="K80" s="160"/>
      <c r="L80" s="70"/>
    </row>
    <row r="81" spans="1:16" s="2" customFormat="1" x14ac:dyDescent="0.2">
      <c r="A81" s="89">
        <v>45343</v>
      </c>
      <c r="B81" s="128" t="s">
        <v>6</v>
      </c>
      <c r="C81" s="181" t="s">
        <v>304</v>
      </c>
      <c r="D81" s="11" t="s">
        <v>13</v>
      </c>
      <c r="E81" s="86">
        <v>209390</v>
      </c>
      <c r="G81" s="23"/>
      <c r="H81" s="23"/>
      <c r="I81" s="159"/>
      <c r="J81" s="160"/>
      <c r="K81" s="160"/>
      <c r="L81" s="70"/>
    </row>
    <row r="82" spans="1:16" s="2" customFormat="1" x14ac:dyDescent="0.2">
      <c r="A82" s="89">
        <v>45343</v>
      </c>
      <c r="B82" s="128" t="s">
        <v>6</v>
      </c>
      <c r="C82" s="181" t="s">
        <v>19</v>
      </c>
      <c r="D82" s="11" t="s">
        <v>13</v>
      </c>
      <c r="E82" s="86">
        <v>998162</v>
      </c>
      <c r="G82" s="23"/>
      <c r="H82" s="23"/>
      <c r="I82" s="159"/>
      <c r="J82" s="160"/>
      <c r="K82" s="160"/>
      <c r="L82" s="70"/>
    </row>
    <row r="83" spans="1:16" s="2" customFormat="1" x14ac:dyDescent="0.2">
      <c r="A83" s="89">
        <v>45343</v>
      </c>
      <c r="B83" s="128" t="s">
        <v>6</v>
      </c>
      <c r="C83" s="181" t="s">
        <v>146</v>
      </c>
      <c r="D83" s="11" t="s">
        <v>13</v>
      </c>
      <c r="E83" s="86">
        <v>2524497.42</v>
      </c>
      <c r="G83" s="23"/>
      <c r="H83" s="23"/>
      <c r="I83" s="159"/>
      <c r="J83" s="160"/>
      <c r="K83" s="160"/>
      <c r="L83" s="70"/>
    </row>
    <row r="84" spans="1:16" s="2" customFormat="1" x14ac:dyDescent="0.2">
      <c r="A84" s="89">
        <v>45343</v>
      </c>
      <c r="B84" s="128" t="s">
        <v>11</v>
      </c>
      <c r="C84" s="181" t="s">
        <v>64</v>
      </c>
      <c r="D84" s="11" t="s">
        <v>29</v>
      </c>
      <c r="E84" s="86"/>
      <c r="F84" s="2">
        <v>31695.98</v>
      </c>
      <c r="G84" s="23"/>
      <c r="H84" s="23"/>
      <c r="I84" s="159"/>
      <c r="J84" s="160"/>
      <c r="K84" s="160"/>
      <c r="L84" s="70"/>
    </row>
    <row r="85" spans="1:16" s="2" customFormat="1" x14ac:dyDescent="0.2">
      <c r="A85" s="89">
        <v>45343</v>
      </c>
      <c r="B85" s="128" t="s">
        <v>11</v>
      </c>
      <c r="C85" s="181" t="s">
        <v>1893</v>
      </c>
      <c r="D85" s="11" t="s">
        <v>29</v>
      </c>
      <c r="E85" s="86"/>
      <c r="F85" s="2">
        <v>1714107</v>
      </c>
      <c r="G85" s="23"/>
      <c r="H85" s="23"/>
      <c r="I85" s="159"/>
      <c r="J85" s="160"/>
      <c r="K85" s="160"/>
      <c r="L85" s="70"/>
    </row>
    <row r="86" spans="1:16" s="2" customFormat="1" x14ac:dyDescent="0.2">
      <c r="A86" s="89">
        <v>45343</v>
      </c>
      <c r="B86" s="128" t="s">
        <v>11</v>
      </c>
      <c r="C86" s="181" t="s">
        <v>1849</v>
      </c>
      <c r="D86" s="11" t="s">
        <v>29</v>
      </c>
      <c r="E86" s="86"/>
      <c r="F86" s="2">
        <v>444897</v>
      </c>
      <c r="G86" s="23"/>
      <c r="H86" s="23"/>
      <c r="I86" s="159"/>
      <c r="J86" s="160"/>
      <c r="K86" s="160"/>
      <c r="L86" s="70"/>
    </row>
    <row r="87" spans="1:16" s="2" customFormat="1" x14ac:dyDescent="0.2">
      <c r="A87" s="89">
        <v>45343</v>
      </c>
      <c r="B87" s="128" t="s">
        <v>11</v>
      </c>
      <c r="C87" s="181" t="s">
        <v>1816</v>
      </c>
      <c r="D87" s="11" t="s">
        <v>29</v>
      </c>
      <c r="E87" s="86"/>
      <c r="F87" s="2">
        <v>2352361</v>
      </c>
      <c r="G87" s="23"/>
      <c r="H87" s="23"/>
      <c r="I87" s="159"/>
      <c r="J87" s="160"/>
      <c r="K87" s="160"/>
      <c r="L87" s="70"/>
    </row>
    <row r="88" spans="1:16" s="2" customFormat="1" x14ac:dyDescent="0.2">
      <c r="A88" s="89">
        <v>45343</v>
      </c>
      <c r="B88" s="128" t="s">
        <v>11</v>
      </c>
      <c r="C88" s="181" t="s">
        <v>1894</v>
      </c>
      <c r="D88" s="11" t="s">
        <v>29</v>
      </c>
      <c r="E88" s="86"/>
      <c r="F88" s="2">
        <v>1161883</v>
      </c>
      <c r="G88" s="23"/>
      <c r="H88" s="23"/>
      <c r="I88" s="159"/>
      <c r="J88" s="160"/>
      <c r="K88" s="160"/>
      <c r="L88" s="70"/>
    </row>
    <row r="89" spans="1:16" s="2" customFormat="1" x14ac:dyDescent="0.2">
      <c r="A89" s="89">
        <v>45343</v>
      </c>
      <c r="B89" s="128" t="s">
        <v>11</v>
      </c>
      <c r="C89" s="181" t="s">
        <v>1979</v>
      </c>
      <c r="D89" s="11" t="s">
        <v>29</v>
      </c>
      <c r="E89" s="86"/>
      <c r="F89" s="2">
        <v>248962.89</v>
      </c>
      <c r="G89" s="23"/>
      <c r="H89" s="23"/>
      <c r="I89" s="159"/>
      <c r="J89" s="160"/>
      <c r="K89" s="160"/>
      <c r="L89" s="70" t="s">
        <v>329</v>
      </c>
    </row>
    <row r="90" spans="1:16" s="70" customFormat="1" x14ac:dyDescent="0.2">
      <c r="A90" s="32"/>
      <c r="B90" s="33"/>
      <c r="C90" s="14"/>
      <c r="D90" s="34"/>
      <c r="E90" s="16">
        <f>SUM(E57:E89)</f>
        <v>87348426.890000001</v>
      </c>
      <c r="F90" s="16">
        <f>SUM(F57:F89)</f>
        <v>170236829.91999987</v>
      </c>
      <c r="G90" s="1"/>
      <c r="H90" s="1"/>
      <c r="I90" s="1"/>
      <c r="J90" s="38">
        <v>81930698.030000001</v>
      </c>
      <c r="K90" s="2"/>
      <c r="L90" s="92">
        <f>E91-J90</f>
        <v>957704.99999986589</v>
      </c>
      <c r="M90" s="2"/>
      <c r="N90" s="2"/>
      <c r="O90" s="2"/>
      <c r="P90" s="2"/>
    </row>
    <row r="91" spans="1:16" s="70" customFormat="1" x14ac:dyDescent="0.2">
      <c r="A91" s="36"/>
      <c r="B91" s="28" t="s">
        <v>11</v>
      </c>
      <c r="C91" s="19" t="s">
        <v>65</v>
      </c>
      <c r="D91" s="37"/>
      <c r="E91" s="38">
        <f>F90-E90</f>
        <v>82888403.029999867</v>
      </c>
      <c r="F91" s="22"/>
      <c r="G91" s="1"/>
      <c r="H91" s="1"/>
      <c r="I91" s="1"/>
      <c r="M91" s="2"/>
      <c r="N91" s="2"/>
      <c r="O91" s="1"/>
      <c r="P91" s="2"/>
    </row>
    <row r="92" spans="1:16" s="70" customFormat="1" x14ac:dyDescent="0.2">
      <c r="A92" s="36"/>
      <c r="B92" s="28" t="s">
        <v>66</v>
      </c>
      <c r="C92" s="19" t="s">
        <v>67</v>
      </c>
      <c r="D92" s="37"/>
      <c r="E92" s="38">
        <v>11500000</v>
      </c>
      <c r="F92" s="22"/>
      <c r="G92" s="1"/>
      <c r="H92" s="1"/>
      <c r="M92" s="2"/>
      <c r="N92" s="2"/>
      <c r="O92" s="1"/>
      <c r="P92" s="2"/>
    </row>
    <row r="93" spans="1:16" s="70" customFormat="1" x14ac:dyDescent="0.2">
      <c r="A93" s="36"/>
      <c r="B93" s="28" t="s">
        <v>66</v>
      </c>
      <c r="C93" s="43" t="s">
        <v>1457</v>
      </c>
      <c r="D93" s="43"/>
      <c r="E93" s="12">
        <f>400000000</f>
        <v>400000000</v>
      </c>
      <c r="F93" s="22"/>
      <c r="G93" s="1"/>
      <c r="H93" s="1"/>
      <c r="J93" s="45">
        <v>1921.56</v>
      </c>
      <c r="K93" s="46"/>
      <c r="L93" s="46"/>
      <c r="M93" s="2"/>
      <c r="N93" s="2"/>
      <c r="O93" s="1"/>
      <c r="P93" s="2"/>
    </row>
    <row r="94" spans="1:16" s="70" customFormat="1" ht="15" x14ac:dyDescent="0.25">
      <c r="A94" s="36"/>
      <c r="B94" s="28"/>
      <c r="C94" s="44" t="s">
        <v>1541</v>
      </c>
      <c r="D94" s="43"/>
      <c r="E94" s="7">
        <f>+E93+E91+E92</f>
        <v>494388403.02999985</v>
      </c>
      <c r="F94" s="22"/>
      <c r="G94" s="1"/>
      <c r="H94" s="1"/>
      <c r="I94" s="103" t="s">
        <v>69</v>
      </c>
      <c r="J94" s="45">
        <v>-76.63</v>
      </c>
      <c r="K94" s="46"/>
      <c r="L94" s="46"/>
      <c r="M94" s="2"/>
      <c r="N94" s="2"/>
      <c r="O94" s="1"/>
      <c r="P94" s="2"/>
    </row>
    <row r="95" spans="1:16" s="70" customFormat="1" ht="15" x14ac:dyDescent="0.25">
      <c r="A95" s="24"/>
      <c r="B95" s="1"/>
      <c r="C95" s="44" t="s">
        <v>1510</v>
      </c>
      <c r="D95" s="25"/>
      <c r="E95" s="156">
        <f>+J56-E92+I52-J52</f>
        <v>6569301.9699999988</v>
      </c>
      <c r="F95" s="2"/>
      <c r="G95" s="1"/>
      <c r="H95" s="1"/>
      <c r="I95" s="35">
        <v>1</v>
      </c>
      <c r="J95" s="45">
        <v>65.790000000000006</v>
      </c>
      <c r="K95" s="46">
        <f>+J96-D98</f>
        <v>0</v>
      </c>
      <c r="L95" s="2"/>
      <c r="M95" s="2"/>
      <c r="N95" s="2"/>
      <c r="O95" s="1"/>
      <c r="P95" s="2"/>
    </row>
    <row r="96" spans="1:16" s="70" customFormat="1" ht="12.75" customHeight="1" x14ac:dyDescent="0.2">
      <c r="A96" s="24"/>
      <c r="B96" s="1"/>
      <c r="C96" s="56"/>
      <c r="D96" s="56"/>
      <c r="E96" s="104"/>
      <c r="F96" s="2"/>
      <c r="G96" s="166"/>
      <c r="H96" s="166"/>
      <c r="J96" s="49">
        <f>SUM(J93:J95)</f>
        <v>1910.7199999999998</v>
      </c>
      <c r="K96" s="46"/>
      <c r="L96" s="46"/>
      <c r="M96" s="124"/>
      <c r="N96" s="124"/>
      <c r="O96" s="1"/>
      <c r="P96" s="2"/>
    </row>
    <row r="97" spans="1:19" s="70" customFormat="1" ht="12.75" customHeight="1" x14ac:dyDescent="0.2">
      <c r="A97" s="24"/>
      <c r="B97" s="1"/>
      <c r="C97" s="78" t="s">
        <v>575</v>
      </c>
      <c r="D97" s="48" t="s">
        <v>576</v>
      </c>
      <c r="E97" s="104"/>
      <c r="F97" s="2"/>
      <c r="G97" s="168"/>
      <c r="H97" s="168"/>
      <c r="I97" s="167"/>
      <c r="J97" s="167"/>
      <c r="K97" s="168"/>
      <c r="L97" s="124"/>
      <c r="M97" s="124"/>
      <c r="N97" s="124"/>
      <c r="O97" s="124"/>
      <c r="P97" s="2"/>
    </row>
    <row r="98" spans="1:19" s="70" customFormat="1" ht="12.75" customHeight="1" x14ac:dyDescent="0.2">
      <c r="A98" s="24"/>
      <c r="B98" s="1"/>
      <c r="C98" s="47" t="s">
        <v>570</v>
      </c>
      <c r="D98" s="111">
        <v>1910.72</v>
      </c>
      <c r="E98" s="104"/>
      <c r="F98" s="2"/>
      <c r="G98" s="168"/>
      <c r="H98" s="168"/>
      <c r="I98" s="110" t="s">
        <v>581</v>
      </c>
      <c r="J98" s="167"/>
      <c r="K98" s="168"/>
      <c r="L98" s="124"/>
      <c r="M98" s="124"/>
      <c r="N98" s="124"/>
      <c r="O98" s="124"/>
      <c r="P98" s="124"/>
    </row>
    <row r="99" spans="1:19" s="70" customFormat="1" ht="12.75" customHeight="1" x14ac:dyDescent="0.2">
      <c r="A99" s="24"/>
      <c r="B99" s="1"/>
      <c r="C99" s="47" t="s">
        <v>931</v>
      </c>
      <c r="D99" s="111">
        <v>154.02000000000001</v>
      </c>
      <c r="E99" s="104"/>
      <c r="F99" s="2"/>
      <c r="G99" s="168"/>
      <c r="H99" s="168"/>
      <c r="I99" s="110" t="s">
        <v>580</v>
      </c>
      <c r="J99" s="167"/>
      <c r="K99" s="168"/>
      <c r="L99" s="124"/>
      <c r="M99" s="124"/>
      <c r="N99" s="124"/>
      <c r="O99" s="124"/>
      <c r="P99" s="124"/>
    </row>
    <row r="100" spans="1:19" s="70" customFormat="1" ht="12.75" customHeight="1" x14ac:dyDescent="0.2">
      <c r="A100" s="24"/>
      <c r="B100" s="1"/>
      <c r="C100" s="47" t="s">
        <v>572</v>
      </c>
      <c r="D100" s="111">
        <f>+D136/100000</f>
        <v>411.46947829999999</v>
      </c>
      <c r="E100" s="104"/>
      <c r="F100" s="2"/>
      <c r="G100" s="166"/>
      <c r="H100" s="166"/>
      <c r="I100" s="90" t="s">
        <v>587</v>
      </c>
      <c r="J100" s="167"/>
      <c r="K100" s="168"/>
      <c r="L100" s="124"/>
      <c r="M100" s="124"/>
      <c r="N100" s="124"/>
      <c r="O100" s="124"/>
      <c r="P100" s="124"/>
    </row>
    <row r="101" spans="1:19" s="70" customFormat="1" ht="12.75" customHeight="1" x14ac:dyDescent="0.2">
      <c r="A101" s="24"/>
      <c r="B101" s="1"/>
      <c r="C101" s="108" t="s">
        <v>578</v>
      </c>
      <c r="D101" s="48">
        <f>SUM(D98:D100)</f>
        <v>2476.2094783000002</v>
      </c>
      <c r="E101" s="104"/>
      <c r="F101" s="2"/>
      <c r="G101" s="30"/>
      <c r="H101" s="30"/>
      <c r="I101" s="2"/>
      <c r="J101" s="13"/>
      <c r="K101" s="13"/>
      <c r="L101" s="2"/>
      <c r="M101" s="2"/>
      <c r="N101" s="2"/>
      <c r="O101" s="124"/>
      <c r="P101" s="124"/>
    </row>
    <row r="102" spans="1:19" s="70" customFormat="1" ht="12.75" customHeight="1" x14ac:dyDescent="0.2">
      <c r="A102" s="24"/>
      <c r="B102" s="1"/>
      <c r="C102" s="47"/>
      <c r="D102" s="107"/>
      <c r="E102" s="104"/>
      <c r="F102" s="2"/>
      <c r="G102" s="30"/>
      <c r="H102" s="30"/>
      <c r="I102" s="2"/>
      <c r="O102" s="2"/>
      <c r="P102" s="124"/>
    </row>
    <row r="103" spans="1:19" s="70" customFormat="1" ht="12.75" customHeight="1" x14ac:dyDescent="0.2">
      <c r="A103" s="24"/>
      <c r="B103" s="1"/>
      <c r="C103" s="47" t="s">
        <v>932</v>
      </c>
      <c r="D103" s="111">
        <v>111.36</v>
      </c>
      <c r="E103" s="104"/>
      <c r="F103" s="2"/>
      <c r="G103" s="30"/>
      <c r="H103" s="30"/>
      <c r="I103" s="110" t="s">
        <v>581</v>
      </c>
      <c r="P103" s="2"/>
    </row>
    <row r="104" spans="1:19" s="70" customFormat="1" ht="12.75" customHeight="1" x14ac:dyDescent="0.2">
      <c r="A104" s="24"/>
      <c r="B104" s="1"/>
      <c r="C104" s="136" t="s">
        <v>1142</v>
      </c>
      <c r="D104" s="111">
        <v>392.5</v>
      </c>
      <c r="E104" s="104"/>
      <c r="F104" s="2"/>
      <c r="G104" s="30"/>
      <c r="H104" s="30"/>
      <c r="I104" s="110" t="s">
        <v>581</v>
      </c>
    </row>
    <row r="105" spans="1:19" s="70" customFormat="1" ht="12.75" customHeight="1" x14ac:dyDescent="0.2">
      <c r="A105" s="24"/>
      <c r="B105" s="1"/>
      <c r="C105" s="78" t="s">
        <v>579</v>
      </c>
      <c r="D105" s="109">
        <f>D103+D104</f>
        <v>503.86</v>
      </c>
      <c r="E105" s="104"/>
      <c r="F105" s="2"/>
      <c r="G105" s="30"/>
      <c r="H105" s="30"/>
      <c r="Q105" s="2"/>
      <c r="R105" s="2"/>
      <c r="S105" s="2"/>
    </row>
    <row r="106" spans="1:19" s="2" customFormat="1" x14ac:dyDescent="0.2">
      <c r="A106" s="24"/>
      <c r="B106" s="1"/>
      <c r="C106" s="105"/>
      <c r="D106" s="106"/>
      <c r="E106" s="104"/>
      <c r="G106" s="30"/>
      <c r="H106" s="30"/>
      <c r="I106" s="70"/>
      <c r="K106" s="221" t="str">
        <f>"FROM ( 01-02-2024 to "&amp;TEXT(A5,"dd-mm-yyyy")&amp;" )"</f>
        <v>FROM ( 01-02-2024 to 21-02-2024 )</v>
      </c>
      <c r="L106" s="221"/>
      <c r="O106" s="70"/>
      <c r="P106" s="70"/>
    </row>
    <row r="107" spans="1:19" s="2" customFormat="1" x14ac:dyDescent="0.2">
      <c r="A107" s="24"/>
      <c r="B107" s="1"/>
      <c r="C107" s="78" t="s">
        <v>577</v>
      </c>
      <c r="D107" s="109">
        <f>D98+D105</f>
        <v>2414.58</v>
      </c>
      <c r="E107" s="104"/>
      <c r="G107" s="30"/>
      <c r="H107" s="30"/>
      <c r="I107" s="70"/>
      <c r="J107" s="113"/>
      <c r="K107" s="113" t="s">
        <v>709</v>
      </c>
      <c r="L107" s="113" t="s">
        <v>710</v>
      </c>
      <c r="M107" s="113" t="s">
        <v>711</v>
      </c>
      <c r="N107" s="113" t="s">
        <v>712</v>
      </c>
      <c r="O107" s="70"/>
      <c r="P107" s="70"/>
    </row>
    <row r="108" spans="1:19" s="2" customFormat="1" x14ac:dyDescent="0.2">
      <c r="A108" s="24"/>
      <c r="B108" s="1"/>
      <c r="C108" s="56"/>
      <c r="D108" s="56"/>
      <c r="E108" s="104"/>
      <c r="G108" s="30"/>
      <c r="H108" s="30"/>
      <c r="I108" s="70"/>
      <c r="J108" s="113" t="s">
        <v>1860</v>
      </c>
      <c r="K108" s="115">
        <v>191.98999999999998</v>
      </c>
      <c r="L108" s="115">
        <v>0</v>
      </c>
      <c r="M108" s="115">
        <v>0</v>
      </c>
      <c r="N108" s="113">
        <f>+K108+M108-L108</f>
        <v>191.98999999999998</v>
      </c>
      <c r="O108" s="70"/>
      <c r="P108" s="70"/>
    </row>
    <row r="109" spans="1:19" s="2" customFormat="1" ht="38.25" x14ac:dyDescent="0.2">
      <c r="A109" s="24"/>
      <c r="B109" s="1"/>
      <c r="C109" s="79" t="str">
        <f>"Particulars ( 01-02-2024 to "&amp;TEXT(A5,"dd-mm-yyyy")&amp;" )"</f>
        <v>Particulars ( 01-02-2024 to 21-02-2024 )</v>
      </c>
      <c r="D109" s="79" t="s">
        <v>7</v>
      </c>
      <c r="E109" s="80" t="s">
        <v>73</v>
      </c>
      <c r="F109" s="80" t="s">
        <v>74</v>
      </c>
      <c r="G109" s="81" t="s">
        <v>75</v>
      </c>
      <c r="H109" s="80" t="s">
        <v>76</v>
      </c>
      <c r="I109" s="70"/>
      <c r="J109" s="113" t="s">
        <v>1861</v>
      </c>
      <c r="K109" s="115">
        <v>1862.06</v>
      </c>
      <c r="L109" s="115">
        <v>411.47</v>
      </c>
      <c r="M109" s="115">
        <v>392.5</v>
      </c>
      <c r="N109" s="113">
        <f>+K109+M109-L109</f>
        <v>1843.09</v>
      </c>
      <c r="O109" s="70"/>
      <c r="P109" s="70"/>
    </row>
    <row r="110" spans="1:19" s="2" customFormat="1" x14ac:dyDescent="0.2">
      <c r="A110" s="24"/>
      <c r="B110" s="1"/>
      <c r="C110" s="50" t="s">
        <v>444</v>
      </c>
      <c r="D110" s="55">
        <f>+K110</f>
        <v>332.44</v>
      </c>
      <c r="E110" s="55">
        <f>+IF(M110=0,0,M110)</f>
        <v>111.36</v>
      </c>
      <c r="F110" s="55">
        <f>+L110</f>
        <v>154.02000000000001</v>
      </c>
      <c r="G110" s="55">
        <f>+D110+E110-F110</f>
        <v>289.77999999999997</v>
      </c>
      <c r="H110" s="55">
        <f>1500-G110</f>
        <v>1210.22</v>
      </c>
      <c r="I110" s="70">
        <f>+IF(M110=0,0,M110)</f>
        <v>111.36</v>
      </c>
      <c r="J110" s="113" t="s">
        <v>707</v>
      </c>
      <c r="K110" s="115">
        <v>332.44</v>
      </c>
      <c r="L110" s="115">
        <v>154.02000000000001</v>
      </c>
      <c r="M110" s="115">
        <v>111.36</v>
      </c>
      <c r="N110" s="113">
        <f>+K110+M110-L110</f>
        <v>289.77999999999997</v>
      </c>
      <c r="O110" s="70"/>
      <c r="P110" s="70"/>
    </row>
    <row r="111" spans="1:19" s="2" customFormat="1" x14ac:dyDescent="0.2">
      <c r="A111" s="24"/>
      <c r="B111" s="1"/>
      <c r="C111" s="50" t="s">
        <v>71</v>
      </c>
      <c r="D111" s="55">
        <f>+K108+K109</f>
        <v>2054.0499999999997</v>
      </c>
      <c r="E111" s="55">
        <f>+M108+M109</f>
        <v>392.5</v>
      </c>
      <c r="F111" s="55">
        <f>+L108+L109</f>
        <v>411.47</v>
      </c>
      <c r="G111" s="55">
        <f>+D111+E111-F111</f>
        <v>2035.0799999999997</v>
      </c>
      <c r="H111" s="55">
        <f>1500+700+200-G111</f>
        <v>364.9200000000003</v>
      </c>
      <c r="I111" s="70"/>
      <c r="K111" s="118">
        <f>SUM(K108:K110)</f>
        <v>2386.4899999999998</v>
      </c>
      <c r="L111" s="118">
        <f>SUM(L108:L110)</f>
        <v>565.49</v>
      </c>
      <c r="M111" s="118">
        <f>SUM(M108:M110)</f>
        <v>503.86</v>
      </c>
      <c r="N111" s="118">
        <f>SUM(N108:N110)</f>
        <v>2324.8599999999997</v>
      </c>
      <c r="O111" s="70"/>
      <c r="P111" s="70"/>
    </row>
    <row r="112" spans="1:19" s="2" customFormat="1" x14ac:dyDescent="0.2">
      <c r="A112" s="24"/>
      <c r="B112" s="1"/>
      <c r="C112" s="14"/>
      <c r="D112" s="56"/>
      <c r="E112" s="13"/>
      <c r="G112" s="30"/>
      <c r="H112" s="30"/>
      <c r="I112" s="70"/>
      <c r="J112" s="70"/>
      <c r="K112" s="70"/>
      <c r="L112" s="70"/>
      <c r="M112" s="70"/>
      <c r="N112" s="70"/>
      <c r="O112" s="70"/>
      <c r="P112" s="70"/>
    </row>
    <row r="113" spans="1:16" s="2" customFormat="1" x14ac:dyDescent="0.2">
      <c r="A113" s="215" t="s">
        <v>80</v>
      </c>
      <c r="B113" s="216"/>
      <c r="C113" s="216"/>
      <c r="D113" s="217"/>
      <c r="E113" s="69"/>
      <c r="F113" s="70"/>
      <c r="G113" s="30"/>
      <c r="H113" s="30"/>
      <c r="I113" s="70"/>
      <c r="J113" s="70"/>
      <c r="K113" s="70"/>
      <c r="L113" s="70"/>
      <c r="M113" s="70"/>
      <c r="N113" s="70"/>
      <c r="O113" s="70"/>
      <c r="P113" s="70"/>
    </row>
    <row r="114" spans="1:16" s="2" customFormat="1" x14ac:dyDescent="0.2">
      <c r="A114" s="71" t="s">
        <v>81</v>
      </c>
      <c r="B114" s="71"/>
      <c r="C114" s="72" t="s">
        <v>82</v>
      </c>
      <c r="D114" s="73" t="s">
        <v>83</v>
      </c>
      <c r="E114" s="69"/>
      <c r="F114" s="70"/>
      <c r="G114" s="30"/>
      <c r="H114" s="30"/>
      <c r="I114" s="70"/>
      <c r="J114" s="70"/>
      <c r="K114" s="70"/>
      <c r="L114" s="70"/>
      <c r="M114" s="70"/>
      <c r="N114" s="70"/>
      <c r="O114" s="70"/>
      <c r="P114" s="70"/>
    </row>
    <row r="115" spans="1:16" s="2" customFormat="1" x14ac:dyDescent="0.2">
      <c r="A115" s="87">
        <v>45323</v>
      </c>
      <c r="B115" s="120" t="s">
        <v>6</v>
      </c>
      <c r="C115" s="75" t="s">
        <v>2030</v>
      </c>
      <c r="D115" s="88">
        <v>881220</v>
      </c>
      <c r="G115" s="30"/>
      <c r="H115" s="30"/>
      <c r="M115" s="41"/>
      <c r="N115" s="42"/>
      <c r="O115" s="70"/>
      <c r="P115" s="70"/>
    </row>
    <row r="116" spans="1:16" s="2" customFormat="1" x14ac:dyDescent="0.2">
      <c r="A116" s="87">
        <v>45324</v>
      </c>
      <c r="B116" s="120" t="s">
        <v>6</v>
      </c>
      <c r="C116" s="75" t="s">
        <v>1934</v>
      </c>
      <c r="D116" s="88">
        <v>47729</v>
      </c>
      <c r="G116" s="30"/>
      <c r="H116" s="30"/>
      <c r="M116" s="41"/>
      <c r="N116" s="42"/>
      <c r="P116" s="70"/>
    </row>
    <row r="117" spans="1:16" s="2" customFormat="1" x14ac:dyDescent="0.2">
      <c r="A117" s="87">
        <v>45328</v>
      </c>
      <c r="B117" s="120" t="s">
        <v>6</v>
      </c>
      <c r="C117" s="75" t="s">
        <v>606</v>
      </c>
      <c r="D117" s="88">
        <v>1312580</v>
      </c>
      <c r="G117" s="30"/>
      <c r="H117" s="30"/>
      <c r="M117" s="41"/>
      <c r="N117" s="42"/>
      <c r="P117" s="70"/>
    </row>
    <row r="118" spans="1:16" s="2" customFormat="1" x14ac:dyDescent="0.2">
      <c r="A118" s="87">
        <v>45327</v>
      </c>
      <c r="B118" s="120" t="s">
        <v>6</v>
      </c>
      <c r="C118" s="75" t="s">
        <v>606</v>
      </c>
      <c r="D118" s="88">
        <v>56647</v>
      </c>
      <c r="G118" s="30"/>
      <c r="H118" s="30"/>
      <c r="M118" s="41"/>
      <c r="N118" s="42"/>
      <c r="P118" s="70"/>
    </row>
    <row r="119" spans="1:16" s="2" customFormat="1" x14ac:dyDescent="0.2">
      <c r="A119" s="87">
        <v>45329</v>
      </c>
      <c r="B119" s="120" t="s">
        <v>6</v>
      </c>
      <c r="C119" s="75" t="s">
        <v>2030</v>
      </c>
      <c r="D119" s="88">
        <v>548859</v>
      </c>
      <c r="G119" s="30"/>
      <c r="H119" s="30"/>
      <c r="M119" s="41"/>
      <c r="N119" s="42"/>
      <c r="P119" s="70"/>
    </row>
    <row r="120" spans="1:16" s="2" customFormat="1" x14ac:dyDescent="0.2">
      <c r="A120" s="87">
        <v>45332</v>
      </c>
      <c r="B120" s="120" t="s">
        <v>6</v>
      </c>
      <c r="C120" s="75" t="s">
        <v>1084</v>
      </c>
      <c r="D120" s="88">
        <v>1603904</v>
      </c>
      <c r="G120" s="30"/>
      <c r="H120" s="30"/>
      <c r="M120" s="41"/>
      <c r="N120" s="42"/>
      <c r="P120" s="70"/>
    </row>
    <row r="121" spans="1:16" s="2" customFormat="1" x14ac:dyDescent="0.2">
      <c r="A121" s="87">
        <v>45334</v>
      </c>
      <c r="B121" s="120" t="s">
        <v>6</v>
      </c>
      <c r="C121" s="75" t="s">
        <v>1934</v>
      </c>
      <c r="D121" s="88">
        <v>126143</v>
      </c>
      <c r="G121" s="30"/>
      <c r="H121" s="30"/>
      <c r="M121" s="41"/>
      <c r="N121" s="42"/>
      <c r="P121" s="70"/>
    </row>
    <row r="122" spans="1:16" s="2" customFormat="1" x14ac:dyDescent="0.2">
      <c r="A122" s="87">
        <v>45334</v>
      </c>
      <c r="B122" s="120" t="s">
        <v>6</v>
      </c>
      <c r="C122" s="75" t="s">
        <v>2092</v>
      </c>
      <c r="D122" s="88">
        <v>231107</v>
      </c>
      <c r="G122" s="30"/>
      <c r="H122" s="30"/>
      <c r="M122" s="41"/>
      <c r="N122" s="42"/>
      <c r="P122" s="70"/>
    </row>
    <row r="123" spans="1:16" s="2" customFormat="1" x14ac:dyDescent="0.2">
      <c r="A123" s="87">
        <v>45335</v>
      </c>
      <c r="B123" s="120" t="s">
        <v>6</v>
      </c>
      <c r="C123" s="75" t="s">
        <v>271</v>
      </c>
      <c r="D123" s="88">
        <v>9126</v>
      </c>
      <c r="G123" s="30"/>
      <c r="H123" s="30"/>
      <c r="P123" s="70"/>
    </row>
    <row r="124" spans="1:16" s="2" customFormat="1" x14ac:dyDescent="0.2">
      <c r="A124" s="87">
        <v>45337</v>
      </c>
      <c r="B124" s="120" t="s">
        <v>6</v>
      </c>
      <c r="C124" s="75" t="s">
        <v>1806</v>
      </c>
      <c r="D124" s="88">
        <v>78251</v>
      </c>
      <c r="G124" s="30"/>
      <c r="H124" s="30"/>
      <c r="P124" s="70"/>
    </row>
    <row r="125" spans="1:16" s="2" customFormat="1" x14ac:dyDescent="0.2">
      <c r="A125" s="87">
        <v>45337</v>
      </c>
      <c r="B125" s="120" t="s">
        <v>6</v>
      </c>
      <c r="C125" s="75" t="s">
        <v>271</v>
      </c>
      <c r="D125" s="88">
        <v>17527</v>
      </c>
      <c r="F125" s="2" t="s">
        <v>396</v>
      </c>
      <c r="G125" s="30"/>
      <c r="H125" s="30"/>
      <c r="P125" s="70"/>
    </row>
    <row r="126" spans="1:16" s="2" customFormat="1" x14ac:dyDescent="0.2">
      <c r="A126" s="87">
        <v>45338</v>
      </c>
      <c r="B126" s="120" t="s">
        <v>6</v>
      </c>
      <c r="C126" s="75" t="s">
        <v>1806</v>
      </c>
      <c r="D126" s="88">
        <v>1418915</v>
      </c>
      <c r="G126" s="30"/>
      <c r="H126" s="30"/>
      <c r="P126" s="70"/>
    </row>
    <row r="127" spans="1:16" s="2" customFormat="1" x14ac:dyDescent="0.2">
      <c r="A127" s="87">
        <v>45338</v>
      </c>
      <c r="B127" s="120" t="s">
        <v>6</v>
      </c>
      <c r="C127" s="75" t="s">
        <v>606</v>
      </c>
      <c r="D127" s="88">
        <v>3685988</v>
      </c>
      <c r="F127" s="2" t="s">
        <v>396</v>
      </c>
      <c r="G127" s="30"/>
      <c r="H127" s="30"/>
      <c r="P127" s="70"/>
    </row>
    <row r="128" spans="1:16" s="2" customFormat="1" x14ac:dyDescent="0.2">
      <c r="A128" s="87">
        <v>45339</v>
      </c>
      <c r="B128" s="120" t="s">
        <v>6</v>
      </c>
      <c r="C128" s="75" t="s">
        <v>271</v>
      </c>
      <c r="D128" s="88">
        <v>423618</v>
      </c>
      <c r="G128" s="30"/>
      <c r="H128" s="30"/>
      <c r="P128" s="70"/>
    </row>
    <row r="129" spans="1:16" s="2" customFormat="1" x14ac:dyDescent="0.2">
      <c r="A129" s="87">
        <v>45341</v>
      </c>
      <c r="B129" s="120" t="s">
        <v>6</v>
      </c>
      <c r="C129" s="75" t="s">
        <v>271</v>
      </c>
      <c r="D129" s="88">
        <v>121500</v>
      </c>
      <c r="G129" s="30"/>
      <c r="H129" s="30"/>
      <c r="P129" s="70"/>
    </row>
    <row r="130" spans="1:16" s="2" customFormat="1" x14ac:dyDescent="0.2">
      <c r="A130" s="87">
        <v>45341</v>
      </c>
      <c r="B130" s="120" t="s">
        <v>6</v>
      </c>
      <c r="C130" s="2" t="s">
        <v>1934</v>
      </c>
      <c r="D130" s="88">
        <v>58247.99</v>
      </c>
      <c r="G130" s="30"/>
      <c r="H130" s="30"/>
      <c r="P130" s="70"/>
    </row>
    <row r="131" spans="1:16" s="2" customFormat="1" x14ac:dyDescent="0.2">
      <c r="A131" s="87">
        <v>45341</v>
      </c>
      <c r="B131" s="120" t="s">
        <v>6</v>
      </c>
      <c r="C131" s="2" t="s">
        <v>1934</v>
      </c>
      <c r="D131" s="88">
        <v>164904</v>
      </c>
      <c r="G131" s="30"/>
      <c r="H131" s="30"/>
      <c r="P131" s="70"/>
    </row>
    <row r="132" spans="1:16" s="2" customFormat="1" x14ac:dyDescent="0.2">
      <c r="A132" s="87">
        <v>45341</v>
      </c>
      <c r="B132" s="120" t="s">
        <v>6</v>
      </c>
      <c r="C132" s="75" t="s">
        <v>888</v>
      </c>
      <c r="D132" s="88">
        <v>5824017.3399999999</v>
      </c>
      <c r="G132" s="30"/>
      <c r="H132" s="30"/>
      <c r="P132" s="70"/>
    </row>
    <row r="133" spans="1:16" s="2" customFormat="1" x14ac:dyDescent="0.2">
      <c r="A133" s="87">
        <v>45342</v>
      </c>
      <c r="B133" s="120" t="s">
        <v>6</v>
      </c>
      <c r="C133" s="75" t="s">
        <v>1806</v>
      </c>
      <c r="D133" s="88">
        <v>6536518</v>
      </c>
      <c r="G133" s="30"/>
      <c r="H133" s="30"/>
      <c r="P133" s="70"/>
    </row>
    <row r="134" spans="1:16" s="2" customFormat="1" x14ac:dyDescent="0.2">
      <c r="A134" s="87">
        <v>45343</v>
      </c>
      <c r="B134" s="120" t="s">
        <v>6</v>
      </c>
      <c r="C134" s="75" t="s">
        <v>1988</v>
      </c>
      <c r="D134" s="88">
        <v>3000000</v>
      </c>
      <c r="G134" s="30"/>
      <c r="H134" s="30"/>
      <c r="P134" s="70"/>
    </row>
    <row r="135" spans="1:16" s="2" customFormat="1" x14ac:dyDescent="0.2">
      <c r="A135" s="87">
        <v>45343</v>
      </c>
      <c r="B135" s="120" t="s">
        <v>6</v>
      </c>
      <c r="C135" s="75" t="s">
        <v>1806</v>
      </c>
      <c r="D135" s="88">
        <v>15000146.5</v>
      </c>
      <c r="G135" s="30"/>
      <c r="H135" s="30"/>
      <c r="P135" s="70"/>
    </row>
    <row r="136" spans="1:16" s="2" customFormat="1" x14ac:dyDescent="0.2">
      <c r="A136" s="87"/>
      <c r="B136" s="74"/>
      <c r="C136" s="75"/>
      <c r="D136" s="51">
        <f>SUM(D115:D135)</f>
        <v>41146947.829999998</v>
      </c>
      <c r="F136" s="2" t="s">
        <v>396</v>
      </c>
      <c r="G136" s="1"/>
      <c r="H136" s="1"/>
      <c r="P136" s="70"/>
    </row>
    <row r="137" spans="1:16" s="2" customFormat="1" x14ac:dyDescent="0.2">
      <c r="A137" s="24"/>
      <c r="B137" s="1"/>
      <c r="C137" s="14"/>
      <c r="D137" s="56"/>
      <c r="E137" s="13"/>
      <c r="G137" s="1"/>
      <c r="H137" s="1"/>
      <c r="I137" s="2" t="s">
        <v>396</v>
      </c>
    </row>
    <row r="138" spans="1:16" s="2" customFormat="1" x14ac:dyDescent="0.2">
      <c r="A138" s="24"/>
      <c r="B138" s="1"/>
      <c r="C138" s="218" t="s">
        <v>77</v>
      </c>
      <c r="D138" s="219"/>
      <c r="E138" s="219"/>
      <c r="F138" s="220"/>
      <c r="I138" s="2" t="s">
        <v>396</v>
      </c>
    </row>
    <row r="139" spans="1:16" s="2" customFormat="1" x14ac:dyDescent="0.2">
      <c r="A139" s="24"/>
      <c r="B139" s="1"/>
      <c r="C139" s="50"/>
      <c r="D139" s="57" t="s">
        <v>78</v>
      </c>
      <c r="E139" s="58" t="s">
        <v>79</v>
      </c>
      <c r="F139" s="57" t="s">
        <v>72</v>
      </c>
    </row>
    <row r="140" spans="1:16" s="2" customFormat="1" x14ac:dyDescent="0.2">
      <c r="A140" s="24"/>
      <c r="B140" s="1"/>
      <c r="C140" s="59" t="str">
        <f>"01-02-2024 to "&amp;TEXT(A5-2,"dd-mm-yyyy")</f>
        <v>01-02-2024 to 19-02-2024</v>
      </c>
      <c r="D140" s="60">
        <v>2358.33</v>
      </c>
      <c r="E140" s="60">
        <v>424.76</v>
      </c>
      <c r="F140" s="61">
        <f>SUM(D140:E140)</f>
        <v>2783.09</v>
      </c>
      <c r="I140" s="53"/>
    </row>
    <row r="141" spans="1:16" s="2" customFormat="1" x14ac:dyDescent="0.2">
      <c r="A141" s="24"/>
      <c r="B141" s="1"/>
      <c r="C141" s="62" t="str">
        <f>TEXT(A5-1,"dd-mm-yyyy")</f>
        <v>20-02-2024</v>
      </c>
      <c r="D141" s="60">
        <v>175.63</v>
      </c>
      <c r="E141" s="60">
        <v>17.84</v>
      </c>
      <c r="F141" s="61">
        <f>SUM(D141:E141)</f>
        <v>193.47</v>
      </c>
      <c r="G141" s="1"/>
      <c r="H141" s="1"/>
      <c r="I141" s="53"/>
    </row>
    <row r="142" spans="1:16" s="2" customFormat="1" ht="13.5" thickBot="1" x14ac:dyDescent="0.25">
      <c r="A142" s="24"/>
      <c r="B142" s="1"/>
      <c r="C142" s="63" t="str">
        <f>"01-02-2024 to "&amp;TEXT(A5-1,"dd-mm-yyyy")</f>
        <v>01-02-2024 to 20-02-2024</v>
      </c>
      <c r="D142" s="64">
        <f>SUM(D140:D141)</f>
        <v>2533.96</v>
      </c>
      <c r="E142" s="64">
        <f>SUM(E140:E141)</f>
        <v>442.59999999999997</v>
      </c>
      <c r="F142" s="64">
        <f>SUM(F140:F141)</f>
        <v>2976.56</v>
      </c>
      <c r="G142" s="1"/>
      <c r="H142" s="1"/>
      <c r="M142" s="1"/>
      <c r="N142" s="1"/>
    </row>
    <row r="143" spans="1:16" s="2" customFormat="1" ht="13.5" thickTop="1" x14ac:dyDescent="0.2">
      <c r="A143" s="24"/>
      <c r="B143" s="1"/>
      <c r="C143" s="62"/>
      <c r="D143" s="65"/>
      <c r="E143" s="66"/>
      <c r="F143" s="67"/>
      <c r="M143" s="1"/>
      <c r="N143" s="1"/>
    </row>
    <row r="144" spans="1:16" s="2" customFormat="1" x14ac:dyDescent="0.2">
      <c r="A144" s="24"/>
      <c r="B144" s="1"/>
      <c r="C144" s="62" t="str">
        <f>"01-04-2023 to " &amp;C141</f>
        <v>01-04-2023 to 20-02-2024</v>
      </c>
      <c r="D144" s="68">
        <f>+D142+37155.6</f>
        <v>39689.56</v>
      </c>
      <c r="E144" s="68">
        <f>+E142+4502.26</f>
        <v>4944.8600000000006</v>
      </c>
      <c r="F144" s="68">
        <f>+F142+41657.86</f>
        <v>44634.42</v>
      </c>
      <c r="G144" s="1"/>
      <c r="H144" s="1"/>
      <c r="M144" s="1"/>
      <c r="N144" s="1"/>
    </row>
    <row r="145" spans="1:19" s="2" customFormat="1" x14ac:dyDescent="0.2">
      <c r="A145" s="24"/>
      <c r="B145" s="1"/>
      <c r="C145" s="52"/>
      <c r="D145" s="85"/>
      <c r="E145" s="53"/>
      <c r="F145" s="53"/>
      <c r="G145" s="1"/>
      <c r="H145" s="1"/>
      <c r="M145" s="1"/>
      <c r="N145" s="1"/>
    </row>
    <row r="146" spans="1:19" s="2" customFormat="1" x14ac:dyDescent="0.2">
      <c r="A146" s="24"/>
      <c r="B146" s="1"/>
      <c r="C146" s="52"/>
      <c r="D146" s="85"/>
      <c r="E146" s="53"/>
      <c r="F146" s="53"/>
      <c r="G146" s="1"/>
      <c r="H146" s="1"/>
      <c r="M146" s="1"/>
      <c r="N146" s="1"/>
    </row>
    <row r="147" spans="1:19" s="2" customFormat="1" x14ac:dyDescent="0.2">
      <c r="A147" s="24"/>
      <c r="B147" s="1"/>
      <c r="C147" s="52"/>
      <c r="D147" s="85"/>
      <c r="E147" s="53"/>
      <c r="F147" s="53"/>
      <c r="G147" s="1"/>
      <c r="H147" s="1"/>
      <c r="M147" s="1"/>
      <c r="N147" s="1"/>
    </row>
    <row r="148" spans="1:19" s="2" customFormat="1" x14ac:dyDescent="0.2">
      <c r="A148" s="24"/>
      <c r="B148" s="1"/>
      <c r="C148" s="52"/>
      <c r="D148" s="85"/>
      <c r="E148" s="53"/>
      <c r="F148" s="53"/>
      <c r="G148" s="1"/>
      <c r="H148" s="1"/>
      <c r="M148" s="1"/>
      <c r="N148" s="1"/>
    </row>
    <row r="149" spans="1:19" s="2" customFormat="1" x14ac:dyDescent="0.2">
      <c r="A149" s="24"/>
      <c r="B149" s="1"/>
      <c r="C149" s="14"/>
      <c r="D149" s="25">
        <f>SUM(D146:D148)</f>
        <v>0</v>
      </c>
      <c r="E149" s="2">
        <f>SUM(E146:E148)</f>
        <v>0</v>
      </c>
      <c r="G149" s="1"/>
      <c r="H149" s="1"/>
      <c r="M149" s="1"/>
      <c r="N149" s="1"/>
    </row>
    <row r="150" spans="1:19" s="2" customFormat="1" x14ac:dyDescent="0.2">
      <c r="A150" s="24"/>
      <c r="B150" s="1"/>
      <c r="C150" s="14"/>
      <c r="D150" s="25"/>
      <c r="G150" s="1"/>
      <c r="H150" s="1"/>
      <c r="M150" s="1"/>
      <c r="N150" s="1"/>
    </row>
    <row r="151" spans="1:19" s="2" customFormat="1" x14ac:dyDescent="0.2">
      <c r="A151" s="24"/>
      <c r="B151" s="1"/>
      <c r="C151" s="14"/>
      <c r="D151" s="25"/>
      <c r="G151" s="1"/>
      <c r="H151" s="1"/>
      <c r="M151" s="1"/>
      <c r="N151" s="1"/>
    </row>
    <row r="152" spans="1:19" s="2" customFormat="1" x14ac:dyDescent="0.2">
      <c r="A152" s="24"/>
      <c r="B152" s="1"/>
      <c r="C152" s="14"/>
      <c r="D152" s="25"/>
      <c r="G152" s="1"/>
      <c r="H152" s="1"/>
      <c r="M152" s="1"/>
      <c r="N152" s="1"/>
    </row>
    <row r="153" spans="1:19" s="2" customFormat="1" x14ac:dyDescent="0.2">
      <c r="A153" s="24"/>
      <c r="B153" s="1"/>
      <c r="C153" s="14"/>
      <c r="D153" s="25"/>
      <c r="G153" s="1"/>
      <c r="H153" s="1"/>
      <c r="M153" s="1"/>
      <c r="N153" s="1"/>
    </row>
    <row r="154" spans="1:19" s="2" customFormat="1" x14ac:dyDescent="0.2">
      <c r="A154" s="24"/>
      <c r="B154" s="1"/>
      <c r="C154" s="14"/>
      <c r="D154" s="25"/>
      <c r="G154" s="1"/>
      <c r="H154" s="1"/>
      <c r="M154" s="1"/>
      <c r="N154" s="1"/>
    </row>
    <row r="155" spans="1:19" s="2" customFormat="1" x14ac:dyDescent="0.2">
      <c r="A155" s="24"/>
      <c r="B155" s="1"/>
      <c r="C155" s="14"/>
      <c r="D155" s="25"/>
      <c r="G155" s="1"/>
      <c r="H155" s="1"/>
      <c r="M155" s="1"/>
      <c r="N155" s="1"/>
    </row>
    <row r="156" spans="1:19" s="2" customFormat="1" x14ac:dyDescent="0.2">
      <c r="A156" s="24"/>
      <c r="B156" s="1"/>
      <c r="C156" s="14"/>
      <c r="D156" s="25"/>
      <c r="G156" s="1"/>
      <c r="H156" s="1"/>
      <c r="M156" s="1"/>
      <c r="N156" s="1"/>
      <c r="Q156" s="1"/>
      <c r="R156" s="1"/>
      <c r="S156" s="1"/>
    </row>
    <row r="157" spans="1:19" x14ac:dyDescent="0.2">
      <c r="J157" s="2"/>
      <c r="K157" s="2"/>
      <c r="L157" s="2"/>
      <c r="O157" s="2"/>
      <c r="P157" s="2"/>
      <c r="Q157" s="2"/>
      <c r="R157" s="2"/>
      <c r="S157" s="2"/>
    </row>
    <row r="158" spans="1:19" s="2" customFormat="1" x14ac:dyDescent="0.2">
      <c r="A158" s="24"/>
      <c r="B158" s="1"/>
      <c r="C158" s="14"/>
      <c r="D158" s="25"/>
      <c r="G158" s="1"/>
      <c r="H158" s="1"/>
      <c r="M158" s="1"/>
      <c r="N158" s="1"/>
      <c r="Q158" s="1"/>
      <c r="R158" s="1"/>
      <c r="S158" s="1"/>
    </row>
    <row r="159" spans="1:19" x14ac:dyDescent="0.2">
      <c r="J159" s="2"/>
      <c r="K159" s="2"/>
      <c r="L159" s="2"/>
      <c r="O159" s="2"/>
      <c r="P159" s="2"/>
    </row>
    <row r="160" spans="1:19" x14ac:dyDescent="0.2">
      <c r="J160" s="2"/>
      <c r="K160" s="2"/>
      <c r="L160" s="2"/>
      <c r="O160" s="2"/>
      <c r="P160" s="2"/>
    </row>
    <row r="161" spans="7:16" x14ac:dyDescent="0.2">
      <c r="J161" s="2"/>
      <c r="K161" s="2"/>
      <c r="L161" s="2"/>
      <c r="O161" s="2"/>
      <c r="P161" s="2"/>
    </row>
    <row r="162" spans="7:16" x14ac:dyDescent="0.2">
      <c r="J162" s="2"/>
      <c r="K162" s="2"/>
      <c r="L162" s="2"/>
      <c r="O162" s="2"/>
      <c r="P162" s="2"/>
    </row>
    <row r="163" spans="7:16" x14ac:dyDescent="0.2">
      <c r="O163" s="2"/>
      <c r="P163" s="2"/>
    </row>
    <row r="164" spans="7:16" x14ac:dyDescent="0.2">
      <c r="J164" s="2"/>
      <c r="K164" s="2"/>
      <c r="L164" s="2"/>
      <c r="M164" s="2"/>
      <c r="N164" s="2"/>
      <c r="O164" s="2"/>
      <c r="P164" s="2"/>
    </row>
    <row r="165" spans="7:16" x14ac:dyDescent="0.2">
      <c r="O165" s="2"/>
      <c r="P165" s="2"/>
    </row>
    <row r="166" spans="7:16" x14ac:dyDescent="0.2">
      <c r="G166" s="54"/>
      <c r="H166" s="54"/>
      <c r="O166" s="2"/>
      <c r="P166" s="2"/>
    </row>
    <row r="167" spans="7:16" x14ac:dyDescent="0.2">
      <c r="G167" s="54"/>
      <c r="H167" s="54"/>
      <c r="O167" s="2"/>
      <c r="P167" s="2"/>
    </row>
    <row r="168" spans="7:16" x14ac:dyDescent="0.2">
      <c r="G168" s="54"/>
      <c r="H168" s="54"/>
      <c r="O168" s="2"/>
      <c r="P168" s="2"/>
    </row>
    <row r="169" spans="7:16" x14ac:dyDescent="0.2">
      <c r="G169" s="54"/>
      <c r="H169" s="54"/>
      <c r="I169" s="2" t="s">
        <v>396</v>
      </c>
      <c r="O169" s="2"/>
      <c r="P169" s="2"/>
    </row>
    <row r="170" spans="7:16" x14ac:dyDescent="0.2">
      <c r="G170" s="54"/>
      <c r="H170" s="54"/>
      <c r="I170" s="53"/>
      <c r="J170" s="2"/>
      <c r="K170" s="2"/>
      <c r="L170" s="2"/>
      <c r="M170" s="2"/>
      <c r="N170" s="2"/>
      <c r="P170" s="2"/>
    </row>
    <row r="171" spans="7:16" x14ac:dyDescent="0.2">
      <c r="G171" s="54"/>
      <c r="H171" s="54"/>
      <c r="I171" s="53" t="s">
        <v>396</v>
      </c>
      <c r="O171" s="2"/>
      <c r="P171" s="2"/>
    </row>
    <row r="172" spans="7:16" x14ac:dyDescent="0.2">
      <c r="G172" s="54"/>
      <c r="H172" s="54"/>
      <c r="I172" s="53" t="s">
        <v>396</v>
      </c>
      <c r="K172" s="42"/>
      <c r="P172" s="2"/>
    </row>
    <row r="173" spans="7:16" x14ac:dyDescent="0.2">
      <c r="G173" s="54"/>
      <c r="H173" s="54"/>
      <c r="I173" s="53"/>
      <c r="J173" s="101"/>
      <c r="P173" s="2"/>
    </row>
    <row r="174" spans="7:16" x14ac:dyDescent="0.2">
      <c r="G174" s="54"/>
      <c r="H174" s="54"/>
      <c r="I174" s="53"/>
    </row>
    <row r="175" spans="7:16" x14ac:dyDescent="0.2">
      <c r="G175" s="54"/>
      <c r="H175" s="54"/>
      <c r="I175" s="53"/>
      <c r="P175" s="2"/>
    </row>
    <row r="176" spans="7:16" x14ac:dyDescent="0.2">
      <c r="G176" s="54"/>
      <c r="H176" s="54"/>
      <c r="I176" s="53"/>
    </row>
  </sheetData>
  <sheetProtection insertRows="0"/>
  <mergeCells count="8">
    <mergeCell ref="K106:L106"/>
    <mergeCell ref="A113:D113"/>
    <mergeCell ref="C138:F138"/>
    <mergeCell ref="A1:H1"/>
    <mergeCell ref="A3:F3"/>
    <mergeCell ref="A43:F43"/>
    <mergeCell ref="A55:F55"/>
    <mergeCell ref="A11:F11"/>
  </mergeCells>
  <conditionalFormatting sqref="H110:H111">
    <cfRule type="cellIs" dxfId="63" priority="1" operator="lessThan">
      <formula>0</formula>
    </cfRule>
  </conditionalFormatting>
  <conditionalFormatting sqref="C57">
    <cfRule type="duplicateValues" dxfId="62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1-000000000000}">
  <sheetPr codeName="Sheet555">
    <pageSetUpPr fitToPage="1"/>
  </sheetPr>
  <dimension ref="A1:S193"/>
  <sheetViews>
    <sheetView zoomScaleNormal="100" workbookViewId="0">
      <selection sqref="A1:H1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12.85546875" style="1" customWidth="1"/>
    <col min="9" max="9" width="24.85546875" style="2" bestFit="1" customWidth="1"/>
    <col min="10" max="10" width="21.5703125" style="1" bestFit="1" customWidth="1"/>
    <col min="11" max="11" width="16.85546875" style="1" bestFit="1" customWidth="1"/>
    <col min="12" max="12" width="19.5703125" style="1" bestFit="1" customWidth="1"/>
    <col min="13" max="13" width="13.5703125" style="1" bestFit="1" customWidth="1"/>
    <col min="14" max="14" width="17.42578125" style="1" bestFit="1" customWidth="1"/>
    <col min="15" max="15" width="12.85546875" style="1" bestFit="1" customWidth="1"/>
    <col min="16" max="17" width="9.140625" style="1"/>
    <col min="18" max="18" width="15.5703125" style="1" bestFit="1" customWidth="1"/>
    <col min="19" max="16384" width="9.140625" style="1"/>
  </cols>
  <sheetData>
    <row r="1" spans="1:11" ht="20.25" customHeight="1" x14ac:dyDescent="0.4">
      <c r="A1" s="212" t="s">
        <v>2107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1" ht="12.75" customHeight="1" x14ac:dyDescent="0.4">
      <c r="I2" s="112"/>
      <c r="J2" s="112"/>
    </row>
    <row r="3" spans="1:11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1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1" s="2" customFormat="1" ht="14.25" customHeight="1" x14ac:dyDescent="0.4">
      <c r="A5" s="89">
        <v>45344</v>
      </c>
      <c r="B5" s="9" t="s">
        <v>6</v>
      </c>
      <c r="C5" s="10" t="s">
        <v>7</v>
      </c>
      <c r="D5" s="11"/>
      <c r="E5" s="12">
        <v>322570.6800000004</v>
      </c>
      <c r="F5" s="12"/>
      <c r="G5" s="1"/>
      <c r="H5" s="1"/>
      <c r="I5" s="112"/>
      <c r="J5" s="112"/>
    </row>
    <row r="6" spans="1:11" s="2" customFormat="1" ht="12.75" customHeight="1" x14ac:dyDescent="0.2">
      <c r="D6" s="15" t="s">
        <v>8</v>
      </c>
      <c r="E6" s="16">
        <f>SUM(E5:E5)</f>
        <v>322570.6800000004</v>
      </c>
      <c r="F6" s="16">
        <f>F5</f>
        <v>0</v>
      </c>
      <c r="G6" s="1"/>
      <c r="H6" s="1"/>
      <c r="I6" s="13" t="s">
        <v>1582</v>
      </c>
      <c r="J6" s="13" t="s">
        <v>1583</v>
      </c>
    </row>
    <row r="7" spans="1:11" s="2" customFormat="1" ht="12.75" customHeight="1" x14ac:dyDescent="0.2">
      <c r="A7" s="17"/>
      <c r="B7" s="18"/>
      <c r="C7" s="19" t="s">
        <v>9</v>
      </c>
      <c r="D7" s="20"/>
      <c r="E7" s="21">
        <f>+E6-F6</f>
        <v>322570.6800000004</v>
      </c>
      <c r="F7" s="22"/>
      <c r="G7" s="23"/>
      <c r="H7" s="23"/>
      <c r="I7" s="2">
        <v>0</v>
      </c>
      <c r="J7" s="2">
        <v>0</v>
      </c>
      <c r="K7" s="176">
        <f>I7-J7</f>
        <v>0</v>
      </c>
    </row>
    <row r="8" spans="1:11" ht="11.25" customHeight="1" x14ac:dyDescent="0.4">
      <c r="I8" s="112"/>
      <c r="J8" s="112"/>
    </row>
    <row r="9" spans="1:11" ht="18" customHeight="1" x14ac:dyDescent="0.4">
      <c r="A9" s="213" t="s">
        <v>2103</v>
      </c>
      <c r="B9" s="213"/>
      <c r="C9" s="213"/>
      <c r="D9" s="213"/>
      <c r="E9" s="213"/>
      <c r="F9" s="213"/>
      <c r="I9" s="112"/>
      <c r="J9" s="112"/>
    </row>
    <row r="10" spans="1:11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I10" s="112"/>
      <c r="J10" s="112"/>
    </row>
    <row r="11" spans="1:11" ht="12.75" customHeight="1" x14ac:dyDescent="0.4">
      <c r="A11" s="89">
        <v>45344</v>
      </c>
      <c r="B11" s="9" t="s">
        <v>6</v>
      </c>
      <c r="C11" s="10" t="s">
        <v>7</v>
      </c>
      <c r="D11" s="11"/>
      <c r="E11" s="12">
        <v>254447.18999999948</v>
      </c>
      <c r="F11" s="1"/>
      <c r="I11" s="112"/>
      <c r="J11" s="112"/>
    </row>
    <row r="12" spans="1:11" ht="12.75" customHeight="1" x14ac:dyDescent="0.4">
      <c r="A12" s="89">
        <v>45344</v>
      </c>
      <c r="B12" s="9" t="s">
        <v>6</v>
      </c>
      <c r="C12" s="76" t="s">
        <v>2110</v>
      </c>
      <c r="D12" s="11" t="s">
        <v>13</v>
      </c>
      <c r="E12" s="31">
        <v>2000000</v>
      </c>
      <c r="F12" s="31"/>
      <c r="I12" s="112"/>
      <c r="J12" s="112"/>
    </row>
    <row r="13" spans="1:11" ht="12.75" customHeight="1" x14ac:dyDescent="0.4">
      <c r="A13" s="89">
        <v>45344</v>
      </c>
      <c r="B13" s="9" t="s">
        <v>11</v>
      </c>
      <c r="C13" s="76" t="s">
        <v>1079</v>
      </c>
      <c r="D13" s="11" t="s">
        <v>29</v>
      </c>
      <c r="E13" s="31"/>
      <c r="F13" s="31">
        <v>6018</v>
      </c>
      <c r="I13" s="112"/>
      <c r="J13" s="112"/>
    </row>
    <row r="14" spans="1:11" ht="12.75" customHeight="1" x14ac:dyDescent="0.4">
      <c r="A14" s="89">
        <v>45344</v>
      </c>
      <c r="B14" s="9" t="s">
        <v>11</v>
      </c>
      <c r="C14" s="76" t="s">
        <v>2108</v>
      </c>
      <c r="D14" s="11" t="s">
        <v>29</v>
      </c>
      <c r="E14" s="31"/>
      <c r="F14" s="31">
        <v>100000</v>
      </c>
      <c r="I14" s="112"/>
      <c r="J14" s="112"/>
    </row>
    <row r="15" spans="1:11" ht="12.75" customHeight="1" x14ac:dyDescent="0.4">
      <c r="A15" s="89">
        <v>45344</v>
      </c>
      <c r="B15" s="9" t="s">
        <v>11</v>
      </c>
      <c r="C15" s="76" t="s">
        <v>62</v>
      </c>
      <c r="D15" s="11" t="s">
        <v>29</v>
      </c>
      <c r="E15" s="31"/>
      <c r="F15" s="31">
        <v>25000</v>
      </c>
      <c r="I15" s="112"/>
      <c r="J15" s="112"/>
    </row>
    <row r="16" spans="1:11" ht="12.75" customHeight="1" x14ac:dyDescent="0.4">
      <c r="A16" s="89">
        <v>45344</v>
      </c>
      <c r="B16" s="9" t="s">
        <v>11</v>
      </c>
      <c r="C16" s="76" t="s">
        <v>2109</v>
      </c>
      <c r="D16" s="11" t="s">
        <v>29</v>
      </c>
      <c r="E16" s="31"/>
      <c r="F16" s="31">
        <v>1830050</v>
      </c>
      <c r="I16" s="112"/>
      <c r="J16" s="112"/>
    </row>
    <row r="17" spans="1:12" ht="12.75" customHeight="1" x14ac:dyDescent="0.4">
      <c r="A17" s="89">
        <v>45344</v>
      </c>
      <c r="B17" s="9" t="s">
        <v>11</v>
      </c>
      <c r="C17" s="76" t="s">
        <v>196</v>
      </c>
      <c r="D17" s="11" t="s">
        <v>29</v>
      </c>
      <c r="E17" s="31"/>
      <c r="F17" s="31">
        <v>65500</v>
      </c>
      <c r="I17" s="112"/>
      <c r="J17" s="112"/>
    </row>
    <row r="18" spans="1:12" ht="12.75" customHeight="1" x14ac:dyDescent="0.4">
      <c r="A18" s="89">
        <v>45344</v>
      </c>
      <c r="B18" s="9" t="s">
        <v>11</v>
      </c>
      <c r="C18" s="76" t="s">
        <v>34</v>
      </c>
      <c r="D18" s="11" t="s">
        <v>29</v>
      </c>
      <c r="E18" s="31"/>
      <c r="F18" s="31">
        <v>30000</v>
      </c>
      <c r="I18" s="112"/>
      <c r="J18" s="112"/>
    </row>
    <row r="19" spans="1:12" ht="12.75" customHeight="1" x14ac:dyDescent="0.2">
      <c r="A19" s="2"/>
      <c r="B19" s="2"/>
      <c r="C19" s="2"/>
      <c r="D19" s="11" t="s">
        <v>8</v>
      </c>
      <c r="E19" s="16">
        <f>SUM(E11:E18)</f>
        <v>2254447.1899999995</v>
      </c>
      <c r="F19" s="16">
        <f>SUM(F11:F18)</f>
        <v>2056568</v>
      </c>
      <c r="I19" s="13" t="s">
        <v>1582</v>
      </c>
      <c r="J19" s="13" t="s">
        <v>1583</v>
      </c>
    </row>
    <row r="20" spans="1:12" ht="17.25" customHeight="1" x14ac:dyDescent="0.2">
      <c r="A20" s="17"/>
      <c r="B20" s="18"/>
      <c r="C20" s="19" t="s">
        <v>9</v>
      </c>
      <c r="D20" s="20"/>
      <c r="E20" s="21">
        <f>+E19-F19</f>
        <v>197879.18999999948</v>
      </c>
      <c r="I20" s="2">
        <v>0</v>
      </c>
      <c r="J20" s="2">
        <v>0</v>
      </c>
    </row>
    <row r="21" spans="1:12" ht="18" customHeight="1" x14ac:dyDescent="0.25">
      <c r="A21" s="36"/>
      <c r="B21" s="28"/>
      <c r="C21" s="44"/>
      <c r="D21" s="43"/>
      <c r="E21" s="38"/>
      <c r="F21" s="22"/>
      <c r="J21" s="2"/>
    </row>
    <row r="22" spans="1:12" ht="18" customHeight="1" x14ac:dyDescent="0.4">
      <c r="A22" s="213" t="s">
        <v>2104</v>
      </c>
      <c r="B22" s="213"/>
      <c r="C22" s="213"/>
      <c r="D22" s="213"/>
      <c r="E22" s="213"/>
      <c r="F22" s="213"/>
      <c r="I22" s="112"/>
      <c r="J22" s="169">
        <f>90000000-60000000</f>
        <v>30000000</v>
      </c>
      <c r="K22" s="169" t="s">
        <v>1508</v>
      </c>
    </row>
    <row r="23" spans="1:12" ht="12.75" customHeight="1" x14ac:dyDescent="0.4">
      <c r="A23" s="3" t="s">
        <v>1</v>
      </c>
      <c r="B23" s="4" t="s">
        <v>2</v>
      </c>
      <c r="C23" s="5"/>
      <c r="D23" s="6" t="s">
        <v>3</v>
      </c>
      <c r="E23" s="7" t="s">
        <v>4</v>
      </c>
      <c r="F23" s="7" t="s">
        <v>5</v>
      </c>
      <c r="I23" s="112"/>
      <c r="J23" s="169">
        <v>28321713.129999999</v>
      </c>
      <c r="K23" s="169" t="s">
        <v>1509</v>
      </c>
      <c r="L23" s="124"/>
    </row>
    <row r="24" spans="1:12" s="2" customFormat="1" ht="14.25" customHeight="1" x14ac:dyDescent="0.2">
      <c r="A24" s="89">
        <v>45344</v>
      </c>
      <c r="B24" s="9" t="s">
        <v>6</v>
      </c>
      <c r="C24" s="10" t="s">
        <v>7</v>
      </c>
      <c r="D24" s="11"/>
      <c r="F24" s="12">
        <v>28882058.999999996</v>
      </c>
      <c r="G24" s="1"/>
      <c r="H24" s="1"/>
      <c r="I24" s="130" t="s">
        <v>396</v>
      </c>
      <c r="J24" s="169">
        <f>+J22-J23</f>
        <v>1678286.870000001</v>
      </c>
      <c r="K24" s="169" t="s">
        <v>712</v>
      </c>
      <c r="L24" s="165" t="s">
        <v>1512</v>
      </c>
    </row>
    <row r="25" spans="1:12" s="2" customFormat="1" ht="14.25" customHeight="1" x14ac:dyDescent="0.2">
      <c r="A25" s="89">
        <v>45344</v>
      </c>
      <c r="B25" s="9" t="s">
        <v>6</v>
      </c>
      <c r="C25" s="76" t="s">
        <v>1681</v>
      </c>
      <c r="D25" s="11" t="s">
        <v>13</v>
      </c>
      <c r="E25" s="31">
        <v>780603.97</v>
      </c>
      <c r="F25" s="31"/>
      <c r="G25" s="1"/>
      <c r="H25" s="1"/>
      <c r="I25" s="130"/>
      <c r="J25" s="169"/>
      <c r="K25" s="169"/>
      <c r="L25" s="165"/>
    </row>
    <row r="26" spans="1:12" s="2" customFormat="1" ht="14.25" customHeight="1" x14ac:dyDescent="0.2">
      <c r="A26" s="89">
        <v>45344</v>
      </c>
      <c r="B26" s="9" t="s">
        <v>6</v>
      </c>
      <c r="C26" s="76" t="s">
        <v>2111</v>
      </c>
      <c r="D26" s="11" t="s">
        <v>13</v>
      </c>
      <c r="E26" s="31">
        <v>4464458.47</v>
      </c>
      <c r="F26" s="31"/>
      <c r="G26" s="1"/>
      <c r="H26" s="1"/>
      <c r="I26" s="130"/>
      <c r="J26" s="169"/>
      <c r="K26" s="169"/>
      <c r="L26" s="165"/>
    </row>
    <row r="27" spans="1:12" s="2" customFormat="1" ht="14.25" customHeight="1" x14ac:dyDescent="0.2">
      <c r="A27" s="89">
        <v>45344</v>
      </c>
      <c r="B27" s="9" t="s">
        <v>11</v>
      </c>
      <c r="C27" s="76" t="s">
        <v>1462</v>
      </c>
      <c r="D27" s="11" t="s">
        <v>29</v>
      </c>
      <c r="E27" s="182"/>
      <c r="F27" s="31">
        <v>1898544.97</v>
      </c>
      <c r="G27" s="1"/>
      <c r="H27" s="1"/>
      <c r="I27" s="130"/>
      <c r="J27" s="169"/>
      <c r="K27" s="169"/>
      <c r="L27" s="165"/>
    </row>
    <row r="28" spans="1:12" s="2" customFormat="1" ht="14.25" customHeight="1" x14ac:dyDescent="0.2">
      <c r="A28" s="89">
        <v>45344</v>
      </c>
      <c r="B28" s="9" t="s">
        <v>11</v>
      </c>
      <c r="C28" s="76" t="s">
        <v>156</v>
      </c>
      <c r="D28" s="11" t="s">
        <v>29</v>
      </c>
      <c r="E28" s="182"/>
      <c r="F28" s="31">
        <v>1613</v>
      </c>
      <c r="G28" s="1"/>
      <c r="H28" s="1"/>
      <c r="I28" s="130"/>
      <c r="J28" s="169"/>
      <c r="K28" s="169"/>
      <c r="L28" s="165"/>
    </row>
    <row r="29" spans="1:12" s="2" customFormat="1" ht="14.25" customHeight="1" x14ac:dyDescent="0.2">
      <c r="A29" s="89">
        <v>45344</v>
      </c>
      <c r="B29" s="9" t="s">
        <v>11</v>
      </c>
      <c r="C29" s="76" t="s">
        <v>2112</v>
      </c>
      <c r="D29" s="11" t="s">
        <v>29</v>
      </c>
      <c r="E29" s="31"/>
      <c r="F29" s="31">
        <v>2784558.6</v>
      </c>
      <c r="G29" s="1"/>
      <c r="H29" s="1"/>
      <c r="I29" s="130"/>
      <c r="J29" s="169"/>
      <c r="K29" s="169"/>
      <c r="L29" s="165"/>
    </row>
    <row r="30" spans="1:12" s="2" customFormat="1" ht="14.25" customHeight="1" x14ac:dyDescent="0.4">
      <c r="D30" s="11" t="s">
        <v>8</v>
      </c>
      <c r="E30" s="16">
        <f>SUM(E25:E29)</f>
        <v>5245062.4399999995</v>
      </c>
      <c r="F30" s="16">
        <f>SUM(F24:F29)</f>
        <v>33566775.569999993</v>
      </c>
      <c r="G30" s="1"/>
      <c r="H30" s="1"/>
      <c r="J30" s="112"/>
      <c r="K30" s="153" t="s">
        <v>779</v>
      </c>
    </row>
    <row r="31" spans="1:12" s="2" customFormat="1" ht="14.25" customHeight="1" x14ac:dyDescent="0.2">
      <c r="A31" s="17"/>
      <c r="B31" s="18"/>
      <c r="C31" s="96" t="s">
        <v>9</v>
      </c>
      <c r="D31" s="20"/>
      <c r="E31" s="21">
        <f>+F30-E30</f>
        <v>28321713.129999995</v>
      </c>
      <c r="G31" s="1"/>
      <c r="H31" s="1"/>
      <c r="J31" s="40">
        <v>28321713.129999999</v>
      </c>
      <c r="K31" s="154">
        <f>J31-E31</f>
        <v>0</v>
      </c>
    </row>
    <row r="32" spans="1:12" s="2" customFormat="1" ht="14.25" customHeight="1" x14ac:dyDescent="0.2">
      <c r="A32" s="17"/>
      <c r="B32" s="28" t="s">
        <v>66</v>
      </c>
      <c r="C32" s="43" t="s">
        <v>1458</v>
      </c>
      <c r="D32" s="43"/>
      <c r="E32" s="12">
        <f>30000000+60000000</f>
        <v>90000000</v>
      </c>
      <c r="F32" s="22"/>
      <c r="G32" s="1"/>
      <c r="H32" s="1"/>
      <c r="I32" s="13" t="s">
        <v>1582</v>
      </c>
      <c r="J32" s="13" t="s">
        <v>1583</v>
      </c>
    </row>
    <row r="33" spans="1:12" s="2" customFormat="1" ht="14.25" customHeight="1" x14ac:dyDescent="0.25">
      <c r="A33" s="36"/>
      <c r="B33" s="28"/>
      <c r="C33" s="44" t="s">
        <v>1541</v>
      </c>
      <c r="D33" s="43"/>
      <c r="E33" s="7">
        <f>+E31+E32</f>
        <v>118321713.13</v>
      </c>
      <c r="F33" s="22"/>
      <c r="G33" s="1"/>
      <c r="H33" s="1"/>
      <c r="I33" s="2">
        <v>1423814</v>
      </c>
      <c r="J33" s="2">
        <v>7740842</v>
      </c>
      <c r="K33" s="176">
        <f>I33-J33</f>
        <v>-6317028</v>
      </c>
    </row>
    <row r="34" spans="1:12" s="2" customFormat="1" ht="14.25" customHeight="1" x14ac:dyDescent="0.25">
      <c r="A34" s="36"/>
      <c r="B34" s="28"/>
      <c r="C34" s="44" t="s">
        <v>1511</v>
      </c>
      <c r="D34" s="43"/>
      <c r="E34" s="38">
        <f>+J24+I7-J7</f>
        <v>1678286.870000001</v>
      </c>
      <c r="F34" s="22"/>
      <c r="G34" s="1"/>
      <c r="H34" s="1"/>
      <c r="J34" s="130"/>
      <c r="K34" s="130"/>
    </row>
    <row r="35" spans="1:12" s="2" customFormat="1" x14ac:dyDescent="0.2">
      <c r="A35" s="24"/>
      <c r="B35" s="1"/>
      <c r="C35" s="14"/>
      <c r="D35" s="25"/>
      <c r="G35" s="1"/>
      <c r="H35" s="1"/>
      <c r="I35" s="159"/>
      <c r="J35" s="160">
        <f>100000000</f>
        <v>100000000</v>
      </c>
      <c r="K35" s="160" t="s">
        <v>1506</v>
      </c>
      <c r="L35" s="70"/>
    </row>
    <row r="36" spans="1:12" s="2" customFormat="1" ht="15" x14ac:dyDescent="0.35">
      <c r="A36" s="214" t="s">
        <v>10</v>
      </c>
      <c r="B36" s="214"/>
      <c r="C36" s="214"/>
      <c r="D36" s="214"/>
      <c r="E36" s="214"/>
      <c r="F36" s="214"/>
      <c r="G36" s="1"/>
      <c r="H36" s="1"/>
      <c r="I36" s="159"/>
      <c r="J36" s="179">
        <v>41090799.520000003</v>
      </c>
      <c r="K36" s="160" t="s">
        <v>1507</v>
      </c>
      <c r="L36" s="70" t="s">
        <v>1512</v>
      </c>
    </row>
    <row r="37" spans="1:12" s="2" customFormat="1" x14ac:dyDescent="0.2">
      <c r="A37" s="26" t="s">
        <v>1</v>
      </c>
      <c r="B37" s="27" t="s">
        <v>2</v>
      </c>
      <c r="C37" s="5"/>
      <c r="D37" s="6" t="s">
        <v>3</v>
      </c>
      <c r="E37" s="7" t="s">
        <v>4</v>
      </c>
      <c r="F37" s="7" t="s">
        <v>5</v>
      </c>
      <c r="G37" s="1"/>
      <c r="H37" s="1"/>
      <c r="I37" s="159" t="s">
        <v>1505</v>
      </c>
      <c r="J37" s="160">
        <f>+J35-J36</f>
        <v>58909200.479999997</v>
      </c>
      <c r="K37" s="160"/>
      <c r="L37" s="70"/>
    </row>
    <row r="38" spans="1:12" s="2" customFormat="1" x14ac:dyDescent="0.2">
      <c r="A38" s="89">
        <v>45344</v>
      </c>
      <c r="B38" s="128" t="s">
        <v>11</v>
      </c>
      <c r="C38" s="29" t="s">
        <v>7</v>
      </c>
      <c r="D38" s="25"/>
      <c r="E38" s="31"/>
      <c r="F38" s="13">
        <v>82888403.029999867</v>
      </c>
      <c r="G38" s="23"/>
      <c r="H38" s="23"/>
      <c r="I38" s="159"/>
      <c r="J38" s="160"/>
      <c r="K38" s="160"/>
      <c r="L38" s="70"/>
    </row>
    <row r="39" spans="1:12" s="2" customFormat="1" x14ac:dyDescent="0.2">
      <c r="A39" s="89">
        <v>45344</v>
      </c>
      <c r="B39" s="128" t="s">
        <v>6</v>
      </c>
      <c r="C39" s="181" t="s">
        <v>19</v>
      </c>
      <c r="D39" s="11" t="s">
        <v>13</v>
      </c>
      <c r="E39" s="86">
        <v>7129802</v>
      </c>
      <c r="G39" s="23"/>
      <c r="H39" s="23"/>
      <c r="I39" s="159"/>
      <c r="J39" s="160"/>
      <c r="K39" s="160"/>
      <c r="L39" s="70"/>
    </row>
    <row r="40" spans="1:12" s="2" customFormat="1" x14ac:dyDescent="0.2">
      <c r="A40" s="89">
        <v>45344</v>
      </c>
      <c r="B40" s="128" t="s">
        <v>6</v>
      </c>
      <c r="C40" s="181" t="s">
        <v>146</v>
      </c>
      <c r="D40" s="11" t="s">
        <v>13</v>
      </c>
      <c r="E40" s="86">
        <v>164984.9</v>
      </c>
      <c r="G40" s="23"/>
      <c r="H40" s="23"/>
      <c r="I40" s="159"/>
      <c r="J40" s="160"/>
      <c r="K40" s="160"/>
      <c r="L40" s="70"/>
    </row>
    <row r="41" spans="1:12" s="2" customFormat="1" x14ac:dyDescent="0.2">
      <c r="A41" s="89">
        <v>45344</v>
      </c>
      <c r="B41" s="128" t="s">
        <v>6</v>
      </c>
      <c r="C41" s="181" t="s">
        <v>761</v>
      </c>
      <c r="D41" s="11" t="s">
        <v>13</v>
      </c>
      <c r="E41" s="86">
        <v>492501</v>
      </c>
      <c r="G41" s="23"/>
      <c r="H41" s="23"/>
      <c r="I41" s="159"/>
      <c r="J41" s="160"/>
      <c r="K41" s="160"/>
      <c r="L41" s="70"/>
    </row>
    <row r="42" spans="1:12" s="2" customFormat="1" x14ac:dyDescent="0.2">
      <c r="A42" s="89">
        <v>45344</v>
      </c>
      <c r="B42" s="128" t="s">
        <v>6</v>
      </c>
      <c r="C42" s="181" t="s">
        <v>120</v>
      </c>
      <c r="D42" s="11" t="s">
        <v>13</v>
      </c>
      <c r="E42" s="86">
        <v>728143</v>
      </c>
      <c r="G42" s="23"/>
      <c r="H42" s="23"/>
      <c r="I42" s="159"/>
      <c r="J42" s="160"/>
      <c r="K42" s="160"/>
      <c r="L42" s="70"/>
    </row>
    <row r="43" spans="1:12" s="2" customFormat="1" x14ac:dyDescent="0.2">
      <c r="A43" s="89">
        <v>45344</v>
      </c>
      <c r="B43" s="128" t="s">
        <v>6</v>
      </c>
      <c r="C43" s="181" t="s">
        <v>1797</v>
      </c>
      <c r="D43" s="11" t="s">
        <v>13</v>
      </c>
      <c r="E43" s="86">
        <v>100000000</v>
      </c>
      <c r="G43" s="23"/>
      <c r="H43" s="23"/>
      <c r="I43" s="159"/>
      <c r="J43" s="160"/>
      <c r="K43" s="160"/>
      <c r="L43" s="70"/>
    </row>
    <row r="44" spans="1:12" s="2" customFormat="1" x14ac:dyDescent="0.2">
      <c r="A44" s="89">
        <v>45344</v>
      </c>
      <c r="B44" s="128" t="s">
        <v>6</v>
      </c>
      <c r="C44" s="181" t="s">
        <v>758</v>
      </c>
      <c r="D44" s="11" t="s">
        <v>13</v>
      </c>
      <c r="E44" s="86">
        <v>6015007.6200000001</v>
      </c>
      <c r="G44" s="23"/>
      <c r="H44" s="23"/>
      <c r="I44" s="159"/>
      <c r="J44" s="160"/>
      <c r="K44" s="160"/>
      <c r="L44" s="70"/>
    </row>
    <row r="45" spans="1:12" s="2" customFormat="1" x14ac:dyDescent="0.2">
      <c r="A45" s="89">
        <v>45344</v>
      </c>
      <c r="B45" s="128" t="s">
        <v>6</v>
      </c>
      <c r="C45" s="181" t="s">
        <v>760</v>
      </c>
      <c r="D45" s="11" t="s">
        <v>13</v>
      </c>
      <c r="E45" s="86">
        <v>2060648.91</v>
      </c>
      <c r="G45" s="23"/>
      <c r="H45" s="23"/>
      <c r="I45" s="159"/>
      <c r="J45" s="160"/>
      <c r="K45" s="160"/>
      <c r="L45" s="70"/>
    </row>
    <row r="46" spans="1:12" s="2" customFormat="1" x14ac:dyDescent="0.2">
      <c r="A46" s="89">
        <v>45344</v>
      </c>
      <c r="B46" s="128" t="s">
        <v>6</v>
      </c>
      <c r="C46" s="181" t="s">
        <v>759</v>
      </c>
      <c r="D46" s="11" t="s">
        <v>13</v>
      </c>
      <c r="E46" s="86">
        <v>1818000.46</v>
      </c>
      <c r="G46" s="23"/>
      <c r="H46" s="23"/>
      <c r="I46" s="159"/>
      <c r="J46" s="160"/>
      <c r="K46" s="160"/>
      <c r="L46" s="70"/>
    </row>
    <row r="47" spans="1:12" s="2" customFormat="1" x14ac:dyDescent="0.2">
      <c r="A47" s="89">
        <v>45344</v>
      </c>
      <c r="B47" s="128" t="s">
        <v>6</v>
      </c>
      <c r="C47" s="181" t="s">
        <v>1133</v>
      </c>
      <c r="D47" s="11" t="s">
        <v>13</v>
      </c>
      <c r="E47" s="86">
        <v>7403</v>
      </c>
      <c r="G47" s="23"/>
      <c r="H47" s="23"/>
      <c r="I47" s="159"/>
      <c r="J47" s="160"/>
      <c r="K47" s="160"/>
      <c r="L47" s="70"/>
    </row>
    <row r="48" spans="1:12" s="2" customFormat="1" x14ac:dyDescent="0.2">
      <c r="A48" s="89">
        <v>45344</v>
      </c>
      <c r="B48" s="128" t="s">
        <v>6</v>
      </c>
      <c r="C48" s="181" t="s">
        <v>2113</v>
      </c>
      <c r="D48" s="11" t="s">
        <v>13</v>
      </c>
      <c r="E48" s="86">
        <v>197871</v>
      </c>
      <c r="G48" s="23"/>
      <c r="H48" s="23"/>
      <c r="I48" s="159"/>
      <c r="J48" s="160"/>
      <c r="K48" s="160"/>
      <c r="L48" s="70"/>
    </row>
    <row r="49" spans="1:12" s="2" customFormat="1" x14ac:dyDescent="0.2">
      <c r="A49" s="89">
        <v>45344</v>
      </c>
      <c r="B49" s="128" t="s">
        <v>6</v>
      </c>
      <c r="C49" s="181" t="s">
        <v>149</v>
      </c>
      <c r="D49" s="11" t="s">
        <v>13</v>
      </c>
      <c r="E49" s="86">
        <v>1904</v>
      </c>
      <c r="G49" s="23"/>
      <c r="H49" s="23"/>
      <c r="I49" s="159"/>
      <c r="J49" s="160"/>
      <c r="K49" s="160"/>
      <c r="L49" s="70"/>
    </row>
    <row r="50" spans="1:12" s="2" customFormat="1" x14ac:dyDescent="0.2">
      <c r="A50" s="89">
        <v>45344</v>
      </c>
      <c r="B50" s="128" t="s">
        <v>6</v>
      </c>
      <c r="C50" s="181" t="s">
        <v>2081</v>
      </c>
      <c r="D50" s="11" t="s">
        <v>13</v>
      </c>
      <c r="E50" s="86">
        <v>20000</v>
      </c>
      <c r="G50" s="23"/>
      <c r="H50" s="23"/>
      <c r="I50" s="159"/>
      <c r="J50" s="160"/>
      <c r="K50" s="160"/>
      <c r="L50" s="70"/>
    </row>
    <row r="51" spans="1:12" s="2" customFormat="1" x14ac:dyDescent="0.2">
      <c r="A51" s="89">
        <v>45344</v>
      </c>
      <c r="B51" s="128" t="s">
        <v>6</v>
      </c>
      <c r="C51" s="181" t="s">
        <v>236</v>
      </c>
      <c r="D51" s="11" t="s">
        <v>13</v>
      </c>
      <c r="E51" s="86">
        <v>1500000</v>
      </c>
      <c r="G51" s="23"/>
      <c r="H51" s="23"/>
      <c r="I51" s="159"/>
      <c r="J51" s="160"/>
      <c r="K51" s="160"/>
      <c r="L51" s="70"/>
    </row>
    <row r="52" spans="1:12" s="2" customFormat="1" x14ac:dyDescent="0.2">
      <c r="A52" s="89">
        <v>45344</v>
      </c>
      <c r="B52" s="128" t="s">
        <v>6</v>
      </c>
      <c r="C52" s="181" t="s">
        <v>2004</v>
      </c>
      <c r="D52" s="11" t="s">
        <v>13</v>
      </c>
      <c r="E52" s="86">
        <v>16129.81</v>
      </c>
      <c r="G52" s="23"/>
      <c r="H52" s="23"/>
      <c r="I52" s="159"/>
      <c r="J52" s="160"/>
      <c r="K52" s="160"/>
      <c r="L52" s="70"/>
    </row>
    <row r="53" spans="1:12" s="2" customFormat="1" x14ac:dyDescent="0.2">
      <c r="A53" s="89">
        <v>45344</v>
      </c>
      <c r="B53" s="128" t="s">
        <v>6</v>
      </c>
      <c r="C53" s="181" t="s">
        <v>1351</v>
      </c>
      <c r="D53" s="11" t="s">
        <v>13</v>
      </c>
      <c r="E53" s="86">
        <v>15681.61</v>
      </c>
      <c r="G53" s="23"/>
      <c r="H53" s="23"/>
      <c r="I53" s="159"/>
      <c r="J53" s="160"/>
      <c r="K53" s="160"/>
      <c r="L53" s="70"/>
    </row>
    <row r="54" spans="1:12" s="2" customFormat="1" x14ac:dyDescent="0.2">
      <c r="A54" s="89">
        <v>45344</v>
      </c>
      <c r="B54" s="128" t="s">
        <v>6</v>
      </c>
      <c r="C54" s="181" t="s">
        <v>560</v>
      </c>
      <c r="D54" s="11" t="s">
        <v>13</v>
      </c>
      <c r="E54" s="86">
        <v>104997.61</v>
      </c>
      <c r="G54" s="23"/>
      <c r="H54" s="23"/>
      <c r="I54" s="159"/>
      <c r="J54" s="160"/>
      <c r="K54" s="160"/>
      <c r="L54" s="70"/>
    </row>
    <row r="55" spans="1:12" s="2" customFormat="1" x14ac:dyDescent="0.2">
      <c r="A55" s="89">
        <v>45344</v>
      </c>
      <c r="B55" s="128" t="s">
        <v>6</v>
      </c>
      <c r="C55" s="181" t="s">
        <v>15</v>
      </c>
      <c r="D55" s="11" t="s">
        <v>13</v>
      </c>
      <c r="E55" s="86">
        <v>18163.04</v>
      </c>
      <c r="G55" s="23"/>
      <c r="H55" s="23"/>
      <c r="I55" s="159"/>
      <c r="J55" s="160"/>
      <c r="K55" s="160"/>
      <c r="L55" s="70"/>
    </row>
    <row r="56" spans="1:12" s="2" customFormat="1" x14ac:dyDescent="0.2">
      <c r="A56" s="89">
        <v>45344</v>
      </c>
      <c r="B56" s="128" t="s">
        <v>6</v>
      </c>
      <c r="C56" s="181" t="s">
        <v>16</v>
      </c>
      <c r="D56" s="11" t="s">
        <v>13</v>
      </c>
      <c r="E56" s="86">
        <v>67893.009999999995</v>
      </c>
      <c r="G56" s="23"/>
      <c r="H56" s="23"/>
      <c r="I56" s="159"/>
      <c r="J56" s="160"/>
      <c r="K56" s="160"/>
      <c r="L56" s="70"/>
    </row>
    <row r="57" spans="1:12" s="2" customFormat="1" x14ac:dyDescent="0.2">
      <c r="A57" s="89">
        <v>45344</v>
      </c>
      <c r="B57" s="128" t="s">
        <v>6</v>
      </c>
      <c r="C57" s="181" t="s">
        <v>27</v>
      </c>
      <c r="D57" s="11" t="s">
        <v>13</v>
      </c>
      <c r="E57" s="86">
        <v>180744.3</v>
      </c>
      <c r="G57" s="23"/>
      <c r="H57" s="23"/>
      <c r="I57" s="159"/>
      <c r="J57" s="160"/>
      <c r="K57" s="160"/>
      <c r="L57" s="70"/>
    </row>
    <row r="58" spans="1:12" s="2" customFormat="1" x14ac:dyDescent="0.2">
      <c r="A58" s="89">
        <v>45344</v>
      </c>
      <c r="B58" s="128" t="s">
        <v>6</v>
      </c>
      <c r="C58" s="181" t="s">
        <v>379</v>
      </c>
      <c r="D58" s="11" t="s">
        <v>13</v>
      </c>
      <c r="E58" s="86">
        <v>37903.449999999997</v>
      </c>
      <c r="G58" s="23"/>
      <c r="H58" s="23"/>
      <c r="I58" s="159"/>
      <c r="J58" s="160"/>
      <c r="K58" s="160"/>
      <c r="L58" s="70"/>
    </row>
    <row r="59" spans="1:12" s="2" customFormat="1" x14ac:dyDescent="0.2">
      <c r="A59" s="89">
        <v>45344</v>
      </c>
      <c r="B59" s="128" t="s">
        <v>11</v>
      </c>
      <c r="C59" s="181" t="s">
        <v>64</v>
      </c>
      <c r="D59" s="11" t="s">
        <v>29</v>
      </c>
      <c r="E59" s="86"/>
      <c r="F59" s="2">
        <v>8280.52</v>
      </c>
      <c r="G59" s="23"/>
      <c r="H59" s="23"/>
      <c r="I59" s="159"/>
      <c r="J59" s="160"/>
      <c r="K59" s="160"/>
      <c r="L59" s="70"/>
    </row>
    <row r="60" spans="1:12" s="2" customFormat="1" x14ac:dyDescent="0.2">
      <c r="A60" s="89">
        <v>45344</v>
      </c>
      <c r="B60" s="128" t="s">
        <v>11</v>
      </c>
      <c r="C60" s="181" t="s">
        <v>1403</v>
      </c>
      <c r="D60" s="11" t="s">
        <v>29</v>
      </c>
      <c r="E60" s="86"/>
      <c r="F60" s="2">
        <v>10151625</v>
      </c>
      <c r="G60" s="23"/>
      <c r="H60" s="23"/>
      <c r="I60" s="159"/>
      <c r="J60" s="160"/>
      <c r="K60" s="160"/>
      <c r="L60" s="70"/>
    </row>
    <row r="61" spans="1:12" s="2" customFormat="1" x14ac:dyDescent="0.2">
      <c r="A61" s="89">
        <v>45344</v>
      </c>
      <c r="B61" s="128" t="s">
        <v>11</v>
      </c>
      <c r="C61" s="181" t="s">
        <v>1762</v>
      </c>
      <c r="D61" s="11" t="s">
        <v>29</v>
      </c>
      <c r="E61" s="86"/>
      <c r="F61" s="2">
        <v>438348</v>
      </c>
      <c r="G61" s="23"/>
      <c r="H61" s="23"/>
      <c r="I61" s="159"/>
      <c r="J61" s="160"/>
      <c r="K61" s="160"/>
      <c r="L61" s="70"/>
    </row>
    <row r="62" spans="1:12" s="2" customFormat="1" x14ac:dyDescent="0.2">
      <c r="A62" s="89">
        <v>45344</v>
      </c>
      <c r="B62" s="128" t="s">
        <v>11</v>
      </c>
      <c r="C62" s="181" t="s">
        <v>110</v>
      </c>
      <c r="D62" s="11" t="s">
        <v>29</v>
      </c>
      <c r="E62" s="86"/>
      <c r="F62" s="2">
        <v>2782072.8</v>
      </c>
      <c r="G62" s="23"/>
      <c r="H62" s="23"/>
      <c r="I62" s="159"/>
      <c r="J62" s="160"/>
      <c r="K62" s="160"/>
      <c r="L62" s="70"/>
    </row>
    <row r="63" spans="1:12" s="2" customFormat="1" x14ac:dyDescent="0.2">
      <c r="A63" s="89">
        <v>45344</v>
      </c>
      <c r="B63" s="128" t="s">
        <v>11</v>
      </c>
      <c r="C63" s="181" t="s">
        <v>109</v>
      </c>
      <c r="D63" s="11" t="s">
        <v>29</v>
      </c>
      <c r="E63" s="86"/>
      <c r="F63" s="2">
        <v>1001383</v>
      </c>
      <c r="G63" s="23"/>
      <c r="H63" s="23"/>
      <c r="I63" s="159"/>
      <c r="J63" s="160"/>
      <c r="K63" s="160"/>
      <c r="L63" s="70"/>
    </row>
    <row r="64" spans="1:12" s="2" customFormat="1" x14ac:dyDescent="0.2">
      <c r="A64" s="89">
        <v>45344</v>
      </c>
      <c r="B64" s="128" t="s">
        <v>11</v>
      </c>
      <c r="C64" s="181" t="s">
        <v>1472</v>
      </c>
      <c r="D64" s="11" t="s">
        <v>29</v>
      </c>
      <c r="E64" s="86"/>
      <c r="F64" s="2">
        <v>977224</v>
      </c>
      <c r="G64" s="23"/>
      <c r="H64" s="23"/>
      <c r="I64" s="159"/>
      <c r="J64" s="160"/>
      <c r="K64" s="160"/>
      <c r="L64" s="70"/>
    </row>
    <row r="65" spans="1:12" s="2" customFormat="1" x14ac:dyDescent="0.2">
      <c r="A65" s="89">
        <v>45344</v>
      </c>
      <c r="B65" s="128" t="s">
        <v>11</v>
      </c>
      <c r="C65" s="181" t="s">
        <v>1746</v>
      </c>
      <c r="D65" s="11" t="s">
        <v>29</v>
      </c>
      <c r="E65" s="86"/>
      <c r="F65" s="2">
        <v>1140162</v>
      </c>
      <c r="G65" s="23"/>
      <c r="H65" s="23"/>
      <c r="I65" s="159"/>
      <c r="J65" s="160"/>
      <c r="K65" s="160"/>
      <c r="L65" s="70"/>
    </row>
    <row r="66" spans="1:12" s="2" customFormat="1" x14ac:dyDescent="0.2">
      <c r="A66" s="89">
        <v>45344</v>
      </c>
      <c r="B66" s="128" t="s">
        <v>11</v>
      </c>
      <c r="C66" s="181" t="s">
        <v>1502</v>
      </c>
      <c r="D66" s="11" t="s">
        <v>29</v>
      </c>
      <c r="E66" s="86"/>
      <c r="F66" s="2">
        <v>809668</v>
      </c>
      <c r="G66" s="23"/>
      <c r="H66" s="23"/>
      <c r="I66" s="159"/>
      <c r="J66" s="160"/>
      <c r="K66" s="160"/>
      <c r="L66" s="70"/>
    </row>
    <row r="67" spans="1:12" s="2" customFormat="1" x14ac:dyDescent="0.2">
      <c r="A67" s="89">
        <v>45344</v>
      </c>
      <c r="B67" s="128" t="s">
        <v>11</v>
      </c>
      <c r="C67" s="181" t="s">
        <v>926</v>
      </c>
      <c r="D67" s="11" t="s">
        <v>29</v>
      </c>
      <c r="E67" s="86"/>
      <c r="F67" s="2">
        <v>250000</v>
      </c>
      <c r="G67" s="23"/>
      <c r="H67" s="23"/>
      <c r="I67" s="159"/>
      <c r="J67" s="160"/>
      <c r="K67" s="160"/>
      <c r="L67" s="70"/>
    </row>
    <row r="68" spans="1:12" s="2" customFormat="1" x14ac:dyDescent="0.2">
      <c r="A68" s="89">
        <v>45344</v>
      </c>
      <c r="B68" s="128" t="s">
        <v>11</v>
      </c>
      <c r="C68" s="181" t="s">
        <v>521</v>
      </c>
      <c r="D68" s="11" t="s">
        <v>29</v>
      </c>
      <c r="E68" s="86"/>
      <c r="F68" s="2">
        <v>41760</v>
      </c>
      <c r="G68" s="23"/>
      <c r="H68" s="23"/>
      <c r="I68" s="159"/>
      <c r="J68" s="160"/>
      <c r="K68" s="160"/>
      <c r="L68" s="70"/>
    </row>
    <row r="69" spans="1:12" s="2" customFormat="1" x14ac:dyDescent="0.2">
      <c r="A69" s="89">
        <v>45344</v>
      </c>
      <c r="B69" s="128" t="s">
        <v>11</v>
      </c>
      <c r="C69" s="181" t="s">
        <v>346</v>
      </c>
      <c r="D69" s="11" t="s">
        <v>29</v>
      </c>
      <c r="E69" s="86"/>
      <c r="F69" s="2">
        <v>1756</v>
      </c>
      <c r="G69" s="23"/>
      <c r="H69" s="23"/>
      <c r="I69" s="159"/>
      <c r="J69" s="160"/>
      <c r="K69" s="160"/>
      <c r="L69" s="70"/>
    </row>
    <row r="70" spans="1:12" s="2" customFormat="1" x14ac:dyDescent="0.2">
      <c r="A70" s="89">
        <v>45344</v>
      </c>
      <c r="B70" s="128" t="s">
        <v>11</v>
      </c>
      <c r="C70" s="181" t="s">
        <v>268</v>
      </c>
      <c r="D70" s="11" t="s">
        <v>29</v>
      </c>
      <c r="E70" s="86"/>
      <c r="F70" s="2">
        <v>166141</v>
      </c>
      <c r="G70" s="23"/>
      <c r="H70" s="23"/>
      <c r="I70" s="159"/>
      <c r="J70" s="160"/>
      <c r="K70" s="160"/>
      <c r="L70" s="70"/>
    </row>
    <row r="71" spans="1:12" s="2" customFormat="1" x14ac:dyDescent="0.2">
      <c r="A71" s="89">
        <v>45344</v>
      </c>
      <c r="B71" s="128" t="s">
        <v>11</v>
      </c>
      <c r="C71" s="181" t="s">
        <v>339</v>
      </c>
      <c r="D71" s="11" t="s">
        <v>29</v>
      </c>
      <c r="E71" s="86"/>
      <c r="F71" s="2">
        <v>100000</v>
      </c>
      <c r="G71" s="23"/>
      <c r="H71" s="23"/>
      <c r="I71" s="159"/>
      <c r="J71" s="160"/>
      <c r="K71" s="160"/>
      <c r="L71" s="70"/>
    </row>
    <row r="72" spans="1:12" s="2" customFormat="1" x14ac:dyDescent="0.2">
      <c r="A72" s="89">
        <v>45344</v>
      </c>
      <c r="B72" s="128" t="s">
        <v>11</v>
      </c>
      <c r="C72" s="181" t="s">
        <v>130</v>
      </c>
      <c r="D72" s="11" t="s">
        <v>29</v>
      </c>
      <c r="E72" s="86"/>
      <c r="F72" s="2">
        <v>68567</v>
      </c>
      <c r="G72" s="23"/>
      <c r="H72" s="23"/>
      <c r="I72" s="159"/>
      <c r="J72" s="160"/>
      <c r="K72" s="160"/>
      <c r="L72" s="70"/>
    </row>
    <row r="73" spans="1:12" s="2" customFormat="1" x14ac:dyDescent="0.2">
      <c r="A73" s="89">
        <v>45344</v>
      </c>
      <c r="B73" s="128" t="s">
        <v>11</v>
      </c>
      <c r="C73" s="181" t="s">
        <v>441</v>
      </c>
      <c r="D73" s="11" t="s">
        <v>29</v>
      </c>
      <c r="E73" s="86"/>
      <c r="F73" s="2">
        <v>611.92999999999995</v>
      </c>
      <c r="G73" s="23"/>
      <c r="H73" s="23"/>
      <c r="I73" s="159"/>
      <c r="J73" s="160"/>
      <c r="K73" s="160"/>
      <c r="L73" s="70"/>
    </row>
    <row r="74" spans="1:12" s="2" customFormat="1" x14ac:dyDescent="0.2">
      <c r="A74" s="89">
        <v>45344</v>
      </c>
      <c r="B74" s="128" t="s">
        <v>11</v>
      </c>
      <c r="C74" s="181" t="s">
        <v>685</v>
      </c>
      <c r="D74" s="11" t="s">
        <v>29</v>
      </c>
      <c r="E74" s="86"/>
      <c r="F74" s="2">
        <v>18427</v>
      </c>
      <c r="G74" s="23"/>
      <c r="H74" s="23"/>
      <c r="I74" s="159"/>
      <c r="J74" s="160"/>
      <c r="K74" s="160"/>
      <c r="L74" s="70"/>
    </row>
    <row r="75" spans="1:12" s="2" customFormat="1" x14ac:dyDescent="0.2">
      <c r="A75" s="89">
        <v>45344</v>
      </c>
      <c r="B75" s="128" t="s">
        <v>11</v>
      </c>
      <c r="C75" s="181" t="s">
        <v>54</v>
      </c>
      <c r="D75" s="11" t="s">
        <v>29</v>
      </c>
      <c r="E75" s="86"/>
      <c r="F75" s="2">
        <v>7668</v>
      </c>
      <c r="G75" s="23"/>
      <c r="H75" s="23"/>
      <c r="I75" s="159"/>
      <c r="J75" s="160"/>
      <c r="K75" s="160"/>
      <c r="L75" s="70"/>
    </row>
    <row r="76" spans="1:12" s="2" customFormat="1" x14ac:dyDescent="0.2">
      <c r="A76" s="89">
        <v>45344</v>
      </c>
      <c r="B76" s="128" t="s">
        <v>11</v>
      </c>
      <c r="C76" s="181" t="s">
        <v>961</v>
      </c>
      <c r="D76" s="11" t="s">
        <v>29</v>
      </c>
      <c r="E76" s="86"/>
      <c r="F76" s="2">
        <v>122290</v>
      </c>
      <c r="G76" s="23"/>
      <c r="H76" s="23"/>
      <c r="I76" s="159"/>
      <c r="J76" s="160"/>
      <c r="K76" s="160"/>
      <c r="L76" s="70"/>
    </row>
    <row r="77" spans="1:12" s="2" customFormat="1" x14ac:dyDescent="0.2">
      <c r="A77" s="89">
        <v>45344</v>
      </c>
      <c r="B77" s="128" t="s">
        <v>11</v>
      </c>
      <c r="C77" s="181" t="s">
        <v>925</v>
      </c>
      <c r="D77" s="11" t="s">
        <v>29</v>
      </c>
      <c r="E77" s="86"/>
      <c r="F77" s="2">
        <v>495000</v>
      </c>
      <c r="G77" s="23"/>
      <c r="H77" s="23"/>
      <c r="I77" s="159"/>
      <c r="J77" s="160"/>
      <c r="K77" s="160"/>
      <c r="L77" s="70"/>
    </row>
    <row r="78" spans="1:12" s="2" customFormat="1" x14ac:dyDescent="0.2">
      <c r="A78" s="89">
        <v>45344</v>
      </c>
      <c r="B78" s="128" t="s">
        <v>11</v>
      </c>
      <c r="C78" s="181" t="s">
        <v>719</v>
      </c>
      <c r="D78" s="11" t="s">
        <v>29</v>
      </c>
      <c r="E78" s="86"/>
      <c r="F78" s="2">
        <v>470714</v>
      </c>
      <c r="G78" s="23"/>
      <c r="H78" s="23"/>
      <c r="I78" s="159"/>
      <c r="J78" s="160"/>
      <c r="K78" s="160"/>
      <c r="L78" s="70"/>
    </row>
    <row r="79" spans="1:12" s="2" customFormat="1" x14ac:dyDescent="0.2">
      <c r="A79" s="89">
        <v>45344</v>
      </c>
      <c r="B79" s="128" t="s">
        <v>11</v>
      </c>
      <c r="C79" s="181" t="s">
        <v>210</v>
      </c>
      <c r="D79" s="11" t="s">
        <v>29</v>
      </c>
      <c r="E79" s="86"/>
      <c r="F79" s="2">
        <v>121304</v>
      </c>
      <c r="G79" s="23"/>
      <c r="H79" s="23"/>
      <c r="I79" s="159"/>
      <c r="J79" s="160"/>
      <c r="K79" s="160"/>
      <c r="L79" s="70"/>
    </row>
    <row r="80" spans="1:12" s="2" customFormat="1" x14ac:dyDescent="0.2">
      <c r="A80" s="89">
        <v>45344</v>
      </c>
      <c r="B80" s="128" t="s">
        <v>11</v>
      </c>
      <c r="C80" s="181" t="s">
        <v>2114</v>
      </c>
      <c r="D80" s="11" t="s">
        <v>29</v>
      </c>
      <c r="E80" s="86"/>
      <c r="F80" s="2">
        <v>14424</v>
      </c>
      <c r="G80" s="23"/>
      <c r="H80" s="23"/>
      <c r="I80" s="159"/>
      <c r="J80" s="160"/>
      <c r="K80" s="160"/>
      <c r="L80" s="70"/>
    </row>
    <row r="81" spans="1:12" s="2" customFormat="1" x14ac:dyDescent="0.2">
      <c r="A81" s="89">
        <v>45344</v>
      </c>
      <c r="B81" s="128" t="s">
        <v>11</v>
      </c>
      <c r="C81" s="181" t="s">
        <v>476</v>
      </c>
      <c r="D81" s="11" t="s">
        <v>29</v>
      </c>
      <c r="E81" s="86"/>
      <c r="F81" s="2">
        <v>172834</v>
      </c>
      <c r="G81" s="23"/>
      <c r="H81" s="23"/>
      <c r="I81" s="159"/>
      <c r="J81" s="160"/>
      <c r="K81" s="160"/>
      <c r="L81" s="70"/>
    </row>
    <row r="82" spans="1:12" s="2" customFormat="1" x14ac:dyDescent="0.2">
      <c r="A82" s="89">
        <v>45344</v>
      </c>
      <c r="B82" s="128" t="s">
        <v>11</v>
      </c>
      <c r="C82" s="181" t="s">
        <v>39</v>
      </c>
      <c r="D82" s="11" t="s">
        <v>29</v>
      </c>
      <c r="E82" s="86"/>
      <c r="F82" s="2">
        <v>186004</v>
      </c>
      <c r="G82" s="23"/>
      <c r="H82" s="23"/>
      <c r="I82" s="159"/>
      <c r="J82" s="160"/>
      <c r="K82" s="160"/>
      <c r="L82" s="70"/>
    </row>
    <row r="83" spans="1:12" s="2" customFormat="1" x14ac:dyDescent="0.2">
      <c r="A83" s="89">
        <v>45344</v>
      </c>
      <c r="B83" s="128" t="s">
        <v>11</v>
      </c>
      <c r="C83" s="181" t="s">
        <v>1908</v>
      </c>
      <c r="D83" s="11" t="s">
        <v>29</v>
      </c>
      <c r="E83" s="86"/>
      <c r="F83" s="2">
        <v>290080</v>
      </c>
      <c r="G83" s="23"/>
      <c r="H83" s="23"/>
      <c r="I83" s="159"/>
      <c r="J83" s="160"/>
      <c r="K83" s="160"/>
      <c r="L83" s="70"/>
    </row>
    <row r="84" spans="1:12" s="2" customFormat="1" x14ac:dyDescent="0.2">
      <c r="A84" s="89">
        <v>45344</v>
      </c>
      <c r="B84" s="128" t="s">
        <v>11</v>
      </c>
      <c r="C84" s="181" t="s">
        <v>1228</v>
      </c>
      <c r="D84" s="11" t="s">
        <v>29</v>
      </c>
      <c r="E84" s="86"/>
      <c r="F84" s="2">
        <v>750151.56</v>
      </c>
      <c r="G84" s="23"/>
      <c r="H84" s="23"/>
      <c r="I84" s="159"/>
      <c r="J84" s="160"/>
      <c r="K84" s="160"/>
      <c r="L84" s="70"/>
    </row>
    <row r="85" spans="1:12" s="2" customFormat="1" x14ac:dyDescent="0.2">
      <c r="A85" s="89">
        <v>45344</v>
      </c>
      <c r="B85" s="128" t="s">
        <v>11</v>
      </c>
      <c r="C85" s="181" t="s">
        <v>32</v>
      </c>
      <c r="D85" s="11" t="s">
        <v>29</v>
      </c>
      <c r="E85" s="86"/>
      <c r="F85" s="2">
        <v>1842433</v>
      </c>
      <c r="G85" s="23"/>
      <c r="H85" s="23"/>
      <c r="I85" s="159"/>
      <c r="J85" s="160"/>
      <c r="K85" s="160"/>
      <c r="L85" s="70"/>
    </row>
    <row r="86" spans="1:12" s="2" customFormat="1" x14ac:dyDescent="0.2">
      <c r="A86" s="89">
        <v>45344</v>
      </c>
      <c r="B86" s="128" t="s">
        <v>11</v>
      </c>
      <c r="C86" s="181" t="s">
        <v>2115</v>
      </c>
      <c r="D86" s="11" t="s">
        <v>29</v>
      </c>
      <c r="E86" s="86"/>
      <c r="F86" s="2">
        <v>2500000</v>
      </c>
      <c r="G86" s="23"/>
      <c r="H86" s="23"/>
      <c r="I86" s="159"/>
      <c r="J86" s="160"/>
      <c r="K86" s="160"/>
      <c r="L86" s="70"/>
    </row>
    <row r="87" spans="1:12" s="2" customFormat="1" x14ac:dyDescent="0.2">
      <c r="A87" s="89">
        <v>45344</v>
      </c>
      <c r="B87" s="128" t="s">
        <v>11</v>
      </c>
      <c r="C87" s="181" t="s">
        <v>44</v>
      </c>
      <c r="D87" s="11" t="s">
        <v>29</v>
      </c>
      <c r="E87" s="86"/>
      <c r="F87" s="2">
        <v>1344092</v>
      </c>
      <c r="G87" s="23"/>
      <c r="H87" s="23"/>
      <c r="I87" s="159"/>
      <c r="J87" s="160"/>
      <c r="K87" s="160"/>
      <c r="L87" s="70"/>
    </row>
    <row r="88" spans="1:12" s="2" customFormat="1" x14ac:dyDescent="0.2">
      <c r="A88" s="89">
        <v>45344</v>
      </c>
      <c r="B88" s="128" t="s">
        <v>11</v>
      </c>
      <c r="C88" s="181" t="s">
        <v>372</v>
      </c>
      <c r="D88" s="11" t="s">
        <v>29</v>
      </c>
      <c r="E88" s="86"/>
      <c r="F88" s="2">
        <v>292648</v>
      </c>
      <c r="G88" s="23"/>
      <c r="H88" s="23"/>
      <c r="I88" s="159"/>
      <c r="J88" s="160"/>
      <c r="K88" s="160"/>
      <c r="L88" s="70"/>
    </row>
    <row r="89" spans="1:12" s="2" customFormat="1" x14ac:dyDescent="0.2">
      <c r="A89" s="89">
        <v>45344</v>
      </c>
      <c r="B89" s="128" t="s">
        <v>11</v>
      </c>
      <c r="C89" s="181" t="s">
        <v>193</v>
      </c>
      <c r="D89" s="11" t="s">
        <v>29</v>
      </c>
      <c r="E89" s="86"/>
      <c r="F89" s="2">
        <v>902490</v>
      </c>
      <c r="G89" s="23"/>
      <c r="H89" s="23"/>
      <c r="I89" s="159"/>
      <c r="J89" s="160"/>
      <c r="K89" s="160"/>
      <c r="L89" s="70"/>
    </row>
    <row r="90" spans="1:12" s="2" customFormat="1" x14ac:dyDescent="0.2">
      <c r="A90" s="89">
        <v>45344</v>
      </c>
      <c r="B90" s="128" t="s">
        <v>11</v>
      </c>
      <c r="C90" s="181" t="s">
        <v>56</v>
      </c>
      <c r="D90" s="11" t="s">
        <v>29</v>
      </c>
      <c r="E90" s="86"/>
      <c r="F90" s="2">
        <v>1158905</v>
      </c>
      <c r="G90" s="23"/>
      <c r="H90" s="23"/>
      <c r="I90" s="159"/>
      <c r="J90" s="160"/>
      <c r="K90" s="160"/>
      <c r="L90" s="70"/>
    </row>
    <row r="91" spans="1:12" s="2" customFormat="1" x14ac:dyDescent="0.2">
      <c r="A91" s="89">
        <v>45344</v>
      </c>
      <c r="B91" s="128" t="s">
        <v>11</v>
      </c>
      <c r="C91" s="181" t="s">
        <v>1856</v>
      </c>
      <c r="D91" s="11" t="s">
        <v>29</v>
      </c>
      <c r="E91" s="86"/>
      <c r="F91" s="2">
        <v>226910.2</v>
      </c>
      <c r="G91" s="23"/>
      <c r="H91" s="23"/>
      <c r="I91" s="159"/>
      <c r="J91" s="160"/>
      <c r="K91" s="160"/>
      <c r="L91" s="70"/>
    </row>
    <row r="92" spans="1:12" s="2" customFormat="1" x14ac:dyDescent="0.2">
      <c r="A92" s="89">
        <v>45344</v>
      </c>
      <c r="B92" s="128" t="s">
        <v>11</v>
      </c>
      <c r="C92" s="181" t="s">
        <v>790</v>
      </c>
      <c r="D92" s="11" t="s">
        <v>29</v>
      </c>
      <c r="E92" s="86"/>
      <c r="F92" s="2">
        <v>582523</v>
      </c>
      <c r="G92" s="23"/>
      <c r="H92" s="23"/>
      <c r="I92" s="159"/>
      <c r="J92" s="160"/>
      <c r="K92" s="160"/>
      <c r="L92" s="70"/>
    </row>
    <row r="93" spans="1:12" s="2" customFormat="1" x14ac:dyDescent="0.2">
      <c r="A93" s="89">
        <v>45344</v>
      </c>
      <c r="B93" s="128" t="s">
        <v>11</v>
      </c>
      <c r="C93" s="181" t="s">
        <v>300</v>
      </c>
      <c r="D93" s="11" t="s">
        <v>29</v>
      </c>
      <c r="E93" s="86"/>
      <c r="F93" s="2">
        <v>215779</v>
      </c>
      <c r="G93" s="23"/>
      <c r="H93" s="23"/>
      <c r="I93" s="159"/>
      <c r="J93" s="160"/>
      <c r="K93" s="160"/>
      <c r="L93" s="70"/>
    </row>
    <row r="94" spans="1:12" s="2" customFormat="1" x14ac:dyDescent="0.2">
      <c r="A94" s="89">
        <v>45344</v>
      </c>
      <c r="B94" s="128" t="s">
        <v>11</v>
      </c>
      <c r="C94" s="181" t="s">
        <v>194</v>
      </c>
      <c r="D94" s="11" t="s">
        <v>29</v>
      </c>
      <c r="E94" s="86"/>
      <c r="F94" s="2">
        <v>1711993</v>
      </c>
      <c r="G94" s="23"/>
      <c r="H94" s="23"/>
      <c r="I94" s="159"/>
      <c r="J94" s="160"/>
      <c r="K94" s="160"/>
      <c r="L94" s="70"/>
    </row>
    <row r="95" spans="1:12" s="2" customFormat="1" x14ac:dyDescent="0.2">
      <c r="A95" s="89">
        <v>45344</v>
      </c>
      <c r="B95" s="128" t="s">
        <v>11</v>
      </c>
      <c r="C95" s="181" t="s">
        <v>1140</v>
      </c>
      <c r="D95" s="11" t="s">
        <v>29</v>
      </c>
      <c r="E95" s="86"/>
      <c r="F95" s="2">
        <v>503538</v>
      </c>
      <c r="G95" s="23"/>
      <c r="H95" s="23"/>
      <c r="I95" s="159"/>
      <c r="J95" s="160"/>
      <c r="K95" s="160"/>
      <c r="L95" s="70"/>
    </row>
    <row r="96" spans="1:12" s="2" customFormat="1" x14ac:dyDescent="0.2">
      <c r="A96" s="89">
        <v>45344</v>
      </c>
      <c r="B96" s="128" t="s">
        <v>11</v>
      </c>
      <c r="C96" s="181" t="s">
        <v>138</v>
      </c>
      <c r="D96" s="11" t="s">
        <v>29</v>
      </c>
      <c r="E96" s="86"/>
      <c r="F96" s="2">
        <v>1940192</v>
      </c>
      <c r="G96" s="23"/>
      <c r="H96" s="23"/>
      <c r="I96" s="159"/>
      <c r="J96" s="160"/>
      <c r="K96" s="160"/>
      <c r="L96" s="70"/>
    </row>
    <row r="97" spans="1:16" s="2" customFormat="1" x14ac:dyDescent="0.2">
      <c r="A97" s="89">
        <v>45344</v>
      </c>
      <c r="B97" s="128" t="s">
        <v>11</v>
      </c>
      <c r="C97" s="181" t="s">
        <v>91</v>
      </c>
      <c r="D97" s="11" t="s">
        <v>29</v>
      </c>
      <c r="E97" s="86"/>
      <c r="F97" s="2">
        <v>1476731</v>
      </c>
      <c r="G97" s="23"/>
      <c r="H97" s="23"/>
      <c r="I97" s="159"/>
      <c r="J97" s="160"/>
      <c r="K97" s="160"/>
      <c r="L97" s="70"/>
    </row>
    <row r="98" spans="1:16" s="2" customFormat="1" x14ac:dyDescent="0.2">
      <c r="A98" s="89">
        <v>45344</v>
      </c>
      <c r="B98" s="128" t="s">
        <v>11</v>
      </c>
      <c r="C98" s="181" t="s">
        <v>1025</v>
      </c>
      <c r="D98" s="11" t="s">
        <v>29</v>
      </c>
      <c r="E98" s="86"/>
      <c r="F98" s="2">
        <v>2000000</v>
      </c>
      <c r="G98" s="23"/>
      <c r="H98" s="23"/>
      <c r="I98" s="159"/>
      <c r="J98" s="160"/>
      <c r="K98" s="160"/>
      <c r="L98" s="70"/>
    </row>
    <row r="99" spans="1:16" s="2" customFormat="1" x14ac:dyDescent="0.2">
      <c r="A99" s="89">
        <v>45344</v>
      </c>
      <c r="B99" s="128" t="s">
        <v>11</v>
      </c>
      <c r="C99" s="181" t="s">
        <v>279</v>
      </c>
      <c r="D99" s="11" t="s">
        <v>29</v>
      </c>
      <c r="E99" s="86"/>
      <c r="F99" s="2">
        <v>7268698</v>
      </c>
      <c r="G99" s="23"/>
      <c r="H99" s="23"/>
      <c r="I99" s="159"/>
      <c r="J99" s="160"/>
      <c r="K99" s="160"/>
      <c r="L99" s="70"/>
    </row>
    <row r="100" spans="1:16" s="2" customFormat="1" x14ac:dyDescent="0.2">
      <c r="A100" s="89">
        <v>45344</v>
      </c>
      <c r="B100" s="128" t="s">
        <v>11</v>
      </c>
      <c r="C100" s="181" t="s">
        <v>301</v>
      </c>
      <c r="D100" s="11" t="s">
        <v>29</v>
      </c>
      <c r="E100" s="86"/>
      <c r="F100" s="2">
        <v>6273702</v>
      </c>
      <c r="G100" s="23"/>
      <c r="H100" s="23"/>
      <c r="I100" s="159"/>
      <c r="J100" s="160"/>
      <c r="K100" s="160"/>
      <c r="L100" s="70"/>
    </row>
    <row r="101" spans="1:16" s="2" customFormat="1" x14ac:dyDescent="0.2">
      <c r="A101" s="89">
        <v>45344</v>
      </c>
      <c r="B101" s="128" t="s">
        <v>11</v>
      </c>
      <c r="C101" s="181" t="s">
        <v>1651</v>
      </c>
      <c r="D101" s="11" t="s">
        <v>29</v>
      </c>
      <c r="E101" s="86"/>
      <c r="F101" s="2">
        <v>2476101</v>
      </c>
      <c r="G101" s="23"/>
      <c r="H101" s="23"/>
      <c r="I101" s="159"/>
      <c r="J101" s="160"/>
      <c r="K101" s="160"/>
      <c r="L101" s="70"/>
    </row>
    <row r="102" spans="1:16" s="2" customFormat="1" x14ac:dyDescent="0.2">
      <c r="A102" s="89">
        <v>45344</v>
      </c>
      <c r="B102" s="128" t="s">
        <v>11</v>
      </c>
      <c r="C102" s="181" t="s">
        <v>57</v>
      </c>
      <c r="D102" s="11" t="s">
        <v>29</v>
      </c>
      <c r="E102" s="86"/>
      <c r="F102" s="2">
        <v>14000000</v>
      </c>
      <c r="G102" s="23"/>
      <c r="H102" s="23"/>
      <c r="I102" s="159"/>
      <c r="J102" s="160"/>
      <c r="K102" s="160"/>
      <c r="L102" s="70"/>
    </row>
    <row r="103" spans="1:16" s="2" customFormat="1" x14ac:dyDescent="0.2">
      <c r="A103" s="89">
        <v>45344</v>
      </c>
      <c r="B103" s="128" t="s">
        <v>11</v>
      </c>
      <c r="C103" s="181" t="s">
        <v>284</v>
      </c>
      <c r="D103" s="11" t="s">
        <v>29</v>
      </c>
      <c r="E103" s="86"/>
      <c r="F103" s="2">
        <v>2835194</v>
      </c>
      <c r="G103" s="23"/>
      <c r="H103" s="23"/>
      <c r="I103" s="159"/>
      <c r="J103" s="160"/>
      <c r="K103" s="160"/>
      <c r="L103" s="70"/>
    </row>
    <row r="104" spans="1:16" s="2" customFormat="1" x14ac:dyDescent="0.2">
      <c r="A104" s="89">
        <v>45344</v>
      </c>
      <c r="B104" s="128" t="s">
        <v>11</v>
      </c>
      <c r="C104" s="181" t="s">
        <v>714</v>
      </c>
      <c r="D104" s="11" t="s">
        <v>29</v>
      </c>
      <c r="E104" s="86"/>
      <c r="F104" s="2">
        <v>251694</v>
      </c>
      <c r="G104" s="23"/>
      <c r="H104" s="23"/>
      <c r="I104" s="159"/>
      <c r="J104" s="160"/>
      <c r="K104" s="160"/>
      <c r="L104" s="70"/>
    </row>
    <row r="105" spans="1:16" s="2" customFormat="1" x14ac:dyDescent="0.2">
      <c r="A105" s="89">
        <v>45344</v>
      </c>
      <c r="B105" s="128" t="s">
        <v>11</v>
      </c>
      <c r="C105" s="181" t="s">
        <v>63</v>
      </c>
      <c r="D105" s="11" t="s">
        <v>29</v>
      </c>
      <c r="E105" s="86"/>
      <c r="F105" s="2">
        <v>15000000</v>
      </c>
      <c r="G105" s="23"/>
      <c r="H105" s="23"/>
      <c r="I105" s="159"/>
      <c r="J105" s="160"/>
      <c r="K105" s="160"/>
      <c r="L105" s="70"/>
    </row>
    <row r="106" spans="1:16" s="2" customFormat="1" x14ac:dyDescent="0.2">
      <c r="A106" s="89">
        <v>45344</v>
      </c>
      <c r="B106" s="128" t="s">
        <v>11</v>
      </c>
      <c r="C106" s="181" t="s">
        <v>397</v>
      </c>
      <c r="D106" s="11" t="s">
        <v>29</v>
      </c>
      <c r="E106" s="86"/>
      <c r="F106" s="2">
        <v>664790</v>
      </c>
      <c r="G106" s="23"/>
      <c r="H106" s="23"/>
      <c r="I106" s="159"/>
      <c r="J106" s="160"/>
      <c r="K106" s="160"/>
      <c r="L106" s="70" t="s">
        <v>329</v>
      </c>
    </row>
    <row r="107" spans="1:16" s="70" customFormat="1" x14ac:dyDescent="0.2">
      <c r="A107" s="32"/>
      <c r="B107" s="33"/>
      <c r="C107" s="14"/>
      <c r="D107" s="34"/>
      <c r="E107" s="16">
        <f>SUM(E38:E106)</f>
        <v>120577778.72000001</v>
      </c>
      <c r="F107" s="16">
        <f>SUM(F38:F106)</f>
        <v>168943312.03999987</v>
      </c>
      <c r="G107" s="1"/>
      <c r="H107" s="1"/>
      <c r="I107" s="1"/>
      <c r="J107" s="38">
        <v>47407828.32</v>
      </c>
      <c r="K107" s="2"/>
      <c r="L107" s="92">
        <f>E108-J107</f>
        <v>957704.99999985844</v>
      </c>
      <c r="M107" s="2"/>
      <c r="N107" s="2"/>
      <c r="O107" s="2"/>
      <c r="P107" s="2"/>
    </row>
    <row r="108" spans="1:16" s="70" customFormat="1" x14ac:dyDescent="0.2">
      <c r="A108" s="36"/>
      <c r="B108" s="28" t="s">
        <v>11</v>
      </c>
      <c r="C108" s="19" t="s">
        <v>65</v>
      </c>
      <c r="D108" s="37"/>
      <c r="E108" s="38">
        <f>F107-E107</f>
        <v>48365533.319999859</v>
      </c>
      <c r="F108" s="22"/>
      <c r="G108" s="1"/>
      <c r="H108" s="1"/>
      <c r="I108" s="1"/>
      <c r="M108" s="2"/>
      <c r="N108" s="2"/>
      <c r="O108" s="1"/>
      <c r="P108" s="2"/>
    </row>
    <row r="109" spans="1:16" s="70" customFormat="1" x14ac:dyDescent="0.2">
      <c r="A109" s="36"/>
      <c r="B109" s="28" t="s">
        <v>66</v>
      </c>
      <c r="C109" s="19" t="s">
        <v>67</v>
      </c>
      <c r="D109" s="37"/>
      <c r="E109" s="38">
        <v>11500000</v>
      </c>
      <c r="F109" s="22"/>
      <c r="G109" s="1"/>
      <c r="H109" s="1"/>
      <c r="M109" s="2"/>
      <c r="N109" s="2"/>
      <c r="O109" s="1"/>
      <c r="P109" s="2"/>
    </row>
    <row r="110" spans="1:16" s="70" customFormat="1" x14ac:dyDescent="0.2">
      <c r="A110" s="36"/>
      <c r="B110" s="28" t="s">
        <v>66</v>
      </c>
      <c r="C110" s="43" t="s">
        <v>1457</v>
      </c>
      <c r="D110" s="43"/>
      <c r="E110" s="12">
        <f>400000000</f>
        <v>400000000</v>
      </c>
      <c r="F110" s="22"/>
      <c r="G110" s="1"/>
      <c r="H110" s="1"/>
      <c r="J110" s="45">
        <v>1921.56</v>
      </c>
      <c r="K110" s="46"/>
      <c r="L110" s="46"/>
      <c r="M110" s="2"/>
      <c r="N110" s="2"/>
      <c r="O110" s="1"/>
      <c r="P110" s="2"/>
    </row>
    <row r="111" spans="1:16" s="70" customFormat="1" ht="15" x14ac:dyDescent="0.25">
      <c r="A111" s="36"/>
      <c r="B111" s="28"/>
      <c r="C111" s="44" t="s">
        <v>1541</v>
      </c>
      <c r="D111" s="43"/>
      <c r="E111" s="7">
        <f>+E110+E108+E109</f>
        <v>459865533.31999987</v>
      </c>
      <c r="F111" s="22"/>
      <c r="G111" s="1"/>
      <c r="H111" s="1"/>
      <c r="I111" s="103" t="s">
        <v>69</v>
      </c>
      <c r="J111" s="45">
        <v>-76.63</v>
      </c>
      <c r="K111" s="46"/>
      <c r="L111" s="46"/>
      <c r="M111" s="2"/>
      <c r="N111" s="2"/>
      <c r="O111" s="1"/>
      <c r="P111" s="2"/>
    </row>
    <row r="112" spans="1:16" s="70" customFormat="1" ht="15" x14ac:dyDescent="0.25">
      <c r="A112" s="24"/>
      <c r="B112" s="1"/>
      <c r="C112" s="44" t="s">
        <v>1510</v>
      </c>
      <c r="D112" s="25"/>
      <c r="E112" s="156">
        <f>+J37-E109+I33-J33</f>
        <v>41092172.479999997</v>
      </c>
      <c r="F112" s="2"/>
      <c r="G112" s="1"/>
      <c r="H112" s="1"/>
      <c r="I112" s="35">
        <v>1</v>
      </c>
      <c r="J112" s="45">
        <v>65.790000000000006</v>
      </c>
      <c r="K112" s="46">
        <f>+J113-D115</f>
        <v>0</v>
      </c>
      <c r="L112" s="2"/>
      <c r="M112" s="2"/>
      <c r="N112" s="2"/>
      <c r="O112" s="1"/>
      <c r="P112" s="2"/>
    </row>
    <row r="113" spans="1:19" s="70" customFormat="1" ht="12.75" customHeight="1" x14ac:dyDescent="0.2">
      <c r="A113" s="24"/>
      <c r="B113" s="1"/>
      <c r="C113" s="56"/>
      <c r="D113" s="56"/>
      <c r="E113" s="104"/>
      <c r="F113" s="2"/>
      <c r="G113" s="166"/>
      <c r="H113" s="166"/>
      <c r="J113" s="49">
        <f>SUM(J110:J112)</f>
        <v>1910.7199999999998</v>
      </c>
      <c r="K113" s="46"/>
      <c r="L113" s="46"/>
      <c r="M113" s="124"/>
      <c r="N113" s="124"/>
      <c r="O113" s="1"/>
      <c r="P113" s="2"/>
    </row>
    <row r="114" spans="1:19" s="70" customFormat="1" ht="12.75" customHeight="1" x14ac:dyDescent="0.2">
      <c r="A114" s="24"/>
      <c r="B114" s="1"/>
      <c r="C114" s="78" t="s">
        <v>575</v>
      </c>
      <c r="D114" s="48" t="s">
        <v>576</v>
      </c>
      <c r="E114" s="104"/>
      <c r="F114" s="2"/>
      <c r="G114" s="168"/>
      <c r="H114" s="168"/>
      <c r="I114" s="167"/>
      <c r="J114" s="167"/>
      <c r="K114" s="168"/>
      <c r="L114" s="124"/>
      <c r="M114" s="124"/>
      <c r="N114" s="124"/>
      <c r="O114" s="124"/>
      <c r="P114" s="2"/>
    </row>
    <row r="115" spans="1:19" s="70" customFormat="1" ht="12.75" customHeight="1" x14ac:dyDescent="0.2">
      <c r="A115" s="24"/>
      <c r="B115" s="1"/>
      <c r="C115" s="47" t="s">
        <v>570</v>
      </c>
      <c r="D115" s="111">
        <v>1910.72</v>
      </c>
      <c r="E115" s="104"/>
      <c r="F115" s="2"/>
      <c r="G115" s="168"/>
      <c r="H115" s="168"/>
      <c r="I115" s="110" t="s">
        <v>581</v>
      </c>
      <c r="J115" s="167"/>
      <c r="K115" s="168"/>
      <c r="L115" s="124"/>
      <c r="M115" s="124"/>
      <c r="N115" s="124"/>
      <c r="O115" s="124"/>
      <c r="P115" s="124"/>
    </row>
    <row r="116" spans="1:19" s="70" customFormat="1" ht="12.75" customHeight="1" x14ac:dyDescent="0.2">
      <c r="A116" s="24"/>
      <c r="B116" s="1"/>
      <c r="C116" s="47" t="s">
        <v>931</v>
      </c>
      <c r="D116" s="111">
        <v>154.02000000000001</v>
      </c>
      <c r="E116" s="104"/>
      <c r="F116" s="2"/>
      <c r="G116" s="168"/>
      <c r="H116" s="168"/>
      <c r="I116" s="110" t="s">
        <v>580</v>
      </c>
      <c r="J116" s="167"/>
      <c r="K116" s="168"/>
      <c r="L116" s="124"/>
      <c r="M116" s="124"/>
      <c r="N116" s="124"/>
      <c r="O116" s="124"/>
      <c r="P116" s="124"/>
    </row>
    <row r="117" spans="1:19" s="70" customFormat="1" ht="12.75" customHeight="1" x14ac:dyDescent="0.2">
      <c r="A117" s="24"/>
      <c r="B117" s="1"/>
      <c r="C117" s="47" t="s">
        <v>572</v>
      </c>
      <c r="D117" s="111">
        <f>+D153/100000</f>
        <v>411.46947829999999</v>
      </c>
      <c r="E117" s="104"/>
      <c r="F117" s="2"/>
      <c r="G117" s="166"/>
      <c r="H117" s="166"/>
      <c r="I117" s="90" t="s">
        <v>587</v>
      </c>
      <c r="J117" s="167"/>
      <c r="K117" s="168"/>
      <c r="L117" s="124"/>
      <c r="M117" s="124"/>
      <c r="N117" s="124"/>
      <c r="O117" s="124"/>
      <c r="P117" s="124"/>
    </row>
    <row r="118" spans="1:19" s="70" customFormat="1" ht="12.75" customHeight="1" x14ac:dyDescent="0.2">
      <c r="A118" s="24"/>
      <c r="B118" s="1"/>
      <c r="C118" s="108" t="s">
        <v>578</v>
      </c>
      <c r="D118" s="48">
        <f>SUM(D115:D117)</f>
        <v>2476.2094783000002</v>
      </c>
      <c r="E118" s="104"/>
      <c r="F118" s="2"/>
      <c r="G118" s="30"/>
      <c r="H118" s="30"/>
      <c r="I118" s="2"/>
      <c r="J118" s="13"/>
      <c r="K118" s="13"/>
      <c r="L118" s="2"/>
      <c r="M118" s="2"/>
      <c r="N118" s="2"/>
      <c r="O118" s="124"/>
      <c r="P118" s="124"/>
    </row>
    <row r="119" spans="1:19" s="70" customFormat="1" ht="12.75" customHeight="1" x14ac:dyDescent="0.2">
      <c r="A119" s="24"/>
      <c r="B119" s="1"/>
      <c r="C119" s="47"/>
      <c r="D119" s="107"/>
      <c r="E119" s="104"/>
      <c r="F119" s="2"/>
      <c r="G119" s="30"/>
      <c r="H119" s="30"/>
      <c r="I119" s="2"/>
      <c r="O119" s="2"/>
      <c r="P119" s="124"/>
    </row>
    <row r="120" spans="1:19" s="70" customFormat="1" ht="12.75" customHeight="1" x14ac:dyDescent="0.2">
      <c r="A120" s="24"/>
      <c r="B120" s="1"/>
      <c r="C120" s="47" t="s">
        <v>932</v>
      </c>
      <c r="D120" s="111">
        <v>111.36</v>
      </c>
      <c r="E120" s="104"/>
      <c r="F120" s="2"/>
      <c r="G120" s="30"/>
      <c r="H120" s="30"/>
      <c r="I120" s="110" t="s">
        <v>581</v>
      </c>
      <c r="P120" s="2"/>
    </row>
    <row r="121" spans="1:19" s="70" customFormat="1" ht="12.75" customHeight="1" x14ac:dyDescent="0.2">
      <c r="A121" s="24"/>
      <c r="B121" s="1"/>
      <c r="C121" s="136" t="s">
        <v>1142</v>
      </c>
      <c r="D121" s="111">
        <v>392.5</v>
      </c>
      <c r="E121" s="104"/>
      <c r="F121" s="2"/>
      <c r="G121" s="30"/>
      <c r="H121" s="30"/>
      <c r="I121" s="110" t="s">
        <v>581</v>
      </c>
    </row>
    <row r="122" spans="1:19" s="70" customFormat="1" ht="12.75" customHeight="1" x14ac:dyDescent="0.2">
      <c r="A122" s="24"/>
      <c r="B122" s="1"/>
      <c r="C122" s="78" t="s">
        <v>579</v>
      </c>
      <c r="D122" s="109">
        <f>D120+D121</f>
        <v>503.86</v>
      </c>
      <c r="E122" s="104"/>
      <c r="F122" s="2"/>
      <c r="G122" s="30"/>
      <c r="H122" s="30"/>
      <c r="Q122" s="2"/>
      <c r="R122" s="2"/>
      <c r="S122" s="2"/>
    </row>
    <row r="123" spans="1:19" s="2" customFormat="1" x14ac:dyDescent="0.2">
      <c r="A123" s="24"/>
      <c r="B123" s="1"/>
      <c r="C123" s="105"/>
      <c r="D123" s="106"/>
      <c r="E123" s="104"/>
      <c r="G123" s="30"/>
      <c r="H123" s="30"/>
      <c r="I123" s="70"/>
      <c r="K123" s="221" t="str">
        <f>"FROM ( 01-02-2024 to "&amp;TEXT(A5,"dd-mm-yyyy")&amp;" )"</f>
        <v>FROM ( 01-02-2024 to 22-02-2024 )</v>
      </c>
      <c r="L123" s="221"/>
      <c r="O123" s="70"/>
      <c r="P123" s="70"/>
    </row>
    <row r="124" spans="1:19" s="2" customFormat="1" x14ac:dyDescent="0.2">
      <c r="A124" s="24"/>
      <c r="B124" s="1"/>
      <c r="C124" s="78" t="s">
        <v>577</v>
      </c>
      <c r="D124" s="109">
        <f>D115+D122</f>
        <v>2414.58</v>
      </c>
      <c r="E124" s="104"/>
      <c r="G124" s="30"/>
      <c r="H124" s="30"/>
      <c r="I124" s="70"/>
      <c r="J124" s="113"/>
      <c r="K124" s="113" t="s">
        <v>709</v>
      </c>
      <c r="L124" s="113" t="s">
        <v>710</v>
      </c>
      <c r="M124" s="113" t="s">
        <v>711</v>
      </c>
      <c r="N124" s="113" t="s">
        <v>712</v>
      </c>
      <c r="O124" s="70"/>
      <c r="P124" s="70"/>
    </row>
    <row r="125" spans="1:19" s="2" customFormat="1" x14ac:dyDescent="0.2">
      <c r="A125" s="24"/>
      <c r="B125" s="1"/>
      <c r="C125" s="56"/>
      <c r="D125" s="56"/>
      <c r="E125" s="104"/>
      <c r="G125" s="30"/>
      <c r="H125" s="30"/>
      <c r="I125" s="70"/>
      <c r="J125" s="113" t="s">
        <v>1860</v>
      </c>
      <c r="K125" s="115">
        <v>191.98999999999998</v>
      </c>
      <c r="L125" s="115">
        <v>0</v>
      </c>
      <c r="M125" s="115">
        <v>0</v>
      </c>
      <c r="N125" s="113">
        <f>+K125+M125-L125</f>
        <v>191.98999999999998</v>
      </c>
      <c r="O125" s="70"/>
      <c r="P125" s="70"/>
    </row>
    <row r="126" spans="1:19" s="2" customFormat="1" ht="38.25" x14ac:dyDescent="0.2">
      <c r="A126" s="24"/>
      <c r="B126" s="1"/>
      <c r="C126" s="79" t="str">
        <f>"Particulars ( 01-02-2024 to "&amp;TEXT(A5,"dd-mm-yyyy")&amp;" )"</f>
        <v>Particulars ( 01-02-2024 to 22-02-2024 )</v>
      </c>
      <c r="D126" s="79" t="s">
        <v>7</v>
      </c>
      <c r="E126" s="80" t="s">
        <v>73</v>
      </c>
      <c r="F126" s="80" t="s">
        <v>74</v>
      </c>
      <c r="G126" s="81" t="s">
        <v>75</v>
      </c>
      <c r="H126" s="80" t="s">
        <v>76</v>
      </c>
      <c r="I126" s="70"/>
      <c r="J126" s="113" t="s">
        <v>1861</v>
      </c>
      <c r="K126" s="115">
        <v>1862.06</v>
      </c>
      <c r="L126" s="115">
        <v>411.47</v>
      </c>
      <c r="M126" s="115">
        <v>392.5</v>
      </c>
      <c r="N126" s="113">
        <f>+K126+M126-L126</f>
        <v>1843.09</v>
      </c>
      <c r="O126" s="70"/>
      <c r="P126" s="70"/>
    </row>
    <row r="127" spans="1:19" s="2" customFormat="1" x14ac:dyDescent="0.2">
      <c r="A127" s="24"/>
      <c r="B127" s="1"/>
      <c r="C127" s="50" t="s">
        <v>444</v>
      </c>
      <c r="D127" s="55">
        <f>+K127</f>
        <v>332.44</v>
      </c>
      <c r="E127" s="55">
        <f>+IF(M127=0,0,M127)</f>
        <v>111.36</v>
      </c>
      <c r="F127" s="55">
        <f>+L127</f>
        <v>154.02000000000001</v>
      </c>
      <c r="G127" s="55">
        <f>+D127+E127-F127</f>
        <v>289.77999999999997</v>
      </c>
      <c r="H127" s="55">
        <f>1500-G127</f>
        <v>1210.22</v>
      </c>
      <c r="I127" s="70">
        <f>+IF(M127=0,0,M127)</f>
        <v>111.36</v>
      </c>
      <c r="J127" s="113" t="s">
        <v>707</v>
      </c>
      <c r="K127" s="115">
        <v>332.44</v>
      </c>
      <c r="L127" s="115">
        <v>154.02000000000001</v>
      </c>
      <c r="M127" s="115">
        <v>111.36</v>
      </c>
      <c r="N127" s="113">
        <f>+K127+M127-L127</f>
        <v>289.77999999999997</v>
      </c>
      <c r="O127" s="70"/>
      <c r="P127" s="70"/>
    </row>
    <row r="128" spans="1:19" s="2" customFormat="1" x14ac:dyDescent="0.2">
      <c r="A128" s="24"/>
      <c r="B128" s="1"/>
      <c r="C128" s="50" t="s">
        <v>71</v>
      </c>
      <c r="D128" s="55">
        <f>+K125+K126</f>
        <v>2054.0499999999997</v>
      </c>
      <c r="E128" s="55">
        <f>+M125+M126</f>
        <v>392.5</v>
      </c>
      <c r="F128" s="55">
        <f>+L125+L126</f>
        <v>411.47</v>
      </c>
      <c r="G128" s="55">
        <f>+D128+E128-F128</f>
        <v>2035.0799999999997</v>
      </c>
      <c r="H128" s="55">
        <f>1500+700+200-G128</f>
        <v>364.9200000000003</v>
      </c>
      <c r="I128" s="70"/>
      <c r="K128" s="118">
        <f>SUM(K125:K127)</f>
        <v>2386.4899999999998</v>
      </c>
      <c r="L128" s="118">
        <f>SUM(L125:L127)</f>
        <v>565.49</v>
      </c>
      <c r="M128" s="118">
        <f>SUM(M125:M127)</f>
        <v>503.86</v>
      </c>
      <c r="N128" s="118">
        <f>SUM(N125:N127)</f>
        <v>2324.8599999999997</v>
      </c>
      <c r="O128" s="70"/>
      <c r="P128" s="70"/>
    </row>
    <row r="129" spans="1:16" s="2" customFormat="1" x14ac:dyDescent="0.2">
      <c r="A129" s="24"/>
      <c r="B129" s="1"/>
      <c r="C129" s="14"/>
      <c r="D129" s="56"/>
      <c r="E129" s="13"/>
      <c r="G129" s="30"/>
      <c r="H129" s="30"/>
      <c r="I129" s="70"/>
      <c r="J129" s="70"/>
      <c r="K129" s="70"/>
      <c r="L129" s="70"/>
      <c r="M129" s="70"/>
      <c r="N129" s="70"/>
      <c r="O129" s="70"/>
      <c r="P129" s="70"/>
    </row>
    <row r="130" spans="1:16" s="2" customFormat="1" x14ac:dyDescent="0.2">
      <c r="A130" s="215" t="s">
        <v>80</v>
      </c>
      <c r="B130" s="216"/>
      <c r="C130" s="216"/>
      <c r="D130" s="217"/>
      <c r="E130" s="69"/>
      <c r="F130" s="70"/>
      <c r="G130" s="30"/>
      <c r="H130" s="30"/>
      <c r="I130" s="70"/>
      <c r="J130" s="70"/>
      <c r="K130" s="70"/>
      <c r="L130" s="70"/>
      <c r="M130" s="70"/>
      <c r="N130" s="70"/>
      <c r="O130" s="70"/>
      <c r="P130" s="70"/>
    </row>
    <row r="131" spans="1:16" s="2" customFormat="1" x14ac:dyDescent="0.2">
      <c r="A131" s="71" t="s">
        <v>81</v>
      </c>
      <c r="B131" s="71"/>
      <c r="C131" s="72" t="s">
        <v>82</v>
      </c>
      <c r="D131" s="73" t="s">
        <v>83</v>
      </c>
      <c r="E131" s="69"/>
      <c r="F131" s="70"/>
      <c r="G131" s="30"/>
      <c r="H131" s="30"/>
      <c r="I131" s="70"/>
      <c r="J131" s="70"/>
      <c r="K131" s="70"/>
      <c r="L131" s="70"/>
      <c r="M131" s="70"/>
      <c r="N131" s="70"/>
      <c r="O131" s="70"/>
      <c r="P131" s="70"/>
    </row>
    <row r="132" spans="1:16" s="2" customFormat="1" x14ac:dyDescent="0.2">
      <c r="A132" s="87">
        <v>45323</v>
      </c>
      <c r="B132" s="120" t="s">
        <v>6</v>
      </c>
      <c r="C132" s="75" t="s">
        <v>2030</v>
      </c>
      <c r="D132" s="88">
        <v>881220</v>
      </c>
      <c r="G132" s="30"/>
      <c r="H132" s="30"/>
      <c r="M132" s="41"/>
      <c r="N132" s="42"/>
      <c r="O132" s="70"/>
      <c r="P132" s="70"/>
    </row>
    <row r="133" spans="1:16" s="2" customFormat="1" x14ac:dyDescent="0.2">
      <c r="A133" s="87">
        <v>45324</v>
      </c>
      <c r="B133" s="120" t="s">
        <v>6</v>
      </c>
      <c r="C133" s="75" t="s">
        <v>1934</v>
      </c>
      <c r="D133" s="88">
        <v>47729</v>
      </c>
      <c r="G133" s="30"/>
      <c r="H133" s="30"/>
      <c r="M133" s="41"/>
      <c r="N133" s="42"/>
      <c r="P133" s="70"/>
    </row>
    <row r="134" spans="1:16" s="2" customFormat="1" x14ac:dyDescent="0.2">
      <c r="A134" s="87">
        <v>45328</v>
      </c>
      <c r="B134" s="120" t="s">
        <v>6</v>
      </c>
      <c r="C134" s="75" t="s">
        <v>606</v>
      </c>
      <c r="D134" s="88">
        <v>1312580</v>
      </c>
      <c r="G134" s="30"/>
      <c r="H134" s="30"/>
      <c r="M134" s="41"/>
      <c r="N134" s="42"/>
      <c r="P134" s="70"/>
    </row>
    <row r="135" spans="1:16" s="2" customFormat="1" x14ac:dyDescent="0.2">
      <c r="A135" s="87">
        <v>45327</v>
      </c>
      <c r="B135" s="120" t="s">
        <v>6</v>
      </c>
      <c r="C135" s="75" t="s">
        <v>606</v>
      </c>
      <c r="D135" s="88">
        <v>56647</v>
      </c>
      <c r="G135" s="30"/>
      <c r="H135" s="30"/>
      <c r="M135" s="41"/>
      <c r="N135" s="42"/>
      <c r="P135" s="70"/>
    </row>
    <row r="136" spans="1:16" s="2" customFormat="1" x14ac:dyDescent="0.2">
      <c r="A136" s="87">
        <v>45329</v>
      </c>
      <c r="B136" s="120" t="s">
        <v>6</v>
      </c>
      <c r="C136" s="75" t="s">
        <v>2030</v>
      </c>
      <c r="D136" s="88">
        <v>548859</v>
      </c>
      <c r="G136" s="30"/>
      <c r="H136" s="30"/>
      <c r="M136" s="41"/>
      <c r="N136" s="42"/>
      <c r="P136" s="70"/>
    </row>
    <row r="137" spans="1:16" s="2" customFormat="1" x14ac:dyDescent="0.2">
      <c r="A137" s="87">
        <v>45332</v>
      </c>
      <c r="B137" s="120" t="s">
        <v>6</v>
      </c>
      <c r="C137" s="75" t="s">
        <v>1084</v>
      </c>
      <c r="D137" s="88">
        <v>1603904</v>
      </c>
      <c r="G137" s="30"/>
      <c r="H137" s="30"/>
      <c r="M137" s="41"/>
      <c r="N137" s="42"/>
      <c r="P137" s="70"/>
    </row>
    <row r="138" spans="1:16" s="2" customFormat="1" x14ac:dyDescent="0.2">
      <c r="A138" s="87">
        <v>45334</v>
      </c>
      <c r="B138" s="120" t="s">
        <v>6</v>
      </c>
      <c r="C138" s="75" t="s">
        <v>1934</v>
      </c>
      <c r="D138" s="88">
        <v>126143</v>
      </c>
      <c r="G138" s="30"/>
      <c r="H138" s="30"/>
      <c r="M138" s="41"/>
      <c r="N138" s="42"/>
      <c r="P138" s="70"/>
    </row>
    <row r="139" spans="1:16" s="2" customFormat="1" x14ac:dyDescent="0.2">
      <c r="A139" s="87">
        <v>45334</v>
      </c>
      <c r="B139" s="120" t="s">
        <v>6</v>
      </c>
      <c r="C139" s="75" t="s">
        <v>2092</v>
      </c>
      <c r="D139" s="88">
        <v>231107</v>
      </c>
      <c r="G139" s="30"/>
      <c r="H139" s="30"/>
      <c r="M139" s="41"/>
      <c r="N139" s="42"/>
      <c r="P139" s="70"/>
    </row>
    <row r="140" spans="1:16" s="2" customFormat="1" x14ac:dyDescent="0.2">
      <c r="A140" s="87">
        <v>45335</v>
      </c>
      <c r="B140" s="120" t="s">
        <v>6</v>
      </c>
      <c r="C140" s="75" t="s">
        <v>271</v>
      </c>
      <c r="D140" s="88">
        <v>9126</v>
      </c>
      <c r="G140" s="30"/>
      <c r="H140" s="30"/>
      <c r="P140" s="70"/>
    </row>
    <row r="141" spans="1:16" s="2" customFormat="1" x14ac:dyDescent="0.2">
      <c r="A141" s="87">
        <v>45337</v>
      </c>
      <c r="B141" s="120" t="s">
        <v>6</v>
      </c>
      <c r="C141" s="75" t="s">
        <v>1806</v>
      </c>
      <c r="D141" s="88">
        <v>78251</v>
      </c>
      <c r="G141" s="30"/>
      <c r="H141" s="30"/>
      <c r="P141" s="70"/>
    </row>
    <row r="142" spans="1:16" s="2" customFormat="1" x14ac:dyDescent="0.2">
      <c r="A142" s="87">
        <v>45337</v>
      </c>
      <c r="B142" s="120" t="s">
        <v>6</v>
      </c>
      <c r="C142" s="75" t="s">
        <v>271</v>
      </c>
      <c r="D142" s="88">
        <v>17527</v>
      </c>
      <c r="F142" s="2" t="s">
        <v>396</v>
      </c>
      <c r="G142" s="30"/>
      <c r="H142" s="30"/>
      <c r="P142" s="70"/>
    </row>
    <row r="143" spans="1:16" s="2" customFormat="1" x14ac:dyDescent="0.2">
      <c r="A143" s="87">
        <v>45338</v>
      </c>
      <c r="B143" s="120" t="s">
        <v>6</v>
      </c>
      <c r="C143" s="75" t="s">
        <v>1806</v>
      </c>
      <c r="D143" s="88">
        <v>1418915</v>
      </c>
      <c r="G143" s="30"/>
      <c r="H143" s="30"/>
      <c r="P143" s="70"/>
    </row>
    <row r="144" spans="1:16" s="2" customFormat="1" x14ac:dyDescent="0.2">
      <c r="A144" s="87">
        <v>45338</v>
      </c>
      <c r="B144" s="120" t="s">
        <v>6</v>
      </c>
      <c r="C144" s="75" t="s">
        <v>606</v>
      </c>
      <c r="D144" s="88">
        <v>3685988</v>
      </c>
      <c r="F144" s="2" t="s">
        <v>396</v>
      </c>
      <c r="G144" s="30"/>
      <c r="H144" s="30"/>
      <c r="P144" s="70"/>
    </row>
    <row r="145" spans="1:16" s="2" customFormat="1" x14ac:dyDescent="0.2">
      <c r="A145" s="87">
        <v>45339</v>
      </c>
      <c r="B145" s="120" t="s">
        <v>6</v>
      </c>
      <c r="C145" s="75" t="s">
        <v>271</v>
      </c>
      <c r="D145" s="88">
        <v>423618</v>
      </c>
      <c r="G145" s="30"/>
      <c r="H145" s="30"/>
      <c r="P145" s="70"/>
    </row>
    <row r="146" spans="1:16" s="2" customFormat="1" x14ac:dyDescent="0.2">
      <c r="A146" s="87">
        <v>45341</v>
      </c>
      <c r="B146" s="120" t="s">
        <v>6</v>
      </c>
      <c r="C146" s="75" t="s">
        <v>271</v>
      </c>
      <c r="D146" s="88">
        <v>121500</v>
      </c>
      <c r="G146" s="30"/>
      <c r="H146" s="30"/>
      <c r="P146" s="70"/>
    </row>
    <row r="147" spans="1:16" s="2" customFormat="1" x14ac:dyDescent="0.2">
      <c r="A147" s="87">
        <v>45341</v>
      </c>
      <c r="B147" s="120" t="s">
        <v>6</v>
      </c>
      <c r="C147" s="2" t="s">
        <v>1934</v>
      </c>
      <c r="D147" s="88">
        <v>58247.99</v>
      </c>
      <c r="G147" s="30"/>
      <c r="H147" s="30"/>
      <c r="P147" s="70"/>
    </row>
    <row r="148" spans="1:16" s="2" customFormat="1" x14ac:dyDescent="0.2">
      <c r="A148" s="87">
        <v>45341</v>
      </c>
      <c r="B148" s="120" t="s">
        <v>6</v>
      </c>
      <c r="C148" s="2" t="s">
        <v>1934</v>
      </c>
      <c r="D148" s="88">
        <v>164904</v>
      </c>
      <c r="G148" s="30"/>
      <c r="H148" s="30"/>
      <c r="P148" s="70"/>
    </row>
    <row r="149" spans="1:16" s="2" customFormat="1" x14ac:dyDescent="0.2">
      <c r="A149" s="87">
        <v>45341</v>
      </c>
      <c r="B149" s="120" t="s">
        <v>6</v>
      </c>
      <c r="C149" s="75" t="s">
        <v>888</v>
      </c>
      <c r="D149" s="88">
        <v>5824017.3399999999</v>
      </c>
      <c r="G149" s="30"/>
      <c r="H149" s="30"/>
      <c r="P149" s="70"/>
    </row>
    <row r="150" spans="1:16" s="2" customFormat="1" x14ac:dyDescent="0.2">
      <c r="A150" s="87">
        <v>45342</v>
      </c>
      <c r="B150" s="120" t="s">
        <v>6</v>
      </c>
      <c r="C150" s="75" t="s">
        <v>1806</v>
      </c>
      <c r="D150" s="88">
        <v>6536518</v>
      </c>
      <c r="G150" s="30"/>
      <c r="H150" s="30"/>
      <c r="P150" s="70"/>
    </row>
    <row r="151" spans="1:16" s="2" customFormat="1" x14ac:dyDescent="0.2">
      <c r="A151" s="87">
        <v>45343</v>
      </c>
      <c r="B151" s="120" t="s">
        <v>6</v>
      </c>
      <c r="C151" s="75" t="s">
        <v>1988</v>
      </c>
      <c r="D151" s="88">
        <v>3000000</v>
      </c>
      <c r="G151" s="30"/>
      <c r="H151" s="30"/>
      <c r="P151" s="70"/>
    </row>
    <row r="152" spans="1:16" s="2" customFormat="1" x14ac:dyDescent="0.2">
      <c r="A152" s="87">
        <v>45343</v>
      </c>
      <c r="B152" s="120" t="s">
        <v>6</v>
      </c>
      <c r="C152" s="75" t="s">
        <v>1806</v>
      </c>
      <c r="D152" s="88">
        <v>15000146.5</v>
      </c>
      <c r="G152" s="30"/>
      <c r="H152" s="30"/>
      <c r="P152" s="70"/>
    </row>
    <row r="153" spans="1:16" s="2" customFormat="1" x14ac:dyDescent="0.2">
      <c r="A153" s="87"/>
      <c r="B153" s="74"/>
      <c r="C153" s="75"/>
      <c r="D153" s="51">
        <f>SUM(D132:D152)</f>
        <v>41146947.829999998</v>
      </c>
      <c r="F153" s="2" t="s">
        <v>396</v>
      </c>
      <c r="G153" s="1"/>
      <c r="H153" s="1"/>
      <c r="P153" s="70"/>
    </row>
    <row r="154" spans="1:16" s="2" customFormat="1" x14ac:dyDescent="0.2">
      <c r="A154" s="24"/>
      <c r="B154" s="1"/>
      <c r="C154" s="14"/>
      <c r="D154" s="56"/>
      <c r="E154" s="13"/>
      <c r="G154" s="1"/>
      <c r="H154" s="1"/>
      <c r="I154" s="2" t="s">
        <v>396</v>
      </c>
    </row>
    <row r="155" spans="1:16" s="2" customFormat="1" x14ac:dyDescent="0.2">
      <c r="A155" s="24"/>
      <c r="B155" s="1"/>
      <c r="C155" s="218" t="s">
        <v>77</v>
      </c>
      <c r="D155" s="219"/>
      <c r="E155" s="219"/>
      <c r="F155" s="220"/>
      <c r="I155" s="2" t="s">
        <v>396</v>
      </c>
    </row>
    <row r="156" spans="1:16" s="2" customFormat="1" x14ac:dyDescent="0.2">
      <c r="A156" s="24"/>
      <c r="B156" s="1"/>
      <c r="C156" s="50"/>
      <c r="D156" s="57" t="s">
        <v>78</v>
      </c>
      <c r="E156" s="58" t="s">
        <v>79</v>
      </c>
      <c r="F156" s="57" t="s">
        <v>72</v>
      </c>
    </row>
    <row r="157" spans="1:16" s="2" customFormat="1" x14ac:dyDescent="0.2">
      <c r="A157" s="24"/>
      <c r="B157" s="1"/>
      <c r="C157" s="59" t="str">
        <f>"01-02-2024 to "&amp;TEXT(A5-2,"dd-mm-yyyy")</f>
        <v>01-02-2024 to 20-02-2024</v>
      </c>
      <c r="D157" s="60">
        <v>2358.33</v>
      </c>
      <c r="E157" s="60">
        <v>424.76</v>
      </c>
      <c r="F157" s="61">
        <f>SUM(D157:E157)</f>
        <v>2783.09</v>
      </c>
      <c r="I157" s="53"/>
    </row>
    <row r="158" spans="1:16" s="2" customFormat="1" x14ac:dyDescent="0.2">
      <c r="A158" s="24"/>
      <c r="B158" s="1"/>
      <c r="C158" s="62" t="str">
        <f>TEXT(A5-1,"dd-mm-yyyy")</f>
        <v>21-02-2024</v>
      </c>
      <c r="D158" s="60">
        <v>175.63</v>
      </c>
      <c r="E158" s="60">
        <v>17.84</v>
      </c>
      <c r="F158" s="61">
        <f>SUM(D158:E158)</f>
        <v>193.47</v>
      </c>
      <c r="G158" s="1"/>
      <c r="H158" s="1"/>
      <c r="I158" s="53"/>
    </row>
    <row r="159" spans="1:16" s="2" customFormat="1" ht="13.5" thickBot="1" x14ac:dyDescent="0.25">
      <c r="A159" s="24"/>
      <c r="B159" s="1"/>
      <c r="C159" s="63" t="str">
        <f>"01-02-2024 to "&amp;TEXT(A5-1,"dd-mm-yyyy")</f>
        <v>01-02-2024 to 21-02-2024</v>
      </c>
      <c r="D159" s="64">
        <f>SUM(D157:D158)</f>
        <v>2533.96</v>
      </c>
      <c r="E159" s="64">
        <f>SUM(E157:E158)</f>
        <v>442.59999999999997</v>
      </c>
      <c r="F159" s="64">
        <f>SUM(F157:F158)</f>
        <v>2976.56</v>
      </c>
      <c r="G159" s="1"/>
      <c r="H159" s="1"/>
      <c r="M159" s="1"/>
      <c r="N159" s="1"/>
    </row>
    <row r="160" spans="1:16" s="2" customFormat="1" ht="13.5" thickTop="1" x14ac:dyDescent="0.2">
      <c r="A160" s="24"/>
      <c r="B160" s="1"/>
      <c r="C160" s="62"/>
      <c r="D160" s="65"/>
      <c r="E160" s="66"/>
      <c r="F160" s="67"/>
      <c r="M160" s="1"/>
      <c r="N160" s="1"/>
    </row>
    <row r="161" spans="1:19" s="2" customFormat="1" x14ac:dyDescent="0.2">
      <c r="A161" s="24"/>
      <c r="B161" s="1"/>
      <c r="C161" s="62" t="str">
        <f>"01-04-2023 to " &amp;C158</f>
        <v>01-04-2023 to 21-02-2024</v>
      </c>
      <c r="D161" s="68">
        <f>+D159+37155.6</f>
        <v>39689.56</v>
      </c>
      <c r="E161" s="68">
        <f>+E159+4502.26</f>
        <v>4944.8600000000006</v>
      </c>
      <c r="F161" s="68">
        <f>+F159+41657.86</f>
        <v>44634.42</v>
      </c>
      <c r="G161" s="1"/>
      <c r="H161" s="1"/>
      <c r="M161" s="1"/>
      <c r="N161" s="1"/>
    </row>
    <row r="162" spans="1:19" s="2" customFormat="1" x14ac:dyDescent="0.2">
      <c r="A162" s="24"/>
      <c r="B162" s="1"/>
      <c r="C162" s="52"/>
      <c r="D162" s="85"/>
      <c r="E162" s="53"/>
      <c r="F162" s="53"/>
      <c r="G162" s="1"/>
      <c r="H162" s="1"/>
      <c r="M162" s="1"/>
      <c r="N162" s="1"/>
    </row>
    <row r="163" spans="1:19" s="2" customFormat="1" x14ac:dyDescent="0.2">
      <c r="A163" s="24"/>
      <c r="B163" s="1"/>
      <c r="C163" s="52"/>
      <c r="D163" s="85"/>
      <c r="E163" s="53"/>
      <c r="F163" s="53"/>
      <c r="G163" s="1"/>
      <c r="H163" s="1"/>
      <c r="M163" s="1"/>
      <c r="N163" s="1"/>
    </row>
    <row r="164" spans="1:19" s="2" customFormat="1" x14ac:dyDescent="0.2">
      <c r="A164" s="24"/>
      <c r="B164" s="1"/>
      <c r="C164" s="52"/>
      <c r="D164" s="85"/>
      <c r="E164" s="53"/>
      <c r="F164" s="53"/>
      <c r="G164" s="1"/>
      <c r="H164" s="1"/>
      <c r="M164" s="1"/>
      <c r="N164" s="1"/>
    </row>
    <row r="165" spans="1:19" s="2" customFormat="1" x14ac:dyDescent="0.2">
      <c r="A165" s="24"/>
      <c r="B165" s="1"/>
      <c r="C165" s="52"/>
      <c r="D165" s="85"/>
      <c r="E165" s="53"/>
      <c r="F165" s="53"/>
      <c r="G165" s="1"/>
      <c r="H165" s="1"/>
      <c r="M165" s="1"/>
      <c r="N165" s="1"/>
    </row>
    <row r="166" spans="1:19" s="2" customFormat="1" x14ac:dyDescent="0.2">
      <c r="A166" s="24"/>
      <c r="B166" s="1"/>
      <c r="C166" s="14"/>
      <c r="D166" s="25">
        <f>SUM(D163:D165)</f>
        <v>0</v>
      </c>
      <c r="E166" s="2">
        <f>SUM(E163:E165)</f>
        <v>0</v>
      </c>
      <c r="G166" s="1"/>
      <c r="H166" s="1"/>
      <c r="M166" s="1"/>
      <c r="N166" s="1"/>
    </row>
    <row r="167" spans="1:19" s="2" customFormat="1" x14ac:dyDescent="0.2">
      <c r="A167" s="24"/>
      <c r="B167" s="1"/>
      <c r="C167" s="14"/>
      <c r="D167" s="25"/>
      <c r="G167" s="1"/>
      <c r="H167" s="1"/>
      <c r="M167" s="1"/>
      <c r="N167" s="1"/>
    </row>
    <row r="168" spans="1:19" s="2" customFormat="1" x14ac:dyDescent="0.2">
      <c r="A168" s="24"/>
      <c r="B168" s="1"/>
      <c r="C168" s="14"/>
      <c r="D168" s="25"/>
      <c r="G168" s="1"/>
      <c r="H168" s="1"/>
      <c r="M168" s="1"/>
      <c r="N168" s="1"/>
    </row>
    <row r="169" spans="1:19" s="2" customFormat="1" x14ac:dyDescent="0.2">
      <c r="A169" s="24"/>
      <c r="B169" s="1"/>
      <c r="C169" s="14"/>
      <c r="D169" s="25"/>
      <c r="G169" s="1"/>
      <c r="H169" s="1"/>
      <c r="M169" s="1"/>
      <c r="N169" s="1"/>
    </row>
    <row r="170" spans="1:19" s="2" customFormat="1" x14ac:dyDescent="0.2">
      <c r="A170" s="24"/>
      <c r="B170" s="1"/>
      <c r="C170" s="14"/>
      <c r="D170" s="25"/>
      <c r="G170" s="1"/>
      <c r="H170" s="1"/>
      <c r="M170" s="1"/>
      <c r="N170" s="1"/>
    </row>
    <row r="171" spans="1:19" s="2" customFormat="1" x14ac:dyDescent="0.2">
      <c r="A171" s="24"/>
      <c r="B171" s="1"/>
      <c r="C171" s="14"/>
      <c r="D171" s="25"/>
      <c r="G171" s="1"/>
      <c r="H171" s="1"/>
      <c r="M171" s="1"/>
      <c r="N171" s="1"/>
    </row>
    <row r="172" spans="1:19" s="2" customFormat="1" x14ac:dyDescent="0.2">
      <c r="A172" s="24"/>
      <c r="B172" s="1"/>
      <c r="C172" s="14"/>
      <c r="D172" s="25"/>
      <c r="G172" s="1"/>
      <c r="H172" s="1"/>
      <c r="M172" s="1"/>
      <c r="N172" s="1"/>
    </row>
    <row r="173" spans="1:19" s="2" customFormat="1" x14ac:dyDescent="0.2">
      <c r="A173" s="24"/>
      <c r="B173" s="1"/>
      <c r="C173" s="14"/>
      <c r="D173" s="25"/>
      <c r="G173" s="1"/>
      <c r="H173" s="1"/>
      <c r="M173" s="1"/>
      <c r="N173" s="1"/>
      <c r="Q173" s="1"/>
      <c r="R173" s="1"/>
      <c r="S173" s="1"/>
    </row>
    <row r="174" spans="1:19" x14ac:dyDescent="0.2">
      <c r="J174" s="2"/>
      <c r="K174" s="2"/>
      <c r="L174" s="2"/>
      <c r="O174" s="2"/>
      <c r="P174" s="2"/>
      <c r="Q174" s="2"/>
      <c r="R174" s="2"/>
      <c r="S174" s="2"/>
    </row>
    <row r="175" spans="1:19" s="2" customFormat="1" x14ac:dyDescent="0.2">
      <c r="A175" s="24"/>
      <c r="B175" s="1"/>
      <c r="C175" s="14"/>
      <c r="D175" s="25"/>
      <c r="G175" s="1"/>
      <c r="H175" s="1"/>
      <c r="M175" s="1"/>
      <c r="N175" s="1"/>
      <c r="Q175" s="1"/>
      <c r="R175" s="1"/>
      <c r="S175" s="1"/>
    </row>
    <row r="176" spans="1:19" x14ac:dyDescent="0.2">
      <c r="J176" s="2"/>
      <c r="K176" s="2"/>
      <c r="L176" s="2"/>
      <c r="O176" s="2"/>
      <c r="P176" s="2"/>
    </row>
    <row r="177" spans="7:16" x14ac:dyDescent="0.2">
      <c r="J177" s="2"/>
      <c r="K177" s="2"/>
      <c r="L177" s="2"/>
      <c r="O177" s="2"/>
      <c r="P177" s="2"/>
    </row>
    <row r="178" spans="7:16" x14ac:dyDescent="0.2">
      <c r="J178" s="2"/>
      <c r="K178" s="2"/>
      <c r="L178" s="2"/>
      <c r="O178" s="2"/>
      <c r="P178" s="2"/>
    </row>
    <row r="179" spans="7:16" x14ac:dyDescent="0.2">
      <c r="J179" s="2"/>
      <c r="K179" s="2"/>
      <c r="L179" s="2"/>
      <c r="O179" s="2"/>
      <c r="P179" s="2"/>
    </row>
    <row r="180" spans="7:16" x14ac:dyDescent="0.2">
      <c r="O180" s="2"/>
      <c r="P180" s="2"/>
    </row>
    <row r="181" spans="7:16" x14ac:dyDescent="0.2">
      <c r="J181" s="2"/>
      <c r="K181" s="2"/>
      <c r="L181" s="2"/>
      <c r="M181" s="2"/>
      <c r="N181" s="2"/>
      <c r="O181" s="2"/>
      <c r="P181" s="2"/>
    </row>
    <row r="182" spans="7:16" x14ac:dyDescent="0.2">
      <c r="O182" s="2"/>
      <c r="P182" s="2"/>
    </row>
    <row r="183" spans="7:16" x14ac:dyDescent="0.2">
      <c r="G183" s="54"/>
      <c r="H183" s="54"/>
      <c r="O183" s="2"/>
      <c r="P183" s="2"/>
    </row>
    <row r="184" spans="7:16" x14ac:dyDescent="0.2">
      <c r="G184" s="54"/>
      <c r="H184" s="54"/>
      <c r="O184" s="2"/>
      <c r="P184" s="2"/>
    </row>
    <row r="185" spans="7:16" x14ac:dyDescent="0.2">
      <c r="G185" s="54"/>
      <c r="H185" s="54"/>
      <c r="O185" s="2"/>
      <c r="P185" s="2"/>
    </row>
    <row r="186" spans="7:16" x14ac:dyDescent="0.2">
      <c r="G186" s="54"/>
      <c r="H186" s="54"/>
      <c r="I186" s="2" t="s">
        <v>396</v>
      </c>
      <c r="O186" s="2"/>
      <c r="P186" s="2"/>
    </row>
    <row r="187" spans="7:16" x14ac:dyDescent="0.2">
      <c r="G187" s="54"/>
      <c r="H187" s="54"/>
      <c r="I187" s="53"/>
      <c r="J187" s="2"/>
      <c r="K187" s="2"/>
      <c r="L187" s="2"/>
      <c r="M187" s="2"/>
      <c r="N187" s="2"/>
      <c r="P187" s="2"/>
    </row>
    <row r="188" spans="7:16" x14ac:dyDescent="0.2">
      <c r="G188" s="54"/>
      <c r="H188" s="54"/>
      <c r="I188" s="53" t="s">
        <v>396</v>
      </c>
      <c r="O188" s="2"/>
      <c r="P188" s="2"/>
    </row>
    <row r="189" spans="7:16" x14ac:dyDescent="0.2">
      <c r="G189" s="54"/>
      <c r="H189" s="54"/>
      <c r="I189" s="53" t="s">
        <v>396</v>
      </c>
      <c r="K189" s="42"/>
      <c r="P189" s="2"/>
    </row>
    <row r="190" spans="7:16" x14ac:dyDescent="0.2">
      <c r="G190" s="54"/>
      <c r="H190" s="54"/>
      <c r="I190" s="53"/>
      <c r="J190" s="101"/>
      <c r="P190" s="2"/>
    </row>
    <row r="191" spans="7:16" x14ac:dyDescent="0.2">
      <c r="G191" s="54"/>
      <c r="H191" s="54"/>
      <c r="I191" s="53"/>
    </row>
    <row r="192" spans="7:16" x14ac:dyDescent="0.2">
      <c r="G192" s="54"/>
      <c r="H192" s="54"/>
      <c r="I192" s="53"/>
      <c r="P192" s="2"/>
    </row>
    <row r="193" spans="7:9" x14ac:dyDescent="0.2">
      <c r="G193" s="54"/>
      <c r="H193" s="54"/>
      <c r="I193" s="53"/>
    </row>
  </sheetData>
  <sheetProtection insertRows="0"/>
  <mergeCells count="8">
    <mergeCell ref="K123:L123"/>
    <mergeCell ref="A130:D130"/>
    <mergeCell ref="C155:F155"/>
    <mergeCell ref="A1:H1"/>
    <mergeCell ref="A3:F3"/>
    <mergeCell ref="A9:F9"/>
    <mergeCell ref="A22:F22"/>
    <mergeCell ref="A36:F36"/>
  </mergeCells>
  <conditionalFormatting sqref="H127:H128">
    <cfRule type="cellIs" dxfId="61" priority="1" operator="lessThan">
      <formula>0</formula>
    </cfRule>
  </conditionalFormatting>
  <conditionalFormatting sqref="C38">
    <cfRule type="duplicateValues" dxfId="60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1-000000000000}">
  <sheetPr codeName="Sheet556">
    <pageSetUpPr fitToPage="1"/>
  </sheetPr>
  <dimension ref="A1:S241"/>
  <sheetViews>
    <sheetView zoomScaleNormal="100" workbookViewId="0">
      <selection activeCell="G8" sqref="G8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12.85546875" style="1" customWidth="1"/>
    <col min="9" max="9" width="24.85546875" style="2" bestFit="1" customWidth="1"/>
    <col min="10" max="10" width="21.5703125" style="1" bestFit="1" customWidth="1"/>
    <col min="11" max="11" width="16.85546875" style="1" bestFit="1" customWidth="1"/>
    <col min="12" max="12" width="19.5703125" style="1" bestFit="1" customWidth="1"/>
    <col min="13" max="13" width="13.5703125" style="1" bestFit="1" customWidth="1"/>
    <col min="14" max="14" width="17.42578125" style="1" bestFit="1" customWidth="1"/>
    <col min="15" max="15" width="12.85546875" style="1" bestFit="1" customWidth="1"/>
    <col min="16" max="17" width="9.140625" style="1"/>
    <col min="18" max="18" width="15.5703125" style="1" bestFit="1" customWidth="1"/>
    <col min="19" max="16384" width="9.140625" style="1"/>
  </cols>
  <sheetData>
    <row r="1" spans="1:11" ht="20.25" customHeight="1" x14ac:dyDescent="0.4">
      <c r="A1" s="212" t="s">
        <v>2116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1" ht="12.75" customHeight="1" x14ac:dyDescent="0.4">
      <c r="I2" s="112"/>
      <c r="J2" s="112"/>
    </row>
    <row r="3" spans="1:11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1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1" s="2" customFormat="1" ht="14.25" customHeight="1" x14ac:dyDescent="0.4">
      <c r="A5" s="89">
        <v>45345</v>
      </c>
      <c r="B5" s="9" t="s">
        <v>6</v>
      </c>
      <c r="C5" s="10" t="s">
        <v>7</v>
      </c>
      <c r="D5" s="11"/>
      <c r="E5" s="12">
        <v>322570.6800000004</v>
      </c>
      <c r="F5" s="12"/>
      <c r="G5" s="1"/>
      <c r="H5" s="1"/>
      <c r="I5" s="112"/>
      <c r="J5" s="112"/>
    </row>
    <row r="6" spans="1:11" s="2" customFormat="1" ht="12.75" customHeight="1" x14ac:dyDescent="0.2">
      <c r="D6" s="15" t="s">
        <v>8</v>
      </c>
      <c r="E6" s="16">
        <f>SUM(E5:E5)</f>
        <v>322570.6800000004</v>
      </c>
      <c r="F6" s="16">
        <f>F5</f>
        <v>0</v>
      </c>
      <c r="G6" s="1"/>
      <c r="H6" s="1"/>
      <c r="I6" s="13" t="s">
        <v>1582</v>
      </c>
      <c r="J6" s="13" t="s">
        <v>1583</v>
      </c>
    </row>
    <row r="7" spans="1:11" s="2" customFormat="1" ht="12.75" customHeight="1" x14ac:dyDescent="0.2">
      <c r="A7" s="17"/>
      <c r="B7" s="18"/>
      <c r="C7" s="19" t="s">
        <v>9</v>
      </c>
      <c r="D7" s="20"/>
      <c r="E7" s="21">
        <f>+E6-F6</f>
        <v>322570.6800000004</v>
      </c>
      <c r="F7" s="22"/>
      <c r="G7" s="23"/>
      <c r="H7" s="23"/>
      <c r="I7" s="2">
        <v>10534493</v>
      </c>
      <c r="J7" s="2">
        <v>0</v>
      </c>
      <c r="K7" s="176">
        <f>I7-J7</f>
        <v>10534493</v>
      </c>
    </row>
    <row r="8" spans="1:11" ht="11.25" customHeight="1" x14ac:dyDescent="0.4">
      <c r="I8" s="112"/>
      <c r="J8" s="112"/>
    </row>
    <row r="9" spans="1:11" ht="18" customHeight="1" x14ac:dyDescent="0.4">
      <c r="A9" s="213" t="s">
        <v>2103</v>
      </c>
      <c r="B9" s="213"/>
      <c r="C9" s="213"/>
      <c r="D9" s="213"/>
      <c r="E9" s="213"/>
      <c r="F9" s="213"/>
      <c r="I9" s="112"/>
      <c r="J9" s="112"/>
    </row>
    <row r="10" spans="1:11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I10" s="112"/>
      <c r="J10" s="112"/>
    </row>
    <row r="11" spans="1:11" ht="12.75" customHeight="1" x14ac:dyDescent="0.4">
      <c r="A11" s="89">
        <v>45345</v>
      </c>
      <c r="B11" s="9" t="s">
        <v>6</v>
      </c>
      <c r="C11" s="10" t="s">
        <v>7</v>
      </c>
      <c r="D11" s="11"/>
      <c r="E11" s="12">
        <v>254447.18999999948</v>
      </c>
      <c r="F11" s="1"/>
      <c r="I11" s="112"/>
      <c r="J11" s="112"/>
    </row>
    <row r="12" spans="1:11" ht="12.75" customHeight="1" x14ac:dyDescent="0.4">
      <c r="A12" s="89">
        <v>45345</v>
      </c>
      <c r="B12" s="9" t="s">
        <v>6</v>
      </c>
      <c r="C12" s="76" t="s">
        <v>2110</v>
      </c>
      <c r="D12" s="11" t="s">
        <v>13</v>
      </c>
      <c r="E12" s="31">
        <v>2000000</v>
      </c>
      <c r="F12" s="31"/>
      <c r="I12" s="112"/>
      <c r="J12" s="112"/>
    </row>
    <row r="13" spans="1:11" ht="12.75" customHeight="1" x14ac:dyDescent="0.4">
      <c r="A13" s="89">
        <v>45345</v>
      </c>
      <c r="B13" s="9" t="s">
        <v>6</v>
      </c>
      <c r="C13" s="76" t="s">
        <v>220</v>
      </c>
      <c r="D13" s="11" t="s">
        <v>13</v>
      </c>
      <c r="E13" s="31">
        <v>8544994</v>
      </c>
      <c r="F13" s="31"/>
      <c r="I13" s="112"/>
      <c r="J13" s="112"/>
    </row>
    <row r="14" spans="1:11" ht="12.75" customHeight="1" x14ac:dyDescent="0.4">
      <c r="A14" s="89">
        <v>45345</v>
      </c>
      <c r="B14" s="9" t="s">
        <v>6</v>
      </c>
      <c r="C14" s="76" t="s">
        <v>93</v>
      </c>
      <c r="D14" s="11" t="s">
        <v>13</v>
      </c>
      <c r="E14" s="31">
        <v>1989499</v>
      </c>
      <c r="F14" s="31"/>
      <c r="I14" s="112"/>
      <c r="J14" s="112"/>
    </row>
    <row r="15" spans="1:11" ht="12.75" customHeight="1" x14ac:dyDescent="0.4">
      <c r="A15" s="89">
        <v>45345</v>
      </c>
      <c r="B15" s="9" t="s">
        <v>11</v>
      </c>
      <c r="C15" s="76" t="s">
        <v>1079</v>
      </c>
      <c r="D15" s="11" t="s">
        <v>29</v>
      </c>
      <c r="E15" s="31"/>
      <c r="F15" s="31">
        <v>6018</v>
      </c>
      <c r="I15" s="112"/>
      <c r="J15" s="112"/>
    </row>
    <row r="16" spans="1:11" ht="12.75" customHeight="1" x14ac:dyDescent="0.4">
      <c r="A16" s="89">
        <v>45345</v>
      </c>
      <c r="B16" s="9" t="s">
        <v>11</v>
      </c>
      <c r="C16" s="76" t="s">
        <v>2108</v>
      </c>
      <c r="D16" s="11" t="s">
        <v>29</v>
      </c>
      <c r="E16" s="31"/>
      <c r="F16" s="31">
        <v>100000</v>
      </c>
      <c r="I16" s="112"/>
      <c r="J16" s="112"/>
    </row>
    <row r="17" spans="1:12" ht="12.75" customHeight="1" x14ac:dyDescent="0.4">
      <c r="A17" s="89">
        <v>45345</v>
      </c>
      <c r="B17" s="9" t="s">
        <v>11</v>
      </c>
      <c r="C17" s="76" t="s">
        <v>62</v>
      </c>
      <c r="D17" s="11" t="s">
        <v>29</v>
      </c>
      <c r="E17" s="31"/>
      <c r="F17" s="31">
        <v>25000</v>
      </c>
      <c r="I17" s="112"/>
      <c r="J17" s="112"/>
    </row>
    <row r="18" spans="1:12" ht="12.75" customHeight="1" x14ac:dyDescent="0.4">
      <c r="A18" s="89">
        <v>45345</v>
      </c>
      <c r="B18" s="9" t="s">
        <v>11</v>
      </c>
      <c r="C18" s="76" t="s">
        <v>2109</v>
      </c>
      <c r="D18" s="11" t="s">
        <v>29</v>
      </c>
      <c r="E18" s="31"/>
      <c r="F18" s="31">
        <v>1830050</v>
      </c>
      <c r="I18" s="112"/>
      <c r="J18" s="112"/>
    </row>
    <row r="19" spans="1:12" ht="12.75" customHeight="1" x14ac:dyDescent="0.4">
      <c r="A19" s="89">
        <v>45345</v>
      </c>
      <c r="B19" s="9" t="s">
        <v>11</v>
      </c>
      <c r="C19" s="76" t="s">
        <v>196</v>
      </c>
      <c r="D19" s="11" t="s">
        <v>29</v>
      </c>
      <c r="E19" s="31"/>
      <c r="F19" s="31">
        <v>65500</v>
      </c>
      <c r="I19" s="112"/>
      <c r="J19" s="112"/>
    </row>
    <row r="20" spans="1:12" ht="12.75" customHeight="1" x14ac:dyDescent="0.4">
      <c r="A20" s="89">
        <v>45345</v>
      </c>
      <c r="B20" s="9" t="s">
        <v>11</v>
      </c>
      <c r="C20" s="76" t="s">
        <v>34</v>
      </c>
      <c r="D20" s="11" t="s">
        <v>29</v>
      </c>
      <c r="E20" s="31"/>
      <c r="F20" s="31">
        <v>30000</v>
      </c>
      <c r="I20" s="112"/>
      <c r="J20" s="112"/>
    </row>
    <row r="21" spans="1:12" ht="12.75" customHeight="1" x14ac:dyDescent="0.4">
      <c r="A21" s="89">
        <v>45345</v>
      </c>
      <c r="B21" s="9" t="s">
        <v>11</v>
      </c>
      <c r="C21" s="76" t="s">
        <v>1091</v>
      </c>
      <c r="D21" s="11" t="s">
        <v>29</v>
      </c>
      <c r="E21" s="31"/>
      <c r="F21" s="31">
        <v>1180</v>
      </c>
      <c r="I21" s="112"/>
      <c r="J21" s="112"/>
    </row>
    <row r="22" spans="1:12" ht="12.75" customHeight="1" x14ac:dyDescent="0.2">
      <c r="A22" s="2"/>
      <c r="B22" s="2"/>
      <c r="C22" s="2"/>
      <c r="D22" s="11" t="s">
        <v>8</v>
      </c>
      <c r="E22" s="16">
        <f>SUM(E11:E20)</f>
        <v>12788940.189999999</v>
      </c>
      <c r="F22" s="16">
        <f>SUM(F11:F21)</f>
        <v>2057748</v>
      </c>
      <c r="I22" s="13" t="s">
        <v>1582</v>
      </c>
      <c r="J22" s="13" t="s">
        <v>1583</v>
      </c>
    </row>
    <row r="23" spans="1:12" ht="17.25" customHeight="1" x14ac:dyDescent="0.2">
      <c r="A23" s="17"/>
      <c r="B23" s="18"/>
      <c r="C23" s="19" t="s">
        <v>9</v>
      </c>
      <c r="D23" s="20"/>
      <c r="E23" s="21">
        <f>+E22-F22</f>
        <v>10731192.189999999</v>
      </c>
      <c r="I23" s="2">
        <v>461244</v>
      </c>
      <c r="J23" s="2">
        <v>0</v>
      </c>
    </row>
    <row r="24" spans="1:12" ht="18" customHeight="1" x14ac:dyDescent="0.25">
      <c r="A24" s="36"/>
      <c r="B24" s="28"/>
      <c r="C24" s="44"/>
      <c r="D24" s="43"/>
      <c r="E24" s="38"/>
      <c r="F24" s="22"/>
      <c r="J24" s="2"/>
    </row>
    <row r="25" spans="1:12" ht="18" customHeight="1" x14ac:dyDescent="0.4">
      <c r="A25" s="213" t="s">
        <v>2104</v>
      </c>
      <c r="B25" s="213"/>
      <c r="C25" s="213"/>
      <c r="D25" s="213"/>
      <c r="E25" s="213"/>
      <c r="F25" s="213"/>
      <c r="I25" s="112"/>
      <c r="J25" s="169">
        <f>90000000-60000000</f>
        <v>30000000</v>
      </c>
      <c r="K25" s="169" t="s">
        <v>1508</v>
      </c>
    </row>
    <row r="26" spans="1:12" ht="12.75" customHeight="1" x14ac:dyDescent="0.4">
      <c r="A26" s="3" t="s">
        <v>1</v>
      </c>
      <c r="B26" s="4" t="s">
        <v>2</v>
      </c>
      <c r="C26" s="5"/>
      <c r="D26" s="6" t="s">
        <v>3</v>
      </c>
      <c r="E26" s="7" t="s">
        <v>4</v>
      </c>
      <c r="F26" s="7" t="s">
        <v>5</v>
      </c>
      <c r="I26" s="112"/>
      <c r="J26" s="169">
        <v>30000000</v>
      </c>
      <c r="K26" s="169" t="s">
        <v>1509</v>
      </c>
      <c r="L26" s="124"/>
    </row>
    <row r="27" spans="1:12" s="2" customFormat="1" ht="14.25" customHeight="1" x14ac:dyDescent="0.2">
      <c r="A27" s="89">
        <v>45345</v>
      </c>
      <c r="B27" s="9" t="s">
        <v>6</v>
      </c>
      <c r="C27" s="10" t="s">
        <v>7</v>
      </c>
      <c r="D27" s="11"/>
      <c r="F27" s="12">
        <v>28882058.999999996</v>
      </c>
      <c r="G27" s="1"/>
      <c r="H27" s="1"/>
      <c r="I27" s="130" t="s">
        <v>396</v>
      </c>
      <c r="J27" s="169">
        <f>+J25-J26</f>
        <v>0</v>
      </c>
      <c r="K27" s="169" t="s">
        <v>712</v>
      </c>
      <c r="L27" s="165" t="s">
        <v>1512</v>
      </c>
    </row>
    <row r="28" spans="1:12" s="2" customFormat="1" ht="14.25" customHeight="1" x14ac:dyDescent="0.2">
      <c r="A28" s="89">
        <v>45345</v>
      </c>
      <c r="B28" s="9" t="s">
        <v>6</v>
      </c>
      <c r="C28" s="76" t="s">
        <v>1681</v>
      </c>
      <c r="D28" s="11" t="s">
        <v>13</v>
      </c>
      <c r="E28" s="31">
        <v>780603.97</v>
      </c>
      <c r="F28" s="31"/>
      <c r="G28" s="1"/>
      <c r="H28" s="1"/>
      <c r="I28" s="130"/>
      <c r="J28" s="169"/>
      <c r="K28" s="169"/>
      <c r="L28" s="165"/>
    </row>
    <row r="29" spans="1:12" s="2" customFormat="1" ht="14.25" customHeight="1" x14ac:dyDescent="0.2">
      <c r="A29" s="89">
        <v>45345</v>
      </c>
      <c r="B29" s="9" t="s">
        <v>6</v>
      </c>
      <c r="C29" s="76" t="s">
        <v>2111</v>
      </c>
      <c r="D29" s="11" t="s">
        <v>13</v>
      </c>
      <c r="E29" s="31">
        <v>4464458.47</v>
      </c>
      <c r="F29" s="31"/>
      <c r="G29" s="1"/>
      <c r="H29" s="1"/>
      <c r="I29" s="130"/>
      <c r="J29" s="169"/>
      <c r="K29" s="169"/>
      <c r="L29" s="165"/>
    </row>
    <row r="30" spans="1:12" s="2" customFormat="1" ht="14.25" customHeight="1" x14ac:dyDescent="0.2">
      <c r="A30" s="89">
        <v>45345</v>
      </c>
      <c r="B30" s="9" t="s">
        <v>6</v>
      </c>
      <c r="C30" s="76" t="s">
        <v>2117</v>
      </c>
      <c r="D30" s="11" t="s">
        <v>13</v>
      </c>
      <c r="E30" s="31">
        <v>461244</v>
      </c>
      <c r="F30" s="31"/>
      <c r="G30" s="1"/>
      <c r="H30" s="1"/>
      <c r="I30" s="130"/>
      <c r="J30" s="169"/>
      <c r="K30" s="169"/>
      <c r="L30" s="165"/>
    </row>
    <row r="31" spans="1:12" s="2" customFormat="1" ht="14.25" customHeight="1" x14ac:dyDescent="0.2">
      <c r="A31" s="89">
        <v>45345</v>
      </c>
      <c r="B31" s="9" t="s">
        <v>11</v>
      </c>
      <c r="C31" s="76" t="s">
        <v>1462</v>
      </c>
      <c r="D31" s="11" t="s">
        <v>29</v>
      </c>
      <c r="E31" s="182"/>
      <c r="F31" s="31">
        <f>1898544.97+1678286.27</f>
        <v>3576831.24</v>
      </c>
      <c r="G31" s="1"/>
      <c r="H31" s="1"/>
      <c r="I31" s="130"/>
      <c r="J31" s="169"/>
      <c r="K31" s="169"/>
      <c r="L31" s="165"/>
    </row>
    <row r="32" spans="1:12" s="2" customFormat="1" ht="14.25" customHeight="1" x14ac:dyDescent="0.2">
      <c r="A32" s="89">
        <v>45345</v>
      </c>
      <c r="B32" s="9" t="s">
        <v>11</v>
      </c>
      <c r="C32" s="76" t="s">
        <v>156</v>
      </c>
      <c r="D32" s="11" t="s">
        <v>29</v>
      </c>
      <c r="E32" s="182"/>
      <c r="F32" s="31">
        <v>1613.6</v>
      </c>
      <c r="G32" s="1"/>
      <c r="H32" s="1"/>
      <c r="I32" s="130"/>
      <c r="J32" s="169"/>
      <c r="K32" s="169"/>
      <c r="L32" s="165"/>
    </row>
    <row r="33" spans="1:12" s="2" customFormat="1" ht="14.25" customHeight="1" x14ac:dyDescent="0.2">
      <c r="A33" s="89">
        <v>45345</v>
      </c>
      <c r="B33" s="9" t="s">
        <v>11</v>
      </c>
      <c r="C33" s="76" t="s">
        <v>1099</v>
      </c>
      <c r="D33" s="11" t="s">
        <v>29</v>
      </c>
      <c r="E33" s="31"/>
      <c r="F33" s="31">
        <v>2784558.6</v>
      </c>
      <c r="G33" s="1"/>
      <c r="H33" s="1"/>
      <c r="I33" s="130"/>
      <c r="J33" s="169"/>
      <c r="K33" s="169"/>
      <c r="L33" s="165"/>
    </row>
    <row r="34" spans="1:12" s="2" customFormat="1" ht="14.25" customHeight="1" x14ac:dyDescent="0.4">
      <c r="D34" s="11" t="s">
        <v>8</v>
      </c>
      <c r="E34" s="16">
        <f>SUM(E28:E33)</f>
        <v>5706306.4399999995</v>
      </c>
      <c r="F34" s="16">
        <f>SUM(F27:F33)</f>
        <v>35245062.439999998</v>
      </c>
      <c r="G34" s="1"/>
      <c r="H34" s="1"/>
      <c r="J34" s="112"/>
      <c r="K34" s="153" t="s">
        <v>779</v>
      </c>
    </row>
    <row r="35" spans="1:12" s="2" customFormat="1" ht="14.25" customHeight="1" x14ac:dyDescent="0.2">
      <c r="A35" s="17"/>
      <c r="B35" s="18"/>
      <c r="C35" s="96" t="s">
        <v>9</v>
      </c>
      <c r="D35" s="20"/>
      <c r="E35" s="21">
        <f>+F34-E34</f>
        <v>29538756</v>
      </c>
      <c r="G35" s="1"/>
      <c r="H35" s="1"/>
      <c r="J35" s="40">
        <v>29538756</v>
      </c>
      <c r="K35" s="154">
        <f>J35-E35</f>
        <v>0</v>
      </c>
    </row>
    <row r="36" spans="1:12" s="2" customFormat="1" ht="14.25" customHeight="1" x14ac:dyDescent="0.2">
      <c r="A36" s="17"/>
      <c r="B36" s="28" t="s">
        <v>66</v>
      </c>
      <c r="C36" s="43" t="s">
        <v>1458</v>
      </c>
      <c r="D36" s="43"/>
      <c r="E36" s="12">
        <f>30000000+60000000</f>
        <v>90000000</v>
      </c>
      <c r="F36" s="22"/>
      <c r="G36" s="1"/>
      <c r="H36" s="1"/>
      <c r="I36" s="13" t="s">
        <v>1582</v>
      </c>
      <c r="J36" s="13" t="s">
        <v>1583</v>
      </c>
    </row>
    <row r="37" spans="1:12" s="2" customFormat="1" ht="14.25" customHeight="1" x14ac:dyDescent="0.25">
      <c r="A37" s="36"/>
      <c r="B37" s="28"/>
      <c r="C37" s="44" t="s">
        <v>1541</v>
      </c>
      <c r="D37" s="43"/>
      <c r="E37" s="7">
        <f>+E35+E36</f>
        <v>119538756</v>
      </c>
      <c r="F37" s="22"/>
      <c r="G37" s="1"/>
      <c r="H37" s="1"/>
      <c r="I37" s="2">
        <v>547871</v>
      </c>
      <c r="J37" s="2">
        <v>5424423.0800000001</v>
      </c>
      <c r="K37" s="176">
        <f>I37-J37</f>
        <v>-4876552.08</v>
      </c>
    </row>
    <row r="38" spans="1:12" s="2" customFormat="1" ht="14.25" customHeight="1" x14ac:dyDescent="0.25">
      <c r="A38" s="36"/>
      <c r="B38" s="28"/>
      <c r="C38" s="44" t="s">
        <v>1511</v>
      </c>
      <c r="D38" s="43"/>
      <c r="E38" s="38">
        <f>+J27+I7-J7</f>
        <v>10534493</v>
      </c>
      <c r="F38" s="22"/>
      <c r="G38" s="1"/>
      <c r="H38" s="1"/>
      <c r="J38" s="130"/>
      <c r="K38" s="130"/>
    </row>
    <row r="39" spans="1:12" s="2" customFormat="1" x14ac:dyDescent="0.2">
      <c r="A39" s="24"/>
      <c r="B39" s="1"/>
      <c r="C39" s="14"/>
      <c r="D39" s="25"/>
      <c r="G39" s="1"/>
      <c r="H39" s="1"/>
      <c r="I39" s="159"/>
      <c r="J39" s="160">
        <f>100000000</f>
        <v>100000000</v>
      </c>
      <c r="K39" s="160" t="s">
        <v>1506</v>
      </c>
      <c r="L39" s="70"/>
    </row>
    <row r="40" spans="1:12" s="2" customFormat="1" ht="15" x14ac:dyDescent="0.35">
      <c r="A40" s="214" t="s">
        <v>10</v>
      </c>
      <c r="B40" s="214"/>
      <c r="C40" s="214"/>
      <c r="D40" s="214"/>
      <c r="E40" s="214"/>
      <c r="F40" s="214"/>
      <c r="G40" s="1"/>
      <c r="H40" s="1"/>
      <c r="I40" s="159"/>
      <c r="J40" s="179">
        <v>66307066.18</v>
      </c>
      <c r="K40" s="160" t="s">
        <v>1507</v>
      </c>
      <c r="L40" s="70" t="s">
        <v>1512</v>
      </c>
    </row>
    <row r="41" spans="1:12" s="2" customFormat="1" x14ac:dyDescent="0.2">
      <c r="A41" s="26" t="s">
        <v>1</v>
      </c>
      <c r="B41" s="27" t="s">
        <v>2</v>
      </c>
      <c r="C41" s="5"/>
      <c r="D41" s="6" t="s">
        <v>3</v>
      </c>
      <c r="E41" s="7" t="s">
        <v>4</v>
      </c>
      <c r="F41" s="7" t="s">
        <v>5</v>
      </c>
      <c r="G41" s="1"/>
      <c r="H41" s="1"/>
      <c r="I41" s="159" t="s">
        <v>1505</v>
      </c>
      <c r="J41" s="160">
        <f>+J39-J40</f>
        <v>33692933.82</v>
      </c>
      <c r="K41" s="160"/>
      <c r="L41" s="70"/>
    </row>
    <row r="42" spans="1:12" s="2" customFormat="1" x14ac:dyDescent="0.2">
      <c r="A42" s="89">
        <v>45345</v>
      </c>
      <c r="B42" s="128" t="s">
        <v>11</v>
      </c>
      <c r="C42" s="29" t="s">
        <v>7</v>
      </c>
      <c r="D42" s="25"/>
      <c r="E42" s="31"/>
      <c r="F42" s="13">
        <v>82888403.029999867</v>
      </c>
      <c r="G42" s="23"/>
      <c r="H42" s="23"/>
      <c r="I42" s="159"/>
      <c r="J42" s="160"/>
      <c r="K42" s="160"/>
      <c r="L42" s="70"/>
    </row>
    <row r="43" spans="1:12" s="2" customFormat="1" x14ac:dyDescent="0.2">
      <c r="A43" s="89">
        <v>45345</v>
      </c>
      <c r="B43" s="128" t="s">
        <v>6</v>
      </c>
      <c r="C43" s="181" t="s">
        <v>19</v>
      </c>
      <c r="D43" s="11" t="s">
        <v>13</v>
      </c>
      <c r="E43" s="86">
        <v>7129802</v>
      </c>
      <c r="G43" s="23"/>
      <c r="H43" s="23"/>
      <c r="I43" s="159"/>
      <c r="J43" s="160"/>
      <c r="K43" s="160"/>
      <c r="L43" s="70"/>
    </row>
    <row r="44" spans="1:12" s="2" customFormat="1" x14ac:dyDescent="0.2">
      <c r="A44" s="89">
        <v>45345</v>
      </c>
      <c r="B44" s="128" t="s">
        <v>6</v>
      </c>
      <c r="C44" s="181" t="s">
        <v>146</v>
      </c>
      <c r="D44" s="11" t="s">
        <v>13</v>
      </c>
      <c r="E44" s="86">
        <v>164984.9</v>
      </c>
      <c r="G44" s="23"/>
      <c r="H44" s="23"/>
      <c r="I44" s="159"/>
      <c r="J44" s="160"/>
      <c r="K44" s="160"/>
      <c r="L44" s="70"/>
    </row>
    <row r="45" spans="1:12" s="2" customFormat="1" x14ac:dyDescent="0.2">
      <c r="A45" s="89">
        <v>45345</v>
      </c>
      <c r="B45" s="128" t="s">
        <v>6</v>
      </c>
      <c r="C45" s="181" t="s">
        <v>761</v>
      </c>
      <c r="D45" s="11" t="s">
        <v>13</v>
      </c>
      <c r="E45" s="86">
        <v>492501</v>
      </c>
      <c r="G45" s="23"/>
      <c r="H45" s="23"/>
      <c r="I45" s="159"/>
      <c r="J45" s="160"/>
      <c r="K45" s="160"/>
      <c r="L45" s="70"/>
    </row>
    <row r="46" spans="1:12" s="2" customFormat="1" x14ac:dyDescent="0.2">
      <c r="A46" s="89">
        <v>45345</v>
      </c>
      <c r="B46" s="128" t="s">
        <v>6</v>
      </c>
      <c r="C46" s="181" t="s">
        <v>120</v>
      </c>
      <c r="D46" s="11" t="s">
        <v>13</v>
      </c>
      <c r="E46" s="86">
        <v>728143</v>
      </c>
      <c r="G46" s="23"/>
      <c r="H46" s="23"/>
      <c r="I46" s="159"/>
      <c r="J46" s="160"/>
      <c r="K46" s="160"/>
      <c r="L46" s="70"/>
    </row>
    <row r="47" spans="1:12" s="2" customFormat="1" x14ac:dyDescent="0.2">
      <c r="A47" s="89">
        <v>45345</v>
      </c>
      <c r="B47" s="128" t="s">
        <v>6</v>
      </c>
      <c r="C47" s="181" t="s">
        <v>1797</v>
      </c>
      <c r="D47" s="11" t="s">
        <v>13</v>
      </c>
      <c r="E47" s="86">
        <v>100000000</v>
      </c>
      <c r="G47" s="23"/>
      <c r="H47" s="23"/>
      <c r="I47" s="159"/>
      <c r="J47" s="160"/>
      <c r="K47" s="160"/>
      <c r="L47" s="70"/>
    </row>
    <row r="48" spans="1:12" s="2" customFormat="1" x14ac:dyDescent="0.2">
      <c r="A48" s="89">
        <v>45345</v>
      </c>
      <c r="B48" s="128" t="s">
        <v>6</v>
      </c>
      <c r="C48" s="181" t="s">
        <v>758</v>
      </c>
      <c r="D48" s="11" t="s">
        <v>13</v>
      </c>
      <c r="E48" s="86">
        <v>6015007.6200000001</v>
      </c>
      <c r="G48" s="23"/>
      <c r="H48" s="23"/>
      <c r="I48" s="159"/>
      <c r="J48" s="160"/>
      <c r="K48" s="160"/>
      <c r="L48" s="70"/>
    </row>
    <row r="49" spans="1:12" s="2" customFormat="1" x14ac:dyDescent="0.2">
      <c r="A49" s="89">
        <v>45345</v>
      </c>
      <c r="B49" s="128" t="s">
        <v>6</v>
      </c>
      <c r="C49" s="181" t="s">
        <v>760</v>
      </c>
      <c r="D49" s="11" t="s">
        <v>13</v>
      </c>
      <c r="E49" s="86">
        <v>2060648.91</v>
      </c>
      <c r="G49" s="23"/>
      <c r="H49" s="23"/>
      <c r="I49" s="159"/>
      <c r="J49" s="160"/>
      <c r="K49" s="160"/>
      <c r="L49" s="70"/>
    </row>
    <row r="50" spans="1:12" s="2" customFormat="1" x14ac:dyDescent="0.2">
      <c r="A50" s="89">
        <v>45345</v>
      </c>
      <c r="B50" s="128" t="s">
        <v>6</v>
      </c>
      <c r="C50" s="181" t="s">
        <v>759</v>
      </c>
      <c r="D50" s="11" t="s">
        <v>13</v>
      </c>
      <c r="E50" s="86">
        <v>1818000.46</v>
      </c>
      <c r="G50" s="23"/>
      <c r="H50" s="23"/>
      <c r="I50" s="159"/>
      <c r="J50" s="160"/>
      <c r="K50" s="160"/>
      <c r="L50" s="70"/>
    </row>
    <row r="51" spans="1:12" s="2" customFormat="1" x14ac:dyDescent="0.2">
      <c r="A51" s="89">
        <v>45345</v>
      </c>
      <c r="B51" s="128" t="s">
        <v>6</v>
      </c>
      <c r="C51" s="181" t="s">
        <v>1133</v>
      </c>
      <c r="D51" s="11" t="s">
        <v>13</v>
      </c>
      <c r="E51" s="86">
        <v>7403</v>
      </c>
      <c r="G51" s="23"/>
      <c r="H51" s="23"/>
      <c r="I51" s="159"/>
      <c r="J51" s="160"/>
      <c r="K51" s="160"/>
      <c r="L51" s="70"/>
    </row>
    <row r="52" spans="1:12" s="2" customFormat="1" x14ac:dyDescent="0.2">
      <c r="A52" s="89">
        <v>45345</v>
      </c>
      <c r="B52" s="128" t="s">
        <v>6</v>
      </c>
      <c r="C52" s="181" t="s">
        <v>2113</v>
      </c>
      <c r="D52" s="11" t="s">
        <v>13</v>
      </c>
      <c r="E52" s="86">
        <v>197871</v>
      </c>
      <c r="G52" s="23"/>
      <c r="H52" s="23"/>
      <c r="I52" s="159"/>
      <c r="J52" s="160"/>
      <c r="K52" s="160"/>
      <c r="L52" s="70"/>
    </row>
    <row r="53" spans="1:12" s="2" customFormat="1" x14ac:dyDescent="0.2">
      <c r="A53" s="89">
        <v>45345</v>
      </c>
      <c r="B53" s="128" t="s">
        <v>6</v>
      </c>
      <c r="C53" s="181" t="s">
        <v>149</v>
      </c>
      <c r="D53" s="11" t="s">
        <v>13</v>
      </c>
      <c r="E53" s="86">
        <v>1904</v>
      </c>
      <c r="G53" s="23"/>
      <c r="H53" s="23"/>
      <c r="I53" s="159"/>
      <c r="J53" s="160"/>
      <c r="K53" s="160"/>
      <c r="L53" s="70"/>
    </row>
    <row r="54" spans="1:12" s="2" customFormat="1" x14ac:dyDescent="0.2">
      <c r="A54" s="89">
        <v>45345</v>
      </c>
      <c r="B54" s="128" t="s">
        <v>6</v>
      </c>
      <c r="C54" s="181" t="s">
        <v>2081</v>
      </c>
      <c r="D54" s="11" t="s">
        <v>13</v>
      </c>
      <c r="E54" s="86">
        <v>20000</v>
      </c>
      <c r="G54" s="23"/>
      <c r="H54" s="23"/>
      <c r="I54" s="159"/>
      <c r="J54" s="160"/>
      <c r="K54" s="160"/>
      <c r="L54" s="70"/>
    </row>
    <row r="55" spans="1:12" s="2" customFormat="1" x14ac:dyDescent="0.2">
      <c r="A55" s="89">
        <v>45345</v>
      </c>
      <c r="B55" s="128" t="s">
        <v>6</v>
      </c>
      <c r="C55" s="181" t="s">
        <v>236</v>
      </c>
      <c r="D55" s="11" t="s">
        <v>13</v>
      </c>
      <c r="E55" s="86">
        <v>1500000</v>
      </c>
      <c r="G55" s="23"/>
      <c r="H55" s="23"/>
      <c r="I55" s="159"/>
      <c r="J55" s="160"/>
      <c r="K55" s="160"/>
      <c r="L55" s="70"/>
    </row>
    <row r="56" spans="1:12" s="2" customFormat="1" x14ac:dyDescent="0.2">
      <c r="A56" s="89">
        <v>45345</v>
      </c>
      <c r="B56" s="128" t="s">
        <v>6</v>
      </c>
      <c r="C56" s="181" t="s">
        <v>2004</v>
      </c>
      <c r="D56" s="11" t="s">
        <v>13</v>
      </c>
      <c r="E56" s="86">
        <v>16129.81</v>
      </c>
      <c r="G56" s="23"/>
      <c r="H56" s="23"/>
      <c r="I56" s="159"/>
      <c r="J56" s="160"/>
      <c r="K56" s="160"/>
      <c r="L56" s="70"/>
    </row>
    <row r="57" spans="1:12" s="2" customFormat="1" x14ac:dyDescent="0.2">
      <c r="A57" s="89">
        <v>45345</v>
      </c>
      <c r="B57" s="128" t="s">
        <v>6</v>
      </c>
      <c r="C57" s="181" t="s">
        <v>1351</v>
      </c>
      <c r="D57" s="11" t="s">
        <v>13</v>
      </c>
      <c r="E57" s="86">
        <v>15681.61</v>
      </c>
      <c r="G57" s="23"/>
      <c r="H57" s="23"/>
      <c r="I57" s="159"/>
      <c r="J57" s="160"/>
      <c r="K57" s="160"/>
      <c r="L57" s="70"/>
    </row>
    <row r="58" spans="1:12" s="2" customFormat="1" x14ac:dyDescent="0.2">
      <c r="A58" s="89">
        <v>45345</v>
      </c>
      <c r="B58" s="128" t="s">
        <v>6</v>
      </c>
      <c r="C58" s="181" t="s">
        <v>560</v>
      </c>
      <c r="D58" s="11" t="s">
        <v>13</v>
      </c>
      <c r="E58" s="86">
        <v>104997.61</v>
      </c>
      <c r="G58" s="23"/>
      <c r="H58" s="23"/>
      <c r="I58" s="159"/>
      <c r="J58" s="160"/>
      <c r="K58" s="160"/>
      <c r="L58" s="70"/>
    </row>
    <row r="59" spans="1:12" s="2" customFormat="1" x14ac:dyDescent="0.2">
      <c r="A59" s="89">
        <v>45345</v>
      </c>
      <c r="B59" s="128" t="s">
        <v>6</v>
      </c>
      <c r="C59" s="181" t="s">
        <v>15</v>
      </c>
      <c r="D59" s="11" t="s">
        <v>13</v>
      </c>
      <c r="E59" s="86">
        <v>18163.04</v>
      </c>
      <c r="G59" s="23"/>
      <c r="H59" s="23"/>
      <c r="I59" s="159"/>
      <c r="J59" s="160"/>
      <c r="K59" s="160"/>
      <c r="L59" s="70"/>
    </row>
    <row r="60" spans="1:12" s="2" customFormat="1" x14ac:dyDescent="0.2">
      <c r="A60" s="89">
        <v>45345</v>
      </c>
      <c r="B60" s="128" t="s">
        <v>6</v>
      </c>
      <c r="C60" s="181" t="s">
        <v>2119</v>
      </c>
      <c r="D60" s="11" t="s">
        <v>13</v>
      </c>
      <c r="E60" s="86">
        <v>67893.009999999995</v>
      </c>
      <c r="G60" s="23"/>
      <c r="H60" s="23"/>
      <c r="I60" s="159"/>
      <c r="J60" s="160"/>
      <c r="K60" s="160"/>
      <c r="L60" s="70"/>
    </row>
    <row r="61" spans="1:12" s="2" customFormat="1" x14ac:dyDescent="0.2">
      <c r="A61" s="89">
        <v>45345</v>
      </c>
      <c r="B61" s="128" t="s">
        <v>6</v>
      </c>
      <c r="C61" s="181" t="s">
        <v>27</v>
      </c>
      <c r="D61" s="11" t="s">
        <v>13</v>
      </c>
      <c r="E61" s="86">
        <v>180744.3</v>
      </c>
      <c r="G61" s="23"/>
      <c r="H61" s="23"/>
      <c r="I61" s="159"/>
      <c r="J61" s="160"/>
      <c r="K61" s="160"/>
      <c r="L61" s="70"/>
    </row>
    <row r="62" spans="1:12" s="2" customFormat="1" x14ac:dyDescent="0.2">
      <c r="A62" s="89">
        <v>45345</v>
      </c>
      <c r="B62" s="128" t="s">
        <v>6</v>
      </c>
      <c r="C62" s="181" t="s">
        <v>379</v>
      </c>
      <c r="D62" s="11" t="s">
        <v>13</v>
      </c>
      <c r="E62" s="86">
        <v>37903.449999999997</v>
      </c>
      <c r="G62" s="23"/>
      <c r="H62" s="23"/>
      <c r="I62" s="159"/>
      <c r="J62" s="160"/>
      <c r="K62" s="160"/>
      <c r="L62" s="70"/>
    </row>
    <row r="63" spans="1:12" s="2" customFormat="1" x14ac:dyDescent="0.2">
      <c r="A63" s="89">
        <v>45345</v>
      </c>
      <c r="B63" s="128" t="s">
        <v>6</v>
      </c>
      <c r="C63" s="181" t="s">
        <v>174</v>
      </c>
      <c r="D63" s="11" t="s">
        <v>13</v>
      </c>
      <c r="E63" s="86">
        <v>714318</v>
      </c>
      <c r="G63" s="23"/>
      <c r="H63" s="23"/>
      <c r="I63" s="159"/>
      <c r="J63" s="160"/>
      <c r="K63" s="160"/>
      <c r="L63" s="70"/>
    </row>
    <row r="64" spans="1:12" s="2" customFormat="1" x14ac:dyDescent="0.2">
      <c r="A64" s="89">
        <v>45345</v>
      </c>
      <c r="B64" s="128" t="s">
        <v>6</v>
      </c>
      <c r="C64" s="181" t="s">
        <v>318</v>
      </c>
      <c r="D64" s="11" t="s">
        <v>13</v>
      </c>
      <c r="E64" s="86">
        <v>1382646</v>
      </c>
      <c r="G64" s="23"/>
      <c r="H64" s="23"/>
      <c r="I64" s="159"/>
      <c r="J64" s="160"/>
      <c r="K64" s="160"/>
      <c r="L64" s="70"/>
    </row>
    <row r="65" spans="1:12" s="2" customFormat="1" x14ac:dyDescent="0.2">
      <c r="A65" s="89">
        <v>45345</v>
      </c>
      <c r="B65" s="128" t="s">
        <v>6</v>
      </c>
      <c r="C65" s="181" t="s">
        <v>2064</v>
      </c>
      <c r="D65" s="11" t="s">
        <v>13</v>
      </c>
      <c r="E65" s="86">
        <v>22848</v>
      </c>
      <c r="G65" s="23"/>
      <c r="H65" s="23"/>
      <c r="I65" s="159"/>
      <c r="J65" s="160"/>
      <c r="K65" s="160"/>
      <c r="L65" s="70"/>
    </row>
    <row r="66" spans="1:12" s="2" customFormat="1" x14ac:dyDescent="0.2">
      <c r="A66" s="89">
        <v>45345</v>
      </c>
      <c r="B66" s="128" t="s">
        <v>6</v>
      </c>
      <c r="C66" s="181" t="s">
        <v>288</v>
      </c>
      <c r="D66" s="11" t="s">
        <v>13</v>
      </c>
      <c r="E66" s="86">
        <v>9441</v>
      </c>
      <c r="G66" s="23"/>
      <c r="H66" s="23"/>
      <c r="I66" s="159"/>
      <c r="J66" s="160"/>
      <c r="K66" s="160"/>
      <c r="L66" s="70"/>
    </row>
    <row r="67" spans="1:12" s="2" customFormat="1" x14ac:dyDescent="0.2">
      <c r="A67" s="89">
        <v>45345</v>
      </c>
      <c r="B67" s="128" t="s">
        <v>6</v>
      </c>
      <c r="C67" s="181" t="s">
        <v>785</v>
      </c>
      <c r="D67" s="11" t="s">
        <v>13</v>
      </c>
      <c r="E67" s="86">
        <v>3630024</v>
      </c>
      <c r="G67" s="23"/>
      <c r="H67" s="23"/>
      <c r="I67" s="159"/>
      <c r="J67" s="160"/>
      <c r="K67" s="160"/>
      <c r="L67" s="70"/>
    </row>
    <row r="68" spans="1:12" s="2" customFormat="1" x14ac:dyDescent="0.2">
      <c r="A68" s="89">
        <v>45345</v>
      </c>
      <c r="B68" s="128" t="s">
        <v>6</v>
      </c>
      <c r="C68" s="181" t="s">
        <v>1351</v>
      </c>
      <c r="D68" s="11" t="s">
        <v>13</v>
      </c>
      <c r="E68" s="86">
        <v>26863.05</v>
      </c>
      <c r="G68" s="23"/>
      <c r="H68" s="23"/>
      <c r="I68" s="159"/>
      <c r="J68" s="160"/>
      <c r="K68" s="160"/>
      <c r="L68" s="70"/>
    </row>
    <row r="69" spans="1:12" s="2" customFormat="1" x14ac:dyDescent="0.2">
      <c r="A69" s="89">
        <v>45345</v>
      </c>
      <c r="B69" s="128" t="s">
        <v>6</v>
      </c>
      <c r="C69" s="181" t="s">
        <v>332</v>
      </c>
      <c r="D69" s="11" t="s">
        <v>13</v>
      </c>
      <c r="E69" s="86">
        <v>7187</v>
      </c>
      <c r="G69" s="23"/>
      <c r="H69" s="23"/>
      <c r="I69" s="159"/>
      <c r="J69" s="160"/>
      <c r="K69" s="160"/>
      <c r="L69" s="70"/>
    </row>
    <row r="70" spans="1:12" s="2" customFormat="1" x14ac:dyDescent="0.2">
      <c r="A70" s="89">
        <v>45345</v>
      </c>
      <c r="B70" s="128" t="s">
        <v>6</v>
      </c>
      <c r="C70" s="181" t="s">
        <v>1808</v>
      </c>
      <c r="D70" s="11" t="s">
        <v>13</v>
      </c>
      <c r="E70" s="86">
        <v>3853721</v>
      </c>
      <c r="G70" s="23"/>
      <c r="H70" s="23"/>
      <c r="I70" s="159"/>
      <c r="J70" s="160"/>
      <c r="K70" s="160"/>
      <c r="L70" s="70"/>
    </row>
    <row r="71" spans="1:12" s="2" customFormat="1" x14ac:dyDescent="0.2">
      <c r="A71" s="89">
        <v>45345</v>
      </c>
      <c r="B71" s="128" t="s">
        <v>6</v>
      </c>
      <c r="C71" s="181" t="s">
        <v>516</v>
      </c>
      <c r="D71" s="11" t="s">
        <v>13</v>
      </c>
      <c r="E71" s="86">
        <v>50000</v>
      </c>
      <c r="G71" s="23"/>
      <c r="H71" s="23"/>
      <c r="I71" s="159"/>
      <c r="J71" s="160"/>
      <c r="K71" s="160"/>
      <c r="L71" s="70"/>
    </row>
    <row r="72" spans="1:12" s="2" customFormat="1" x14ac:dyDescent="0.2">
      <c r="A72" s="89">
        <v>45345</v>
      </c>
      <c r="B72" s="128" t="s">
        <v>6</v>
      </c>
      <c r="C72" s="181" t="s">
        <v>244</v>
      </c>
      <c r="D72" s="11" t="s">
        <v>13</v>
      </c>
      <c r="E72" s="86">
        <v>350000</v>
      </c>
      <c r="G72" s="23"/>
      <c r="H72" s="23"/>
      <c r="I72" s="159"/>
      <c r="J72" s="160"/>
      <c r="K72" s="160"/>
      <c r="L72" s="70"/>
    </row>
    <row r="73" spans="1:12" s="2" customFormat="1" x14ac:dyDescent="0.2">
      <c r="A73" s="89">
        <v>45345</v>
      </c>
      <c r="B73" s="128" t="s">
        <v>6</v>
      </c>
      <c r="C73" s="181" t="s">
        <v>23</v>
      </c>
      <c r="D73" s="11" t="s">
        <v>13</v>
      </c>
      <c r="E73" s="86">
        <v>59535</v>
      </c>
      <c r="G73" s="23"/>
      <c r="H73" s="23"/>
      <c r="I73" s="159"/>
      <c r="J73" s="160"/>
      <c r="K73" s="160"/>
      <c r="L73" s="70"/>
    </row>
    <row r="74" spans="1:12" s="2" customFormat="1" x14ac:dyDescent="0.2">
      <c r="A74" s="89">
        <v>45345</v>
      </c>
      <c r="B74" s="128" t="s">
        <v>6</v>
      </c>
      <c r="C74" s="181" t="s">
        <v>765</v>
      </c>
      <c r="D74" s="11" t="s">
        <v>13</v>
      </c>
      <c r="E74" s="86">
        <v>18665834.390000001</v>
      </c>
      <c r="G74" s="23"/>
      <c r="H74" s="23"/>
      <c r="I74" s="159"/>
      <c r="J74" s="160"/>
      <c r="K74" s="160"/>
      <c r="L74" s="70"/>
    </row>
    <row r="75" spans="1:12" s="2" customFormat="1" x14ac:dyDescent="0.2">
      <c r="A75" s="89">
        <v>45345</v>
      </c>
      <c r="B75" s="128" t="s">
        <v>6</v>
      </c>
      <c r="C75" s="181" t="s">
        <v>1742</v>
      </c>
      <c r="D75" s="11" t="s">
        <v>13</v>
      </c>
      <c r="E75" s="86">
        <v>15750</v>
      </c>
      <c r="G75" s="23"/>
      <c r="H75" s="23"/>
      <c r="I75" s="159"/>
      <c r="J75" s="160"/>
      <c r="K75" s="160"/>
      <c r="L75" s="70"/>
    </row>
    <row r="76" spans="1:12" s="2" customFormat="1" x14ac:dyDescent="0.2">
      <c r="A76" s="89">
        <v>45345</v>
      </c>
      <c r="B76" s="128" t="s">
        <v>6</v>
      </c>
      <c r="C76" s="181" t="s">
        <v>2118</v>
      </c>
      <c r="D76" s="11" t="s">
        <v>13</v>
      </c>
      <c r="E76" s="86">
        <v>300000</v>
      </c>
      <c r="G76" s="23"/>
      <c r="H76" s="23"/>
      <c r="I76" s="159"/>
      <c r="J76" s="160"/>
      <c r="K76" s="160"/>
      <c r="L76" s="70"/>
    </row>
    <row r="77" spans="1:12" s="2" customFormat="1" x14ac:dyDescent="0.2">
      <c r="A77" s="89">
        <v>45345</v>
      </c>
      <c r="B77" s="128" t="s">
        <v>6</v>
      </c>
      <c r="C77" s="181" t="s">
        <v>682</v>
      </c>
      <c r="D77" s="11" t="s">
        <v>13</v>
      </c>
      <c r="E77" s="86">
        <v>945</v>
      </c>
      <c r="G77" s="23"/>
      <c r="H77" s="23"/>
      <c r="I77" s="159"/>
      <c r="J77" s="160"/>
      <c r="K77" s="160"/>
      <c r="L77" s="70"/>
    </row>
    <row r="78" spans="1:12" s="2" customFormat="1" x14ac:dyDescent="0.2">
      <c r="A78" s="89">
        <v>45345</v>
      </c>
      <c r="B78" s="128" t="s">
        <v>6</v>
      </c>
      <c r="C78" s="181" t="s">
        <v>358</v>
      </c>
      <c r="D78" s="11" t="s">
        <v>13</v>
      </c>
      <c r="E78" s="86">
        <v>21315</v>
      </c>
      <c r="G78" s="23"/>
      <c r="H78" s="23"/>
      <c r="I78" s="159"/>
      <c r="J78" s="160"/>
      <c r="K78" s="160"/>
      <c r="L78" s="70"/>
    </row>
    <row r="79" spans="1:12" s="2" customFormat="1" x14ac:dyDescent="0.2">
      <c r="A79" s="89">
        <v>45345</v>
      </c>
      <c r="B79" s="128" t="s">
        <v>6</v>
      </c>
      <c r="C79" s="181" t="s">
        <v>2081</v>
      </c>
      <c r="D79" s="11" t="s">
        <v>13</v>
      </c>
      <c r="E79" s="86">
        <v>10000</v>
      </c>
      <c r="G79" s="23"/>
      <c r="H79" s="23"/>
      <c r="I79" s="159"/>
      <c r="J79" s="160"/>
      <c r="K79" s="160"/>
      <c r="L79" s="70"/>
    </row>
    <row r="80" spans="1:12" s="2" customFormat="1" x14ac:dyDescent="0.2">
      <c r="A80" s="89">
        <v>45345</v>
      </c>
      <c r="B80" s="128" t="s">
        <v>6</v>
      </c>
      <c r="C80" s="181" t="s">
        <v>2014</v>
      </c>
      <c r="D80" s="11" t="s">
        <v>13</v>
      </c>
      <c r="E80" s="86">
        <v>300000</v>
      </c>
      <c r="G80" s="23"/>
      <c r="H80" s="23"/>
      <c r="I80" s="159"/>
      <c r="J80" s="160"/>
      <c r="K80" s="160"/>
      <c r="L80" s="70"/>
    </row>
    <row r="81" spans="1:12" s="2" customFormat="1" x14ac:dyDescent="0.2">
      <c r="A81" s="89">
        <v>45345</v>
      </c>
      <c r="B81" s="128" t="s">
        <v>6</v>
      </c>
      <c r="C81" s="181" t="s">
        <v>27</v>
      </c>
      <c r="D81" s="11" t="s">
        <v>13</v>
      </c>
      <c r="E81" s="86">
        <v>539550.4</v>
      </c>
      <c r="G81" s="23"/>
      <c r="H81" s="23"/>
      <c r="I81" s="159"/>
      <c r="J81" s="160"/>
      <c r="K81" s="160"/>
      <c r="L81" s="70"/>
    </row>
    <row r="82" spans="1:12" s="2" customFormat="1" x14ac:dyDescent="0.2">
      <c r="A82" s="89">
        <v>45345</v>
      </c>
      <c r="B82" s="128" t="s">
        <v>6</v>
      </c>
      <c r="C82" s="181" t="s">
        <v>15</v>
      </c>
      <c r="D82" s="11" t="s">
        <v>29</v>
      </c>
      <c r="E82" s="86">
        <v>539122.72000000009</v>
      </c>
      <c r="G82" s="23"/>
      <c r="H82" s="23"/>
      <c r="I82" s="159"/>
      <c r="J82" s="160"/>
      <c r="K82" s="160"/>
      <c r="L82" s="70"/>
    </row>
    <row r="83" spans="1:12" s="2" customFormat="1" x14ac:dyDescent="0.2">
      <c r="A83" s="89">
        <v>45345</v>
      </c>
      <c r="B83" s="128" t="s">
        <v>11</v>
      </c>
      <c r="C83" s="181" t="s">
        <v>64</v>
      </c>
      <c r="D83" s="11" t="s">
        <v>29</v>
      </c>
      <c r="E83" s="86"/>
      <c r="F83" s="2">
        <v>8280.52</v>
      </c>
      <c r="G83" s="23"/>
      <c r="H83" s="23"/>
      <c r="I83" s="159"/>
      <c r="J83" s="160"/>
      <c r="K83" s="160"/>
      <c r="L83" s="70"/>
    </row>
    <row r="84" spans="1:12" s="2" customFormat="1" x14ac:dyDescent="0.2">
      <c r="A84" s="89">
        <v>45345</v>
      </c>
      <c r="B84" s="128" t="s">
        <v>11</v>
      </c>
      <c r="C84" s="181" t="s">
        <v>1403</v>
      </c>
      <c r="D84" s="11" t="s">
        <v>29</v>
      </c>
      <c r="E84" s="86"/>
      <c r="F84" s="2">
        <v>10151625</v>
      </c>
      <c r="G84" s="23"/>
      <c r="H84" s="23"/>
      <c r="I84" s="159"/>
      <c r="J84" s="160"/>
      <c r="K84" s="160"/>
      <c r="L84" s="70"/>
    </row>
    <row r="85" spans="1:12" s="2" customFormat="1" x14ac:dyDescent="0.2">
      <c r="A85" s="89">
        <v>45345</v>
      </c>
      <c r="B85" s="128" t="s">
        <v>11</v>
      </c>
      <c r="C85" s="181" t="s">
        <v>1762</v>
      </c>
      <c r="D85" s="11" t="s">
        <v>29</v>
      </c>
      <c r="E85" s="86"/>
      <c r="F85" s="2">
        <v>438348</v>
      </c>
      <c r="G85" s="23"/>
      <c r="H85" s="23"/>
      <c r="I85" s="159"/>
      <c r="J85" s="160"/>
      <c r="K85" s="160"/>
      <c r="L85" s="70"/>
    </row>
    <row r="86" spans="1:12" s="2" customFormat="1" x14ac:dyDescent="0.2">
      <c r="A86" s="89">
        <v>45345</v>
      </c>
      <c r="B86" s="128" t="s">
        <v>11</v>
      </c>
      <c r="C86" s="181" t="s">
        <v>110</v>
      </c>
      <c r="D86" s="11" t="s">
        <v>29</v>
      </c>
      <c r="E86" s="86"/>
      <c r="F86" s="2">
        <v>2782072.8</v>
      </c>
      <c r="G86" s="23"/>
      <c r="H86" s="23"/>
      <c r="I86" s="159"/>
      <c r="J86" s="160"/>
      <c r="K86" s="160"/>
      <c r="L86" s="70"/>
    </row>
    <row r="87" spans="1:12" s="2" customFormat="1" x14ac:dyDescent="0.2">
      <c r="A87" s="89">
        <v>45345</v>
      </c>
      <c r="B87" s="128" t="s">
        <v>11</v>
      </c>
      <c r="C87" s="181" t="s">
        <v>109</v>
      </c>
      <c r="D87" s="11" t="s">
        <v>29</v>
      </c>
      <c r="E87" s="86"/>
      <c r="F87" s="2">
        <v>1001383</v>
      </c>
      <c r="G87" s="23"/>
      <c r="H87" s="23"/>
      <c r="I87" s="159"/>
      <c r="J87" s="160"/>
      <c r="K87" s="160"/>
      <c r="L87" s="70"/>
    </row>
    <row r="88" spans="1:12" s="2" customFormat="1" x14ac:dyDescent="0.2">
      <c r="A88" s="89">
        <v>45345</v>
      </c>
      <c r="B88" s="128" t="s">
        <v>11</v>
      </c>
      <c r="C88" s="181" t="s">
        <v>1472</v>
      </c>
      <c r="D88" s="11" t="s">
        <v>29</v>
      </c>
      <c r="E88" s="86"/>
      <c r="F88" s="2">
        <v>977224</v>
      </c>
      <c r="G88" s="23"/>
      <c r="H88" s="23"/>
      <c r="I88" s="159"/>
      <c r="J88" s="160"/>
      <c r="K88" s="160"/>
      <c r="L88" s="70"/>
    </row>
    <row r="89" spans="1:12" s="2" customFormat="1" x14ac:dyDescent="0.2">
      <c r="A89" s="89">
        <v>45345</v>
      </c>
      <c r="B89" s="128" t="s">
        <v>11</v>
      </c>
      <c r="C89" s="181" t="s">
        <v>1746</v>
      </c>
      <c r="D89" s="11" t="s">
        <v>29</v>
      </c>
      <c r="E89" s="86"/>
      <c r="F89" s="2">
        <v>1140162</v>
      </c>
      <c r="G89" s="23"/>
      <c r="H89" s="23"/>
      <c r="I89" s="159"/>
      <c r="J89" s="160"/>
      <c r="K89" s="160"/>
      <c r="L89" s="70"/>
    </row>
    <row r="90" spans="1:12" s="2" customFormat="1" x14ac:dyDescent="0.2">
      <c r="A90" s="89">
        <v>45345</v>
      </c>
      <c r="B90" s="128" t="s">
        <v>11</v>
      </c>
      <c r="C90" s="181" t="s">
        <v>1502</v>
      </c>
      <c r="D90" s="11" t="s">
        <v>29</v>
      </c>
      <c r="E90" s="86"/>
      <c r="F90" s="2">
        <v>809668</v>
      </c>
      <c r="G90" s="23"/>
      <c r="H90" s="23"/>
      <c r="I90" s="159"/>
      <c r="J90" s="160"/>
      <c r="K90" s="160"/>
      <c r="L90" s="70"/>
    </row>
    <row r="91" spans="1:12" s="2" customFormat="1" x14ac:dyDescent="0.2">
      <c r="A91" s="89">
        <v>45345</v>
      </c>
      <c r="B91" s="128" t="s">
        <v>11</v>
      </c>
      <c r="C91" s="181" t="s">
        <v>926</v>
      </c>
      <c r="D91" s="11" t="s">
        <v>29</v>
      </c>
      <c r="E91" s="86"/>
      <c r="F91" s="2">
        <v>250000</v>
      </c>
      <c r="G91" s="23"/>
      <c r="H91" s="23"/>
      <c r="I91" s="159"/>
      <c r="J91" s="160"/>
      <c r="K91" s="160"/>
      <c r="L91" s="70"/>
    </row>
    <row r="92" spans="1:12" s="2" customFormat="1" x14ac:dyDescent="0.2">
      <c r="A92" s="89">
        <v>45345</v>
      </c>
      <c r="B92" s="128" t="s">
        <v>11</v>
      </c>
      <c r="C92" s="181" t="s">
        <v>521</v>
      </c>
      <c r="D92" s="11" t="s">
        <v>29</v>
      </c>
      <c r="E92" s="86"/>
      <c r="F92" s="2">
        <v>41760</v>
      </c>
      <c r="G92" s="23"/>
      <c r="H92" s="23"/>
      <c r="I92" s="159"/>
      <c r="J92" s="160"/>
      <c r="K92" s="160"/>
      <c r="L92" s="70"/>
    </row>
    <row r="93" spans="1:12" s="2" customFormat="1" x14ac:dyDescent="0.2">
      <c r="A93" s="89">
        <v>45345</v>
      </c>
      <c r="B93" s="128" t="s">
        <v>11</v>
      </c>
      <c r="C93" s="181" t="s">
        <v>346</v>
      </c>
      <c r="D93" s="11" t="s">
        <v>29</v>
      </c>
      <c r="E93" s="86"/>
      <c r="F93" s="2">
        <v>1756</v>
      </c>
      <c r="G93" s="23"/>
      <c r="H93" s="23"/>
      <c r="I93" s="159"/>
      <c r="J93" s="160"/>
      <c r="K93" s="160"/>
      <c r="L93" s="70"/>
    </row>
    <row r="94" spans="1:12" s="2" customFormat="1" x14ac:dyDescent="0.2">
      <c r="A94" s="89">
        <v>45345</v>
      </c>
      <c r="B94" s="128" t="s">
        <v>11</v>
      </c>
      <c r="C94" s="181" t="s">
        <v>268</v>
      </c>
      <c r="D94" s="11" t="s">
        <v>29</v>
      </c>
      <c r="E94" s="86"/>
      <c r="F94" s="2">
        <v>166141</v>
      </c>
      <c r="G94" s="23"/>
      <c r="H94" s="23"/>
      <c r="I94" s="159"/>
      <c r="J94" s="160"/>
      <c r="K94" s="160"/>
      <c r="L94" s="70"/>
    </row>
    <row r="95" spans="1:12" s="2" customFormat="1" x14ac:dyDescent="0.2">
      <c r="A95" s="89">
        <v>45345</v>
      </c>
      <c r="B95" s="128" t="s">
        <v>11</v>
      </c>
      <c r="C95" s="181" t="s">
        <v>339</v>
      </c>
      <c r="D95" s="11" t="s">
        <v>29</v>
      </c>
      <c r="E95" s="86"/>
      <c r="F95" s="2">
        <v>100000</v>
      </c>
      <c r="G95" s="23"/>
      <c r="H95" s="23"/>
      <c r="I95" s="159"/>
      <c r="J95" s="160"/>
      <c r="K95" s="160"/>
      <c r="L95" s="70"/>
    </row>
    <row r="96" spans="1:12" s="2" customFormat="1" x14ac:dyDescent="0.2">
      <c r="A96" s="89">
        <v>45345</v>
      </c>
      <c r="B96" s="128" t="s">
        <v>11</v>
      </c>
      <c r="C96" s="181" t="s">
        <v>130</v>
      </c>
      <c r="D96" s="11" t="s">
        <v>29</v>
      </c>
      <c r="E96" s="86"/>
      <c r="F96" s="2">
        <v>68567</v>
      </c>
      <c r="G96" s="23"/>
      <c r="H96" s="23"/>
      <c r="I96" s="159"/>
      <c r="J96" s="160"/>
      <c r="K96" s="160"/>
      <c r="L96" s="70"/>
    </row>
    <row r="97" spans="1:12" s="2" customFormat="1" x14ac:dyDescent="0.2">
      <c r="A97" s="89">
        <v>45345</v>
      </c>
      <c r="B97" s="128" t="s">
        <v>11</v>
      </c>
      <c r="C97" s="181" t="s">
        <v>441</v>
      </c>
      <c r="D97" s="11" t="s">
        <v>29</v>
      </c>
      <c r="E97" s="86"/>
      <c r="F97" s="2">
        <v>611.92999999999995</v>
      </c>
      <c r="G97" s="23"/>
      <c r="H97" s="23"/>
      <c r="I97" s="159"/>
      <c r="J97" s="160"/>
      <c r="K97" s="160"/>
      <c r="L97" s="70"/>
    </row>
    <row r="98" spans="1:12" s="2" customFormat="1" x14ac:dyDescent="0.2">
      <c r="A98" s="89">
        <v>45345</v>
      </c>
      <c r="B98" s="128" t="s">
        <v>11</v>
      </c>
      <c r="C98" s="181" t="s">
        <v>685</v>
      </c>
      <c r="D98" s="11" t="s">
        <v>29</v>
      </c>
      <c r="E98" s="86"/>
      <c r="F98" s="2">
        <v>18427</v>
      </c>
      <c r="G98" s="23"/>
      <c r="H98" s="23"/>
      <c r="I98" s="159"/>
      <c r="J98" s="160"/>
      <c r="K98" s="160"/>
      <c r="L98" s="70"/>
    </row>
    <row r="99" spans="1:12" s="2" customFormat="1" x14ac:dyDescent="0.2">
      <c r="A99" s="89">
        <v>45345</v>
      </c>
      <c r="B99" s="128" t="s">
        <v>11</v>
      </c>
      <c r="C99" s="181" t="s">
        <v>54</v>
      </c>
      <c r="D99" s="11" t="s">
        <v>29</v>
      </c>
      <c r="E99" s="86"/>
      <c r="F99" s="2">
        <v>7668</v>
      </c>
      <c r="G99" s="23"/>
      <c r="H99" s="23"/>
      <c r="I99" s="159"/>
      <c r="J99" s="160"/>
      <c r="K99" s="160"/>
      <c r="L99" s="70"/>
    </row>
    <row r="100" spans="1:12" s="2" customFormat="1" x14ac:dyDescent="0.2">
      <c r="A100" s="89">
        <v>45345</v>
      </c>
      <c r="B100" s="128" t="s">
        <v>11</v>
      </c>
      <c r="C100" s="181" t="s">
        <v>961</v>
      </c>
      <c r="D100" s="11" t="s">
        <v>29</v>
      </c>
      <c r="E100" s="86"/>
      <c r="F100" s="2">
        <v>122290</v>
      </c>
      <c r="G100" s="23"/>
      <c r="H100" s="23"/>
      <c r="I100" s="159"/>
      <c r="J100" s="160"/>
      <c r="K100" s="160"/>
      <c r="L100" s="70"/>
    </row>
    <row r="101" spans="1:12" s="2" customFormat="1" x14ac:dyDescent="0.2">
      <c r="A101" s="89">
        <v>45345</v>
      </c>
      <c r="B101" s="128" t="s">
        <v>11</v>
      </c>
      <c r="C101" s="181" t="s">
        <v>925</v>
      </c>
      <c r="D101" s="11" t="s">
        <v>29</v>
      </c>
      <c r="E101" s="86"/>
      <c r="F101" s="2">
        <v>495000</v>
      </c>
      <c r="G101" s="23"/>
      <c r="H101" s="23"/>
      <c r="I101" s="159"/>
      <c r="J101" s="160"/>
      <c r="K101" s="160"/>
      <c r="L101" s="70"/>
    </row>
    <row r="102" spans="1:12" s="2" customFormat="1" x14ac:dyDescent="0.2">
      <c r="A102" s="89">
        <v>45345</v>
      </c>
      <c r="B102" s="128" t="s">
        <v>11</v>
      </c>
      <c r="C102" s="181" t="s">
        <v>719</v>
      </c>
      <c r="D102" s="11" t="s">
        <v>29</v>
      </c>
      <c r="E102" s="86"/>
      <c r="F102" s="2">
        <v>470714</v>
      </c>
      <c r="G102" s="23"/>
      <c r="H102" s="23"/>
      <c r="I102" s="159"/>
      <c r="J102" s="160"/>
      <c r="K102" s="160"/>
      <c r="L102" s="70"/>
    </row>
    <row r="103" spans="1:12" s="2" customFormat="1" x14ac:dyDescent="0.2">
      <c r="A103" s="89">
        <v>45345</v>
      </c>
      <c r="B103" s="128" t="s">
        <v>11</v>
      </c>
      <c r="C103" s="181" t="s">
        <v>210</v>
      </c>
      <c r="D103" s="11" t="s">
        <v>29</v>
      </c>
      <c r="E103" s="86"/>
      <c r="F103" s="2">
        <v>121304</v>
      </c>
      <c r="G103" s="23"/>
      <c r="H103" s="23"/>
      <c r="I103" s="159"/>
      <c r="J103" s="160"/>
      <c r="K103" s="160"/>
      <c r="L103" s="70"/>
    </row>
    <row r="104" spans="1:12" s="2" customFormat="1" x14ac:dyDescent="0.2">
      <c r="A104" s="89">
        <v>45345</v>
      </c>
      <c r="B104" s="128" t="s">
        <v>11</v>
      </c>
      <c r="C104" s="181" t="s">
        <v>2114</v>
      </c>
      <c r="D104" s="11" t="s">
        <v>29</v>
      </c>
      <c r="E104" s="86"/>
      <c r="F104" s="2">
        <v>14424</v>
      </c>
      <c r="G104" s="23"/>
      <c r="H104" s="23"/>
      <c r="I104" s="159"/>
      <c r="J104" s="160"/>
      <c r="K104" s="160"/>
      <c r="L104" s="70"/>
    </row>
    <row r="105" spans="1:12" s="2" customFormat="1" x14ac:dyDescent="0.2">
      <c r="A105" s="89">
        <v>45345</v>
      </c>
      <c r="B105" s="128" t="s">
        <v>11</v>
      </c>
      <c r="C105" s="181" t="s">
        <v>476</v>
      </c>
      <c r="D105" s="11" t="s">
        <v>29</v>
      </c>
      <c r="E105" s="86"/>
      <c r="F105" s="2">
        <v>172834</v>
      </c>
      <c r="G105" s="23"/>
      <c r="H105" s="23"/>
      <c r="I105" s="159"/>
      <c r="J105" s="160"/>
      <c r="K105" s="160"/>
      <c r="L105" s="70"/>
    </row>
    <row r="106" spans="1:12" s="2" customFormat="1" x14ac:dyDescent="0.2">
      <c r="A106" s="89">
        <v>45345</v>
      </c>
      <c r="B106" s="128" t="s">
        <v>11</v>
      </c>
      <c r="C106" s="181" t="s">
        <v>39</v>
      </c>
      <c r="D106" s="11" t="s">
        <v>29</v>
      </c>
      <c r="E106" s="86"/>
      <c r="F106" s="2">
        <v>186004</v>
      </c>
      <c r="G106" s="23"/>
      <c r="H106" s="23"/>
      <c r="I106" s="159"/>
      <c r="J106" s="160"/>
      <c r="K106" s="160"/>
      <c r="L106" s="70"/>
    </row>
    <row r="107" spans="1:12" s="2" customFormat="1" x14ac:dyDescent="0.2">
      <c r="A107" s="89">
        <v>45345</v>
      </c>
      <c r="B107" s="128" t="s">
        <v>11</v>
      </c>
      <c r="C107" s="181" t="s">
        <v>1908</v>
      </c>
      <c r="D107" s="11" t="s">
        <v>29</v>
      </c>
      <c r="E107" s="86"/>
      <c r="F107" s="2">
        <v>290080</v>
      </c>
      <c r="G107" s="23"/>
      <c r="H107" s="23"/>
      <c r="I107" s="159"/>
      <c r="J107" s="160"/>
      <c r="K107" s="160"/>
      <c r="L107" s="70"/>
    </row>
    <row r="108" spans="1:12" s="2" customFormat="1" x14ac:dyDescent="0.2">
      <c r="A108" s="89">
        <v>45345</v>
      </c>
      <c r="B108" s="128" t="s">
        <v>11</v>
      </c>
      <c r="C108" s="181" t="s">
        <v>1228</v>
      </c>
      <c r="D108" s="11" t="s">
        <v>29</v>
      </c>
      <c r="E108" s="86"/>
      <c r="F108" s="2">
        <v>750151.56</v>
      </c>
      <c r="G108" s="23"/>
      <c r="H108" s="23"/>
      <c r="I108" s="159"/>
      <c r="J108" s="160"/>
      <c r="K108" s="160"/>
      <c r="L108" s="70"/>
    </row>
    <row r="109" spans="1:12" s="2" customFormat="1" x14ac:dyDescent="0.2">
      <c r="A109" s="89">
        <v>45345</v>
      </c>
      <c r="B109" s="128" t="s">
        <v>11</v>
      </c>
      <c r="C109" s="181" t="s">
        <v>32</v>
      </c>
      <c r="D109" s="11" t="s">
        <v>29</v>
      </c>
      <c r="E109" s="86"/>
      <c r="F109" s="2">
        <v>1842433</v>
      </c>
      <c r="G109" s="23"/>
      <c r="H109" s="23"/>
      <c r="I109" s="159"/>
      <c r="J109" s="160"/>
      <c r="K109" s="160"/>
      <c r="L109" s="70"/>
    </row>
    <row r="110" spans="1:12" s="2" customFormat="1" x14ac:dyDescent="0.2">
      <c r="A110" s="89">
        <v>45345</v>
      </c>
      <c r="B110" s="128" t="s">
        <v>11</v>
      </c>
      <c r="C110" s="181" t="s">
        <v>2115</v>
      </c>
      <c r="D110" s="11" t="s">
        <v>29</v>
      </c>
      <c r="E110" s="86"/>
      <c r="F110" s="2">
        <v>2500000</v>
      </c>
      <c r="G110" s="23"/>
      <c r="H110" s="23"/>
      <c r="I110" s="159"/>
      <c r="J110" s="160"/>
      <c r="K110" s="160"/>
      <c r="L110" s="70"/>
    </row>
    <row r="111" spans="1:12" s="2" customFormat="1" x14ac:dyDescent="0.2">
      <c r="A111" s="89">
        <v>45345</v>
      </c>
      <c r="B111" s="128" t="s">
        <v>11</v>
      </c>
      <c r="C111" s="181" t="s">
        <v>44</v>
      </c>
      <c r="D111" s="11" t="s">
        <v>29</v>
      </c>
      <c r="E111" s="86"/>
      <c r="F111" s="2">
        <v>1344092</v>
      </c>
      <c r="G111" s="23"/>
      <c r="H111" s="23"/>
      <c r="I111" s="159"/>
      <c r="J111" s="160"/>
      <c r="K111" s="160"/>
      <c r="L111" s="70"/>
    </row>
    <row r="112" spans="1:12" s="2" customFormat="1" x14ac:dyDescent="0.2">
      <c r="A112" s="89">
        <v>45345</v>
      </c>
      <c r="B112" s="128" t="s">
        <v>11</v>
      </c>
      <c r="C112" s="181" t="s">
        <v>372</v>
      </c>
      <c r="D112" s="11" t="s">
        <v>29</v>
      </c>
      <c r="E112" s="86"/>
      <c r="F112" s="2">
        <v>292648</v>
      </c>
      <c r="G112" s="23"/>
      <c r="H112" s="23"/>
      <c r="I112" s="159"/>
      <c r="J112" s="160"/>
      <c r="K112" s="160"/>
      <c r="L112" s="70"/>
    </row>
    <row r="113" spans="1:12" s="2" customFormat="1" x14ac:dyDescent="0.2">
      <c r="A113" s="89">
        <v>45345</v>
      </c>
      <c r="B113" s="128" t="s">
        <v>11</v>
      </c>
      <c r="C113" s="181" t="s">
        <v>193</v>
      </c>
      <c r="D113" s="11" t="s">
        <v>29</v>
      </c>
      <c r="E113" s="86"/>
      <c r="F113" s="2">
        <v>902490</v>
      </c>
      <c r="G113" s="23"/>
      <c r="H113" s="23"/>
      <c r="I113" s="159"/>
      <c r="J113" s="160"/>
      <c r="K113" s="160"/>
      <c r="L113" s="70"/>
    </row>
    <row r="114" spans="1:12" s="2" customFormat="1" x14ac:dyDescent="0.2">
      <c r="A114" s="89">
        <v>45345</v>
      </c>
      <c r="B114" s="128" t="s">
        <v>11</v>
      </c>
      <c r="C114" s="181" t="s">
        <v>56</v>
      </c>
      <c r="D114" s="11" t="s">
        <v>29</v>
      </c>
      <c r="E114" s="86"/>
      <c r="F114" s="2">
        <v>1158905</v>
      </c>
      <c r="G114" s="23"/>
      <c r="H114" s="23"/>
      <c r="I114" s="159"/>
      <c r="J114" s="160"/>
      <c r="K114" s="160"/>
      <c r="L114" s="70"/>
    </row>
    <row r="115" spans="1:12" s="2" customFormat="1" x14ac:dyDescent="0.2">
      <c r="A115" s="89">
        <v>45345</v>
      </c>
      <c r="B115" s="128" t="s">
        <v>11</v>
      </c>
      <c r="C115" s="181" t="s">
        <v>1856</v>
      </c>
      <c r="D115" s="11" t="s">
        <v>29</v>
      </c>
      <c r="E115" s="86"/>
      <c r="F115" s="2">
        <v>226910.2</v>
      </c>
      <c r="G115" s="23"/>
      <c r="H115" s="23"/>
      <c r="I115" s="159"/>
      <c r="J115" s="160"/>
      <c r="K115" s="160"/>
      <c r="L115" s="70"/>
    </row>
    <row r="116" spans="1:12" s="2" customFormat="1" x14ac:dyDescent="0.2">
      <c r="A116" s="89">
        <v>45345</v>
      </c>
      <c r="B116" s="128" t="s">
        <v>11</v>
      </c>
      <c r="C116" s="181" t="s">
        <v>790</v>
      </c>
      <c r="D116" s="11" t="s">
        <v>29</v>
      </c>
      <c r="E116" s="86"/>
      <c r="F116" s="2">
        <v>582523</v>
      </c>
      <c r="G116" s="23"/>
      <c r="H116" s="23"/>
      <c r="I116" s="159"/>
      <c r="J116" s="160"/>
      <c r="K116" s="160"/>
      <c r="L116" s="70"/>
    </row>
    <row r="117" spans="1:12" s="2" customFormat="1" x14ac:dyDescent="0.2">
      <c r="A117" s="89">
        <v>45345</v>
      </c>
      <c r="B117" s="128" t="s">
        <v>11</v>
      </c>
      <c r="C117" s="181" t="s">
        <v>300</v>
      </c>
      <c r="D117" s="11" t="s">
        <v>29</v>
      </c>
      <c r="E117" s="86"/>
      <c r="F117" s="2">
        <v>215779</v>
      </c>
      <c r="G117" s="23"/>
      <c r="H117" s="23"/>
      <c r="I117" s="159"/>
      <c r="J117" s="160"/>
      <c r="K117" s="160"/>
      <c r="L117" s="70"/>
    </row>
    <row r="118" spans="1:12" s="2" customFormat="1" x14ac:dyDescent="0.2">
      <c r="A118" s="89">
        <v>45345</v>
      </c>
      <c r="B118" s="128" t="s">
        <v>11</v>
      </c>
      <c r="C118" s="181" t="s">
        <v>194</v>
      </c>
      <c r="D118" s="11" t="s">
        <v>29</v>
      </c>
      <c r="E118" s="86"/>
      <c r="F118" s="2">
        <v>1711993</v>
      </c>
      <c r="G118" s="23"/>
      <c r="H118" s="23"/>
      <c r="I118" s="159"/>
      <c r="J118" s="160"/>
      <c r="K118" s="160"/>
      <c r="L118" s="70"/>
    </row>
    <row r="119" spans="1:12" s="2" customFormat="1" x14ac:dyDescent="0.2">
      <c r="A119" s="89">
        <v>45345</v>
      </c>
      <c r="B119" s="128" t="s">
        <v>11</v>
      </c>
      <c r="C119" s="181" t="s">
        <v>1140</v>
      </c>
      <c r="D119" s="11" t="s">
        <v>29</v>
      </c>
      <c r="E119" s="86"/>
      <c r="F119" s="2">
        <v>503538</v>
      </c>
      <c r="G119" s="23"/>
      <c r="H119" s="23"/>
      <c r="I119" s="159"/>
      <c r="J119" s="160"/>
      <c r="K119" s="160"/>
      <c r="L119" s="70"/>
    </row>
    <row r="120" spans="1:12" s="2" customFormat="1" x14ac:dyDescent="0.2">
      <c r="A120" s="89">
        <v>45345</v>
      </c>
      <c r="B120" s="128" t="s">
        <v>11</v>
      </c>
      <c r="C120" s="181" t="s">
        <v>138</v>
      </c>
      <c r="D120" s="11" t="s">
        <v>29</v>
      </c>
      <c r="E120" s="86"/>
      <c r="F120" s="2">
        <v>1940192</v>
      </c>
      <c r="G120" s="23"/>
      <c r="H120" s="23"/>
      <c r="I120" s="159"/>
      <c r="J120" s="160"/>
      <c r="K120" s="160"/>
      <c r="L120" s="70"/>
    </row>
    <row r="121" spans="1:12" s="2" customFormat="1" x14ac:dyDescent="0.2">
      <c r="A121" s="89">
        <v>45345</v>
      </c>
      <c r="B121" s="128" t="s">
        <v>11</v>
      </c>
      <c r="C121" s="181" t="s">
        <v>91</v>
      </c>
      <c r="D121" s="11" t="s">
        <v>29</v>
      </c>
      <c r="E121" s="86"/>
      <c r="F121" s="2">
        <v>1476731</v>
      </c>
      <c r="G121" s="23"/>
      <c r="H121" s="23"/>
      <c r="I121" s="159"/>
      <c r="J121" s="160"/>
      <c r="K121" s="160"/>
      <c r="L121" s="70"/>
    </row>
    <row r="122" spans="1:12" s="2" customFormat="1" x14ac:dyDescent="0.2">
      <c r="A122" s="89">
        <v>45345</v>
      </c>
      <c r="B122" s="128" t="s">
        <v>11</v>
      </c>
      <c r="C122" s="181" t="s">
        <v>1025</v>
      </c>
      <c r="D122" s="11" t="s">
        <v>29</v>
      </c>
      <c r="E122" s="86"/>
      <c r="F122" s="2">
        <v>2000000</v>
      </c>
      <c r="G122" s="23"/>
      <c r="H122" s="23"/>
      <c r="I122" s="159"/>
      <c r="J122" s="160"/>
      <c r="K122" s="160"/>
      <c r="L122" s="70"/>
    </row>
    <row r="123" spans="1:12" s="2" customFormat="1" x14ac:dyDescent="0.2">
      <c r="A123" s="89">
        <v>45345</v>
      </c>
      <c r="B123" s="128" t="s">
        <v>11</v>
      </c>
      <c r="C123" s="181" t="s">
        <v>279</v>
      </c>
      <c r="D123" s="11" t="s">
        <v>29</v>
      </c>
      <c r="E123" s="86"/>
      <c r="F123" s="2">
        <v>7268698</v>
      </c>
      <c r="G123" s="23"/>
      <c r="H123" s="23"/>
      <c r="I123" s="159"/>
      <c r="J123" s="160"/>
      <c r="K123" s="160"/>
      <c r="L123" s="70"/>
    </row>
    <row r="124" spans="1:12" s="2" customFormat="1" x14ac:dyDescent="0.2">
      <c r="A124" s="89">
        <v>45345</v>
      </c>
      <c r="B124" s="128" t="s">
        <v>11</v>
      </c>
      <c r="C124" s="181" t="s">
        <v>301</v>
      </c>
      <c r="D124" s="11" t="s">
        <v>29</v>
      </c>
      <c r="E124" s="86"/>
      <c r="F124" s="2">
        <v>6273702</v>
      </c>
      <c r="G124" s="23"/>
      <c r="H124" s="23"/>
      <c r="I124" s="159"/>
      <c r="J124" s="160"/>
      <c r="K124" s="160"/>
      <c r="L124" s="70"/>
    </row>
    <row r="125" spans="1:12" s="2" customFormat="1" x14ac:dyDescent="0.2">
      <c r="A125" s="89">
        <v>45345</v>
      </c>
      <c r="B125" s="128" t="s">
        <v>11</v>
      </c>
      <c r="C125" s="181" t="s">
        <v>1651</v>
      </c>
      <c r="D125" s="11" t="s">
        <v>29</v>
      </c>
      <c r="E125" s="86"/>
      <c r="F125" s="2">
        <v>2476101</v>
      </c>
      <c r="G125" s="23"/>
      <c r="H125" s="23"/>
      <c r="I125" s="159"/>
      <c r="J125" s="160"/>
      <c r="K125" s="160"/>
      <c r="L125" s="70"/>
    </row>
    <row r="126" spans="1:12" s="2" customFormat="1" x14ac:dyDescent="0.2">
      <c r="A126" s="89">
        <v>45345</v>
      </c>
      <c r="B126" s="128" t="s">
        <v>11</v>
      </c>
      <c r="C126" s="181" t="s">
        <v>57</v>
      </c>
      <c r="D126" s="11" t="s">
        <v>29</v>
      </c>
      <c r="E126" s="86"/>
      <c r="F126" s="2">
        <v>14000000</v>
      </c>
      <c r="G126" s="23"/>
      <c r="H126" s="23"/>
      <c r="I126" s="159"/>
      <c r="J126" s="160"/>
      <c r="K126" s="160"/>
      <c r="L126" s="70"/>
    </row>
    <row r="127" spans="1:12" s="2" customFormat="1" x14ac:dyDescent="0.2">
      <c r="A127" s="89">
        <v>45345</v>
      </c>
      <c r="B127" s="128" t="s">
        <v>11</v>
      </c>
      <c r="C127" s="181" t="s">
        <v>284</v>
      </c>
      <c r="D127" s="11" t="s">
        <v>29</v>
      </c>
      <c r="E127" s="86"/>
      <c r="F127" s="2">
        <v>2835194</v>
      </c>
      <c r="G127" s="23"/>
      <c r="H127" s="23"/>
      <c r="I127" s="159"/>
      <c r="J127" s="160"/>
      <c r="K127" s="160"/>
      <c r="L127" s="70"/>
    </row>
    <row r="128" spans="1:12" s="2" customFormat="1" x14ac:dyDescent="0.2">
      <c r="A128" s="89">
        <v>45345</v>
      </c>
      <c r="B128" s="128" t="s">
        <v>11</v>
      </c>
      <c r="C128" s="181" t="s">
        <v>714</v>
      </c>
      <c r="D128" s="11" t="s">
        <v>29</v>
      </c>
      <c r="E128" s="86"/>
      <c r="F128" s="2">
        <v>251694</v>
      </c>
      <c r="G128" s="23"/>
      <c r="H128" s="23"/>
      <c r="I128" s="159"/>
      <c r="J128" s="160"/>
      <c r="K128" s="160"/>
      <c r="L128" s="70"/>
    </row>
    <row r="129" spans="1:12" s="2" customFormat="1" x14ac:dyDescent="0.2">
      <c r="A129" s="89">
        <v>45345</v>
      </c>
      <c r="B129" s="128" t="s">
        <v>11</v>
      </c>
      <c r="C129" s="181" t="s">
        <v>63</v>
      </c>
      <c r="D129" s="11" t="s">
        <v>29</v>
      </c>
      <c r="E129" s="86"/>
      <c r="F129" s="2">
        <v>15000000</v>
      </c>
      <c r="G129" s="23"/>
      <c r="H129" s="23"/>
      <c r="I129" s="159"/>
      <c r="J129" s="160"/>
      <c r="K129" s="160"/>
      <c r="L129" s="70"/>
    </row>
    <row r="130" spans="1:12" s="2" customFormat="1" x14ac:dyDescent="0.2">
      <c r="A130" s="89">
        <v>45345</v>
      </c>
      <c r="B130" s="128" t="s">
        <v>11</v>
      </c>
      <c r="C130" s="181" t="s">
        <v>397</v>
      </c>
      <c r="D130" s="11" t="s">
        <v>29</v>
      </c>
      <c r="E130" s="86"/>
      <c r="F130" s="2">
        <v>664790</v>
      </c>
      <c r="G130" s="23"/>
      <c r="H130" s="23"/>
      <c r="I130" s="159"/>
      <c r="J130" s="160"/>
      <c r="K130" s="160"/>
      <c r="L130" s="70"/>
    </row>
    <row r="131" spans="1:12" s="2" customFormat="1" x14ac:dyDescent="0.2">
      <c r="A131" s="89">
        <v>45345</v>
      </c>
      <c r="B131" s="128" t="s">
        <v>11</v>
      </c>
      <c r="C131" s="181" t="s">
        <v>15</v>
      </c>
      <c r="D131" s="11" t="s">
        <v>29</v>
      </c>
      <c r="E131" s="86"/>
      <c r="F131" s="2">
        <v>72322.400000000009</v>
      </c>
      <c r="G131" s="23"/>
      <c r="H131" s="23"/>
      <c r="I131" s="159"/>
      <c r="J131" s="160"/>
      <c r="K131" s="160"/>
      <c r="L131" s="70"/>
    </row>
    <row r="132" spans="1:12" s="2" customFormat="1" x14ac:dyDescent="0.2">
      <c r="A132" s="89">
        <v>45345</v>
      </c>
      <c r="B132" s="128" t="s">
        <v>11</v>
      </c>
      <c r="C132" s="181" t="s">
        <v>64</v>
      </c>
      <c r="D132" s="11" t="s">
        <v>29</v>
      </c>
      <c r="E132" s="86"/>
      <c r="F132" s="2">
        <v>11507.23</v>
      </c>
      <c r="G132" s="23"/>
      <c r="H132" s="23"/>
      <c r="I132" s="159"/>
      <c r="J132" s="160"/>
      <c r="K132" s="160"/>
      <c r="L132" s="70"/>
    </row>
    <row r="133" spans="1:12" s="2" customFormat="1" x14ac:dyDescent="0.2">
      <c r="A133" s="89">
        <v>45345</v>
      </c>
      <c r="B133" s="128" t="s">
        <v>11</v>
      </c>
      <c r="C133" s="181" t="s">
        <v>1925</v>
      </c>
      <c r="D133" s="11" t="s">
        <v>29</v>
      </c>
      <c r="E133" s="86"/>
      <c r="F133" s="2">
        <v>34367740.200000003</v>
      </c>
      <c r="G133" s="23"/>
      <c r="H133" s="23"/>
      <c r="I133" s="159"/>
      <c r="J133" s="160"/>
      <c r="K133" s="160"/>
      <c r="L133" s="70"/>
    </row>
    <row r="134" spans="1:12" s="2" customFormat="1" x14ac:dyDescent="0.2">
      <c r="A134" s="89">
        <v>45345</v>
      </c>
      <c r="B134" s="128" t="s">
        <v>11</v>
      </c>
      <c r="C134" s="181" t="s">
        <v>284</v>
      </c>
      <c r="D134" s="11" t="s">
        <v>29</v>
      </c>
      <c r="E134" s="86"/>
      <c r="F134" s="2">
        <v>702027</v>
      </c>
      <c r="G134" s="23"/>
      <c r="H134" s="23"/>
      <c r="I134" s="159"/>
      <c r="J134" s="160"/>
      <c r="K134" s="160"/>
      <c r="L134" s="70"/>
    </row>
    <row r="135" spans="1:12" s="2" customFormat="1" x14ac:dyDescent="0.2">
      <c r="A135" s="89">
        <v>45345</v>
      </c>
      <c r="B135" s="128" t="s">
        <v>11</v>
      </c>
      <c r="C135" s="181" t="s">
        <v>110</v>
      </c>
      <c r="D135" s="11" t="s">
        <v>29</v>
      </c>
      <c r="E135" s="86"/>
      <c r="F135" s="2">
        <v>1876963.08</v>
      </c>
      <c r="G135" s="23"/>
      <c r="H135" s="23"/>
      <c r="I135" s="159"/>
      <c r="J135" s="160"/>
      <c r="K135" s="160"/>
      <c r="L135" s="70"/>
    </row>
    <row r="136" spans="1:12" s="2" customFormat="1" x14ac:dyDescent="0.2">
      <c r="A136" s="89">
        <v>45345</v>
      </c>
      <c r="B136" s="128" t="s">
        <v>11</v>
      </c>
      <c r="C136" s="181" t="s">
        <v>1734</v>
      </c>
      <c r="D136" s="11" t="s">
        <v>29</v>
      </c>
      <c r="E136" s="86"/>
      <c r="F136" s="2">
        <v>1800000</v>
      </c>
      <c r="G136" s="23"/>
      <c r="H136" s="23"/>
      <c r="I136" s="159"/>
      <c r="J136" s="160"/>
      <c r="K136" s="160"/>
      <c r="L136" s="70"/>
    </row>
    <row r="137" spans="1:12" s="2" customFormat="1" x14ac:dyDescent="0.2">
      <c r="A137" s="89">
        <v>45345</v>
      </c>
      <c r="B137" s="128" t="s">
        <v>11</v>
      </c>
      <c r="C137" s="181" t="s">
        <v>269</v>
      </c>
      <c r="D137" s="11" t="s">
        <v>29</v>
      </c>
      <c r="E137" s="86"/>
      <c r="F137" s="2">
        <v>4277076</v>
      </c>
      <c r="G137" s="23"/>
      <c r="H137" s="23"/>
      <c r="I137" s="159"/>
      <c r="J137" s="160"/>
      <c r="K137" s="160"/>
      <c r="L137" s="70"/>
    </row>
    <row r="138" spans="1:12" s="2" customFormat="1" x14ac:dyDescent="0.2">
      <c r="A138" s="89">
        <v>45345</v>
      </c>
      <c r="B138" s="128" t="s">
        <v>11</v>
      </c>
      <c r="C138" s="181" t="s">
        <v>417</v>
      </c>
      <c r="D138" s="11" t="s">
        <v>29</v>
      </c>
      <c r="E138" s="86"/>
      <c r="F138" s="2">
        <v>1350000</v>
      </c>
      <c r="G138" s="23"/>
      <c r="H138" s="23"/>
      <c r="I138" s="159"/>
      <c r="J138" s="160"/>
      <c r="K138" s="160"/>
      <c r="L138" s="70"/>
    </row>
    <row r="139" spans="1:12" s="2" customFormat="1" x14ac:dyDescent="0.2">
      <c r="A139" s="89">
        <v>45345</v>
      </c>
      <c r="B139" s="128" t="s">
        <v>11</v>
      </c>
      <c r="C139" s="181" t="s">
        <v>62</v>
      </c>
      <c r="D139" s="11" t="s">
        <v>29</v>
      </c>
      <c r="E139" s="86"/>
      <c r="F139" s="2">
        <v>10000</v>
      </c>
      <c r="G139" s="23"/>
      <c r="H139" s="23"/>
      <c r="I139" s="159"/>
      <c r="J139" s="160"/>
      <c r="K139" s="160"/>
      <c r="L139" s="70"/>
    </row>
    <row r="140" spans="1:12" s="2" customFormat="1" x14ac:dyDescent="0.2">
      <c r="A140" s="89">
        <v>45345</v>
      </c>
      <c r="B140" s="128" t="s">
        <v>11</v>
      </c>
      <c r="C140" s="181" t="s">
        <v>96</v>
      </c>
      <c r="D140" s="11" t="s">
        <v>29</v>
      </c>
      <c r="E140" s="86"/>
      <c r="F140" s="2">
        <v>5356</v>
      </c>
      <c r="G140" s="23"/>
      <c r="H140" s="23"/>
      <c r="I140" s="159"/>
      <c r="J140" s="160"/>
      <c r="K140" s="160"/>
      <c r="L140" s="70"/>
    </row>
    <row r="141" spans="1:12" s="2" customFormat="1" x14ac:dyDescent="0.2">
      <c r="A141" s="89">
        <v>45345</v>
      </c>
      <c r="B141" s="128" t="s">
        <v>11</v>
      </c>
      <c r="C141" s="181" t="s">
        <v>209</v>
      </c>
      <c r="D141" s="11" t="s">
        <v>29</v>
      </c>
      <c r="E141" s="86"/>
      <c r="F141" s="2">
        <v>50000</v>
      </c>
      <c r="G141" s="23"/>
      <c r="H141" s="23"/>
      <c r="I141" s="159"/>
      <c r="J141" s="160"/>
      <c r="K141" s="160"/>
      <c r="L141" s="70"/>
    </row>
    <row r="142" spans="1:12" s="2" customFormat="1" x14ac:dyDescent="0.2">
      <c r="A142" s="89">
        <v>45345</v>
      </c>
      <c r="B142" s="128" t="s">
        <v>11</v>
      </c>
      <c r="C142" s="181" t="s">
        <v>397</v>
      </c>
      <c r="D142" s="11" t="s">
        <v>29</v>
      </c>
      <c r="E142" s="86"/>
      <c r="F142" s="2">
        <v>752466</v>
      </c>
      <c r="G142" s="23"/>
      <c r="H142" s="23"/>
      <c r="I142" s="159"/>
      <c r="J142" s="160"/>
      <c r="K142" s="160"/>
      <c r="L142" s="70"/>
    </row>
    <row r="143" spans="1:12" s="2" customFormat="1" x14ac:dyDescent="0.2">
      <c r="A143" s="89">
        <v>45345</v>
      </c>
      <c r="B143" s="128" t="s">
        <v>11</v>
      </c>
      <c r="C143" s="181" t="s">
        <v>500</v>
      </c>
      <c r="D143" s="11" t="s">
        <v>29</v>
      </c>
      <c r="E143" s="86"/>
      <c r="F143" s="2">
        <v>4641982</v>
      </c>
      <c r="G143" s="23"/>
      <c r="H143" s="23"/>
      <c r="I143" s="159"/>
      <c r="J143" s="160"/>
      <c r="K143" s="160"/>
      <c r="L143" s="70"/>
    </row>
    <row r="144" spans="1:12" s="2" customFormat="1" x14ac:dyDescent="0.2">
      <c r="A144" s="89">
        <v>45345</v>
      </c>
      <c r="B144" s="128" t="s">
        <v>11</v>
      </c>
      <c r="C144" s="181" t="s">
        <v>195</v>
      </c>
      <c r="D144" s="11" t="s">
        <v>29</v>
      </c>
      <c r="E144" s="86"/>
      <c r="F144" s="2">
        <v>54711</v>
      </c>
      <c r="G144" s="23"/>
      <c r="H144" s="23"/>
      <c r="I144" s="159"/>
      <c r="J144" s="160"/>
      <c r="K144" s="160"/>
      <c r="L144" s="70"/>
    </row>
    <row r="145" spans="1:16" s="2" customFormat="1" x14ac:dyDescent="0.2">
      <c r="A145" s="89">
        <v>45345</v>
      </c>
      <c r="B145" s="128" t="s">
        <v>11</v>
      </c>
      <c r="C145" s="181" t="s">
        <v>2065</v>
      </c>
      <c r="D145" s="11" t="s">
        <v>29</v>
      </c>
      <c r="E145" s="86"/>
      <c r="F145" s="2">
        <v>269300</v>
      </c>
      <c r="G145" s="23"/>
      <c r="H145" s="23"/>
      <c r="I145" s="159"/>
      <c r="J145" s="160"/>
      <c r="K145" s="160"/>
      <c r="L145" s="70"/>
    </row>
    <row r="146" spans="1:16" s="2" customFormat="1" x14ac:dyDescent="0.2">
      <c r="A146" s="89">
        <v>45345</v>
      </c>
      <c r="B146" s="128" t="s">
        <v>11</v>
      </c>
      <c r="C146" s="181" t="s">
        <v>57</v>
      </c>
      <c r="D146" s="11" t="s">
        <v>29</v>
      </c>
      <c r="E146" s="86"/>
      <c r="F146" s="2">
        <v>4000000</v>
      </c>
      <c r="G146" s="23"/>
      <c r="H146" s="23"/>
      <c r="I146" s="159"/>
      <c r="J146" s="160"/>
      <c r="K146" s="160"/>
      <c r="L146" s="70"/>
    </row>
    <row r="147" spans="1:16" s="2" customFormat="1" x14ac:dyDescent="0.2">
      <c r="A147" s="89">
        <v>45345</v>
      </c>
      <c r="B147" s="128" t="s">
        <v>11</v>
      </c>
      <c r="C147" s="181" t="s">
        <v>1979</v>
      </c>
      <c r="D147" s="11" t="s">
        <v>29</v>
      </c>
      <c r="E147" s="86"/>
      <c r="F147" s="2">
        <v>33439.589999999997</v>
      </c>
      <c r="G147" s="23"/>
      <c r="H147" s="23"/>
      <c r="I147" s="159"/>
      <c r="J147" s="160"/>
      <c r="K147" s="160"/>
      <c r="L147" s="70" t="s">
        <v>329</v>
      </c>
    </row>
    <row r="148" spans="1:16" s="70" customFormat="1" x14ac:dyDescent="0.2">
      <c r="A148" s="32"/>
      <c r="B148" s="33"/>
      <c r="C148" s="14"/>
      <c r="D148" s="34"/>
      <c r="E148" s="16">
        <f>SUM(E42:E147)</f>
        <v>151076879.28000003</v>
      </c>
      <c r="F148" s="16">
        <f>SUM(F42:F147)</f>
        <v>223218202.5399999</v>
      </c>
      <c r="G148" s="1"/>
      <c r="H148" s="1"/>
      <c r="I148" s="1"/>
      <c r="J148" s="38">
        <v>71183618.260000005</v>
      </c>
      <c r="K148" s="2"/>
      <c r="L148" s="92">
        <f>E149-J148</f>
        <v>957704.99999986589</v>
      </c>
      <c r="M148" s="2"/>
      <c r="N148" s="2"/>
      <c r="O148" s="2"/>
      <c r="P148" s="2"/>
    </row>
    <row r="149" spans="1:16" s="70" customFormat="1" x14ac:dyDescent="0.2">
      <c r="A149" s="36"/>
      <c r="B149" s="28" t="s">
        <v>11</v>
      </c>
      <c r="C149" s="19" t="s">
        <v>65</v>
      </c>
      <c r="D149" s="37"/>
      <c r="E149" s="38">
        <f>F148-E148</f>
        <v>72141323.259999871</v>
      </c>
      <c r="F149" s="22"/>
      <c r="G149" s="1"/>
      <c r="H149" s="1"/>
      <c r="I149" s="1"/>
      <c r="M149" s="2"/>
      <c r="N149" s="2"/>
      <c r="O149" s="1"/>
      <c r="P149" s="2"/>
    </row>
    <row r="150" spans="1:16" s="70" customFormat="1" x14ac:dyDescent="0.2">
      <c r="A150" s="36"/>
      <c r="B150" s="28" t="s">
        <v>66</v>
      </c>
      <c r="C150" s="19" t="s">
        <v>67</v>
      </c>
      <c r="D150" s="37"/>
      <c r="E150" s="38">
        <v>11500000</v>
      </c>
      <c r="F150" s="22"/>
      <c r="G150" s="1"/>
      <c r="H150" s="1"/>
      <c r="M150" s="2"/>
      <c r="N150" s="2"/>
      <c r="O150" s="1"/>
      <c r="P150" s="2"/>
    </row>
    <row r="151" spans="1:16" s="70" customFormat="1" x14ac:dyDescent="0.2">
      <c r="A151" s="36"/>
      <c r="B151" s="28" t="s">
        <v>66</v>
      </c>
      <c r="C151" s="43" t="s">
        <v>1457</v>
      </c>
      <c r="D151" s="43"/>
      <c r="E151" s="12">
        <f>400000000</f>
        <v>400000000</v>
      </c>
      <c r="F151" s="22"/>
      <c r="G151" s="1"/>
      <c r="H151" s="1"/>
      <c r="J151" s="45">
        <v>2198.67</v>
      </c>
      <c r="K151" s="46"/>
      <c r="L151" s="46"/>
      <c r="M151" s="2"/>
      <c r="N151" s="2"/>
      <c r="O151" s="1"/>
      <c r="P151" s="2"/>
    </row>
    <row r="152" spans="1:16" s="70" customFormat="1" ht="15" x14ac:dyDescent="0.25">
      <c r="A152" s="36"/>
      <c r="B152" s="28"/>
      <c r="C152" s="44" t="s">
        <v>1541</v>
      </c>
      <c r="D152" s="43"/>
      <c r="E152" s="7">
        <f>+E151+E149+E150</f>
        <v>483641323.25999987</v>
      </c>
      <c r="F152" s="22"/>
      <c r="G152" s="1"/>
      <c r="H152" s="1"/>
      <c r="I152" s="103" t="s">
        <v>69</v>
      </c>
      <c r="J152" s="45">
        <v>-112.73</v>
      </c>
      <c r="K152" s="46"/>
      <c r="L152" s="46"/>
      <c r="M152" s="2"/>
      <c r="N152" s="2"/>
      <c r="O152" s="1"/>
      <c r="P152" s="2"/>
    </row>
    <row r="153" spans="1:16" s="70" customFormat="1" ht="15" x14ac:dyDescent="0.25">
      <c r="A153" s="24"/>
      <c r="B153" s="1"/>
      <c r="C153" s="44" t="s">
        <v>1510</v>
      </c>
      <c r="D153" s="25"/>
      <c r="E153" s="156">
        <f>+J41-E150+I37-J37</f>
        <v>17316381.740000002</v>
      </c>
      <c r="F153" s="2"/>
      <c r="G153" s="1"/>
      <c r="H153" s="1"/>
      <c r="I153" s="35">
        <v>1</v>
      </c>
      <c r="J153" s="45">
        <v>101.89</v>
      </c>
      <c r="K153" s="46">
        <f>+J154-D156</f>
        <v>0</v>
      </c>
      <c r="L153" s="2"/>
      <c r="M153" s="2"/>
      <c r="N153" s="2"/>
      <c r="O153" s="1"/>
      <c r="P153" s="2"/>
    </row>
    <row r="154" spans="1:16" s="70" customFormat="1" ht="12.75" customHeight="1" x14ac:dyDescent="0.2">
      <c r="A154" s="24"/>
      <c r="B154" s="1"/>
      <c r="C154" s="56"/>
      <c r="D154" s="56"/>
      <c r="E154" s="104"/>
      <c r="F154" s="2"/>
      <c r="G154" s="166"/>
      <c r="H154" s="166"/>
      <c r="J154" s="49">
        <f>SUM(J151:J153)</f>
        <v>2187.83</v>
      </c>
      <c r="K154" s="46"/>
      <c r="L154" s="46"/>
      <c r="M154" s="124"/>
      <c r="N154" s="124"/>
      <c r="O154" s="1"/>
      <c r="P154" s="2"/>
    </row>
    <row r="155" spans="1:16" s="70" customFormat="1" ht="12.75" customHeight="1" x14ac:dyDescent="0.2">
      <c r="A155" s="24"/>
      <c r="B155" s="1"/>
      <c r="C155" s="78" t="s">
        <v>575</v>
      </c>
      <c r="D155" s="48" t="s">
        <v>576</v>
      </c>
      <c r="E155" s="104"/>
      <c r="F155" s="2"/>
      <c r="G155" s="168"/>
      <c r="H155" s="168"/>
      <c r="I155" s="167"/>
      <c r="J155" s="167"/>
      <c r="K155" s="168"/>
      <c r="L155" s="124"/>
      <c r="M155" s="124"/>
      <c r="N155" s="124"/>
      <c r="O155" s="124"/>
      <c r="P155" s="2"/>
    </row>
    <row r="156" spans="1:16" s="70" customFormat="1" ht="12.75" customHeight="1" x14ac:dyDescent="0.2">
      <c r="A156" s="24"/>
      <c r="B156" s="1"/>
      <c r="C156" s="47" t="s">
        <v>570</v>
      </c>
      <c r="D156" s="111">
        <v>2187.83</v>
      </c>
      <c r="E156" s="104"/>
      <c r="F156" s="2"/>
      <c r="G156" s="168"/>
      <c r="H156" s="168"/>
      <c r="I156" s="110" t="s">
        <v>581</v>
      </c>
      <c r="J156" s="167"/>
      <c r="K156" s="168"/>
      <c r="L156" s="124"/>
      <c r="M156" s="124"/>
      <c r="N156" s="124"/>
      <c r="O156" s="124"/>
      <c r="P156" s="124"/>
    </row>
    <row r="157" spans="1:16" s="70" customFormat="1" ht="12.75" customHeight="1" x14ac:dyDescent="0.2">
      <c r="A157" s="24"/>
      <c r="B157" s="1"/>
      <c r="C157" s="47" t="s">
        <v>931</v>
      </c>
      <c r="D157" s="111">
        <v>154.02000000000001</v>
      </c>
      <c r="E157" s="104"/>
      <c r="F157" s="2"/>
      <c r="G157" s="168"/>
      <c r="H157" s="168"/>
      <c r="I157" s="110" t="s">
        <v>580</v>
      </c>
      <c r="J157" s="167"/>
      <c r="K157" s="168"/>
      <c r="L157" s="124"/>
      <c r="M157" s="124"/>
      <c r="N157" s="124"/>
      <c r="O157" s="124"/>
      <c r="P157" s="124"/>
    </row>
    <row r="158" spans="1:16" s="70" customFormat="1" ht="12.75" customHeight="1" x14ac:dyDescent="0.2">
      <c r="A158" s="24"/>
      <c r="B158" s="1"/>
      <c r="C158" s="47" t="s">
        <v>572</v>
      </c>
      <c r="D158" s="111">
        <f>+D201/100000</f>
        <v>513.41949829999999</v>
      </c>
      <c r="E158" s="104"/>
      <c r="F158" s="2"/>
      <c r="G158" s="166"/>
      <c r="H158" s="166"/>
      <c r="I158" s="90" t="s">
        <v>587</v>
      </c>
      <c r="J158" s="167"/>
      <c r="K158" s="168"/>
      <c r="L158" s="124"/>
      <c r="M158" s="124"/>
      <c r="N158" s="124"/>
      <c r="O158" s="124"/>
      <c r="P158" s="124"/>
    </row>
    <row r="159" spans="1:16" s="70" customFormat="1" ht="12.75" customHeight="1" x14ac:dyDescent="0.2">
      <c r="A159" s="24"/>
      <c r="B159" s="1"/>
      <c r="C159" s="108" t="s">
        <v>578</v>
      </c>
      <c r="D159" s="48">
        <f>SUM(D156:D158)</f>
        <v>2855.2694983000001</v>
      </c>
      <c r="E159" s="104"/>
      <c r="F159" s="2"/>
      <c r="G159" s="30"/>
      <c r="H159" s="30"/>
      <c r="I159" s="2"/>
      <c r="J159" s="13"/>
      <c r="K159" s="13"/>
      <c r="L159" s="2"/>
      <c r="M159" s="2"/>
      <c r="N159" s="2"/>
      <c r="O159" s="124"/>
      <c r="P159" s="124"/>
    </row>
    <row r="160" spans="1:16" s="70" customFormat="1" ht="12.75" customHeight="1" x14ac:dyDescent="0.2">
      <c r="A160" s="24"/>
      <c r="B160" s="1"/>
      <c r="C160" s="47"/>
      <c r="D160" s="107"/>
      <c r="E160" s="104"/>
      <c r="F160" s="2"/>
      <c r="G160" s="30"/>
      <c r="H160" s="30"/>
      <c r="I160" s="2"/>
      <c r="O160" s="2"/>
      <c r="P160" s="124"/>
    </row>
    <row r="161" spans="1:19" s="70" customFormat="1" ht="12.75" customHeight="1" x14ac:dyDescent="0.2">
      <c r="A161" s="24"/>
      <c r="B161" s="1"/>
      <c r="C161" s="47" t="s">
        <v>932</v>
      </c>
      <c r="D161" s="111">
        <v>111.36</v>
      </c>
      <c r="E161" s="104"/>
      <c r="F161" s="2"/>
      <c r="G161" s="30"/>
      <c r="H161" s="30"/>
      <c r="I161" s="110" t="s">
        <v>581</v>
      </c>
      <c r="P161" s="2"/>
    </row>
    <row r="162" spans="1:19" s="70" customFormat="1" ht="12.75" customHeight="1" x14ac:dyDescent="0.2">
      <c r="A162" s="24"/>
      <c r="B162" s="1"/>
      <c r="C162" s="136" t="s">
        <v>1142</v>
      </c>
      <c r="D162" s="111">
        <v>392.5</v>
      </c>
      <c r="E162" s="104"/>
      <c r="F162" s="2"/>
      <c r="G162" s="30"/>
      <c r="H162" s="30"/>
      <c r="I162" s="110" t="s">
        <v>581</v>
      </c>
    </row>
    <row r="163" spans="1:19" s="70" customFormat="1" ht="12.75" customHeight="1" x14ac:dyDescent="0.2">
      <c r="A163" s="24"/>
      <c r="B163" s="1"/>
      <c r="C163" s="78" t="s">
        <v>579</v>
      </c>
      <c r="D163" s="109">
        <f>D161+D162</f>
        <v>503.86</v>
      </c>
      <c r="E163" s="104"/>
      <c r="F163" s="2"/>
      <c r="G163" s="30"/>
      <c r="H163" s="30"/>
      <c r="Q163" s="2"/>
      <c r="R163" s="2"/>
      <c r="S163" s="2"/>
    </row>
    <row r="164" spans="1:19" s="2" customFormat="1" x14ac:dyDescent="0.2">
      <c r="A164" s="24"/>
      <c r="B164" s="1"/>
      <c r="C164" s="105"/>
      <c r="D164" s="106"/>
      <c r="E164" s="104"/>
      <c r="G164" s="30"/>
      <c r="H164" s="30"/>
      <c r="I164" s="70"/>
      <c r="K164" s="221" t="str">
        <f>"FROM ( 01-02-2024 to "&amp;TEXT(A5,"dd-mm-yyyy")&amp;" )"</f>
        <v>FROM ( 01-02-2024 to 23-02-2024 )</v>
      </c>
      <c r="L164" s="221"/>
      <c r="O164" s="70"/>
      <c r="P164" s="70"/>
    </row>
    <row r="165" spans="1:19" s="2" customFormat="1" x14ac:dyDescent="0.2">
      <c r="A165" s="24"/>
      <c r="B165" s="1"/>
      <c r="C165" s="78" t="s">
        <v>577</v>
      </c>
      <c r="D165" s="109">
        <f>D156+D163</f>
        <v>2691.69</v>
      </c>
      <c r="E165" s="104"/>
      <c r="G165" s="30"/>
      <c r="H165" s="30"/>
      <c r="I165" s="70"/>
      <c r="J165" s="113"/>
      <c r="K165" s="113" t="s">
        <v>709</v>
      </c>
      <c r="L165" s="113" t="s">
        <v>710</v>
      </c>
      <c r="M165" s="113" t="s">
        <v>711</v>
      </c>
      <c r="N165" s="113" t="s">
        <v>712</v>
      </c>
      <c r="O165" s="70"/>
      <c r="P165" s="70"/>
    </row>
    <row r="166" spans="1:19" s="2" customFormat="1" x14ac:dyDescent="0.2">
      <c r="A166" s="24"/>
      <c r="B166" s="1"/>
      <c r="C166" s="56"/>
      <c r="D166" s="56"/>
      <c r="E166" s="104"/>
      <c r="G166" s="30"/>
      <c r="H166" s="30"/>
      <c r="I166" s="70"/>
      <c r="J166" s="113" t="s">
        <v>1860</v>
      </c>
      <c r="K166" s="115">
        <v>191.98999999999998</v>
      </c>
      <c r="L166" s="115">
        <v>27.85</v>
      </c>
      <c r="M166" s="115">
        <v>0</v>
      </c>
      <c r="N166" s="113">
        <f>+K166+M166-L166</f>
        <v>164.14</v>
      </c>
      <c r="O166" s="70"/>
      <c r="P166" s="70"/>
    </row>
    <row r="167" spans="1:19" s="2" customFormat="1" ht="38.25" x14ac:dyDescent="0.2">
      <c r="A167" s="24"/>
      <c r="B167" s="1"/>
      <c r="C167" s="79" t="str">
        <f>"Particulars ( 01-02-2024 to "&amp;TEXT(A5,"dd-mm-yyyy")&amp;" )"</f>
        <v>Particulars ( 01-02-2024 to 23-02-2024 )</v>
      </c>
      <c r="D167" s="79" t="s">
        <v>7</v>
      </c>
      <c r="E167" s="80" t="s">
        <v>73</v>
      </c>
      <c r="F167" s="80" t="s">
        <v>74</v>
      </c>
      <c r="G167" s="81" t="s">
        <v>75</v>
      </c>
      <c r="H167" s="80" t="s">
        <v>76</v>
      </c>
      <c r="I167" s="70"/>
      <c r="J167" s="113" t="s">
        <v>1861</v>
      </c>
      <c r="K167" s="115">
        <v>1862.06</v>
      </c>
      <c r="L167" s="115">
        <v>857.1</v>
      </c>
      <c r="M167" s="115">
        <v>691.3</v>
      </c>
      <c r="N167" s="113">
        <f>+K167+M167-L167</f>
        <v>1696.2599999999998</v>
      </c>
      <c r="O167" s="70"/>
      <c r="P167" s="70"/>
    </row>
    <row r="168" spans="1:19" s="2" customFormat="1" x14ac:dyDescent="0.2">
      <c r="A168" s="24"/>
      <c r="B168" s="1"/>
      <c r="C168" s="50" t="s">
        <v>444</v>
      </c>
      <c r="D168" s="55">
        <f>+K168</f>
        <v>332.44</v>
      </c>
      <c r="E168" s="55">
        <f>+IF(M168=0,0,M168)</f>
        <v>186.2</v>
      </c>
      <c r="F168" s="55">
        <f>+L168</f>
        <v>154.02000000000001</v>
      </c>
      <c r="G168" s="55">
        <f>+D168+E168-F168</f>
        <v>364.62</v>
      </c>
      <c r="H168" s="55">
        <f>1500-G168</f>
        <v>1135.3800000000001</v>
      </c>
      <c r="I168" s="70">
        <f>+IF(M168=0,0,M168)</f>
        <v>186.2</v>
      </c>
      <c r="J168" s="113" t="s">
        <v>707</v>
      </c>
      <c r="K168" s="115">
        <v>332.44</v>
      </c>
      <c r="L168" s="115">
        <v>154.02000000000001</v>
      </c>
      <c r="M168" s="115">
        <v>186.2</v>
      </c>
      <c r="N168" s="113">
        <f>+K168+M168-L168</f>
        <v>364.62</v>
      </c>
      <c r="O168" s="70"/>
      <c r="P168" s="70"/>
    </row>
    <row r="169" spans="1:19" s="2" customFormat="1" x14ac:dyDescent="0.2">
      <c r="A169" s="24"/>
      <c r="B169" s="1"/>
      <c r="C169" s="50" t="s">
        <v>71</v>
      </c>
      <c r="D169" s="55">
        <f>+K166+K167</f>
        <v>2054.0499999999997</v>
      </c>
      <c r="E169" s="55">
        <f>+M166+M167</f>
        <v>691.3</v>
      </c>
      <c r="F169" s="55">
        <f>+L166+L167</f>
        <v>884.95</v>
      </c>
      <c r="G169" s="55">
        <f>+D169+E169-F169</f>
        <v>1860.3999999999994</v>
      </c>
      <c r="H169" s="55">
        <f>1500+700+200-G169</f>
        <v>539.60000000000059</v>
      </c>
      <c r="I169" s="70"/>
      <c r="K169" s="118">
        <f>SUM(K166:K168)</f>
        <v>2386.4899999999998</v>
      </c>
      <c r="L169" s="118">
        <f>SUM(L166:L168)</f>
        <v>1038.97</v>
      </c>
      <c r="M169" s="118">
        <f>SUM(M166:M168)</f>
        <v>877.5</v>
      </c>
      <c r="N169" s="118">
        <f>SUM(N166:N168)</f>
        <v>2225.0199999999995</v>
      </c>
      <c r="O169" s="70"/>
      <c r="P169" s="70"/>
    </row>
    <row r="170" spans="1:19" s="2" customFormat="1" x14ac:dyDescent="0.2">
      <c r="A170" s="24"/>
      <c r="B170" s="1"/>
      <c r="C170" s="14"/>
      <c r="D170" s="56"/>
      <c r="E170" s="13"/>
      <c r="G170" s="30"/>
      <c r="H170" s="30"/>
      <c r="I170" s="70"/>
      <c r="J170" s="70"/>
      <c r="K170" s="70"/>
      <c r="L170" s="70"/>
      <c r="M170" s="70"/>
      <c r="N170" s="70"/>
      <c r="O170" s="70"/>
      <c r="P170" s="70"/>
    </row>
    <row r="171" spans="1:19" s="2" customFormat="1" x14ac:dyDescent="0.2">
      <c r="A171" s="215" t="s">
        <v>80</v>
      </c>
      <c r="B171" s="216"/>
      <c r="C171" s="216"/>
      <c r="D171" s="217"/>
      <c r="E171" s="69"/>
      <c r="F171" s="70"/>
      <c r="G171" s="30"/>
      <c r="H171" s="30"/>
      <c r="I171" s="70"/>
      <c r="J171" s="70"/>
      <c r="K171" s="70"/>
      <c r="L171" s="70"/>
      <c r="M171" s="70"/>
      <c r="N171" s="70"/>
      <c r="O171" s="70"/>
      <c r="P171" s="70"/>
    </row>
    <row r="172" spans="1:19" s="2" customFormat="1" x14ac:dyDescent="0.2">
      <c r="A172" s="71" t="s">
        <v>81</v>
      </c>
      <c r="B172" s="71"/>
      <c r="C172" s="72" t="s">
        <v>82</v>
      </c>
      <c r="D172" s="73" t="s">
        <v>83</v>
      </c>
      <c r="E172" s="69"/>
      <c r="F172" s="70"/>
      <c r="G172" s="30"/>
      <c r="H172" s="30"/>
      <c r="I172" s="70"/>
      <c r="J172" s="70"/>
      <c r="K172" s="70"/>
      <c r="L172" s="70"/>
      <c r="M172" s="70"/>
      <c r="N172" s="70"/>
      <c r="O172" s="70"/>
      <c r="P172" s="70"/>
    </row>
    <row r="173" spans="1:19" s="2" customFormat="1" x14ac:dyDescent="0.2">
      <c r="A173" s="87">
        <v>45323</v>
      </c>
      <c r="B173" s="120" t="s">
        <v>6</v>
      </c>
      <c r="C173" s="75" t="s">
        <v>18</v>
      </c>
      <c r="D173" s="88">
        <v>881220</v>
      </c>
      <c r="G173" s="30"/>
      <c r="H173" s="30"/>
      <c r="M173" s="41"/>
      <c r="N173" s="42"/>
      <c r="O173" s="70"/>
      <c r="P173" s="70"/>
    </row>
    <row r="174" spans="1:19" s="2" customFormat="1" x14ac:dyDescent="0.2">
      <c r="A174" s="87">
        <v>45324</v>
      </c>
      <c r="B174" s="120" t="s">
        <v>6</v>
      </c>
      <c r="C174" s="75" t="s">
        <v>270</v>
      </c>
      <c r="D174" s="88">
        <v>47729</v>
      </c>
      <c r="G174" s="30"/>
      <c r="H174" s="30"/>
      <c r="M174" s="41"/>
      <c r="N174" s="42"/>
      <c r="P174" s="70"/>
    </row>
    <row r="175" spans="1:19" s="2" customFormat="1" x14ac:dyDescent="0.2">
      <c r="A175" s="87">
        <v>45327</v>
      </c>
      <c r="B175" s="120" t="s">
        <v>6</v>
      </c>
      <c r="C175" s="75" t="s">
        <v>271</v>
      </c>
      <c r="D175" s="88">
        <v>56647</v>
      </c>
      <c r="G175" s="30"/>
      <c r="H175" s="30"/>
      <c r="M175" s="41"/>
      <c r="N175" s="42"/>
      <c r="P175" s="70"/>
    </row>
    <row r="176" spans="1:19" s="2" customFormat="1" x14ac:dyDescent="0.2">
      <c r="A176" s="87">
        <v>45328</v>
      </c>
      <c r="B176" s="120" t="s">
        <v>6</v>
      </c>
      <c r="C176" s="75" t="s">
        <v>87</v>
      </c>
      <c r="D176" s="88">
        <v>1312580</v>
      </c>
      <c r="G176" s="30"/>
      <c r="H176" s="30"/>
      <c r="M176" s="41"/>
      <c r="N176" s="42"/>
      <c r="P176" s="70"/>
    </row>
    <row r="177" spans="1:16" s="2" customFormat="1" x14ac:dyDescent="0.2">
      <c r="A177" s="87">
        <v>45329</v>
      </c>
      <c r="B177" s="120" t="s">
        <v>6</v>
      </c>
      <c r="C177" s="75" t="s">
        <v>18</v>
      </c>
      <c r="D177" s="88">
        <v>548859</v>
      </c>
      <c r="G177" s="30"/>
      <c r="H177" s="30"/>
      <c r="M177" s="41"/>
      <c r="N177" s="42"/>
      <c r="P177" s="70"/>
    </row>
    <row r="178" spans="1:16" s="2" customFormat="1" x14ac:dyDescent="0.2">
      <c r="A178" s="87">
        <v>45332</v>
      </c>
      <c r="B178" s="120" t="s">
        <v>6</v>
      </c>
      <c r="C178" s="75" t="s">
        <v>594</v>
      </c>
      <c r="D178" s="88">
        <v>1603904</v>
      </c>
      <c r="G178" s="30"/>
      <c r="H178" s="30"/>
      <c r="M178" s="41"/>
      <c r="N178" s="42"/>
      <c r="P178" s="70"/>
    </row>
    <row r="179" spans="1:16" s="2" customFormat="1" x14ac:dyDescent="0.2">
      <c r="A179" s="87">
        <v>45334</v>
      </c>
      <c r="B179" s="120" t="s">
        <v>6</v>
      </c>
      <c r="C179" s="75" t="s">
        <v>270</v>
      </c>
      <c r="D179" s="88">
        <v>126143</v>
      </c>
      <c r="G179" s="30"/>
      <c r="H179" s="30"/>
      <c r="M179" s="41"/>
      <c r="N179" s="42"/>
      <c r="P179" s="70"/>
    </row>
    <row r="180" spans="1:16" s="2" customFormat="1" x14ac:dyDescent="0.2">
      <c r="A180" s="87">
        <v>45334</v>
      </c>
      <c r="B180" s="120" t="s">
        <v>6</v>
      </c>
      <c r="C180" s="75" t="s">
        <v>323</v>
      </c>
      <c r="D180" s="88">
        <v>231107</v>
      </c>
      <c r="G180" s="30"/>
      <c r="H180" s="30"/>
      <c r="M180" s="41"/>
      <c r="N180" s="42"/>
      <c r="P180" s="70"/>
    </row>
    <row r="181" spans="1:16" s="2" customFormat="1" x14ac:dyDescent="0.2">
      <c r="A181" s="87">
        <v>45335</v>
      </c>
      <c r="B181" s="120" t="s">
        <v>6</v>
      </c>
      <c r="C181" s="75" t="s">
        <v>271</v>
      </c>
      <c r="D181" s="88">
        <v>9126</v>
      </c>
      <c r="G181" s="30"/>
      <c r="H181" s="30"/>
      <c r="P181" s="70"/>
    </row>
    <row r="182" spans="1:16" s="2" customFormat="1" x14ac:dyDescent="0.2">
      <c r="A182" s="87">
        <v>45336</v>
      </c>
      <c r="B182" s="120" t="s">
        <v>6</v>
      </c>
      <c r="C182" s="75" t="s">
        <v>18</v>
      </c>
      <c r="D182" s="88">
        <v>1067908</v>
      </c>
      <c r="G182" s="30"/>
      <c r="H182" s="30"/>
      <c r="P182" s="70"/>
    </row>
    <row r="183" spans="1:16" s="2" customFormat="1" x14ac:dyDescent="0.2">
      <c r="A183" s="87">
        <v>45337</v>
      </c>
      <c r="B183" s="120" t="s">
        <v>6</v>
      </c>
      <c r="C183" s="75" t="s">
        <v>201</v>
      </c>
      <c r="D183" s="88">
        <v>78251</v>
      </c>
      <c r="F183" s="2" t="s">
        <v>396</v>
      </c>
      <c r="G183" s="30"/>
      <c r="H183" s="30"/>
      <c r="P183" s="70"/>
    </row>
    <row r="184" spans="1:16" s="2" customFormat="1" x14ac:dyDescent="0.2">
      <c r="A184" s="87">
        <v>45337</v>
      </c>
      <c r="B184" s="120" t="s">
        <v>6</v>
      </c>
      <c r="C184" s="75" t="s">
        <v>271</v>
      </c>
      <c r="D184" s="88">
        <v>17527</v>
      </c>
      <c r="G184" s="30"/>
      <c r="H184" s="30"/>
      <c r="P184" s="70"/>
    </row>
    <row r="185" spans="1:16" s="2" customFormat="1" x14ac:dyDescent="0.2">
      <c r="A185" s="87">
        <v>45338</v>
      </c>
      <c r="B185" s="120" t="s">
        <v>6</v>
      </c>
      <c r="C185" s="75" t="s">
        <v>1789</v>
      </c>
      <c r="D185" s="88">
        <v>1418915</v>
      </c>
      <c r="F185" s="2" t="s">
        <v>396</v>
      </c>
      <c r="G185" s="30"/>
      <c r="H185" s="30"/>
      <c r="P185" s="70"/>
    </row>
    <row r="186" spans="1:16" s="2" customFormat="1" x14ac:dyDescent="0.2">
      <c r="A186" s="87">
        <v>45338</v>
      </c>
      <c r="B186" s="120" t="s">
        <v>6</v>
      </c>
      <c r="C186" s="75" t="s">
        <v>87</v>
      </c>
      <c r="D186" s="88">
        <v>3685988</v>
      </c>
      <c r="G186" s="30"/>
      <c r="H186" s="30"/>
      <c r="P186" s="70"/>
    </row>
    <row r="187" spans="1:16" s="2" customFormat="1" x14ac:dyDescent="0.2">
      <c r="A187" s="87">
        <v>45339</v>
      </c>
      <c r="B187" s="120" t="s">
        <v>6</v>
      </c>
      <c r="C187" s="75" t="s">
        <v>271</v>
      </c>
      <c r="D187" s="88">
        <v>423618</v>
      </c>
      <c r="G187" s="30"/>
      <c r="H187" s="30"/>
      <c r="P187" s="70"/>
    </row>
    <row r="188" spans="1:16" s="2" customFormat="1" x14ac:dyDescent="0.2">
      <c r="A188" s="87">
        <v>45339</v>
      </c>
      <c r="B188" s="120" t="s">
        <v>6</v>
      </c>
      <c r="C188" s="2" t="s">
        <v>18</v>
      </c>
      <c r="D188" s="88">
        <v>875762</v>
      </c>
      <c r="G188" s="30"/>
      <c r="H188" s="30"/>
      <c r="P188" s="70"/>
    </row>
    <row r="189" spans="1:16" s="2" customFormat="1" x14ac:dyDescent="0.2">
      <c r="A189" s="87">
        <v>45341</v>
      </c>
      <c r="B189" s="120" t="s">
        <v>6</v>
      </c>
      <c r="C189" s="2" t="s">
        <v>271</v>
      </c>
      <c r="D189" s="88">
        <v>121500</v>
      </c>
      <c r="G189" s="30"/>
      <c r="H189" s="30"/>
      <c r="P189" s="70"/>
    </row>
    <row r="190" spans="1:16" s="2" customFormat="1" x14ac:dyDescent="0.2">
      <c r="A190" s="87">
        <v>45341</v>
      </c>
      <c r="B190" s="120" t="s">
        <v>6</v>
      </c>
      <c r="C190" s="75" t="s">
        <v>270</v>
      </c>
      <c r="D190" s="88">
        <v>58247.99</v>
      </c>
      <c r="G190" s="30"/>
      <c r="H190" s="30"/>
      <c r="P190" s="70"/>
    </row>
    <row r="191" spans="1:16" s="2" customFormat="1" x14ac:dyDescent="0.2">
      <c r="A191" s="87">
        <v>45341</v>
      </c>
      <c r="B191" s="120" t="s">
        <v>6</v>
      </c>
      <c r="C191" s="75" t="s">
        <v>88</v>
      </c>
      <c r="D191" s="88">
        <v>5824017.3399999999</v>
      </c>
      <c r="G191" s="30"/>
      <c r="H191" s="30"/>
      <c r="P191" s="70"/>
    </row>
    <row r="192" spans="1:16" s="2" customFormat="1" x14ac:dyDescent="0.2">
      <c r="A192" s="87">
        <v>45341</v>
      </c>
      <c r="B192" s="120" t="s">
        <v>6</v>
      </c>
      <c r="C192" s="75" t="s">
        <v>270</v>
      </c>
      <c r="D192" s="88">
        <v>164904</v>
      </c>
      <c r="G192" s="30"/>
      <c r="H192" s="30"/>
      <c r="P192" s="70"/>
    </row>
    <row r="193" spans="1:16" s="2" customFormat="1" x14ac:dyDescent="0.2">
      <c r="A193" s="87">
        <v>45342</v>
      </c>
      <c r="B193" s="120" t="s">
        <v>6</v>
      </c>
      <c r="C193" s="75" t="s">
        <v>201</v>
      </c>
      <c r="D193" s="88">
        <v>6536518</v>
      </c>
      <c r="G193" s="30"/>
      <c r="H193" s="30"/>
      <c r="P193" s="70"/>
    </row>
    <row r="194" spans="1:16" s="2" customFormat="1" x14ac:dyDescent="0.2">
      <c r="A194" s="87">
        <v>45343</v>
      </c>
      <c r="B194" s="120" t="s">
        <v>6</v>
      </c>
      <c r="C194" s="75" t="s">
        <v>84</v>
      </c>
      <c r="D194" s="88">
        <v>2997902</v>
      </c>
      <c r="G194" s="30"/>
      <c r="H194" s="30"/>
      <c r="P194" s="70"/>
    </row>
    <row r="195" spans="1:16" s="2" customFormat="1" x14ac:dyDescent="0.2">
      <c r="A195" s="87">
        <v>45343</v>
      </c>
      <c r="B195" s="120" t="s">
        <v>6</v>
      </c>
      <c r="C195" s="75" t="s">
        <v>201</v>
      </c>
      <c r="D195" s="88">
        <v>15000146.5</v>
      </c>
      <c r="G195" s="30"/>
      <c r="H195" s="30"/>
      <c r="P195" s="70"/>
    </row>
    <row r="196" spans="1:16" s="2" customFormat="1" x14ac:dyDescent="0.2">
      <c r="A196" s="87">
        <v>45343</v>
      </c>
      <c r="B196" s="120" t="s">
        <v>6</v>
      </c>
      <c r="C196" s="75" t="s">
        <v>84</v>
      </c>
      <c r="D196" s="88">
        <v>2098</v>
      </c>
      <c r="G196" s="30"/>
      <c r="H196" s="30"/>
      <c r="P196" s="70"/>
    </row>
    <row r="197" spans="1:16" s="2" customFormat="1" x14ac:dyDescent="0.2">
      <c r="A197" s="87">
        <v>45343</v>
      </c>
      <c r="B197" s="120" t="s">
        <v>6</v>
      </c>
      <c r="C197" s="75" t="s">
        <v>18</v>
      </c>
      <c r="D197" s="88">
        <v>465686</v>
      </c>
      <c r="G197" s="30"/>
      <c r="H197" s="30"/>
      <c r="P197" s="70"/>
    </row>
    <row r="198" spans="1:16" s="2" customFormat="1" x14ac:dyDescent="0.2">
      <c r="A198" s="87">
        <v>45344</v>
      </c>
      <c r="B198" s="120" t="s">
        <v>6</v>
      </c>
      <c r="C198" s="75" t="s">
        <v>86</v>
      </c>
      <c r="D198" s="88">
        <v>107495</v>
      </c>
      <c r="G198" s="30"/>
      <c r="H198" s="30"/>
      <c r="P198" s="70"/>
    </row>
    <row r="199" spans="1:16" s="2" customFormat="1" x14ac:dyDescent="0.2">
      <c r="A199" s="87">
        <v>45345</v>
      </c>
      <c r="B199" s="120" t="s">
        <v>6</v>
      </c>
      <c r="C199" s="75" t="s">
        <v>87</v>
      </c>
      <c r="D199" s="88">
        <v>6959736</v>
      </c>
      <c r="G199" s="30"/>
      <c r="H199" s="30"/>
      <c r="P199" s="70"/>
    </row>
    <row r="200" spans="1:16" s="2" customFormat="1" x14ac:dyDescent="0.2">
      <c r="A200" s="87">
        <v>45345</v>
      </c>
      <c r="B200" s="120" t="s">
        <v>6</v>
      </c>
      <c r="C200" s="75" t="s">
        <v>271</v>
      </c>
      <c r="D200" s="88">
        <v>718415</v>
      </c>
      <c r="G200" s="30"/>
      <c r="H200" s="30"/>
      <c r="P200" s="70"/>
    </row>
    <row r="201" spans="1:16" s="2" customFormat="1" x14ac:dyDescent="0.2">
      <c r="A201" s="87"/>
      <c r="B201" s="74"/>
      <c r="C201" s="75"/>
      <c r="D201" s="51">
        <f>SUM(D173:D200)</f>
        <v>51341949.829999998</v>
      </c>
      <c r="F201" s="2" t="s">
        <v>396</v>
      </c>
      <c r="G201" s="1"/>
      <c r="H201" s="1"/>
      <c r="P201" s="70"/>
    </row>
    <row r="202" spans="1:16" s="2" customFormat="1" x14ac:dyDescent="0.2">
      <c r="A202" s="24"/>
      <c r="B202" s="1"/>
      <c r="C202" s="14"/>
      <c r="D202" s="56"/>
      <c r="E202" s="13"/>
      <c r="G202" s="1"/>
      <c r="H202" s="1"/>
      <c r="I202" s="2" t="s">
        <v>396</v>
      </c>
    </row>
    <row r="203" spans="1:16" s="2" customFormat="1" x14ac:dyDescent="0.2">
      <c r="A203" s="24"/>
      <c r="B203" s="1"/>
      <c r="C203" s="218" t="s">
        <v>77</v>
      </c>
      <c r="D203" s="219"/>
      <c r="E203" s="219"/>
      <c r="F203" s="220"/>
      <c r="I203" s="2" t="s">
        <v>396</v>
      </c>
    </row>
    <row r="204" spans="1:16" s="2" customFormat="1" x14ac:dyDescent="0.2">
      <c r="A204" s="24"/>
      <c r="B204" s="1"/>
      <c r="C204" s="50"/>
      <c r="D204" s="57" t="s">
        <v>78</v>
      </c>
      <c r="E204" s="58" t="s">
        <v>79</v>
      </c>
      <c r="F204" s="57" t="s">
        <v>72</v>
      </c>
    </row>
    <row r="205" spans="1:16" s="2" customFormat="1" x14ac:dyDescent="0.2">
      <c r="A205" s="24"/>
      <c r="B205" s="1"/>
      <c r="C205" s="59" t="str">
        <f>"01-02-2024 to "&amp;TEXT(A5-2,"dd-mm-yyyy")</f>
        <v>01-02-2024 to 21-02-2024</v>
      </c>
      <c r="D205" s="60">
        <v>2625.82</v>
      </c>
      <c r="E205" s="60">
        <v>467.08</v>
      </c>
      <c r="F205" s="61">
        <f>SUM(D205:E205)</f>
        <v>3092.9</v>
      </c>
      <c r="I205" s="53"/>
    </row>
    <row r="206" spans="1:16" s="2" customFormat="1" x14ac:dyDescent="0.2">
      <c r="A206" s="24"/>
      <c r="B206" s="1"/>
      <c r="C206" s="62" t="str">
        <f>TEXT(A5-1,"dd-mm-yyyy")</f>
        <v>22-02-2024</v>
      </c>
      <c r="D206" s="60">
        <v>161.72</v>
      </c>
      <c r="E206" s="60">
        <v>33.93</v>
      </c>
      <c r="F206" s="61">
        <f>SUM(D206:E206)</f>
        <v>195.65</v>
      </c>
      <c r="G206" s="1"/>
      <c r="H206" s="1"/>
      <c r="I206" s="53"/>
    </row>
    <row r="207" spans="1:16" s="2" customFormat="1" ht="13.5" thickBot="1" x14ac:dyDescent="0.25">
      <c r="A207" s="24"/>
      <c r="B207" s="1"/>
      <c r="C207" s="63" t="str">
        <f>"01-02-2024 to "&amp;TEXT(A5-1,"dd-mm-yyyy")</f>
        <v>01-02-2024 to 22-02-2024</v>
      </c>
      <c r="D207" s="64">
        <f>SUM(D205:D206)</f>
        <v>2787.54</v>
      </c>
      <c r="E207" s="64">
        <f>SUM(E205:E206)</f>
        <v>501.01</v>
      </c>
      <c r="F207" s="64">
        <f>SUM(F205:F206)</f>
        <v>3288.55</v>
      </c>
      <c r="G207" s="1"/>
      <c r="H207" s="1"/>
      <c r="M207" s="1"/>
      <c r="N207" s="1"/>
    </row>
    <row r="208" spans="1:16" s="2" customFormat="1" ht="13.5" thickTop="1" x14ac:dyDescent="0.2">
      <c r="A208" s="24"/>
      <c r="B208" s="1"/>
      <c r="C208" s="62"/>
      <c r="D208" s="65"/>
      <c r="E208" s="66"/>
      <c r="F208" s="67"/>
      <c r="M208" s="1"/>
      <c r="N208" s="1"/>
    </row>
    <row r="209" spans="1:19" s="2" customFormat="1" x14ac:dyDescent="0.2">
      <c r="A209" s="24"/>
      <c r="B209" s="1"/>
      <c r="C209" s="62" t="str">
        <f>"01-04-2023 to " &amp;C206</f>
        <v>01-04-2023 to 22-02-2024</v>
      </c>
      <c r="D209" s="68">
        <f>+D207+37155.6</f>
        <v>39943.14</v>
      </c>
      <c r="E209" s="68">
        <f>+E207+4502.26</f>
        <v>5003.2700000000004</v>
      </c>
      <c r="F209" s="68">
        <f>+F207+41657.86</f>
        <v>44946.41</v>
      </c>
      <c r="G209" s="1"/>
      <c r="H209" s="1"/>
      <c r="M209" s="1"/>
      <c r="N209" s="1"/>
    </row>
    <row r="210" spans="1:19" s="2" customFormat="1" x14ac:dyDescent="0.2">
      <c r="A210" s="24"/>
      <c r="B210" s="1"/>
      <c r="C210" s="52"/>
      <c r="D210" s="85"/>
      <c r="E210" s="53"/>
      <c r="F210" s="53"/>
      <c r="G210" s="1"/>
      <c r="H210" s="1"/>
      <c r="M210" s="1"/>
      <c r="N210" s="1"/>
    </row>
    <row r="211" spans="1:19" s="2" customFormat="1" x14ac:dyDescent="0.2">
      <c r="A211" s="24"/>
      <c r="B211" s="1"/>
      <c r="C211" s="52"/>
      <c r="D211" s="85"/>
      <c r="E211" s="53"/>
      <c r="F211" s="53"/>
      <c r="G211" s="1"/>
      <c r="H211" s="1"/>
      <c r="M211" s="1"/>
      <c r="N211" s="1"/>
    </row>
    <row r="212" spans="1:19" s="2" customFormat="1" x14ac:dyDescent="0.2">
      <c r="A212" s="24"/>
      <c r="B212" s="1"/>
      <c r="C212" s="52"/>
      <c r="D212" s="85"/>
      <c r="E212" s="53"/>
      <c r="F212" s="53"/>
      <c r="G212" s="1"/>
      <c r="H212" s="1"/>
      <c r="M212" s="1"/>
      <c r="N212" s="1"/>
    </row>
    <row r="213" spans="1:19" s="2" customFormat="1" x14ac:dyDescent="0.2">
      <c r="A213" s="24"/>
      <c r="B213" s="1"/>
      <c r="C213" s="52"/>
      <c r="D213" s="85"/>
      <c r="E213" s="53"/>
      <c r="F213" s="53"/>
      <c r="G213" s="1"/>
      <c r="H213" s="1"/>
      <c r="M213" s="1"/>
      <c r="N213" s="1"/>
    </row>
    <row r="214" spans="1:19" s="2" customFormat="1" x14ac:dyDescent="0.2">
      <c r="A214" s="24"/>
      <c r="B214" s="1"/>
      <c r="C214" s="14"/>
      <c r="D214" s="25">
        <f>SUM(D211:D213)</f>
        <v>0</v>
      </c>
      <c r="E214" s="2">
        <f>SUM(E211:E213)</f>
        <v>0</v>
      </c>
      <c r="G214" s="1"/>
      <c r="H214" s="1"/>
      <c r="M214" s="1"/>
      <c r="N214" s="1"/>
    </row>
    <row r="215" spans="1:19" s="2" customFormat="1" x14ac:dyDescent="0.2">
      <c r="A215" s="24"/>
      <c r="B215" s="1"/>
      <c r="C215" s="14"/>
      <c r="D215" s="25"/>
      <c r="G215" s="1"/>
      <c r="H215" s="1"/>
      <c r="M215" s="1"/>
      <c r="N215" s="1"/>
    </row>
    <row r="216" spans="1:19" s="2" customFormat="1" x14ac:dyDescent="0.2">
      <c r="A216" s="24"/>
      <c r="B216" s="1"/>
      <c r="C216" s="14"/>
      <c r="D216" s="25"/>
      <c r="G216" s="1"/>
      <c r="H216" s="1"/>
      <c r="M216" s="1"/>
      <c r="N216" s="1"/>
    </row>
    <row r="217" spans="1:19" s="2" customFormat="1" x14ac:dyDescent="0.2">
      <c r="A217" s="24"/>
      <c r="B217" s="1"/>
      <c r="C217" s="14"/>
      <c r="D217" s="25"/>
      <c r="G217" s="1"/>
      <c r="H217" s="1"/>
      <c r="M217" s="1"/>
      <c r="N217" s="1"/>
    </row>
    <row r="218" spans="1:19" s="2" customFormat="1" x14ac:dyDescent="0.2">
      <c r="A218" s="24"/>
      <c r="B218" s="1"/>
      <c r="C218" s="14"/>
      <c r="D218" s="25"/>
      <c r="G218" s="1"/>
      <c r="H218" s="1"/>
      <c r="M218" s="1"/>
      <c r="N218" s="1"/>
    </row>
    <row r="219" spans="1:19" s="2" customFormat="1" x14ac:dyDescent="0.2">
      <c r="A219" s="24"/>
      <c r="B219" s="1"/>
      <c r="C219" s="14"/>
      <c r="D219" s="25"/>
      <c r="G219" s="1"/>
      <c r="H219" s="1"/>
      <c r="M219" s="1"/>
      <c r="N219" s="1"/>
    </row>
    <row r="220" spans="1:19" s="2" customFormat="1" x14ac:dyDescent="0.2">
      <c r="A220" s="24"/>
      <c r="B220" s="1"/>
      <c r="C220" s="14"/>
      <c r="D220" s="25"/>
      <c r="G220" s="1"/>
      <c r="H220" s="1"/>
      <c r="M220" s="1"/>
      <c r="N220" s="1"/>
    </row>
    <row r="221" spans="1:19" s="2" customFormat="1" x14ac:dyDescent="0.2">
      <c r="A221" s="24"/>
      <c r="B221" s="1"/>
      <c r="C221" s="14"/>
      <c r="D221" s="25"/>
      <c r="G221" s="1"/>
      <c r="H221" s="1"/>
      <c r="M221" s="1"/>
      <c r="N221" s="1"/>
      <c r="Q221" s="1"/>
      <c r="R221" s="1"/>
      <c r="S221" s="1"/>
    </row>
    <row r="222" spans="1:19" x14ac:dyDescent="0.2">
      <c r="J222" s="2"/>
      <c r="K222" s="2"/>
      <c r="L222" s="2"/>
      <c r="O222" s="2"/>
      <c r="P222" s="2"/>
      <c r="Q222" s="2"/>
      <c r="R222" s="2"/>
      <c r="S222" s="2"/>
    </row>
    <row r="223" spans="1:19" s="2" customFormat="1" x14ac:dyDescent="0.2">
      <c r="A223" s="24"/>
      <c r="B223" s="1"/>
      <c r="C223" s="14"/>
      <c r="D223" s="25"/>
      <c r="G223" s="1"/>
      <c r="H223" s="1"/>
      <c r="M223" s="1"/>
      <c r="N223" s="1"/>
      <c r="Q223" s="1"/>
      <c r="R223" s="1"/>
      <c r="S223" s="1"/>
    </row>
    <row r="224" spans="1:19" x14ac:dyDescent="0.2">
      <c r="J224" s="2"/>
      <c r="K224" s="2"/>
      <c r="L224" s="2"/>
      <c r="O224" s="2"/>
      <c r="P224" s="2"/>
    </row>
    <row r="225" spans="7:16" x14ac:dyDescent="0.2">
      <c r="J225" s="2"/>
      <c r="K225" s="2"/>
      <c r="L225" s="2"/>
      <c r="O225" s="2"/>
      <c r="P225" s="2"/>
    </row>
    <row r="226" spans="7:16" x14ac:dyDescent="0.2">
      <c r="J226" s="2"/>
      <c r="K226" s="2"/>
      <c r="L226" s="2"/>
      <c r="O226" s="2"/>
      <c r="P226" s="2"/>
    </row>
    <row r="227" spans="7:16" x14ac:dyDescent="0.2">
      <c r="J227" s="2"/>
      <c r="K227" s="2"/>
      <c r="L227" s="2"/>
      <c r="O227" s="2"/>
      <c r="P227" s="2"/>
    </row>
    <row r="228" spans="7:16" x14ac:dyDescent="0.2">
      <c r="O228" s="2"/>
      <c r="P228" s="2"/>
    </row>
    <row r="229" spans="7:16" x14ac:dyDescent="0.2">
      <c r="J229" s="2"/>
      <c r="K229" s="2"/>
      <c r="L229" s="2"/>
      <c r="M229" s="2"/>
      <c r="N229" s="2"/>
      <c r="O229" s="2"/>
      <c r="P229" s="2"/>
    </row>
    <row r="230" spans="7:16" x14ac:dyDescent="0.2">
      <c r="O230" s="2"/>
      <c r="P230" s="2"/>
    </row>
    <row r="231" spans="7:16" x14ac:dyDescent="0.2">
      <c r="G231" s="54"/>
      <c r="H231" s="54"/>
      <c r="O231" s="2"/>
      <c r="P231" s="2"/>
    </row>
    <row r="232" spans="7:16" x14ac:dyDescent="0.2">
      <c r="G232" s="54"/>
      <c r="H232" s="54"/>
      <c r="O232" s="2"/>
      <c r="P232" s="2"/>
    </row>
    <row r="233" spans="7:16" x14ac:dyDescent="0.2">
      <c r="G233" s="54"/>
      <c r="H233" s="54"/>
      <c r="O233" s="2"/>
      <c r="P233" s="2"/>
    </row>
    <row r="234" spans="7:16" x14ac:dyDescent="0.2">
      <c r="G234" s="54"/>
      <c r="H234" s="54"/>
      <c r="I234" s="2" t="s">
        <v>396</v>
      </c>
      <c r="O234" s="2"/>
      <c r="P234" s="2"/>
    </row>
    <row r="235" spans="7:16" x14ac:dyDescent="0.2">
      <c r="G235" s="54"/>
      <c r="H235" s="54"/>
      <c r="I235" s="53"/>
      <c r="J235" s="2"/>
      <c r="K235" s="2"/>
      <c r="L235" s="2"/>
      <c r="M235" s="2"/>
      <c r="N235" s="2"/>
      <c r="P235" s="2"/>
    </row>
    <row r="236" spans="7:16" x14ac:dyDescent="0.2">
      <c r="G236" s="54"/>
      <c r="H236" s="54"/>
      <c r="I236" s="53" t="s">
        <v>396</v>
      </c>
      <c r="O236" s="2"/>
      <c r="P236" s="2"/>
    </row>
    <row r="237" spans="7:16" x14ac:dyDescent="0.2">
      <c r="G237" s="54"/>
      <c r="H237" s="54"/>
      <c r="I237" s="53" t="s">
        <v>396</v>
      </c>
      <c r="K237" s="42"/>
      <c r="P237" s="2"/>
    </row>
    <row r="238" spans="7:16" x14ac:dyDescent="0.2">
      <c r="G238" s="54"/>
      <c r="H238" s="54"/>
      <c r="I238" s="53"/>
      <c r="J238" s="101"/>
      <c r="P238" s="2"/>
    </row>
    <row r="239" spans="7:16" x14ac:dyDescent="0.2">
      <c r="G239" s="54"/>
      <c r="H239" s="54"/>
      <c r="I239" s="53"/>
    </row>
    <row r="240" spans="7:16" x14ac:dyDescent="0.2">
      <c r="G240" s="54"/>
      <c r="H240" s="54"/>
      <c r="I240" s="53"/>
      <c r="P240" s="2"/>
    </row>
    <row r="241" spans="7:9" x14ac:dyDescent="0.2">
      <c r="G241" s="54"/>
      <c r="H241" s="54"/>
      <c r="I241" s="53"/>
    </row>
  </sheetData>
  <sheetProtection insertRows="0"/>
  <mergeCells count="8">
    <mergeCell ref="K164:L164"/>
    <mergeCell ref="A171:D171"/>
    <mergeCell ref="C203:F203"/>
    <mergeCell ref="A1:H1"/>
    <mergeCell ref="A3:F3"/>
    <mergeCell ref="A9:F9"/>
    <mergeCell ref="A25:F25"/>
    <mergeCell ref="A40:F40"/>
  </mergeCells>
  <conditionalFormatting sqref="H168:H169">
    <cfRule type="cellIs" dxfId="59" priority="1" operator="lessThan">
      <formula>0</formula>
    </cfRule>
  </conditionalFormatting>
  <conditionalFormatting sqref="C42">
    <cfRule type="duplicateValues" dxfId="58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1-000000000000}">
  <sheetPr codeName="Sheet557">
    <pageSetUpPr fitToPage="1"/>
  </sheetPr>
  <dimension ref="A1:S195"/>
  <sheetViews>
    <sheetView topLeftCell="A31" zoomScaleNormal="100" workbookViewId="0">
      <selection activeCell="C34" sqref="C34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12.85546875" style="1" customWidth="1"/>
    <col min="9" max="9" width="24.85546875" style="2" bestFit="1" customWidth="1"/>
    <col min="10" max="10" width="21.5703125" style="1" bestFit="1" customWidth="1"/>
    <col min="11" max="11" width="16.85546875" style="1" bestFit="1" customWidth="1"/>
    <col min="12" max="12" width="19.5703125" style="1" bestFit="1" customWidth="1"/>
    <col min="13" max="13" width="13.5703125" style="1" bestFit="1" customWidth="1"/>
    <col min="14" max="14" width="17.42578125" style="1" bestFit="1" customWidth="1"/>
    <col min="15" max="15" width="12.85546875" style="1" bestFit="1" customWidth="1"/>
    <col min="16" max="17" width="9.140625" style="1"/>
    <col min="18" max="18" width="15.5703125" style="1" bestFit="1" customWidth="1"/>
    <col min="19" max="16384" width="9.140625" style="1"/>
  </cols>
  <sheetData>
    <row r="1" spans="1:11" ht="20.25" customHeight="1" x14ac:dyDescent="0.4">
      <c r="A1" s="212" t="s">
        <v>2120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1" ht="12.75" customHeight="1" x14ac:dyDescent="0.4">
      <c r="I2" s="112"/>
      <c r="J2" s="112"/>
    </row>
    <row r="3" spans="1:11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1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1" s="2" customFormat="1" ht="14.25" customHeight="1" x14ac:dyDescent="0.4">
      <c r="A5" s="89">
        <v>45346</v>
      </c>
      <c r="B5" s="9" t="s">
        <v>6</v>
      </c>
      <c r="C5" s="10" t="s">
        <v>7</v>
      </c>
      <c r="D5" s="11"/>
      <c r="E5" s="12">
        <v>322570.6800000004</v>
      </c>
      <c r="F5" s="12"/>
      <c r="G5" s="1"/>
      <c r="H5" s="1"/>
      <c r="I5" s="112"/>
      <c r="J5" s="112"/>
    </row>
    <row r="6" spans="1:11" s="2" customFormat="1" ht="12.75" customHeight="1" x14ac:dyDescent="0.2">
      <c r="D6" s="15" t="s">
        <v>8</v>
      </c>
      <c r="E6" s="16">
        <f>SUM(E5:E5)</f>
        <v>322570.6800000004</v>
      </c>
      <c r="F6" s="16">
        <f>F5</f>
        <v>0</v>
      </c>
      <c r="G6" s="1"/>
      <c r="H6" s="1"/>
      <c r="I6" s="13" t="s">
        <v>1582</v>
      </c>
      <c r="J6" s="13" t="s">
        <v>1583</v>
      </c>
    </row>
    <row r="7" spans="1:11" s="2" customFormat="1" ht="12.75" customHeight="1" x14ac:dyDescent="0.2">
      <c r="A7" s="17"/>
      <c r="B7" s="18"/>
      <c r="C7" s="19" t="s">
        <v>9</v>
      </c>
      <c r="D7" s="20"/>
      <c r="E7" s="21">
        <f>+E6-F6</f>
        <v>322570.6800000004</v>
      </c>
      <c r="F7" s="22"/>
      <c r="G7" s="23"/>
      <c r="H7" s="23"/>
      <c r="I7" s="2">
        <v>10534493</v>
      </c>
      <c r="J7" s="2">
        <v>0</v>
      </c>
      <c r="K7" s="176">
        <f>I7-J7</f>
        <v>10534493</v>
      </c>
    </row>
    <row r="8" spans="1:11" ht="11.25" customHeight="1" x14ac:dyDescent="0.4">
      <c r="I8" s="112"/>
      <c r="J8" s="112"/>
    </row>
    <row r="9" spans="1:11" ht="18" customHeight="1" x14ac:dyDescent="0.4">
      <c r="A9" s="213" t="s">
        <v>2103</v>
      </c>
      <c r="B9" s="213"/>
      <c r="C9" s="213"/>
      <c r="D9" s="213"/>
      <c r="E9" s="213"/>
      <c r="F9" s="213"/>
      <c r="I9" s="112"/>
      <c r="J9" s="112"/>
    </row>
    <row r="10" spans="1:11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I10" s="112"/>
      <c r="J10" s="112"/>
    </row>
    <row r="11" spans="1:11" ht="12.75" customHeight="1" x14ac:dyDescent="0.4">
      <c r="A11" s="89">
        <v>45346</v>
      </c>
      <c r="B11" s="9" t="s">
        <v>6</v>
      </c>
      <c r="C11" s="10" t="s">
        <v>7</v>
      </c>
      <c r="D11" s="11"/>
      <c r="E11" s="12">
        <v>10731192.189999999</v>
      </c>
      <c r="F11" s="1"/>
      <c r="I11" s="112"/>
      <c r="J11" s="112"/>
    </row>
    <row r="12" spans="1:11" ht="12.75" customHeight="1" x14ac:dyDescent="0.4">
      <c r="A12" s="89">
        <v>45346</v>
      </c>
      <c r="B12" s="9" t="s">
        <v>6</v>
      </c>
      <c r="C12" s="76" t="s">
        <v>62</v>
      </c>
      <c r="D12" s="11" t="s">
        <v>13</v>
      </c>
      <c r="E12" s="31"/>
      <c r="F12" s="31">
        <v>136000</v>
      </c>
      <c r="I12" s="112"/>
      <c r="J12" s="112"/>
    </row>
    <row r="13" spans="1:11" ht="12.75" customHeight="1" x14ac:dyDescent="0.2">
      <c r="A13" s="2"/>
      <c r="B13" s="2"/>
      <c r="C13" s="2"/>
      <c r="D13" s="11" t="s">
        <v>8</v>
      </c>
      <c r="E13" s="16">
        <f>SUM(E11:E12)</f>
        <v>10731192.189999999</v>
      </c>
      <c r="F13" s="16">
        <f>SUM(F11:F12)</f>
        <v>136000</v>
      </c>
      <c r="I13" s="13" t="s">
        <v>1582</v>
      </c>
      <c r="J13" s="13" t="s">
        <v>1583</v>
      </c>
    </row>
    <row r="14" spans="1:11" ht="17.25" customHeight="1" x14ac:dyDescent="0.2">
      <c r="A14" s="17"/>
      <c r="B14" s="18"/>
      <c r="C14" s="19" t="s">
        <v>9</v>
      </c>
      <c r="D14" s="20"/>
      <c r="E14" s="21">
        <f>+E13-F13</f>
        <v>10595192.189999999</v>
      </c>
      <c r="I14" s="2">
        <v>0</v>
      </c>
      <c r="J14" s="2">
        <v>0</v>
      </c>
    </row>
    <row r="15" spans="1:11" ht="18" customHeight="1" x14ac:dyDescent="0.25">
      <c r="A15" s="36"/>
      <c r="B15" s="28"/>
      <c r="C15" s="44"/>
      <c r="D15" s="43"/>
      <c r="E15" s="38"/>
      <c r="F15" s="22"/>
      <c r="J15" s="2"/>
    </row>
    <row r="16" spans="1:11" ht="18" customHeight="1" x14ac:dyDescent="0.4">
      <c r="A16" s="213" t="s">
        <v>2104</v>
      </c>
      <c r="B16" s="213"/>
      <c r="C16" s="213"/>
      <c r="D16" s="213"/>
      <c r="E16" s="213"/>
      <c r="F16" s="213"/>
      <c r="I16" s="112"/>
      <c r="J16" s="169">
        <f>90000000-60000000</f>
        <v>30000000</v>
      </c>
      <c r="K16" s="169" t="s">
        <v>1508</v>
      </c>
    </row>
    <row r="17" spans="1:12" ht="12.75" customHeight="1" x14ac:dyDescent="0.4">
      <c r="A17" s="3" t="s">
        <v>1</v>
      </c>
      <c r="B17" s="4" t="s">
        <v>2</v>
      </c>
      <c r="C17" s="5"/>
      <c r="D17" s="6" t="s">
        <v>3</v>
      </c>
      <c r="E17" s="7" t="s">
        <v>4</v>
      </c>
      <c r="F17" s="7" t="s">
        <v>5</v>
      </c>
      <c r="I17" s="112"/>
      <c r="J17" s="169">
        <v>26270042.629999999</v>
      </c>
      <c r="K17" s="169" t="s">
        <v>1509</v>
      </c>
      <c r="L17" s="124"/>
    </row>
    <row r="18" spans="1:12" s="2" customFormat="1" ht="14.25" customHeight="1" x14ac:dyDescent="0.2">
      <c r="A18" s="89">
        <v>45346</v>
      </c>
      <c r="B18" s="9" t="s">
        <v>6</v>
      </c>
      <c r="C18" s="10" t="s">
        <v>7</v>
      </c>
      <c r="D18" s="11"/>
      <c r="F18" s="12">
        <v>29538756</v>
      </c>
      <c r="G18" s="1"/>
      <c r="H18" s="1"/>
      <c r="I18" s="130" t="s">
        <v>396</v>
      </c>
      <c r="J18" s="169">
        <f>+J16-J17</f>
        <v>3729957.370000001</v>
      </c>
      <c r="K18" s="169" t="s">
        <v>712</v>
      </c>
      <c r="L18" s="165" t="s">
        <v>1512</v>
      </c>
    </row>
    <row r="19" spans="1:12" s="2" customFormat="1" ht="14.25" customHeight="1" x14ac:dyDescent="0.2">
      <c r="A19" s="89">
        <v>45346</v>
      </c>
      <c r="B19" s="9" t="s">
        <v>6</v>
      </c>
      <c r="C19" s="76" t="s">
        <v>1819</v>
      </c>
      <c r="D19" s="11" t="s">
        <v>13</v>
      </c>
      <c r="E19" s="31">
        <v>3576831.24</v>
      </c>
      <c r="F19" s="31"/>
      <c r="G19" s="1"/>
      <c r="H19" s="1"/>
      <c r="I19" s="130"/>
      <c r="J19" s="169"/>
      <c r="K19" s="169"/>
      <c r="L19" s="165"/>
    </row>
    <row r="20" spans="1:12" s="2" customFormat="1" ht="14.25" customHeight="1" x14ac:dyDescent="0.2">
      <c r="A20" s="89">
        <v>45346</v>
      </c>
      <c r="B20" s="9" t="s">
        <v>11</v>
      </c>
      <c r="C20" s="76" t="s">
        <v>1462</v>
      </c>
      <c r="D20" s="11" t="s">
        <v>29</v>
      </c>
      <c r="E20" s="31"/>
      <c r="F20" s="31">
        <v>146301</v>
      </c>
      <c r="G20" s="1"/>
      <c r="H20" s="1"/>
      <c r="I20" s="130"/>
      <c r="J20" s="169"/>
      <c r="K20" s="169"/>
      <c r="L20" s="165"/>
    </row>
    <row r="21" spans="1:12" s="2" customFormat="1" ht="14.25" customHeight="1" x14ac:dyDescent="0.2">
      <c r="A21" s="89">
        <v>45346</v>
      </c>
      <c r="B21" s="9" t="s">
        <v>11</v>
      </c>
      <c r="C21" s="76" t="s">
        <v>1826</v>
      </c>
      <c r="D21" s="11" t="s">
        <v>29</v>
      </c>
      <c r="E21" s="31"/>
      <c r="F21" s="31">
        <v>82836</v>
      </c>
      <c r="G21" s="1"/>
      <c r="H21" s="1"/>
      <c r="I21" s="130"/>
      <c r="J21" s="169"/>
      <c r="K21" s="169"/>
      <c r="L21" s="165"/>
    </row>
    <row r="22" spans="1:12" s="2" customFormat="1" ht="14.25" customHeight="1" x14ac:dyDescent="0.2">
      <c r="A22" s="89">
        <v>45346</v>
      </c>
      <c r="B22" s="9" t="s">
        <v>11</v>
      </c>
      <c r="C22" s="76" t="s">
        <v>1957</v>
      </c>
      <c r="D22" s="11" t="s">
        <v>29</v>
      </c>
      <c r="E22" s="182"/>
      <c r="F22" s="31">
        <v>14898.75</v>
      </c>
      <c r="G22" s="1"/>
      <c r="H22" s="1"/>
      <c r="I22" s="130"/>
      <c r="J22" s="169"/>
      <c r="K22" s="169"/>
      <c r="L22" s="165"/>
    </row>
    <row r="23" spans="1:12" s="2" customFormat="1" ht="14.25" customHeight="1" x14ac:dyDescent="0.2">
      <c r="A23" s="89">
        <v>45346</v>
      </c>
      <c r="B23" s="9" t="s">
        <v>11</v>
      </c>
      <c r="C23" s="76" t="s">
        <v>2121</v>
      </c>
      <c r="D23" s="11" t="s">
        <v>29</v>
      </c>
      <c r="E23" s="182"/>
      <c r="F23" s="31">
        <v>50000</v>
      </c>
      <c r="G23" s="1"/>
      <c r="H23" s="1"/>
      <c r="I23" s="130"/>
      <c r="J23" s="169"/>
      <c r="K23" s="169"/>
      <c r="L23" s="165"/>
    </row>
    <row r="24" spans="1:12" s="2" customFormat="1" ht="14.25" customHeight="1" x14ac:dyDescent="0.2">
      <c r="A24" s="89">
        <v>45346</v>
      </c>
      <c r="B24" s="9" t="s">
        <v>11</v>
      </c>
      <c r="C24" s="76" t="s">
        <v>2122</v>
      </c>
      <c r="D24" s="11" t="s">
        <v>29</v>
      </c>
      <c r="E24" s="31"/>
      <c r="F24" s="31">
        <v>14082.12</v>
      </c>
      <c r="G24" s="1"/>
      <c r="H24" s="1"/>
      <c r="I24" s="130"/>
      <c r="J24" s="169"/>
      <c r="K24" s="169"/>
      <c r="L24" s="165"/>
    </row>
    <row r="25" spans="1:12" s="2" customFormat="1" ht="14.25" customHeight="1" x14ac:dyDescent="0.4">
      <c r="D25" s="11" t="s">
        <v>8</v>
      </c>
      <c r="E25" s="16">
        <f>SUM(E19:E24)</f>
        <v>3576831.24</v>
      </c>
      <c r="F25" s="16">
        <f>SUM(F18:F24)</f>
        <v>29846873.870000001</v>
      </c>
      <c r="G25" s="1"/>
      <c r="H25" s="1"/>
      <c r="J25" s="112"/>
      <c r="K25" s="153" t="s">
        <v>779</v>
      </c>
    </row>
    <row r="26" spans="1:12" s="2" customFormat="1" ht="14.25" customHeight="1" x14ac:dyDescent="0.2">
      <c r="A26" s="17"/>
      <c r="B26" s="18"/>
      <c r="C26" s="96" t="s">
        <v>9</v>
      </c>
      <c r="D26" s="20"/>
      <c r="E26" s="21">
        <f>+F25-E25</f>
        <v>26270042.630000003</v>
      </c>
      <c r="G26" s="1"/>
      <c r="H26" s="1"/>
      <c r="J26" s="40">
        <v>26270042.629999999</v>
      </c>
      <c r="K26" s="154">
        <f>J26-E26</f>
        <v>0</v>
      </c>
    </row>
    <row r="27" spans="1:12" s="2" customFormat="1" ht="14.25" customHeight="1" x14ac:dyDescent="0.2">
      <c r="A27" s="17"/>
      <c r="B27" s="28" t="s">
        <v>66</v>
      </c>
      <c r="C27" s="43" t="s">
        <v>1458</v>
      </c>
      <c r="D27" s="43"/>
      <c r="E27" s="12">
        <f>30000000+60000000</f>
        <v>90000000</v>
      </c>
      <c r="F27" s="22"/>
      <c r="G27" s="1"/>
      <c r="H27" s="1"/>
      <c r="I27" s="13" t="s">
        <v>1582</v>
      </c>
      <c r="J27" s="13" t="s">
        <v>1583</v>
      </c>
    </row>
    <row r="28" spans="1:12" s="2" customFormat="1" ht="14.25" customHeight="1" x14ac:dyDescent="0.25">
      <c r="A28" s="36"/>
      <c r="B28" s="28"/>
      <c r="C28" s="44" t="s">
        <v>1541</v>
      </c>
      <c r="D28" s="43"/>
      <c r="E28" s="7">
        <f>+E26+E27</f>
        <v>116270042.63</v>
      </c>
      <c r="F28" s="22"/>
      <c r="G28" s="1"/>
      <c r="H28" s="1"/>
      <c r="I28" s="2">
        <v>1341960</v>
      </c>
      <c r="J28" s="2">
        <v>10258304.08</v>
      </c>
      <c r="K28" s="176">
        <f>I28-J28</f>
        <v>-8916344.0800000001</v>
      </c>
    </row>
    <row r="29" spans="1:12" s="2" customFormat="1" ht="14.25" customHeight="1" x14ac:dyDescent="0.25">
      <c r="A29" s="36"/>
      <c r="B29" s="28"/>
      <c r="C29" s="44" t="s">
        <v>1511</v>
      </c>
      <c r="D29" s="43"/>
      <c r="E29" s="38">
        <f>I14-J14+J18</f>
        <v>3729957.370000001</v>
      </c>
      <c r="F29" s="22"/>
      <c r="G29" s="1"/>
      <c r="H29" s="1"/>
      <c r="J29" s="130"/>
      <c r="K29" s="130"/>
    </row>
    <row r="30" spans="1:12" s="2" customFormat="1" x14ac:dyDescent="0.2">
      <c r="A30" s="24"/>
      <c r="B30" s="1"/>
      <c r="C30" s="14"/>
      <c r="D30" s="25"/>
      <c r="G30" s="1"/>
      <c r="H30" s="1"/>
      <c r="I30" s="159"/>
      <c r="J30" s="160">
        <f>100000000</f>
        <v>100000000</v>
      </c>
      <c r="K30" s="160" t="s">
        <v>1506</v>
      </c>
      <c r="L30" s="70"/>
    </row>
    <row r="31" spans="1:12" s="2" customFormat="1" ht="15" x14ac:dyDescent="0.35">
      <c r="A31" s="214" t="s">
        <v>10</v>
      </c>
      <c r="B31" s="214"/>
      <c r="C31" s="214"/>
      <c r="D31" s="214"/>
      <c r="E31" s="214"/>
      <c r="F31" s="214"/>
      <c r="G31" s="1"/>
      <c r="H31" s="1"/>
      <c r="I31" s="159"/>
      <c r="J31" s="179">
        <v>52455367.140000001</v>
      </c>
      <c r="K31" s="160" t="s">
        <v>1507</v>
      </c>
      <c r="L31" s="70" t="s">
        <v>1512</v>
      </c>
    </row>
    <row r="32" spans="1:12" s="2" customFormat="1" x14ac:dyDescent="0.2">
      <c r="A32" s="26" t="s">
        <v>1</v>
      </c>
      <c r="B32" s="27" t="s">
        <v>2</v>
      </c>
      <c r="C32" s="5"/>
      <c r="D32" s="6" t="s">
        <v>3</v>
      </c>
      <c r="E32" s="7" t="s">
        <v>4</v>
      </c>
      <c r="F32" s="7" t="s">
        <v>5</v>
      </c>
      <c r="G32" s="1"/>
      <c r="H32" s="1"/>
      <c r="I32" s="159" t="s">
        <v>1505</v>
      </c>
      <c r="J32" s="160">
        <f>+J30-J31</f>
        <v>47544632.859999999</v>
      </c>
      <c r="K32" s="160"/>
      <c r="L32" s="70"/>
    </row>
    <row r="33" spans="1:12" s="2" customFormat="1" x14ac:dyDescent="0.2">
      <c r="A33" s="89">
        <v>45346</v>
      </c>
      <c r="B33" s="128" t="s">
        <v>11</v>
      </c>
      <c r="C33" s="29" t="s">
        <v>7</v>
      </c>
      <c r="D33" s="25"/>
      <c r="E33" s="31"/>
      <c r="F33" s="13">
        <v>72141323.259999871</v>
      </c>
      <c r="G33" s="23"/>
      <c r="H33" s="23"/>
      <c r="I33" s="159"/>
      <c r="J33" s="160"/>
      <c r="K33" s="160"/>
      <c r="L33" s="70"/>
    </row>
    <row r="34" spans="1:12" s="2" customFormat="1" x14ac:dyDescent="0.2">
      <c r="A34" s="89">
        <v>45346</v>
      </c>
      <c r="B34" s="128" t="s">
        <v>6</v>
      </c>
      <c r="C34" s="181" t="s">
        <v>764</v>
      </c>
      <c r="D34" s="11" t="s">
        <v>13</v>
      </c>
      <c r="E34" s="86">
        <v>8208764.7199999997</v>
      </c>
      <c r="G34" s="23"/>
      <c r="H34" s="23"/>
      <c r="I34" s="159"/>
      <c r="J34" s="160"/>
      <c r="K34" s="160"/>
      <c r="L34" s="70"/>
    </row>
    <row r="35" spans="1:12" s="2" customFormat="1" x14ac:dyDescent="0.2">
      <c r="A35" s="89">
        <v>45346</v>
      </c>
      <c r="B35" s="128" t="s">
        <v>6</v>
      </c>
      <c r="C35" s="181" t="s">
        <v>15</v>
      </c>
      <c r="D35" s="11" t="s">
        <v>13</v>
      </c>
      <c r="E35" s="86">
        <v>13550.26</v>
      </c>
      <c r="G35" s="23"/>
      <c r="H35" s="23"/>
      <c r="I35" s="159"/>
      <c r="J35" s="160"/>
      <c r="K35" s="160"/>
      <c r="L35" s="70"/>
    </row>
    <row r="36" spans="1:12" s="2" customFormat="1" x14ac:dyDescent="0.2">
      <c r="A36" s="89">
        <v>45346</v>
      </c>
      <c r="B36" s="128" t="s">
        <v>6</v>
      </c>
      <c r="C36" s="181" t="s">
        <v>755</v>
      </c>
      <c r="D36" s="11" t="s">
        <v>13</v>
      </c>
      <c r="E36" s="86">
        <v>14058925.9</v>
      </c>
      <c r="G36" s="23"/>
      <c r="H36" s="23"/>
      <c r="I36" s="159"/>
      <c r="J36" s="160"/>
      <c r="K36" s="160"/>
      <c r="L36" s="70"/>
    </row>
    <row r="37" spans="1:12" s="2" customFormat="1" x14ac:dyDescent="0.2">
      <c r="A37" s="89">
        <v>45346</v>
      </c>
      <c r="B37" s="128" t="s">
        <v>6</v>
      </c>
      <c r="C37" s="181" t="s">
        <v>760</v>
      </c>
      <c r="D37" s="11" t="s">
        <v>13</v>
      </c>
      <c r="E37" s="86">
        <v>1302175.1399999999</v>
      </c>
      <c r="G37" s="23"/>
      <c r="H37" s="23"/>
      <c r="I37" s="159"/>
      <c r="J37" s="160"/>
      <c r="K37" s="160"/>
      <c r="L37" s="70"/>
    </row>
    <row r="38" spans="1:12" s="2" customFormat="1" x14ac:dyDescent="0.2">
      <c r="A38" s="89">
        <v>45346</v>
      </c>
      <c r="B38" s="128" t="s">
        <v>6</v>
      </c>
      <c r="C38" s="181" t="s">
        <v>748</v>
      </c>
      <c r="D38" s="11" t="s">
        <v>13</v>
      </c>
      <c r="E38" s="86">
        <v>6312872.0499999998</v>
      </c>
      <c r="G38" s="23"/>
      <c r="H38" s="23"/>
      <c r="I38" s="159"/>
      <c r="J38" s="160"/>
      <c r="K38" s="160"/>
      <c r="L38" s="70"/>
    </row>
    <row r="39" spans="1:12" s="2" customFormat="1" x14ac:dyDescent="0.2">
      <c r="A39" s="89">
        <v>45346</v>
      </c>
      <c r="B39" s="128" t="s">
        <v>6</v>
      </c>
      <c r="C39" s="181" t="s">
        <v>749</v>
      </c>
      <c r="D39" s="11" t="s">
        <v>13</v>
      </c>
      <c r="E39" s="86">
        <v>1794069.12</v>
      </c>
      <c r="G39" s="23"/>
      <c r="H39" s="23"/>
      <c r="I39" s="159"/>
      <c r="J39" s="160"/>
      <c r="K39" s="160"/>
      <c r="L39" s="70"/>
    </row>
    <row r="40" spans="1:12" s="2" customFormat="1" x14ac:dyDescent="0.2">
      <c r="A40" s="89">
        <v>45346</v>
      </c>
      <c r="B40" s="128" t="s">
        <v>6</v>
      </c>
      <c r="C40" s="181" t="s">
        <v>765</v>
      </c>
      <c r="D40" s="11" t="s">
        <v>13</v>
      </c>
      <c r="E40" s="86">
        <v>3808892.12</v>
      </c>
      <c r="G40" s="23"/>
      <c r="H40" s="23"/>
      <c r="I40" s="159"/>
      <c r="J40" s="160"/>
      <c r="K40" s="160"/>
      <c r="L40" s="70"/>
    </row>
    <row r="41" spans="1:12" s="2" customFormat="1" x14ac:dyDescent="0.2">
      <c r="A41" s="89">
        <v>45346</v>
      </c>
      <c r="B41" s="128" t="s">
        <v>6</v>
      </c>
      <c r="C41" s="181" t="s">
        <v>2125</v>
      </c>
      <c r="D41" s="11" t="s">
        <v>13</v>
      </c>
      <c r="E41" s="86">
        <v>118348.87</v>
      </c>
      <c r="G41" s="23"/>
      <c r="H41" s="23"/>
      <c r="I41" s="159"/>
      <c r="J41" s="160"/>
      <c r="K41" s="160"/>
      <c r="L41" s="70"/>
    </row>
    <row r="42" spans="1:12" s="2" customFormat="1" x14ac:dyDescent="0.2">
      <c r="A42" s="89">
        <v>45346</v>
      </c>
      <c r="B42" s="128" t="s">
        <v>6</v>
      </c>
      <c r="C42" s="181" t="s">
        <v>761</v>
      </c>
      <c r="D42" s="11" t="s">
        <v>13</v>
      </c>
      <c r="E42" s="86">
        <v>958050</v>
      </c>
      <c r="G42" s="23"/>
      <c r="H42" s="23"/>
      <c r="I42" s="159"/>
      <c r="J42" s="160"/>
      <c r="K42" s="160"/>
      <c r="L42" s="70"/>
    </row>
    <row r="43" spans="1:12" s="2" customFormat="1" x14ac:dyDescent="0.2">
      <c r="A43" s="89">
        <v>45346</v>
      </c>
      <c r="B43" s="128" t="s">
        <v>6</v>
      </c>
      <c r="C43" s="181" t="s">
        <v>120</v>
      </c>
      <c r="D43" s="11" t="s">
        <v>13</v>
      </c>
      <c r="E43" s="86">
        <v>192831</v>
      </c>
      <c r="G43" s="23"/>
      <c r="H43" s="23"/>
      <c r="I43" s="159"/>
      <c r="J43" s="160"/>
      <c r="K43" s="160"/>
      <c r="L43" s="70"/>
    </row>
    <row r="44" spans="1:12" s="2" customFormat="1" x14ac:dyDescent="0.2">
      <c r="A44" s="89">
        <v>45346</v>
      </c>
      <c r="B44" s="128" t="s">
        <v>6</v>
      </c>
      <c r="C44" s="181" t="s">
        <v>19</v>
      </c>
      <c r="D44" s="11" t="s">
        <v>13</v>
      </c>
      <c r="E44" s="86">
        <v>2347137</v>
      </c>
      <c r="G44" s="23"/>
      <c r="H44" s="23"/>
      <c r="I44" s="159"/>
      <c r="J44" s="160"/>
      <c r="K44" s="160"/>
      <c r="L44" s="70"/>
    </row>
    <row r="45" spans="1:12" s="2" customFormat="1" x14ac:dyDescent="0.2">
      <c r="A45" s="89">
        <v>45346</v>
      </c>
      <c r="B45" s="128" t="s">
        <v>6</v>
      </c>
      <c r="C45" s="181" t="s">
        <v>24</v>
      </c>
      <c r="D45" s="11" t="s">
        <v>13</v>
      </c>
      <c r="E45" s="86">
        <v>26517</v>
      </c>
      <c r="G45" s="23"/>
      <c r="H45" s="23"/>
      <c r="I45" s="159"/>
      <c r="J45" s="160"/>
      <c r="K45" s="160"/>
      <c r="L45" s="70"/>
    </row>
    <row r="46" spans="1:12" s="2" customFormat="1" x14ac:dyDescent="0.2">
      <c r="A46" s="89">
        <v>45346</v>
      </c>
      <c r="B46" s="128" t="s">
        <v>6</v>
      </c>
      <c r="C46" s="181" t="s">
        <v>27</v>
      </c>
      <c r="D46" s="11" t="s">
        <v>13</v>
      </c>
      <c r="E46" s="86">
        <v>718415</v>
      </c>
      <c r="G46" s="23"/>
      <c r="H46" s="23"/>
      <c r="I46" s="159"/>
      <c r="J46" s="160"/>
      <c r="K46" s="160"/>
      <c r="L46" s="70"/>
    </row>
    <row r="47" spans="1:12" s="2" customFormat="1" x14ac:dyDescent="0.2">
      <c r="A47" s="89">
        <v>45346</v>
      </c>
      <c r="B47" s="128" t="s">
        <v>6</v>
      </c>
      <c r="C47" s="181" t="s">
        <v>336</v>
      </c>
      <c r="D47" s="11" t="s">
        <v>13</v>
      </c>
      <c r="E47" s="86">
        <v>763297</v>
      </c>
      <c r="G47" s="23"/>
      <c r="H47" s="23"/>
      <c r="I47" s="159"/>
      <c r="J47" s="160"/>
      <c r="K47" s="160"/>
      <c r="L47" s="70"/>
    </row>
    <row r="48" spans="1:12" s="2" customFormat="1" x14ac:dyDescent="0.2">
      <c r="A48" s="89">
        <v>45346</v>
      </c>
      <c r="B48" s="128" t="s">
        <v>6</v>
      </c>
      <c r="C48" s="181" t="s">
        <v>385</v>
      </c>
      <c r="D48" s="11" t="s">
        <v>13</v>
      </c>
      <c r="E48" s="86">
        <v>30792</v>
      </c>
      <c r="G48" s="23"/>
      <c r="H48" s="23"/>
      <c r="I48" s="159"/>
      <c r="J48" s="160"/>
      <c r="K48" s="160"/>
      <c r="L48" s="70"/>
    </row>
    <row r="49" spans="1:12" s="2" customFormat="1" x14ac:dyDescent="0.2">
      <c r="A49" s="89">
        <v>45346</v>
      </c>
      <c r="B49" s="128" t="s">
        <v>6</v>
      </c>
      <c r="C49" s="181" t="s">
        <v>2081</v>
      </c>
      <c r="D49" s="11" t="s">
        <v>13</v>
      </c>
      <c r="E49" s="86">
        <v>18000</v>
      </c>
      <c r="G49" s="23"/>
      <c r="H49" s="23"/>
      <c r="I49" s="159"/>
      <c r="J49" s="160"/>
      <c r="K49" s="160"/>
      <c r="L49" s="70"/>
    </row>
    <row r="50" spans="1:12" s="2" customFormat="1" x14ac:dyDescent="0.2">
      <c r="A50" s="89">
        <v>45346</v>
      </c>
      <c r="B50" s="128" t="s">
        <v>11</v>
      </c>
      <c r="C50" s="181" t="s">
        <v>64</v>
      </c>
      <c r="D50" s="11" t="s">
        <v>29</v>
      </c>
      <c r="E50" s="86"/>
      <c r="F50" s="2">
        <v>11908.95</v>
      </c>
      <c r="G50" s="23"/>
      <c r="H50" s="23"/>
      <c r="I50" s="159"/>
      <c r="J50" s="160"/>
      <c r="K50" s="160"/>
      <c r="L50" s="70"/>
    </row>
    <row r="51" spans="1:12" s="2" customFormat="1" x14ac:dyDescent="0.2">
      <c r="A51" s="89">
        <v>45346</v>
      </c>
      <c r="B51" s="128" t="s">
        <v>11</v>
      </c>
      <c r="C51" s="181" t="s">
        <v>1403</v>
      </c>
      <c r="D51" s="11" t="s">
        <v>29</v>
      </c>
      <c r="E51" s="86"/>
      <c r="F51" s="2">
        <v>477474</v>
      </c>
      <c r="G51" s="23"/>
      <c r="H51" s="23"/>
      <c r="I51" s="159"/>
      <c r="J51" s="160"/>
      <c r="K51" s="160"/>
      <c r="L51" s="70"/>
    </row>
    <row r="52" spans="1:12" s="2" customFormat="1" x14ac:dyDescent="0.2">
      <c r="A52" s="89">
        <v>45346</v>
      </c>
      <c r="B52" s="128" t="s">
        <v>11</v>
      </c>
      <c r="C52" s="181" t="s">
        <v>284</v>
      </c>
      <c r="D52" s="11" t="s">
        <v>29</v>
      </c>
      <c r="E52" s="86"/>
      <c r="F52" s="2">
        <v>245882</v>
      </c>
      <c r="G52" s="23"/>
      <c r="H52" s="23"/>
      <c r="I52" s="159"/>
      <c r="J52" s="160"/>
      <c r="K52" s="160"/>
      <c r="L52" s="70"/>
    </row>
    <row r="53" spans="1:12" s="2" customFormat="1" x14ac:dyDescent="0.2">
      <c r="A53" s="89">
        <v>45346</v>
      </c>
      <c r="B53" s="128" t="s">
        <v>11</v>
      </c>
      <c r="C53" s="181" t="s">
        <v>126</v>
      </c>
      <c r="D53" s="11" t="s">
        <v>29</v>
      </c>
      <c r="E53" s="86"/>
      <c r="F53" s="2">
        <v>1300000</v>
      </c>
      <c r="G53" s="23"/>
      <c r="H53" s="23"/>
      <c r="I53" s="159"/>
      <c r="J53" s="160"/>
      <c r="K53" s="160"/>
      <c r="L53" s="70"/>
    </row>
    <row r="54" spans="1:12" s="2" customFormat="1" x14ac:dyDescent="0.2">
      <c r="A54" s="89">
        <v>45346</v>
      </c>
      <c r="B54" s="128" t="s">
        <v>11</v>
      </c>
      <c r="C54" s="181" t="s">
        <v>1472</v>
      </c>
      <c r="D54" s="11" t="s">
        <v>29</v>
      </c>
      <c r="E54" s="86"/>
      <c r="F54" s="2">
        <v>1096577</v>
      </c>
      <c r="G54" s="23"/>
      <c r="H54" s="23"/>
      <c r="I54" s="159"/>
      <c r="J54" s="160"/>
      <c r="K54" s="160"/>
      <c r="L54" s="70"/>
    </row>
    <row r="55" spans="1:12" s="2" customFormat="1" x14ac:dyDescent="0.2">
      <c r="A55" s="89">
        <v>45346</v>
      </c>
      <c r="B55" s="128" t="s">
        <v>11</v>
      </c>
      <c r="C55" s="181" t="s">
        <v>1734</v>
      </c>
      <c r="D55" s="11" t="s">
        <v>29</v>
      </c>
      <c r="E55" s="86"/>
      <c r="F55" s="2">
        <v>1689855</v>
      </c>
      <c r="G55" s="23"/>
      <c r="H55" s="23"/>
      <c r="I55" s="159"/>
      <c r="J55" s="160"/>
      <c r="K55" s="160"/>
      <c r="L55" s="70"/>
    </row>
    <row r="56" spans="1:12" s="2" customFormat="1" x14ac:dyDescent="0.2">
      <c r="A56" s="89">
        <v>45346</v>
      </c>
      <c r="B56" s="128" t="s">
        <v>11</v>
      </c>
      <c r="C56" s="181" t="s">
        <v>1798</v>
      </c>
      <c r="D56" s="11" t="s">
        <v>29</v>
      </c>
      <c r="E56" s="86"/>
      <c r="F56" s="2">
        <v>501567</v>
      </c>
      <c r="G56" s="23"/>
      <c r="H56" s="23"/>
      <c r="I56" s="159"/>
      <c r="J56" s="160"/>
      <c r="K56" s="160"/>
      <c r="L56" s="70"/>
    </row>
    <row r="57" spans="1:12" s="2" customFormat="1" x14ac:dyDescent="0.2">
      <c r="A57" s="89">
        <v>45346</v>
      </c>
      <c r="B57" s="128" t="s">
        <v>11</v>
      </c>
      <c r="C57" s="181" t="s">
        <v>33</v>
      </c>
      <c r="D57" s="11" t="s">
        <v>29</v>
      </c>
      <c r="E57" s="86"/>
      <c r="F57" s="2">
        <v>4176600</v>
      </c>
      <c r="G57" s="23"/>
      <c r="H57" s="23"/>
      <c r="I57" s="159"/>
      <c r="J57" s="160"/>
      <c r="K57" s="160"/>
      <c r="L57" s="70"/>
    </row>
    <row r="58" spans="1:12" s="2" customFormat="1" x14ac:dyDescent="0.2">
      <c r="A58" s="89">
        <v>45346</v>
      </c>
      <c r="B58" s="128" t="s">
        <v>11</v>
      </c>
      <c r="C58" s="181" t="s">
        <v>2123</v>
      </c>
      <c r="D58" s="11" t="s">
        <v>29</v>
      </c>
      <c r="E58" s="86"/>
      <c r="F58" s="2">
        <v>277654</v>
      </c>
      <c r="G58" s="23"/>
      <c r="H58" s="23"/>
      <c r="I58" s="159"/>
      <c r="J58" s="160"/>
      <c r="K58" s="160"/>
      <c r="L58" s="70"/>
    </row>
    <row r="59" spans="1:12" s="2" customFormat="1" x14ac:dyDescent="0.2">
      <c r="A59" s="89">
        <v>45346</v>
      </c>
      <c r="B59" s="128" t="s">
        <v>11</v>
      </c>
      <c r="C59" s="181" t="s">
        <v>382</v>
      </c>
      <c r="D59" s="11" t="s">
        <v>29</v>
      </c>
      <c r="E59" s="86"/>
      <c r="F59" s="2">
        <v>324000</v>
      </c>
      <c r="G59" s="23"/>
      <c r="H59" s="23"/>
      <c r="I59" s="159"/>
      <c r="J59" s="160"/>
      <c r="K59" s="160"/>
      <c r="L59" s="70"/>
    </row>
    <row r="60" spans="1:12" s="2" customFormat="1" x14ac:dyDescent="0.2">
      <c r="A60" s="89">
        <v>45346</v>
      </c>
      <c r="B60" s="128" t="s">
        <v>11</v>
      </c>
      <c r="C60" s="181" t="s">
        <v>2124</v>
      </c>
      <c r="D60" s="11" t="s">
        <v>29</v>
      </c>
      <c r="E60" s="86"/>
      <c r="F60" s="2">
        <v>288360</v>
      </c>
      <c r="G60" s="23"/>
      <c r="H60" s="23"/>
      <c r="I60" s="159"/>
      <c r="J60" s="160"/>
      <c r="K60" s="160"/>
      <c r="L60" s="70"/>
    </row>
    <row r="61" spans="1:12" s="2" customFormat="1" x14ac:dyDescent="0.2">
      <c r="A61" s="89">
        <v>45346</v>
      </c>
      <c r="B61" s="128" t="s">
        <v>11</v>
      </c>
      <c r="C61" s="181" t="s">
        <v>28</v>
      </c>
      <c r="D61" s="11" t="s">
        <v>29</v>
      </c>
      <c r="E61" s="86"/>
      <c r="F61" s="2">
        <v>237209.5</v>
      </c>
      <c r="G61" s="23"/>
      <c r="H61" s="23"/>
      <c r="I61" s="159"/>
      <c r="J61" s="160"/>
      <c r="K61" s="160"/>
      <c r="L61" s="70"/>
    </row>
    <row r="62" spans="1:12" s="2" customFormat="1" x14ac:dyDescent="0.2">
      <c r="A62" s="89">
        <v>45346</v>
      </c>
      <c r="B62" s="128" t="s">
        <v>11</v>
      </c>
      <c r="C62" s="181" t="s">
        <v>724</v>
      </c>
      <c r="D62" s="11" t="s">
        <v>29</v>
      </c>
      <c r="E62" s="86"/>
      <c r="F62" s="2">
        <v>21350</v>
      </c>
      <c r="G62" s="23"/>
      <c r="H62" s="23"/>
      <c r="I62" s="159"/>
      <c r="J62" s="160"/>
      <c r="K62" s="160"/>
      <c r="L62" s="70"/>
    </row>
    <row r="63" spans="1:12" s="2" customFormat="1" x14ac:dyDescent="0.2">
      <c r="A63" s="89">
        <v>45346</v>
      </c>
      <c r="B63" s="128" t="s">
        <v>11</v>
      </c>
      <c r="C63" s="181" t="s">
        <v>278</v>
      </c>
      <c r="D63" s="11" t="s">
        <v>29</v>
      </c>
      <c r="E63" s="86"/>
      <c r="F63" s="2">
        <v>122928.4</v>
      </c>
      <c r="G63" s="23"/>
      <c r="H63" s="23"/>
      <c r="I63" s="159"/>
      <c r="J63" s="160"/>
      <c r="K63" s="160"/>
      <c r="L63" s="70"/>
    </row>
    <row r="64" spans="1:12" s="2" customFormat="1" x14ac:dyDescent="0.2">
      <c r="A64" s="89">
        <v>45346</v>
      </c>
      <c r="B64" s="128" t="s">
        <v>11</v>
      </c>
      <c r="C64" s="181" t="s">
        <v>563</v>
      </c>
      <c r="D64" s="11" t="s">
        <v>29</v>
      </c>
      <c r="E64" s="86"/>
      <c r="F64" s="2">
        <v>120548</v>
      </c>
      <c r="G64" s="23"/>
      <c r="H64" s="23"/>
      <c r="I64" s="159"/>
      <c r="J64" s="160"/>
      <c r="K64" s="160"/>
      <c r="L64" s="70"/>
    </row>
    <row r="65" spans="1:12" s="2" customFormat="1" x14ac:dyDescent="0.2">
      <c r="A65" s="89">
        <v>45346</v>
      </c>
      <c r="B65" s="128" t="s">
        <v>11</v>
      </c>
      <c r="C65" s="181" t="s">
        <v>701</v>
      </c>
      <c r="D65" s="11" t="s">
        <v>29</v>
      </c>
      <c r="E65" s="86"/>
      <c r="F65" s="2">
        <v>413000</v>
      </c>
      <c r="G65" s="23"/>
      <c r="H65" s="23"/>
      <c r="I65" s="159"/>
      <c r="J65" s="160"/>
      <c r="K65" s="160"/>
      <c r="L65" s="70"/>
    </row>
    <row r="66" spans="1:12" s="2" customFormat="1" x14ac:dyDescent="0.2">
      <c r="A66" s="89">
        <v>45346</v>
      </c>
      <c r="B66" s="128" t="s">
        <v>11</v>
      </c>
      <c r="C66" s="181" t="s">
        <v>365</v>
      </c>
      <c r="D66" s="11" t="s">
        <v>29</v>
      </c>
      <c r="E66" s="86"/>
      <c r="F66" s="2">
        <v>348100</v>
      </c>
      <c r="G66" s="23"/>
      <c r="H66" s="23"/>
      <c r="I66" s="159"/>
      <c r="J66" s="160"/>
      <c r="K66" s="160"/>
      <c r="L66" s="70"/>
    </row>
    <row r="67" spans="1:12" s="2" customFormat="1" x14ac:dyDescent="0.2">
      <c r="A67" s="89">
        <v>45346</v>
      </c>
      <c r="B67" s="128" t="s">
        <v>11</v>
      </c>
      <c r="C67" s="181" t="s">
        <v>226</v>
      </c>
      <c r="D67" s="11" t="s">
        <v>29</v>
      </c>
      <c r="E67" s="86"/>
      <c r="F67" s="2">
        <v>26471</v>
      </c>
      <c r="G67" s="23"/>
      <c r="H67" s="23"/>
      <c r="I67" s="159"/>
      <c r="J67" s="160"/>
      <c r="K67" s="160"/>
      <c r="L67" s="70"/>
    </row>
    <row r="68" spans="1:12" s="2" customFormat="1" x14ac:dyDescent="0.2">
      <c r="A68" s="89">
        <v>45346</v>
      </c>
      <c r="B68" s="128" t="s">
        <v>11</v>
      </c>
      <c r="C68" s="181" t="s">
        <v>1341</v>
      </c>
      <c r="D68" s="11" t="s">
        <v>29</v>
      </c>
      <c r="E68" s="86"/>
      <c r="F68" s="2">
        <v>55135.360000000001</v>
      </c>
      <c r="G68" s="23"/>
      <c r="H68" s="23"/>
      <c r="I68" s="159"/>
      <c r="J68" s="160"/>
      <c r="K68" s="160"/>
      <c r="L68" s="70"/>
    </row>
    <row r="69" spans="1:12" s="2" customFormat="1" x14ac:dyDescent="0.2">
      <c r="A69" s="89">
        <v>45346</v>
      </c>
      <c r="B69" s="128" t="s">
        <v>11</v>
      </c>
      <c r="C69" s="181" t="s">
        <v>809</v>
      </c>
      <c r="D69" s="11" t="s">
        <v>29</v>
      </c>
      <c r="E69" s="86"/>
      <c r="F69" s="2">
        <v>100890</v>
      </c>
      <c r="G69" s="23"/>
      <c r="H69" s="23"/>
      <c r="I69" s="159"/>
      <c r="J69" s="160"/>
      <c r="K69" s="160"/>
      <c r="L69" s="70"/>
    </row>
    <row r="70" spans="1:12" s="2" customFormat="1" x14ac:dyDescent="0.2">
      <c r="A70" s="89">
        <v>45346</v>
      </c>
      <c r="B70" s="128" t="s">
        <v>11</v>
      </c>
      <c r="C70" s="181" t="s">
        <v>507</v>
      </c>
      <c r="D70" s="11" t="s">
        <v>29</v>
      </c>
      <c r="E70" s="86"/>
      <c r="F70" s="2">
        <v>29913</v>
      </c>
      <c r="G70" s="23"/>
      <c r="H70" s="23"/>
      <c r="I70" s="159"/>
      <c r="J70" s="160"/>
      <c r="K70" s="160"/>
      <c r="L70" s="70"/>
    </row>
    <row r="71" spans="1:12" s="2" customFormat="1" x14ac:dyDescent="0.2">
      <c r="A71" s="89">
        <v>45346</v>
      </c>
      <c r="B71" s="128" t="s">
        <v>11</v>
      </c>
      <c r="C71" s="181" t="s">
        <v>251</v>
      </c>
      <c r="D71" s="11" t="s">
        <v>29</v>
      </c>
      <c r="E71" s="86"/>
      <c r="F71" s="2">
        <v>232620.92</v>
      </c>
      <c r="G71" s="23"/>
      <c r="H71" s="23"/>
      <c r="I71" s="159"/>
      <c r="J71" s="160"/>
      <c r="K71" s="160"/>
      <c r="L71" s="70"/>
    </row>
    <row r="72" spans="1:12" s="2" customFormat="1" x14ac:dyDescent="0.2">
      <c r="A72" s="89">
        <v>45346</v>
      </c>
      <c r="B72" s="128" t="s">
        <v>11</v>
      </c>
      <c r="C72" s="181" t="s">
        <v>36</v>
      </c>
      <c r="D72" s="11" t="s">
        <v>29</v>
      </c>
      <c r="E72" s="86"/>
      <c r="F72" s="2">
        <v>39035</v>
      </c>
      <c r="G72" s="23"/>
      <c r="H72" s="23"/>
      <c r="I72" s="159"/>
      <c r="J72" s="160"/>
      <c r="K72" s="160"/>
      <c r="L72" s="70"/>
    </row>
    <row r="73" spans="1:12" s="2" customFormat="1" x14ac:dyDescent="0.2">
      <c r="A73" s="89">
        <v>45346</v>
      </c>
      <c r="B73" s="128" t="s">
        <v>11</v>
      </c>
      <c r="C73" s="181" t="s">
        <v>411</v>
      </c>
      <c r="D73" s="11" t="s">
        <v>29</v>
      </c>
      <c r="E73" s="86"/>
      <c r="F73" s="2">
        <v>31152</v>
      </c>
      <c r="G73" s="23"/>
      <c r="H73" s="23"/>
      <c r="I73" s="159"/>
      <c r="J73" s="160"/>
      <c r="K73" s="160"/>
      <c r="L73" s="70"/>
    </row>
    <row r="74" spans="1:12" s="2" customFormat="1" x14ac:dyDescent="0.2">
      <c r="A74" s="89">
        <v>45346</v>
      </c>
      <c r="B74" s="128" t="s">
        <v>11</v>
      </c>
      <c r="C74" s="181" t="s">
        <v>431</v>
      </c>
      <c r="D74" s="11" t="s">
        <v>29</v>
      </c>
      <c r="E74" s="86"/>
      <c r="F74" s="2">
        <v>71272</v>
      </c>
      <c r="G74" s="23"/>
      <c r="H74" s="23"/>
      <c r="I74" s="159"/>
      <c r="J74" s="160"/>
      <c r="K74" s="160"/>
      <c r="L74" s="70"/>
    </row>
    <row r="75" spans="1:12" s="2" customFormat="1" x14ac:dyDescent="0.2">
      <c r="A75" s="89">
        <v>45346</v>
      </c>
      <c r="B75" s="128" t="s">
        <v>11</v>
      </c>
      <c r="C75" s="181" t="s">
        <v>372</v>
      </c>
      <c r="D75" s="11" t="s">
        <v>29</v>
      </c>
      <c r="E75" s="86"/>
      <c r="F75" s="2">
        <v>329311</v>
      </c>
      <c r="G75" s="23"/>
      <c r="H75" s="23"/>
      <c r="I75" s="159"/>
      <c r="J75" s="160"/>
      <c r="K75" s="160"/>
      <c r="L75" s="70"/>
    </row>
    <row r="76" spans="1:12" s="2" customFormat="1" x14ac:dyDescent="0.2">
      <c r="A76" s="89">
        <v>45346</v>
      </c>
      <c r="B76" s="128" t="s">
        <v>11</v>
      </c>
      <c r="C76" s="181" t="s">
        <v>60</v>
      </c>
      <c r="D76" s="11" t="s">
        <v>29</v>
      </c>
      <c r="E76" s="86"/>
      <c r="F76" s="2">
        <v>34515</v>
      </c>
      <c r="G76" s="23"/>
      <c r="H76" s="23"/>
      <c r="I76" s="159"/>
      <c r="J76" s="160"/>
      <c r="K76" s="160"/>
      <c r="L76" s="70"/>
    </row>
    <row r="77" spans="1:12" s="2" customFormat="1" x14ac:dyDescent="0.2">
      <c r="A77" s="89">
        <v>45346</v>
      </c>
      <c r="B77" s="128" t="s">
        <v>11</v>
      </c>
      <c r="C77" s="181" t="s">
        <v>312</v>
      </c>
      <c r="D77" s="11" t="s">
        <v>29</v>
      </c>
      <c r="E77" s="86"/>
      <c r="F77" s="2">
        <v>417530</v>
      </c>
      <c r="G77" s="23"/>
      <c r="H77" s="23"/>
      <c r="I77" s="159"/>
      <c r="J77" s="160"/>
      <c r="K77" s="160"/>
      <c r="L77" s="70"/>
    </row>
    <row r="78" spans="1:12" s="2" customFormat="1" x14ac:dyDescent="0.2">
      <c r="A78" s="89">
        <v>45346</v>
      </c>
      <c r="B78" s="128" t="s">
        <v>11</v>
      </c>
      <c r="C78" s="181" t="s">
        <v>117</v>
      </c>
      <c r="D78" s="11" t="s">
        <v>29</v>
      </c>
      <c r="E78" s="86"/>
      <c r="F78" s="2">
        <v>413896</v>
      </c>
      <c r="G78" s="23"/>
      <c r="H78" s="23"/>
      <c r="I78" s="159"/>
      <c r="J78" s="160"/>
      <c r="K78" s="160"/>
      <c r="L78" s="70"/>
    </row>
    <row r="79" spans="1:12" s="2" customFormat="1" x14ac:dyDescent="0.2">
      <c r="A79" s="89">
        <v>45346</v>
      </c>
      <c r="B79" s="128" t="s">
        <v>11</v>
      </c>
      <c r="C79" s="181" t="s">
        <v>225</v>
      </c>
      <c r="D79" s="11" t="s">
        <v>29</v>
      </c>
      <c r="E79" s="86"/>
      <c r="F79" s="2">
        <v>185083</v>
      </c>
      <c r="G79" s="23"/>
      <c r="H79" s="23"/>
      <c r="I79" s="159"/>
      <c r="J79" s="160"/>
      <c r="K79" s="160"/>
      <c r="L79" s="70"/>
    </row>
    <row r="80" spans="1:12" s="2" customFormat="1" x14ac:dyDescent="0.2">
      <c r="A80" s="89">
        <v>45346</v>
      </c>
      <c r="B80" s="128" t="s">
        <v>11</v>
      </c>
      <c r="C80" s="181" t="s">
        <v>602</v>
      </c>
      <c r="D80" s="11" t="s">
        <v>29</v>
      </c>
      <c r="E80" s="86"/>
      <c r="F80" s="2">
        <v>9253</v>
      </c>
      <c r="G80" s="23"/>
      <c r="H80" s="23"/>
      <c r="I80" s="159"/>
      <c r="J80" s="160"/>
      <c r="K80" s="160"/>
      <c r="L80" s="70"/>
    </row>
    <row r="81" spans="1:12" s="2" customFormat="1" x14ac:dyDescent="0.2">
      <c r="A81" s="89">
        <v>45346</v>
      </c>
      <c r="B81" s="128" t="s">
        <v>11</v>
      </c>
      <c r="C81" s="181" t="s">
        <v>125</v>
      </c>
      <c r="D81" s="11" t="s">
        <v>29</v>
      </c>
      <c r="E81" s="86"/>
      <c r="F81" s="2">
        <v>180541</v>
      </c>
      <c r="G81" s="23"/>
      <c r="H81" s="23"/>
      <c r="I81" s="159"/>
      <c r="J81" s="160"/>
      <c r="K81" s="160"/>
      <c r="L81" s="70"/>
    </row>
    <row r="82" spans="1:12" s="2" customFormat="1" x14ac:dyDescent="0.2">
      <c r="A82" s="89">
        <v>45346</v>
      </c>
      <c r="B82" s="128" t="s">
        <v>11</v>
      </c>
      <c r="C82" s="181" t="s">
        <v>45</v>
      </c>
      <c r="D82" s="11" t="s">
        <v>29</v>
      </c>
      <c r="E82" s="86"/>
      <c r="F82" s="2">
        <v>907522</v>
      </c>
      <c r="G82" s="23"/>
      <c r="H82" s="23"/>
      <c r="I82" s="159"/>
      <c r="J82" s="160"/>
      <c r="K82" s="160"/>
      <c r="L82" s="70"/>
    </row>
    <row r="83" spans="1:12" s="2" customFormat="1" x14ac:dyDescent="0.2">
      <c r="A83" s="89">
        <v>45346</v>
      </c>
      <c r="B83" s="128" t="s">
        <v>11</v>
      </c>
      <c r="C83" s="181" t="s">
        <v>1404</v>
      </c>
      <c r="D83" s="11" t="s">
        <v>29</v>
      </c>
      <c r="E83" s="86"/>
      <c r="F83" s="2">
        <v>39153</v>
      </c>
      <c r="G83" s="23"/>
      <c r="H83" s="23"/>
      <c r="I83" s="159"/>
      <c r="J83" s="160"/>
      <c r="K83" s="160"/>
      <c r="L83" s="70"/>
    </row>
    <row r="84" spans="1:12" s="2" customFormat="1" x14ac:dyDescent="0.2">
      <c r="A84" s="89">
        <v>45346</v>
      </c>
      <c r="B84" s="128" t="s">
        <v>11</v>
      </c>
      <c r="C84" s="181" t="s">
        <v>319</v>
      </c>
      <c r="D84" s="11" t="s">
        <v>29</v>
      </c>
      <c r="E84" s="86"/>
      <c r="F84" s="2">
        <v>650952.81000000006</v>
      </c>
      <c r="G84" s="23"/>
      <c r="H84" s="23"/>
      <c r="I84" s="159"/>
      <c r="J84" s="160"/>
      <c r="K84" s="160"/>
      <c r="L84" s="70"/>
    </row>
    <row r="85" spans="1:12" s="2" customFormat="1" x14ac:dyDescent="0.2">
      <c r="A85" s="89">
        <v>45346</v>
      </c>
      <c r="B85" s="128" t="s">
        <v>11</v>
      </c>
      <c r="C85" s="181" t="s">
        <v>116</v>
      </c>
      <c r="D85" s="11" t="s">
        <v>29</v>
      </c>
      <c r="E85" s="86"/>
      <c r="F85" s="2">
        <v>184855</v>
      </c>
      <c r="G85" s="23"/>
      <c r="H85" s="23"/>
      <c r="I85" s="159"/>
      <c r="J85" s="160"/>
      <c r="K85" s="160"/>
      <c r="L85" s="70"/>
    </row>
    <row r="86" spans="1:12" s="2" customFormat="1" x14ac:dyDescent="0.2">
      <c r="A86" s="89">
        <v>45346</v>
      </c>
      <c r="B86" s="128" t="s">
        <v>11</v>
      </c>
      <c r="C86" s="181" t="s">
        <v>194</v>
      </c>
      <c r="D86" s="11" t="s">
        <v>29</v>
      </c>
      <c r="E86" s="86"/>
      <c r="F86" s="2">
        <v>4024569</v>
      </c>
      <c r="G86" s="23"/>
      <c r="H86" s="23"/>
      <c r="I86" s="159"/>
      <c r="J86" s="160"/>
      <c r="K86" s="160"/>
      <c r="L86" s="70"/>
    </row>
    <row r="87" spans="1:12" s="2" customFormat="1" x14ac:dyDescent="0.2">
      <c r="A87" s="89">
        <v>45346</v>
      </c>
      <c r="B87" s="128" t="s">
        <v>11</v>
      </c>
      <c r="C87" s="181" t="s">
        <v>790</v>
      </c>
      <c r="D87" s="11" t="s">
        <v>29</v>
      </c>
      <c r="E87" s="86"/>
      <c r="F87" s="2">
        <v>663674</v>
      </c>
      <c r="G87" s="23"/>
      <c r="H87" s="23"/>
      <c r="I87" s="159"/>
      <c r="J87" s="160"/>
      <c r="K87" s="160"/>
      <c r="L87" s="70"/>
    </row>
    <row r="88" spans="1:12" s="2" customFormat="1" x14ac:dyDescent="0.2">
      <c r="A88" s="89">
        <v>45346</v>
      </c>
      <c r="B88" s="128" t="s">
        <v>11</v>
      </c>
      <c r="C88" s="181" t="s">
        <v>849</v>
      </c>
      <c r="D88" s="11" t="s">
        <v>29</v>
      </c>
      <c r="E88" s="86"/>
      <c r="F88" s="2">
        <v>1239707</v>
      </c>
      <c r="G88" s="23"/>
      <c r="H88" s="23"/>
      <c r="I88" s="159"/>
      <c r="J88" s="160"/>
      <c r="K88" s="160"/>
      <c r="L88" s="70"/>
    </row>
    <row r="89" spans="1:12" s="2" customFormat="1" x14ac:dyDescent="0.2">
      <c r="A89" s="89">
        <v>45346</v>
      </c>
      <c r="B89" s="128" t="s">
        <v>11</v>
      </c>
      <c r="C89" s="181" t="s">
        <v>2021</v>
      </c>
      <c r="D89" s="11" t="s">
        <v>29</v>
      </c>
      <c r="E89" s="86"/>
      <c r="F89" s="2">
        <v>399570</v>
      </c>
      <c r="G89" s="23"/>
      <c r="H89" s="23"/>
      <c r="I89" s="159"/>
      <c r="J89" s="160"/>
      <c r="K89" s="160"/>
      <c r="L89" s="70"/>
    </row>
    <row r="90" spans="1:12" s="2" customFormat="1" x14ac:dyDescent="0.2">
      <c r="A90" s="89">
        <v>45346</v>
      </c>
      <c r="B90" s="128" t="s">
        <v>11</v>
      </c>
      <c r="C90" s="181" t="s">
        <v>2098</v>
      </c>
      <c r="D90" s="11" t="s">
        <v>29</v>
      </c>
      <c r="E90" s="86"/>
      <c r="F90" s="2">
        <v>466670.2</v>
      </c>
      <c r="G90" s="23"/>
      <c r="H90" s="23"/>
      <c r="I90" s="159"/>
      <c r="J90" s="160"/>
      <c r="K90" s="160"/>
      <c r="L90" s="70"/>
    </row>
    <row r="91" spans="1:12" s="2" customFormat="1" x14ac:dyDescent="0.2">
      <c r="A91" s="89">
        <v>45346</v>
      </c>
      <c r="B91" s="128" t="s">
        <v>11</v>
      </c>
      <c r="C91" s="181" t="s">
        <v>745</v>
      </c>
      <c r="D91" s="11" t="s">
        <v>29</v>
      </c>
      <c r="E91" s="86"/>
      <c r="F91" s="2">
        <v>2491278</v>
      </c>
      <c r="G91" s="23"/>
      <c r="H91" s="23"/>
      <c r="I91" s="159"/>
      <c r="J91" s="160"/>
      <c r="K91" s="160"/>
      <c r="L91" s="70"/>
    </row>
    <row r="92" spans="1:12" s="2" customFormat="1" x14ac:dyDescent="0.2">
      <c r="A92" s="89">
        <v>45346</v>
      </c>
      <c r="B92" s="128" t="s">
        <v>11</v>
      </c>
      <c r="C92" s="181" t="s">
        <v>56</v>
      </c>
      <c r="D92" s="11" t="s">
        <v>29</v>
      </c>
      <c r="E92" s="86"/>
      <c r="F92" s="2">
        <v>974686</v>
      </c>
      <c r="G92" s="23"/>
      <c r="H92" s="23"/>
      <c r="I92" s="159"/>
      <c r="J92" s="160"/>
      <c r="K92" s="160"/>
      <c r="L92" s="70"/>
    </row>
    <row r="93" spans="1:12" s="2" customFormat="1" x14ac:dyDescent="0.2">
      <c r="A93" s="89">
        <v>45346</v>
      </c>
      <c r="B93" s="128" t="s">
        <v>11</v>
      </c>
      <c r="C93" s="181" t="s">
        <v>814</v>
      </c>
      <c r="D93" s="11" t="s">
        <v>29</v>
      </c>
      <c r="E93" s="86"/>
      <c r="F93" s="2">
        <v>91200</v>
      </c>
      <c r="G93" s="23"/>
      <c r="H93" s="23"/>
      <c r="I93" s="159"/>
      <c r="J93" s="160"/>
      <c r="K93" s="160"/>
      <c r="L93" s="70"/>
    </row>
    <row r="94" spans="1:12" s="2" customFormat="1" x14ac:dyDescent="0.2">
      <c r="A94" s="89">
        <v>45346</v>
      </c>
      <c r="B94" s="128" t="s">
        <v>11</v>
      </c>
      <c r="C94" s="181" t="s">
        <v>300</v>
      </c>
      <c r="D94" s="11" t="s">
        <v>29</v>
      </c>
      <c r="E94" s="86"/>
      <c r="F94" s="2">
        <v>357795</v>
      </c>
      <c r="G94" s="23"/>
      <c r="H94" s="23"/>
      <c r="I94" s="159"/>
      <c r="J94" s="160"/>
      <c r="K94" s="160"/>
      <c r="L94" s="70"/>
    </row>
    <row r="95" spans="1:12" s="2" customFormat="1" x14ac:dyDescent="0.2">
      <c r="A95" s="89">
        <v>45346</v>
      </c>
      <c r="B95" s="128" t="s">
        <v>11</v>
      </c>
      <c r="C95" s="181" t="s">
        <v>193</v>
      </c>
      <c r="D95" s="11" t="s">
        <v>29</v>
      </c>
      <c r="E95" s="86"/>
      <c r="F95" s="2">
        <v>1549964</v>
      </c>
      <c r="G95" s="23"/>
      <c r="H95" s="23"/>
      <c r="I95" s="159"/>
      <c r="J95" s="160"/>
      <c r="K95" s="160"/>
      <c r="L95" s="70"/>
    </row>
    <row r="96" spans="1:12" s="2" customFormat="1" x14ac:dyDescent="0.2">
      <c r="A96" s="89">
        <v>45346</v>
      </c>
      <c r="B96" s="128" t="s">
        <v>11</v>
      </c>
      <c r="C96" s="181" t="s">
        <v>171</v>
      </c>
      <c r="D96" s="11" t="s">
        <v>29</v>
      </c>
      <c r="E96" s="86"/>
      <c r="F96" s="2">
        <v>5652</v>
      </c>
      <c r="G96" s="23"/>
      <c r="H96" s="23"/>
      <c r="I96" s="159"/>
      <c r="J96" s="160"/>
      <c r="K96" s="160"/>
      <c r="L96" s="70"/>
    </row>
    <row r="97" spans="1:16" s="2" customFormat="1" x14ac:dyDescent="0.2">
      <c r="A97" s="89">
        <v>45346</v>
      </c>
      <c r="B97" s="128" t="s">
        <v>11</v>
      </c>
      <c r="C97" s="181" t="s">
        <v>63</v>
      </c>
      <c r="D97" s="11" t="s">
        <v>29</v>
      </c>
      <c r="E97" s="86"/>
      <c r="F97" s="2">
        <v>3000000</v>
      </c>
      <c r="G97" s="23"/>
      <c r="H97" s="23"/>
      <c r="I97" s="159"/>
      <c r="J97" s="160"/>
      <c r="K97" s="160"/>
      <c r="L97" s="70"/>
    </row>
    <row r="98" spans="1:16" s="2" customFormat="1" x14ac:dyDescent="0.2">
      <c r="A98" s="89">
        <v>45346</v>
      </c>
      <c r="B98" s="128" t="s">
        <v>11</v>
      </c>
      <c r="C98" s="181" t="s">
        <v>885</v>
      </c>
      <c r="D98" s="11" t="s">
        <v>29</v>
      </c>
      <c r="E98" s="86"/>
      <c r="F98" s="2">
        <v>3850</v>
      </c>
      <c r="G98" s="23"/>
      <c r="H98" s="23"/>
      <c r="I98" s="159"/>
      <c r="J98" s="160"/>
      <c r="K98" s="160"/>
      <c r="L98" s="70" t="s">
        <v>329</v>
      </c>
    </row>
    <row r="99" spans="1:16" s="70" customFormat="1" x14ac:dyDescent="0.2">
      <c r="A99" s="32"/>
      <c r="B99" s="33"/>
      <c r="C99" s="14"/>
      <c r="D99" s="34"/>
      <c r="E99" s="16">
        <f>SUM(E33:E98)</f>
        <v>40672637.18</v>
      </c>
      <c r="F99" s="16">
        <f>SUM(F33:F98)</f>
        <v>103002053.39999989</v>
      </c>
      <c r="G99" s="1"/>
      <c r="H99" s="1"/>
      <c r="I99" s="1"/>
      <c r="J99" s="38">
        <v>61371711.219999999</v>
      </c>
      <c r="K99" s="2"/>
      <c r="L99" s="92">
        <f>E100-J99</f>
        <v>957704.99999988824</v>
      </c>
      <c r="M99" s="2"/>
      <c r="N99" s="2"/>
      <c r="O99" s="2"/>
      <c r="P99" s="2"/>
    </row>
    <row r="100" spans="1:16" s="70" customFormat="1" x14ac:dyDescent="0.2">
      <c r="A100" s="36"/>
      <c r="B100" s="28" t="s">
        <v>11</v>
      </c>
      <c r="C100" s="19" t="s">
        <v>65</v>
      </c>
      <c r="D100" s="37"/>
      <c r="E100" s="38">
        <f>F99-E99</f>
        <v>62329416.219999887</v>
      </c>
      <c r="F100" s="22"/>
      <c r="G100" s="1"/>
      <c r="H100" s="1"/>
      <c r="I100" s="1"/>
      <c r="M100" s="2"/>
      <c r="N100" s="2"/>
      <c r="O100" s="1"/>
      <c r="P100" s="2"/>
    </row>
    <row r="101" spans="1:16" s="70" customFormat="1" x14ac:dyDescent="0.2">
      <c r="A101" s="36"/>
      <c r="B101" s="28" t="s">
        <v>66</v>
      </c>
      <c r="C101" s="19" t="s">
        <v>67</v>
      </c>
      <c r="D101" s="37"/>
      <c r="E101" s="38">
        <v>11500000</v>
      </c>
      <c r="F101" s="22"/>
      <c r="G101" s="1"/>
      <c r="H101" s="1"/>
      <c r="M101" s="2"/>
      <c r="N101" s="2"/>
      <c r="O101" s="1"/>
      <c r="P101" s="2"/>
    </row>
    <row r="102" spans="1:16" s="70" customFormat="1" x14ac:dyDescent="0.2">
      <c r="A102" s="36"/>
      <c r="B102" s="28" t="s">
        <v>66</v>
      </c>
      <c r="C102" s="43" t="s">
        <v>1457</v>
      </c>
      <c r="D102" s="43"/>
      <c r="E102" s="12">
        <f>400000000</f>
        <v>400000000</v>
      </c>
      <c r="F102" s="22"/>
      <c r="G102" s="1"/>
      <c r="H102" s="1"/>
      <c r="J102" s="45">
        <v>2278.98</v>
      </c>
      <c r="K102" s="46"/>
      <c r="L102" s="46"/>
      <c r="M102" s="2"/>
      <c r="N102" s="2"/>
      <c r="O102" s="1"/>
      <c r="P102" s="2"/>
    </row>
    <row r="103" spans="1:16" s="70" customFormat="1" ht="15" x14ac:dyDescent="0.25">
      <c r="A103" s="36"/>
      <c r="B103" s="28"/>
      <c r="C103" s="44" t="s">
        <v>1541</v>
      </c>
      <c r="D103" s="43"/>
      <c r="E103" s="7">
        <f>+E102+E100+E101</f>
        <v>473829416.21999991</v>
      </c>
      <c r="F103" s="22"/>
      <c r="G103" s="1"/>
      <c r="H103" s="1"/>
      <c r="I103" s="103" t="s">
        <v>69</v>
      </c>
      <c r="J103" s="45">
        <v>-114.2</v>
      </c>
      <c r="K103" s="46"/>
      <c r="L103" s="46"/>
      <c r="M103" s="2"/>
      <c r="N103" s="2"/>
      <c r="O103" s="1"/>
      <c r="P103" s="2"/>
    </row>
    <row r="104" spans="1:16" s="70" customFormat="1" ht="15" x14ac:dyDescent="0.25">
      <c r="A104" s="24"/>
      <c r="B104" s="1"/>
      <c r="C104" s="44" t="s">
        <v>1510</v>
      </c>
      <c r="D104" s="25"/>
      <c r="E104" s="156">
        <f>+J32-E101+I28-J28</f>
        <v>27128288.780000001</v>
      </c>
      <c r="F104" s="2"/>
      <c r="G104" s="1"/>
      <c r="H104" s="1"/>
      <c r="I104" s="35">
        <v>1</v>
      </c>
      <c r="J104" s="45">
        <v>103.35</v>
      </c>
      <c r="K104" s="46">
        <f>+J105-D107</f>
        <v>0</v>
      </c>
      <c r="L104" s="2"/>
      <c r="M104" s="2"/>
      <c r="N104" s="2"/>
      <c r="O104" s="1"/>
      <c r="P104" s="2"/>
    </row>
    <row r="105" spans="1:16" s="70" customFormat="1" ht="12.75" customHeight="1" x14ac:dyDescent="0.2">
      <c r="A105" s="24"/>
      <c r="B105" s="1"/>
      <c r="C105" s="56"/>
      <c r="D105" s="56"/>
      <c r="E105" s="104"/>
      <c r="F105" s="2"/>
      <c r="G105" s="166"/>
      <c r="H105" s="166"/>
      <c r="J105" s="49">
        <f>SUM(J102:J104)</f>
        <v>2268.13</v>
      </c>
      <c r="K105" s="46"/>
      <c r="L105" s="46"/>
      <c r="M105" s="124"/>
      <c r="N105" s="124"/>
      <c r="O105" s="1"/>
      <c r="P105" s="2"/>
    </row>
    <row r="106" spans="1:16" s="70" customFormat="1" ht="12.75" customHeight="1" x14ac:dyDescent="0.2">
      <c r="A106" s="24"/>
      <c r="B106" s="1"/>
      <c r="C106" s="78" t="s">
        <v>575</v>
      </c>
      <c r="D106" s="48" t="s">
        <v>576</v>
      </c>
      <c r="E106" s="104"/>
      <c r="F106" s="2"/>
      <c r="G106" s="168"/>
      <c r="H106" s="168"/>
      <c r="I106" s="167"/>
      <c r="J106" s="167"/>
      <c r="K106" s="168"/>
      <c r="L106" s="124"/>
      <c r="M106" s="124"/>
      <c r="N106" s="124"/>
      <c r="O106" s="124"/>
      <c r="P106" s="2"/>
    </row>
    <row r="107" spans="1:16" s="70" customFormat="1" ht="12.75" customHeight="1" x14ac:dyDescent="0.2">
      <c r="A107" s="24"/>
      <c r="B107" s="1"/>
      <c r="C107" s="47" t="s">
        <v>570</v>
      </c>
      <c r="D107" s="111">
        <v>2268.13</v>
      </c>
      <c r="E107" s="104"/>
      <c r="F107" s="2"/>
      <c r="G107" s="168"/>
      <c r="H107" s="168"/>
      <c r="I107" s="110" t="s">
        <v>581</v>
      </c>
      <c r="J107" s="167"/>
      <c r="K107" s="168"/>
      <c r="L107" s="124"/>
      <c r="M107" s="124"/>
      <c r="N107" s="124"/>
      <c r="O107" s="124"/>
      <c r="P107" s="124"/>
    </row>
    <row r="108" spans="1:16" s="70" customFormat="1" ht="12.75" customHeight="1" x14ac:dyDescent="0.2">
      <c r="A108" s="24"/>
      <c r="B108" s="1"/>
      <c r="C108" s="47" t="s">
        <v>931</v>
      </c>
      <c r="D108" s="111">
        <v>154.02000000000001</v>
      </c>
      <c r="E108" s="104"/>
      <c r="F108" s="2"/>
      <c r="G108" s="168"/>
      <c r="H108" s="168"/>
      <c r="I108" s="110" t="s">
        <v>580</v>
      </c>
      <c r="J108" s="167"/>
      <c r="K108" s="168"/>
      <c r="L108" s="124"/>
      <c r="M108" s="124"/>
      <c r="N108" s="124"/>
      <c r="O108" s="124"/>
      <c r="P108" s="124"/>
    </row>
    <row r="109" spans="1:16" s="70" customFormat="1" ht="12.75" customHeight="1" x14ac:dyDescent="0.2">
      <c r="A109" s="24"/>
      <c r="B109" s="1"/>
      <c r="C109" s="47" t="s">
        <v>572</v>
      </c>
      <c r="D109" s="111">
        <f>+D155/100000</f>
        <v>593.86171830000001</v>
      </c>
      <c r="E109" s="104"/>
      <c r="F109" s="2"/>
      <c r="G109" s="166"/>
      <c r="H109" s="166"/>
      <c r="I109" s="90" t="s">
        <v>587</v>
      </c>
      <c r="J109" s="167"/>
      <c r="K109" s="168"/>
      <c r="L109" s="124"/>
      <c r="M109" s="124"/>
      <c r="N109" s="124"/>
      <c r="O109" s="124"/>
      <c r="P109" s="124"/>
    </row>
    <row r="110" spans="1:16" s="70" customFormat="1" ht="12.75" customHeight="1" x14ac:dyDescent="0.2">
      <c r="A110" s="24"/>
      <c r="B110" s="1"/>
      <c r="C110" s="108" t="s">
        <v>578</v>
      </c>
      <c r="D110" s="48">
        <f>SUM(D107:D109)</f>
        <v>3016.0117183000002</v>
      </c>
      <c r="E110" s="104"/>
      <c r="F110" s="2"/>
      <c r="G110" s="30"/>
      <c r="H110" s="30"/>
      <c r="I110" s="2"/>
      <c r="J110" s="13"/>
      <c r="K110" s="13"/>
      <c r="L110" s="2"/>
      <c r="M110" s="2"/>
      <c r="N110" s="2"/>
      <c r="O110" s="124"/>
      <c r="P110" s="124"/>
    </row>
    <row r="111" spans="1:16" s="70" customFormat="1" ht="12.75" customHeight="1" x14ac:dyDescent="0.2">
      <c r="A111" s="24"/>
      <c r="B111" s="1"/>
      <c r="C111" s="47"/>
      <c r="D111" s="107"/>
      <c r="E111" s="104"/>
      <c r="F111" s="2"/>
      <c r="G111" s="30"/>
      <c r="H111" s="30"/>
      <c r="I111" s="2"/>
      <c r="O111" s="2"/>
      <c r="P111" s="124"/>
    </row>
    <row r="112" spans="1:16" s="70" customFormat="1" ht="12.75" customHeight="1" x14ac:dyDescent="0.2">
      <c r="A112" s="24"/>
      <c r="B112" s="1"/>
      <c r="C112" s="47" t="s">
        <v>932</v>
      </c>
      <c r="D112" s="111">
        <v>186.2</v>
      </c>
      <c r="E112" s="104"/>
      <c r="F112" s="2"/>
      <c r="G112" s="30"/>
      <c r="H112" s="30"/>
      <c r="I112" s="110" t="s">
        <v>581</v>
      </c>
      <c r="P112" s="2"/>
    </row>
    <row r="113" spans="1:19" s="70" customFormat="1" ht="12.75" customHeight="1" x14ac:dyDescent="0.2">
      <c r="A113" s="24"/>
      <c r="B113" s="1"/>
      <c r="C113" s="136" t="s">
        <v>1142</v>
      </c>
      <c r="D113" s="111">
        <v>689.93</v>
      </c>
      <c r="E113" s="104"/>
      <c r="F113" s="2"/>
      <c r="G113" s="30"/>
      <c r="H113" s="30"/>
      <c r="I113" s="110" t="s">
        <v>581</v>
      </c>
    </row>
    <row r="114" spans="1:19" s="70" customFormat="1" ht="12.75" customHeight="1" x14ac:dyDescent="0.2">
      <c r="A114" s="24"/>
      <c r="B114" s="1"/>
      <c r="C114" s="78" t="s">
        <v>579</v>
      </c>
      <c r="D114" s="109">
        <f>D112+D113</f>
        <v>876.12999999999988</v>
      </c>
      <c r="E114" s="104"/>
      <c r="F114" s="2"/>
      <c r="G114" s="30"/>
      <c r="H114" s="30"/>
      <c r="Q114" s="2"/>
      <c r="R114" s="2"/>
      <c r="S114" s="2"/>
    </row>
    <row r="115" spans="1:19" s="2" customFormat="1" x14ac:dyDescent="0.2">
      <c r="A115" s="24"/>
      <c r="B115" s="1"/>
      <c r="C115" s="105"/>
      <c r="D115" s="106"/>
      <c r="E115" s="104"/>
      <c r="G115" s="30"/>
      <c r="H115" s="30"/>
      <c r="I115" s="70"/>
      <c r="K115" s="221" t="str">
        <f>"FROM ( 01-02-2024 to "&amp;TEXT(A5,"dd-mm-yyyy")&amp;" )"</f>
        <v>FROM ( 01-02-2024 to 24-02-2024 )</v>
      </c>
      <c r="L115" s="221"/>
      <c r="O115" s="70"/>
      <c r="P115" s="70"/>
    </row>
    <row r="116" spans="1:19" s="2" customFormat="1" x14ac:dyDescent="0.2">
      <c r="A116" s="24"/>
      <c r="B116" s="1"/>
      <c r="C116" s="78" t="s">
        <v>577</v>
      </c>
      <c r="D116" s="109">
        <f>D107+D114</f>
        <v>3144.26</v>
      </c>
      <c r="E116" s="104"/>
      <c r="G116" s="30"/>
      <c r="H116" s="30"/>
      <c r="I116" s="70"/>
      <c r="J116" s="113"/>
      <c r="K116" s="113" t="s">
        <v>709</v>
      </c>
      <c r="L116" s="113" t="s">
        <v>710</v>
      </c>
      <c r="M116" s="113" t="s">
        <v>711</v>
      </c>
      <c r="N116" s="113" t="s">
        <v>712</v>
      </c>
      <c r="O116" s="70"/>
      <c r="P116" s="70"/>
    </row>
    <row r="117" spans="1:19" s="2" customFormat="1" x14ac:dyDescent="0.2">
      <c r="A117" s="24"/>
      <c r="B117" s="1"/>
      <c r="C117" s="56"/>
      <c r="D117" s="56"/>
      <c r="E117" s="104"/>
      <c r="G117" s="30"/>
      <c r="H117" s="30"/>
      <c r="I117" s="70"/>
      <c r="J117" s="113" t="s">
        <v>1860</v>
      </c>
      <c r="K117" s="115">
        <v>191.98999999999998</v>
      </c>
      <c r="L117" s="115">
        <v>27.85</v>
      </c>
      <c r="M117" s="115">
        <v>0</v>
      </c>
      <c r="N117" s="113">
        <f>+K117+M117-L117</f>
        <v>164.14</v>
      </c>
      <c r="O117" s="70"/>
      <c r="P117" s="70"/>
    </row>
    <row r="118" spans="1:19" s="2" customFormat="1" ht="38.25" x14ac:dyDescent="0.2">
      <c r="A118" s="24"/>
      <c r="B118" s="1"/>
      <c r="C118" s="79" t="str">
        <f>"Particulars ( 01-02-2024 to "&amp;TEXT(A5,"dd-mm-yyyy")&amp;" )"</f>
        <v>Particulars ( 01-02-2024 to 24-02-2024 )</v>
      </c>
      <c r="D118" s="79" t="s">
        <v>7</v>
      </c>
      <c r="E118" s="80" t="s">
        <v>73</v>
      </c>
      <c r="F118" s="80" t="s">
        <v>74</v>
      </c>
      <c r="G118" s="81" t="s">
        <v>75</v>
      </c>
      <c r="H118" s="80" t="s">
        <v>76</v>
      </c>
      <c r="I118" s="70"/>
      <c r="J118" s="113" t="s">
        <v>1861</v>
      </c>
      <c r="K118" s="115">
        <v>1862.06</v>
      </c>
      <c r="L118" s="115">
        <v>937.54</v>
      </c>
      <c r="M118" s="115">
        <v>1061.46</v>
      </c>
      <c r="N118" s="113">
        <f>+K118+M118-L118</f>
        <v>1985.98</v>
      </c>
      <c r="O118" s="70"/>
      <c r="P118" s="70"/>
    </row>
    <row r="119" spans="1:19" s="2" customFormat="1" x14ac:dyDescent="0.2">
      <c r="A119" s="24"/>
      <c r="B119" s="1"/>
      <c r="C119" s="50" t="s">
        <v>444</v>
      </c>
      <c r="D119" s="55">
        <f>+K119</f>
        <v>332.44</v>
      </c>
      <c r="E119" s="55">
        <f>+IF(M119=0,0,M119)</f>
        <v>186.2</v>
      </c>
      <c r="F119" s="55">
        <f>+L119</f>
        <v>154.02000000000001</v>
      </c>
      <c r="G119" s="55">
        <f>+D119+E119-F119</f>
        <v>364.62</v>
      </c>
      <c r="H119" s="55">
        <f>1500-G119</f>
        <v>1135.3800000000001</v>
      </c>
      <c r="I119" s="70">
        <f>+IF(M119=0,0,M119)</f>
        <v>186.2</v>
      </c>
      <c r="J119" s="113" t="s">
        <v>707</v>
      </c>
      <c r="K119" s="115">
        <v>332.44</v>
      </c>
      <c r="L119" s="115">
        <v>154.02000000000001</v>
      </c>
      <c r="M119" s="115">
        <v>186.2</v>
      </c>
      <c r="N119" s="113">
        <f>+K119+M119-L119</f>
        <v>364.62</v>
      </c>
      <c r="O119" s="70"/>
      <c r="P119" s="70"/>
    </row>
    <row r="120" spans="1:19" s="2" customFormat="1" x14ac:dyDescent="0.2">
      <c r="A120" s="24"/>
      <c r="B120" s="1"/>
      <c r="C120" s="50" t="s">
        <v>71</v>
      </c>
      <c r="D120" s="55">
        <f>+K117+K118</f>
        <v>2054.0499999999997</v>
      </c>
      <c r="E120" s="55">
        <f>+M117+M118</f>
        <v>1061.46</v>
      </c>
      <c r="F120" s="55">
        <f>+L117+L118</f>
        <v>965.39</v>
      </c>
      <c r="G120" s="55">
        <f>+D120+E120-F120</f>
        <v>2150.12</v>
      </c>
      <c r="H120" s="55">
        <f>1500+700+200-G120</f>
        <v>249.88000000000011</v>
      </c>
      <c r="I120" s="70"/>
      <c r="K120" s="118">
        <f>SUM(K117:K119)</f>
        <v>2386.4899999999998</v>
      </c>
      <c r="L120" s="118">
        <f>SUM(L117:L119)</f>
        <v>1119.4100000000001</v>
      </c>
      <c r="M120" s="118">
        <f>SUM(M117:M119)</f>
        <v>1247.6600000000001</v>
      </c>
      <c r="N120" s="118">
        <f>SUM(N117:N119)</f>
        <v>2514.7399999999998</v>
      </c>
      <c r="O120" s="70"/>
      <c r="P120" s="70"/>
    </row>
    <row r="121" spans="1:19" s="2" customFormat="1" x14ac:dyDescent="0.2">
      <c r="A121" s="24"/>
      <c r="B121" s="1"/>
      <c r="C121" s="14"/>
      <c r="D121" s="56"/>
      <c r="E121" s="13"/>
      <c r="G121" s="30"/>
      <c r="H121" s="30"/>
      <c r="I121" s="70"/>
      <c r="J121" s="70"/>
      <c r="K121" s="70"/>
      <c r="L121" s="70"/>
      <c r="M121" s="70"/>
      <c r="N121" s="70"/>
      <c r="O121" s="70"/>
      <c r="P121" s="70"/>
    </row>
    <row r="122" spans="1:19" s="2" customFormat="1" x14ac:dyDescent="0.2">
      <c r="A122" s="215" t="s">
        <v>80</v>
      </c>
      <c r="B122" s="216"/>
      <c r="C122" s="216"/>
      <c r="D122" s="217"/>
      <c r="E122" s="69"/>
      <c r="F122" s="70"/>
      <c r="G122" s="30"/>
      <c r="H122" s="30"/>
      <c r="I122" s="70"/>
      <c r="J122" s="70"/>
      <c r="K122" s="70"/>
      <c r="L122" s="70"/>
      <c r="M122" s="70"/>
      <c r="N122" s="70"/>
      <c r="O122" s="70"/>
      <c r="P122" s="70"/>
    </row>
    <row r="123" spans="1:19" s="2" customFormat="1" x14ac:dyDescent="0.2">
      <c r="A123" s="71" t="s">
        <v>81</v>
      </c>
      <c r="B123" s="71"/>
      <c r="C123" s="72" t="s">
        <v>82</v>
      </c>
      <c r="D123" s="73" t="s">
        <v>83</v>
      </c>
      <c r="E123" s="69"/>
      <c r="F123" s="70"/>
      <c r="G123" s="30"/>
      <c r="H123" s="30"/>
      <c r="I123" s="70"/>
      <c r="J123" s="70"/>
      <c r="K123" s="70"/>
      <c r="L123" s="70"/>
      <c r="M123" s="70"/>
      <c r="N123" s="70"/>
      <c r="O123" s="70"/>
      <c r="P123" s="70"/>
    </row>
    <row r="124" spans="1:19" s="2" customFormat="1" x14ac:dyDescent="0.2">
      <c r="A124" s="87">
        <v>45323</v>
      </c>
      <c r="B124" s="120" t="s">
        <v>6</v>
      </c>
      <c r="C124" s="75" t="s">
        <v>18</v>
      </c>
      <c r="D124" s="88">
        <v>881220</v>
      </c>
      <c r="G124" s="30"/>
      <c r="H124" s="30"/>
      <c r="M124" s="41"/>
      <c r="N124" s="42"/>
      <c r="O124" s="70"/>
      <c r="P124" s="70"/>
    </row>
    <row r="125" spans="1:19" s="2" customFormat="1" x14ac:dyDescent="0.2">
      <c r="A125" s="87">
        <v>45324</v>
      </c>
      <c r="B125" s="120" t="s">
        <v>6</v>
      </c>
      <c r="C125" s="75" t="s">
        <v>270</v>
      </c>
      <c r="D125" s="88">
        <v>47729</v>
      </c>
      <c r="G125" s="30"/>
      <c r="H125" s="30"/>
      <c r="M125" s="41"/>
      <c r="N125" s="42"/>
      <c r="P125" s="70"/>
    </row>
    <row r="126" spans="1:19" s="2" customFormat="1" x14ac:dyDescent="0.2">
      <c r="A126" s="87">
        <v>45327</v>
      </c>
      <c r="B126" s="120" t="s">
        <v>6</v>
      </c>
      <c r="C126" s="75" t="s">
        <v>271</v>
      </c>
      <c r="D126" s="88">
        <v>56647</v>
      </c>
      <c r="G126" s="30"/>
      <c r="H126" s="30"/>
      <c r="M126" s="41"/>
      <c r="N126" s="42"/>
      <c r="P126" s="70"/>
    </row>
    <row r="127" spans="1:19" s="2" customFormat="1" x14ac:dyDescent="0.2">
      <c r="A127" s="87">
        <v>45328</v>
      </c>
      <c r="B127" s="120" t="s">
        <v>6</v>
      </c>
      <c r="C127" s="75" t="s">
        <v>87</v>
      </c>
      <c r="D127" s="88">
        <v>1312580</v>
      </c>
      <c r="G127" s="30"/>
      <c r="H127" s="30"/>
      <c r="M127" s="41"/>
      <c r="N127" s="42"/>
      <c r="P127" s="70"/>
    </row>
    <row r="128" spans="1:19" s="2" customFormat="1" x14ac:dyDescent="0.2">
      <c r="A128" s="87">
        <v>45329</v>
      </c>
      <c r="B128" s="120" t="s">
        <v>6</v>
      </c>
      <c r="C128" s="75" t="s">
        <v>18</v>
      </c>
      <c r="D128" s="88">
        <v>548859</v>
      </c>
      <c r="G128" s="30"/>
      <c r="H128" s="30"/>
      <c r="M128" s="41"/>
      <c r="N128" s="42"/>
      <c r="P128" s="70"/>
    </row>
    <row r="129" spans="1:16" s="2" customFormat="1" x14ac:dyDescent="0.2">
      <c r="A129" s="87">
        <v>45332</v>
      </c>
      <c r="B129" s="120" t="s">
        <v>6</v>
      </c>
      <c r="C129" s="75" t="s">
        <v>594</v>
      </c>
      <c r="D129" s="88">
        <v>1603904</v>
      </c>
      <c r="G129" s="30"/>
      <c r="H129" s="30"/>
      <c r="M129" s="41"/>
      <c r="N129" s="42"/>
      <c r="P129" s="70"/>
    </row>
    <row r="130" spans="1:16" s="2" customFormat="1" x14ac:dyDescent="0.2">
      <c r="A130" s="87">
        <v>45334</v>
      </c>
      <c r="B130" s="120" t="s">
        <v>6</v>
      </c>
      <c r="C130" s="75" t="s">
        <v>270</v>
      </c>
      <c r="D130" s="88">
        <v>126143</v>
      </c>
      <c r="G130" s="30"/>
      <c r="H130" s="30"/>
      <c r="M130" s="41"/>
      <c r="N130" s="42"/>
      <c r="P130" s="70"/>
    </row>
    <row r="131" spans="1:16" s="2" customFormat="1" x14ac:dyDescent="0.2">
      <c r="A131" s="87">
        <v>45334</v>
      </c>
      <c r="B131" s="120" t="s">
        <v>6</v>
      </c>
      <c r="C131" s="75" t="s">
        <v>323</v>
      </c>
      <c r="D131" s="88">
        <v>231107</v>
      </c>
      <c r="G131" s="30"/>
      <c r="H131" s="30"/>
      <c r="M131" s="41"/>
      <c r="N131" s="42"/>
      <c r="P131" s="70"/>
    </row>
    <row r="132" spans="1:16" s="2" customFormat="1" x14ac:dyDescent="0.2">
      <c r="A132" s="87">
        <v>45335</v>
      </c>
      <c r="B132" s="120" t="s">
        <v>6</v>
      </c>
      <c r="C132" s="75" t="s">
        <v>271</v>
      </c>
      <c r="D132" s="88">
        <v>9126</v>
      </c>
      <c r="G132" s="30"/>
      <c r="H132" s="30"/>
      <c r="P132" s="70"/>
    </row>
    <row r="133" spans="1:16" s="2" customFormat="1" x14ac:dyDescent="0.2">
      <c r="A133" s="87">
        <v>45336</v>
      </c>
      <c r="B133" s="120" t="s">
        <v>6</v>
      </c>
      <c r="C133" s="75" t="s">
        <v>18</v>
      </c>
      <c r="D133" s="88">
        <v>1067908</v>
      </c>
      <c r="G133" s="30"/>
      <c r="H133" s="30"/>
      <c r="P133" s="70"/>
    </row>
    <row r="134" spans="1:16" s="2" customFormat="1" x14ac:dyDescent="0.2">
      <c r="A134" s="87">
        <v>45337</v>
      </c>
      <c r="B134" s="120" t="s">
        <v>6</v>
      </c>
      <c r="C134" s="75" t="s">
        <v>201</v>
      </c>
      <c r="D134" s="88">
        <v>78251</v>
      </c>
      <c r="F134" s="2" t="s">
        <v>396</v>
      </c>
      <c r="G134" s="30"/>
      <c r="H134" s="30"/>
      <c r="P134" s="70"/>
    </row>
    <row r="135" spans="1:16" s="2" customFormat="1" x14ac:dyDescent="0.2">
      <c r="A135" s="87">
        <v>45337</v>
      </c>
      <c r="B135" s="120" t="s">
        <v>6</v>
      </c>
      <c r="C135" s="75" t="s">
        <v>271</v>
      </c>
      <c r="D135" s="88">
        <v>17527</v>
      </c>
      <c r="G135" s="30"/>
      <c r="H135" s="30"/>
      <c r="P135" s="70"/>
    </row>
    <row r="136" spans="1:16" s="2" customFormat="1" x14ac:dyDescent="0.2">
      <c r="A136" s="87">
        <v>45338</v>
      </c>
      <c r="B136" s="120" t="s">
        <v>6</v>
      </c>
      <c r="C136" s="75" t="s">
        <v>1789</v>
      </c>
      <c r="D136" s="88">
        <v>1418915</v>
      </c>
      <c r="F136" s="2" t="s">
        <v>396</v>
      </c>
      <c r="G136" s="30"/>
      <c r="H136" s="30"/>
      <c r="P136" s="70"/>
    </row>
    <row r="137" spans="1:16" s="2" customFormat="1" x14ac:dyDescent="0.2">
      <c r="A137" s="87">
        <v>45338</v>
      </c>
      <c r="B137" s="120" t="s">
        <v>6</v>
      </c>
      <c r="C137" s="75" t="s">
        <v>87</v>
      </c>
      <c r="D137" s="88">
        <v>3685988</v>
      </c>
      <c r="G137" s="30"/>
      <c r="H137" s="30"/>
      <c r="P137" s="70"/>
    </row>
    <row r="138" spans="1:16" s="2" customFormat="1" x14ac:dyDescent="0.2">
      <c r="A138" s="87">
        <v>45339</v>
      </c>
      <c r="B138" s="120" t="s">
        <v>6</v>
      </c>
      <c r="C138" s="75" t="s">
        <v>271</v>
      </c>
      <c r="D138" s="88">
        <v>423618</v>
      </c>
      <c r="G138" s="30"/>
      <c r="H138" s="30"/>
      <c r="P138" s="70"/>
    </row>
    <row r="139" spans="1:16" s="2" customFormat="1" x14ac:dyDescent="0.2">
      <c r="A139" s="87">
        <v>45339</v>
      </c>
      <c r="B139" s="120" t="s">
        <v>6</v>
      </c>
      <c r="C139" s="2" t="s">
        <v>18</v>
      </c>
      <c r="D139" s="88">
        <v>875762</v>
      </c>
      <c r="G139" s="30"/>
      <c r="H139" s="30"/>
      <c r="P139" s="70"/>
    </row>
    <row r="140" spans="1:16" s="2" customFormat="1" x14ac:dyDescent="0.2">
      <c r="A140" s="87">
        <v>45341</v>
      </c>
      <c r="B140" s="120" t="s">
        <v>6</v>
      </c>
      <c r="C140" s="2" t="s">
        <v>271</v>
      </c>
      <c r="D140" s="88">
        <v>121500</v>
      </c>
      <c r="G140" s="30"/>
      <c r="H140" s="30"/>
      <c r="P140" s="70"/>
    </row>
    <row r="141" spans="1:16" s="2" customFormat="1" x14ac:dyDescent="0.2">
      <c r="A141" s="87">
        <v>45341</v>
      </c>
      <c r="B141" s="120" t="s">
        <v>6</v>
      </c>
      <c r="C141" s="75" t="s">
        <v>270</v>
      </c>
      <c r="D141" s="88">
        <v>58247.99</v>
      </c>
      <c r="G141" s="30"/>
      <c r="H141" s="30"/>
      <c r="P141" s="70"/>
    </row>
    <row r="142" spans="1:16" s="2" customFormat="1" x14ac:dyDescent="0.2">
      <c r="A142" s="87">
        <v>45341</v>
      </c>
      <c r="B142" s="120" t="s">
        <v>6</v>
      </c>
      <c r="C142" s="75" t="s">
        <v>88</v>
      </c>
      <c r="D142" s="88">
        <v>5824017.3399999999</v>
      </c>
      <c r="G142" s="30"/>
      <c r="H142" s="30"/>
      <c r="P142" s="70"/>
    </row>
    <row r="143" spans="1:16" s="2" customFormat="1" x14ac:dyDescent="0.2">
      <c r="A143" s="87">
        <v>45341</v>
      </c>
      <c r="B143" s="120" t="s">
        <v>6</v>
      </c>
      <c r="C143" s="75" t="s">
        <v>270</v>
      </c>
      <c r="D143" s="88">
        <v>164904</v>
      </c>
      <c r="G143" s="30"/>
      <c r="H143" s="30"/>
      <c r="P143" s="70"/>
    </row>
    <row r="144" spans="1:16" s="2" customFormat="1" x14ac:dyDescent="0.2">
      <c r="A144" s="87">
        <v>45342</v>
      </c>
      <c r="B144" s="120" t="s">
        <v>6</v>
      </c>
      <c r="C144" s="75" t="s">
        <v>201</v>
      </c>
      <c r="D144" s="88">
        <v>6536518</v>
      </c>
      <c r="G144" s="30"/>
      <c r="H144" s="30"/>
      <c r="P144" s="70"/>
    </row>
    <row r="145" spans="1:16" s="2" customFormat="1" x14ac:dyDescent="0.2">
      <c r="A145" s="87">
        <v>45343</v>
      </c>
      <c r="B145" s="120" t="s">
        <v>6</v>
      </c>
      <c r="C145" s="75" t="s">
        <v>84</v>
      </c>
      <c r="D145" s="88">
        <v>2997902</v>
      </c>
      <c r="G145" s="30"/>
      <c r="H145" s="30"/>
      <c r="P145" s="70"/>
    </row>
    <row r="146" spans="1:16" s="2" customFormat="1" x14ac:dyDescent="0.2">
      <c r="A146" s="87">
        <v>45343</v>
      </c>
      <c r="B146" s="120" t="s">
        <v>6</v>
      </c>
      <c r="C146" s="75" t="s">
        <v>201</v>
      </c>
      <c r="D146" s="88">
        <v>15000146.5</v>
      </c>
      <c r="G146" s="30"/>
      <c r="H146" s="30"/>
      <c r="P146" s="70"/>
    </row>
    <row r="147" spans="1:16" s="2" customFormat="1" x14ac:dyDescent="0.2">
      <c r="A147" s="87">
        <v>45343</v>
      </c>
      <c r="B147" s="120" t="s">
        <v>6</v>
      </c>
      <c r="C147" s="75" t="s">
        <v>84</v>
      </c>
      <c r="D147" s="88">
        <v>2098</v>
      </c>
      <c r="G147" s="30"/>
      <c r="H147" s="30"/>
      <c r="P147" s="70"/>
    </row>
    <row r="148" spans="1:16" s="2" customFormat="1" x14ac:dyDescent="0.2">
      <c r="A148" s="87">
        <v>45343</v>
      </c>
      <c r="B148" s="120" t="s">
        <v>6</v>
      </c>
      <c r="C148" s="75" t="s">
        <v>18</v>
      </c>
      <c r="D148" s="88">
        <v>465686</v>
      </c>
      <c r="G148" s="30"/>
      <c r="H148" s="30"/>
      <c r="P148" s="70"/>
    </row>
    <row r="149" spans="1:16" s="2" customFormat="1" x14ac:dyDescent="0.2">
      <c r="A149" s="87">
        <v>45344</v>
      </c>
      <c r="B149" s="120" t="s">
        <v>6</v>
      </c>
      <c r="C149" s="75" t="s">
        <v>86</v>
      </c>
      <c r="D149" s="88">
        <v>107495</v>
      </c>
      <c r="G149" s="30"/>
      <c r="H149" s="30"/>
      <c r="P149" s="70"/>
    </row>
    <row r="150" spans="1:16" s="2" customFormat="1" x14ac:dyDescent="0.2">
      <c r="A150" s="87">
        <v>45344</v>
      </c>
      <c r="B150" s="120" t="s">
        <v>6</v>
      </c>
      <c r="C150" s="75" t="s">
        <v>86</v>
      </c>
      <c r="D150" s="88">
        <v>4051957</v>
      </c>
      <c r="G150" s="30"/>
      <c r="H150" s="30"/>
      <c r="P150" s="70"/>
    </row>
    <row r="151" spans="1:16" s="2" customFormat="1" x14ac:dyDescent="0.2">
      <c r="A151" s="87">
        <v>45344</v>
      </c>
      <c r="B151" s="120" t="s">
        <v>6</v>
      </c>
      <c r="C151" s="75" t="s">
        <v>594</v>
      </c>
      <c r="D151" s="88">
        <v>3989745</v>
      </c>
      <c r="G151" s="30"/>
      <c r="H151" s="30"/>
      <c r="P151" s="70"/>
    </row>
    <row r="152" spans="1:16" s="2" customFormat="1" x14ac:dyDescent="0.2">
      <c r="A152" s="87">
        <v>45344</v>
      </c>
      <c r="B152" s="120" t="s">
        <v>6</v>
      </c>
      <c r="C152" s="75" t="s">
        <v>594</v>
      </c>
      <c r="D152" s="88">
        <v>2520</v>
      </c>
      <c r="G152" s="30"/>
      <c r="H152" s="30"/>
      <c r="P152" s="70"/>
    </row>
    <row r="153" spans="1:16" s="2" customFormat="1" x14ac:dyDescent="0.2">
      <c r="A153" s="87">
        <v>45345</v>
      </c>
      <c r="B153" s="120" t="s">
        <v>6</v>
      </c>
      <c r="C153" s="75" t="s">
        <v>87</v>
      </c>
      <c r="D153" s="88">
        <v>6959736</v>
      </c>
      <c r="G153" s="30"/>
      <c r="H153" s="30"/>
      <c r="P153" s="70"/>
    </row>
    <row r="154" spans="1:16" s="2" customFormat="1" x14ac:dyDescent="0.2">
      <c r="A154" s="87">
        <v>45345</v>
      </c>
      <c r="B154" s="120" t="s">
        <v>6</v>
      </c>
      <c r="C154" s="75" t="s">
        <v>271</v>
      </c>
      <c r="D154" s="88">
        <v>718415</v>
      </c>
      <c r="G154" s="30"/>
      <c r="H154" s="30"/>
      <c r="P154" s="70"/>
    </row>
    <row r="155" spans="1:16" s="2" customFormat="1" x14ac:dyDescent="0.2">
      <c r="A155" s="87"/>
      <c r="B155" s="74"/>
      <c r="C155" s="75"/>
      <c r="D155" s="51">
        <f>SUM(D124:D154)</f>
        <v>59386171.829999998</v>
      </c>
      <c r="F155" s="2" t="s">
        <v>396</v>
      </c>
      <c r="G155" s="1"/>
      <c r="H155" s="1"/>
      <c r="P155" s="70"/>
    </row>
    <row r="156" spans="1:16" s="2" customFormat="1" x14ac:dyDescent="0.2">
      <c r="A156" s="24"/>
      <c r="B156" s="1"/>
      <c r="C156" s="14"/>
      <c r="D156" s="56"/>
      <c r="E156" s="13"/>
      <c r="G156" s="1"/>
      <c r="H156" s="1"/>
      <c r="I156" s="2" t="s">
        <v>396</v>
      </c>
    </row>
    <row r="157" spans="1:16" s="2" customFormat="1" x14ac:dyDescent="0.2">
      <c r="A157" s="24"/>
      <c r="B157" s="1"/>
      <c r="C157" s="218" t="s">
        <v>77</v>
      </c>
      <c r="D157" s="219"/>
      <c r="E157" s="219"/>
      <c r="F157" s="220"/>
      <c r="I157" s="2" t="s">
        <v>396</v>
      </c>
    </row>
    <row r="158" spans="1:16" s="2" customFormat="1" x14ac:dyDescent="0.2">
      <c r="A158" s="24"/>
      <c r="B158" s="1"/>
      <c r="C158" s="50"/>
      <c r="D158" s="57" t="s">
        <v>78</v>
      </c>
      <c r="E158" s="58" t="s">
        <v>79</v>
      </c>
      <c r="F158" s="57" t="s">
        <v>72</v>
      </c>
    </row>
    <row r="159" spans="1:16" s="2" customFormat="1" x14ac:dyDescent="0.2">
      <c r="A159" s="24"/>
      <c r="B159" s="1"/>
      <c r="C159" s="59" t="str">
        <f>"01-02-2024 to "&amp;TEXT(A5-2,"dd-mm-yyyy")</f>
        <v>01-02-2024 to 22-02-2024</v>
      </c>
      <c r="D159" s="60">
        <v>2787.55</v>
      </c>
      <c r="E159" s="60">
        <v>501.01</v>
      </c>
      <c r="F159" s="61">
        <f>SUM(D159:E159)</f>
        <v>3288.5600000000004</v>
      </c>
      <c r="I159" s="53"/>
    </row>
    <row r="160" spans="1:16" s="2" customFormat="1" x14ac:dyDescent="0.2">
      <c r="A160" s="24"/>
      <c r="B160" s="1"/>
      <c r="C160" s="62" t="str">
        <f>TEXT(A5-1,"dd-mm-yyyy")</f>
        <v>23-02-2024</v>
      </c>
      <c r="D160" s="60">
        <v>104.1</v>
      </c>
      <c r="E160" s="60">
        <v>38.950000000000003</v>
      </c>
      <c r="F160" s="61">
        <f>SUM(D160:E160)</f>
        <v>143.05000000000001</v>
      </c>
      <c r="G160" s="1"/>
      <c r="H160" s="1"/>
      <c r="I160" s="53"/>
    </row>
    <row r="161" spans="1:19" s="2" customFormat="1" ht="13.5" thickBot="1" x14ac:dyDescent="0.25">
      <c r="A161" s="24"/>
      <c r="B161" s="1"/>
      <c r="C161" s="63" t="str">
        <f>"01-02-2024 to "&amp;TEXT(A5-1,"dd-mm-yyyy")</f>
        <v>01-02-2024 to 23-02-2024</v>
      </c>
      <c r="D161" s="64">
        <f>SUM(D159:D160)</f>
        <v>2891.65</v>
      </c>
      <c r="E161" s="64">
        <f>SUM(E159:E160)</f>
        <v>539.96</v>
      </c>
      <c r="F161" s="64">
        <f>SUM(F159:F160)</f>
        <v>3431.6100000000006</v>
      </c>
      <c r="G161" s="1"/>
      <c r="H161" s="1"/>
      <c r="M161" s="1"/>
      <c r="N161" s="1"/>
    </row>
    <row r="162" spans="1:19" s="2" customFormat="1" ht="13.5" thickTop="1" x14ac:dyDescent="0.2">
      <c r="A162" s="24"/>
      <c r="B162" s="1"/>
      <c r="C162" s="62"/>
      <c r="D162" s="65"/>
      <c r="E162" s="66"/>
      <c r="F162" s="67"/>
      <c r="M162" s="1"/>
      <c r="N162" s="1"/>
    </row>
    <row r="163" spans="1:19" s="2" customFormat="1" x14ac:dyDescent="0.2">
      <c r="A163" s="24"/>
      <c r="B163" s="1"/>
      <c r="C163" s="62" t="str">
        <f>"01-04-2023 to " &amp;C160</f>
        <v>01-04-2023 to 23-02-2024</v>
      </c>
      <c r="D163" s="68">
        <f>+D161+37155.6</f>
        <v>40047.25</v>
      </c>
      <c r="E163" s="68">
        <f>+E161+4502.26</f>
        <v>5042.22</v>
      </c>
      <c r="F163" s="68">
        <f>+F161+41657.86</f>
        <v>45089.47</v>
      </c>
      <c r="G163" s="1"/>
      <c r="H163" s="1"/>
      <c r="M163" s="1"/>
      <c r="N163" s="1"/>
    </row>
    <row r="164" spans="1:19" s="2" customFormat="1" x14ac:dyDescent="0.2">
      <c r="A164" s="24"/>
      <c r="B164" s="1"/>
      <c r="C164" s="52"/>
      <c r="D164" s="85"/>
      <c r="E164" s="53"/>
      <c r="F164" s="53"/>
      <c r="G164" s="1"/>
      <c r="H164" s="1"/>
      <c r="M164" s="1"/>
      <c r="N164" s="1"/>
    </row>
    <row r="165" spans="1:19" s="2" customFormat="1" x14ac:dyDescent="0.2">
      <c r="A165" s="24"/>
      <c r="B165" s="1"/>
      <c r="C165" s="52"/>
      <c r="D165" s="85"/>
      <c r="E165" s="53"/>
      <c r="F165" s="53"/>
      <c r="G165" s="1"/>
      <c r="H165" s="1"/>
      <c r="M165" s="1"/>
      <c r="N165" s="1"/>
    </row>
    <row r="166" spans="1:19" s="2" customFormat="1" x14ac:dyDescent="0.2">
      <c r="A166" s="24"/>
      <c r="B166" s="1"/>
      <c r="C166" s="52"/>
      <c r="D166" s="85"/>
      <c r="E166" s="53"/>
      <c r="F166" s="53"/>
      <c r="G166" s="1"/>
      <c r="H166" s="1"/>
      <c r="M166" s="1"/>
      <c r="N166" s="1"/>
    </row>
    <row r="167" spans="1:19" s="2" customFormat="1" x14ac:dyDescent="0.2">
      <c r="A167" s="24"/>
      <c r="B167" s="1"/>
      <c r="C167" s="52"/>
      <c r="D167" s="85"/>
      <c r="E167" s="53"/>
      <c r="F167" s="53"/>
      <c r="G167" s="1"/>
      <c r="H167" s="1"/>
      <c r="M167" s="1"/>
      <c r="N167" s="1"/>
    </row>
    <row r="168" spans="1:19" s="2" customFormat="1" x14ac:dyDescent="0.2">
      <c r="A168" s="24"/>
      <c r="B168" s="1"/>
      <c r="C168" s="14"/>
      <c r="D168" s="25">
        <f>SUM(D165:D167)</f>
        <v>0</v>
      </c>
      <c r="E168" s="2">
        <f>SUM(E165:E167)</f>
        <v>0</v>
      </c>
      <c r="G168" s="1"/>
      <c r="H168" s="1"/>
      <c r="M168" s="1"/>
      <c r="N168" s="1"/>
    </row>
    <row r="169" spans="1:19" s="2" customFormat="1" x14ac:dyDescent="0.2">
      <c r="A169" s="24"/>
      <c r="B169" s="1"/>
      <c r="C169" s="14"/>
      <c r="D169" s="25"/>
      <c r="G169" s="1"/>
      <c r="H169" s="1"/>
      <c r="M169" s="1"/>
      <c r="N169" s="1"/>
    </row>
    <row r="170" spans="1:19" s="2" customFormat="1" x14ac:dyDescent="0.2">
      <c r="A170" s="24"/>
      <c r="B170" s="1"/>
      <c r="C170" s="14"/>
      <c r="D170" s="25"/>
      <c r="G170" s="1"/>
      <c r="H170" s="1"/>
      <c r="M170" s="1"/>
      <c r="N170" s="1"/>
    </row>
    <row r="171" spans="1:19" s="2" customFormat="1" x14ac:dyDescent="0.2">
      <c r="A171" s="24"/>
      <c r="B171" s="1"/>
      <c r="C171" s="14"/>
      <c r="D171" s="25"/>
      <c r="G171" s="1"/>
      <c r="H171" s="1"/>
      <c r="M171" s="1"/>
      <c r="N171" s="1"/>
    </row>
    <row r="172" spans="1:19" s="2" customFormat="1" x14ac:dyDescent="0.2">
      <c r="A172" s="24"/>
      <c r="B172" s="1"/>
      <c r="C172" s="14"/>
      <c r="D172" s="25"/>
      <c r="G172" s="1"/>
      <c r="H172" s="1"/>
      <c r="M172" s="1"/>
      <c r="N172" s="1"/>
    </row>
    <row r="173" spans="1:19" s="2" customFormat="1" x14ac:dyDescent="0.2">
      <c r="A173" s="24"/>
      <c r="B173" s="1"/>
      <c r="C173" s="14"/>
      <c r="D173" s="25"/>
      <c r="G173" s="1"/>
      <c r="H173" s="1"/>
      <c r="M173" s="1"/>
      <c r="N173" s="1"/>
    </row>
    <row r="174" spans="1:19" s="2" customFormat="1" x14ac:dyDescent="0.2">
      <c r="A174" s="24"/>
      <c r="B174" s="1"/>
      <c r="C174" s="14"/>
      <c r="D174" s="25"/>
      <c r="G174" s="1"/>
      <c r="H174" s="1"/>
      <c r="M174" s="1"/>
      <c r="N174" s="1"/>
    </row>
    <row r="175" spans="1:19" s="2" customFormat="1" x14ac:dyDescent="0.2">
      <c r="A175" s="24"/>
      <c r="B175" s="1"/>
      <c r="C175" s="14"/>
      <c r="D175" s="25"/>
      <c r="G175" s="1"/>
      <c r="H175" s="1"/>
      <c r="M175" s="1"/>
      <c r="N175" s="1"/>
      <c r="Q175" s="1"/>
      <c r="R175" s="1"/>
      <c r="S175" s="1"/>
    </row>
    <row r="176" spans="1:19" x14ac:dyDescent="0.2">
      <c r="J176" s="2"/>
      <c r="K176" s="2"/>
      <c r="L176" s="2"/>
      <c r="O176" s="2"/>
      <c r="P176" s="2"/>
      <c r="Q176" s="2"/>
      <c r="R176" s="2"/>
      <c r="S176" s="2"/>
    </row>
    <row r="177" spans="1:19" s="2" customFormat="1" x14ac:dyDescent="0.2">
      <c r="A177" s="24"/>
      <c r="B177" s="1"/>
      <c r="C177" s="14"/>
      <c r="D177" s="25"/>
      <c r="G177" s="1"/>
      <c r="H177" s="1"/>
      <c r="M177" s="1"/>
      <c r="N177" s="1"/>
      <c r="Q177" s="1"/>
      <c r="R177" s="1"/>
      <c r="S177" s="1"/>
    </row>
    <row r="178" spans="1:19" x14ac:dyDescent="0.2">
      <c r="J178" s="2"/>
      <c r="K178" s="2"/>
      <c r="L178" s="2"/>
      <c r="O178" s="2"/>
      <c r="P178" s="2"/>
    </row>
    <row r="179" spans="1:19" x14ac:dyDescent="0.2">
      <c r="J179" s="2"/>
      <c r="K179" s="2"/>
      <c r="L179" s="2"/>
      <c r="O179" s="2"/>
      <c r="P179" s="2"/>
    </row>
    <row r="180" spans="1:19" x14ac:dyDescent="0.2">
      <c r="J180" s="2"/>
      <c r="K180" s="2"/>
      <c r="L180" s="2"/>
      <c r="O180" s="2"/>
      <c r="P180" s="2"/>
    </row>
    <row r="181" spans="1:19" x14ac:dyDescent="0.2">
      <c r="J181" s="2"/>
      <c r="K181" s="2"/>
      <c r="L181" s="2"/>
      <c r="O181" s="2"/>
      <c r="P181" s="2"/>
    </row>
    <row r="182" spans="1:19" x14ac:dyDescent="0.2">
      <c r="O182" s="2"/>
      <c r="P182" s="2"/>
    </row>
    <row r="183" spans="1:19" x14ac:dyDescent="0.2">
      <c r="J183" s="2"/>
      <c r="K183" s="2"/>
      <c r="L183" s="2"/>
      <c r="M183" s="2"/>
      <c r="N183" s="2"/>
      <c r="O183" s="2"/>
      <c r="P183" s="2"/>
    </row>
    <row r="184" spans="1:19" x14ac:dyDescent="0.2">
      <c r="O184" s="2"/>
      <c r="P184" s="2"/>
    </row>
    <row r="185" spans="1:19" x14ac:dyDescent="0.2">
      <c r="G185" s="54"/>
      <c r="H185" s="54"/>
      <c r="O185" s="2"/>
      <c r="P185" s="2"/>
    </row>
    <row r="186" spans="1:19" x14ac:dyDescent="0.2">
      <c r="G186" s="54"/>
      <c r="H186" s="54"/>
      <c r="O186" s="2"/>
      <c r="P186" s="2"/>
    </row>
    <row r="187" spans="1:19" x14ac:dyDescent="0.2">
      <c r="G187" s="54"/>
      <c r="H187" s="54"/>
      <c r="O187" s="2"/>
      <c r="P187" s="2"/>
    </row>
    <row r="188" spans="1:19" x14ac:dyDescent="0.2">
      <c r="G188" s="54"/>
      <c r="H188" s="54"/>
      <c r="I188" s="2" t="s">
        <v>396</v>
      </c>
      <c r="O188" s="2"/>
      <c r="P188" s="2"/>
    </row>
    <row r="189" spans="1:19" x14ac:dyDescent="0.2">
      <c r="G189" s="54"/>
      <c r="H189" s="54"/>
      <c r="I189" s="53"/>
      <c r="J189" s="2"/>
      <c r="K189" s="2"/>
      <c r="L189" s="2"/>
      <c r="M189" s="2"/>
      <c r="N189" s="2"/>
      <c r="P189" s="2"/>
    </row>
    <row r="190" spans="1:19" x14ac:dyDescent="0.2">
      <c r="G190" s="54"/>
      <c r="H190" s="54"/>
      <c r="I190" s="53" t="s">
        <v>396</v>
      </c>
      <c r="O190" s="2"/>
      <c r="P190" s="2"/>
    </row>
    <row r="191" spans="1:19" x14ac:dyDescent="0.2">
      <c r="G191" s="54"/>
      <c r="H191" s="54"/>
      <c r="I191" s="53" t="s">
        <v>396</v>
      </c>
      <c r="K191" s="42"/>
      <c r="P191" s="2"/>
    </row>
    <row r="192" spans="1:19" x14ac:dyDescent="0.2">
      <c r="G192" s="54"/>
      <c r="H192" s="54"/>
      <c r="I192" s="53"/>
      <c r="J192" s="101"/>
      <c r="P192" s="2"/>
    </row>
    <row r="193" spans="7:16" x14ac:dyDescent="0.2">
      <c r="G193" s="54"/>
      <c r="H193" s="54"/>
      <c r="I193" s="53"/>
    </row>
    <row r="194" spans="7:16" x14ac:dyDescent="0.2">
      <c r="G194" s="54"/>
      <c r="H194" s="54"/>
      <c r="I194" s="53"/>
      <c r="P194" s="2"/>
    </row>
    <row r="195" spans="7:16" x14ac:dyDescent="0.2">
      <c r="G195" s="54"/>
      <c r="H195" s="54"/>
      <c r="I195" s="53"/>
    </row>
  </sheetData>
  <sheetProtection insertRows="0"/>
  <mergeCells count="8">
    <mergeCell ref="K115:L115"/>
    <mergeCell ref="A122:D122"/>
    <mergeCell ref="C157:F157"/>
    <mergeCell ref="A1:H1"/>
    <mergeCell ref="A3:F3"/>
    <mergeCell ref="A9:F9"/>
    <mergeCell ref="A16:F16"/>
    <mergeCell ref="A31:F31"/>
  </mergeCells>
  <conditionalFormatting sqref="H119:H120">
    <cfRule type="cellIs" dxfId="57" priority="1" operator="lessThan">
      <formula>0</formula>
    </cfRule>
  </conditionalFormatting>
  <conditionalFormatting sqref="C33">
    <cfRule type="duplicateValues" dxfId="56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1-000000000000}">
  <sheetPr codeName="Sheet558">
    <pageSetUpPr fitToPage="1"/>
  </sheetPr>
  <dimension ref="A1:S171"/>
  <sheetViews>
    <sheetView topLeftCell="A20" zoomScaleNormal="100" workbookViewId="0">
      <selection activeCell="E31" sqref="E31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12.85546875" style="1" customWidth="1"/>
    <col min="9" max="9" width="24.85546875" style="2" bestFit="1" customWidth="1"/>
    <col min="10" max="10" width="21.5703125" style="1" bestFit="1" customWidth="1"/>
    <col min="11" max="11" width="16.85546875" style="1" bestFit="1" customWidth="1"/>
    <col min="12" max="12" width="19.5703125" style="1" bestFit="1" customWidth="1"/>
    <col min="13" max="13" width="13.5703125" style="1" bestFit="1" customWidth="1"/>
    <col min="14" max="14" width="17.42578125" style="1" bestFit="1" customWidth="1"/>
    <col min="15" max="15" width="12.85546875" style="1" bestFit="1" customWidth="1"/>
    <col min="16" max="17" width="9.140625" style="1"/>
    <col min="18" max="18" width="15.5703125" style="1" bestFit="1" customWidth="1"/>
    <col min="19" max="16384" width="9.140625" style="1"/>
  </cols>
  <sheetData>
    <row r="1" spans="1:11" ht="20.25" customHeight="1" x14ac:dyDescent="0.4">
      <c r="A1" s="212" t="s">
        <v>2126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1" ht="12.75" customHeight="1" x14ac:dyDescent="0.4">
      <c r="I2" s="112"/>
      <c r="J2" s="112"/>
    </row>
    <row r="3" spans="1:11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1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1" s="2" customFormat="1" ht="14.25" customHeight="1" x14ac:dyDescent="0.4">
      <c r="A5" s="89">
        <v>45348</v>
      </c>
      <c r="B5" s="9" t="s">
        <v>6</v>
      </c>
      <c r="C5" s="10" t="s">
        <v>7</v>
      </c>
      <c r="D5" s="11"/>
      <c r="E5" s="12">
        <v>322570.6800000004</v>
      </c>
      <c r="F5" s="12"/>
      <c r="G5" s="1"/>
      <c r="H5" s="1"/>
      <c r="I5" s="112"/>
      <c r="J5" s="112"/>
    </row>
    <row r="6" spans="1:11" s="2" customFormat="1" ht="12.75" customHeight="1" x14ac:dyDescent="0.2">
      <c r="D6" s="15" t="s">
        <v>8</v>
      </c>
      <c r="E6" s="16">
        <f>SUM(E5:E5)</f>
        <v>322570.6800000004</v>
      </c>
      <c r="F6" s="16">
        <f>F5</f>
        <v>0</v>
      </c>
      <c r="G6" s="1"/>
      <c r="H6" s="1"/>
      <c r="I6" s="13" t="s">
        <v>1582</v>
      </c>
      <c r="J6" s="13" t="s">
        <v>1583</v>
      </c>
    </row>
    <row r="7" spans="1:11" s="2" customFormat="1" ht="12.75" customHeight="1" x14ac:dyDescent="0.2">
      <c r="A7" s="17"/>
      <c r="B7" s="18"/>
      <c r="C7" s="19" t="s">
        <v>9</v>
      </c>
      <c r="D7" s="20"/>
      <c r="E7" s="21">
        <f>+E6-F6</f>
        <v>322570.6800000004</v>
      </c>
      <c r="F7" s="22"/>
      <c r="G7" s="23"/>
      <c r="H7" s="23"/>
      <c r="I7" s="2">
        <v>16784</v>
      </c>
      <c r="J7" s="2">
        <v>0</v>
      </c>
      <c r="K7" s="176">
        <f>I7-J7</f>
        <v>16784</v>
      </c>
    </row>
    <row r="8" spans="1:11" ht="11.25" customHeight="1" x14ac:dyDescent="0.4">
      <c r="I8" s="112"/>
      <c r="J8" s="112"/>
    </row>
    <row r="9" spans="1:11" ht="18" customHeight="1" x14ac:dyDescent="0.4">
      <c r="A9" s="213" t="s">
        <v>2103</v>
      </c>
      <c r="B9" s="213"/>
      <c r="C9" s="213"/>
      <c r="D9" s="213"/>
      <c r="E9" s="213"/>
      <c r="F9" s="213"/>
      <c r="I9" s="112"/>
      <c r="J9" s="112"/>
    </row>
    <row r="10" spans="1:11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I10" s="112"/>
      <c r="J10" s="112"/>
    </row>
    <row r="11" spans="1:11" ht="12.75" customHeight="1" x14ac:dyDescent="0.4">
      <c r="A11" s="89">
        <v>45348</v>
      </c>
      <c r="B11" s="9" t="s">
        <v>6</v>
      </c>
      <c r="C11" s="10" t="s">
        <v>7</v>
      </c>
      <c r="D11" s="11"/>
      <c r="E11" s="12">
        <v>10595192.189999999</v>
      </c>
      <c r="F11" s="1"/>
      <c r="I11" s="112"/>
      <c r="J11" s="112"/>
    </row>
    <row r="12" spans="1:11" ht="12.75" customHeight="1" x14ac:dyDescent="0.4">
      <c r="A12" s="89">
        <v>45348</v>
      </c>
      <c r="B12" s="9" t="s">
        <v>6</v>
      </c>
      <c r="C12" s="76" t="s">
        <v>142</v>
      </c>
      <c r="D12" s="11" t="s">
        <v>13</v>
      </c>
      <c r="E12" s="12">
        <v>16784</v>
      </c>
      <c r="F12" s="1"/>
      <c r="I12" s="112"/>
      <c r="J12" s="112"/>
    </row>
    <row r="13" spans="1:11" ht="12.75" customHeight="1" x14ac:dyDescent="0.4">
      <c r="A13" s="89">
        <v>45348</v>
      </c>
      <c r="B13" s="9" t="s">
        <v>11</v>
      </c>
      <c r="C13" s="76" t="s">
        <v>1091</v>
      </c>
      <c r="D13" s="11" t="s">
        <v>29</v>
      </c>
      <c r="E13" s="31"/>
      <c r="F13" s="31">
        <v>2360</v>
      </c>
      <c r="I13" s="112"/>
      <c r="J13" s="112"/>
    </row>
    <row r="14" spans="1:11" ht="12.75" customHeight="1" x14ac:dyDescent="0.2">
      <c r="A14" s="2"/>
      <c r="B14" s="2"/>
      <c r="C14" s="2"/>
      <c r="D14" s="11" t="s">
        <v>8</v>
      </c>
      <c r="E14" s="16">
        <f>SUM(E11:E13)</f>
        <v>10611976.189999999</v>
      </c>
      <c r="F14" s="16">
        <f>SUM(F11:F13)</f>
        <v>2360</v>
      </c>
      <c r="I14" s="13" t="s">
        <v>1582</v>
      </c>
      <c r="J14" s="13" t="s">
        <v>1583</v>
      </c>
    </row>
    <row r="15" spans="1:11" ht="17.25" customHeight="1" x14ac:dyDescent="0.2">
      <c r="A15" s="17"/>
      <c r="B15" s="18"/>
      <c r="C15" s="19" t="s">
        <v>9</v>
      </c>
      <c r="D15" s="20"/>
      <c r="E15" s="21">
        <f>+E14-F14</f>
        <v>10609616.189999999</v>
      </c>
      <c r="I15" s="2">
        <v>0</v>
      </c>
      <c r="J15" s="2">
        <v>0</v>
      </c>
    </row>
    <row r="16" spans="1:11" ht="18" customHeight="1" x14ac:dyDescent="0.25">
      <c r="A16" s="36"/>
      <c r="B16" s="28"/>
      <c r="C16" s="44"/>
      <c r="D16" s="43"/>
      <c r="E16" s="38"/>
      <c r="F16" s="22"/>
      <c r="J16" s="2"/>
    </row>
    <row r="17" spans="1:12" ht="18" customHeight="1" x14ac:dyDescent="0.4">
      <c r="A17" s="213" t="s">
        <v>2104</v>
      </c>
      <c r="B17" s="213"/>
      <c r="C17" s="213"/>
      <c r="D17" s="213"/>
      <c r="E17" s="213"/>
      <c r="F17" s="213"/>
      <c r="I17" s="112"/>
      <c r="J17" s="169">
        <f>90000000-60000000</f>
        <v>30000000</v>
      </c>
      <c r="K17" s="169" t="s">
        <v>1508</v>
      </c>
    </row>
    <row r="18" spans="1:12" ht="12.75" customHeight="1" x14ac:dyDescent="0.4">
      <c r="A18" s="3" t="s">
        <v>1</v>
      </c>
      <c r="B18" s="4" t="s">
        <v>2</v>
      </c>
      <c r="C18" s="5"/>
      <c r="D18" s="6" t="s">
        <v>3</v>
      </c>
      <c r="E18" s="7" t="s">
        <v>4</v>
      </c>
      <c r="F18" s="7" t="s">
        <v>5</v>
      </c>
      <c r="I18" s="112"/>
      <c r="J18" s="169">
        <v>24707508.59</v>
      </c>
      <c r="K18" s="169" t="s">
        <v>1509</v>
      </c>
      <c r="L18" s="124"/>
    </row>
    <row r="19" spans="1:12" s="2" customFormat="1" ht="14.25" customHeight="1" x14ac:dyDescent="0.2">
      <c r="A19" s="89">
        <v>45348</v>
      </c>
      <c r="B19" s="9" t="s">
        <v>6</v>
      </c>
      <c r="C19" s="10" t="s">
        <v>7</v>
      </c>
      <c r="D19" s="11"/>
      <c r="F19" s="12">
        <v>26270042.630000003</v>
      </c>
      <c r="G19" s="1"/>
      <c r="H19" s="1"/>
      <c r="I19" s="130" t="s">
        <v>396</v>
      </c>
      <c r="J19" s="169">
        <f>+J17-J18</f>
        <v>5292491.41</v>
      </c>
      <c r="K19" s="169" t="s">
        <v>712</v>
      </c>
      <c r="L19" s="165" t="s">
        <v>1512</v>
      </c>
    </row>
    <row r="20" spans="1:12" s="2" customFormat="1" ht="14.25" customHeight="1" x14ac:dyDescent="0.2">
      <c r="A20" s="89">
        <v>45348</v>
      </c>
      <c r="B20" s="9" t="s">
        <v>6</v>
      </c>
      <c r="C20" s="76" t="s">
        <v>2129</v>
      </c>
      <c r="D20" s="11" t="s">
        <v>13</v>
      </c>
      <c r="E20" s="31">
        <v>1496297.17</v>
      </c>
      <c r="F20" s="31"/>
      <c r="G20" s="1"/>
      <c r="H20" s="1"/>
      <c r="I20" s="130"/>
      <c r="J20" s="169"/>
      <c r="K20" s="169"/>
      <c r="L20" s="165"/>
    </row>
    <row r="21" spans="1:12" s="2" customFormat="1" ht="14.25" customHeight="1" x14ac:dyDescent="0.2">
      <c r="A21" s="89">
        <v>45348</v>
      </c>
      <c r="B21" s="9" t="s">
        <v>6</v>
      </c>
      <c r="C21" s="76" t="s">
        <v>21</v>
      </c>
      <c r="D21" s="11" t="s">
        <v>13</v>
      </c>
      <c r="E21" s="31">
        <v>300000</v>
      </c>
      <c r="F21" s="31"/>
      <c r="G21" s="1"/>
      <c r="H21" s="1"/>
      <c r="I21" s="130"/>
      <c r="J21" s="169"/>
      <c r="K21" s="169"/>
      <c r="L21" s="165"/>
    </row>
    <row r="22" spans="1:12" s="2" customFormat="1" ht="14.25" customHeight="1" x14ac:dyDescent="0.2">
      <c r="A22" s="89">
        <v>45348</v>
      </c>
      <c r="B22" s="9" t="s">
        <v>11</v>
      </c>
      <c r="C22" s="76" t="s">
        <v>1990</v>
      </c>
      <c r="D22" s="11" t="s">
        <v>29</v>
      </c>
      <c r="E22" s="31"/>
      <c r="F22" s="31">
        <v>32670</v>
      </c>
      <c r="G22" s="1"/>
      <c r="H22" s="1"/>
      <c r="I22" s="130"/>
      <c r="J22" s="169"/>
      <c r="K22" s="169"/>
      <c r="L22" s="165"/>
    </row>
    <row r="23" spans="1:12" s="2" customFormat="1" ht="14.25" customHeight="1" x14ac:dyDescent="0.2">
      <c r="A23" s="89">
        <v>45348</v>
      </c>
      <c r="B23" s="9" t="s">
        <v>11</v>
      </c>
      <c r="C23" s="76" t="s">
        <v>34</v>
      </c>
      <c r="D23" s="11" t="s">
        <v>29</v>
      </c>
      <c r="E23" s="31"/>
      <c r="F23" s="31">
        <v>70000</v>
      </c>
      <c r="G23" s="1"/>
      <c r="H23" s="1"/>
      <c r="I23" s="130"/>
      <c r="J23" s="169"/>
      <c r="K23" s="169"/>
      <c r="L23" s="165"/>
    </row>
    <row r="24" spans="1:12" s="2" customFormat="1" ht="14.25" customHeight="1" x14ac:dyDescent="0.2">
      <c r="A24" s="89">
        <v>45348</v>
      </c>
      <c r="B24" s="9" t="s">
        <v>11</v>
      </c>
      <c r="C24" s="76" t="s">
        <v>2082</v>
      </c>
      <c r="D24" s="11" t="s">
        <v>29</v>
      </c>
      <c r="E24" s="31"/>
      <c r="F24" s="31">
        <v>20904</v>
      </c>
      <c r="G24" s="1"/>
      <c r="H24" s="1"/>
      <c r="I24" s="130"/>
      <c r="J24" s="169"/>
      <c r="K24" s="169"/>
      <c r="L24" s="165"/>
    </row>
    <row r="25" spans="1:12" s="2" customFormat="1" ht="14.25" customHeight="1" x14ac:dyDescent="0.2">
      <c r="A25" s="89">
        <v>45348</v>
      </c>
      <c r="B25" s="9" t="s">
        <v>11</v>
      </c>
      <c r="C25" s="76" t="s">
        <v>2127</v>
      </c>
      <c r="D25" s="11" t="s">
        <v>29</v>
      </c>
      <c r="E25" s="31"/>
      <c r="F25" s="31">
        <v>10926.8</v>
      </c>
      <c r="G25" s="1"/>
      <c r="H25" s="1"/>
      <c r="I25" s="130"/>
      <c r="J25" s="169"/>
      <c r="K25" s="169"/>
      <c r="L25" s="165"/>
    </row>
    <row r="26" spans="1:12" s="2" customFormat="1" ht="14.25" customHeight="1" x14ac:dyDescent="0.2">
      <c r="A26" s="89">
        <v>45348</v>
      </c>
      <c r="B26" s="9" t="s">
        <v>11</v>
      </c>
      <c r="C26" s="76" t="s">
        <v>1009</v>
      </c>
      <c r="D26" s="11" t="s">
        <v>29</v>
      </c>
      <c r="E26" s="31"/>
      <c r="F26" s="31">
        <v>28296</v>
      </c>
      <c r="G26" s="1"/>
      <c r="H26" s="1"/>
      <c r="I26" s="130"/>
      <c r="J26" s="169"/>
      <c r="K26" s="169"/>
      <c r="L26" s="165"/>
    </row>
    <row r="27" spans="1:12" s="2" customFormat="1" ht="14.25" customHeight="1" x14ac:dyDescent="0.2">
      <c r="A27" s="89">
        <v>45348</v>
      </c>
      <c r="B27" s="9" t="s">
        <v>11</v>
      </c>
      <c r="C27" s="76" t="s">
        <v>786</v>
      </c>
      <c r="D27" s="11" t="s">
        <v>29</v>
      </c>
      <c r="E27" s="31"/>
      <c r="F27" s="31">
        <v>22451</v>
      </c>
      <c r="G27" s="1"/>
      <c r="H27" s="1"/>
      <c r="I27" s="130"/>
      <c r="J27" s="169"/>
      <c r="K27" s="169"/>
      <c r="L27" s="165"/>
    </row>
    <row r="28" spans="1:12" s="2" customFormat="1" ht="14.25" customHeight="1" x14ac:dyDescent="0.2">
      <c r="A28" s="89">
        <v>45348</v>
      </c>
      <c r="B28" s="9" t="s">
        <v>11</v>
      </c>
      <c r="C28" s="76" t="s">
        <v>2128</v>
      </c>
      <c r="D28" s="11" t="s">
        <v>29</v>
      </c>
      <c r="E28" s="31"/>
      <c r="F28" s="31">
        <v>44840</v>
      </c>
      <c r="G28" s="1"/>
      <c r="H28" s="1"/>
      <c r="I28" s="130"/>
      <c r="J28" s="169"/>
      <c r="K28" s="169"/>
      <c r="L28" s="165"/>
    </row>
    <row r="29" spans="1:12" s="2" customFormat="1" ht="14.25" customHeight="1" x14ac:dyDescent="0.2">
      <c r="A29" s="89">
        <v>45348</v>
      </c>
      <c r="B29" s="9" t="s">
        <v>11</v>
      </c>
      <c r="C29" s="76" t="s">
        <v>156</v>
      </c>
      <c r="D29" s="11" t="s">
        <v>29</v>
      </c>
      <c r="E29" s="182"/>
      <c r="F29" s="31">
        <v>3675.33</v>
      </c>
      <c r="G29" s="1"/>
      <c r="H29" s="1"/>
      <c r="I29" s="130"/>
      <c r="J29" s="169"/>
      <c r="K29" s="169"/>
      <c r="L29" s="165"/>
    </row>
    <row r="30" spans="1:12" s="2" customFormat="1" ht="14.25" customHeight="1" x14ac:dyDescent="0.4">
      <c r="D30" s="11" t="s">
        <v>8</v>
      </c>
      <c r="E30" s="16">
        <f>SUM(E20:E29)</f>
        <v>1796297.17</v>
      </c>
      <c r="F30" s="16">
        <f>SUM(F19:F29)</f>
        <v>26503805.760000002</v>
      </c>
      <c r="G30" s="1"/>
      <c r="H30" s="1"/>
      <c r="J30" s="112"/>
      <c r="K30" s="153" t="s">
        <v>779</v>
      </c>
    </row>
    <row r="31" spans="1:12" s="2" customFormat="1" ht="14.25" customHeight="1" x14ac:dyDescent="0.2">
      <c r="A31" s="17"/>
      <c r="B31" s="18"/>
      <c r="C31" s="96" t="s">
        <v>9</v>
      </c>
      <c r="D31" s="20"/>
      <c r="E31" s="21">
        <f>+F30-E30</f>
        <v>24707508.590000004</v>
      </c>
      <c r="G31" s="1"/>
      <c r="H31" s="1"/>
      <c r="J31" s="40">
        <v>24707508.59</v>
      </c>
      <c r="K31" s="154">
        <f>J31-E31</f>
        <v>0</v>
      </c>
    </row>
    <row r="32" spans="1:12" s="2" customFormat="1" ht="14.25" customHeight="1" x14ac:dyDescent="0.2">
      <c r="A32" s="17"/>
      <c r="B32" s="28" t="s">
        <v>66</v>
      </c>
      <c r="C32" s="43" t="s">
        <v>1458</v>
      </c>
      <c r="D32" s="43"/>
      <c r="E32" s="12">
        <f>30000000+60000000</f>
        <v>90000000</v>
      </c>
      <c r="F32" s="22"/>
      <c r="G32" s="1"/>
      <c r="H32" s="1"/>
      <c r="I32" s="13" t="s">
        <v>1582</v>
      </c>
      <c r="J32" s="13" t="s">
        <v>1583</v>
      </c>
    </row>
    <row r="33" spans="1:12" s="2" customFormat="1" ht="14.25" customHeight="1" x14ac:dyDescent="0.25">
      <c r="A33" s="36"/>
      <c r="B33" s="28"/>
      <c r="C33" s="44" t="s">
        <v>1541</v>
      </c>
      <c r="D33" s="43"/>
      <c r="E33" s="7">
        <f>+E31+E32</f>
        <v>114707508.59</v>
      </c>
      <c r="F33" s="22"/>
      <c r="G33" s="1"/>
      <c r="H33" s="1"/>
      <c r="I33" s="2">
        <v>3958811</v>
      </c>
      <c r="J33" s="2">
        <v>12193524</v>
      </c>
      <c r="K33" s="176">
        <f>I33-J33</f>
        <v>-8234713</v>
      </c>
    </row>
    <row r="34" spans="1:12" s="2" customFormat="1" ht="14.25" customHeight="1" x14ac:dyDescent="0.25">
      <c r="A34" s="36"/>
      <c r="B34" s="28"/>
      <c r="C34" s="44" t="s">
        <v>1511</v>
      </c>
      <c r="D34" s="43"/>
      <c r="E34" s="38">
        <f>I15-J15+J19</f>
        <v>5292491.41</v>
      </c>
      <c r="F34" s="22"/>
      <c r="G34" s="1"/>
      <c r="H34" s="1"/>
      <c r="J34" s="130"/>
      <c r="K34" s="130"/>
    </row>
    <row r="35" spans="1:12" s="2" customFormat="1" x14ac:dyDescent="0.2">
      <c r="A35" s="24"/>
      <c r="B35" s="1"/>
      <c r="C35" s="14"/>
      <c r="D35" s="25"/>
      <c r="G35" s="1"/>
      <c r="H35" s="1"/>
      <c r="I35" s="159"/>
      <c r="J35" s="160">
        <f>100000000+175000000</f>
        <v>275000000</v>
      </c>
      <c r="K35" s="160" t="s">
        <v>1506</v>
      </c>
      <c r="L35" s="70"/>
    </row>
    <row r="36" spans="1:12" s="2" customFormat="1" ht="15" x14ac:dyDescent="0.35">
      <c r="A36" s="214" t="s">
        <v>10</v>
      </c>
      <c r="B36" s="214"/>
      <c r="C36" s="214"/>
      <c r="D36" s="214"/>
      <c r="E36" s="214"/>
      <c r="F36" s="214"/>
      <c r="G36" s="1"/>
      <c r="H36" s="1"/>
      <c r="I36" s="159"/>
      <c r="J36" s="179">
        <v>243399895.69</v>
      </c>
      <c r="K36" s="160" t="s">
        <v>1507</v>
      </c>
      <c r="L36" s="70" t="s">
        <v>1512</v>
      </c>
    </row>
    <row r="37" spans="1:12" s="2" customFormat="1" x14ac:dyDescent="0.2">
      <c r="A37" s="26" t="s">
        <v>1</v>
      </c>
      <c r="B37" s="27" t="s">
        <v>2</v>
      </c>
      <c r="C37" s="5"/>
      <c r="D37" s="6" t="s">
        <v>3</v>
      </c>
      <c r="E37" s="7" t="s">
        <v>4</v>
      </c>
      <c r="F37" s="7" t="s">
        <v>5</v>
      </c>
      <c r="G37" s="1"/>
      <c r="H37" s="1"/>
      <c r="I37" s="159" t="s">
        <v>1505</v>
      </c>
      <c r="J37" s="160">
        <f>+J35-J36</f>
        <v>31600104.310000002</v>
      </c>
      <c r="K37" s="160"/>
      <c r="L37" s="70"/>
    </row>
    <row r="38" spans="1:12" s="2" customFormat="1" x14ac:dyDescent="0.2">
      <c r="A38" s="89">
        <v>45348</v>
      </c>
      <c r="B38" s="128" t="s">
        <v>11</v>
      </c>
      <c r="C38" s="29" t="s">
        <v>7</v>
      </c>
      <c r="D38" s="25"/>
      <c r="E38" s="31"/>
      <c r="F38" s="13">
        <v>62329416.219999887</v>
      </c>
      <c r="G38" s="23"/>
      <c r="H38" s="23"/>
      <c r="I38" s="159"/>
      <c r="J38" s="160"/>
      <c r="K38" s="160"/>
      <c r="L38" s="70"/>
    </row>
    <row r="39" spans="1:12" s="2" customFormat="1" x14ac:dyDescent="0.2">
      <c r="A39" s="89">
        <v>45348</v>
      </c>
      <c r="B39" s="128" t="s">
        <v>6</v>
      </c>
      <c r="C39" s="181" t="s">
        <v>332</v>
      </c>
      <c r="D39" s="11" t="s">
        <v>13</v>
      </c>
      <c r="E39" s="86">
        <v>5298</v>
      </c>
      <c r="G39" s="23"/>
      <c r="H39" s="23"/>
      <c r="I39" s="159"/>
      <c r="J39" s="160"/>
      <c r="K39" s="160"/>
      <c r="L39" s="70"/>
    </row>
    <row r="40" spans="1:12" s="2" customFormat="1" x14ac:dyDescent="0.2">
      <c r="A40" s="89">
        <v>45348</v>
      </c>
      <c r="B40" s="128" t="s">
        <v>6</v>
      </c>
      <c r="C40" s="181" t="s">
        <v>992</v>
      </c>
      <c r="D40" s="11" t="s">
        <v>13</v>
      </c>
      <c r="E40" s="86">
        <v>40177</v>
      </c>
      <c r="G40" s="23"/>
      <c r="H40" s="23"/>
      <c r="I40" s="159"/>
      <c r="J40" s="160"/>
      <c r="K40" s="160"/>
      <c r="L40" s="70"/>
    </row>
    <row r="41" spans="1:12" s="2" customFormat="1" x14ac:dyDescent="0.2">
      <c r="A41" s="89">
        <v>45348</v>
      </c>
      <c r="B41" s="128" t="s">
        <v>6</v>
      </c>
      <c r="C41" s="181" t="s">
        <v>386</v>
      </c>
      <c r="D41" s="11" t="s">
        <v>13</v>
      </c>
      <c r="E41" s="86">
        <v>200000</v>
      </c>
      <c r="G41" s="23"/>
      <c r="H41" s="23"/>
      <c r="I41" s="159"/>
      <c r="J41" s="160"/>
      <c r="K41" s="160"/>
      <c r="L41" s="70"/>
    </row>
    <row r="42" spans="1:12" s="2" customFormat="1" x14ac:dyDescent="0.2">
      <c r="A42" s="89">
        <v>45348</v>
      </c>
      <c r="B42" s="128" t="s">
        <v>6</v>
      </c>
      <c r="C42" s="181" t="s">
        <v>2091</v>
      </c>
      <c r="D42" s="11" t="s">
        <v>13</v>
      </c>
      <c r="E42" s="86">
        <v>2363</v>
      </c>
      <c r="G42" s="23"/>
      <c r="H42" s="23"/>
      <c r="I42" s="159"/>
      <c r="J42" s="160"/>
      <c r="K42" s="160"/>
      <c r="L42" s="70"/>
    </row>
    <row r="43" spans="1:12" s="2" customFormat="1" x14ac:dyDescent="0.2">
      <c r="A43" s="89">
        <v>45348</v>
      </c>
      <c r="B43" s="128" t="s">
        <v>6</v>
      </c>
      <c r="C43" s="181" t="s">
        <v>679</v>
      </c>
      <c r="D43" s="11" t="s">
        <v>13</v>
      </c>
      <c r="E43" s="86">
        <v>17231</v>
      </c>
      <c r="G43" s="23"/>
      <c r="H43" s="23"/>
      <c r="I43" s="159"/>
      <c r="J43" s="160"/>
      <c r="K43" s="160"/>
      <c r="L43" s="70"/>
    </row>
    <row r="44" spans="1:12" s="2" customFormat="1" x14ac:dyDescent="0.2">
      <c r="A44" s="89">
        <v>45348</v>
      </c>
      <c r="B44" s="128" t="s">
        <v>6</v>
      </c>
      <c r="C44" s="181" t="s">
        <v>1497</v>
      </c>
      <c r="D44" s="11" t="s">
        <v>13</v>
      </c>
      <c r="E44" s="86">
        <v>1379780</v>
      </c>
      <c r="G44" s="23"/>
      <c r="H44" s="23"/>
      <c r="I44" s="159"/>
      <c r="J44" s="160"/>
      <c r="K44" s="160"/>
      <c r="L44" s="70"/>
    </row>
    <row r="45" spans="1:12" s="2" customFormat="1" x14ac:dyDescent="0.2">
      <c r="A45" s="89">
        <v>45348</v>
      </c>
      <c r="B45" s="128" t="s">
        <v>6</v>
      </c>
      <c r="C45" s="181" t="s">
        <v>555</v>
      </c>
      <c r="D45" s="11" t="s">
        <v>13</v>
      </c>
      <c r="E45" s="86">
        <v>1762604</v>
      </c>
      <c r="G45" s="23"/>
      <c r="H45" s="23"/>
      <c r="I45" s="159"/>
      <c r="J45" s="160"/>
      <c r="K45" s="160"/>
      <c r="L45" s="70"/>
    </row>
    <row r="46" spans="1:12" s="2" customFormat="1" x14ac:dyDescent="0.2">
      <c r="A46" s="89">
        <v>45348</v>
      </c>
      <c r="B46" s="128" t="s">
        <v>6</v>
      </c>
      <c r="C46" s="181" t="s">
        <v>272</v>
      </c>
      <c r="D46" s="11" t="s">
        <v>13</v>
      </c>
      <c r="E46" s="86">
        <v>5107</v>
      </c>
      <c r="G46" s="23"/>
      <c r="H46" s="23"/>
      <c r="I46" s="159"/>
      <c r="J46" s="160"/>
      <c r="K46" s="160"/>
      <c r="L46" s="70"/>
    </row>
    <row r="47" spans="1:12" s="2" customFormat="1" x14ac:dyDescent="0.2">
      <c r="A47" s="89">
        <v>45348</v>
      </c>
      <c r="B47" s="128" t="s">
        <v>6</v>
      </c>
      <c r="C47" s="181" t="s">
        <v>177</v>
      </c>
      <c r="D47" s="11" t="s">
        <v>13</v>
      </c>
      <c r="E47" s="86">
        <v>4643068</v>
      </c>
      <c r="G47" s="23"/>
      <c r="H47" s="23"/>
      <c r="I47" s="159"/>
      <c r="J47" s="160"/>
      <c r="K47" s="160"/>
      <c r="L47" s="70"/>
    </row>
    <row r="48" spans="1:12" s="2" customFormat="1" x14ac:dyDescent="0.2">
      <c r="A48" s="89">
        <v>45348</v>
      </c>
      <c r="B48" s="128" t="s">
        <v>6</v>
      </c>
      <c r="C48" s="181" t="s">
        <v>2085</v>
      </c>
      <c r="D48" s="11" t="s">
        <v>13</v>
      </c>
      <c r="E48" s="86">
        <v>300000</v>
      </c>
      <c r="G48" s="23"/>
      <c r="H48" s="23"/>
      <c r="I48" s="159"/>
      <c r="J48" s="160"/>
      <c r="K48" s="160"/>
      <c r="L48" s="70"/>
    </row>
    <row r="49" spans="1:12" s="2" customFormat="1" x14ac:dyDescent="0.2">
      <c r="A49" s="89">
        <v>45348</v>
      </c>
      <c r="B49" s="128" t="s">
        <v>6</v>
      </c>
      <c r="C49" s="181" t="s">
        <v>1959</v>
      </c>
      <c r="D49" s="11" t="s">
        <v>13</v>
      </c>
      <c r="E49" s="86">
        <v>27114</v>
      </c>
      <c r="G49" s="23"/>
      <c r="H49" s="23"/>
      <c r="I49" s="159"/>
      <c r="J49" s="160"/>
      <c r="K49" s="160"/>
      <c r="L49" s="70"/>
    </row>
    <row r="50" spans="1:12" s="2" customFormat="1" x14ac:dyDescent="0.2">
      <c r="A50" s="89">
        <v>45348</v>
      </c>
      <c r="B50" s="128" t="s">
        <v>6</v>
      </c>
      <c r="C50" s="181" t="s">
        <v>283</v>
      </c>
      <c r="D50" s="11" t="s">
        <v>13</v>
      </c>
      <c r="E50" s="86">
        <v>3438968</v>
      </c>
      <c r="G50" s="23"/>
      <c r="H50" s="23"/>
      <c r="I50" s="159"/>
      <c r="J50" s="160"/>
      <c r="K50" s="160"/>
      <c r="L50" s="70"/>
    </row>
    <row r="51" spans="1:12" s="2" customFormat="1" x14ac:dyDescent="0.2">
      <c r="A51" s="89">
        <v>45348</v>
      </c>
      <c r="B51" s="128" t="s">
        <v>6</v>
      </c>
      <c r="C51" s="181" t="s">
        <v>24</v>
      </c>
      <c r="D51" s="11" t="s">
        <v>13</v>
      </c>
      <c r="E51" s="86">
        <v>108905</v>
      </c>
      <c r="G51" s="23"/>
      <c r="H51" s="23"/>
      <c r="I51" s="159"/>
      <c r="J51" s="160"/>
      <c r="K51" s="160"/>
      <c r="L51" s="70"/>
    </row>
    <row r="52" spans="1:12" s="2" customFormat="1" x14ac:dyDescent="0.2">
      <c r="A52" s="89">
        <v>45348</v>
      </c>
      <c r="B52" s="128" t="s">
        <v>6</v>
      </c>
      <c r="C52" s="181" t="s">
        <v>2130</v>
      </c>
      <c r="D52" s="11" t="s">
        <v>13</v>
      </c>
      <c r="E52" s="86">
        <v>300000</v>
      </c>
      <c r="G52" s="23"/>
      <c r="H52" s="23"/>
      <c r="I52" s="159"/>
      <c r="J52" s="160"/>
      <c r="K52" s="160"/>
      <c r="L52" s="70"/>
    </row>
    <row r="53" spans="1:12" s="2" customFormat="1" x14ac:dyDescent="0.2">
      <c r="A53" s="89">
        <v>45348</v>
      </c>
      <c r="B53" s="128" t="s">
        <v>6</v>
      </c>
      <c r="C53" s="181" t="s">
        <v>149</v>
      </c>
      <c r="D53" s="11" t="s">
        <v>13</v>
      </c>
      <c r="E53" s="86">
        <v>291631</v>
      </c>
      <c r="G53" s="23"/>
      <c r="H53" s="23"/>
      <c r="I53" s="159"/>
      <c r="J53" s="160"/>
      <c r="K53" s="160"/>
      <c r="L53" s="70"/>
    </row>
    <row r="54" spans="1:12" s="2" customFormat="1" x14ac:dyDescent="0.2">
      <c r="A54" s="89">
        <v>45348</v>
      </c>
      <c r="B54" s="128" t="s">
        <v>6</v>
      </c>
      <c r="C54" s="181" t="s">
        <v>311</v>
      </c>
      <c r="D54" s="11" t="s">
        <v>13</v>
      </c>
      <c r="E54" s="86">
        <v>10395</v>
      </c>
      <c r="G54" s="23"/>
      <c r="H54" s="23"/>
      <c r="I54" s="159"/>
      <c r="J54" s="160"/>
      <c r="K54" s="160"/>
      <c r="L54" s="70"/>
    </row>
    <row r="55" spans="1:12" s="2" customFormat="1" x14ac:dyDescent="0.2">
      <c r="A55" s="89">
        <v>45348</v>
      </c>
      <c r="B55" s="128" t="s">
        <v>11</v>
      </c>
      <c r="C55" s="181" t="s">
        <v>64</v>
      </c>
      <c r="D55" s="11" t="s">
        <v>29</v>
      </c>
      <c r="E55" s="86"/>
      <c r="F55" s="2">
        <v>7721.92</v>
      </c>
      <c r="G55" s="23"/>
      <c r="H55" s="23"/>
      <c r="I55" s="159"/>
      <c r="J55" s="160"/>
      <c r="K55" s="160"/>
      <c r="L55" s="70"/>
    </row>
    <row r="56" spans="1:12" s="2" customFormat="1" x14ac:dyDescent="0.2">
      <c r="A56" s="89">
        <v>45348</v>
      </c>
      <c r="B56" s="128" t="s">
        <v>11</v>
      </c>
      <c r="C56" s="181" t="s">
        <v>1936</v>
      </c>
      <c r="D56" s="11" t="s">
        <v>29</v>
      </c>
      <c r="E56" s="86"/>
      <c r="F56" s="2">
        <v>3260726</v>
      </c>
      <c r="G56" s="23"/>
      <c r="H56" s="23"/>
      <c r="I56" s="159"/>
      <c r="J56" s="160"/>
      <c r="K56" s="160"/>
      <c r="L56" s="70"/>
    </row>
    <row r="57" spans="1:12" s="2" customFormat="1" x14ac:dyDescent="0.2">
      <c r="A57" s="89">
        <v>45348</v>
      </c>
      <c r="B57" s="128" t="s">
        <v>11</v>
      </c>
      <c r="C57" s="181" t="s">
        <v>1849</v>
      </c>
      <c r="D57" s="11" t="s">
        <v>29</v>
      </c>
      <c r="E57" s="86"/>
      <c r="F57" s="2">
        <v>445846</v>
      </c>
      <c r="G57" s="23"/>
      <c r="H57" s="23"/>
      <c r="I57" s="159"/>
      <c r="J57" s="160"/>
      <c r="K57" s="160"/>
      <c r="L57" s="70"/>
    </row>
    <row r="58" spans="1:12" s="2" customFormat="1" x14ac:dyDescent="0.2">
      <c r="A58" s="89">
        <v>45348</v>
      </c>
      <c r="B58" s="128" t="s">
        <v>11</v>
      </c>
      <c r="C58" s="181" t="s">
        <v>2131</v>
      </c>
      <c r="D58" s="11" t="s">
        <v>29</v>
      </c>
      <c r="E58" s="86"/>
      <c r="F58" s="2">
        <v>6869471</v>
      </c>
      <c r="G58" s="23"/>
      <c r="H58" s="23"/>
      <c r="I58" s="159"/>
      <c r="J58" s="160"/>
      <c r="K58" s="160"/>
      <c r="L58" s="70"/>
    </row>
    <row r="59" spans="1:12" s="2" customFormat="1" x14ac:dyDescent="0.2">
      <c r="A59" s="89">
        <v>45348</v>
      </c>
      <c r="B59" s="128" t="s">
        <v>11</v>
      </c>
      <c r="C59" s="181" t="s">
        <v>1798</v>
      </c>
      <c r="D59" s="11" t="s">
        <v>29</v>
      </c>
      <c r="E59" s="86"/>
      <c r="F59" s="2">
        <v>190992</v>
      </c>
      <c r="G59" s="23"/>
      <c r="H59" s="23"/>
      <c r="I59" s="159"/>
      <c r="J59" s="160"/>
      <c r="K59" s="160"/>
      <c r="L59" s="70"/>
    </row>
    <row r="60" spans="1:12" s="2" customFormat="1" x14ac:dyDescent="0.2">
      <c r="A60" s="89">
        <v>45348</v>
      </c>
      <c r="B60" s="128" t="s">
        <v>11</v>
      </c>
      <c r="C60" s="181" t="s">
        <v>107</v>
      </c>
      <c r="D60" s="11" t="s">
        <v>29</v>
      </c>
      <c r="E60" s="86"/>
      <c r="F60" s="2">
        <v>655232.51</v>
      </c>
      <c r="G60" s="23"/>
      <c r="H60" s="23"/>
      <c r="I60" s="159"/>
      <c r="J60" s="160"/>
      <c r="K60" s="160"/>
      <c r="L60" s="70"/>
    </row>
    <row r="61" spans="1:12" s="2" customFormat="1" x14ac:dyDescent="0.2">
      <c r="A61" s="89">
        <v>45348</v>
      </c>
      <c r="B61" s="128" t="s">
        <v>11</v>
      </c>
      <c r="C61" s="181" t="s">
        <v>558</v>
      </c>
      <c r="D61" s="11" t="s">
        <v>29</v>
      </c>
      <c r="E61" s="86"/>
      <c r="F61" s="2">
        <v>1722298.49</v>
      </c>
      <c r="G61" s="23"/>
      <c r="H61" s="23"/>
      <c r="I61" s="159"/>
      <c r="J61" s="160"/>
      <c r="K61" s="160"/>
      <c r="L61" s="70"/>
    </row>
    <row r="62" spans="1:12" s="2" customFormat="1" x14ac:dyDescent="0.2">
      <c r="A62" s="89">
        <v>45348</v>
      </c>
      <c r="B62" s="128" t="s">
        <v>11</v>
      </c>
      <c r="C62" s="181" t="s">
        <v>2132</v>
      </c>
      <c r="D62" s="11" t="s">
        <v>29</v>
      </c>
      <c r="E62" s="86"/>
      <c r="F62" s="2">
        <v>394389</v>
      </c>
      <c r="G62" s="23"/>
      <c r="H62" s="23"/>
      <c r="I62" s="159"/>
      <c r="J62" s="160"/>
      <c r="K62" s="160"/>
      <c r="L62" s="70"/>
    </row>
    <row r="63" spans="1:12" s="2" customFormat="1" x14ac:dyDescent="0.2">
      <c r="A63" s="89">
        <v>45348</v>
      </c>
      <c r="B63" s="128" t="s">
        <v>11</v>
      </c>
      <c r="C63" s="181" t="s">
        <v>1403</v>
      </c>
      <c r="D63" s="11" t="s">
        <v>29</v>
      </c>
      <c r="E63" s="86"/>
      <c r="F63" s="2">
        <v>615836</v>
      </c>
      <c r="G63" s="23"/>
      <c r="H63" s="23"/>
      <c r="I63" s="159"/>
      <c r="J63" s="160"/>
      <c r="K63" s="160"/>
      <c r="L63" s="70"/>
    </row>
    <row r="64" spans="1:12" s="2" customFormat="1" x14ac:dyDescent="0.2">
      <c r="A64" s="89">
        <v>45348</v>
      </c>
      <c r="B64" s="128" t="s">
        <v>11</v>
      </c>
      <c r="C64" s="181" t="s">
        <v>346</v>
      </c>
      <c r="D64" s="11" t="s">
        <v>29</v>
      </c>
      <c r="E64" s="86"/>
      <c r="F64" s="2">
        <v>800000</v>
      </c>
      <c r="G64" s="23"/>
      <c r="H64" s="23"/>
      <c r="I64" s="159"/>
      <c r="J64" s="160"/>
      <c r="K64" s="160"/>
      <c r="L64" s="70"/>
    </row>
    <row r="65" spans="1:16" s="2" customFormat="1" x14ac:dyDescent="0.2">
      <c r="A65" s="89">
        <v>45348</v>
      </c>
      <c r="B65" s="128" t="s">
        <v>11</v>
      </c>
      <c r="C65" s="181" t="s">
        <v>1734</v>
      </c>
      <c r="D65" s="11" t="s">
        <v>29</v>
      </c>
      <c r="E65" s="86"/>
      <c r="F65" s="2">
        <v>4312993</v>
      </c>
      <c r="G65" s="23"/>
      <c r="H65" s="23"/>
      <c r="I65" s="159"/>
      <c r="J65" s="160"/>
      <c r="K65" s="160"/>
      <c r="L65" s="70"/>
    </row>
    <row r="66" spans="1:16" s="2" customFormat="1" x14ac:dyDescent="0.2">
      <c r="A66" s="89">
        <v>45348</v>
      </c>
      <c r="B66" s="128" t="s">
        <v>11</v>
      </c>
      <c r="C66" s="181" t="s">
        <v>1155</v>
      </c>
      <c r="D66" s="11" t="s">
        <v>29</v>
      </c>
      <c r="E66" s="86"/>
      <c r="F66" s="2">
        <v>176081796.44999999</v>
      </c>
      <c r="G66" s="23"/>
      <c r="H66" s="23"/>
      <c r="I66" s="159"/>
      <c r="J66" s="160"/>
      <c r="K66" s="160"/>
      <c r="L66" s="70"/>
    </row>
    <row r="67" spans="1:16" s="2" customFormat="1" x14ac:dyDescent="0.2">
      <c r="A67" s="89">
        <v>45348</v>
      </c>
      <c r="B67" s="128" t="s">
        <v>11</v>
      </c>
      <c r="C67" s="181" t="s">
        <v>38</v>
      </c>
      <c r="D67" s="11" t="s">
        <v>29</v>
      </c>
      <c r="E67" s="86"/>
      <c r="F67" s="2">
        <v>33491.5</v>
      </c>
      <c r="G67" s="23"/>
      <c r="H67" s="23"/>
      <c r="I67" s="159"/>
      <c r="J67" s="160"/>
      <c r="K67" s="160"/>
      <c r="L67" s="70"/>
    </row>
    <row r="68" spans="1:16" s="2" customFormat="1" x14ac:dyDescent="0.2">
      <c r="A68" s="89">
        <v>45348</v>
      </c>
      <c r="B68" s="128" t="s">
        <v>11</v>
      </c>
      <c r="C68" s="181" t="s">
        <v>604</v>
      </c>
      <c r="D68" s="11" t="s">
        <v>29</v>
      </c>
      <c r="E68" s="86"/>
      <c r="F68" s="2">
        <v>133544.14000000001</v>
      </c>
      <c r="G68" s="23"/>
      <c r="H68" s="23"/>
      <c r="I68" s="159"/>
      <c r="J68" s="160"/>
      <c r="K68" s="160"/>
      <c r="L68" s="70"/>
    </row>
    <row r="69" spans="1:16" s="2" customFormat="1" x14ac:dyDescent="0.2">
      <c r="A69" s="89">
        <v>45348</v>
      </c>
      <c r="B69" s="128" t="s">
        <v>11</v>
      </c>
      <c r="C69" s="181" t="s">
        <v>525</v>
      </c>
      <c r="D69" s="11" t="s">
        <v>29</v>
      </c>
      <c r="E69" s="86"/>
      <c r="F69" s="2">
        <v>1500000</v>
      </c>
      <c r="G69" s="23"/>
      <c r="H69" s="23"/>
      <c r="I69" s="159"/>
      <c r="J69" s="160"/>
      <c r="K69" s="160"/>
      <c r="L69" s="70"/>
    </row>
    <row r="70" spans="1:16" s="2" customFormat="1" x14ac:dyDescent="0.2">
      <c r="A70" s="89">
        <v>45348</v>
      </c>
      <c r="B70" s="128" t="s">
        <v>11</v>
      </c>
      <c r="C70" s="181" t="s">
        <v>242</v>
      </c>
      <c r="D70" s="11" t="s">
        <v>29</v>
      </c>
      <c r="E70" s="86"/>
      <c r="F70" s="2">
        <v>117282</v>
      </c>
      <c r="G70" s="23"/>
      <c r="H70" s="23"/>
      <c r="I70" s="159"/>
      <c r="J70" s="160"/>
      <c r="K70" s="160"/>
      <c r="L70" s="70"/>
    </row>
    <row r="71" spans="1:16" s="2" customFormat="1" x14ac:dyDescent="0.2">
      <c r="A71" s="89">
        <v>45348</v>
      </c>
      <c r="B71" s="128" t="s">
        <v>11</v>
      </c>
      <c r="C71" s="181" t="s">
        <v>702</v>
      </c>
      <c r="D71" s="11" t="s">
        <v>29</v>
      </c>
      <c r="E71" s="86"/>
      <c r="F71" s="2">
        <v>100000</v>
      </c>
      <c r="G71" s="23"/>
      <c r="H71" s="23"/>
      <c r="I71" s="159"/>
      <c r="J71" s="160"/>
      <c r="K71" s="160"/>
      <c r="L71" s="70"/>
    </row>
    <row r="72" spans="1:16" s="2" customFormat="1" x14ac:dyDescent="0.2">
      <c r="A72" s="89">
        <v>45348</v>
      </c>
      <c r="B72" s="128" t="s">
        <v>11</v>
      </c>
      <c r="C72" s="181" t="s">
        <v>57</v>
      </c>
      <c r="D72" s="11" t="s">
        <v>29</v>
      </c>
      <c r="E72" s="86"/>
      <c r="F72" s="2">
        <v>5500000</v>
      </c>
      <c r="G72" s="23"/>
      <c r="H72" s="23"/>
      <c r="I72" s="159"/>
      <c r="J72" s="160"/>
      <c r="K72" s="160"/>
      <c r="L72" s="70"/>
    </row>
    <row r="73" spans="1:16" s="2" customFormat="1" x14ac:dyDescent="0.2">
      <c r="A73" s="89">
        <v>45348</v>
      </c>
      <c r="B73" s="128" t="s">
        <v>11</v>
      </c>
      <c r="C73" s="181" t="s">
        <v>15</v>
      </c>
      <c r="D73" s="11" t="s">
        <v>29</v>
      </c>
      <c r="E73" s="86"/>
      <c r="F73" s="2">
        <v>53918.46</v>
      </c>
      <c r="G73" s="23"/>
      <c r="H73" s="23"/>
      <c r="I73" s="159"/>
      <c r="J73" s="160"/>
      <c r="K73" s="160"/>
      <c r="L73" s="70" t="s">
        <v>329</v>
      </c>
    </row>
    <row r="74" spans="1:16" s="70" customFormat="1" x14ac:dyDescent="0.2">
      <c r="A74" s="32"/>
      <c r="B74" s="33"/>
      <c r="C74" s="14"/>
      <c r="D74" s="34"/>
      <c r="E74" s="16">
        <f>SUM(E38:E73)</f>
        <v>12532641</v>
      </c>
      <c r="F74" s="16">
        <f>SUM(F38:F73)</f>
        <v>265124954.68999988</v>
      </c>
      <c r="G74" s="1"/>
      <c r="H74" s="1"/>
      <c r="I74" s="1"/>
      <c r="J74" s="38">
        <v>251634608.69</v>
      </c>
      <c r="K74" s="2"/>
      <c r="L74" s="92">
        <f>E75-J74</f>
        <v>957704.99999988079</v>
      </c>
      <c r="M74" s="2"/>
      <c r="N74" s="2"/>
      <c r="O74" s="2"/>
      <c r="P74" s="2"/>
    </row>
    <row r="75" spans="1:16" s="70" customFormat="1" x14ac:dyDescent="0.2">
      <c r="A75" s="36"/>
      <c r="B75" s="28" t="s">
        <v>11</v>
      </c>
      <c r="C75" s="19" t="s">
        <v>65</v>
      </c>
      <c r="D75" s="37"/>
      <c r="E75" s="38">
        <f>F74-E74</f>
        <v>252592313.68999988</v>
      </c>
      <c r="F75" s="22"/>
      <c r="G75" s="1"/>
      <c r="H75" s="1"/>
      <c r="I75" s="1"/>
      <c r="M75" s="2"/>
      <c r="N75" s="2"/>
      <c r="O75" s="1"/>
      <c r="P75" s="2"/>
    </row>
    <row r="76" spans="1:16" s="70" customFormat="1" x14ac:dyDescent="0.2">
      <c r="A76" s="36"/>
      <c r="B76" s="28" t="s">
        <v>66</v>
      </c>
      <c r="C76" s="19" t="s">
        <v>67</v>
      </c>
      <c r="D76" s="37"/>
      <c r="E76" s="38">
        <v>11500000</v>
      </c>
      <c r="F76" s="22"/>
      <c r="G76" s="1"/>
      <c r="H76" s="1"/>
      <c r="M76" s="2"/>
      <c r="N76" s="2"/>
      <c r="O76" s="1"/>
      <c r="P76" s="2"/>
    </row>
    <row r="77" spans="1:16" s="70" customFormat="1" x14ac:dyDescent="0.2">
      <c r="A77" s="36"/>
      <c r="B77" s="28" t="s">
        <v>66</v>
      </c>
      <c r="C77" s="43" t="s">
        <v>1457</v>
      </c>
      <c r="D77" s="43"/>
      <c r="E77" s="12">
        <f>400000000-175000000</f>
        <v>225000000</v>
      </c>
      <c r="F77" s="22"/>
      <c r="G77" s="1"/>
      <c r="H77" s="1"/>
      <c r="J77" s="45">
        <v>2385.5100000000002</v>
      </c>
      <c r="K77" s="46"/>
      <c r="L77" s="46"/>
      <c r="M77" s="2"/>
      <c r="N77" s="2"/>
      <c r="O77" s="1"/>
      <c r="P77" s="2"/>
    </row>
    <row r="78" spans="1:16" s="70" customFormat="1" ht="15" x14ac:dyDescent="0.25">
      <c r="A78" s="36"/>
      <c r="B78" s="28"/>
      <c r="C78" s="44" t="s">
        <v>1541</v>
      </c>
      <c r="D78" s="43"/>
      <c r="E78" s="7">
        <f>+E77+E75+E76</f>
        <v>489092313.68999988</v>
      </c>
      <c r="F78" s="22"/>
      <c r="G78" s="1"/>
      <c r="H78" s="1"/>
      <c r="I78" s="103" t="s">
        <v>69</v>
      </c>
      <c r="J78" s="45">
        <v>-114.2</v>
      </c>
      <c r="K78" s="46"/>
      <c r="L78" s="46"/>
      <c r="M78" s="2"/>
      <c r="N78" s="2"/>
      <c r="O78" s="1"/>
      <c r="P78" s="2"/>
    </row>
    <row r="79" spans="1:16" s="70" customFormat="1" ht="15" x14ac:dyDescent="0.25">
      <c r="A79" s="24"/>
      <c r="B79" s="1"/>
      <c r="C79" s="44" t="s">
        <v>1510</v>
      </c>
      <c r="D79" s="25"/>
      <c r="E79" s="156">
        <f>+J37-E76+I33-J33</f>
        <v>11865391.310000002</v>
      </c>
      <c r="F79" s="2"/>
      <c r="G79" s="1"/>
      <c r="H79" s="1"/>
      <c r="I79" s="35">
        <v>1</v>
      </c>
      <c r="J79" s="45">
        <v>103.35</v>
      </c>
      <c r="K79" s="46">
        <f>+J80-D82</f>
        <v>0</v>
      </c>
      <c r="L79" s="2"/>
      <c r="M79" s="2"/>
      <c r="N79" s="2"/>
      <c r="O79" s="1"/>
      <c r="P79" s="2"/>
    </row>
    <row r="80" spans="1:16" s="70" customFormat="1" ht="12.75" customHeight="1" x14ac:dyDescent="0.2">
      <c r="A80" s="24"/>
      <c r="B80" s="1"/>
      <c r="C80" s="56"/>
      <c r="D80" s="56"/>
      <c r="E80" s="104"/>
      <c r="F80" s="2"/>
      <c r="G80" s="166"/>
      <c r="H80" s="166"/>
      <c r="J80" s="49">
        <f>SUM(J77:J79)</f>
        <v>2374.6600000000003</v>
      </c>
      <c r="K80" s="46"/>
      <c r="L80" s="46"/>
      <c r="M80" s="124"/>
      <c r="N80" s="124"/>
      <c r="O80" s="1"/>
      <c r="P80" s="2"/>
    </row>
    <row r="81" spans="1:19" s="70" customFormat="1" ht="12.75" customHeight="1" x14ac:dyDescent="0.2">
      <c r="A81" s="24"/>
      <c r="B81" s="1"/>
      <c r="C81" s="78" t="s">
        <v>575</v>
      </c>
      <c r="D81" s="48" t="s">
        <v>576</v>
      </c>
      <c r="E81" s="104"/>
      <c r="F81" s="2"/>
      <c r="G81" s="168"/>
      <c r="H81" s="168"/>
      <c r="I81" s="167"/>
      <c r="J81" s="167"/>
      <c r="K81" s="168"/>
      <c r="L81" s="124"/>
      <c r="M81" s="124"/>
      <c r="N81" s="124"/>
      <c r="O81" s="124"/>
      <c r="P81" s="2"/>
    </row>
    <row r="82" spans="1:19" s="70" customFormat="1" ht="12.75" customHeight="1" x14ac:dyDescent="0.2">
      <c r="A82" s="24"/>
      <c r="B82" s="1"/>
      <c r="C82" s="47" t="s">
        <v>570</v>
      </c>
      <c r="D82" s="111">
        <v>2374.66</v>
      </c>
      <c r="E82" s="104"/>
      <c r="F82" s="2"/>
      <c r="G82" s="168"/>
      <c r="H82" s="168"/>
      <c r="I82" s="110" t="s">
        <v>581</v>
      </c>
      <c r="J82" s="167"/>
      <c r="K82" s="168"/>
      <c r="L82" s="124"/>
      <c r="M82" s="124"/>
      <c r="N82" s="124"/>
      <c r="O82" s="124"/>
      <c r="P82" s="124"/>
    </row>
    <row r="83" spans="1:19" s="70" customFormat="1" ht="12.75" customHeight="1" x14ac:dyDescent="0.2">
      <c r="A83" s="24"/>
      <c r="B83" s="1"/>
      <c r="C83" s="47" t="s">
        <v>931</v>
      </c>
      <c r="D83" s="111">
        <v>154.02000000000001</v>
      </c>
      <c r="E83" s="104"/>
      <c r="F83" s="2"/>
      <c r="G83" s="168"/>
      <c r="H83" s="168"/>
      <c r="I83" s="110" t="s">
        <v>580</v>
      </c>
      <c r="J83" s="167"/>
      <c r="K83" s="168"/>
      <c r="L83" s="124"/>
      <c r="M83" s="124"/>
      <c r="N83" s="124"/>
      <c r="O83" s="124"/>
      <c r="P83" s="124"/>
    </row>
    <row r="84" spans="1:19" s="70" customFormat="1" ht="12.75" customHeight="1" x14ac:dyDescent="0.2">
      <c r="A84" s="24"/>
      <c r="B84" s="1"/>
      <c r="C84" s="47" t="s">
        <v>572</v>
      </c>
      <c r="D84" s="111">
        <f>+D131/100000</f>
        <v>632.17857830000003</v>
      </c>
      <c r="E84" s="104"/>
      <c r="F84" s="2"/>
      <c r="G84" s="166"/>
      <c r="H84" s="166"/>
      <c r="I84" s="90" t="s">
        <v>587</v>
      </c>
      <c r="J84" s="167"/>
      <c r="K84" s="168"/>
      <c r="L84" s="124"/>
      <c r="M84" s="124"/>
      <c r="N84" s="124"/>
      <c r="O84" s="124"/>
      <c r="P84" s="124"/>
    </row>
    <row r="85" spans="1:19" s="70" customFormat="1" ht="12.75" customHeight="1" x14ac:dyDescent="0.2">
      <c r="A85" s="24"/>
      <c r="B85" s="1"/>
      <c r="C85" s="108" t="s">
        <v>578</v>
      </c>
      <c r="D85" s="48">
        <f>SUM(D82:D84)</f>
        <v>3160.8585782999999</v>
      </c>
      <c r="E85" s="104"/>
      <c r="F85" s="2"/>
      <c r="G85" s="30"/>
      <c r="H85" s="30"/>
      <c r="I85" s="2"/>
      <c r="J85" s="13"/>
      <c r="K85" s="13"/>
      <c r="L85" s="2"/>
      <c r="M85" s="2"/>
      <c r="N85" s="2"/>
      <c r="O85" s="124"/>
      <c r="P85" s="124"/>
    </row>
    <row r="86" spans="1:19" s="70" customFormat="1" ht="12.75" customHeight="1" x14ac:dyDescent="0.2">
      <c r="A86" s="24"/>
      <c r="B86" s="1"/>
      <c r="C86" s="47"/>
      <c r="D86" s="107"/>
      <c r="E86" s="104"/>
      <c r="F86" s="2"/>
      <c r="G86" s="30"/>
      <c r="H86" s="30"/>
      <c r="I86" s="2"/>
      <c r="O86" s="2"/>
      <c r="P86" s="124"/>
    </row>
    <row r="87" spans="1:19" s="70" customFormat="1" ht="12.75" customHeight="1" x14ac:dyDescent="0.2">
      <c r="A87" s="24"/>
      <c r="B87" s="1"/>
      <c r="C87" s="47" t="s">
        <v>932</v>
      </c>
      <c r="D87" s="111">
        <v>220.59</v>
      </c>
      <c r="E87" s="104"/>
      <c r="F87" s="2"/>
      <c r="G87" s="30"/>
      <c r="H87" s="30"/>
      <c r="I87" s="110" t="s">
        <v>581</v>
      </c>
      <c r="P87" s="2"/>
    </row>
    <row r="88" spans="1:19" s="70" customFormat="1" ht="12.75" customHeight="1" x14ac:dyDescent="0.2">
      <c r="A88" s="24"/>
      <c r="B88" s="1"/>
      <c r="C88" s="136" t="s">
        <v>1142</v>
      </c>
      <c r="D88" s="111">
        <v>689.93</v>
      </c>
      <c r="E88" s="104"/>
      <c r="F88" s="2"/>
      <c r="G88" s="30"/>
      <c r="H88" s="30"/>
      <c r="I88" s="110" t="s">
        <v>581</v>
      </c>
    </row>
    <row r="89" spans="1:19" s="70" customFormat="1" ht="12.75" customHeight="1" x14ac:dyDescent="0.2">
      <c r="A89" s="24"/>
      <c r="B89" s="1"/>
      <c r="C89" s="78" t="s">
        <v>579</v>
      </c>
      <c r="D89" s="109">
        <f>D87+D88</f>
        <v>910.52</v>
      </c>
      <c r="E89" s="104"/>
      <c r="F89" s="2"/>
      <c r="G89" s="30"/>
      <c r="H89" s="30"/>
      <c r="Q89" s="2"/>
      <c r="R89" s="2"/>
      <c r="S89" s="2"/>
    </row>
    <row r="90" spans="1:19" s="2" customFormat="1" x14ac:dyDescent="0.2">
      <c r="A90" s="24"/>
      <c r="B90" s="1"/>
      <c r="C90" s="105"/>
      <c r="D90" s="106"/>
      <c r="E90" s="104"/>
      <c r="G90" s="30"/>
      <c r="H90" s="30"/>
      <c r="I90" s="70"/>
      <c r="K90" s="221" t="str">
        <f>"FROM ( 01-02-2024 to "&amp;TEXT(A5,"dd-mm-yyyy")&amp;" )"</f>
        <v>FROM ( 01-02-2024 to 26-02-2024 )</v>
      </c>
      <c r="L90" s="221"/>
      <c r="O90" s="70"/>
      <c r="P90" s="70"/>
    </row>
    <row r="91" spans="1:19" s="2" customFormat="1" x14ac:dyDescent="0.2">
      <c r="A91" s="24"/>
      <c r="B91" s="1"/>
      <c r="C91" s="78" t="s">
        <v>577</v>
      </c>
      <c r="D91" s="109">
        <f>D82+D89</f>
        <v>3285.18</v>
      </c>
      <c r="E91" s="104"/>
      <c r="G91" s="30"/>
      <c r="H91" s="30"/>
      <c r="I91" s="70"/>
      <c r="J91" s="113"/>
      <c r="K91" s="113" t="s">
        <v>709</v>
      </c>
      <c r="L91" s="113" t="s">
        <v>710</v>
      </c>
      <c r="M91" s="113" t="s">
        <v>711</v>
      </c>
      <c r="N91" s="113" t="s">
        <v>712</v>
      </c>
      <c r="O91" s="70"/>
      <c r="P91" s="70"/>
    </row>
    <row r="92" spans="1:19" s="2" customFormat="1" x14ac:dyDescent="0.2">
      <c r="A92" s="24"/>
      <c r="B92" s="1"/>
      <c r="C92" s="56"/>
      <c r="D92" s="56"/>
      <c r="E92" s="104"/>
      <c r="G92" s="30"/>
      <c r="H92" s="30"/>
      <c r="I92" s="70"/>
      <c r="J92" s="113" t="s">
        <v>1860</v>
      </c>
      <c r="K92" s="115">
        <v>191.98999999999998</v>
      </c>
      <c r="L92" s="115">
        <v>27.85</v>
      </c>
      <c r="M92" s="115">
        <v>0</v>
      </c>
      <c r="N92" s="113">
        <f>+K92+M92-L92</f>
        <v>164.14</v>
      </c>
      <c r="O92" s="70"/>
      <c r="P92" s="70"/>
    </row>
    <row r="93" spans="1:19" s="2" customFormat="1" ht="38.25" x14ac:dyDescent="0.2">
      <c r="A93" s="24"/>
      <c r="B93" s="1"/>
      <c r="C93" s="79" t="str">
        <f>"Particulars ( 01-02-2024 to "&amp;TEXT(A5,"dd-mm-yyyy")&amp;" )"</f>
        <v>Particulars ( 01-02-2024 to 26-02-2024 )</v>
      </c>
      <c r="D93" s="79" t="s">
        <v>7</v>
      </c>
      <c r="E93" s="80" t="s">
        <v>73</v>
      </c>
      <c r="F93" s="80" t="s">
        <v>74</v>
      </c>
      <c r="G93" s="81" t="s">
        <v>75</v>
      </c>
      <c r="H93" s="80" t="s">
        <v>76</v>
      </c>
      <c r="I93" s="70"/>
      <c r="J93" s="113" t="s">
        <v>1861</v>
      </c>
      <c r="K93" s="115">
        <v>1862.06</v>
      </c>
      <c r="L93" s="115">
        <v>975.86</v>
      </c>
      <c r="M93" s="115">
        <v>1061.46</v>
      </c>
      <c r="N93" s="113">
        <f>+K93+M93-L93</f>
        <v>1947.6599999999999</v>
      </c>
      <c r="O93" s="70"/>
      <c r="P93" s="70"/>
    </row>
    <row r="94" spans="1:19" s="2" customFormat="1" x14ac:dyDescent="0.2">
      <c r="A94" s="24"/>
      <c r="B94" s="1"/>
      <c r="C94" s="50" t="s">
        <v>444</v>
      </c>
      <c r="D94" s="55">
        <f>+K94</f>
        <v>332.44</v>
      </c>
      <c r="E94" s="55">
        <f>+IF(M94=0,0,M94)</f>
        <v>220.59</v>
      </c>
      <c r="F94" s="55">
        <f>+L94</f>
        <v>154.02000000000001</v>
      </c>
      <c r="G94" s="55">
        <f>+D94+E94-F94</f>
        <v>399.01</v>
      </c>
      <c r="H94" s="55">
        <f>1500-G94</f>
        <v>1100.99</v>
      </c>
      <c r="I94" s="70">
        <f>+IF(M94=0,0,M94)</f>
        <v>220.59</v>
      </c>
      <c r="J94" s="113" t="s">
        <v>707</v>
      </c>
      <c r="K94" s="115">
        <v>332.44</v>
      </c>
      <c r="L94" s="115">
        <v>154.02000000000001</v>
      </c>
      <c r="M94" s="115">
        <v>220.59</v>
      </c>
      <c r="N94" s="113">
        <f>+K94+M94-L94</f>
        <v>399.01</v>
      </c>
      <c r="O94" s="70"/>
      <c r="P94" s="70"/>
    </row>
    <row r="95" spans="1:19" s="2" customFormat="1" x14ac:dyDescent="0.2">
      <c r="A95" s="24"/>
      <c r="B95" s="1"/>
      <c r="C95" s="50" t="s">
        <v>71</v>
      </c>
      <c r="D95" s="55">
        <f>+K92+K93</f>
        <v>2054.0499999999997</v>
      </c>
      <c r="E95" s="55">
        <f>+M92+M93</f>
        <v>1061.46</v>
      </c>
      <c r="F95" s="55">
        <f>+L92+L93</f>
        <v>1003.71</v>
      </c>
      <c r="G95" s="55">
        <f>+D95+E95-F95</f>
        <v>2111.7999999999997</v>
      </c>
      <c r="H95" s="55">
        <f>1500+700+200-G95</f>
        <v>288.20000000000027</v>
      </c>
      <c r="I95" s="70"/>
      <c r="K95" s="118">
        <f>SUM(K92:K94)</f>
        <v>2386.4899999999998</v>
      </c>
      <c r="L95" s="118">
        <f>SUM(L92:L94)</f>
        <v>1157.73</v>
      </c>
      <c r="M95" s="118">
        <f>SUM(M92:M94)</f>
        <v>1282.05</v>
      </c>
      <c r="N95" s="118">
        <f>SUM(N92:N94)</f>
        <v>2510.8099999999995</v>
      </c>
      <c r="O95" s="70"/>
      <c r="P95" s="70"/>
    </row>
    <row r="96" spans="1:19" s="2" customFormat="1" x14ac:dyDescent="0.2">
      <c r="A96" s="24"/>
      <c r="B96" s="1"/>
      <c r="C96" s="14"/>
      <c r="D96" s="56"/>
      <c r="E96" s="13"/>
      <c r="G96" s="30"/>
      <c r="H96" s="30"/>
      <c r="I96" s="70"/>
      <c r="J96" s="70"/>
      <c r="K96" s="70"/>
      <c r="L96" s="70"/>
      <c r="M96" s="70"/>
      <c r="N96" s="70"/>
      <c r="O96" s="70"/>
      <c r="P96" s="70"/>
    </row>
    <row r="97" spans="1:16" s="2" customFormat="1" x14ac:dyDescent="0.2">
      <c r="A97" s="215" t="s">
        <v>80</v>
      </c>
      <c r="B97" s="216"/>
      <c r="C97" s="216"/>
      <c r="D97" s="217"/>
      <c r="E97" s="69"/>
      <c r="F97" s="70"/>
      <c r="G97" s="30"/>
      <c r="H97" s="30"/>
      <c r="I97" s="70"/>
      <c r="J97" s="70"/>
      <c r="K97" s="70"/>
      <c r="L97" s="70"/>
      <c r="M97" s="70"/>
      <c r="N97" s="70"/>
      <c r="O97" s="70"/>
      <c r="P97" s="70"/>
    </row>
    <row r="98" spans="1:16" s="2" customFormat="1" x14ac:dyDescent="0.2">
      <c r="A98" s="71" t="s">
        <v>81</v>
      </c>
      <c r="B98" s="71"/>
      <c r="C98" s="72" t="s">
        <v>82</v>
      </c>
      <c r="D98" s="73" t="s">
        <v>83</v>
      </c>
      <c r="E98" s="69"/>
      <c r="F98" s="70"/>
      <c r="G98" s="30"/>
      <c r="H98" s="30"/>
      <c r="I98" s="70"/>
      <c r="J98" s="70"/>
      <c r="K98" s="70"/>
      <c r="L98" s="70"/>
      <c r="M98" s="70"/>
      <c r="N98" s="70"/>
      <c r="O98" s="70"/>
      <c r="P98" s="70"/>
    </row>
    <row r="99" spans="1:16" s="2" customFormat="1" x14ac:dyDescent="0.2">
      <c r="A99" s="87">
        <v>45323</v>
      </c>
      <c r="B99" s="120" t="s">
        <v>6</v>
      </c>
      <c r="C99" s="75" t="s">
        <v>18</v>
      </c>
      <c r="D99" s="88">
        <v>881220</v>
      </c>
      <c r="G99" s="30"/>
      <c r="H99" s="30"/>
      <c r="M99" s="41"/>
      <c r="N99" s="42"/>
      <c r="O99" s="70"/>
      <c r="P99" s="70"/>
    </row>
    <row r="100" spans="1:16" s="2" customFormat="1" x14ac:dyDescent="0.2">
      <c r="A100" s="87">
        <v>45324</v>
      </c>
      <c r="B100" s="120" t="s">
        <v>6</v>
      </c>
      <c r="C100" s="75" t="s">
        <v>270</v>
      </c>
      <c r="D100" s="88">
        <v>47729</v>
      </c>
      <c r="G100" s="30"/>
      <c r="H100" s="30"/>
      <c r="M100" s="41"/>
      <c r="N100" s="42"/>
      <c r="P100" s="70"/>
    </row>
    <row r="101" spans="1:16" s="2" customFormat="1" x14ac:dyDescent="0.2">
      <c r="A101" s="87">
        <v>45327</v>
      </c>
      <c r="B101" s="120" t="s">
        <v>6</v>
      </c>
      <c r="C101" s="75" t="s">
        <v>271</v>
      </c>
      <c r="D101" s="88">
        <v>56647</v>
      </c>
      <c r="G101" s="30"/>
      <c r="H101" s="30"/>
      <c r="M101" s="41"/>
      <c r="N101" s="42"/>
      <c r="P101" s="70"/>
    </row>
    <row r="102" spans="1:16" s="2" customFormat="1" x14ac:dyDescent="0.2">
      <c r="A102" s="87">
        <v>45328</v>
      </c>
      <c r="B102" s="120" t="s">
        <v>6</v>
      </c>
      <c r="C102" s="75" t="s">
        <v>87</v>
      </c>
      <c r="D102" s="88">
        <v>1312580</v>
      </c>
      <c r="G102" s="30"/>
      <c r="H102" s="30"/>
      <c r="M102" s="41"/>
      <c r="N102" s="42"/>
      <c r="P102" s="70"/>
    </row>
    <row r="103" spans="1:16" s="2" customFormat="1" x14ac:dyDescent="0.2">
      <c r="A103" s="87">
        <v>45329</v>
      </c>
      <c r="B103" s="120" t="s">
        <v>6</v>
      </c>
      <c r="C103" s="75" t="s">
        <v>18</v>
      </c>
      <c r="D103" s="88">
        <v>548859</v>
      </c>
      <c r="G103" s="30"/>
      <c r="H103" s="30"/>
      <c r="M103" s="41"/>
      <c r="N103" s="42"/>
      <c r="P103" s="70"/>
    </row>
    <row r="104" spans="1:16" s="2" customFormat="1" x14ac:dyDescent="0.2">
      <c r="A104" s="87">
        <v>45332</v>
      </c>
      <c r="B104" s="120" t="s">
        <v>6</v>
      </c>
      <c r="C104" s="75" t="s">
        <v>594</v>
      </c>
      <c r="D104" s="88">
        <v>1603904</v>
      </c>
      <c r="G104" s="30"/>
      <c r="H104" s="30"/>
      <c r="M104" s="41"/>
      <c r="N104" s="42"/>
      <c r="P104" s="70"/>
    </row>
    <row r="105" spans="1:16" s="2" customFormat="1" x14ac:dyDescent="0.2">
      <c r="A105" s="87">
        <v>45334</v>
      </c>
      <c r="B105" s="120" t="s">
        <v>6</v>
      </c>
      <c r="C105" s="75" t="s">
        <v>270</v>
      </c>
      <c r="D105" s="88">
        <v>126143</v>
      </c>
      <c r="G105" s="30"/>
      <c r="H105" s="30"/>
      <c r="M105" s="41"/>
      <c r="N105" s="42"/>
      <c r="P105" s="70"/>
    </row>
    <row r="106" spans="1:16" s="2" customFormat="1" x14ac:dyDescent="0.2">
      <c r="A106" s="87">
        <v>45334</v>
      </c>
      <c r="B106" s="120" t="s">
        <v>6</v>
      </c>
      <c r="C106" s="75" t="s">
        <v>323</v>
      </c>
      <c r="D106" s="88">
        <v>231107</v>
      </c>
      <c r="G106" s="30"/>
      <c r="H106" s="30"/>
      <c r="M106" s="41"/>
      <c r="N106" s="42"/>
      <c r="P106" s="70"/>
    </row>
    <row r="107" spans="1:16" s="2" customFormat="1" x14ac:dyDescent="0.2">
      <c r="A107" s="87">
        <v>45335</v>
      </c>
      <c r="B107" s="120" t="s">
        <v>6</v>
      </c>
      <c r="C107" s="75" t="s">
        <v>271</v>
      </c>
      <c r="D107" s="88">
        <v>9126</v>
      </c>
      <c r="G107" s="30"/>
      <c r="H107" s="30"/>
      <c r="P107" s="70"/>
    </row>
    <row r="108" spans="1:16" s="2" customFormat="1" x14ac:dyDescent="0.2">
      <c r="A108" s="87">
        <v>45336</v>
      </c>
      <c r="B108" s="120" t="s">
        <v>6</v>
      </c>
      <c r="C108" s="75" t="s">
        <v>18</v>
      </c>
      <c r="D108" s="88">
        <v>1067908</v>
      </c>
      <c r="G108" s="30"/>
      <c r="H108" s="30"/>
      <c r="P108" s="70"/>
    </row>
    <row r="109" spans="1:16" s="2" customFormat="1" x14ac:dyDescent="0.2">
      <c r="A109" s="87">
        <v>45337</v>
      </c>
      <c r="B109" s="120" t="s">
        <v>6</v>
      </c>
      <c r="C109" s="75" t="s">
        <v>201</v>
      </c>
      <c r="D109" s="88">
        <v>78251</v>
      </c>
      <c r="F109" s="2" t="s">
        <v>396</v>
      </c>
      <c r="G109" s="30"/>
      <c r="H109" s="30"/>
      <c r="P109" s="70"/>
    </row>
    <row r="110" spans="1:16" s="2" customFormat="1" x14ac:dyDescent="0.2">
      <c r="A110" s="87">
        <v>45337</v>
      </c>
      <c r="B110" s="120" t="s">
        <v>6</v>
      </c>
      <c r="C110" s="75" t="s">
        <v>271</v>
      </c>
      <c r="D110" s="88">
        <v>17527</v>
      </c>
      <c r="G110" s="30"/>
      <c r="H110" s="30"/>
      <c r="P110" s="70"/>
    </row>
    <row r="111" spans="1:16" s="2" customFormat="1" x14ac:dyDescent="0.2">
      <c r="A111" s="87">
        <v>45338</v>
      </c>
      <c r="B111" s="120" t="s">
        <v>6</v>
      </c>
      <c r="C111" s="75" t="s">
        <v>1789</v>
      </c>
      <c r="D111" s="88">
        <v>1418915</v>
      </c>
      <c r="F111" s="2" t="s">
        <v>396</v>
      </c>
      <c r="G111" s="30"/>
      <c r="H111" s="30"/>
      <c r="P111" s="70"/>
    </row>
    <row r="112" spans="1:16" s="2" customFormat="1" x14ac:dyDescent="0.2">
      <c r="A112" s="87">
        <v>45338</v>
      </c>
      <c r="B112" s="120" t="s">
        <v>6</v>
      </c>
      <c r="C112" s="75" t="s">
        <v>87</v>
      </c>
      <c r="D112" s="88">
        <v>3685988</v>
      </c>
      <c r="G112" s="30"/>
      <c r="H112" s="30"/>
      <c r="P112" s="70"/>
    </row>
    <row r="113" spans="1:16" s="2" customFormat="1" x14ac:dyDescent="0.2">
      <c r="A113" s="87">
        <v>45339</v>
      </c>
      <c r="B113" s="120" t="s">
        <v>6</v>
      </c>
      <c r="C113" s="75" t="s">
        <v>271</v>
      </c>
      <c r="D113" s="88">
        <v>423618</v>
      </c>
      <c r="G113" s="30"/>
      <c r="H113" s="30"/>
      <c r="P113" s="70"/>
    </row>
    <row r="114" spans="1:16" s="2" customFormat="1" x14ac:dyDescent="0.2">
      <c r="A114" s="87">
        <v>45339</v>
      </c>
      <c r="B114" s="120" t="s">
        <v>6</v>
      </c>
      <c r="C114" s="2" t="s">
        <v>18</v>
      </c>
      <c r="D114" s="88">
        <v>875762</v>
      </c>
      <c r="G114" s="30"/>
      <c r="H114" s="30"/>
      <c r="P114" s="70"/>
    </row>
    <row r="115" spans="1:16" s="2" customFormat="1" x14ac:dyDescent="0.2">
      <c r="A115" s="87">
        <v>45341</v>
      </c>
      <c r="B115" s="120" t="s">
        <v>6</v>
      </c>
      <c r="C115" s="2" t="s">
        <v>271</v>
      </c>
      <c r="D115" s="88">
        <v>121500</v>
      </c>
      <c r="G115" s="30"/>
      <c r="H115" s="30"/>
      <c r="P115" s="70"/>
    </row>
    <row r="116" spans="1:16" s="2" customFormat="1" x14ac:dyDescent="0.2">
      <c r="A116" s="87">
        <v>45341</v>
      </c>
      <c r="B116" s="120" t="s">
        <v>6</v>
      </c>
      <c r="C116" s="75" t="s">
        <v>270</v>
      </c>
      <c r="D116" s="88">
        <v>58247.99</v>
      </c>
      <c r="G116" s="30"/>
      <c r="H116" s="30"/>
      <c r="P116" s="70"/>
    </row>
    <row r="117" spans="1:16" s="2" customFormat="1" x14ac:dyDescent="0.2">
      <c r="A117" s="87">
        <v>45341</v>
      </c>
      <c r="B117" s="120" t="s">
        <v>6</v>
      </c>
      <c r="C117" s="75" t="s">
        <v>88</v>
      </c>
      <c r="D117" s="88">
        <v>5824017.3399999999</v>
      </c>
      <c r="G117" s="30"/>
      <c r="H117" s="30"/>
      <c r="P117" s="70"/>
    </row>
    <row r="118" spans="1:16" s="2" customFormat="1" x14ac:dyDescent="0.2">
      <c r="A118" s="87">
        <v>45341</v>
      </c>
      <c r="B118" s="120" t="s">
        <v>6</v>
      </c>
      <c r="C118" s="75" t="s">
        <v>270</v>
      </c>
      <c r="D118" s="88">
        <v>164904</v>
      </c>
      <c r="G118" s="30"/>
      <c r="H118" s="30"/>
      <c r="P118" s="70"/>
    </row>
    <row r="119" spans="1:16" s="2" customFormat="1" x14ac:dyDescent="0.2">
      <c r="A119" s="87">
        <v>45342</v>
      </c>
      <c r="B119" s="120" t="s">
        <v>6</v>
      </c>
      <c r="C119" s="75" t="s">
        <v>201</v>
      </c>
      <c r="D119" s="88">
        <v>6536518</v>
      </c>
      <c r="G119" s="30"/>
      <c r="H119" s="30"/>
      <c r="P119" s="70"/>
    </row>
    <row r="120" spans="1:16" s="2" customFormat="1" x14ac:dyDescent="0.2">
      <c r="A120" s="87">
        <v>45343</v>
      </c>
      <c r="B120" s="120" t="s">
        <v>6</v>
      </c>
      <c r="C120" s="75" t="s">
        <v>84</v>
      </c>
      <c r="D120" s="88">
        <v>2997902</v>
      </c>
      <c r="G120" s="30"/>
      <c r="H120" s="30"/>
      <c r="P120" s="70"/>
    </row>
    <row r="121" spans="1:16" s="2" customFormat="1" x14ac:dyDescent="0.2">
      <c r="A121" s="87">
        <v>45343</v>
      </c>
      <c r="B121" s="120" t="s">
        <v>6</v>
      </c>
      <c r="C121" s="75" t="s">
        <v>201</v>
      </c>
      <c r="D121" s="88">
        <v>15000146.5</v>
      </c>
      <c r="G121" s="30"/>
      <c r="H121" s="30"/>
      <c r="P121" s="70"/>
    </row>
    <row r="122" spans="1:16" s="2" customFormat="1" x14ac:dyDescent="0.2">
      <c r="A122" s="87">
        <v>45343</v>
      </c>
      <c r="B122" s="120" t="s">
        <v>6</v>
      </c>
      <c r="C122" s="75" t="s">
        <v>84</v>
      </c>
      <c r="D122" s="88">
        <v>2098</v>
      </c>
      <c r="G122" s="30"/>
      <c r="H122" s="30"/>
      <c r="P122" s="70"/>
    </row>
    <row r="123" spans="1:16" s="2" customFormat="1" x14ac:dyDescent="0.2">
      <c r="A123" s="87">
        <v>45343</v>
      </c>
      <c r="B123" s="120" t="s">
        <v>6</v>
      </c>
      <c r="C123" s="75" t="s">
        <v>18</v>
      </c>
      <c r="D123" s="88">
        <v>465686</v>
      </c>
      <c r="G123" s="30"/>
      <c r="H123" s="30"/>
      <c r="P123" s="70"/>
    </row>
    <row r="124" spans="1:16" s="2" customFormat="1" x14ac:dyDescent="0.2">
      <c r="A124" s="87">
        <v>45344</v>
      </c>
      <c r="B124" s="120" t="s">
        <v>6</v>
      </c>
      <c r="C124" s="75" t="s">
        <v>86</v>
      </c>
      <c r="D124" s="88">
        <v>107495</v>
      </c>
      <c r="G124" s="30"/>
      <c r="H124" s="30"/>
      <c r="P124" s="70"/>
    </row>
    <row r="125" spans="1:16" s="2" customFormat="1" x14ac:dyDescent="0.2">
      <c r="A125" s="87">
        <v>45344</v>
      </c>
      <c r="B125" s="120" t="s">
        <v>6</v>
      </c>
      <c r="C125" s="75" t="s">
        <v>86</v>
      </c>
      <c r="D125" s="88">
        <v>4051957</v>
      </c>
      <c r="G125" s="30"/>
      <c r="H125" s="30"/>
      <c r="P125" s="70"/>
    </row>
    <row r="126" spans="1:16" s="2" customFormat="1" x14ac:dyDescent="0.2">
      <c r="A126" s="87">
        <v>45344</v>
      </c>
      <c r="B126" s="120" t="s">
        <v>6</v>
      </c>
      <c r="C126" s="75" t="s">
        <v>594</v>
      </c>
      <c r="D126" s="88">
        <v>3989745</v>
      </c>
      <c r="G126" s="30"/>
      <c r="H126" s="30"/>
      <c r="P126" s="70"/>
    </row>
    <row r="127" spans="1:16" s="2" customFormat="1" x14ac:dyDescent="0.2">
      <c r="A127" s="87">
        <v>45344</v>
      </c>
      <c r="B127" s="120" t="s">
        <v>6</v>
      </c>
      <c r="C127" s="75" t="s">
        <v>594</v>
      </c>
      <c r="D127" s="88">
        <v>2520</v>
      </c>
      <c r="G127" s="30"/>
      <c r="H127" s="30"/>
      <c r="P127" s="70"/>
    </row>
    <row r="128" spans="1:16" s="2" customFormat="1" x14ac:dyDescent="0.2">
      <c r="A128" s="87">
        <v>45345</v>
      </c>
      <c r="B128" s="120" t="s">
        <v>6</v>
      </c>
      <c r="C128" s="75" t="s">
        <v>87</v>
      </c>
      <c r="D128" s="88">
        <v>6959736</v>
      </c>
      <c r="G128" s="30"/>
      <c r="H128" s="30"/>
      <c r="P128" s="70"/>
    </row>
    <row r="129" spans="1:16" s="2" customFormat="1" x14ac:dyDescent="0.2">
      <c r="A129" s="87">
        <v>45345</v>
      </c>
      <c r="B129" s="120" t="s">
        <v>6</v>
      </c>
      <c r="C129" s="75" t="s">
        <v>271</v>
      </c>
      <c r="D129" s="88">
        <v>718415</v>
      </c>
      <c r="G129" s="30"/>
      <c r="H129" s="30"/>
      <c r="P129" s="70"/>
    </row>
    <row r="130" spans="1:16" s="2" customFormat="1" x14ac:dyDescent="0.2">
      <c r="A130" s="87">
        <v>45347</v>
      </c>
      <c r="B130" s="120" t="s">
        <v>6</v>
      </c>
      <c r="C130" s="75" t="s">
        <v>2133</v>
      </c>
      <c r="D130" s="88">
        <v>3831686</v>
      </c>
      <c r="G130" s="30"/>
      <c r="H130" s="30"/>
      <c r="P130" s="70"/>
    </row>
    <row r="131" spans="1:16" s="2" customFormat="1" x14ac:dyDescent="0.2">
      <c r="A131" s="87"/>
      <c r="B131" s="74"/>
      <c r="C131" s="75"/>
      <c r="D131" s="51">
        <f>SUM(D99:D130)</f>
        <v>63217857.829999998</v>
      </c>
      <c r="F131" s="2" t="s">
        <v>396</v>
      </c>
      <c r="G131" s="1"/>
      <c r="H131" s="1"/>
      <c r="P131" s="70"/>
    </row>
    <row r="132" spans="1:16" s="2" customFormat="1" x14ac:dyDescent="0.2">
      <c r="A132" s="24"/>
      <c r="B132" s="1"/>
      <c r="C132" s="14"/>
      <c r="D132" s="56"/>
      <c r="E132" s="13"/>
      <c r="G132" s="1"/>
      <c r="H132" s="1"/>
      <c r="I132" s="2" t="s">
        <v>396</v>
      </c>
    </row>
    <row r="133" spans="1:16" s="2" customFormat="1" x14ac:dyDescent="0.2">
      <c r="A133" s="24"/>
      <c r="B133" s="1"/>
      <c r="C133" s="218" t="s">
        <v>77</v>
      </c>
      <c r="D133" s="219"/>
      <c r="E133" s="219"/>
      <c r="F133" s="220"/>
      <c r="I133" s="2" t="s">
        <v>396</v>
      </c>
    </row>
    <row r="134" spans="1:16" s="2" customFormat="1" x14ac:dyDescent="0.2">
      <c r="A134" s="24"/>
      <c r="B134" s="1"/>
      <c r="C134" s="50"/>
      <c r="D134" s="57" t="s">
        <v>78</v>
      </c>
      <c r="E134" s="58" t="s">
        <v>79</v>
      </c>
      <c r="F134" s="57" t="s">
        <v>72</v>
      </c>
    </row>
    <row r="135" spans="1:16" s="2" customFormat="1" x14ac:dyDescent="0.2">
      <c r="A135" s="24"/>
      <c r="B135" s="1"/>
      <c r="C135" s="59" t="str">
        <f>"01-02-2024 to "&amp;TEXT(A5-2,"dd-mm-yyyy")</f>
        <v>01-02-2024 to 24-02-2024</v>
      </c>
      <c r="D135" s="60">
        <v>3003.32</v>
      </c>
      <c r="E135" s="60">
        <v>570.98</v>
      </c>
      <c r="F135" s="61">
        <f>SUM(D135:E135)</f>
        <v>3574.3</v>
      </c>
      <c r="I135" s="53"/>
    </row>
    <row r="136" spans="1:16" s="2" customFormat="1" x14ac:dyDescent="0.2">
      <c r="A136" s="24"/>
      <c r="B136" s="1"/>
      <c r="C136" s="62" t="str">
        <f>TEXT(A5-1,"dd-mm-yyyy")</f>
        <v>25-02-2024</v>
      </c>
      <c r="D136" s="60">
        <v>0</v>
      </c>
      <c r="E136" s="60">
        <v>0</v>
      </c>
      <c r="F136" s="61">
        <f>SUM(D136:E136)</f>
        <v>0</v>
      </c>
      <c r="G136" s="1"/>
      <c r="H136" s="1"/>
      <c r="I136" s="53"/>
    </row>
    <row r="137" spans="1:16" s="2" customFormat="1" ht="13.5" thickBot="1" x14ac:dyDescent="0.25">
      <c r="A137" s="24"/>
      <c r="B137" s="1"/>
      <c r="C137" s="63" t="str">
        <f>"01-02-2024 to "&amp;TEXT(A5-1,"dd-mm-yyyy")</f>
        <v>01-02-2024 to 25-02-2024</v>
      </c>
      <c r="D137" s="64">
        <f>SUM(D135:D136)</f>
        <v>3003.32</v>
      </c>
      <c r="E137" s="64">
        <f>SUM(E135:E136)</f>
        <v>570.98</v>
      </c>
      <c r="F137" s="64">
        <f>SUM(F135:F136)</f>
        <v>3574.3</v>
      </c>
      <c r="G137" s="1"/>
      <c r="H137" s="1"/>
      <c r="M137" s="1"/>
      <c r="N137" s="1"/>
    </row>
    <row r="138" spans="1:16" s="2" customFormat="1" ht="13.5" thickTop="1" x14ac:dyDescent="0.2">
      <c r="A138" s="24"/>
      <c r="B138" s="1"/>
      <c r="C138" s="62"/>
      <c r="D138" s="65"/>
      <c r="E138" s="66"/>
      <c r="F138" s="67"/>
      <c r="M138" s="1"/>
      <c r="N138" s="1"/>
    </row>
    <row r="139" spans="1:16" s="2" customFormat="1" x14ac:dyDescent="0.2">
      <c r="A139" s="24"/>
      <c r="B139" s="1"/>
      <c r="C139" s="62" t="str">
        <f>"01-04-2023 to " &amp;C136</f>
        <v>01-04-2023 to 25-02-2024</v>
      </c>
      <c r="D139" s="68">
        <f>+D137+37155.6</f>
        <v>40158.92</v>
      </c>
      <c r="E139" s="68">
        <f>+E137+4502.26</f>
        <v>5073.24</v>
      </c>
      <c r="F139" s="68">
        <f>+F137+41657.86</f>
        <v>45232.160000000003</v>
      </c>
      <c r="G139" s="1"/>
      <c r="H139" s="1"/>
      <c r="M139" s="1"/>
      <c r="N139" s="1"/>
    </row>
    <row r="140" spans="1:16" s="2" customFormat="1" x14ac:dyDescent="0.2">
      <c r="A140" s="24"/>
      <c r="B140" s="1"/>
      <c r="C140" s="52"/>
      <c r="D140" s="85"/>
      <c r="E140" s="53"/>
      <c r="F140" s="53"/>
      <c r="G140" s="1"/>
      <c r="H140" s="1"/>
      <c r="M140" s="1"/>
      <c r="N140" s="1"/>
    </row>
    <row r="141" spans="1:16" s="2" customFormat="1" x14ac:dyDescent="0.2">
      <c r="A141" s="24"/>
      <c r="B141" s="1"/>
      <c r="C141" s="52"/>
      <c r="D141" s="85"/>
      <c r="E141" s="53"/>
      <c r="F141" s="53"/>
      <c r="G141" s="1"/>
      <c r="H141" s="1"/>
      <c r="M141" s="1"/>
      <c r="N141" s="1"/>
    </row>
    <row r="142" spans="1:16" s="2" customFormat="1" x14ac:dyDescent="0.2">
      <c r="A142" s="24"/>
      <c r="B142" s="1"/>
      <c r="C142" s="52"/>
      <c r="D142" s="85"/>
      <c r="E142" s="53"/>
      <c r="F142" s="53"/>
      <c r="G142" s="1"/>
      <c r="H142" s="1"/>
      <c r="M142" s="1"/>
      <c r="N142" s="1"/>
    </row>
    <row r="143" spans="1:16" s="2" customFormat="1" x14ac:dyDescent="0.2">
      <c r="A143" s="24"/>
      <c r="B143" s="1"/>
      <c r="C143" s="52"/>
      <c r="D143" s="85"/>
      <c r="E143" s="53"/>
      <c r="F143" s="53"/>
      <c r="G143" s="1"/>
      <c r="H143" s="1"/>
      <c r="M143" s="1"/>
      <c r="N143" s="1"/>
    </row>
    <row r="144" spans="1:16" s="2" customFormat="1" x14ac:dyDescent="0.2">
      <c r="A144" s="24"/>
      <c r="B144" s="1"/>
      <c r="C144" s="14"/>
      <c r="D144" s="25">
        <f>SUM(D141:D143)</f>
        <v>0</v>
      </c>
      <c r="E144" s="2">
        <f>SUM(E141:E143)</f>
        <v>0</v>
      </c>
      <c r="G144" s="1"/>
      <c r="H144" s="1"/>
      <c r="M144" s="1"/>
      <c r="N144" s="1"/>
    </row>
    <row r="145" spans="1:19" s="2" customFormat="1" x14ac:dyDescent="0.2">
      <c r="A145" s="24"/>
      <c r="B145" s="1"/>
      <c r="C145" s="14"/>
      <c r="D145" s="25"/>
      <c r="G145" s="1"/>
      <c r="H145" s="1"/>
      <c r="M145" s="1"/>
      <c r="N145" s="1"/>
    </row>
    <row r="146" spans="1:19" s="2" customFormat="1" x14ac:dyDescent="0.2">
      <c r="A146" s="24"/>
      <c r="B146" s="1"/>
      <c r="C146" s="14"/>
      <c r="D146" s="25"/>
      <c r="G146" s="1"/>
      <c r="H146" s="1"/>
      <c r="M146" s="1"/>
      <c r="N146" s="1"/>
    </row>
    <row r="147" spans="1:19" s="2" customFormat="1" x14ac:dyDescent="0.2">
      <c r="A147" s="24"/>
      <c r="B147" s="1"/>
      <c r="C147" s="14"/>
      <c r="D147" s="25"/>
      <c r="G147" s="1"/>
      <c r="H147" s="1"/>
      <c r="M147" s="1"/>
      <c r="N147" s="1"/>
    </row>
    <row r="148" spans="1:19" s="2" customFormat="1" x14ac:dyDescent="0.2">
      <c r="A148" s="24"/>
      <c r="B148" s="1"/>
      <c r="C148" s="14"/>
      <c r="D148" s="25"/>
      <c r="G148" s="1"/>
      <c r="H148" s="1"/>
      <c r="M148" s="1"/>
      <c r="N148" s="1"/>
    </row>
    <row r="149" spans="1:19" s="2" customFormat="1" x14ac:dyDescent="0.2">
      <c r="A149" s="24"/>
      <c r="B149" s="1"/>
      <c r="C149" s="14"/>
      <c r="D149" s="25"/>
      <c r="G149" s="1"/>
      <c r="H149" s="1"/>
      <c r="M149" s="1"/>
      <c r="N149" s="1"/>
    </row>
    <row r="150" spans="1:19" s="2" customFormat="1" x14ac:dyDescent="0.2">
      <c r="A150" s="24"/>
      <c r="B150" s="1"/>
      <c r="C150" s="14"/>
      <c r="D150" s="25"/>
      <c r="G150" s="1"/>
      <c r="H150" s="1"/>
      <c r="M150" s="1"/>
      <c r="N150" s="1"/>
    </row>
    <row r="151" spans="1:19" s="2" customFormat="1" x14ac:dyDescent="0.2">
      <c r="A151" s="24"/>
      <c r="B151" s="1"/>
      <c r="C151" s="14"/>
      <c r="D151" s="25"/>
      <c r="G151" s="1"/>
      <c r="H151" s="1"/>
      <c r="M151" s="1"/>
      <c r="N151" s="1"/>
      <c r="Q151" s="1"/>
      <c r="R151" s="1"/>
      <c r="S151" s="1"/>
    </row>
    <row r="152" spans="1:19" x14ac:dyDescent="0.2">
      <c r="J152" s="2"/>
      <c r="K152" s="2"/>
      <c r="L152" s="2"/>
      <c r="O152" s="2"/>
      <c r="P152" s="2"/>
      <c r="Q152" s="2"/>
      <c r="R152" s="2"/>
      <c r="S152" s="2"/>
    </row>
    <row r="153" spans="1:19" s="2" customFormat="1" x14ac:dyDescent="0.2">
      <c r="A153" s="24"/>
      <c r="B153" s="1"/>
      <c r="C153" s="14"/>
      <c r="D153" s="25"/>
      <c r="G153" s="1"/>
      <c r="H153" s="1"/>
      <c r="M153" s="1"/>
      <c r="N153" s="1"/>
      <c r="Q153" s="1"/>
      <c r="R153" s="1"/>
      <c r="S153" s="1"/>
    </row>
    <row r="154" spans="1:19" x14ac:dyDescent="0.2">
      <c r="J154" s="2"/>
      <c r="K154" s="2"/>
      <c r="L154" s="2"/>
      <c r="O154" s="2"/>
      <c r="P154" s="2"/>
    </row>
    <row r="155" spans="1:19" x14ac:dyDescent="0.2">
      <c r="J155" s="2"/>
      <c r="K155" s="2"/>
      <c r="L155" s="2"/>
      <c r="O155" s="2"/>
      <c r="P155" s="2"/>
    </row>
    <row r="156" spans="1:19" x14ac:dyDescent="0.2">
      <c r="J156" s="2"/>
      <c r="K156" s="2"/>
      <c r="L156" s="2"/>
      <c r="O156" s="2"/>
      <c r="P156" s="2"/>
    </row>
    <row r="157" spans="1:19" x14ac:dyDescent="0.2">
      <c r="J157" s="2"/>
      <c r="K157" s="2"/>
      <c r="L157" s="2"/>
      <c r="O157" s="2"/>
      <c r="P157" s="2"/>
    </row>
    <row r="158" spans="1:19" x14ac:dyDescent="0.2">
      <c r="O158" s="2"/>
      <c r="P158" s="2"/>
    </row>
    <row r="159" spans="1:19" x14ac:dyDescent="0.2">
      <c r="J159" s="2"/>
      <c r="K159" s="2"/>
      <c r="L159" s="2"/>
      <c r="M159" s="2"/>
      <c r="N159" s="2"/>
      <c r="O159" s="2"/>
      <c r="P159" s="2"/>
    </row>
    <row r="160" spans="1:19" x14ac:dyDescent="0.2">
      <c r="O160" s="2"/>
      <c r="P160" s="2"/>
    </row>
    <row r="161" spans="7:16" x14ac:dyDescent="0.2">
      <c r="G161" s="54"/>
      <c r="H161" s="54"/>
      <c r="O161" s="2"/>
      <c r="P161" s="2"/>
    </row>
    <row r="162" spans="7:16" x14ac:dyDescent="0.2">
      <c r="G162" s="54"/>
      <c r="H162" s="54"/>
      <c r="O162" s="2"/>
      <c r="P162" s="2"/>
    </row>
    <row r="163" spans="7:16" x14ac:dyDescent="0.2">
      <c r="G163" s="54"/>
      <c r="H163" s="54"/>
      <c r="O163" s="2"/>
      <c r="P163" s="2"/>
    </row>
    <row r="164" spans="7:16" x14ac:dyDescent="0.2">
      <c r="G164" s="54"/>
      <c r="H164" s="54"/>
      <c r="I164" s="2" t="s">
        <v>396</v>
      </c>
      <c r="O164" s="2"/>
      <c r="P164" s="2"/>
    </row>
    <row r="165" spans="7:16" x14ac:dyDescent="0.2">
      <c r="G165" s="54"/>
      <c r="H165" s="54"/>
      <c r="I165" s="53"/>
      <c r="J165" s="2"/>
      <c r="K165" s="2"/>
      <c r="L165" s="2"/>
      <c r="M165" s="2"/>
      <c r="N165" s="2"/>
      <c r="P165" s="2"/>
    </row>
    <row r="166" spans="7:16" x14ac:dyDescent="0.2">
      <c r="G166" s="54"/>
      <c r="H166" s="54"/>
      <c r="I166" s="53" t="s">
        <v>396</v>
      </c>
      <c r="O166" s="2"/>
      <c r="P166" s="2"/>
    </row>
    <row r="167" spans="7:16" x14ac:dyDescent="0.2">
      <c r="G167" s="54"/>
      <c r="H167" s="54"/>
      <c r="I167" s="53" t="s">
        <v>396</v>
      </c>
      <c r="K167" s="42"/>
      <c r="P167" s="2"/>
    </row>
    <row r="168" spans="7:16" x14ac:dyDescent="0.2">
      <c r="G168" s="54"/>
      <c r="H168" s="54"/>
      <c r="I168" s="53"/>
      <c r="J168" s="101"/>
      <c r="P168" s="2"/>
    </row>
    <row r="169" spans="7:16" x14ac:dyDescent="0.2">
      <c r="G169" s="54"/>
      <c r="H169" s="54"/>
      <c r="I169" s="53"/>
    </row>
    <row r="170" spans="7:16" x14ac:dyDescent="0.2">
      <c r="G170" s="54"/>
      <c r="H170" s="54"/>
      <c r="I170" s="53"/>
      <c r="P170" s="2"/>
    </row>
    <row r="171" spans="7:16" x14ac:dyDescent="0.2">
      <c r="G171" s="54"/>
      <c r="H171" s="54"/>
      <c r="I171" s="53"/>
    </row>
  </sheetData>
  <sheetProtection insertRows="0"/>
  <mergeCells count="8">
    <mergeCell ref="K90:L90"/>
    <mergeCell ref="A97:D97"/>
    <mergeCell ref="C133:F133"/>
    <mergeCell ref="A1:H1"/>
    <mergeCell ref="A3:F3"/>
    <mergeCell ref="A9:F9"/>
    <mergeCell ref="A17:F17"/>
    <mergeCell ref="A36:F36"/>
  </mergeCells>
  <conditionalFormatting sqref="H94:H95">
    <cfRule type="cellIs" dxfId="55" priority="1" operator="lessThan">
      <formula>0</formula>
    </cfRule>
  </conditionalFormatting>
  <conditionalFormatting sqref="C38">
    <cfRule type="duplicateValues" dxfId="54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1-000000000000}">
  <sheetPr codeName="Sheet559">
    <pageSetUpPr fitToPage="1"/>
  </sheetPr>
  <dimension ref="A1:S167"/>
  <sheetViews>
    <sheetView topLeftCell="A7" zoomScaleNormal="100" workbookViewId="0">
      <selection activeCell="I12" sqref="I12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12.85546875" style="1" customWidth="1"/>
    <col min="9" max="9" width="24.85546875" style="2" bestFit="1" customWidth="1"/>
    <col min="10" max="10" width="21.5703125" style="1" bestFit="1" customWidth="1"/>
    <col min="11" max="11" width="16.85546875" style="1" bestFit="1" customWidth="1"/>
    <col min="12" max="12" width="19.5703125" style="1" bestFit="1" customWidth="1"/>
    <col min="13" max="13" width="13.5703125" style="1" bestFit="1" customWidth="1"/>
    <col min="14" max="14" width="17.42578125" style="1" bestFit="1" customWidth="1"/>
    <col min="15" max="15" width="12.85546875" style="1" bestFit="1" customWidth="1"/>
    <col min="16" max="17" width="9.140625" style="1"/>
    <col min="18" max="18" width="15.5703125" style="1" bestFit="1" customWidth="1"/>
    <col min="19" max="16384" width="9.140625" style="1"/>
  </cols>
  <sheetData>
    <row r="1" spans="1:11" ht="20.25" customHeight="1" x14ac:dyDescent="0.4">
      <c r="A1" s="212" t="s">
        <v>2134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1" ht="12.75" customHeight="1" x14ac:dyDescent="0.4">
      <c r="I2" s="112"/>
      <c r="J2" s="112"/>
    </row>
    <row r="3" spans="1:11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1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1" s="2" customFormat="1" ht="14.25" customHeight="1" x14ac:dyDescent="0.4">
      <c r="A5" s="89">
        <v>45349</v>
      </c>
      <c r="B5" s="9" t="s">
        <v>6</v>
      </c>
      <c r="C5" s="10" t="s">
        <v>7</v>
      </c>
      <c r="D5" s="11"/>
      <c r="E5" s="12">
        <v>322570.6800000004</v>
      </c>
      <c r="F5" s="12"/>
      <c r="G5" s="1"/>
      <c r="H5" s="1"/>
      <c r="I5" s="112"/>
      <c r="J5" s="112"/>
    </row>
    <row r="6" spans="1:11" s="2" customFormat="1" ht="12.75" customHeight="1" x14ac:dyDescent="0.2">
      <c r="D6" s="15" t="s">
        <v>8</v>
      </c>
      <c r="E6" s="16">
        <f>SUM(E5:E5)</f>
        <v>322570.6800000004</v>
      </c>
      <c r="F6" s="16">
        <f>F5</f>
        <v>0</v>
      </c>
      <c r="G6" s="1"/>
      <c r="H6" s="1"/>
      <c r="I6" s="13" t="s">
        <v>1582</v>
      </c>
      <c r="J6" s="13" t="s">
        <v>1583</v>
      </c>
    </row>
    <row r="7" spans="1:11" s="2" customFormat="1" ht="12.75" customHeight="1" x14ac:dyDescent="0.2">
      <c r="A7" s="17"/>
      <c r="B7" s="18"/>
      <c r="C7" s="19" t="s">
        <v>9</v>
      </c>
      <c r="D7" s="20"/>
      <c r="E7" s="21">
        <f>+E6-F6</f>
        <v>322570.6800000004</v>
      </c>
      <c r="F7" s="22"/>
      <c r="G7" s="23"/>
      <c r="H7" s="23"/>
      <c r="I7" s="2">
        <v>0</v>
      </c>
      <c r="J7" s="2">
        <v>0</v>
      </c>
      <c r="K7" s="176">
        <f>I7-J7</f>
        <v>0</v>
      </c>
    </row>
    <row r="8" spans="1:11" ht="11.25" customHeight="1" x14ac:dyDescent="0.4">
      <c r="I8" s="112"/>
      <c r="J8" s="112"/>
    </row>
    <row r="9" spans="1:11" ht="18" customHeight="1" x14ac:dyDescent="0.4">
      <c r="A9" s="213" t="s">
        <v>2103</v>
      </c>
      <c r="B9" s="213"/>
      <c r="C9" s="213"/>
      <c r="D9" s="213"/>
      <c r="E9" s="213"/>
      <c r="F9" s="213"/>
      <c r="I9" s="112"/>
      <c r="J9" s="112"/>
    </row>
    <row r="10" spans="1:11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I10" s="112"/>
      <c r="J10" s="112"/>
    </row>
    <row r="11" spans="1:11" ht="12.75" customHeight="1" x14ac:dyDescent="0.4">
      <c r="A11" s="89">
        <v>45349</v>
      </c>
      <c r="B11" s="9" t="s">
        <v>6</v>
      </c>
      <c r="C11" s="10" t="s">
        <v>7</v>
      </c>
      <c r="D11" s="11"/>
      <c r="E11" s="12">
        <v>10609616.189999999</v>
      </c>
      <c r="F11" s="1"/>
      <c r="I11" s="112"/>
      <c r="J11" s="112"/>
    </row>
    <row r="12" spans="1:11" ht="12.75" customHeight="1" x14ac:dyDescent="0.4">
      <c r="A12" s="89">
        <v>45349</v>
      </c>
      <c r="B12" s="9" t="s">
        <v>6</v>
      </c>
      <c r="C12" s="76" t="s">
        <v>2135</v>
      </c>
      <c r="D12" s="11" t="s">
        <v>13</v>
      </c>
      <c r="E12" s="31">
        <v>927898</v>
      </c>
      <c r="I12" s="112"/>
      <c r="J12" s="112"/>
    </row>
    <row r="13" spans="1:11" ht="12.75" customHeight="1" x14ac:dyDescent="0.4">
      <c r="A13" s="89">
        <v>45349</v>
      </c>
      <c r="B13" s="9" t="s">
        <v>11</v>
      </c>
      <c r="C13" s="76" t="s">
        <v>62</v>
      </c>
      <c r="D13" s="11" t="s">
        <v>29</v>
      </c>
      <c r="E13" s="31"/>
      <c r="F13" s="31">
        <v>9000</v>
      </c>
      <c r="I13" s="112"/>
      <c r="J13" s="112"/>
    </row>
    <row r="14" spans="1:11" ht="12.75" customHeight="1" x14ac:dyDescent="0.4">
      <c r="A14" s="89">
        <v>45349</v>
      </c>
      <c r="B14" s="9" t="s">
        <v>11</v>
      </c>
      <c r="C14" s="76" t="s">
        <v>256</v>
      </c>
      <c r="D14" s="11" t="s">
        <v>29</v>
      </c>
      <c r="E14" s="31"/>
      <c r="F14" s="31">
        <v>511768</v>
      </c>
      <c r="I14" s="112"/>
      <c r="J14" s="112"/>
    </row>
    <row r="15" spans="1:11" ht="12.75" customHeight="1" x14ac:dyDescent="0.4">
      <c r="A15" s="89">
        <v>45349</v>
      </c>
      <c r="B15" s="9" t="s">
        <v>11</v>
      </c>
      <c r="C15" s="76" t="s">
        <v>610</v>
      </c>
      <c r="D15" s="11" t="s">
        <v>29</v>
      </c>
      <c r="E15" s="31"/>
      <c r="F15" s="31">
        <v>2572</v>
      </c>
      <c r="I15" s="112"/>
      <c r="J15" s="112"/>
    </row>
    <row r="16" spans="1:11" ht="12.75" customHeight="1" x14ac:dyDescent="0.4">
      <c r="A16" s="89">
        <v>45349</v>
      </c>
      <c r="B16" s="9" t="s">
        <v>11</v>
      </c>
      <c r="C16" s="76" t="s">
        <v>718</v>
      </c>
      <c r="D16" s="11" t="s">
        <v>29</v>
      </c>
      <c r="E16" s="31"/>
      <c r="F16" s="31">
        <v>5498.8</v>
      </c>
      <c r="I16" s="112"/>
      <c r="J16" s="112"/>
    </row>
    <row r="17" spans="1:12" ht="12.75" customHeight="1" x14ac:dyDescent="0.4">
      <c r="A17" s="89">
        <v>45349</v>
      </c>
      <c r="B17" s="9" t="s">
        <v>11</v>
      </c>
      <c r="C17" s="76" t="s">
        <v>1387</v>
      </c>
      <c r="D17" s="11" t="s">
        <v>29</v>
      </c>
      <c r="E17" s="31"/>
      <c r="F17" s="31">
        <v>17641</v>
      </c>
      <c r="I17" s="112"/>
      <c r="J17" s="112"/>
    </row>
    <row r="18" spans="1:12" ht="12.75" customHeight="1" x14ac:dyDescent="0.4">
      <c r="A18" s="89">
        <v>45349</v>
      </c>
      <c r="B18" s="9" t="s">
        <v>11</v>
      </c>
      <c r="C18" s="76" t="s">
        <v>770</v>
      </c>
      <c r="D18" s="11" t="s">
        <v>29</v>
      </c>
      <c r="E18" s="31"/>
      <c r="F18" s="31">
        <v>9786</v>
      </c>
      <c r="I18" s="112"/>
      <c r="J18" s="112"/>
    </row>
    <row r="19" spans="1:12" ht="12.75" customHeight="1" x14ac:dyDescent="0.4">
      <c r="A19" s="89">
        <v>45349</v>
      </c>
      <c r="B19" s="9" t="s">
        <v>11</v>
      </c>
      <c r="C19" s="76" t="s">
        <v>1349</v>
      </c>
      <c r="D19" s="11" t="s">
        <v>29</v>
      </c>
      <c r="E19" s="31"/>
      <c r="F19" s="31">
        <v>2180</v>
      </c>
      <c r="I19" s="112"/>
      <c r="J19" s="112"/>
    </row>
    <row r="20" spans="1:12" ht="12.75" customHeight="1" x14ac:dyDescent="0.4">
      <c r="A20" s="89">
        <v>45349</v>
      </c>
      <c r="B20" s="9" t="s">
        <v>11</v>
      </c>
      <c r="C20" s="76" t="s">
        <v>63</v>
      </c>
      <c r="D20" s="11" t="s">
        <v>29</v>
      </c>
      <c r="E20" s="31"/>
      <c r="F20" s="31">
        <v>3000000</v>
      </c>
      <c r="I20" s="112"/>
      <c r="J20" s="112"/>
    </row>
    <row r="21" spans="1:12" ht="12.75" customHeight="1" x14ac:dyDescent="0.4">
      <c r="A21" s="89">
        <v>45349</v>
      </c>
      <c r="B21" s="9" t="s">
        <v>11</v>
      </c>
      <c r="C21" s="76" t="s">
        <v>57</v>
      </c>
      <c r="D21" s="11" t="s">
        <v>29</v>
      </c>
      <c r="E21" s="31"/>
      <c r="F21" s="31">
        <v>1000000</v>
      </c>
      <c r="I21" s="112"/>
      <c r="J21" s="112"/>
    </row>
    <row r="22" spans="1:12" ht="12.75" customHeight="1" x14ac:dyDescent="0.4">
      <c r="A22" s="89">
        <v>45349</v>
      </c>
      <c r="B22" s="9" t="s">
        <v>11</v>
      </c>
      <c r="C22" s="76" t="s">
        <v>1643</v>
      </c>
      <c r="D22" s="11" t="s">
        <v>29</v>
      </c>
      <c r="E22" s="31"/>
      <c r="F22" s="31">
        <v>115640</v>
      </c>
      <c r="I22" s="112"/>
      <c r="J22" s="112"/>
    </row>
    <row r="23" spans="1:12" ht="12.75" customHeight="1" x14ac:dyDescent="0.4">
      <c r="A23" s="89">
        <v>45349</v>
      </c>
      <c r="B23" s="9" t="s">
        <v>11</v>
      </c>
      <c r="C23" s="76" t="s">
        <v>2136</v>
      </c>
      <c r="D23" s="11" t="s">
        <v>29</v>
      </c>
      <c r="E23" s="31"/>
      <c r="F23" s="31">
        <v>99000</v>
      </c>
      <c r="I23" s="112"/>
      <c r="J23" s="112"/>
    </row>
    <row r="24" spans="1:12" ht="12.75" customHeight="1" x14ac:dyDescent="0.4">
      <c r="A24" s="89">
        <v>45349</v>
      </c>
      <c r="B24" s="9" t="s">
        <v>11</v>
      </c>
      <c r="C24" s="76" t="s">
        <v>2137</v>
      </c>
      <c r="D24" s="11" t="s">
        <v>29</v>
      </c>
      <c r="E24" s="31"/>
      <c r="F24" s="31">
        <v>29400</v>
      </c>
      <c r="I24" s="112"/>
      <c r="J24" s="112"/>
    </row>
    <row r="25" spans="1:12" ht="12.75" customHeight="1" x14ac:dyDescent="0.2">
      <c r="A25" s="2"/>
      <c r="B25" s="2"/>
      <c r="C25" s="2"/>
      <c r="D25" s="11" t="s">
        <v>8</v>
      </c>
      <c r="E25" s="16">
        <f>SUM(E11:E24)</f>
        <v>11537514.189999999</v>
      </c>
      <c r="F25" s="16">
        <f>SUM(F11:F24)</f>
        <v>4802485.8</v>
      </c>
      <c r="I25" s="13" t="s">
        <v>1582</v>
      </c>
      <c r="J25" s="13" t="s">
        <v>1583</v>
      </c>
    </row>
    <row r="26" spans="1:12" ht="17.25" customHeight="1" x14ac:dyDescent="0.2">
      <c r="A26" s="17"/>
      <c r="B26" s="18"/>
      <c r="C26" s="19" t="s">
        <v>9</v>
      </c>
      <c r="D26" s="20"/>
      <c r="E26" s="21">
        <f>+E25-F25</f>
        <v>6735028.3899999997</v>
      </c>
      <c r="I26" s="2">
        <v>176870</v>
      </c>
      <c r="J26" s="2">
        <v>0</v>
      </c>
    </row>
    <row r="27" spans="1:12" ht="18" customHeight="1" x14ac:dyDescent="0.25">
      <c r="A27" s="36"/>
      <c r="B27" s="28"/>
      <c r="C27" s="44"/>
      <c r="D27" s="43"/>
      <c r="E27" s="38"/>
      <c r="F27" s="22"/>
      <c r="J27" s="2"/>
    </row>
    <row r="28" spans="1:12" ht="18" customHeight="1" x14ac:dyDescent="0.4">
      <c r="A28" s="213" t="s">
        <v>2104</v>
      </c>
      <c r="B28" s="213"/>
      <c r="C28" s="213"/>
      <c r="D28" s="213"/>
      <c r="E28" s="213"/>
      <c r="F28" s="213"/>
      <c r="I28" s="112"/>
      <c r="J28" s="169">
        <f>90000000-60000000</f>
        <v>30000000</v>
      </c>
      <c r="K28" s="169" t="s">
        <v>1508</v>
      </c>
    </row>
    <row r="29" spans="1:12" ht="12.75" customHeight="1" x14ac:dyDescent="0.4">
      <c r="A29" s="3" t="s">
        <v>1</v>
      </c>
      <c r="B29" s="4" t="s">
        <v>2</v>
      </c>
      <c r="C29" s="5"/>
      <c r="D29" s="6" t="s">
        <v>3</v>
      </c>
      <c r="E29" s="7" t="s">
        <v>4</v>
      </c>
      <c r="F29" s="7" t="s">
        <v>5</v>
      </c>
      <c r="I29" s="112"/>
      <c r="J29" s="169">
        <v>24707508.59</v>
      </c>
      <c r="K29" s="169" t="s">
        <v>1509</v>
      </c>
      <c r="L29" s="124"/>
    </row>
    <row r="30" spans="1:12" s="2" customFormat="1" ht="14.25" customHeight="1" x14ac:dyDescent="0.2">
      <c r="A30" s="89">
        <v>45349</v>
      </c>
      <c r="B30" s="9" t="s">
        <v>6</v>
      </c>
      <c r="C30" s="10" t="s">
        <v>7</v>
      </c>
      <c r="D30" s="11"/>
      <c r="F30" s="12">
        <v>24707508.590000004</v>
      </c>
      <c r="G30" s="1"/>
      <c r="H30" s="1"/>
      <c r="I30" s="130" t="s">
        <v>396</v>
      </c>
      <c r="J30" s="169">
        <f>+J28-J29</f>
        <v>5292491.41</v>
      </c>
      <c r="K30" s="169" t="s">
        <v>712</v>
      </c>
      <c r="L30" s="165" t="s">
        <v>1512</v>
      </c>
    </row>
    <row r="31" spans="1:12" s="2" customFormat="1" ht="14.25" customHeight="1" x14ac:dyDescent="0.2">
      <c r="A31" s="89">
        <v>45349</v>
      </c>
      <c r="B31" s="9" t="s">
        <v>6</v>
      </c>
      <c r="C31" s="76" t="s">
        <v>1265</v>
      </c>
      <c r="D31" s="11" t="s">
        <v>13</v>
      </c>
      <c r="E31" s="31">
        <v>176870</v>
      </c>
      <c r="F31" s="31"/>
      <c r="G31" s="1"/>
      <c r="H31" s="1"/>
      <c r="I31" s="130"/>
      <c r="J31" s="169"/>
      <c r="K31" s="169"/>
      <c r="L31" s="165"/>
    </row>
    <row r="32" spans="1:12" s="2" customFormat="1" ht="14.25" customHeight="1" x14ac:dyDescent="0.4">
      <c r="D32" s="11" t="s">
        <v>8</v>
      </c>
      <c r="E32" s="16">
        <f>SUM(E31:E31)</f>
        <v>176870</v>
      </c>
      <c r="F32" s="16">
        <f>SUM(F30:F31)</f>
        <v>24707508.590000004</v>
      </c>
      <c r="G32" s="1"/>
      <c r="H32" s="1"/>
      <c r="J32" s="112"/>
      <c r="K32" s="153" t="s">
        <v>779</v>
      </c>
    </row>
    <row r="33" spans="1:12" s="2" customFormat="1" ht="14.25" customHeight="1" x14ac:dyDescent="0.2">
      <c r="A33" s="17"/>
      <c r="B33" s="18"/>
      <c r="C33" s="96" t="s">
        <v>9</v>
      </c>
      <c r="D33" s="20"/>
      <c r="E33" s="21">
        <f>+F32-E32</f>
        <v>24530638.590000004</v>
      </c>
      <c r="G33" s="1"/>
      <c r="H33" s="1"/>
      <c r="J33" s="40">
        <v>24530638.59</v>
      </c>
      <c r="K33" s="154">
        <f>J33-E33</f>
        <v>0</v>
      </c>
    </row>
    <row r="34" spans="1:12" s="2" customFormat="1" ht="14.25" customHeight="1" x14ac:dyDescent="0.2">
      <c r="A34" s="17"/>
      <c r="B34" s="28" t="s">
        <v>66</v>
      </c>
      <c r="C34" s="43" t="s">
        <v>1458</v>
      </c>
      <c r="D34" s="43"/>
      <c r="E34" s="12">
        <f>30000000+60000000</f>
        <v>90000000</v>
      </c>
      <c r="F34" s="22"/>
      <c r="G34" s="1"/>
      <c r="H34" s="1"/>
      <c r="I34" s="13" t="s">
        <v>1582</v>
      </c>
      <c r="J34" s="13" t="s">
        <v>1583</v>
      </c>
    </row>
    <row r="35" spans="1:12" s="2" customFormat="1" ht="14.25" customHeight="1" x14ac:dyDescent="0.25">
      <c r="A35" s="36"/>
      <c r="B35" s="28"/>
      <c r="C35" s="44" t="s">
        <v>1541</v>
      </c>
      <c r="D35" s="43"/>
      <c r="E35" s="7">
        <f>+E33+E34</f>
        <v>114530638.59</v>
      </c>
      <c r="F35" s="22"/>
      <c r="G35" s="1"/>
      <c r="H35" s="1"/>
      <c r="I35" s="2">
        <v>3579317</v>
      </c>
      <c r="J35" s="2">
        <v>7639491</v>
      </c>
      <c r="K35" s="176">
        <f>I35-J35</f>
        <v>-4060174</v>
      </c>
    </row>
    <row r="36" spans="1:12" s="2" customFormat="1" ht="14.25" customHeight="1" x14ac:dyDescent="0.25">
      <c r="A36" s="36"/>
      <c r="B36" s="28"/>
      <c r="C36" s="44" t="s">
        <v>1511</v>
      </c>
      <c r="D36" s="43"/>
      <c r="E36" s="38">
        <f>I26-J26+J30</f>
        <v>5469361.4100000001</v>
      </c>
      <c r="F36" s="22"/>
      <c r="G36" s="1"/>
      <c r="H36" s="1"/>
      <c r="J36" s="130"/>
      <c r="K36" s="130"/>
    </row>
    <row r="37" spans="1:12" s="2" customFormat="1" x14ac:dyDescent="0.2">
      <c r="A37" s="24"/>
      <c r="B37" s="1"/>
      <c r="C37" s="14"/>
      <c r="D37" s="25"/>
      <c r="G37" s="1"/>
      <c r="H37" s="1"/>
      <c r="I37" s="159"/>
      <c r="J37" s="160">
        <f>100000000+175000000</f>
        <v>275000000</v>
      </c>
      <c r="K37" s="160" t="s">
        <v>1506</v>
      </c>
      <c r="L37" s="70"/>
    </row>
    <row r="38" spans="1:12" s="2" customFormat="1" ht="15" x14ac:dyDescent="0.35">
      <c r="A38" s="214" t="s">
        <v>10</v>
      </c>
      <c r="B38" s="214"/>
      <c r="C38" s="214"/>
      <c r="D38" s="214"/>
      <c r="E38" s="214"/>
      <c r="F38" s="214"/>
      <c r="G38" s="1"/>
      <c r="H38" s="1"/>
      <c r="I38" s="159"/>
      <c r="J38" s="179">
        <v>252557762.38999999</v>
      </c>
      <c r="K38" s="160" t="s">
        <v>1507</v>
      </c>
      <c r="L38" s="70" t="s">
        <v>1512</v>
      </c>
    </row>
    <row r="39" spans="1:12" s="2" customFormat="1" x14ac:dyDescent="0.2">
      <c r="A39" s="26" t="s">
        <v>1</v>
      </c>
      <c r="B39" s="27" t="s">
        <v>2</v>
      </c>
      <c r="C39" s="5"/>
      <c r="D39" s="6" t="s">
        <v>3</v>
      </c>
      <c r="E39" s="7" t="s">
        <v>4</v>
      </c>
      <c r="F39" s="7" t="s">
        <v>5</v>
      </c>
      <c r="G39" s="1"/>
      <c r="H39" s="1"/>
      <c r="I39" s="159" t="s">
        <v>1505</v>
      </c>
      <c r="J39" s="160">
        <f>+J37-J38</f>
        <v>22442237.610000014</v>
      </c>
      <c r="K39" s="160"/>
      <c r="L39" s="70"/>
    </row>
    <row r="40" spans="1:12" s="2" customFormat="1" x14ac:dyDescent="0.2">
      <c r="A40" s="89">
        <v>45349</v>
      </c>
      <c r="B40" s="128" t="s">
        <v>11</v>
      </c>
      <c r="C40" s="29" t="s">
        <v>7</v>
      </c>
      <c r="D40" s="25"/>
      <c r="E40" s="31"/>
      <c r="F40" s="13">
        <v>252592313.68999988</v>
      </c>
      <c r="G40" s="23"/>
      <c r="H40" s="23"/>
      <c r="I40" s="159"/>
      <c r="J40" s="160"/>
      <c r="K40" s="160"/>
      <c r="L40" s="70"/>
    </row>
    <row r="41" spans="1:12" s="2" customFormat="1" x14ac:dyDescent="0.2">
      <c r="A41" s="89">
        <v>45349</v>
      </c>
      <c r="B41" s="128" t="s">
        <v>6</v>
      </c>
      <c r="C41" s="181" t="s">
        <v>220</v>
      </c>
      <c r="D41" s="11" t="s">
        <v>13</v>
      </c>
      <c r="E41" s="86">
        <v>72381</v>
      </c>
      <c r="G41" s="23"/>
      <c r="H41" s="23"/>
      <c r="I41" s="159"/>
      <c r="J41" s="160"/>
      <c r="K41" s="160"/>
      <c r="L41" s="70"/>
    </row>
    <row r="42" spans="1:12" s="2" customFormat="1" x14ac:dyDescent="0.2">
      <c r="A42" s="89">
        <v>45349</v>
      </c>
      <c r="B42" s="128" t="s">
        <v>6</v>
      </c>
      <c r="C42" s="181" t="s">
        <v>325</v>
      </c>
      <c r="D42" s="11" t="s">
        <v>13</v>
      </c>
      <c r="E42" s="86">
        <v>1103</v>
      </c>
      <c r="G42" s="23"/>
      <c r="H42" s="23"/>
      <c r="I42" s="159"/>
      <c r="J42" s="160"/>
      <c r="K42" s="160"/>
      <c r="L42" s="70"/>
    </row>
    <row r="43" spans="1:12" s="2" customFormat="1" x14ac:dyDescent="0.2">
      <c r="A43" s="89">
        <v>45349</v>
      </c>
      <c r="B43" s="128" t="s">
        <v>6</v>
      </c>
      <c r="C43" s="181" t="s">
        <v>283</v>
      </c>
      <c r="D43" s="11" t="s">
        <v>13</v>
      </c>
      <c r="E43" s="86">
        <v>9844068</v>
      </c>
      <c r="G43" s="23"/>
      <c r="H43" s="23"/>
      <c r="I43" s="159"/>
      <c r="J43" s="160"/>
      <c r="K43" s="160"/>
      <c r="L43" s="70"/>
    </row>
    <row r="44" spans="1:12" s="2" customFormat="1" x14ac:dyDescent="0.2">
      <c r="A44" s="89">
        <v>45349</v>
      </c>
      <c r="B44" s="128" t="s">
        <v>6</v>
      </c>
      <c r="C44" s="181" t="s">
        <v>2138</v>
      </c>
      <c r="D44" s="11" t="s">
        <v>13</v>
      </c>
      <c r="E44" s="86">
        <v>5657</v>
      </c>
      <c r="G44" s="23"/>
      <c r="H44" s="23"/>
      <c r="I44" s="159"/>
      <c r="J44" s="160"/>
      <c r="K44" s="160"/>
      <c r="L44" s="70"/>
    </row>
    <row r="45" spans="1:12" s="2" customFormat="1" x14ac:dyDescent="0.2">
      <c r="A45" s="89">
        <v>45349</v>
      </c>
      <c r="B45" s="128" t="s">
        <v>6</v>
      </c>
      <c r="C45" s="181" t="s">
        <v>2139</v>
      </c>
      <c r="D45" s="11" t="s">
        <v>13</v>
      </c>
      <c r="E45" s="86">
        <v>3675</v>
      </c>
      <c r="G45" s="23"/>
      <c r="H45" s="23"/>
      <c r="I45" s="159"/>
      <c r="J45" s="160"/>
      <c r="K45" s="160"/>
      <c r="L45" s="70"/>
    </row>
    <row r="46" spans="1:12" s="2" customFormat="1" x14ac:dyDescent="0.2">
      <c r="A46" s="89">
        <v>45349</v>
      </c>
      <c r="B46" s="128" t="s">
        <v>6</v>
      </c>
      <c r="C46" s="181" t="s">
        <v>385</v>
      </c>
      <c r="D46" s="11" t="s">
        <v>13</v>
      </c>
      <c r="E46" s="86">
        <v>55000</v>
      </c>
      <c r="G46" s="23"/>
      <c r="H46" s="23"/>
      <c r="I46" s="159"/>
      <c r="J46" s="160"/>
      <c r="K46" s="160"/>
      <c r="L46" s="70"/>
    </row>
    <row r="47" spans="1:12" s="2" customFormat="1" x14ac:dyDescent="0.2">
      <c r="A47" s="89">
        <v>45349</v>
      </c>
      <c r="B47" s="128" t="s">
        <v>6</v>
      </c>
      <c r="C47" s="181" t="s">
        <v>471</v>
      </c>
      <c r="D47" s="11" t="s">
        <v>13</v>
      </c>
      <c r="E47" s="86">
        <v>3938</v>
      </c>
      <c r="G47" s="23"/>
      <c r="H47" s="23"/>
      <c r="I47" s="159"/>
      <c r="J47" s="160"/>
      <c r="K47" s="160"/>
      <c r="L47" s="70"/>
    </row>
    <row r="48" spans="1:12" s="2" customFormat="1" x14ac:dyDescent="0.2">
      <c r="A48" s="89">
        <v>45349</v>
      </c>
      <c r="B48" s="128" t="s">
        <v>6</v>
      </c>
      <c r="C48" s="181" t="s">
        <v>2140</v>
      </c>
      <c r="D48" s="11" t="s">
        <v>13</v>
      </c>
      <c r="E48" s="86">
        <v>1551711</v>
      </c>
      <c r="G48" s="23"/>
      <c r="H48" s="23"/>
      <c r="I48" s="159"/>
      <c r="J48" s="160"/>
      <c r="K48" s="160"/>
      <c r="L48" s="70"/>
    </row>
    <row r="49" spans="1:12" s="2" customFormat="1" x14ac:dyDescent="0.2">
      <c r="A49" s="89">
        <v>45349</v>
      </c>
      <c r="B49" s="128" t="s">
        <v>6</v>
      </c>
      <c r="C49" s="181" t="s">
        <v>1138</v>
      </c>
      <c r="D49" s="11" t="s">
        <v>13</v>
      </c>
      <c r="E49" s="86">
        <v>1051600</v>
      </c>
      <c r="G49" s="23"/>
      <c r="H49" s="23"/>
      <c r="I49" s="159"/>
      <c r="J49" s="160"/>
      <c r="K49" s="160"/>
      <c r="L49" s="70"/>
    </row>
    <row r="50" spans="1:12" s="2" customFormat="1" x14ac:dyDescent="0.2">
      <c r="A50" s="89">
        <v>45349</v>
      </c>
      <c r="B50" s="128" t="s">
        <v>6</v>
      </c>
      <c r="C50" s="181" t="s">
        <v>146</v>
      </c>
      <c r="D50" s="11" t="s">
        <v>13</v>
      </c>
      <c r="E50" s="86">
        <v>120071</v>
      </c>
      <c r="G50" s="23"/>
      <c r="H50" s="23"/>
      <c r="I50" s="159"/>
      <c r="J50" s="160"/>
      <c r="K50" s="160"/>
      <c r="L50" s="70"/>
    </row>
    <row r="51" spans="1:12" s="2" customFormat="1" x14ac:dyDescent="0.2">
      <c r="A51" s="89">
        <v>45349</v>
      </c>
      <c r="B51" s="128" t="s">
        <v>11</v>
      </c>
      <c r="C51" s="181" t="s">
        <v>244</v>
      </c>
      <c r="D51" s="11" t="s">
        <v>29</v>
      </c>
      <c r="E51" s="86">
        <v>350000</v>
      </c>
      <c r="G51" s="23"/>
      <c r="H51" s="23"/>
      <c r="I51" s="159"/>
      <c r="J51" s="160"/>
      <c r="K51" s="160"/>
      <c r="L51" s="70"/>
    </row>
    <row r="52" spans="1:12" s="2" customFormat="1" x14ac:dyDescent="0.2">
      <c r="A52" s="89">
        <v>45349</v>
      </c>
      <c r="B52" s="128" t="s">
        <v>11</v>
      </c>
      <c r="C52" s="181" t="s">
        <v>64</v>
      </c>
      <c r="D52" s="11" t="s">
        <v>29</v>
      </c>
      <c r="E52" s="86"/>
      <c r="F52" s="2">
        <v>5317.08</v>
      </c>
      <c r="G52" s="23"/>
      <c r="H52" s="23"/>
      <c r="I52" s="159"/>
      <c r="J52" s="160"/>
      <c r="K52" s="160"/>
      <c r="L52" s="70"/>
    </row>
    <row r="53" spans="1:12" s="2" customFormat="1" x14ac:dyDescent="0.2">
      <c r="A53" s="89">
        <v>45349</v>
      </c>
      <c r="B53" s="128" t="s">
        <v>11</v>
      </c>
      <c r="C53" s="181" t="s">
        <v>15</v>
      </c>
      <c r="D53" s="11" t="s">
        <v>29</v>
      </c>
      <c r="E53" s="86"/>
      <c r="F53" s="2">
        <v>160589.62</v>
      </c>
      <c r="G53" s="23"/>
      <c r="H53" s="23"/>
      <c r="I53" s="159"/>
      <c r="J53" s="160"/>
      <c r="K53" s="160"/>
      <c r="L53" s="70"/>
    </row>
    <row r="54" spans="1:12" s="2" customFormat="1" x14ac:dyDescent="0.2">
      <c r="A54" s="89">
        <v>45349</v>
      </c>
      <c r="B54" s="128" t="s">
        <v>11</v>
      </c>
      <c r="C54" s="181" t="s">
        <v>244</v>
      </c>
      <c r="D54" s="11" t="s">
        <v>258</v>
      </c>
      <c r="E54" s="86"/>
      <c r="F54" s="2">
        <v>350000</v>
      </c>
      <c r="G54" s="23"/>
      <c r="H54" s="23"/>
      <c r="I54" s="159"/>
      <c r="J54" s="160"/>
      <c r="K54" s="160"/>
      <c r="L54" s="70"/>
    </row>
    <row r="55" spans="1:12" s="2" customFormat="1" x14ac:dyDescent="0.2">
      <c r="A55" s="89">
        <v>45349</v>
      </c>
      <c r="B55" s="128" t="s">
        <v>11</v>
      </c>
      <c r="C55" s="181" t="s">
        <v>284</v>
      </c>
      <c r="D55" s="11" t="s">
        <v>29</v>
      </c>
      <c r="E55" s="86"/>
      <c r="F55" s="2">
        <v>481234</v>
      </c>
      <c r="G55" s="23"/>
      <c r="H55" s="23"/>
      <c r="I55" s="159"/>
      <c r="J55" s="160"/>
      <c r="K55" s="160"/>
      <c r="L55" s="70"/>
    </row>
    <row r="56" spans="1:12" s="2" customFormat="1" x14ac:dyDescent="0.2">
      <c r="A56" s="89">
        <v>45349</v>
      </c>
      <c r="B56" s="128" t="s">
        <v>11</v>
      </c>
      <c r="C56" s="181" t="s">
        <v>460</v>
      </c>
      <c r="D56" s="11" t="s">
        <v>29</v>
      </c>
      <c r="E56" s="86"/>
      <c r="F56" s="2">
        <v>900000</v>
      </c>
      <c r="G56" s="23"/>
      <c r="H56" s="23"/>
      <c r="I56" s="159"/>
      <c r="J56" s="160"/>
      <c r="K56" s="160"/>
      <c r="L56" s="70"/>
    </row>
    <row r="57" spans="1:12" s="2" customFormat="1" x14ac:dyDescent="0.2">
      <c r="A57" s="89">
        <v>45349</v>
      </c>
      <c r="B57" s="128" t="s">
        <v>11</v>
      </c>
      <c r="C57" s="181" t="s">
        <v>137</v>
      </c>
      <c r="D57" s="11" t="s">
        <v>29</v>
      </c>
      <c r="E57" s="86"/>
      <c r="F57" s="2">
        <v>500000</v>
      </c>
      <c r="G57" s="23"/>
      <c r="H57" s="23"/>
      <c r="I57" s="159"/>
      <c r="J57" s="160"/>
      <c r="K57" s="160"/>
      <c r="L57" s="70"/>
    </row>
    <row r="58" spans="1:12" s="2" customFormat="1" x14ac:dyDescent="0.2">
      <c r="A58" s="89">
        <v>45349</v>
      </c>
      <c r="B58" s="128" t="s">
        <v>11</v>
      </c>
      <c r="C58" s="181" t="s">
        <v>1472</v>
      </c>
      <c r="D58" s="11" t="s">
        <v>29</v>
      </c>
      <c r="E58" s="86"/>
      <c r="F58" s="2">
        <v>806864</v>
      </c>
      <c r="G58" s="23"/>
      <c r="H58" s="23"/>
      <c r="I58" s="159"/>
      <c r="J58" s="160"/>
      <c r="K58" s="160"/>
      <c r="L58" s="70"/>
    </row>
    <row r="59" spans="1:12" s="2" customFormat="1" x14ac:dyDescent="0.2">
      <c r="A59" s="89">
        <v>45349</v>
      </c>
      <c r="B59" s="128" t="s">
        <v>11</v>
      </c>
      <c r="C59" s="181" t="s">
        <v>1734</v>
      </c>
      <c r="D59" s="11" t="s">
        <v>29</v>
      </c>
      <c r="E59" s="86"/>
      <c r="F59" s="2">
        <v>2110400</v>
      </c>
      <c r="G59" s="23"/>
      <c r="H59" s="23"/>
      <c r="I59" s="159"/>
      <c r="J59" s="160"/>
      <c r="K59" s="160"/>
      <c r="L59" s="70"/>
    </row>
    <row r="60" spans="1:12" s="2" customFormat="1" x14ac:dyDescent="0.2">
      <c r="A60" s="89">
        <v>45349</v>
      </c>
      <c r="B60" s="128" t="s">
        <v>11</v>
      </c>
      <c r="C60" s="181" t="s">
        <v>49</v>
      </c>
      <c r="D60" s="11" t="s">
        <v>29</v>
      </c>
      <c r="E60" s="86"/>
      <c r="F60" s="2">
        <v>460407</v>
      </c>
      <c r="G60" s="23"/>
      <c r="H60" s="23"/>
      <c r="I60" s="159"/>
      <c r="J60" s="160"/>
      <c r="K60" s="160"/>
      <c r="L60" s="70"/>
    </row>
    <row r="61" spans="1:12" s="2" customFormat="1" x14ac:dyDescent="0.2">
      <c r="A61" s="89">
        <v>45349</v>
      </c>
      <c r="B61" s="128" t="s">
        <v>11</v>
      </c>
      <c r="C61" s="181" t="s">
        <v>2003</v>
      </c>
      <c r="D61" s="11" t="s">
        <v>29</v>
      </c>
      <c r="E61" s="86"/>
      <c r="F61" s="2">
        <v>678741</v>
      </c>
      <c r="G61" s="23"/>
      <c r="H61" s="23"/>
      <c r="I61" s="159"/>
      <c r="J61" s="160"/>
      <c r="K61" s="160"/>
      <c r="L61" s="70"/>
    </row>
    <row r="62" spans="1:12" s="2" customFormat="1" x14ac:dyDescent="0.2">
      <c r="A62" s="89">
        <v>45349</v>
      </c>
      <c r="B62" s="128" t="s">
        <v>11</v>
      </c>
      <c r="C62" s="181" t="s">
        <v>127</v>
      </c>
      <c r="D62" s="11" t="s">
        <v>29</v>
      </c>
      <c r="E62" s="86"/>
      <c r="F62" s="2">
        <v>1148160</v>
      </c>
      <c r="G62" s="23"/>
      <c r="H62" s="23"/>
      <c r="I62" s="159"/>
      <c r="J62" s="160"/>
      <c r="K62" s="160"/>
      <c r="L62" s="70"/>
    </row>
    <row r="63" spans="1:12" s="2" customFormat="1" x14ac:dyDescent="0.2">
      <c r="A63" s="89">
        <v>45349</v>
      </c>
      <c r="B63" s="128" t="s">
        <v>11</v>
      </c>
      <c r="C63" s="181" t="s">
        <v>123</v>
      </c>
      <c r="D63" s="11" t="s">
        <v>29</v>
      </c>
      <c r="E63" s="86"/>
      <c r="F63" s="2">
        <v>482627</v>
      </c>
      <c r="G63" s="23"/>
      <c r="H63" s="23"/>
      <c r="I63" s="159"/>
      <c r="J63" s="160"/>
      <c r="K63" s="160"/>
      <c r="L63" s="70"/>
    </row>
    <row r="64" spans="1:12" s="2" customFormat="1" x14ac:dyDescent="0.2">
      <c r="A64" s="89">
        <v>45349</v>
      </c>
      <c r="B64" s="128" t="s">
        <v>11</v>
      </c>
      <c r="C64" s="181" t="s">
        <v>1140</v>
      </c>
      <c r="D64" s="11" t="s">
        <v>29</v>
      </c>
      <c r="E64" s="86"/>
      <c r="F64" s="2">
        <v>221690</v>
      </c>
      <c r="G64" s="23"/>
      <c r="H64" s="23"/>
      <c r="I64" s="159"/>
      <c r="J64" s="160"/>
      <c r="K64" s="160"/>
      <c r="L64" s="70"/>
    </row>
    <row r="65" spans="1:16" s="2" customFormat="1" x14ac:dyDescent="0.2">
      <c r="A65" s="89">
        <v>45349</v>
      </c>
      <c r="B65" s="128" t="s">
        <v>11</v>
      </c>
      <c r="C65" s="181" t="s">
        <v>696</v>
      </c>
      <c r="D65" s="11" t="s">
        <v>29</v>
      </c>
      <c r="E65" s="86"/>
      <c r="F65" s="2">
        <v>9045712</v>
      </c>
      <c r="G65" s="23"/>
      <c r="H65" s="23"/>
      <c r="I65" s="159"/>
      <c r="J65" s="160"/>
      <c r="K65" s="160"/>
      <c r="L65" s="70"/>
    </row>
    <row r="66" spans="1:16" s="2" customFormat="1" x14ac:dyDescent="0.2">
      <c r="A66" s="89">
        <v>45349</v>
      </c>
      <c r="B66" s="128" t="s">
        <v>11</v>
      </c>
      <c r="C66" s="181" t="s">
        <v>412</v>
      </c>
      <c r="D66" s="11" t="s">
        <v>29</v>
      </c>
      <c r="E66" s="86"/>
      <c r="F66" s="2">
        <v>12518</v>
      </c>
      <c r="G66" s="23"/>
      <c r="H66" s="23"/>
      <c r="I66" s="159"/>
      <c r="J66" s="160"/>
      <c r="K66" s="160"/>
      <c r="L66" s="70"/>
    </row>
    <row r="67" spans="1:16" s="2" customFormat="1" x14ac:dyDescent="0.2">
      <c r="A67" s="89">
        <v>45349</v>
      </c>
      <c r="B67" s="128" t="s">
        <v>11</v>
      </c>
      <c r="C67" s="181" t="s">
        <v>404</v>
      </c>
      <c r="D67" s="11" t="s">
        <v>29</v>
      </c>
      <c r="E67" s="86"/>
      <c r="F67" s="2">
        <v>154773</v>
      </c>
      <c r="G67" s="23"/>
      <c r="H67" s="23"/>
      <c r="I67" s="159"/>
      <c r="J67" s="160"/>
      <c r="K67" s="160"/>
      <c r="L67" s="70"/>
    </row>
    <row r="68" spans="1:16" s="2" customFormat="1" x14ac:dyDescent="0.2">
      <c r="A68" s="89">
        <v>45349</v>
      </c>
      <c r="B68" s="128" t="s">
        <v>11</v>
      </c>
      <c r="C68" s="181" t="s">
        <v>118</v>
      </c>
      <c r="D68" s="11" t="s">
        <v>29</v>
      </c>
      <c r="E68" s="86"/>
      <c r="F68" s="2">
        <v>400000</v>
      </c>
      <c r="G68" s="23"/>
      <c r="H68" s="23"/>
      <c r="I68" s="159"/>
      <c r="J68" s="160"/>
      <c r="K68" s="160"/>
      <c r="L68" s="70"/>
    </row>
    <row r="69" spans="1:16" s="2" customFormat="1" x14ac:dyDescent="0.2">
      <c r="A69" s="89">
        <v>45349</v>
      </c>
      <c r="B69" s="128" t="s">
        <v>11</v>
      </c>
      <c r="C69" s="181" t="s">
        <v>1639</v>
      </c>
      <c r="D69" s="11" t="s">
        <v>29</v>
      </c>
      <c r="E69" s="86"/>
      <c r="F69" s="2">
        <v>123499</v>
      </c>
      <c r="G69" s="23"/>
      <c r="H69" s="23"/>
      <c r="I69" s="159"/>
      <c r="J69" s="160"/>
      <c r="K69" s="160"/>
      <c r="L69" s="70" t="s">
        <v>329</v>
      </c>
    </row>
    <row r="70" spans="1:16" s="70" customFormat="1" x14ac:dyDescent="0.2">
      <c r="A70" s="32"/>
      <c r="B70" s="33"/>
      <c r="C70" s="14"/>
      <c r="D70" s="34"/>
      <c r="E70" s="16">
        <f>SUM(E40:E69)</f>
        <v>13059204</v>
      </c>
      <c r="F70" s="16">
        <f>SUM(F40:F69)</f>
        <v>270634845.38999987</v>
      </c>
      <c r="G70" s="1"/>
      <c r="H70" s="1"/>
      <c r="I70" s="1"/>
      <c r="J70" s="38">
        <v>256617936.38999999</v>
      </c>
      <c r="K70" s="2"/>
      <c r="L70" s="92">
        <f>E71-J70</f>
        <v>957704.99999988079</v>
      </c>
      <c r="M70" s="2"/>
      <c r="N70" s="2"/>
      <c r="O70" s="2"/>
      <c r="P70" s="2"/>
    </row>
    <row r="71" spans="1:16" s="70" customFormat="1" x14ac:dyDescent="0.2">
      <c r="A71" s="36"/>
      <c r="B71" s="28" t="s">
        <v>11</v>
      </c>
      <c r="C71" s="19" t="s">
        <v>65</v>
      </c>
      <c r="D71" s="37"/>
      <c r="E71" s="38">
        <f>F70-E70</f>
        <v>257575641.38999987</v>
      </c>
      <c r="F71" s="22"/>
      <c r="G71" s="1"/>
      <c r="H71" s="1"/>
      <c r="I71" s="1"/>
      <c r="M71" s="2"/>
      <c r="N71" s="2"/>
      <c r="O71" s="1"/>
      <c r="P71" s="2"/>
    </row>
    <row r="72" spans="1:16" s="70" customFormat="1" x14ac:dyDescent="0.2">
      <c r="A72" s="36"/>
      <c r="B72" s="28" t="s">
        <v>66</v>
      </c>
      <c r="C72" s="19" t="s">
        <v>67</v>
      </c>
      <c r="D72" s="37"/>
      <c r="E72" s="38">
        <v>11500000</v>
      </c>
      <c r="F72" s="22"/>
      <c r="G72" s="1"/>
      <c r="H72" s="1"/>
      <c r="M72" s="2"/>
      <c r="N72" s="2"/>
      <c r="O72" s="1"/>
      <c r="P72" s="2"/>
    </row>
    <row r="73" spans="1:16" s="70" customFormat="1" x14ac:dyDescent="0.2">
      <c r="A73" s="36"/>
      <c r="B73" s="28" t="s">
        <v>66</v>
      </c>
      <c r="C73" s="43" t="s">
        <v>1457</v>
      </c>
      <c r="D73" s="43"/>
      <c r="E73" s="12">
        <f>400000000-175000000</f>
        <v>225000000</v>
      </c>
      <c r="F73" s="22"/>
      <c r="G73" s="1"/>
      <c r="H73" s="1"/>
      <c r="J73" s="45">
        <v>2428.65</v>
      </c>
      <c r="K73" s="46"/>
      <c r="L73" s="46"/>
      <c r="M73" s="2"/>
      <c r="N73" s="2"/>
      <c r="O73" s="1"/>
      <c r="P73" s="2"/>
    </row>
    <row r="74" spans="1:16" s="70" customFormat="1" ht="15" x14ac:dyDescent="0.25">
      <c r="A74" s="36"/>
      <c r="B74" s="28"/>
      <c r="C74" s="44" t="s">
        <v>1541</v>
      </c>
      <c r="D74" s="43"/>
      <c r="E74" s="7">
        <f>+E73+E71+E72</f>
        <v>494075641.38999987</v>
      </c>
      <c r="F74" s="22"/>
      <c r="G74" s="1"/>
      <c r="H74" s="1"/>
      <c r="I74" s="103" t="s">
        <v>69</v>
      </c>
      <c r="J74" s="45">
        <v>-117.7</v>
      </c>
      <c r="K74" s="46"/>
      <c r="L74" s="46"/>
      <c r="M74" s="2"/>
      <c r="N74" s="2"/>
      <c r="O74" s="1"/>
      <c r="P74" s="2"/>
    </row>
    <row r="75" spans="1:16" s="70" customFormat="1" ht="15" x14ac:dyDescent="0.25">
      <c r="A75" s="24"/>
      <c r="B75" s="1"/>
      <c r="C75" s="44" t="s">
        <v>1510</v>
      </c>
      <c r="D75" s="25"/>
      <c r="E75" s="156">
        <f>+J39-E72+I35-J35</f>
        <v>6882063.6100000143</v>
      </c>
      <c r="F75" s="2"/>
      <c r="G75" s="1"/>
      <c r="H75" s="1"/>
      <c r="I75" s="35">
        <v>1</v>
      </c>
      <c r="J75" s="45">
        <v>103.35</v>
      </c>
      <c r="K75" s="46">
        <f>+J76-D78</f>
        <v>0</v>
      </c>
      <c r="L75" s="2"/>
      <c r="M75" s="2"/>
      <c r="N75" s="2"/>
      <c r="O75" s="1"/>
      <c r="P75" s="2"/>
    </row>
    <row r="76" spans="1:16" s="70" customFormat="1" ht="12.75" customHeight="1" x14ac:dyDescent="0.2">
      <c r="A76" s="24"/>
      <c r="B76" s="1"/>
      <c r="C76" s="56"/>
      <c r="D76" s="56"/>
      <c r="E76" s="104"/>
      <c r="F76" s="2"/>
      <c r="G76" s="166"/>
      <c r="H76" s="166"/>
      <c r="J76" s="49">
        <f>SUM(J73:J75)</f>
        <v>2414.3000000000002</v>
      </c>
      <c r="K76" s="46"/>
      <c r="L76" s="46"/>
      <c r="M76" s="124"/>
      <c r="N76" s="124"/>
      <c r="O76" s="1"/>
      <c r="P76" s="2"/>
    </row>
    <row r="77" spans="1:16" s="70" customFormat="1" ht="12.75" customHeight="1" x14ac:dyDescent="0.2">
      <c r="A77" s="24"/>
      <c r="B77" s="1"/>
      <c r="C77" s="78" t="s">
        <v>575</v>
      </c>
      <c r="D77" s="48" t="s">
        <v>576</v>
      </c>
      <c r="E77" s="104"/>
      <c r="F77" s="2"/>
      <c r="G77" s="168"/>
      <c r="H77" s="168"/>
      <c r="I77" s="167"/>
      <c r="J77" s="167"/>
      <c r="K77" s="168"/>
      <c r="L77" s="124"/>
      <c r="M77" s="124"/>
      <c r="N77" s="124"/>
      <c r="O77" s="124"/>
      <c r="P77" s="2"/>
    </row>
    <row r="78" spans="1:16" s="70" customFormat="1" ht="12.75" customHeight="1" x14ac:dyDescent="0.2">
      <c r="A78" s="24"/>
      <c r="B78" s="1"/>
      <c r="C78" s="47" t="s">
        <v>570</v>
      </c>
      <c r="D78" s="111">
        <v>2414.3000000000002</v>
      </c>
      <c r="E78" s="104"/>
      <c r="F78" s="2"/>
      <c r="G78" s="168"/>
      <c r="H78" s="168"/>
      <c r="I78" s="110" t="s">
        <v>581</v>
      </c>
      <c r="J78" s="167"/>
      <c r="K78" s="168"/>
      <c r="L78" s="124"/>
      <c r="M78" s="124"/>
      <c r="N78" s="124"/>
      <c r="O78" s="124"/>
      <c r="P78" s="124"/>
    </row>
    <row r="79" spans="1:16" s="70" customFormat="1" ht="12.75" customHeight="1" x14ac:dyDescent="0.2">
      <c r="A79" s="24"/>
      <c r="B79" s="1"/>
      <c r="C79" s="47" t="s">
        <v>931</v>
      </c>
      <c r="D79" s="111">
        <v>154.02000000000001</v>
      </c>
      <c r="E79" s="104"/>
      <c r="F79" s="2"/>
      <c r="G79" s="168"/>
      <c r="H79" s="168"/>
      <c r="I79" s="110" t="s">
        <v>580</v>
      </c>
      <c r="J79" s="167"/>
      <c r="K79" s="168"/>
      <c r="L79" s="124"/>
      <c r="M79" s="124"/>
      <c r="N79" s="124"/>
      <c r="O79" s="124"/>
      <c r="P79" s="124"/>
    </row>
    <row r="80" spans="1:16" s="70" customFormat="1" ht="12.75" customHeight="1" x14ac:dyDescent="0.2">
      <c r="A80" s="24"/>
      <c r="B80" s="1"/>
      <c r="C80" s="47" t="s">
        <v>572</v>
      </c>
      <c r="D80" s="111">
        <f>+D127/100000</f>
        <v>632.17857830000003</v>
      </c>
      <c r="E80" s="104"/>
      <c r="F80" s="2"/>
      <c r="G80" s="166"/>
      <c r="H80" s="166"/>
      <c r="I80" s="90" t="s">
        <v>587</v>
      </c>
      <c r="J80" s="167"/>
      <c r="K80" s="168"/>
      <c r="L80" s="124"/>
      <c r="M80" s="124"/>
      <c r="N80" s="124"/>
      <c r="O80" s="124"/>
      <c r="P80" s="124"/>
    </row>
    <row r="81" spans="1:19" s="70" customFormat="1" ht="12.75" customHeight="1" x14ac:dyDescent="0.2">
      <c r="A81" s="24"/>
      <c r="B81" s="1"/>
      <c r="C81" s="108" t="s">
        <v>578</v>
      </c>
      <c r="D81" s="48">
        <f>SUM(D78:D80)</f>
        <v>3200.4985783000002</v>
      </c>
      <c r="E81" s="104"/>
      <c r="F81" s="2"/>
      <c r="G81" s="30"/>
      <c r="H81" s="30"/>
      <c r="I81" s="2"/>
      <c r="J81" s="13"/>
      <c r="K81" s="13"/>
      <c r="L81" s="2"/>
      <c r="M81" s="2"/>
      <c r="N81" s="2"/>
      <c r="O81" s="124"/>
      <c r="P81" s="124"/>
    </row>
    <row r="82" spans="1:19" s="70" customFormat="1" ht="12.75" customHeight="1" x14ac:dyDescent="0.2">
      <c r="A82" s="24"/>
      <c r="B82" s="1"/>
      <c r="C82" s="47"/>
      <c r="D82" s="107"/>
      <c r="E82" s="104"/>
      <c r="F82" s="2"/>
      <c r="G82" s="30"/>
      <c r="H82" s="30"/>
      <c r="I82" s="2"/>
      <c r="O82" s="2"/>
      <c r="P82" s="124"/>
    </row>
    <row r="83" spans="1:19" s="70" customFormat="1" ht="12.75" customHeight="1" x14ac:dyDescent="0.2">
      <c r="A83" s="24"/>
      <c r="B83" s="1"/>
      <c r="C83" s="47" t="s">
        <v>932</v>
      </c>
      <c r="D83" s="111">
        <v>319.02999999999997</v>
      </c>
      <c r="E83" s="104"/>
      <c r="F83" s="2"/>
      <c r="G83" s="30"/>
      <c r="H83" s="30"/>
      <c r="I83" s="110" t="s">
        <v>581</v>
      </c>
      <c r="P83" s="2"/>
    </row>
    <row r="84" spans="1:19" s="70" customFormat="1" ht="12.75" customHeight="1" x14ac:dyDescent="0.2">
      <c r="A84" s="24"/>
      <c r="B84" s="1"/>
      <c r="C84" s="136" t="s">
        <v>1142</v>
      </c>
      <c r="D84" s="111">
        <v>689.93</v>
      </c>
      <c r="E84" s="104"/>
      <c r="F84" s="2"/>
      <c r="G84" s="30"/>
      <c r="H84" s="30"/>
      <c r="I84" s="110" t="s">
        <v>581</v>
      </c>
    </row>
    <row r="85" spans="1:19" s="70" customFormat="1" ht="12.75" customHeight="1" x14ac:dyDescent="0.2">
      <c r="A85" s="24"/>
      <c r="B85" s="1"/>
      <c r="C85" s="78" t="s">
        <v>579</v>
      </c>
      <c r="D85" s="109">
        <f>D83+D84</f>
        <v>1008.9599999999999</v>
      </c>
      <c r="E85" s="104"/>
      <c r="F85" s="2"/>
      <c r="G85" s="30"/>
      <c r="H85" s="30"/>
      <c r="Q85" s="2"/>
      <c r="R85" s="2"/>
      <c r="S85" s="2"/>
    </row>
    <row r="86" spans="1:19" s="2" customFormat="1" x14ac:dyDescent="0.2">
      <c r="A86" s="24"/>
      <c r="B86" s="1"/>
      <c r="C86" s="105"/>
      <c r="D86" s="106"/>
      <c r="E86" s="104"/>
      <c r="G86" s="30"/>
      <c r="H86" s="30"/>
      <c r="I86" s="70"/>
      <c r="K86" s="221" t="str">
        <f>"FROM ( 01-02-2024 to "&amp;TEXT(A5,"dd-mm-yyyy")&amp;" )"</f>
        <v>FROM ( 01-02-2024 to 27-02-2024 )</v>
      </c>
      <c r="L86" s="221"/>
      <c r="O86" s="70"/>
      <c r="P86" s="70"/>
    </row>
    <row r="87" spans="1:19" s="2" customFormat="1" x14ac:dyDescent="0.2">
      <c r="A87" s="24"/>
      <c r="B87" s="1"/>
      <c r="C87" s="78" t="s">
        <v>577</v>
      </c>
      <c r="D87" s="109">
        <f>D78+D85</f>
        <v>3423.26</v>
      </c>
      <c r="E87" s="104"/>
      <c r="G87" s="30"/>
      <c r="H87" s="30"/>
      <c r="I87" s="70"/>
      <c r="J87" s="113"/>
      <c r="K87" s="113" t="s">
        <v>709</v>
      </c>
      <c r="L87" s="113" t="s">
        <v>710</v>
      </c>
      <c r="M87" s="113" t="s">
        <v>711</v>
      </c>
      <c r="N87" s="113" t="s">
        <v>712</v>
      </c>
      <c r="O87" s="70"/>
      <c r="P87" s="70"/>
    </row>
    <row r="88" spans="1:19" s="2" customFormat="1" x14ac:dyDescent="0.2">
      <c r="A88" s="24"/>
      <c r="B88" s="1"/>
      <c r="C88" s="56"/>
      <c r="D88" s="56"/>
      <c r="E88" s="104"/>
      <c r="G88" s="30"/>
      <c r="H88" s="30"/>
      <c r="I88" s="70"/>
      <c r="J88" s="113" t="s">
        <v>1860</v>
      </c>
      <c r="K88" s="115">
        <v>191.98999999999998</v>
      </c>
      <c r="L88" s="115">
        <v>27.85</v>
      </c>
      <c r="M88" s="115">
        <v>0</v>
      </c>
      <c r="N88" s="113">
        <f>+K88+M88-L88</f>
        <v>164.14</v>
      </c>
      <c r="O88" s="70"/>
      <c r="P88" s="70"/>
    </row>
    <row r="89" spans="1:19" s="2" customFormat="1" ht="38.25" x14ac:dyDescent="0.2">
      <c r="A89" s="24"/>
      <c r="B89" s="1"/>
      <c r="C89" s="79" t="str">
        <f>"Particulars ( 01-02-2024 to "&amp;TEXT(A5,"dd-mm-yyyy")&amp;" )"</f>
        <v>Particulars ( 01-02-2024 to 27-02-2024 )</v>
      </c>
      <c r="D89" s="79" t="s">
        <v>7</v>
      </c>
      <c r="E89" s="80" t="s">
        <v>73</v>
      </c>
      <c r="F89" s="80" t="s">
        <v>74</v>
      </c>
      <c r="G89" s="81" t="s">
        <v>75</v>
      </c>
      <c r="H89" s="80" t="s">
        <v>76</v>
      </c>
      <c r="I89" s="70"/>
      <c r="J89" s="113" t="s">
        <v>1861</v>
      </c>
      <c r="K89" s="115">
        <v>1862.06</v>
      </c>
      <c r="L89" s="115">
        <v>975.86</v>
      </c>
      <c r="M89" s="115">
        <v>1061.46</v>
      </c>
      <c r="N89" s="113">
        <f>+K89+M89-L89</f>
        <v>1947.6599999999999</v>
      </c>
      <c r="O89" s="70"/>
      <c r="P89" s="70"/>
    </row>
    <row r="90" spans="1:19" s="2" customFormat="1" x14ac:dyDescent="0.2">
      <c r="A90" s="24"/>
      <c r="B90" s="1"/>
      <c r="C90" s="50" t="s">
        <v>444</v>
      </c>
      <c r="D90" s="55">
        <f>+K90</f>
        <v>332.44</v>
      </c>
      <c r="E90" s="55">
        <f>+IF(M90=0,0,M90)</f>
        <v>319.02999999999997</v>
      </c>
      <c r="F90" s="55">
        <f>+L90</f>
        <v>154.02000000000001</v>
      </c>
      <c r="G90" s="55">
        <f>+D90+E90-F90</f>
        <v>497.45000000000005</v>
      </c>
      <c r="H90" s="55">
        <f>1500-G90</f>
        <v>1002.55</v>
      </c>
      <c r="I90" s="70">
        <f>+IF(M90=0,0,M90)</f>
        <v>319.02999999999997</v>
      </c>
      <c r="J90" s="113" t="s">
        <v>707</v>
      </c>
      <c r="K90" s="115">
        <v>332.44</v>
      </c>
      <c r="L90" s="115">
        <v>154.02000000000001</v>
      </c>
      <c r="M90" s="115">
        <v>319.02999999999997</v>
      </c>
      <c r="N90" s="113">
        <f>+K90+M90-L90</f>
        <v>497.45000000000005</v>
      </c>
      <c r="O90" s="70"/>
      <c r="P90" s="70"/>
    </row>
    <row r="91" spans="1:19" s="2" customFormat="1" x14ac:dyDescent="0.2">
      <c r="A91" s="24"/>
      <c r="B91" s="1"/>
      <c r="C91" s="50" t="s">
        <v>71</v>
      </c>
      <c r="D91" s="55">
        <f>+K88+K89</f>
        <v>2054.0499999999997</v>
      </c>
      <c r="E91" s="55">
        <f>+M88+M89</f>
        <v>1061.46</v>
      </c>
      <c r="F91" s="55">
        <f>+L88+L89</f>
        <v>1003.71</v>
      </c>
      <c r="G91" s="55">
        <f>+D91+E91-F91</f>
        <v>2111.7999999999997</v>
      </c>
      <c r="H91" s="55">
        <f>1500+700+200-G91</f>
        <v>288.20000000000027</v>
      </c>
      <c r="I91" s="70"/>
      <c r="K91" s="118">
        <f>SUM(K88:K90)</f>
        <v>2386.4899999999998</v>
      </c>
      <c r="L91" s="118">
        <f>SUM(L88:L90)</f>
        <v>1157.73</v>
      </c>
      <c r="M91" s="118">
        <f>SUM(M88:M90)</f>
        <v>1380.49</v>
      </c>
      <c r="N91" s="118">
        <f>SUM(N88:N90)</f>
        <v>2609.25</v>
      </c>
      <c r="O91" s="70"/>
      <c r="P91" s="70"/>
    </row>
    <row r="92" spans="1:19" s="2" customFormat="1" x14ac:dyDescent="0.2">
      <c r="A92" s="24"/>
      <c r="B92" s="1"/>
      <c r="C92" s="14"/>
      <c r="D92" s="56"/>
      <c r="E92" s="13"/>
      <c r="G92" s="30"/>
      <c r="H92" s="30"/>
      <c r="I92" s="70"/>
      <c r="J92" s="70"/>
      <c r="K92" s="70"/>
      <c r="L92" s="70"/>
      <c r="M92" s="70"/>
      <c r="N92" s="70"/>
      <c r="O92" s="70"/>
      <c r="P92" s="70"/>
    </row>
    <row r="93" spans="1:19" s="2" customFormat="1" x14ac:dyDescent="0.2">
      <c r="A93" s="215" t="s">
        <v>80</v>
      </c>
      <c r="B93" s="216"/>
      <c r="C93" s="216"/>
      <c r="D93" s="217"/>
      <c r="E93" s="69"/>
      <c r="F93" s="70"/>
      <c r="G93" s="30"/>
      <c r="H93" s="30"/>
      <c r="I93" s="70"/>
      <c r="J93" s="70"/>
      <c r="K93" s="70"/>
      <c r="L93" s="70"/>
      <c r="M93" s="70"/>
      <c r="N93" s="70"/>
      <c r="O93" s="70"/>
      <c r="P93" s="70"/>
    </row>
    <row r="94" spans="1:19" s="2" customFormat="1" x14ac:dyDescent="0.2">
      <c r="A94" s="71" t="s">
        <v>81</v>
      </c>
      <c r="B94" s="71"/>
      <c r="C94" s="72" t="s">
        <v>82</v>
      </c>
      <c r="D94" s="73" t="s">
        <v>83</v>
      </c>
      <c r="E94" s="69"/>
      <c r="F94" s="70"/>
      <c r="G94" s="30"/>
      <c r="H94" s="30"/>
      <c r="I94" s="70"/>
      <c r="J94" s="70"/>
      <c r="K94" s="70"/>
      <c r="L94" s="70"/>
      <c r="M94" s="70"/>
      <c r="N94" s="70"/>
      <c r="O94" s="70"/>
      <c r="P94" s="70"/>
    </row>
    <row r="95" spans="1:19" s="2" customFormat="1" x14ac:dyDescent="0.2">
      <c r="A95" s="87">
        <v>45323</v>
      </c>
      <c r="B95" s="120" t="s">
        <v>6</v>
      </c>
      <c r="C95" s="75" t="s">
        <v>18</v>
      </c>
      <c r="D95" s="88">
        <v>881220</v>
      </c>
      <c r="G95" s="30"/>
      <c r="H95" s="30"/>
      <c r="M95" s="41"/>
      <c r="N95" s="42"/>
      <c r="O95" s="70"/>
      <c r="P95" s="70"/>
    </row>
    <row r="96" spans="1:19" s="2" customFormat="1" x14ac:dyDescent="0.2">
      <c r="A96" s="87">
        <v>45324</v>
      </c>
      <c r="B96" s="120" t="s">
        <v>6</v>
      </c>
      <c r="C96" s="75" t="s">
        <v>270</v>
      </c>
      <c r="D96" s="88">
        <v>47729</v>
      </c>
      <c r="G96" s="30"/>
      <c r="H96" s="30"/>
      <c r="M96" s="41"/>
      <c r="N96" s="42"/>
      <c r="P96" s="70"/>
    </row>
    <row r="97" spans="1:16" s="2" customFormat="1" x14ac:dyDescent="0.2">
      <c r="A97" s="87">
        <v>45327</v>
      </c>
      <c r="B97" s="120" t="s">
        <v>6</v>
      </c>
      <c r="C97" s="75" t="s">
        <v>271</v>
      </c>
      <c r="D97" s="88">
        <v>56647</v>
      </c>
      <c r="G97" s="30"/>
      <c r="H97" s="30"/>
      <c r="M97" s="41"/>
      <c r="N97" s="42"/>
      <c r="P97" s="70"/>
    </row>
    <row r="98" spans="1:16" s="2" customFormat="1" x14ac:dyDescent="0.2">
      <c r="A98" s="87">
        <v>45328</v>
      </c>
      <c r="B98" s="120" t="s">
        <v>6</v>
      </c>
      <c r="C98" s="75" t="s">
        <v>87</v>
      </c>
      <c r="D98" s="88">
        <v>1312580</v>
      </c>
      <c r="G98" s="30"/>
      <c r="H98" s="30"/>
      <c r="M98" s="41"/>
      <c r="N98" s="42"/>
      <c r="P98" s="70"/>
    </row>
    <row r="99" spans="1:16" s="2" customFormat="1" x14ac:dyDescent="0.2">
      <c r="A99" s="87">
        <v>45329</v>
      </c>
      <c r="B99" s="120" t="s">
        <v>6</v>
      </c>
      <c r="C99" s="75" t="s">
        <v>18</v>
      </c>
      <c r="D99" s="88">
        <v>548859</v>
      </c>
      <c r="G99" s="30"/>
      <c r="H99" s="30"/>
      <c r="M99" s="41"/>
      <c r="N99" s="42"/>
      <c r="P99" s="70"/>
    </row>
    <row r="100" spans="1:16" s="2" customFormat="1" x14ac:dyDescent="0.2">
      <c r="A100" s="87">
        <v>45332</v>
      </c>
      <c r="B100" s="120" t="s">
        <v>6</v>
      </c>
      <c r="C100" s="75" t="s">
        <v>594</v>
      </c>
      <c r="D100" s="88">
        <v>1603904</v>
      </c>
      <c r="G100" s="30"/>
      <c r="H100" s="30"/>
      <c r="M100" s="41"/>
      <c r="N100" s="42"/>
      <c r="P100" s="70"/>
    </row>
    <row r="101" spans="1:16" s="2" customFormat="1" x14ac:dyDescent="0.2">
      <c r="A101" s="87">
        <v>45334</v>
      </c>
      <c r="B101" s="120" t="s">
        <v>6</v>
      </c>
      <c r="C101" s="75" t="s">
        <v>270</v>
      </c>
      <c r="D101" s="88">
        <v>126143</v>
      </c>
      <c r="G101" s="30"/>
      <c r="H101" s="30"/>
      <c r="M101" s="41"/>
      <c r="N101" s="42"/>
      <c r="P101" s="70"/>
    </row>
    <row r="102" spans="1:16" s="2" customFormat="1" x14ac:dyDescent="0.2">
      <c r="A102" s="87">
        <v>45334</v>
      </c>
      <c r="B102" s="120" t="s">
        <v>6</v>
      </c>
      <c r="C102" s="75" t="s">
        <v>323</v>
      </c>
      <c r="D102" s="88">
        <v>231107</v>
      </c>
      <c r="G102" s="30"/>
      <c r="H102" s="30"/>
      <c r="M102" s="41"/>
      <c r="N102" s="42"/>
      <c r="P102" s="70"/>
    </row>
    <row r="103" spans="1:16" s="2" customFormat="1" x14ac:dyDescent="0.2">
      <c r="A103" s="87">
        <v>45335</v>
      </c>
      <c r="B103" s="120" t="s">
        <v>6</v>
      </c>
      <c r="C103" s="75" t="s">
        <v>271</v>
      </c>
      <c r="D103" s="88">
        <v>9126</v>
      </c>
      <c r="G103" s="30"/>
      <c r="H103" s="30"/>
      <c r="P103" s="70"/>
    </row>
    <row r="104" spans="1:16" s="2" customFormat="1" x14ac:dyDescent="0.2">
      <c r="A104" s="87">
        <v>45336</v>
      </c>
      <c r="B104" s="120" t="s">
        <v>6</v>
      </c>
      <c r="C104" s="75" t="s">
        <v>18</v>
      </c>
      <c r="D104" s="88">
        <v>1067908</v>
      </c>
      <c r="G104" s="30"/>
      <c r="H104" s="30"/>
      <c r="P104" s="70"/>
    </row>
    <row r="105" spans="1:16" s="2" customFormat="1" x14ac:dyDescent="0.2">
      <c r="A105" s="87">
        <v>45337</v>
      </c>
      <c r="B105" s="120" t="s">
        <v>6</v>
      </c>
      <c r="C105" s="75" t="s">
        <v>201</v>
      </c>
      <c r="D105" s="88">
        <v>78251</v>
      </c>
      <c r="F105" s="2" t="s">
        <v>396</v>
      </c>
      <c r="G105" s="30"/>
      <c r="H105" s="30"/>
      <c r="P105" s="70"/>
    </row>
    <row r="106" spans="1:16" s="2" customFormat="1" x14ac:dyDescent="0.2">
      <c r="A106" s="87">
        <v>45337</v>
      </c>
      <c r="B106" s="120" t="s">
        <v>6</v>
      </c>
      <c r="C106" s="75" t="s">
        <v>271</v>
      </c>
      <c r="D106" s="88">
        <v>17527</v>
      </c>
      <c r="G106" s="30"/>
      <c r="H106" s="30"/>
      <c r="P106" s="70"/>
    </row>
    <row r="107" spans="1:16" s="2" customFormat="1" x14ac:dyDescent="0.2">
      <c r="A107" s="87">
        <v>45338</v>
      </c>
      <c r="B107" s="120" t="s">
        <v>6</v>
      </c>
      <c r="C107" s="75" t="s">
        <v>1789</v>
      </c>
      <c r="D107" s="88">
        <v>1418915</v>
      </c>
      <c r="F107" s="2" t="s">
        <v>396</v>
      </c>
      <c r="G107" s="30"/>
      <c r="H107" s="30"/>
      <c r="P107" s="70"/>
    </row>
    <row r="108" spans="1:16" s="2" customFormat="1" x14ac:dyDescent="0.2">
      <c r="A108" s="87">
        <v>45338</v>
      </c>
      <c r="B108" s="120" t="s">
        <v>6</v>
      </c>
      <c r="C108" s="75" t="s">
        <v>87</v>
      </c>
      <c r="D108" s="88">
        <v>3685988</v>
      </c>
      <c r="G108" s="30"/>
      <c r="H108" s="30"/>
      <c r="P108" s="70"/>
    </row>
    <row r="109" spans="1:16" s="2" customFormat="1" x14ac:dyDescent="0.2">
      <c r="A109" s="87">
        <v>45339</v>
      </c>
      <c r="B109" s="120" t="s">
        <v>6</v>
      </c>
      <c r="C109" s="75" t="s">
        <v>271</v>
      </c>
      <c r="D109" s="88">
        <v>423618</v>
      </c>
      <c r="G109" s="30"/>
      <c r="H109" s="30"/>
      <c r="P109" s="70"/>
    </row>
    <row r="110" spans="1:16" s="2" customFormat="1" x14ac:dyDescent="0.2">
      <c r="A110" s="87">
        <v>45339</v>
      </c>
      <c r="B110" s="120" t="s">
        <v>6</v>
      </c>
      <c r="C110" s="2" t="s">
        <v>18</v>
      </c>
      <c r="D110" s="88">
        <v>875762</v>
      </c>
      <c r="G110" s="30"/>
      <c r="H110" s="30"/>
      <c r="P110" s="70"/>
    </row>
    <row r="111" spans="1:16" s="2" customFormat="1" x14ac:dyDescent="0.2">
      <c r="A111" s="87">
        <v>45341</v>
      </c>
      <c r="B111" s="120" t="s">
        <v>6</v>
      </c>
      <c r="C111" s="2" t="s">
        <v>271</v>
      </c>
      <c r="D111" s="88">
        <v>121500</v>
      </c>
      <c r="G111" s="30"/>
      <c r="H111" s="30"/>
      <c r="P111" s="70"/>
    </row>
    <row r="112" spans="1:16" s="2" customFormat="1" x14ac:dyDescent="0.2">
      <c r="A112" s="87">
        <v>45341</v>
      </c>
      <c r="B112" s="120" t="s">
        <v>6</v>
      </c>
      <c r="C112" s="75" t="s">
        <v>270</v>
      </c>
      <c r="D112" s="88">
        <v>58247.99</v>
      </c>
      <c r="G112" s="30"/>
      <c r="H112" s="30"/>
      <c r="P112" s="70"/>
    </row>
    <row r="113" spans="1:16" s="2" customFormat="1" x14ac:dyDescent="0.2">
      <c r="A113" s="87">
        <v>45341</v>
      </c>
      <c r="B113" s="120" t="s">
        <v>6</v>
      </c>
      <c r="C113" s="75" t="s">
        <v>88</v>
      </c>
      <c r="D113" s="88">
        <v>5824017.3399999999</v>
      </c>
      <c r="G113" s="30"/>
      <c r="H113" s="30"/>
      <c r="P113" s="70"/>
    </row>
    <row r="114" spans="1:16" s="2" customFormat="1" x14ac:dyDescent="0.2">
      <c r="A114" s="87">
        <v>45341</v>
      </c>
      <c r="B114" s="120" t="s">
        <v>6</v>
      </c>
      <c r="C114" s="75" t="s">
        <v>270</v>
      </c>
      <c r="D114" s="88">
        <v>164904</v>
      </c>
      <c r="G114" s="30"/>
      <c r="H114" s="30"/>
      <c r="P114" s="70"/>
    </row>
    <row r="115" spans="1:16" s="2" customFormat="1" x14ac:dyDescent="0.2">
      <c r="A115" s="87">
        <v>45342</v>
      </c>
      <c r="B115" s="120" t="s">
        <v>6</v>
      </c>
      <c r="C115" s="75" t="s">
        <v>201</v>
      </c>
      <c r="D115" s="88">
        <v>6536518</v>
      </c>
      <c r="G115" s="30"/>
      <c r="H115" s="30"/>
      <c r="P115" s="70"/>
    </row>
    <row r="116" spans="1:16" s="2" customFormat="1" x14ac:dyDescent="0.2">
      <c r="A116" s="87">
        <v>45343</v>
      </c>
      <c r="B116" s="120" t="s">
        <v>6</v>
      </c>
      <c r="C116" s="75" t="s">
        <v>84</v>
      </c>
      <c r="D116" s="88">
        <v>2997902</v>
      </c>
      <c r="G116" s="30"/>
      <c r="H116" s="30"/>
      <c r="P116" s="70"/>
    </row>
    <row r="117" spans="1:16" s="2" customFormat="1" x14ac:dyDescent="0.2">
      <c r="A117" s="87">
        <v>45343</v>
      </c>
      <c r="B117" s="120" t="s">
        <v>6</v>
      </c>
      <c r="C117" s="75" t="s">
        <v>201</v>
      </c>
      <c r="D117" s="88">
        <v>15000146.5</v>
      </c>
      <c r="G117" s="30"/>
      <c r="H117" s="30"/>
      <c r="P117" s="70"/>
    </row>
    <row r="118" spans="1:16" s="2" customFormat="1" x14ac:dyDescent="0.2">
      <c r="A118" s="87">
        <v>45343</v>
      </c>
      <c r="B118" s="120" t="s">
        <v>6</v>
      </c>
      <c r="C118" s="75" t="s">
        <v>84</v>
      </c>
      <c r="D118" s="88">
        <v>2098</v>
      </c>
      <c r="G118" s="30"/>
      <c r="H118" s="30"/>
      <c r="P118" s="70"/>
    </row>
    <row r="119" spans="1:16" s="2" customFormat="1" x14ac:dyDescent="0.2">
      <c r="A119" s="87">
        <v>45343</v>
      </c>
      <c r="B119" s="120" t="s">
        <v>6</v>
      </c>
      <c r="C119" s="75" t="s">
        <v>18</v>
      </c>
      <c r="D119" s="88">
        <v>465686</v>
      </c>
      <c r="G119" s="30"/>
      <c r="H119" s="30"/>
      <c r="P119" s="70"/>
    </row>
    <row r="120" spans="1:16" s="2" customFormat="1" x14ac:dyDescent="0.2">
      <c r="A120" s="87">
        <v>45344</v>
      </c>
      <c r="B120" s="120" t="s">
        <v>6</v>
      </c>
      <c r="C120" s="75" t="s">
        <v>86</v>
      </c>
      <c r="D120" s="88">
        <v>107495</v>
      </c>
      <c r="G120" s="30"/>
      <c r="H120" s="30"/>
      <c r="P120" s="70"/>
    </row>
    <row r="121" spans="1:16" s="2" customFormat="1" x14ac:dyDescent="0.2">
      <c r="A121" s="87">
        <v>45344</v>
      </c>
      <c r="B121" s="120" t="s">
        <v>6</v>
      </c>
      <c r="C121" s="75" t="s">
        <v>86</v>
      </c>
      <c r="D121" s="88">
        <v>4051957</v>
      </c>
      <c r="G121" s="30"/>
      <c r="H121" s="30"/>
      <c r="P121" s="70"/>
    </row>
    <row r="122" spans="1:16" s="2" customFormat="1" x14ac:dyDescent="0.2">
      <c r="A122" s="87">
        <v>45344</v>
      </c>
      <c r="B122" s="120" t="s">
        <v>6</v>
      </c>
      <c r="C122" s="75" t="s">
        <v>594</v>
      </c>
      <c r="D122" s="88">
        <v>3989745</v>
      </c>
      <c r="G122" s="30"/>
      <c r="H122" s="30"/>
      <c r="P122" s="70"/>
    </row>
    <row r="123" spans="1:16" s="2" customFormat="1" x14ac:dyDescent="0.2">
      <c r="A123" s="87">
        <v>45344</v>
      </c>
      <c r="B123" s="120" t="s">
        <v>6</v>
      </c>
      <c r="C123" s="75" t="s">
        <v>594</v>
      </c>
      <c r="D123" s="88">
        <v>2520</v>
      </c>
      <c r="G123" s="30"/>
      <c r="H123" s="30"/>
      <c r="P123" s="70"/>
    </row>
    <row r="124" spans="1:16" s="2" customFormat="1" x14ac:dyDescent="0.2">
      <c r="A124" s="87">
        <v>45345</v>
      </c>
      <c r="B124" s="120" t="s">
        <v>6</v>
      </c>
      <c r="C124" s="75" t="s">
        <v>87</v>
      </c>
      <c r="D124" s="88">
        <v>6959736</v>
      </c>
      <c r="G124" s="30"/>
      <c r="H124" s="30"/>
      <c r="P124" s="70"/>
    </row>
    <row r="125" spans="1:16" s="2" customFormat="1" x14ac:dyDescent="0.2">
      <c r="A125" s="87">
        <v>45345</v>
      </c>
      <c r="B125" s="120" t="s">
        <v>6</v>
      </c>
      <c r="C125" s="75" t="s">
        <v>271</v>
      </c>
      <c r="D125" s="88">
        <v>718415</v>
      </c>
      <c r="G125" s="30"/>
      <c r="H125" s="30"/>
      <c r="P125" s="70"/>
    </row>
    <row r="126" spans="1:16" s="2" customFormat="1" x14ac:dyDescent="0.2">
      <c r="A126" s="87">
        <v>45347</v>
      </c>
      <c r="B126" s="120" t="s">
        <v>6</v>
      </c>
      <c r="C126" s="75" t="s">
        <v>2133</v>
      </c>
      <c r="D126" s="88">
        <v>3831686</v>
      </c>
      <c r="G126" s="30"/>
      <c r="H126" s="30"/>
      <c r="P126" s="70"/>
    </row>
    <row r="127" spans="1:16" s="2" customFormat="1" x14ac:dyDescent="0.2">
      <c r="A127" s="87"/>
      <c r="B127" s="74"/>
      <c r="C127" s="183" t="s">
        <v>2141</v>
      </c>
      <c r="D127" s="51">
        <f>SUM(D95:D126)</f>
        <v>63217857.829999998</v>
      </c>
      <c r="F127" s="2" t="s">
        <v>396</v>
      </c>
      <c r="G127" s="1"/>
      <c r="H127" s="1"/>
      <c r="P127" s="70"/>
    </row>
    <row r="128" spans="1:16" s="2" customFormat="1" x14ac:dyDescent="0.2">
      <c r="A128" s="24"/>
      <c r="B128" s="1"/>
      <c r="C128" s="14"/>
      <c r="D128" s="56"/>
      <c r="E128" s="13"/>
      <c r="G128" s="1"/>
      <c r="H128" s="1"/>
      <c r="I128" s="2" t="s">
        <v>396</v>
      </c>
    </row>
    <row r="129" spans="1:14" s="2" customFormat="1" x14ac:dyDescent="0.2">
      <c r="A129" s="24"/>
      <c r="B129" s="1"/>
      <c r="C129" s="218" t="s">
        <v>77</v>
      </c>
      <c r="D129" s="219"/>
      <c r="E129" s="219"/>
      <c r="F129" s="220"/>
      <c r="I129" s="2" t="s">
        <v>396</v>
      </c>
    </row>
    <row r="130" spans="1:14" s="2" customFormat="1" x14ac:dyDescent="0.2">
      <c r="A130" s="24"/>
      <c r="B130" s="1"/>
      <c r="C130" s="50"/>
      <c r="D130" s="57" t="s">
        <v>78</v>
      </c>
      <c r="E130" s="58" t="s">
        <v>79</v>
      </c>
      <c r="F130" s="57" t="s">
        <v>72</v>
      </c>
    </row>
    <row r="131" spans="1:14" s="2" customFormat="1" x14ac:dyDescent="0.2">
      <c r="A131" s="24"/>
      <c r="B131" s="1"/>
      <c r="C131" s="59" t="str">
        <f>"01-02-2024 to "&amp;TEXT(A5-2,"dd-mm-yyyy")</f>
        <v>01-02-2024 to 25-02-2024</v>
      </c>
      <c r="D131" s="60">
        <v>3003.32</v>
      </c>
      <c r="E131" s="60">
        <v>570.98</v>
      </c>
      <c r="F131" s="61">
        <f>SUM(D131:E131)</f>
        <v>3574.3</v>
      </c>
      <c r="I131" s="53"/>
    </row>
    <row r="132" spans="1:14" s="2" customFormat="1" x14ac:dyDescent="0.2">
      <c r="A132" s="24"/>
      <c r="B132" s="1"/>
      <c r="C132" s="62" t="str">
        <f>TEXT(A5-1,"dd-mm-yyyy")</f>
        <v>26-02-2024</v>
      </c>
      <c r="D132" s="60">
        <v>143.15</v>
      </c>
      <c r="E132" s="60">
        <v>23.42</v>
      </c>
      <c r="F132" s="61">
        <f>SUM(D132:E132)</f>
        <v>166.57</v>
      </c>
      <c r="G132" s="1"/>
      <c r="H132" s="1"/>
      <c r="I132" s="53"/>
    </row>
    <row r="133" spans="1:14" s="2" customFormat="1" ht="13.5" thickBot="1" x14ac:dyDescent="0.25">
      <c r="A133" s="24"/>
      <c r="B133" s="1"/>
      <c r="C133" s="63" t="str">
        <f>"01-02-2024 to "&amp;TEXT(A5-1,"dd-mm-yyyy")</f>
        <v>01-02-2024 to 26-02-2024</v>
      </c>
      <c r="D133" s="64">
        <f>SUM(D131:D132)</f>
        <v>3146.4700000000003</v>
      </c>
      <c r="E133" s="64">
        <f>SUM(E131:E132)</f>
        <v>594.4</v>
      </c>
      <c r="F133" s="64">
        <f>SUM(F131:F132)</f>
        <v>3740.8700000000003</v>
      </c>
      <c r="G133" s="1"/>
      <c r="H133" s="1"/>
      <c r="M133" s="1"/>
      <c r="N133" s="1"/>
    </row>
    <row r="134" spans="1:14" s="2" customFormat="1" ht="13.5" thickTop="1" x14ac:dyDescent="0.2">
      <c r="A134" s="24"/>
      <c r="B134" s="1"/>
      <c r="C134" s="62"/>
      <c r="D134" s="65"/>
      <c r="E134" s="66"/>
      <c r="F134" s="67"/>
      <c r="M134" s="1"/>
      <c r="N134" s="1"/>
    </row>
    <row r="135" spans="1:14" s="2" customFormat="1" x14ac:dyDescent="0.2">
      <c r="A135" s="24"/>
      <c r="B135" s="1"/>
      <c r="C135" s="62" t="str">
        <f>"01-04-2023 to " &amp;C132</f>
        <v>01-04-2023 to 26-02-2024</v>
      </c>
      <c r="D135" s="68">
        <f>+D133+37155.6</f>
        <v>40302.07</v>
      </c>
      <c r="E135" s="68">
        <f>+E133+4502.26</f>
        <v>5096.66</v>
      </c>
      <c r="F135" s="68">
        <f>+F133+41657.86</f>
        <v>45398.73</v>
      </c>
      <c r="G135" s="1"/>
      <c r="H135" s="1"/>
      <c r="M135" s="1"/>
      <c r="N135" s="1"/>
    </row>
    <row r="136" spans="1:14" s="2" customFormat="1" x14ac:dyDescent="0.2">
      <c r="A136" s="24"/>
      <c r="B136" s="1"/>
      <c r="C136" s="52"/>
      <c r="D136" s="85"/>
      <c r="E136" s="53"/>
      <c r="F136" s="53"/>
      <c r="G136" s="1"/>
      <c r="H136" s="1"/>
      <c r="M136" s="1"/>
      <c r="N136" s="1"/>
    </row>
    <row r="137" spans="1:14" s="2" customFormat="1" x14ac:dyDescent="0.2">
      <c r="A137" s="24"/>
      <c r="B137" s="1"/>
      <c r="C137" s="52"/>
      <c r="D137" s="85"/>
      <c r="E137" s="53"/>
      <c r="F137" s="53"/>
      <c r="G137" s="1"/>
      <c r="H137" s="1"/>
      <c r="M137" s="1"/>
      <c r="N137" s="1"/>
    </row>
    <row r="138" spans="1:14" s="2" customFormat="1" x14ac:dyDescent="0.2">
      <c r="A138" s="24"/>
      <c r="B138" s="1"/>
      <c r="C138" s="52"/>
      <c r="D138" s="85"/>
      <c r="E138" s="53"/>
      <c r="F138" s="53"/>
      <c r="G138" s="1"/>
      <c r="H138" s="1"/>
      <c r="M138" s="1"/>
      <c r="N138" s="1"/>
    </row>
    <row r="139" spans="1:14" s="2" customFormat="1" x14ac:dyDescent="0.2">
      <c r="A139" s="24"/>
      <c r="B139" s="1"/>
      <c r="C139" s="52"/>
      <c r="D139" s="85"/>
      <c r="E139" s="53"/>
      <c r="F139" s="53"/>
      <c r="G139" s="1"/>
      <c r="H139" s="1"/>
      <c r="M139" s="1"/>
      <c r="N139" s="1"/>
    </row>
    <row r="140" spans="1:14" s="2" customFormat="1" x14ac:dyDescent="0.2">
      <c r="A140" s="24"/>
      <c r="B140" s="1"/>
      <c r="C140" s="14"/>
      <c r="D140" s="25">
        <f>SUM(D137:D139)</f>
        <v>0</v>
      </c>
      <c r="E140" s="2">
        <f>SUM(E137:E139)</f>
        <v>0</v>
      </c>
      <c r="G140" s="1"/>
      <c r="H140" s="1"/>
      <c r="M140" s="1"/>
      <c r="N140" s="1"/>
    </row>
    <row r="141" spans="1:14" s="2" customFormat="1" x14ac:dyDescent="0.2">
      <c r="A141" s="24"/>
      <c r="B141" s="1"/>
      <c r="C141" s="14"/>
      <c r="D141" s="25"/>
      <c r="G141" s="1"/>
      <c r="H141" s="1"/>
      <c r="M141" s="1"/>
      <c r="N141" s="1"/>
    </row>
    <row r="142" spans="1:14" s="2" customFormat="1" x14ac:dyDescent="0.2">
      <c r="A142" s="24"/>
      <c r="B142" s="1"/>
      <c r="C142" s="14"/>
      <c r="D142" s="25"/>
      <c r="G142" s="1"/>
      <c r="H142" s="1"/>
      <c r="M142" s="1"/>
      <c r="N142" s="1"/>
    </row>
    <row r="143" spans="1:14" s="2" customFormat="1" x14ac:dyDescent="0.2">
      <c r="A143" s="24"/>
      <c r="B143" s="1"/>
      <c r="C143" s="14"/>
      <c r="D143" s="25"/>
      <c r="G143" s="1"/>
      <c r="H143" s="1"/>
      <c r="M143" s="1"/>
      <c r="N143" s="1"/>
    </row>
    <row r="144" spans="1:14" s="2" customFormat="1" x14ac:dyDescent="0.2">
      <c r="A144" s="24"/>
      <c r="B144" s="1"/>
      <c r="C144" s="14"/>
      <c r="D144" s="25"/>
      <c r="G144" s="1"/>
      <c r="H144" s="1"/>
      <c r="M144" s="1"/>
      <c r="N144" s="1"/>
    </row>
    <row r="145" spans="1:19" s="2" customFormat="1" x14ac:dyDescent="0.2">
      <c r="A145" s="24"/>
      <c r="B145" s="1"/>
      <c r="C145" s="14"/>
      <c r="D145" s="25"/>
      <c r="G145" s="1"/>
      <c r="H145" s="1"/>
      <c r="M145" s="1"/>
      <c r="N145" s="1"/>
    </row>
    <row r="146" spans="1:19" s="2" customFormat="1" x14ac:dyDescent="0.2">
      <c r="A146" s="24"/>
      <c r="B146" s="1"/>
      <c r="C146" s="14"/>
      <c r="D146" s="25"/>
      <c r="G146" s="1"/>
      <c r="H146" s="1"/>
      <c r="M146" s="1"/>
      <c r="N146" s="1"/>
    </row>
    <row r="147" spans="1:19" s="2" customFormat="1" x14ac:dyDescent="0.2">
      <c r="A147" s="24"/>
      <c r="B147" s="1"/>
      <c r="C147" s="14"/>
      <c r="D147" s="25"/>
      <c r="G147" s="1"/>
      <c r="H147" s="1"/>
      <c r="M147" s="1"/>
      <c r="N147" s="1"/>
      <c r="Q147" s="1"/>
      <c r="R147" s="1"/>
      <c r="S147" s="1"/>
    </row>
    <row r="148" spans="1:19" x14ac:dyDescent="0.2">
      <c r="J148" s="2"/>
      <c r="K148" s="2"/>
      <c r="L148" s="2"/>
      <c r="O148" s="2"/>
      <c r="P148" s="2"/>
      <c r="Q148" s="2"/>
      <c r="R148" s="2"/>
      <c r="S148" s="2"/>
    </row>
    <row r="149" spans="1:19" s="2" customFormat="1" x14ac:dyDescent="0.2">
      <c r="A149" s="24"/>
      <c r="B149" s="1"/>
      <c r="C149" s="14"/>
      <c r="D149" s="25"/>
      <c r="G149" s="1"/>
      <c r="H149" s="1"/>
      <c r="M149" s="1"/>
      <c r="N149" s="1"/>
      <c r="Q149" s="1"/>
      <c r="R149" s="1"/>
      <c r="S149" s="1"/>
    </row>
    <row r="150" spans="1:19" x14ac:dyDescent="0.2">
      <c r="J150" s="2"/>
      <c r="K150" s="2"/>
      <c r="L150" s="2"/>
      <c r="O150" s="2"/>
      <c r="P150" s="2"/>
    </row>
    <row r="151" spans="1:19" x14ac:dyDescent="0.2">
      <c r="J151" s="2"/>
      <c r="K151" s="2"/>
      <c r="L151" s="2"/>
      <c r="O151" s="2"/>
      <c r="P151" s="2"/>
    </row>
    <row r="152" spans="1:19" x14ac:dyDescent="0.2">
      <c r="J152" s="2"/>
      <c r="K152" s="2"/>
      <c r="L152" s="2"/>
      <c r="O152" s="2"/>
      <c r="P152" s="2"/>
    </row>
    <row r="153" spans="1:19" x14ac:dyDescent="0.2">
      <c r="J153" s="2"/>
      <c r="K153" s="2"/>
      <c r="L153" s="2"/>
      <c r="O153" s="2"/>
      <c r="P153" s="2"/>
    </row>
    <row r="154" spans="1:19" x14ac:dyDescent="0.2">
      <c r="O154" s="2"/>
      <c r="P154" s="2"/>
    </row>
    <row r="155" spans="1:19" x14ac:dyDescent="0.2">
      <c r="J155" s="2"/>
      <c r="K155" s="2"/>
      <c r="L155" s="2"/>
      <c r="M155" s="2"/>
      <c r="N155" s="2"/>
      <c r="O155" s="2"/>
      <c r="P155" s="2"/>
    </row>
    <row r="156" spans="1:19" x14ac:dyDescent="0.2">
      <c r="O156" s="2"/>
      <c r="P156" s="2"/>
    </row>
    <row r="157" spans="1:19" x14ac:dyDescent="0.2">
      <c r="G157" s="54"/>
      <c r="H157" s="54"/>
      <c r="O157" s="2"/>
      <c r="P157" s="2"/>
    </row>
    <row r="158" spans="1:19" x14ac:dyDescent="0.2">
      <c r="G158" s="54"/>
      <c r="H158" s="54"/>
      <c r="O158" s="2"/>
      <c r="P158" s="2"/>
    </row>
    <row r="159" spans="1:19" x14ac:dyDescent="0.2">
      <c r="G159" s="54"/>
      <c r="H159" s="54"/>
      <c r="O159" s="2"/>
      <c r="P159" s="2"/>
    </row>
    <row r="160" spans="1:19" x14ac:dyDescent="0.2">
      <c r="G160" s="54"/>
      <c r="H160" s="54"/>
      <c r="I160" s="2" t="s">
        <v>396</v>
      </c>
      <c r="O160" s="2"/>
      <c r="P160" s="2"/>
    </row>
    <row r="161" spans="7:16" x14ac:dyDescent="0.2">
      <c r="G161" s="54"/>
      <c r="H161" s="54"/>
      <c r="I161" s="53"/>
      <c r="J161" s="2"/>
      <c r="K161" s="2"/>
      <c r="L161" s="2"/>
      <c r="M161" s="2"/>
      <c r="N161" s="2"/>
      <c r="P161" s="2"/>
    </row>
    <row r="162" spans="7:16" x14ac:dyDescent="0.2">
      <c r="G162" s="54"/>
      <c r="H162" s="54"/>
      <c r="I162" s="53" t="s">
        <v>396</v>
      </c>
      <c r="O162" s="2"/>
      <c r="P162" s="2"/>
    </row>
    <row r="163" spans="7:16" x14ac:dyDescent="0.2">
      <c r="G163" s="54"/>
      <c r="H163" s="54"/>
      <c r="I163" s="53" t="s">
        <v>396</v>
      </c>
      <c r="K163" s="42"/>
      <c r="P163" s="2"/>
    </row>
    <row r="164" spans="7:16" x14ac:dyDescent="0.2">
      <c r="G164" s="54"/>
      <c r="H164" s="54"/>
      <c r="I164" s="53"/>
      <c r="J164" s="101"/>
      <c r="P164" s="2"/>
    </row>
    <row r="165" spans="7:16" x14ac:dyDescent="0.2">
      <c r="G165" s="54"/>
      <c r="H165" s="54"/>
      <c r="I165" s="53"/>
    </row>
    <row r="166" spans="7:16" x14ac:dyDescent="0.2">
      <c r="G166" s="54"/>
      <c r="H166" s="54"/>
      <c r="I166" s="53"/>
      <c r="P166" s="2"/>
    </row>
    <row r="167" spans="7:16" x14ac:dyDescent="0.2">
      <c r="G167" s="54"/>
      <c r="H167" s="54"/>
      <c r="I167" s="53"/>
    </row>
  </sheetData>
  <sheetProtection insertRows="0"/>
  <mergeCells count="8">
    <mergeCell ref="K86:L86"/>
    <mergeCell ref="A93:D93"/>
    <mergeCell ref="C129:F129"/>
    <mergeCell ref="A1:H1"/>
    <mergeCell ref="A3:F3"/>
    <mergeCell ref="A9:F9"/>
    <mergeCell ref="A28:F28"/>
    <mergeCell ref="A38:F38"/>
  </mergeCells>
  <conditionalFormatting sqref="H90:H91">
    <cfRule type="cellIs" dxfId="53" priority="1" operator="lessThan">
      <formula>0</formula>
    </cfRule>
  </conditionalFormatting>
  <conditionalFormatting sqref="C40">
    <cfRule type="duplicateValues" dxfId="52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1-000000000000}">
  <sheetPr codeName="Sheet560">
    <pageSetUpPr fitToPage="1"/>
  </sheetPr>
  <dimension ref="A1:S171"/>
  <sheetViews>
    <sheetView zoomScaleNormal="100" workbookViewId="0">
      <selection activeCell="I16" sqref="I16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12.85546875" style="1" customWidth="1"/>
    <col min="9" max="9" width="24.85546875" style="2" bestFit="1" customWidth="1"/>
    <col min="10" max="10" width="21.5703125" style="1" bestFit="1" customWidth="1"/>
    <col min="11" max="11" width="16.85546875" style="1" bestFit="1" customWidth="1"/>
    <col min="12" max="12" width="19.5703125" style="1" bestFit="1" customWidth="1"/>
    <col min="13" max="13" width="13.5703125" style="1" bestFit="1" customWidth="1"/>
    <col min="14" max="14" width="17.42578125" style="1" bestFit="1" customWidth="1"/>
    <col min="15" max="15" width="12.85546875" style="1" bestFit="1" customWidth="1"/>
    <col min="16" max="17" width="9.140625" style="1"/>
    <col min="18" max="18" width="15.5703125" style="1" bestFit="1" customWidth="1"/>
    <col min="19" max="16384" width="9.140625" style="1"/>
  </cols>
  <sheetData>
    <row r="1" spans="1:11" ht="20.25" customHeight="1" x14ac:dyDescent="0.4">
      <c r="A1" s="212" t="s">
        <v>2142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1" ht="12.75" customHeight="1" x14ac:dyDescent="0.4">
      <c r="I2" s="112"/>
      <c r="J2" s="112"/>
    </row>
    <row r="3" spans="1:11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1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1" s="2" customFormat="1" ht="14.25" customHeight="1" x14ac:dyDescent="0.4">
      <c r="A5" s="89">
        <v>45350</v>
      </c>
      <c r="B5" s="9" t="s">
        <v>6</v>
      </c>
      <c r="C5" s="10" t="s">
        <v>7</v>
      </c>
      <c r="D5" s="11"/>
      <c r="E5" s="12">
        <v>322570.6800000004</v>
      </c>
      <c r="F5" s="12"/>
      <c r="G5" s="1"/>
      <c r="H5" s="1"/>
      <c r="I5" s="112"/>
      <c r="J5" s="112"/>
    </row>
    <row r="6" spans="1:11" s="2" customFormat="1" ht="12.75" customHeight="1" x14ac:dyDescent="0.2">
      <c r="D6" s="15" t="s">
        <v>8</v>
      </c>
      <c r="E6" s="16">
        <f>SUM(E5:E5)</f>
        <v>322570.6800000004</v>
      </c>
      <c r="F6" s="16">
        <f>F5</f>
        <v>0</v>
      </c>
      <c r="G6" s="1"/>
      <c r="H6" s="1"/>
      <c r="I6" s="13" t="s">
        <v>1582</v>
      </c>
      <c r="J6" s="13" t="s">
        <v>1583</v>
      </c>
    </row>
    <row r="7" spans="1:11" s="2" customFormat="1" ht="12.75" customHeight="1" x14ac:dyDescent="0.2">
      <c r="A7" s="17"/>
      <c r="B7" s="18"/>
      <c r="C7" s="19" t="s">
        <v>9</v>
      </c>
      <c r="D7" s="20"/>
      <c r="E7" s="21">
        <f>+E6-F6</f>
        <v>322570.6800000004</v>
      </c>
      <c r="F7" s="22"/>
      <c r="G7" s="23"/>
      <c r="H7" s="23"/>
      <c r="I7" s="2">
        <v>0</v>
      </c>
      <c r="J7" s="2">
        <v>0</v>
      </c>
      <c r="K7" s="176">
        <f>I7-J7</f>
        <v>0</v>
      </c>
    </row>
    <row r="8" spans="1:11" ht="11.25" customHeight="1" x14ac:dyDescent="0.4">
      <c r="I8" s="112"/>
      <c r="J8" s="112"/>
    </row>
    <row r="9" spans="1:11" ht="18" customHeight="1" x14ac:dyDescent="0.4">
      <c r="A9" s="213" t="s">
        <v>2103</v>
      </c>
      <c r="B9" s="213"/>
      <c r="C9" s="213"/>
      <c r="D9" s="213"/>
      <c r="E9" s="213"/>
      <c r="F9" s="213"/>
      <c r="I9" s="112"/>
      <c r="J9" s="112"/>
    </row>
    <row r="10" spans="1:11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I10" s="112"/>
      <c r="J10" s="112"/>
    </row>
    <row r="11" spans="1:11" ht="12.75" customHeight="1" x14ac:dyDescent="0.4">
      <c r="A11" s="89">
        <v>45350</v>
      </c>
      <c r="B11" s="9" t="s">
        <v>6</v>
      </c>
      <c r="C11" s="10" t="s">
        <v>7</v>
      </c>
      <c r="D11" s="11"/>
      <c r="E11" s="12">
        <v>6735028.3899999997</v>
      </c>
      <c r="F11" s="1"/>
      <c r="I11" s="112"/>
      <c r="J11" s="112"/>
    </row>
    <row r="12" spans="1:11" ht="12.75" customHeight="1" x14ac:dyDescent="0.4">
      <c r="A12" s="89">
        <v>45350</v>
      </c>
      <c r="B12" s="9" t="s">
        <v>6</v>
      </c>
      <c r="C12" s="76" t="s">
        <v>2143</v>
      </c>
      <c r="D12" s="11" t="s">
        <v>13</v>
      </c>
      <c r="E12" s="31">
        <v>3095823.64</v>
      </c>
      <c r="F12" s="31"/>
      <c r="I12" s="112"/>
      <c r="J12" s="112"/>
    </row>
    <row r="13" spans="1:11" ht="12.75" customHeight="1" x14ac:dyDescent="0.4">
      <c r="A13" s="89">
        <v>45350</v>
      </c>
      <c r="B13" s="9" t="s">
        <v>11</v>
      </c>
      <c r="C13" s="76" t="s">
        <v>1784</v>
      </c>
      <c r="D13" s="11" t="s">
        <v>29</v>
      </c>
      <c r="E13" s="31"/>
      <c r="F13" s="31">
        <v>18215</v>
      </c>
      <c r="I13" s="112"/>
      <c r="J13" s="112"/>
    </row>
    <row r="14" spans="1:11" ht="12.75" customHeight="1" x14ac:dyDescent="0.4">
      <c r="A14" s="89">
        <v>45350</v>
      </c>
      <c r="B14" s="9" t="s">
        <v>11</v>
      </c>
      <c r="C14" s="76" t="s">
        <v>930</v>
      </c>
      <c r="D14" s="11" t="s">
        <v>29</v>
      </c>
      <c r="E14" s="31"/>
      <c r="F14" s="31">
        <v>1770</v>
      </c>
      <c r="I14" s="112"/>
      <c r="J14" s="112"/>
    </row>
    <row r="15" spans="1:11" ht="12.75" customHeight="1" x14ac:dyDescent="0.4">
      <c r="A15" s="89">
        <v>45350</v>
      </c>
      <c r="B15" s="9" t="s">
        <v>11</v>
      </c>
      <c r="C15" s="76" t="s">
        <v>2144</v>
      </c>
      <c r="D15" s="11" t="s">
        <v>29</v>
      </c>
      <c r="E15" s="31"/>
      <c r="F15" s="31">
        <v>495000</v>
      </c>
      <c r="I15" s="112"/>
      <c r="J15" s="112"/>
    </row>
    <row r="16" spans="1:11" ht="12.75" customHeight="1" x14ac:dyDescent="0.4">
      <c r="A16" s="89">
        <v>45350</v>
      </c>
      <c r="B16" s="9" t="s">
        <v>11</v>
      </c>
      <c r="C16" s="76" t="s">
        <v>62</v>
      </c>
      <c r="D16" s="11" t="s">
        <v>29</v>
      </c>
      <c r="E16" s="31"/>
      <c r="F16" s="31">
        <v>17000</v>
      </c>
      <c r="I16" s="112"/>
      <c r="J16" s="112"/>
    </row>
    <row r="17" spans="1:12" ht="12.75" customHeight="1" x14ac:dyDescent="0.4">
      <c r="A17" s="89">
        <v>45350</v>
      </c>
      <c r="B17" s="9" t="s">
        <v>11</v>
      </c>
      <c r="C17" s="76" t="s">
        <v>539</v>
      </c>
      <c r="D17" s="11" t="s">
        <v>29</v>
      </c>
      <c r="E17" s="31"/>
      <c r="F17" s="31">
        <v>26491</v>
      </c>
      <c r="I17" s="112"/>
      <c r="J17" s="112"/>
    </row>
    <row r="18" spans="1:12" ht="12.75" customHeight="1" x14ac:dyDescent="0.4">
      <c r="A18" s="89">
        <v>45350</v>
      </c>
      <c r="B18" s="9" t="s">
        <v>11</v>
      </c>
      <c r="C18" s="76" t="s">
        <v>2145</v>
      </c>
      <c r="D18" s="11" t="s">
        <v>29</v>
      </c>
      <c r="E18" s="31"/>
      <c r="F18" s="31">
        <v>1876</v>
      </c>
      <c r="I18" s="112"/>
      <c r="J18" s="112"/>
    </row>
    <row r="19" spans="1:12" ht="12.75" customHeight="1" x14ac:dyDescent="0.4">
      <c r="A19" s="89">
        <v>45350</v>
      </c>
      <c r="B19" s="9" t="s">
        <v>11</v>
      </c>
      <c r="C19" s="76" t="s">
        <v>2146</v>
      </c>
      <c r="D19" s="11" t="s">
        <v>29</v>
      </c>
      <c r="E19" s="31"/>
      <c r="F19" s="31">
        <v>249818</v>
      </c>
      <c r="I19" s="112"/>
      <c r="J19" s="112"/>
    </row>
    <row r="20" spans="1:12" ht="12.75" customHeight="1" x14ac:dyDescent="0.4">
      <c r="A20" s="89">
        <v>45350</v>
      </c>
      <c r="B20" s="9" t="s">
        <v>11</v>
      </c>
      <c r="C20" s="76" t="s">
        <v>1734</v>
      </c>
      <c r="D20" s="11" t="s">
        <v>29</v>
      </c>
      <c r="E20" s="31"/>
      <c r="F20" s="31">
        <v>31470</v>
      </c>
      <c r="I20" s="112"/>
      <c r="J20" s="112"/>
    </row>
    <row r="21" spans="1:12" ht="12.75" customHeight="1" x14ac:dyDescent="0.4">
      <c r="A21" s="89">
        <v>45350</v>
      </c>
      <c r="B21" s="9" t="s">
        <v>11</v>
      </c>
      <c r="C21" s="76" t="s">
        <v>1999</v>
      </c>
      <c r="D21" s="11" t="s">
        <v>29</v>
      </c>
      <c r="E21" s="31"/>
      <c r="F21" s="31">
        <v>10384</v>
      </c>
      <c r="I21" s="112"/>
      <c r="J21" s="112"/>
    </row>
    <row r="22" spans="1:12" ht="12.75" customHeight="1" x14ac:dyDescent="0.4">
      <c r="A22" s="89">
        <v>45350</v>
      </c>
      <c r="B22" s="9" t="s">
        <v>11</v>
      </c>
      <c r="C22" s="76" t="s">
        <v>2067</v>
      </c>
      <c r="D22" s="11" t="s">
        <v>29</v>
      </c>
      <c r="E22" s="31"/>
      <c r="F22" s="31">
        <v>230100</v>
      </c>
      <c r="I22" s="112"/>
      <c r="J22" s="112"/>
    </row>
    <row r="23" spans="1:12" ht="12.75" customHeight="1" x14ac:dyDescent="0.2">
      <c r="A23" s="2"/>
      <c r="B23" s="2"/>
      <c r="C23" s="2"/>
      <c r="D23" s="11" t="s">
        <v>8</v>
      </c>
      <c r="E23" s="16">
        <f>SUM(E11:E22)</f>
        <v>9830852.0299999993</v>
      </c>
      <c r="F23" s="16">
        <f>SUM(F11:F22)</f>
        <v>1082124</v>
      </c>
      <c r="I23" s="13" t="s">
        <v>1582</v>
      </c>
      <c r="J23" s="13" t="s">
        <v>1583</v>
      </c>
    </row>
    <row r="24" spans="1:12" ht="17.25" customHeight="1" x14ac:dyDescent="0.2">
      <c r="A24" s="17"/>
      <c r="B24" s="18"/>
      <c r="C24" s="19" t="s">
        <v>9</v>
      </c>
      <c r="D24" s="20"/>
      <c r="E24" s="21">
        <f>+E23-F23</f>
        <v>8748728.0299999993</v>
      </c>
      <c r="I24" s="2">
        <v>0</v>
      </c>
      <c r="J24" s="2">
        <v>0</v>
      </c>
    </row>
    <row r="25" spans="1:12" ht="18" customHeight="1" x14ac:dyDescent="0.25">
      <c r="A25" s="36"/>
      <c r="B25" s="28"/>
      <c r="C25" s="44"/>
      <c r="D25" s="43"/>
      <c r="E25" s="38"/>
      <c r="F25" s="22"/>
      <c r="J25" s="2"/>
    </row>
    <row r="26" spans="1:12" ht="18" customHeight="1" x14ac:dyDescent="0.4">
      <c r="A26" s="213" t="s">
        <v>2104</v>
      </c>
      <c r="B26" s="213"/>
      <c r="C26" s="213"/>
      <c r="D26" s="213"/>
      <c r="E26" s="213"/>
      <c r="F26" s="213"/>
      <c r="I26" s="112"/>
      <c r="J26" s="169">
        <f>90000000-60000000</f>
        <v>30000000</v>
      </c>
      <c r="K26" s="169" t="s">
        <v>1508</v>
      </c>
    </row>
    <row r="27" spans="1:12" ht="12.75" customHeight="1" x14ac:dyDescent="0.4">
      <c r="A27" s="3" t="s">
        <v>1</v>
      </c>
      <c r="B27" s="4" t="s">
        <v>2</v>
      </c>
      <c r="C27" s="5"/>
      <c r="D27" s="6" t="s">
        <v>3</v>
      </c>
      <c r="E27" s="7" t="s">
        <v>4</v>
      </c>
      <c r="F27" s="7" t="s">
        <v>5</v>
      </c>
      <c r="I27" s="112"/>
      <c r="J27" s="169">
        <v>20642862.899999999</v>
      </c>
      <c r="K27" s="169" t="s">
        <v>1509</v>
      </c>
      <c r="L27" s="124"/>
    </row>
    <row r="28" spans="1:12" s="2" customFormat="1" ht="14.25" customHeight="1" x14ac:dyDescent="0.2">
      <c r="A28" s="89">
        <v>45350</v>
      </c>
      <c r="B28" s="9" t="s">
        <v>6</v>
      </c>
      <c r="C28" s="10" t="s">
        <v>7</v>
      </c>
      <c r="D28" s="11"/>
      <c r="F28" s="12">
        <v>24530638.590000004</v>
      </c>
      <c r="G28" s="1"/>
      <c r="H28" s="1"/>
      <c r="I28" s="130" t="s">
        <v>396</v>
      </c>
      <c r="J28" s="169">
        <f>+J26-J27</f>
        <v>9357137.1000000015</v>
      </c>
      <c r="K28" s="169" t="s">
        <v>712</v>
      </c>
      <c r="L28" s="165" t="s">
        <v>1512</v>
      </c>
    </row>
    <row r="29" spans="1:12" s="2" customFormat="1" ht="14.25" customHeight="1" x14ac:dyDescent="0.2">
      <c r="A29" s="89">
        <v>45350</v>
      </c>
      <c r="B29" s="9" t="s">
        <v>6</v>
      </c>
      <c r="C29" s="76" t="s">
        <v>21</v>
      </c>
      <c r="D29" s="11" t="s">
        <v>13</v>
      </c>
      <c r="E29" s="2">
        <v>300000</v>
      </c>
      <c r="F29" s="12"/>
      <c r="G29" s="1"/>
      <c r="H29" s="1"/>
      <c r="I29" s="130"/>
      <c r="J29" s="169"/>
      <c r="K29" s="169"/>
      <c r="L29" s="165"/>
    </row>
    <row r="30" spans="1:12" s="2" customFormat="1" ht="14.25" customHeight="1" x14ac:dyDescent="0.2">
      <c r="A30" s="89">
        <v>45350</v>
      </c>
      <c r="B30" s="9" t="s">
        <v>6</v>
      </c>
      <c r="C30" s="76" t="s">
        <v>1002</v>
      </c>
      <c r="D30" s="11" t="s">
        <v>13</v>
      </c>
      <c r="E30" s="2">
        <v>3595234.84</v>
      </c>
      <c r="F30" s="12"/>
      <c r="G30" s="1"/>
      <c r="H30" s="1"/>
      <c r="I30" s="130"/>
      <c r="J30" s="169"/>
      <c r="K30" s="169"/>
      <c r="L30" s="165"/>
    </row>
    <row r="31" spans="1:12" s="2" customFormat="1" ht="14.25" customHeight="1" x14ac:dyDescent="0.2">
      <c r="A31" s="89">
        <v>45350</v>
      </c>
      <c r="B31" s="9" t="s">
        <v>11</v>
      </c>
      <c r="C31" s="76" t="s">
        <v>1137</v>
      </c>
      <c r="D31" s="11" t="s">
        <v>13</v>
      </c>
      <c r="E31" s="31"/>
      <c r="F31" s="31">
        <v>7459.15</v>
      </c>
      <c r="G31" s="1"/>
      <c r="H31" s="1"/>
      <c r="I31" s="130"/>
      <c r="J31" s="169"/>
      <c r="K31" s="169"/>
      <c r="L31" s="165"/>
    </row>
    <row r="32" spans="1:12" s="2" customFormat="1" ht="14.25" customHeight="1" x14ac:dyDescent="0.4">
      <c r="D32" s="11" t="s">
        <v>8</v>
      </c>
      <c r="E32" s="16">
        <f>SUM(E29:E31)</f>
        <v>3895234.84</v>
      </c>
      <c r="F32" s="16">
        <f>SUM(F28:F31)</f>
        <v>24538097.740000002</v>
      </c>
      <c r="G32" s="1"/>
      <c r="H32" s="1"/>
      <c r="J32" s="112"/>
      <c r="K32" s="153" t="s">
        <v>779</v>
      </c>
    </row>
    <row r="33" spans="1:12" s="2" customFormat="1" ht="14.25" customHeight="1" x14ac:dyDescent="0.2">
      <c r="A33" s="17"/>
      <c r="B33" s="18"/>
      <c r="C33" s="96" t="s">
        <v>9</v>
      </c>
      <c r="D33" s="20"/>
      <c r="E33" s="21">
        <f>+F32-E32</f>
        <v>20642862.900000002</v>
      </c>
      <c r="G33" s="1"/>
      <c r="H33" s="1"/>
      <c r="J33" s="40">
        <v>20642862.899999999</v>
      </c>
      <c r="K33" s="154">
        <f>J33-E33</f>
        <v>0</v>
      </c>
    </row>
    <row r="34" spans="1:12" s="2" customFormat="1" ht="14.25" customHeight="1" x14ac:dyDescent="0.2">
      <c r="A34" s="17"/>
      <c r="B34" s="28" t="s">
        <v>66</v>
      </c>
      <c r="C34" s="43" t="s">
        <v>1458</v>
      </c>
      <c r="D34" s="43"/>
      <c r="E34" s="12">
        <f>30000000+60000000</f>
        <v>90000000</v>
      </c>
      <c r="F34" s="22"/>
      <c r="G34" s="1"/>
      <c r="H34" s="1"/>
      <c r="I34" s="13" t="s">
        <v>1582</v>
      </c>
      <c r="J34" s="13" t="s">
        <v>1583</v>
      </c>
    </row>
    <row r="35" spans="1:12" s="2" customFormat="1" ht="14.25" customHeight="1" x14ac:dyDescent="0.25">
      <c r="A35" s="36"/>
      <c r="B35" s="28"/>
      <c r="C35" s="44" t="s">
        <v>1541</v>
      </c>
      <c r="D35" s="43"/>
      <c r="E35" s="7">
        <f>+E33+E34</f>
        <v>110642862.90000001</v>
      </c>
      <c r="F35" s="22"/>
      <c r="G35" s="1"/>
      <c r="H35" s="1"/>
      <c r="I35" s="2">
        <v>3839037</v>
      </c>
      <c r="J35" s="2">
        <v>8920837</v>
      </c>
      <c r="K35" s="176">
        <f>I35-J35</f>
        <v>-5081800</v>
      </c>
    </row>
    <row r="36" spans="1:12" s="2" customFormat="1" ht="14.25" customHeight="1" x14ac:dyDescent="0.25">
      <c r="A36" s="36"/>
      <c r="B36" s="28"/>
      <c r="C36" s="44" t="s">
        <v>1511</v>
      </c>
      <c r="D36" s="43"/>
      <c r="E36" s="38">
        <f>I24-J24+J28</f>
        <v>9357137.1000000015</v>
      </c>
      <c r="F36" s="22"/>
      <c r="G36" s="1"/>
      <c r="H36" s="1"/>
      <c r="J36" s="130"/>
      <c r="K36" s="130"/>
    </row>
    <row r="37" spans="1:12" s="2" customFormat="1" x14ac:dyDescent="0.2">
      <c r="A37" s="24"/>
      <c r="B37" s="1"/>
      <c r="C37" s="14"/>
      <c r="D37" s="25"/>
      <c r="G37" s="1"/>
      <c r="H37" s="1"/>
      <c r="I37" s="159"/>
      <c r="J37" s="160">
        <f>100000000+175000000</f>
        <v>275000000</v>
      </c>
      <c r="K37" s="160" t="s">
        <v>1506</v>
      </c>
      <c r="L37" s="70"/>
    </row>
    <row r="38" spans="1:12" s="2" customFormat="1" ht="15" x14ac:dyDescent="0.35">
      <c r="A38" s="214" t="s">
        <v>10</v>
      </c>
      <c r="B38" s="214"/>
      <c r="C38" s="214"/>
      <c r="D38" s="214"/>
      <c r="E38" s="214"/>
      <c r="F38" s="214"/>
      <c r="G38" s="1"/>
      <c r="H38" s="1"/>
      <c r="I38" s="159"/>
      <c r="J38" s="179">
        <v>243306272.34999999</v>
      </c>
      <c r="K38" s="160" t="s">
        <v>1507</v>
      </c>
      <c r="L38" s="70" t="s">
        <v>1512</v>
      </c>
    </row>
    <row r="39" spans="1:12" s="2" customFormat="1" x14ac:dyDescent="0.2">
      <c r="A39" s="26" t="s">
        <v>1</v>
      </c>
      <c r="B39" s="27" t="s">
        <v>2</v>
      </c>
      <c r="C39" s="5"/>
      <c r="D39" s="6" t="s">
        <v>3</v>
      </c>
      <c r="E39" s="7" t="s">
        <v>4</v>
      </c>
      <c r="F39" s="7" t="s">
        <v>5</v>
      </c>
      <c r="G39" s="1"/>
      <c r="H39" s="1"/>
      <c r="I39" s="159" t="s">
        <v>1505</v>
      </c>
      <c r="J39" s="160">
        <f>+J37-J38</f>
        <v>31693727.650000006</v>
      </c>
      <c r="K39" s="160"/>
      <c r="L39" s="70"/>
    </row>
    <row r="40" spans="1:12" s="2" customFormat="1" x14ac:dyDescent="0.2">
      <c r="A40" s="89">
        <v>45350</v>
      </c>
      <c r="B40" s="128" t="s">
        <v>11</v>
      </c>
      <c r="C40" s="29" t="s">
        <v>7</v>
      </c>
      <c r="D40" s="25"/>
      <c r="E40" s="31"/>
      <c r="F40" s="13">
        <v>257575641.38999987</v>
      </c>
      <c r="G40" s="23"/>
      <c r="H40" s="23"/>
      <c r="I40" s="159"/>
      <c r="J40" s="160"/>
      <c r="K40" s="160"/>
      <c r="L40" s="70"/>
    </row>
    <row r="41" spans="1:12" s="2" customFormat="1" x14ac:dyDescent="0.2">
      <c r="A41" s="89">
        <v>45350</v>
      </c>
      <c r="B41" s="128" t="s">
        <v>6</v>
      </c>
      <c r="C41" s="181" t="s">
        <v>15</v>
      </c>
      <c r="D41" s="11" t="s">
        <v>13</v>
      </c>
      <c r="E41" s="86">
        <v>14594.960000000001</v>
      </c>
      <c r="G41" s="23"/>
      <c r="H41" s="23"/>
      <c r="I41" s="159"/>
      <c r="J41" s="160"/>
      <c r="K41" s="160"/>
      <c r="L41" s="70"/>
    </row>
    <row r="42" spans="1:12" s="2" customFormat="1" x14ac:dyDescent="0.2">
      <c r="A42" s="89">
        <v>45350</v>
      </c>
      <c r="B42" s="128" t="s">
        <v>6</v>
      </c>
      <c r="C42" s="181" t="s">
        <v>1925</v>
      </c>
      <c r="D42" s="11" t="s">
        <v>13</v>
      </c>
      <c r="E42" s="86">
        <v>2017527.02</v>
      </c>
      <c r="G42" s="23"/>
      <c r="H42" s="23"/>
      <c r="I42" s="159"/>
      <c r="J42" s="160"/>
      <c r="K42" s="160"/>
      <c r="L42" s="70"/>
    </row>
    <row r="43" spans="1:12" s="2" customFormat="1" x14ac:dyDescent="0.2">
      <c r="A43" s="89">
        <v>45350</v>
      </c>
      <c r="B43" s="128" t="s">
        <v>6</v>
      </c>
      <c r="C43" s="181" t="s">
        <v>748</v>
      </c>
      <c r="D43" s="11" t="s">
        <v>13</v>
      </c>
      <c r="E43" s="86">
        <v>2638840.6800000002</v>
      </c>
      <c r="G43" s="23"/>
      <c r="H43" s="23"/>
      <c r="I43" s="159"/>
      <c r="J43" s="160"/>
      <c r="K43" s="160"/>
      <c r="L43" s="70"/>
    </row>
    <row r="44" spans="1:12" s="2" customFormat="1" x14ac:dyDescent="0.2">
      <c r="A44" s="89">
        <v>45350</v>
      </c>
      <c r="B44" s="128" t="s">
        <v>6</v>
      </c>
      <c r="C44" s="181" t="s">
        <v>326</v>
      </c>
      <c r="D44" s="11" t="s">
        <v>13</v>
      </c>
      <c r="E44" s="86">
        <v>234438</v>
      </c>
      <c r="G44" s="23"/>
      <c r="H44" s="23"/>
      <c r="I44" s="159"/>
      <c r="J44" s="160"/>
      <c r="K44" s="160"/>
      <c r="L44" s="70"/>
    </row>
    <row r="45" spans="1:12" s="2" customFormat="1" x14ac:dyDescent="0.2">
      <c r="A45" s="89">
        <v>45350</v>
      </c>
      <c r="B45" s="128" t="s">
        <v>6</v>
      </c>
      <c r="C45" s="181" t="s">
        <v>788</v>
      </c>
      <c r="D45" s="11" t="s">
        <v>13</v>
      </c>
      <c r="E45" s="86">
        <v>52708</v>
      </c>
      <c r="G45" s="23"/>
      <c r="H45" s="23"/>
      <c r="I45" s="159"/>
      <c r="J45" s="160"/>
      <c r="K45" s="160"/>
      <c r="L45" s="70"/>
    </row>
    <row r="46" spans="1:12" s="2" customFormat="1" x14ac:dyDescent="0.2">
      <c r="A46" s="89">
        <v>45350</v>
      </c>
      <c r="B46" s="128" t="s">
        <v>6</v>
      </c>
      <c r="C46" s="181" t="s">
        <v>276</v>
      </c>
      <c r="D46" s="11" t="s">
        <v>13</v>
      </c>
      <c r="E46" s="86">
        <v>24179</v>
      </c>
      <c r="G46" s="23"/>
      <c r="H46" s="23"/>
      <c r="I46" s="159"/>
      <c r="J46" s="160"/>
      <c r="K46" s="160"/>
      <c r="L46" s="70"/>
    </row>
    <row r="47" spans="1:12" s="2" customFormat="1" x14ac:dyDescent="0.2">
      <c r="A47" s="89">
        <v>45350</v>
      </c>
      <c r="B47" s="128" t="s">
        <v>6</v>
      </c>
      <c r="C47" s="181" t="s">
        <v>817</v>
      </c>
      <c r="D47" s="11" t="s">
        <v>13</v>
      </c>
      <c r="E47" s="86">
        <v>1103</v>
      </c>
      <c r="G47" s="23"/>
      <c r="H47" s="23"/>
      <c r="I47" s="159"/>
      <c r="J47" s="160"/>
      <c r="K47" s="160"/>
      <c r="L47" s="70"/>
    </row>
    <row r="48" spans="1:12" s="2" customFormat="1" x14ac:dyDescent="0.2">
      <c r="A48" s="89">
        <v>45350</v>
      </c>
      <c r="B48" s="128" t="s">
        <v>6</v>
      </c>
      <c r="C48" s="181" t="s">
        <v>1996</v>
      </c>
      <c r="D48" s="11" t="s">
        <v>13</v>
      </c>
      <c r="E48" s="86">
        <v>396789</v>
      </c>
      <c r="G48" s="23"/>
      <c r="H48" s="23"/>
      <c r="I48" s="159"/>
      <c r="J48" s="160"/>
      <c r="K48" s="160"/>
      <c r="L48" s="70"/>
    </row>
    <row r="49" spans="1:12" s="2" customFormat="1" x14ac:dyDescent="0.2">
      <c r="A49" s="89">
        <v>45350</v>
      </c>
      <c r="B49" s="128" t="s">
        <v>6</v>
      </c>
      <c r="C49" s="181" t="s">
        <v>773</v>
      </c>
      <c r="D49" s="11" t="s">
        <v>13</v>
      </c>
      <c r="E49" s="86">
        <v>86273.3</v>
      </c>
      <c r="G49" s="23"/>
      <c r="H49" s="23"/>
      <c r="I49" s="159"/>
      <c r="J49" s="160"/>
      <c r="K49" s="160"/>
      <c r="L49" s="70"/>
    </row>
    <row r="50" spans="1:12" s="2" customFormat="1" x14ac:dyDescent="0.2">
      <c r="A50" s="89">
        <v>45350</v>
      </c>
      <c r="B50" s="128" t="s">
        <v>6</v>
      </c>
      <c r="C50" s="181" t="s">
        <v>765</v>
      </c>
      <c r="D50" s="11" t="s">
        <v>13</v>
      </c>
      <c r="E50" s="86">
        <v>7556719.4699999997</v>
      </c>
      <c r="G50" s="23"/>
      <c r="H50" s="23"/>
      <c r="I50" s="159"/>
      <c r="J50" s="160"/>
      <c r="K50" s="160"/>
      <c r="L50" s="70"/>
    </row>
    <row r="51" spans="1:12" s="2" customFormat="1" x14ac:dyDescent="0.2">
      <c r="A51" s="89">
        <v>45350</v>
      </c>
      <c r="B51" s="128" t="s">
        <v>6</v>
      </c>
      <c r="C51" s="181" t="s">
        <v>121</v>
      </c>
      <c r="D51" s="11" t="s">
        <v>13</v>
      </c>
      <c r="E51" s="86">
        <v>500000</v>
      </c>
      <c r="G51" s="23"/>
      <c r="H51" s="23"/>
      <c r="I51" s="159"/>
      <c r="J51" s="160"/>
      <c r="K51" s="160"/>
      <c r="L51" s="70"/>
    </row>
    <row r="52" spans="1:12" s="2" customFormat="1" x14ac:dyDescent="0.2">
      <c r="A52" s="89">
        <v>45350</v>
      </c>
      <c r="B52" s="128" t="s">
        <v>6</v>
      </c>
      <c r="C52" s="181" t="s">
        <v>458</v>
      </c>
      <c r="D52" s="11" t="s">
        <v>13</v>
      </c>
      <c r="E52" s="86">
        <v>1680</v>
      </c>
      <c r="G52" s="23"/>
      <c r="H52" s="23"/>
      <c r="I52" s="159"/>
      <c r="J52" s="160"/>
      <c r="K52" s="160"/>
      <c r="L52" s="70"/>
    </row>
    <row r="53" spans="1:12" s="2" customFormat="1" x14ac:dyDescent="0.2">
      <c r="A53" s="89">
        <v>45350</v>
      </c>
      <c r="B53" s="128" t="s">
        <v>6</v>
      </c>
      <c r="C53" s="181" t="s">
        <v>149</v>
      </c>
      <c r="D53" s="11" t="s">
        <v>13</v>
      </c>
      <c r="E53" s="86">
        <v>27022</v>
      </c>
      <c r="G53" s="23"/>
      <c r="H53" s="23"/>
      <c r="I53" s="159"/>
      <c r="J53" s="160"/>
      <c r="K53" s="160"/>
      <c r="L53" s="70"/>
    </row>
    <row r="54" spans="1:12" s="2" customFormat="1" x14ac:dyDescent="0.2">
      <c r="A54" s="89">
        <v>45350</v>
      </c>
      <c r="B54" s="128" t="s">
        <v>6</v>
      </c>
      <c r="C54" s="181" t="s">
        <v>583</v>
      </c>
      <c r="D54" s="11" t="s">
        <v>13</v>
      </c>
      <c r="E54" s="86">
        <v>960192</v>
      </c>
      <c r="G54" s="23"/>
      <c r="H54" s="23"/>
      <c r="I54" s="159"/>
      <c r="J54" s="160"/>
      <c r="K54" s="160"/>
      <c r="L54" s="70"/>
    </row>
    <row r="55" spans="1:12" s="2" customFormat="1" x14ac:dyDescent="0.2">
      <c r="A55" s="89">
        <v>45350</v>
      </c>
      <c r="B55" s="128" t="s">
        <v>6</v>
      </c>
      <c r="C55" s="181" t="s">
        <v>27</v>
      </c>
      <c r="D55" s="11" t="s">
        <v>13</v>
      </c>
      <c r="E55" s="86">
        <v>6830</v>
      </c>
      <c r="G55" s="23"/>
      <c r="H55" s="23"/>
      <c r="I55" s="159"/>
      <c r="J55" s="160"/>
      <c r="K55" s="160"/>
      <c r="L55" s="70"/>
    </row>
    <row r="56" spans="1:12" s="2" customFormat="1" x14ac:dyDescent="0.2">
      <c r="A56" s="89">
        <v>45350</v>
      </c>
      <c r="B56" s="128" t="s">
        <v>11</v>
      </c>
      <c r="C56" s="181" t="s">
        <v>64</v>
      </c>
      <c r="D56" s="11" t="s">
        <v>29</v>
      </c>
      <c r="E56" s="86"/>
      <c r="F56" s="2">
        <v>6203.26</v>
      </c>
      <c r="G56" s="23"/>
      <c r="H56" s="23"/>
      <c r="I56" s="159"/>
      <c r="J56" s="160"/>
      <c r="K56" s="160"/>
      <c r="L56" s="70"/>
    </row>
    <row r="57" spans="1:12" s="2" customFormat="1" x14ac:dyDescent="0.2">
      <c r="A57" s="89">
        <v>45350</v>
      </c>
      <c r="B57" s="128" t="s">
        <v>11</v>
      </c>
      <c r="C57" s="181" t="s">
        <v>2131</v>
      </c>
      <c r="D57" s="11" t="s">
        <v>29</v>
      </c>
      <c r="E57" s="86"/>
      <c r="F57" s="2">
        <v>3969444</v>
      </c>
      <c r="G57" s="23"/>
      <c r="H57" s="23"/>
      <c r="I57" s="159"/>
      <c r="J57" s="160"/>
      <c r="K57" s="160"/>
      <c r="L57" s="70"/>
    </row>
    <row r="58" spans="1:12" s="2" customFormat="1" x14ac:dyDescent="0.2">
      <c r="A58" s="89">
        <v>45350</v>
      </c>
      <c r="B58" s="128" t="s">
        <v>11</v>
      </c>
      <c r="C58" s="181" t="s">
        <v>348</v>
      </c>
      <c r="D58" s="11" t="s">
        <v>29</v>
      </c>
      <c r="E58" s="86"/>
      <c r="F58" s="2">
        <v>112662</v>
      </c>
      <c r="G58" s="23"/>
      <c r="H58" s="23"/>
      <c r="I58" s="159"/>
      <c r="J58" s="160"/>
      <c r="K58" s="160"/>
      <c r="L58" s="70"/>
    </row>
    <row r="59" spans="1:12" s="2" customFormat="1" x14ac:dyDescent="0.2">
      <c r="A59" s="89">
        <v>45350</v>
      </c>
      <c r="B59" s="128" t="s">
        <v>11</v>
      </c>
      <c r="C59" s="181" t="s">
        <v>410</v>
      </c>
      <c r="D59" s="11" t="s">
        <v>29</v>
      </c>
      <c r="E59" s="86"/>
      <c r="F59" s="2">
        <v>235150</v>
      </c>
      <c r="G59" s="23"/>
      <c r="H59" s="23"/>
      <c r="I59" s="159"/>
      <c r="J59" s="160"/>
      <c r="K59" s="160"/>
      <c r="L59" s="70"/>
    </row>
    <row r="60" spans="1:12" s="2" customFormat="1" x14ac:dyDescent="0.2">
      <c r="A60" s="89">
        <v>45350</v>
      </c>
      <c r="B60" s="128" t="s">
        <v>11</v>
      </c>
      <c r="C60" s="181" t="s">
        <v>719</v>
      </c>
      <c r="D60" s="11" t="s">
        <v>29</v>
      </c>
      <c r="E60" s="86"/>
      <c r="F60" s="2">
        <v>584255</v>
      </c>
      <c r="G60" s="23"/>
      <c r="H60" s="23"/>
      <c r="I60" s="159"/>
      <c r="J60" s="160"/>
      <c r="K60" s="160"/>
      <c r="L60" s="70"/>
    </row>
    <row r="61" spans="1:12" s="2" customFormat="1" x14ac:dyDescent="0.2">
      <c r="A61" s="89">
        <v>45350</v>
      </c>
      <c r="B61" s="128" t="s">
        <v>11</v>
      </c>
      <c r="C61" s="181" t="s">
        <v>210</v>
      </c>
      <c r="D61" s="11" t="s">
        <v>29</v>
      </c>
      <c r="E61" s="86"/>
      <c r="F61" s="2">
        <v>155524</v>
      </c>
      <c r="G61" s="23"/>
      <c r="H61" s="23"/>
      <c r="I61" s="159"/>
      <c r="J61" s="160"/>
      <c r="K61" s="160"/>
      <c r="L61" s="70"/>
    </row>
    <row r="62" spans="1:12" s="2" customFormat="1" x14ac:dyDescent="0.2">
      <c r="A62" s="89">
        <v>45350</v>
      </c>
      <c r="B62" s="128" t="s">
        <v>11</v>
      </c>
      <c r="C62" s="181" t="s">
        <v>1361</v>
      </c>
      <c r="D62" s="11" t="s">
        <v>29</v>
      </c>
      <c r="E62" s="86"/>
      <c r="F62" s="2">
        <v>180172</v>
      </c>
      <c r="G62" s="23"/>
      <c r="H62" s="23"/>
      <c r="I62" s="159"/>
      <c r="J62" s="160"/>
      <c r="K62" s="160"/>
      <c r="L62" s="70"/>
    </row>
    <row r="63" spans="1:12" s="2" customFormat="1" x14ac:dyDescent="0.2">
      <c r="A63" s="89">
        <v>45350</v>
      </c>
      <c r="B63" s="128" t="s">
        <v>11</v>
      </c>
      <c r="C63" s="181" t="s">
        <v>453</v>
      </c>
      <c r="D63" s="11" t="s">
        <v>29</v>
      </c>
      <c r="E63" s="86"/>
      <c r="F63" s="2">
        <v>69498</v>
      </c>
      <c r="G63" s="23"/>
      <c r="H63" s="23"/>
      <c r="I63" s="159"/>
      <c r="J63" s="160"/>
      <c r="K63" s="160"/>
      <c r="L63" s="70"/>
    </row>
    <row r="64" spans="1:12" s="2" customFormat="1" x14ac:dyDescent="0.2">
      <c r="A64" s="89">
        <v>45350</v>
      </c>
      <c r="B64" s="128" t="s">
        <v>11</v>
      </c>
      <c r="C64" s="181" t="s">
        <v>30</v>
      </c>
      <c r="D64" s="11" t="s">
        <v>29</v>
      </c>
      <c r="E64" s="86"/>
      <c r="F64" s="2">
        <v>435050</v>
      </c>
      <c r="G64" s="23"/>
      <c r="H64" s="23"/>
      <c r="I64" s="159"/>
      <c r="J64" s="160"/>
      <c r="K64" s="160"/>
      <c r="L64" s="70"/>
    </row>
    <row r="65" spans="1:16" s="2" customFormat="1" x14ac:dyDescent="0.2">
      <c r="A65" s="89">
        <v>45350</v>
      </c>
      <c r="B65" s="128" t="s">
        <v>11</v>
      </c>
      <c r="C65" s="181" t="s">
        <v>35</v>
      </c>
      <c r="D65" s="11" t="s">
        <v>29</v>
      </c>
      <c r="E65" s="86"/>
      <c r="F65" s="2">
        <v>37906.800000000003</v>
      </c>
      <c r="G65" s="23"/>
      <c r="H65" s="23"/>
      <c r="I65" s="159"/>
      <c r="J65" s="160"/>
      <c r="K65" s="160"/>
      <c r="L65" s="70"/>
    </row>
    <row r="66" spans="1:16" s="2" customFormat="1" x14ac:dyDescent="0.2">
      <c r="A66" s="89">
        <v>45350</v>
      </c>
      <c r="B66" s="128" t="s">
        <v>11</v>
      </c>
      <c r="C66" s="181" t="s">
        <v>199</v>
      </c>
      <c r="D66" s="11" t="s">
        <v>29</v>
      </c>
      <c r="E66" s="86"/>
      <c r="F66" s="2">
        <v>39186</v>
      </c>
      <c r="G66" s="23"/>
      <c r="H66" s="23"/>
      <c r="I66" s="159"/>
      <c r="J66" s="160"/>
      <c r="K66" s="160"/>
      <c r="L66" s="70"/>
    </row>
    <row r="67" spans="1:16" s="2" customFormat="1" x14ac:dyDescent="0.2">
      <c r="A67" s="89">
        <v>45350</v>
      </c>
      <c r="B67" s="128" t="s">
        <v>11</v>
      </c>
      <c r="C67" s="181" t="s">
        <v>1472</v>
      </c>
      <c r="D67" s="11" t="s">
        <v>29</v>
      </c>
      <c r="E67" s="86"/>
      <c r="F67" s="2">
        <v>49565</v>
      </c>
      <c r="G67" s="23"/>
      <c r="H67" s="23"/>
      <c r="I67" s="159"/>
      <c r="J67" s="160"/>
      <c r="K67" s="160"/>
      <c r="L67" s="70"/>
    </row>
    <row r="68" spans="1:16" s="2" customFormat="1" x14ac:dyDescent="0.2">
      <c r="A68" s="89">
        <v>45350</v>
      </c>
      <c r="B68" s="128" t="s">
        <v>11</v>
      </c>
      <c r="C68" s="181" t="s">
        <v>1131</v>
      </c>
      <c r="D68" s="11" t="s">
        <v>29</v>
      </c>
      <c r="E68" s="86"/>
      <c r="F68" s="2">
        <v>147721</v>
      </c>
      <c r="G68" s="23"/>
      <c r="H68" s="23"/>
      <c r="I68" s="159"/>
      <c r="J68" s="160"/>
      <c r="K68" s="160"/>
      <c r="L68" s="70"/>
    </row>
    <row r="69" spans="1:16" s="2" customFormat="1" x14ac:dyDescent="0.2">
      <c r="A69" s="89">
        <v>45350</v>
      </c>
      <c r="B69" s="128" t="s">
        <v>11</v>
      </c>
      <c r="C69" s="181" t="s">
        <v>1979</v>
      </c>
      <c r="D69" s="11" t="s">
        <v>29</v>
      </c>
      <c r="E69" s="86"/>
      <c r="F69" s="2">
        <v>266695.33</v>
      </c>
      <c r="G69" s="23"/>
      <c r="H69" s="23"/>
      <c r="I69" s="159"/>
      <c r="J69" s="160"/>
      <c r="K69" s="160"/>
      <c r="L69" s="70" t="s">
        <v>329</v>
      </c>
    </row>
    <row r="70" spans="1:16" s="70" customFormat="1" x14ac:dyDescent="0.2">
      <c r="A70" s="32"/>
      <c r="B70" s="33"/>
      <c r="C70" s="14"/>
      <c r="D70" s="34"/>
      <c r="E70" s="16">
        <f>SUM(E40:E69)</f>
        <v>14518896.43</v>
      </c>
      <c r="F70" s="16">
        <f>SUM(F40:F69)</f>
        <v>263864673.77999988</v>
      </c>
      <c r="G70" s="1"/>
      <c r="H70" s="1"/>
      <c r="I70" s="1"/>
      <c r="J70" s="38">
        <v>248388072.34999999</v>
      </c>
      <c r="K70" s="2"/>
      <c r="L70" s="92">
        <f>E71-J70</f>
        <v>957704.99999988079</v>
      </c>
      <c r="M70" s="2"/>
      <c r="N70" s="2"/>
      <c r="O70" s="2"/>
      <c r="P70" s="2"/>
    </row>
    <row r="71" spans="1:16" s="70" customFormat="1" x14ac:dyDescent="0.2">
      <c r="A71" s="36"/>
      <c r="B71" s="28" t="s">
        <v>11</v>
      </c>
      <c r="C71" s="19" t="s">
        <v>65</v>
      </c>
      <c r="D71" s="37"/>
      <c r="E71" s="38">
        <f>F70-E70</f>
        <v>249345777.34999987</v>
      </c>
      <c r="F71" s="22"/>
      <c r="G71" s="1"/>
      <c r="H71" s="1"/>
      <c r="I71" s="1"/>
      <c r="M71" s="2"/>
      <c r="N71" s="2"/>
      <c r="O71" s="1"/>
      <c r="P71" s="2"/>
    </row>
    <row r="72" spans="1:16" s="70" customFormat="1" x14ac:dyDescent="0.2">
      <c r="A72" s="36"/>
      <c r="B72" s="28" t="s">
        <v>66</v>
      </c>
      <c r="C72" s="19" t="s">
        <v>67</v>
      </c>
      <c r="D72" s="37"/>
      <c r="E72" s="38">
        <v>11500000</v>
      </c>
      <c r="F72" s="22"/>
      <c r="G72" s="1"/>
      <c r="H72" s="1"/>
      <c r="M72" s="2"/>
      <c r="N72" s="2"/>
      <c r="O72" s="1"/>
      <c r="P72" s="2"/>
    </row>
    <row r="73" spans="1:16" s="70" customFormat="1" x14ac:dyDescent="0.2">
      <c r="A73" s="36"/>
      <c r="B73" s="28" t="s">
        <v>66</v>
      </c>
      <c r="C73" s="43" t="s">
        <v>1457</v>
      </c>
      <c r="D73" s="43"/>
      <c r="E73" s="12">
        <f>400000000-175000000</f>
        <v>225000000</v>
      </c>
      <c r="F73" s="22"/>
      <c r="G73" s="1"/>
      <c r="H73" s="1"/>
      <c r="J73" s="45">
        <v>2489.31</v>
      </c>
      <c r="K73" s="46"/>
      <c r="L73" s="46"/>
      <c r="M73" s="2"/>
      <c r="N73" s="2"/>
      <c r="O73" s="1"/>
      <c r="P73" s="2"/>
    </row>
    <row r="74" spans="1:16" s="70" customFormat="1" ht="15" x14ac:dyDescent="0.25">
      <c r="A74" s="36"/>
      <c r="B74" s="28"/>
      <c r="C74" s="44" t="s">
        <v>1541</v>
      </c>
      <c r="D74" s="43"/>
      <c r="E74" s="7">
        <f>+E73+E71+E72</f>
        <v>485845777.3499999</v>
      </c>
      <c r="F74" s="22"/>
      <c r="G74" s="1"/>
      <c r="H74" s="1"/>
      <c r="I74" s="103" t="s">
        <v>69</v>
      </c>
      <c r="J74" s="45">
        <v>-120.36</v>
      </c>
      <c r="K74" s="46"/>
      <c r="L74" s="46"/>
      <c r="M74" s="2"/>
      <c r="N74" s="2"/>
      <c r="O74" s="1"/>
      <c r="P74" s="2"/>
    </row>
    <row r="75" spans="1:16" s="70" customFormat="1" ht="15" x14ac:dyDescent="0.25">
      <c r="A75" s="24"/>
      <c r="B75" s="1"/>
      <c r="C75" s="44" t="s">
        <v>1510</v>
      </c>
      <c r="D75" s="25"/>
      <c r="E75" s="156">
        <f>+J39-E72+I35-J35</f>
        <v>15111927.650000006</v>
      </c>
      <c r="F75" s="2"/>
      <c r="G75" s="1"/>
      <c r="H75" s="1"/>
      <c r="I75" s="35">
        <v>1</v>
      </c>
      <c r="J75" s="45">
        <v>106.02</v>
      </c>
      <c r="K75" s="46">
        <f>+J76-D78</f>
        <v>0</v>
      </c>
      <c r="L75" s="2"/>
      <c r="M75" s="2"/>
      <c r="N75" s="2"/>
      <c r="O75" s="1"/>
      <c r="P75" s="2"/>
    </row>
    <row r="76" spans="1:16" s="70" customFormat="1" ht="12.75" customHeight="1" x14ac:dyDescent="0.2">
      <c r="A76" s="24"/>
      <c r="B76" s="1"/>
      <c r="C76" s="56"/>
      <c r="D76" s="56"/>
      <c r="E76" s="104"/>
      <c r="F76" s="2"/>
      <c r="G76" s="166"/>
      <c r="H76" s="166"/>
      <c r="J76" s="49">
        <f>SUM(J73:J75)</f>
        <v>2474.9699999999998</v>
      </c>
      <c r="K76" s="46"/>
      <c r="L76" s="46"/>
      <c r="M76" s="124"/>
      <c r="N76" s="124"/>
      <c r="O76" s="1"/>
      <c r="P76" s="2"/>
    </row>
    <row r="77" spans="1:16" s="70" customFormat="1" ht="12.75" customHeight="1" x14ac:dyDescent="0.2">
      <c r="A77" s="24"/>
      <c r="B77" s="1"/>
      <c r="C77" s="78" t="s">
        <v>575</v>
      </c>
      <c r="D77" s="48" t="s">
        <v>576</v>
      </c>
      <c r="E77" s="104"/>
      <c r="F77" s="2"/>
      <c r="G77" s="168"/>
      <c r="H77" s="168"/>
      <c r="I77" s="167"/>
      <c r="J77" s="167"/>
      <c r="K77" s="168"/>
      <c r="L77" s="124"/>
      <c r="M77" s="124"/>
      <c r="N77" s="124"/>
      <c r="O77" s="124"/>
      <c r="P77" s="2"/>
    </row>
    <row r="78" spans="1:16" s="70" customFormat="1" ht="12.75" customHeight="1" x14ac:dyDescent="0.2">
      <c r="A78" s="24"/>
      <c r="B78" s="1"/>
      <c r="C78" s="47" t="s">
        <v>570</v>
      </c>
      <c r="D78" s="111">
        <v>2474.9699999999998</v>
      </c>
      <c r="E78" s="104"/>
      <c r="F78" s="2"/>
      <c r="G78" s="168"/>
      <c r="H78" s="168"/>
      <c r="I78" s="110" t="s">
        <v>581</v>
      </c>
      <c r="J78" s="167"/>
      <c r="K78" s="168"/>
      <c r="L78" s="124"/>
      <c r="M78" s="124"/>
      <c r="N78" s="124"/>
      <c r="O78" s="124"/>
      <c r="P78" s="124"/>
    </row>
    <row r="79" spans="1:16" s="70" customFormat="1" ht="12.75" customHeight="1" x14ac:dyDescent="0.2">
      <c r="A79" s="24"/>
      <c r="B79" s="1"/>
      <c r="C79" s="47" t="s">
        <v>931</v>
      </c>
      <c r="D79" s="111">
        <v>174.46</v>
      </c>
      <c r="E79" s="104"/>
      <c r="F79" s="2"/>
      <c r="G79" s="168"/>
      <c r="H79" s="168"/>
      <c r="I79" s="110" t="s">
        <v>580</v>
      </c>
      <c r="J79" s="167"/>
      <c r="K79" s="168"/>
      <c r="L79" s="124"/>
      <c r="M79" s="124"/>
      <c r="N79" s="124"/>
      <c r="O79" s="124"/>
      <c r="P79" s="124"/>
    </row>
    <row r="80" spans="1:16" s="70" customFormat="1" ht="12.75" customHeight="1" x14ac:dyDescent="0.2">
      <c r="A80" s="24"/>
      <c r="B80" s="1"/>
      <c r="C80" s="47" t="s">
        <v>572</v>
      </c>
      <c r="D80" s="111">
        <f>+D131/100000</f>
        <v>725.84642829999996</v>
      </c>
      <c r="E80" s="104"/>
      <c r="F80" s="2"/>
      <c r="G80" s="166"/>
      <c r="H80" s="166"/>
      <c r="I80" s="90" t="s">
        <v>587</v>
      </c>
      <c r="J80" s="167"/>
      <c r="K80" s="168"/>
      <c r="L80" s="124"/>
      <c r="M80" s="124"/>
      <c r="N80" s="124"/>
      <c r="O80" s="124"/>
      <c r="P80" s="124"/>
    </row>
    <row r="81" spans="1:19" s="70" customFormat="1" ht="12.75" customHeight="1" x14ac:dyDescent="0.2">
      <c r="A81" s="24"/>
      <c r="B81" s="1"/>
      <c r="C81" s="108" t="s">
        <v>578</v>
      </c>
      <c r="D81" s="48">
        <f>SUM(D78:D80)</f>
        <v>3375.2764282999997</v>
      </c>
      <c r="E81" s="104"/>
      <c r="F81" s="2"/>
      <c r="G81" s="30"/>
      <c r="H81" s="30"/>
      <c r="I81" s="2"/>
      <c r="J81" s="13"/>
      <c r="K81" s="13"/>
      <c r="L81" s="2"/>
      <c r="M81" s="2"/>
      <c r="N81" s="2"/>
      <c r="O81" s="124"/>
      <c r="P81" s="124"/>
    </row>
    <row r="82" spans="1:19" s="70" customFormat="1" ht="12.75" customHeight="1" x14ac:dyDescent="0.2">
      <c r="A82" s="24"/>
      <c r="B82" s="1"/>
      <c r="C82" s="47"/>
      <c r="D82" s="107"/>
      <c r="E82" s="104"/>
      <c r="F82" s="2"/>
      <c r="G82" s="30"/>
      <c r="H82" s="30"/>
      <c r="I82" s="2"/>
      <c r="O82" s="2"/>
      <c r="P82" s="124"/>
    </row>
    <row r="83" spans="1:19" s="70" customFormat="1" ht="12.75" customHeight="1" x14ac:dyDescent="0.2">
      <c r="A83" s="24"/>
      <c r="B83" s="1"/>
      <c r="C83" s="47" t="s">
        <v>932</v>
      </c>
      <c r="D83" s="111">
        <v>319.02999999999997</v>
      </c>
      <c r="E83" s="104"/>
      <c r="F83" s="2"/>
      <c r="G83" s="30"/>
      <c r="H83" s="30"/>
      <c r="I83" s="110" t="s">
        <v>581</v>
      </c>
      <c r="P83" s="2"/>
    </row>
    <row r="84" spans="1:19" s="70" customFormat="1" ht="12.75" customHeight="1" x14ac:dyDescent="0.2">
      <c r="A84" s="24"/>
      <c r="B84" s="1"/>
      <c r="C84" s="136" t="s">
        <v>1142</v>
      </c>
      <c r="D84" s="111">
        <v>847.41</v>
      </c>
      <c r="E84" s="104"/>
      <c r="F84" s="2"/>
      <c r="G84" s="30"/>
      <c r="H84" s="30"/>
      <c r="I84" s="110" t="s">
        <v>581</v>
      </c>
    </row>
    <row r="85" spans="1:19" s="70" customFormat="1" ht="12.75" customHeight="1" x14ac:dyDescent="0.2">
      <c r="A85" s="24"/>
      <c r="B85" s="1"/>
      <c r="C85" s="78" t="s">
        <v>579</v>
      </c>
      <c r="D85" s="109">
        <f>D83+D84</f>
        <v>1166.44</v>
      </c>
      <c r="E85" s="104"/>
      <c r="F85" s="2"/>
      <c r="G85" s="30"/>
      <c r="H85" s="30"/>
      <c r="Q85" s="2"/>
      <c r="R85" s="2"/>
      <c r="S85" s="2"/>
    </row>
    <row r="86" spans="1:19" s="2" customFormat="1" x14ac:dyDescent="0.2">
      <c r="A86" s="24"/>
      <c r="B86" s="1"/>
      <c r="C86" s="105"/>
      <c r="D86" s="106"/>
      <c r="E86" s="104"/>
      <c r="G86" s="30"/>
      <c r="H86" s="30"/>
      <c r="I86" s="70"/>
      <c r="K86" s="221" t="str">
        <f>"FROM ( 01-02-2024 to "&amp;TEXT(A5,"dd-mm-yyyy")&amp;" )"</f>
        <v>FROM ( 01-02-2024 to 28-02-2024 )</v>
      </c>
      <c r="L86" s="221"/>
      <c r="O86" s="70"/>
      <c r="P86" s="70"/>
    </row>
    <row r="87" spans="1:19" s="2" customFormat="1" x14ac:dyDescent="0.2">
      <c r="A87" s="24"/>
      <c r="B87" s="1"/>
      <c r="C87" s="78" t="s">
        <v>577</v>
      </c>
      <c r="D87" s="109">
        <f>D78+D85</f>
        <v>3641.41</v>
      </c>
      <c r="E87" s="104"/>
      <c r="G87" s="30"/>
      <c r="H87" s="30"/>
      <c r="I87" s="70"/>
      <c r="J87" s="113"/>
      <c r="K87" s="113" t="s">
        <v>709</v>
      </c>
      <c r="L87" s="113" t="s">
        <v>710</v>
      </c>
      <c r="M87" s="113" t="s">
        <v>711</v>
      </c>
      <c r="N87" s="113" t="s">
        <v>712</v>
      </c>
      <c r="O87" s="70"/>
      <c r="P87" s="70"/>
    </row>
    <row r="88" spans="1:19" s="2" customFormat="1" x14ac:dyDescent="0.2">
      <c r="A88" s="24"/>
      <c r="B88" s="1"/>
      <c r="C88" s="56"/>
      <c r="D88" s="56"/>
      <c r="E88" s="104"/>
      <c r="G88" s="30"/>
      <c r="H88" s="30"/>
      <c r="I88" s="70"/>
      <c r="J88" s="113" t="s">
        <v>1860</v>
      </c>
      <c r="K88" s="115">
        <v>191.98999999999998</v>
      </c>
      <c r="L88" s="115">
        <v>27.85</v>
      </c>
      <c r="M88" s="115">
        <v>31.65</v>
      </c>
      <c r="N88" s="113">
        <f>+K88+M88-L88</f>
        <v>195.79</v>
      </c>
      <c r="O88" s="70"/>
      <c r="P88" s="70"/>
    </row>
    <row r="89" spans="1:19" s="2" customFormat="1" ht="38.25" x14ac:dyDescent="0.2">
      <c r="A89" s="24"/>
      <c r="B89" s="1"/>
      <c r="C89" s="79" t="str">
        <f>"Particulars ( 01-02-2024 to "&amp;TEXT(A5,"dd-mm-yyyy")&amp;" )"</f>
        <v>Particulars ( 01-02-2024 to 28-02-2024 )</v>
      </c>
      <c r="D89" s="79" t="s">
        <v>7</v>
      </c>
      <c r="E89" s="80" t="s">
        <v>73</v>
      </c>
      <c r="F89" s="80" t="s">
        <v>74</v>
      </c>
      <c r="G89" s="81" t="s">
        <v>75</v>
      </c>
      <c r="H89" s="80" t="s">
        <v>76</v>
      </c>
      <c r="I89" s="70"/>
      <c r="J89" s="113" t="s">
        <v>1861</v>
      </c>
      <c r="K89" s="115">
        <v>1862.06</v>
      </c>
      <c r="L89" s="115">
        <v>1069.52</v>
      </c>
      <c r="M89" s="115">
        <v>1187.29</v>
      </c>
      <c r="N89" s="113">
        <f>+K89+M89-L89</f>
        <v>1979.83</v>
      </c>
      <c r="O89" s="70"/>
      <c r="P89" s="70"/>
    </row>
    <row r="90" spans="1:19" s="2" customFormat="1" x14ac:dyDescent="0.2">
      <c r="A90" s="24"/>
      <c r="B90" s="1"/>
      <c r="C90" s="50" t="s">
        <v>444</v>
      </c>
      <c r="D90" s="55">
        <f>+K90</f>
        <v>332.44</v>
      </c>
      <c r="E90" s="55">
        <f>+IF(M90=0,0,M90)</f>
        <v>319.02999999999997</v>
      </c>
      <c r="F90" s="55">
        <f>+L90</f>
        <v>174.46</v>
      </c>
      <c r="G90" s="55">
        <f>+D90+E90-F90</f>
        <v>477.01</v>
      </c>
      <c r="H90" s="55">
        <f>1500-G90</f>
        <v>1022.99</v>
      </c>
      <c r="I90" s="70">
        <f>+IF(M90=0,0,M90)</f>
        <v>319.02999999999997</v>
      </c>
      <c r="J90" s="113" t="s">
        <v>707</v>
      </c>
      <c r="K90" s="115">
        <v>332.44</v>
      </c>
      <c r="L90" s="115">
        <v>174.46</v>
      </c>
      <c r="M90" s="115">
        <v>319.02999999999997</v>
      </c>
      <c r="N90" s="113">
        <f>+K90+M90-L90</f>
        <v>477.01</v>
      </c>
      <c r="O90" s="70"/>
      <c r="P90" s="70"/>
    </row>
    <row r="91" spans="1:19" s="2" customFormat="1" x14ac:dyDescent="0.2">
      <c r="A91" s="24"/>
      <c r="B91" s="1"/>
      <c r="C91" s="50" t="s">
        <v>71</v>
      </c>
      <c r="D91" s="55">
        <f>+K88+K89</f>
        <v>2054.0499999999997</v>
      </c>
      <c r="E91" s="55">
        <f>+M88+M89</f>
        <v>1218.94</v>
      </c>
      <c r="F91" s="55">
        <f>+L88+L89</f>
        <v>1097.3699999999999</v>
      </c>
      <c r="G91" s="55">
        <f>+D91+E91-F91</f>
        <v>2175.62</v>
      </c>
      <c r="H91" s="55">
        <f>1500+700+200-G91</f>
        <v>224.38000000000011</v>
      </c>
      <c r="I91" s="70"/>
      <c r="K91" s="118">
        <f>SUM(K88:K90)</f>
        <v>2386.4899999999998</v>
      </c>
      <c r="L91" s="118">
        <f>SUM(L88:L90)</f>
        <v>1271.83</v>
      </c>
      <c r="M91" s="118">
        <f>SUM(M88:M90)</f>
        <v>1537.97</v>
      </c>
      <c r="N91" s="118">
        <f>SUM(N88:N90)</f>
        <v>2652.63</v>
      </c>
      <c r="O91" s="70"/>
      <c r="P91" s="70"/>
    </row>
    <row r="92" spans="1:19" s="2" customFormat="1" x14ac:dyDescent="0.2">
      <c r="A92" s="24"/>
      <c r="B92" s="1"/>
      <c r="C92" s="14"/>
      <c r="D92" s="56"/>
      <c r="E92" s="13"/>
      <c r="G92" s="30"/>
      <c r="H92" s="30"/>
      <c r="I92" s="70"/>
      <c r="J92" s="70"/>
      <c r="K92" s="70"/>
      <c r="L92" s="70"/>
      <c r="M92" s="70"/>
      <c r="N92" s="70"/>
      <c r="O92" s="70"/>
      <c r="P92" s="70"/>
    </row>
    <row r="93" spans="1:19" s="2" customFormat="1" x14ac:dyDescent="0.2">
      <c r="A93" s="215" t="s">
        <v>80</v>
      </c>
      <c r="B93" s="216"/>
      <c r="C93" s="216"/>
      <c r="D93" s="217"/>
      <c r="E93" s="69"/>
      <c r="F93" s="70"/>
      <c r="G93" s="30"/>
      <c r="H93" s="30"/>
      <c r="I93" s="70"/>
      <c r="J93" s="70"/>
      <c r="K93" s="70"/>
      <c r="L93" s="70"/>
      <c r="M93" s="70"/>
      <c r="N93" s="70"/>
      <c r="O93" s="70"/>
      <c r="P93" s="70"/>
    </row>
    <row r="94" spans="1:19" s="2" customFormat="1" x14ac:dyDescent="0.2">
      <c r="A94" s="71" t="s">
        <v>81</v>
      </c>
      <c r="B94" s="71"/>
      <c r="C94" s="72" t="s">
        <v>82</v>
      </c>
      <c r="D94" s="73" t="s">
        <v>83</v>
      </c>
      <c r="E94" s="69"/>
      <c r="F94" s="70"/>
      <c r="G94" s="30"/>
      <c r="H94" s="30"/>
      <c r="I94" s="70"/>
      <c r="J94" s="70"/>
      <c r="K94" s="70"/>
      <c r="L94" s="70"/>
      <c r="M94" s="70"/>
      <c r="N94" s="70"/>
      <c r="O94" s="70"/>
      <c r="P94" s="70"/>
    </row>
    <row r="95" spans="1:19" s="2" customFormat="1" x14ac:dyDescent="0.2">
      <c r="A95" s="87">
        <v>45323</v>
      </c>
      <c r="B95" s="120" t="s">
        <v>6</v>
      </c>
      <c r="C95" s="75" t="s">
        <v>18</v>
      </c>
      <c r="D95" s="88">
        <v>881220</v>
      </c>
      <c r="G95" s="30"/>
      <c r="H95" s="30"/>
      <c r="M95" s="41"/>
      <c r="N95" s="42"/>
      <c r="O95" s="70"/>
      <c r="P95" s="70"/>
    </row>
    <row r="96" spans="1:19" s="2" customFormat="1" x14ac:dyDescent="0.2">
      <c r="A96" s="87">
        <v>45324</v>
      </c>
      <c r="B96" s="120" t="s">
        <v>6</v>
      </c>
      <c r="C96" s="75" t="s">
        <v>270</v>
      </c>
      <c r="D96" s="88">
        <v>47729</v>
      </c>
      <c r="G96" s="30"/>
      <c r="H96" s="30"/>
      <c r="M96" s="41"/>
      <c r="N96" s="42"/>
      <c r="P96" s="70"/>
    </row>
    <row r="97" spans="1:16" s="2" customFormat="1" x14ac:dyDescent="0.2">
      <c r="A97" s="87">
        <v>45327</v>
      </c>
      <c r="B97" s="120" t="s">
        <v>6</v>
      </c>
      <c r="C97" s="75" t="s">
        <v>271</v>
      </c>
      <c r="D97" s="88">
        <v>56647</v>
      </c>
      <c r="G97" s="30"/>
      <c r="H97" s="30"/>
      <c r="M97" s="41"/>
      <c r="N97" s="42"/>
      <c r="P97" s="70"/>
    </row>
    <row r="98" spans="1:16" s="2" customFormat="1" x14ac:dyDescent="0.2">
      <c r="A98" s="87">
        <v>45328</v>
      </c>
      <c r="B98" s="120" t="s">
        <v>6</v>
      </c>
      <c r="C98" s="75" t="s">
        <v>87</v>
      </c>
      <c r="D98" s="88">
        <v>1312580</v>
      </c>
      <c r="G98" s="30"/>
      <c r="H98" s="30"/>
      <c r="M98" s="41"/>
      <c r="N98" s="42"/>
      <c r="P98" s="70"/>
    </row>
    <row r="99" spans="1:16" s="2" customFormat="1" x14ac:dyDescent="0.2">
      <c r="A99" s="87">
        <v>45329</v>
      </c>
      <c r="B99" s="120" t="s">
        <v>6</v>
      </c>
      <c r="C99" s="75" t="s">
        <v>18</v>
      </c>
      <c r="D99" s="88">
        <v>548859</v>
      </c>
      <c r="G99" s="30"/>
      <c r="H99" s="30"/>
      <c r="M99" s="41"/>
      <c r="N99" s="42"/>
      <c r="P99" s="70"/>
    </row>
    <row r="100" spans="1:16" s="2" customFormat="1" x14ac:dyDescent="0.2">
      <c r="A100" s="87">
        <v>45332</v>
      </c>
      <c r="B100" s="120" t="s">
        <v>6</v>
      </c>
      <c r="C100" s="75" t="s">
        <v>594</v>
      </c>
      <c r="D100" s="88">
        <v>1603904</v>
      </c>
      <c r="G100" s="30"/>
      <c r="H100" s="30"/>
      <c r="M100" s="41"/>
      <c r="N100" s="42"/>
      <c r="P100" s="70"/>
    </row>
    <row r="101" spans="1:16" s="2" customFormat="1" x14ac:dyDescent="0.2">
      <c r="A101" s="87">
        <v>45334</v>
      </c>
      <c r="B101" s="120" t="s">
        <v>6</v>
      </c>
      <c r="C101" s="75" t="s">
        <v>270</v>
      </c>
      <c r="D101" s="88">
        <v>126143</v>
      </c>
      <c r="G101" s="30"/>
      <c r="H101" s="30"/>
      <c r="M101" s="41"/>
      <c r="N101" s="42"/>
      <c r="P101" s="70"/>
    </row>
    <row r="102" spans="1:16" s="2" customFormat="1" x14ac:dyDescent="0.2">
      <c r="A102" s="87">
        <v>45334</v>
      </c>
      <c r="B102" s="120" t="s">
        <v>6</v>
      </c>
      <c r="C102" s="75" t="s">
        <v>323</v>
      </c>
      <c r="D102" s="88">
        <v>231107</v>
      </c>
      <c r="G102" s="30"/>
      <c r="H102" s="30"/>
      <c r="M102" s="41"/>
      <c r="N102" s="42"/>
      <c r="P102" s="70"/>
    </row>
    <row r="103" spans="1:16" s="2" customFormat="1" x14ac:dyDescent="0.2">
      <c r="A103" s="87">
        <v>45335</v>
      </c>
      <c r="B103" s="120" t="s">
        <v>6</v>
      </c>
      <c r="C103" s="75" t="s">
        <v>271</v>
      </c>
      <c r="D103" s="88">
        <v>9126</v>
      </c>
      <c r="G103" s="30"/>
      <c r="H103" s="30"/>
      <c r="P103" s="70"/>
    </row>
    <row r="104" spans="1:16" s="2" customFormat="1" x14ac:dyDescent="0.2">
      <c r="A104" s="87">
        <v>45336</v>
      </c>
      <c r="B104" s="120" t="s">
        <v>6</v>
      </c>
      <c r="C104" s="75" t="s">
        <v>18</v>
      </c>
      <c r="D104" s="88">
        <v>1067908</v>
      </c>
      <c r="G104" s="30"/>
      <c r="H104" s="30"/>
      <c r="P104" s="70"/>
    </row>
    <row r="105" spans="1:16" s="2" customFormat="1" x14ac:dyDescent="0.2">
      <c r="A105" s="87">
        <v>45337</v>
      </c>
      <c r="B105" s="120" t="s">
        <v>6</v>
      </c>
      <c r="C105" s="75" t="s">
        <v>201</v>
      </c>
      <c r="D105" s="88">
        <v>78251</v>
      </c>
      <c r="F105" s="2" t="s">
        <v>396</v>
      </c>
      <c r="G105" s="30"/>
      <c r="H105" s="30"/>
      <c r="P105" s="70"/>
    </row>
    <row r="106" spans="1:16" s="2" customFormat="1" x14ac:dyDescent="0.2">
      <c r="A106" s="87">
        <v>45337</v>
      </c>
      <c r="B106" s="120" t="s">
        <v>6</v>
      </c>
      <c r="C106" s="75" t="s">
        <v>271</v>
      </c>
      <c r="D106" s="88">
        <v>17527</v>
      </c>
      <c r="G106" s="30"/>
      <c r="H106" s="30"/>
      <c r="P106" s="70"/>
    </row>
    <row r="107" spans="1:16" s="2" customFormat="1" x14ac:dyDescent="0.2">
      <c r="A107" s="87">
        <v>45338</v>
      </c>
      <c r="B107" s="120" t="s">
        <v>6</v>
      </c>
      <c r="C107" s="75" t="s">
        <v>1789</v>
      </c>
      <c r="D107" s="88">
        <v>1418915</v>
      </c>
      <c r="F107" s="2" t="s">
        <v>396</v>
      </c>
      <c r="G107" s="30"/>
      <c r="H107" s="30"/>
      <c r="P107" s="70"/>
    </row>
    <row r="108" spans="1:16" s="2" customFormat="1" x14ac:dyDescent="0.2">
      <c r="A108" s="87">
        <v>45338</v>
      </c>
      <c r="B108" s="120" t="s">
        <v>6</v>
      </c>
      <c r="C108" s="75" t="s">
        <v>87</v>
      </c>
      <c r="D108" s="88">
        <v>3685988</v>
      </c>
      <c r="G108" s="30"/>
      <c r="H108" s="30"/>
      <c r="P108" s="70"/>
    </row>
    <row r="109" spans="1:16" s="2" customFormat="1" x14ac:dyDescent="0.2">
      <c r="A109" s="87">
        <v>45339</v>
      </c>
      <c r="B109" s="120" t="s">
        <v>6</v>
      </c>
      <c r="C109" s="75" t="s">
        <v>271</v>
      </c>
      <c r="D109" s="88">
        <v>423618</v>
      </c>
      <c r="G109" s="30"/>
      <c r="H109" s="30"/>
      <c r="P109" s="70"/>
    </row>
    <row r="110" spans="1:16" s="2" customFormat="1" x14ac:dyDescent="0.2">
      <c r="A110" s="87">
        <v>45339</v>
      </c>
      <c r="B110" s="120" t="s">
        <v>6</v>
      </c>
      <c r="C110" s="2" t="s">
        <v>18</v>
      </c>
      <c r="D110" s="88">
        <v>875762</v>
      </c>
      <c r="G110" s="30"/>
      <c r="H110" s="30"/>
      <c r="P110" s="70"/>
    </row>
    <row r="111" spans="1:16" s="2" customFormat="1" x14ac:dyDescent="0.2">
      <c r="A111" s="87">
        <v>45341</v>
      </c>
      <c r="B111" s="120" t="s">
        <v>6</v>
      </c>
      <c r="C111" s="2" t="s">
        <v>271</v>
      </c>
      <c r="D111" s="88">
        <v>121500</v>
      </c>
      <c r="G111" s="30"/>
      <c r="H111" s="30"/>
      <c r="P111" s="70"/>
    </row>
    <row r="112" spans="1:16" s="2" customFormat="1" x14ac:dyDescent="0.2">
      <c r="A112" s="87">
        <v>45341</v>
      </c>
      <c r="B112" s="120" t="s">
        <v>6</v>
      </c>
      <c r="C112" s="75" t="s">
        <v>270</v>
      </c>
      <c r="D112" s="88">
        <v>58247.99</v>
      </c>
      <c r="G112" s="30"/>
      <c r="H112" s="30"/>
      <c r="P112" s="70"/>
    </row>
    <row r="113" spans="1:16" s="2" customFormat="1" x14ac:dyDescent="0.2">
      <c r="A113" s="87">
        <v>45341</v>
      </c>
      <c r="B113" s="120" t="s">
        <v>6</v>
      </c>
      <c r="C113" s="75" t="s">
        <v>88</v>
      </c>
      <c r="D113" s="88">
        <v>5824017.3399999999</v>
      </c>
      <c r="G113" s="30"/>
      <c r="H113" s="30"/>
      <c r="P113" s="70"/>
    </row>
    <row r="114" spans="1:16" s="2" customFormat="1" x14ac:dyDescent="0.2">
      <c r="A114" s="87">
        <v>45341</v>
      </c>
      <c r="B114" s="120" t="s">
        <v>6</v>
      </c>
      <c r="C114" s="75" t="s">
        <v>270</v>
      </c>
      <c r="D114" s="88">
        <v>164904</v>
      </c>
      <c r="G114" s="30"/>
      <c r="H114" s="30"/>
      <c r="P114" s="70"/>
    </row>
    <row r="115" spans="1:16" s="2" customFormat="1" x14ac:dyDescent="0.2">
      <c r="A115" s="87">
        <v>45342</v>
      </c>
      <c r="B115" s="120" t="s">
        <v>6</v>
      </c>
      <c r="C115" s="75" t="s">
        <v>201</v>
      </c>
      <c r="D115" s="88">
        <v>6536518</v>
      </c>
      <c r="G115" s="30"/>
      <c r="H115" s="30"/>
      <c r="P115" s="70"/>
    </row>
    <row r="116" spans="1:16" s="2" customFormat="1" x14ac:dyDescent="0.2">
      <c r="A116" s="87">
        <v>45343</v>
      </c>
      <c r="B116" s="120" t="s">
        <v>6</v>
      </c>
      <c r="C116" s="75" t="s">
        <v>84</v>
      </c>
      <c r="D116" s="88">
        <v>2997902</v>
      </c>
      <c r="G116" s="30"/>
      <c r="H116" s="30"/>
      <c r="P116" s="70"/>
    </row>
    <row r="117" spans="1:16" s="2" customFormat="1" x14ac:dyDescent="0.2">
      <c r="A117" s="87">
        <v>45343</v>
      </c>
      <c r="B117" s="120" t="s">
        <v>6</v>
      </c>
      <c r="C117" s="75" t="s">
        <v>201</v>
      </c>
      <c r="D117" s="88">
        <v>15000146.5</v>
      </c>
      <c r="G117" s="30"/>
      <c r="H117" s="30"/>
      <c r="P117" s="70"/>
    </row>
    <row r="118" spans="1:16" s="2" customFormat="1" x14ac:dyDescent="0.2">
      <c r="A118" s="87">
        <v>45343</v>
      </c>
      <c r="B118" s="120" t="s">
        <v>6</v>
      </c>
      <c r="C118" s="75" t="s">
        <v>84</v>
      </c>
      <c r="D118" s="88">
        <v>2098</v>
      </c>
      <c r="G118" s="30"/>
      <c r="H118" s="30"/>
      <c r="P118" s="70"/>
    </row>
    <row r="119" spans="1:16" s="2" customFormat="1" x14ac:dyDescent="0.2">
      <c r="A119" s="87">
        <v>45343</v>
      </c>
      <c r="B119" s="120" t="s">
        <v>6</v>
      </c>
      <c r="C119" s="75" t="s">
        <v>18</v>
      </c>
      <c r="D119" s="88">
        <v>465686</v>
      </c>
      <c r="G119" s="30"/>
      <c r="H119" s="30"/>
      <c r="P119" s="70"/>
    </row>
    <row r="120" spans="1:16" s="2" customFormat="1" x14ac:dyDescent="0.2">
      <c r="A120" s="87">
        <v>45344</v>
      </c>
      <c r="B120" s="120" t="s">
        <v>6</v>
      </c>
      <c r="C120" s="75" t="s">
        <v>86</v>
      </c>
      <c r="D120" s="88">
        <v>107495</v>
      </c>
      <c r="G120" s="30"/>
      <c r="H120" s="30"/>
      <c r="P120" s="70"/>
    </row>
    <row r="121" spans="1:16" s="2" customFormat="1" x14ac:dyDescent="0.2">
      <c r="A121" s="87">
        <v>45344</v>
      </c>
      <c r="B121" s="120" t="s">
        <v>6</v>
      </c>
      <c r="C121" s="75" t="s">
        <v>86</v>
      </c>
      <c r="D121" s="88">
        <v>4051957</v>
      </c>
      <c r="G121" s="30"/>
      <c r="H121" s="30"/>
      <c r="P121" s="70"/>
    </row>
    <row r="122" spans="1:16" s="2" customFormat="1" x14ac:dyDescent="0.2">
      <c r="A122" s="87">
        <v>45344</v>
      </c>
      <c r="B122" s="120" t="s">
        <v>6</v>
      </c>
      <c r="C122" s="75" t="s">
        <v>594</v>
      </c>
      <c r="D122" s="88">
        <v>3989745</v>
      </c>
      <c r="G122" s="30"/>
      <c r="H122" s="30"/>
      <c r="P122" s="70"/>
    </row>
    <row r="123" spans="1:16" s="2" customFormat="1" x14ac:dyDescent="0.2">
      <c r="A123" s="87">
        <v>45344</v>
      </c>
      <c r="B123" s="120" t="s">
        <v>6</v>
      </c>
      <c r="C123" s="75" t="s">
        <v>594</v>
      </c>
      <c r="D123" s="88">
        <v>2520</v>
      </c>
      <c r="G123" s="30"/>
      <c r="H123" s="30"/>
      <c r="P123" s="70"/>
    </row>
    <row r="124" spans="1:16" s="2" customFormat="1" x14ac:dyDescent="0.2">
      <c r="A124" s="87">
        <v>45345</v>
      </c>
      <c r="B124" s="120" t="s">
        <v>6</v>
      </c>
      <c r="C124" s="75" t="s">
        <v>87</v>
      </c>
      <c r="D124" s="88">
        <v>6959736</v>
      </c>
      <c r="G124" s="30"/>
      <c r="H124" s="30"/>
      <c r="P124" s="70"/>
    </row>
    <row r="125" spans="1:16" s="2" customFormat="1" x14ac:dyDescent="0.2">
      <c r="A125" s="87">
        <v>45345</v>
      </c>
      <c r="B125" s="120" t="s">
        <v>6</v>
      </c>
      <c r="C125" s="75" t="s">
        <v>271</v>
      </c>
      <c r="D125" s="88">
        <v>718415</v>
      </c>
      <c r="G125" s="30"/>
      <c r="H125" s="30"/>
      <c r="P125" s="70"/>
    </row>
    <row r="126" spans="1:16" s="2" customFormat="1" x14ac:dyDescent="0.2">
      <c r="A126" s="87">
        <v>45347</v>
      </c>
      <c r="B126" s="120" t="s">
        <v>6</v>
      </c>
      <c r="C126" s="75" t="s">
        <v>2133</v>
      </c>
      <c r="D126" s="88">
        <v>3831686</v>
      </c>
      <c r="G126" s="30"/>
      <c r="H126" s="30"/>
      <c r="P126" s="70"/>
    </row>
    <row r="127" spans="1:16" s="2" customFormat="1" x14ac:dyDescent="0.2">
      <c r="A127" s="87">
        <v>45348</v>
      </c>
      <c r="B127" s="120" t="s">
        <v>6</v>
      </c>
      <c r="C127" s="75" t="s">
        <v>271</v>
      </c>
      <c r="D127" s="88">
        <v>6830</v>
      </c>
      <c r="G127" s="30"/>
      <c r="H127" s="30"/>
      <c r="P127" s="70"/>
    </row>
    <row r="128" spans="1:16" s="2" customFormat="1" x14ac:dyDescent="0.2">
      <c r="A128" s="87">
        <v>45349</v>
      </c>
      <c r="B128" s="120" t="s">
        <v>6</v>
      </c>
      <c r="C128" s="75" t="s">
        <v>271</v>
      </c>
      <c r="D128" s="88">
        <v>756396</v>
      </c>
      <c r="G128" s="30"/>
      <c r="H128" s="30"/>
      <c r="P128" s="70"/>
    </row>
    <row r="129" spans="1:16" s="2" customFormat="1" x14ac:dyDescent="0.2">
      <c r="A129" s="87">
        <v>45349</v>
      </c>
      <c r="B129" s="120" t="s">
        <v>6</v>
      </c>
      <c r="C129" s="75" t="s">
        <v>323</v>
      </c>
      <c r="D129" s="88">
        <v>3113059</v>
      </c>
      <c r="G129" s="30"/>
      <c r="H129" s="30"/>
      <c r="P129" s="70"/>
    </row>
    <row r="130" spans="1:16" s="2" customFormat="1" x14ac:dyDescent="0.2">
      <c r="A130" s="87">
        <v>45349</v>
      </c>
      <c r="B130" s="120" t="s">
        <v>6</v>
      </c>
      <c r="C130" s="75" t="s">
        <v>1806</v>
      </c>
      <c r="D130" s="88">
        <v>5490500</v>
      </c>
      <c r="G130" s="30"/>
      <c r="H130" s="30"/>
      <c r="P130" s="70"/>
    </row>
    <row r="131" spans="1:16" s="2" customFormat="1" x14ac:dyDescent="0.2">
      <c r="A131" s="87"/>
      <c r="B131" s="74"/>
      <c r="C131" s="183" t="s">
        <v>2141</v>
      </c>
      <c r="D131" s="51">
        <f>SUM(D95:D130)</f>
        <v>72584642.829999998</v>
      </c>
      <c r="F131" s="2" t="s">
        <v>396</v>
      </c>
      <c r="G131" s="1"/>
      <c r="H131" s="1"/>
      <c r="P131" s="70"/>
    </row>
    <row r="132" spans="1:16" s="2" customFormat="1" x14ac:dyDescent="0.2">
      <c r="A132" s="24"/>
      <c r="B132" s="1"/>
      <c r="C132" s="14"/>
      <c r="D132" s="56"/>
      <c r="E132" s="13"/>
      <c r="G132" s="1"/>
      <c r="H132" s="1"/>
      <c r="I132" s="2" t="s">
        <v>396</v>
      </c>
    </row>
    <row r="133" spans="1:16" s="2" customFormat="1" x14ac:dyDescent="0.2">
      <c r="A133" s="24"/>
      <c r="B133" s="1"/>
      <c r="C133" s="218" t="s">
        <v>77</v>
      </c>
      <c r="D133" s="219"/>
      <c r="E133" s="219"/>
      <c r="F133" s="220"/>
      <c r="I133" s="2" t="s">
        <v>396</v>
      </c>
    </row>
    <row r="134" spans="1:16" s="2" customFormat="1" x14ac:dyDescent="0.2">
      <c r="A134" s="24"/>
      <c r="B134" s="1"/>
      <c r="C134" s="50"/>
      <c r="D134" s="57" t="s">
        <v>78</v>
      </c>
      <c r="E134" s="58" t="s">
        <v>79</v>
      </c>
      <c r="F134" s="57" t="s">
        <v>72</v>
      </c>
    </row>
    <row r="135" spans="1:16" s="2" customFormat="1" x14ac:dyDescent="0.2">
      <c r="A135" s="24"/>
      <c r="B135" s="1"/>
      <c r="C135" s="59" t="str">
        <f>"01-02-2024 to "&amp;TEXT(A5-2,"dd-mm-yyyy")</f>
        <v>01-02-2024 to 26-02-2024</v>
      </c>
      <c r="D135" s="60">
        <v>3146.47</v>
      </c>
      <c r="E135" s="60">
        <v>594.4</v>
      </c>
      <c r="F135" s="61">
        <f>SUM(D135:E135)</f>
        <v>3740.87</v>
      </c>
      <c r="I135" s="53"/>
    </row>
    <row r="136" spans="1:16" s="2" customFormat="1" x14ac:dyDescent="0.2">
      <c r="A136" s="24"/>
      <c r="B136" s="1"/>
      <c r="C136" s="62" t="str">
        <f>TEXT(A5-1,"dd-mm-yyyy")</f>
        <v>27-02-2024</v>
      </c>
      <c r="D136" s="60">
        <v>177.35</v>
      </c>
      <c r="E136" s="60">
        <v>32.22</v>
      </c>
      <c r="F136" s="61">
        <f>SUM(D136:E136)</f>
        <v>209.57</v>
      </c>
      <c r="G136" s="1"/>
      <c r="H136" s="1"/>
      <c r="I136" s="53"/>
    </row>
    <row r="137" spans="1:16" s="2" customFormat="1" ht="13.5" thickBot="1" x14ac:dyDescent="0.25">
      <c r="A137" s="24"/>
      <c r="B137" s="1"/>
      <c r="C137" s="63" t="str">
        <f>"01-02-2024 to "&amp;TEXT(A5-1,"dd-mm-yyyy")</f>
        <v>01-02-2024 to 27-02-2024</v>
      </c>
      <c r="D137" s="64">
        <f>SUM(D135:D136)</f>
        <v>3323.8199999999997</v>
      </c>
      <c r="E137" s="64">
        <f>SUM(E135:E136)</f>
        <v>626.62</v>
      </c>
      <c r="F137" s="64">
        <f>SUM(F135:F136)</f>
        <v>3950.44</v>
      </c>
      <c r="G137" s="1"/>
      <c r="H137" s="1"/>
      <c r="M137" s="1"/>
      <c r="N137" s="1"/>
    </row>
    <row r="138" spans="1:16" s="2" customFormat="1" ht="13.5" thickTop="1" x14ac:dyDescent="0.2">
      <c r="A138" s="24"/>
      <c r="B138" s="1"/>
      <c r="C138" s="62"/>
      <c r="D138" s="65"/>
      <c r="E138" s="66"/>
      <c r="F138" s="67"/>
      <c r="M138" s="1"/>
      <c r="N138" s="1"/>
    </row>
    <row r="139" spans="1:16" s="2" customFormat="1" x14ac:dyDescent="0.2">
      <c r="A139" s="24"/>
      <c r="B139" s="1"/>
      <c r="C139" s="62" t="str">
        <f>"01-04-2023 to " &amp;C136</f>
        <v>01-04-2023 to 27-02-2024</v>
      </c>
      <c r="D139" s="68">
        <f>+D137+37155.6</f>
        <v>40479.42</v>
      </c>
      <c r="E139" s="68">
        <f>+E137+4502.26</f>
        <v>5128.88</v>
      </c>
      <c r="F139" s="68">
        <f>+F137+41657.86</f>
        <v>45608.3</v>
      </c>
      <c r="G139" s="1"/>
      <c r="H139" s="1"/>
      <c r="M139" s="1"/>
      <c r="N139" s="1"/>
    </row>
    <row r="140" spans="1:16" s="2" customFormat="1" x14ac:dyDescent="0.2">
      <c r="A140" s="24"/>
      <c r="B140" s="1"/>
      <c r="C140" s="52"/>
      <c r="D140" s="85"/>
      <c r="E140" s="53"/>
      <c r="F140" s="53"/>
      <c r="G140" s="1"/>
      <c r="H140" s="1"/>
      <c r="M140" s="1"/>
      <c r="N140" s="1"/>
    </row>
    <row r="141" spans="1:16" s="2" customFormat="1" x14ac:dyDescent="0.2">
      <c r="A141" s="24"/>
      <c r="B141" s="1"/>
      <c r="C141" s="52"/>
      <c r="D141" s="85"/>
      <c r="E141" s="53"/>
      <c r="F141" s="53"/>
      <c r="G141" s="1"/>
      <c r="H141" s="1"/>
      <c r="M141" s="1"/>
      <c r="N141" s="1"/>
    </row>
    <row r="142" spans="1:16" s="2" customFormat="1" x14ac:dyDescent="0.2">
      <c r="A142" s="24"/>
      <c r="B142" s="1"/>
      <c r="C142" s="52"/>
      <c r="D142" s="85"/>
      <c r="E142" s="53"/>
      <c r="F142" s="53"/>
      <c r="G142" s="1"/>
      <c r="H142" s="1"/>
      <c r="M142" s="1"/>
      <c r="N142" s="1"/>
    </row>
    <row r="143" spans="1:16" s="2" customFormat="1" x14ac:dyDescent="0.2">
      <c r="A143" s="24"/>
      <c r="B143" s="1"/>
      <c r="C143" s="52"/>
      <c r="D143" s="85"/>
      <c r="E143" s="53"/>
      <c r="F143" s="53"/>
      <c r="G143" s="1"/>
      <c r="H143" s="1"/>
      <c r="M143" s="1"/>
      <c r="N143" s="1"/>
    </row>
    <row r="144" spans="1:16" s="2" customFormat="1" x14ac:dyDescent="0.2">
      <c r="A144" s="24"/>
      <c r="B144" s="1"/>
      <c r="C144" s="14"/>
      <c r="D144" s="25">
        <f>SUM(D141:D143)</f>
        <v>0</v>
      </c>
      <c r="E144" s="2">
        <f>SUM(E141:E143)</f>
        <v>0</v>
      </c>
      <c r="G144" s="1"/>
      <c r="H144" s="1"/>
      <c r="M144" s="1"/>
      <c r="N144" s="1"/>
    </row>
    <row r="145" spans="1:19" s="2" customFormat="1" x14ac:dyDescent="0.2">
      <c r="A145" s="24"/>
      <c r="B145" s="1"/>
      <c r="C145" s="14"/>
      <c r="D145" s="25"/>
      <c r="G145" s="1"/>
      <c r="H145" s="1"/>
      <c r="M145" s="1"/>
      <c r="N145" s="1"/>
    </row>
    <row r="146" spans="1:19" s="2" customFormat="1" x14ac:dyDescent="0.2">
      <c r="A146" s="24"/>
      <c r="B146" s="1"/>
      <c r="C146" s="14"/>
      <c r="D146" s="25"/>
      <c r="G146" s="1"/>
      <c r="H146" s="1"/>
      <c r="M146" s="1"/>
      <c r="N146" s="1"/>
    </row>
    <row r="147" spans="1:19" s="2" customFormat="1" x14ac:dyDescent="0.2">
      <c r="A147" s="24"/>
      <c r="B147" s="1"/>
      <c r="C147" s="14"/>
      <c r="D147" s="25"/>
      <c r="G147" s="1"/>
      <c r="H147" s="1"/>
      <c r="M147" s="1"/>
      <c r="N147" s="1"/>
    </row>
    <row r="148" spans="1:19" s="2" customFormat="1" x14ac:dyDescent="0.2">
      <c r="A148" s="24"/>
      <c r="B148" s="1"/>
      <c r="C148" s="14"/>
      <c r="D148" s="25"/>
      <c r="G148" s="1"/>
      <c r="H148" s="1"/>
      <c r="M148" s="1"/>
      <c r="N148" s="1"/>
    </row>
    <row r="149" spans="1:19" s="2" customFormat="1" x14ac:dyDescent="0.2">
      <c r="A149" s="24"/>
      <c r="B149" s="1"/>
      <c r="C149" s="14"/>
      <c r="D149" s="25"/>
      <c r="G149" s="1"/>
      <c r="H149" s="1"/>
      <c r="M149" s="1"/>
      <c r="N149" s="1"/>
    </row>
    <row r="150" spans="1:19" s="2" customFormat="1" x14ac:dyDescent="0.2">
      <c r="A150" s="24"/>
      <c r="B150" s="1"/>
      <c r="C150" s="14"/>
      <c r="D150" s="25"/>
      <c r="G150" s="1"/>
      <c r="H150" s="1"/>
      <c r="M150" s="1"/>
      <c r="N150" s="1"/>
    </row>
    <row r="151" spans="1:19" s="2" customFormat="1" x14ac:dyDescent="0.2">
      <c r="A151" s="24"/>
      <c r="B151" s="1"/>
      <c r="C151" s="14"/>
      <c r="D151" s="25"/>
      <c r="G151" s="1"/>
      <c r="H151" s="1"/>
      <c r="M151" s="1"/>
      <c r="N151" s="1"/>
      <c r="Q151" s="1"/>
      <c r="R151" s="1"/>
      <c r="S151" s="1"/>
    </row>
    <row r="152" spans="1:19" x14ac:dyDescent="0.2">
      <c r="J152" s="2"/>
      <c r="K152" s="2"/>
      <c r="L152" s="2"/>
      <c r="O152" s="2"/>
      <c r="P152" s="2"/>
      <c r="Q152" s="2"/>
      <c r="R152" s="2"/>
      <c r="S152" s="2"/>
    </row>
    <row r="153" spans="1:19" s="2" customFormat="1" x14ac:dyDescent="0.2">
      <c r="A153" s="24"/>
      <c r="B153" s="1"/>
      <c r="C153" s="14"/>
      <c r="D153" s="25"/>
      <c r="G153" s="1"/>
      <c r="H153" s="1"/>
      <c r="M153" s="1"/>
      <c r="N153" s="1"/>
      <c r="Q153" s="1"/>
      <c r="R153" s="1"/>
      <c r="S153" s="1"/>
    </row>
    <row r="154" spans="1:19" x14ac:dyDescent="0.2">
      <c r="J154" s="2"/>
      <c r="K154" s="2"/>
      <c r="L154" s="2"/>
      <c r="O154" s="2"/>
      <c r="P154" s="2"/>
    </row>
    <row r="155" spans="1:19" x14ac:dyDescent="0.2">
      <c r="J155" s="2"/>
      <c r="K155" s="2"/>
      <c r="L155" s="2"/>
      <c r="O155" s="2"/>
      <c r="P155" s="2"/>
    </row>
    <row r="156" spans="1:19" x14ac:dyDescent="0.2">
      <c r="J156" s="2"/>
      <c r="K156" s="2"/>
      <c r="L156" s="2"/>
      <c r="O156" s="2"/>
      <c r="P156" s="2"/>
    </row>
    <row r="157" spans="1:19" x14ac:dyDescent="0.2">
      <c r="J157" s="2"/>
      <c r="K157" s="2"/>
      <c r="L157" s="2"/>
      <c r="O157" s="2"/>
      <c r="P157" s="2"/>
    </row>
    <row r="158" spans="1:19" x14ac:dyDescent="0.2">
      <c r="O158" s="2"/>
      <c r="P158" s="2"/>
    </row>
    <row r="159" spans="1:19" x14ac:dyDescent="0.2">
      <c r="J159" s="2"/>
      <c r="K159" s="2"/>
      <c r="L159" s="2"/>
      <c r="M159" s="2"/>
      <c r="N159" s="2"/>
      <c r="O159" s="2"/>
      <c r="P159" s="2"/>
    </row>
    <row r="160" spans="1:19" x14ac:dyDescent="0.2">
      <c r="O160" s="2"/>
      <c r="P160" s="2"/>
    </row>
    <row r="161" spans="7:16" x14ac:dyDescent="0.2">
      <c r="G161" s="54"/>
      <c r="H161" s="54"/>
      <c r="O161" s="2"/>
      <c r="P161" s="2"/>
    </row>
    <row r="162" spans="7:16" x14ac:dyDescent="0.2">
      <c r="G162" s="54"/>
      <c r="H162" s="54"/>
      <c r="O162" s="2"/>
      <c r="P162" s="2"/>
    </row>
    <row r="163" spans="7:16" x14ac:dyDescent="0.2">
      <c r="G163" s="54"/>
      <c r="H163" s="54"/>
      <c r="O163" s="2"/>
      <c r="P163" s="2"/>
    </row>
    <row r="164" spans="7:16" x14ac:dyDescent="0.2">
      <c r="G164" s="54"/>
      <c r="H164" s="54"/>
      <c r="I164" s="2" t="s">
        <v>396</v>
      </c>
      <c r="O164" s="2"/>
      <c r="P164" s="2"/>
    </row>
    <row r="165" spans="7:16" x14ac:dyDescent="0.2">
      <c r="G165" s="54"/>
      <c r="H165" s="54"/>
      <c r="I165" s="53"/>
      <c r="J165" s="2"/>
      <c r="K165" s="2"/>
      <c r="L165" s="2"/>
      <c r="M165" s="2"/>
      <c r="N165" s="2"/>
      <c r="P165" s="2"/>
    </row>
    <row r="166" spans="7:16" x14ac:dyDescent="0.2">
      <c r="G166" s="54"/>
      <c r="H166" s="54"/>
      <c r="I166" s="53" t="s">
        <v>396</v>
      </c>
      <c r="O166" s="2"/>
      <c r="P166" s="2"/>
    </row>
    <row r="167" spans="7:16" x14ac:dyDescent="0.2">
      <c r="G167" s="54"/>
      <c r="H167" s="54"/>
      <c r="I167" s="53" t="s">
        <v>396</v>
      </c>
      <c r="K167" s="42"/>
      <c r="P167" s="2"/>
    </row>
    <row r="168" spans="7:16" x14ac:dyDescent="0.2">
      <c r="G168" s="54"/>
      <c r="H168" s="54"/>
      <c r="I168" s="53"/>
      <c r="J168" s="101"/>
      <c r="P168" s="2"/>
    </row>
    <row r="169" spans="7:16" x14ac:dyDescent="0.2">
      <c r="G169" s="54"/>
      <c r="H169" s="54"/>
      <c r="I169" s="53"/>
    </row>
    <row r="170" spans="7:16" x14ac:dyDescent="0.2">
      <c r="G170" s="54"/>
      <c r="H170" s="54"/>
      <c r="I170" s="53"/>
      <c r="P170" s="2"/>
    </row>
    <row r="171" spans="7:16" x14ac:dyDescent="0.2">
      <c r="G171" s="54"/>
      <c r="H171" s="54"/>
      <c r="I171" s="53"/>
    </row>
  </sheetData>
  <sheetProtection insertRows="0"/>
  <mergeCells count="8">
    <mergeCell ref="K86:L86"/>
    <mergeCell ref="A93:D93"/>
    <mergeCell ref="C133:F133"/>
    <mergeCell ref="A1:H1"/>
    <mergeCell ref="A3:F3"/>
    <mergeCell ref="A9:F9"/>
    <mergeCell ref="A26:F26"/>
    <mergeCell ref="A38:F38"/>
  </mergeCells>
  <conditionalFormatting sqref="H90:H91">
    <cfRule type="cellIs" dxfId="51" priority="1" operator="lessThan">
      <formula>0</formula>
    </cfRule>
  </conditionalFormatting>
  <conditionalFormatting sqref="C40">
    <cfRule type="duplicateValues" dxfId="50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1-000000000000}">
  <sheetPr codeName="Sheet561">
    <pageSetUpPr fitToPage="1"/>
  </sheetPr>
  <dimension ref="A1:S177"/>
  <sheetViews>
    <sheetView topLeftCell="A40" zoomScaleNormal="100" workbookViewId="0">
      <selection activeCell="F41" sqref="F41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12.85546875" style="1" customWidth="1"/>
    <col min="9" max="9" width="24.85546875" style="2" bestFit="1" customWidth="1"/>
    <col min="10" max="10" width="21.5703125" style="1" bestFit="1" customWidth="1"/>
    <col min="11" max="11" width="16.85546875" style="1" bestFit="1" customWidth="1"/>
    <col min="12" max="12" width="19.5703125" style="1" bestFit="1" customWidth="1"/>
    <col min="13" max="13" width="13.5703125" style="1" bestFit="1" customWidth="1"/>
    <col min="14" max="14" width="17.42578125" style="1" bestFit="1" customWidth="1"/>
    <col min="15" max="15" width="12.85546875" style="1" bestFit="1" customWidth="1"/>
    <col min="16" max="17" width="9.140625" style="1"/>
    <col min="18" max="18" width="15.5703125" style="1" bestFit="1" customWidth="1"/>
    <col min="19" max="16384" width="9.140625" style="1"/>
  </cols>
  <sheetData>
    <row r="1" spans="1:11" ht="20.25" customHeight="1" x14ac:dyDescent="0.4">
      <c r="A1" s="212" t="s">
        <v>2147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1" ht="12.75" customHeight="1" x14ac:dyDescent="0.4">
      <c r="I2" s="112"/>
      <c r="J2" s="112"/>
    </row>
    <row r="3" spans="1:11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1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1" s="2" customFormat="1" ht="14.25" customHeight="1" x14ac:dyDescent="0.4">
      <c r="A5" s="89">
        <v>45351</v>
      </c>
      <c r="B5" s="9" t="s">
        <v>6</v>
      </c>
      <c r="C5" s="10" t="s">
        <v>7</v>
      </c>
      <c r="D5" s="11"/>
      <c r="E5" s="12">
        <v>322570.6800000004</v>
      </c>
      <c r="F5" s="12"/>
      <c r="G5" s="1"/>
      <c r="H5" s="1"/>
      <c r="I5" s="112"/>
      <c r="J5" s="112"/>
    </row>
    <row r="6" spans="1:11" s="2" customFormat="1" ht="12.75" customHeight="1" x14ac:dyDescent="0.2">
      <c r="D6" s="15" t="s">
        <v>8</v>
      </c>
      <c r="E6" s="16">
        <f>SUM(E5:E5)</f>
        <v>322570.6800000004</v>
      </c>
      <c r="F6" s="16">
        <f>F5</f>
        <v>0</v>
      </c>
      <c r="G6" s="1"/>
      <c r="H6" s="1"/>
      <c r="I6" s="13" t="s">
        <v>1582</v>
      </c>
      <c r="J6" s="13" t="s">
        <v>1583</v>
      </c>
    </row>
    <row r="7" spans="1:11" s="2" customFormat="1" ht="12.75" customHeight="1" x14ac:dyDescent="0.2">
      <c r="A7" s="17"/>
      <c r="B7" s="18"/>
      <c r="C7" s="19" t="s">
        <v>9</v>
      </c>
      <c r="D7" s="20"/>
      <c r="E7" s="21">
        <f>+E6-F6</f>
        <v>322570.6800000004</v>
      </c>
      <c r="F7" s="22"/>
      <c r="G7" s="23"/>
      <c r="H7" s="23"/>
      <c r="I7" s="2">
        <v>1992357</v>
      </c>
      <c r="J7" s="2">
        <v>0</v>
      </c>
      <c r="K7" s="176">
        <f>I7-J7</f>
        <v>1992357</v>
      </c>
    </row>
    <row r="8" spans="1:11" ht="11.25" customHeight="1" x14ac:dyDescent="0.4">
      <c r="I8" s="112"/>
      <c r="J8" s="112"/>
    </row>
    <row r="9" spans="1:11" ht="18" customHeight="1" x14ac:dyDescent="0.4">
      <c r="A9" s="213" t="s">
        <v>2103</v>
      </c>
      <c r="B9" s="213"/>
      <c r="C9" s="213"/>
      <c r="D9" s="213"/>
      <c r="E9" s="213"/>
      <c r="F9" s="213"/>
      <c r="I9" s="112"/>
      <c r="J9" s="112"/>
    </row>
    <row r="10" spans="1:11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I10" s="112"/>
      <c r="J10" s="112"/>
    </row>
    <row r="11" spans="1:11" ht="12.75" customHeight="1" x14ac:dyDescent="0.4">
      <c r="A11" s="89">
        <v>45351</v>
      </c>
      <c r="B11" s="9" t="s">
        <v>6</v>
      </c>
      <c r="C11" s="10" t="s">
        <v>7</v>
      </c>
      <c r="D11" s="11"/>
      <c r="E11" s="12">
        <v>8748728.0299999993</v>
      </c>
      <c r="F11" s="1"/>
      <c r="I11" s="112"/>
      <c r="J11" s="112"/>
    </row>
    <row r="12" spans="1:11" ht="12.75" customHeight="1" x14ac:dyDescent="0.4">
      <c r="A12" s="89">
        <v>45351</v>
      </c>
      <c r="B12" s="9" t="s">
        <v>6</v>
      </c>
      <c r="C12" s="76" t="s">
        <v>93</v>
      </c>
      <c r="D12" s="11" t="s">
        <v>13</v>
      </c>
      <c r="E12" s="31">
        <v>1992357</v>
      </c>
      <c r="F12" s="31"/>
      <c r="I12" s="112"/>
      <c r="J12" s="112"/>
    </row>
    <row r="13" spans="1:11" ht="12.75" customHeight="1" x14ac:dyDescent="0.4">
      <c r="A13" s="89">
        <v>45351</v>
      </c>
      <c r="B13" s="9" t="s">
        <v>11</v>
      </c>
      <c r="C13" s="76" t="s">
        <v>422</v>
      </c>
      <c r="D13" s="11" t="s">
        <v>29</v>
      </c>
      <c r="E13" s="31"/>
      <c r="F13" s="31">
        <v>500000</v>
      </c>
      <c r="I13" s="112"/>
      <c r="J13" s="112"/>
    </row>
    <row r="14" spans="1:11" ht="12.75" customHeight="1" x14ac:dyDescent="0.4">
      <c r="A14" s="89">
        <v>45351</v>
      </c>
      <c r="B14" s="9" t="s">
        <v>11</v>
      </c>
      <c r="C14" s="76" t="s">
        <v>1641</v>
      </c>
      <c r="D14" s="11" t="s">
        <v>29</v>
      </c>
      <c r="E14" s="31"/>
      <c r="F14" s="31">
        <v>59708</v>
      </c>
      <c r="I14" s="112"/>
      <c r="J14" s="112"/>
    </row>
    <row r="15" spans="1:11" ht="12.75" customHeight="1" x14ac:dyDescent="0.4">
      <c r="A15" s="89">
        <v>45351</v>
      </c>
      <c r="B15" s="9" t="s">
        <v>11</v>
      </c>
      <c r="C15" s="76" t="s">
        <v>736</v>
      </c>
      <c r="D15" s="11" t="s">
        <v>29</v>
      </c>
      <c r="E15" s="31"/>
      <c r="F15" s="31">
        <v>30680</v>
      </c>
      <c r="I15" s="112"/>
      <c r="J15" s="112"/>
    </row>
    <row r="16" spans="1:11" ht="12.75" customHeight="1" x14ac:dyDescent="0.4">
      <c r="A16" s="89">
        <v>45351</v>
      </c>
      <c r="B16" s="9" t="s">
        <v>11</v>
      </c>
      <c r="C16" s="76" t="s">
        <v>2148</v>
      </c>
      <c r="D16" s="11" t="s">
        <v>29</v>
      </c>
      <c r="E16" s="31"/>
      <c r="F16" s="31">
        <v>9894</v>
      </c>
      <c r="I16" s="112"/>
      <c r="J16" s="112"/>
    </row>
    <row r="17" spans="1:11" ht="12.75" customHeight="1" x14ac:dyDescent="0.4">
      <c r="A17" s="89">
        <v>45351</v>
      </c>
      <c r="B17" s="9" t="s">
        <v>11</v>
      </c>
      <c r="C17" s="76" t="s">
        <v>415</v>
      </c>
      <c r="D17" s="11" t="s">
        <v>29</v>
      </c>
      <c r="E17" s="31"/>
      <c r="F17" s="31">
        <v>4838</v>
      </c>
      <c r="I17" s="112"/>
      <c r="J17" s="112"/>
    </row>
    <row r="18" spans="1:11" ht="12.75" customHeight="1" x14ac:dyDescent="0.4">
      <c r="A18" s="89">
        <v>45351</v>
      </c>
      <c r="B18" s="9" t="s">
        <v>11</v>
      </c>
      <c r="C18" s="76" t="s">
        <v>63</v>
      </c>
      <c r="D18" s="11" t="s">
        <v>29</v>
      </c>
      <c r="E18" s="31"/>
      <c r="F18" s="31">
        <v>3500000</v>
      </c>
      <c r="I18" s="112"/>
      <c r="J18" s="112"/>
    </row>
    <row r="19" spans="1:11" ht="12.75" customHeight="1" x14ac:dyDescent="0.4">
      <c r="A19" s="89">
        <v>45351</v>
      </c>
      <c r="B19" s="9" t="s">
        <v>11</v>
      </c>
      <c r="C19" s="76" t="s">
        <v>1131</v>
      </c>
      <c r="D19" s="11" t="s">
        <v>29</v>
      </c>
      <c r="E19" s="31"/>
      <c r="F19" s="31">
        <v>997873</v>
      </c>
      <c r="I19" s="112"/>
      <c r="J19" s="112"/>
    </row>
    <row r="20" spans="1:11" ht="12.75" customHeight="1" x14ac:dyDescent="0.4">
      <c r="A20" s="89">
        <v>45351</v>
      </c>
      <c r="B20" s="9" t="s">
        <v>11</v>
      </c>
      <c r="C20" s="76" t="s">
        <v>193</v>
      </c>
      <c r="D20" s="11" t="s">
        <v>29</v>
      </c>
      <c r="E20" s="31"/>
      <c r="F20" s="31">
        <v>962668</v>
      </c>
      <c r="I20" s="112"/>
      <c r="J20" s="112"/>
    </row>
    <row r="21" spans="1:11" ht="12.75" customHeight="1" x14ac:dyDescent="0.4">
      <c r="A21" s="89">
        <v>45351</v>
      </c>
      <c r="B21" s="9" t="s">
        <v>11</v>
      </c>
      <c r="C21" s="76" t="s">
        <v>300</v>
      </c>
      <c r="D21" s="11" t="s">
        <v>29</v>
      </c>
      <c r="E21" s="31"/>
      <c r="F21" s="31">
        <v>545821</v>
      </c>
      <c r="I21" s="112"/>
      <c r="J21" s="112"/>
    </row>
    <row r="22" spans="1:11" ht="12.75" customHeight="1" x14ac:dyDescent="0.4">
      <c r="A22" s="89">
        <v>45351</v>
      </c>
      <c r="B22" s="9" t="s">
        <v>11</v>
      </c>
      <c r="C22" s="76" t="s">
        <v>790</v>
      </c>
      <c r="D22" s="11" t="s">
        <v>29</v>
      </c>
      <c r="E22" s="31"/>
      <c r="F22" s="31">
        <v>704786</v>
      </c>
      <c r="I22" s="112"/>
      <c r="J22" s="112"/>
    </row>
    <row r="23" spans="1:11" ht="12.75" customHeight="1" x14ac:dyDescent="0.4">
      <c r="A23" s="89">
        <v>45351</v>
      </c>
      <c r="B23" s="9" t="s">
        <v>11</v>
      </c>
      <c r="C23" s="76" t="s">
        <v>849</v>
      </c>
      <c r="D23" s="11" t="s">
        <v>29</v>
      </c>
      <c r="E23" s="31"/>
      <c r="F23" s="31">
        <v>100474</v>
      </c>
      <c r="I23" s="112"/>
      <c r="J23" s="112"/>
    </row>
    <row r="24" spans="1:11" ht="12.75" customHeight="1" x14ac:dyDescent="0.4">
      <c r="A24" s="89">
        <v>45351</v>
      </c>
      <c r="B24" s="9" t="s">
        <v>11</v>
      </c>
      <c r="C24" s="76" t="s">
        <v>56</v>
      </c>
      <c r="D24" s="11" t="s">
        <v>29</v>
      </c>
      <c r="E24" s="31"/>
      <c r="F24" s="31">
        <v>500867</v>
      </c>
      <c r="I24" s="112"/>
      <c r="J24" s="112"/>
    </row>
    <row r="25" spans="1:11" ht="12.75" customHeight="1" x14ac:dyDescent="0.4">
      <c r="A25" s="89">
        <v>45351</v>
      </c>
      <c r="B25" s="9" t="s">
        <v>11</v>
      </c>
      <c r="C25" s="76" t="s">
        <v>2021</v>
      </c>
      <c r="D25" s="11" t="s">
        <v>29</v>
      </c>
      <c r="E25" s="31"/>
      <c r="F25" s="31">
        <v>286832</v>
      </c>
      <c r="I25" s="112"/>
      <c r="J25" s="112"/>
    </row>
    <row r="26" spans="1:11" ht="12.75" customHeight="1" x14ac:dyDescent="0.4">
      <c r="A26" s="89">
        <v>45351</v>
      </c>
      <c r="B26" s="9" t="s">
        <v>11</v>
      </c>
      <c r="C26" s="76" t="s">
        <v>1140</v>
      </c>
      <c r="D26" s="11" t="s">
        <v>29</v>
      </c>
      <c r="E26" s="31"/>
      <c r="F26" s="31">
        <v>111888</v>
      </c>
      <c r="I26" s="112"/>
      <c r="J26" s="112"/>
    </row>
    <row r="27" spans="1:11" ht="12.75" customHeight="1" x14ac:dyDescent="0.4">
      <c r="A27" s="89">
        <v>45351</v>
      </c>
      <c r="B27" s="9" t="s">
        <v>11</v>
      </c>
      <c r="C27" s="76" t="s">
        <v>696</v>
      </c>
      <c r="D27" s="11" t="s">
        <v>29</v>
      </c>
      <c r="E27" s="31"/>
      <c r="F27" s="31">
        <v>94184</v>
      </c>
      <c r="I27" s="112"/>
      <c r="J27" s="112"/>
    </row>
    <row r="28" spans="1:11" ht="12.75" customHeight="1" x14ac:dyDescent="0.4">
      <c r="A28" s="89">
        <v>45351</v>
      </c>
      <c r="B28" s="9" t="s">
        <v>11</v>
      </c>
      <c r="C28" s="76" t="s">
        <v>2149</v>
      </c>
      <c r="D28" s="11" t="s">
        <v>29</v>
      </c>
      <c r="E28" s="31"/>
      <c r="F28" s="31">
        <v>295000</v>
      </c>
      <c r="I28" s="112"/>
      <c r="J28" s="112"/>
    </row>
    <row r="29" spans="1:11" ht="12.75" customHeight="1" x14ac:dyDescent="0.2">
      <c r="A29" s="2"/>
      <c r="B29" s="2"/>
      <c r="C29" s="2"/>
      <c r="D29" s="11" t="s">
        <v>8</v>
      </c>
      <c r="E29" s="16">
        <f>SUM(E11:E28)</f>
        <v>10741085.029999999</v>
      </c>
      <c r="F29" s="16">
        <f>SUM(F11:F28)</f>
        <v>8705513</v>
      </c>
      <c r="I29" s="13" t="s">
        <v>1582</v>
      </c>
      <c r="J29" s="13" t="s">
        <v>1583</v>
      </c>
    </row>
    <row r="30" spans="1:11" ht="17.25" customHeight="1" x14ac:dyDescent="0.2">
      <c r="A30" s="17"/>
      <c r="B30" s="18"/>
      <c r="C30" s="19" t="s">
        <v>9</v>
      </c>
      <c r="D30" s="20"/>
      <c r="E30" s="21">
        <f>+E29-F29</f>
        <v>2035572.0299999993</v>
      </c>
      <c r="I30" s="2">
        <v>0</v>
      </c>
      <c r="J30" s="2">
        <v>0</v>
      </c>
    </row>
    <row r="31" spans="1:11" ht="18" customHeight="1" x14ac:dyDescent="0.25">
      <c r="A31" s="36"/>
      <c r="B31" s="28"/>
      <c r="C31" s="44"/>
      <c r="D31" s="43"/>
      <c r="E31" s="38"/>
      <c r="F31" s="22"/>
      <c r="J31" s="2"/>
    </row>
    <row r="32" spans="1:11" ht="18" customHeight="1" x14ac:dyDescent="0.4">
      <c r="A32" s="213" t="s">
        <v>2104</v>
      </c>
      <c r="B32" s="213"/>
      <c r="C32" s="213"/>
      <c r="D32" s="213"/>
      <c r="E32" s="213"/>
      <c r="F32" s="213"/>
      <c r="I32" s="112"/>
      <c r="J32" s="169">
        <f>90000000-60000000</f>
        <v>30000000</v>
      </c>
      <c r="K32" s="169" t="s">
        <v>1508</v>
      </c>
    </row>
    <row r="33" spans="1:12" ht="12.75" customHeight="1" x14ac:dyDescent="0.4">
      <c r="A33" s="3" t="s">
        <v>1</v>
      </c>
      <c r="B33" s="4" t="s">
        <v>2</v>
      </c>
      <c r="C33" s="5"/>
      <c r="D33" s="6" t="s">
        <v>3</v>
      </c>
      <c r="E33" s="7" t="s">
        <v>4</v>
      </c>
      <c r="F33" s="7" t="s">
        <v>5</v>
      </c>
      <c r="I33" s="112"/>
      <c r="J33" s="169">
        <v>25517006.16</v>
      </c>
      <c r="K33" s="169" t="s">
        <v>1509</v>
      </c>
      <c r="L33" s="124"/>
    </row>
    <row r="34" spans="1:12" s="2" customFormat="1" ht="14.25" customHeight="1" x14ac:dyDescent="0.2">
      <c r="A34" s="89">
        <v>45351</v>
      </c>
      <c r="B34" s="9" t="s">
        <v>6</v>
      </c>
      <c r="C34" s="10" t="s">
        <v>7</v>
      </c>
      <c r="D34" s="11"/>
      <c r="F34" s="12">
        <v>20642862.900000002</v>
      </c>
      <c r="G34" s="1"/>
      <c r="H34" s="1"/>
      <c r="I34" s="130" t="s">
        <v>396</v>
      </c>
      <c r="J34" s="169">
        <f>+J32-J33</f>
        <v>4482993.84</v>
      </c>
      <c r="K34" s="169" t="s">
        <v>712</v>
      </c>
      <c r="L34" s="165" t="s">
        <v>1512</v>
      </c>
    </row>
    <row r="35" spans="1:12" s="2" customFormat="1" ht="14.25" customHeight="1" x14ac:dyDescent="0.2">
      <c r="A35" s="89">
        <v>45351</v>
      </c>
      <c r="B35" s="9" t="s">
        <v>6</v>
      </c>
      <c r="C35" s="76" t="s">
        <v>1002</v>
      </c>
      <c r="D35" s="11" t="s">
        <v>13</v>
      </c>
      <c r="E35" s="31">
        <v>3369445.64</v>
      </c>
      <c r="F35" s="12"/>
      <c r="G35" s="1"/>
      <c r="H35" s="1"/>
      <c r="I35" s="130"/>
      <c r="J35" s="169"/>
      <c r="K35" s="169"/>
      <c r="L35" s="165"/>
    </row>
    <row r="36" spans="1:12" s="2" customFormat="1" ht="14.25" customHeight="1" x14ac:dyDescent="0.2">
      <c r="A36" s="89">
        <v>45351</v>
      </c>
      <c r="B36" s="9" t="s">
        <v>11</v>
      </c>
      <c r="C36" s="76" t="s">
        <v>1137</v>
      </c>
      <c r="D36" s="11" t="s">
        <v>29</v>
      </c>
      <c r="F36" s="31">
        <v>4012.5</v>
      </c>
      <c r="G36" s="1"/>
      <c r="H36" s="1"/>
      <c r="I36" s="130"/>
      <c r="J36" s="169"/>
      <c r="K36" s="169"/>
      <c r="L36" s="165"/>
    </row>
    <row r="37" spans="1:12" s="2" customFormat="1" ht="14.25" customHeight="1" x14ac:dyDescent="0.2">
      <c r="A37" s="89">
        <v>45351</v>
      </c>
      <c r="B37" s="9" t="s">
        <v>11</v>
      </c>
      <c r="C37" s="76" t="s">
        <v>2150</v>
      </c>
      <c r="D37" s="11" t="s">
        <v>29</v>
      </c>
      <c r="F37" s="31">
        <v>1542295</v>
      </c>
      <c r="G37" s="1"/>
      <c r="H37" s="1"/>
      <c r="I37" s="130"/>
      <c r="J37" s="169"/>
      <c r="K37" s="169"/>
      <c r="L37" s="165"/>
    </row>
    <row r="38" spans="1:12" s="2" customFormat="1" ht="14.25" customHeight="1" x14ac:dyDescent="0.2">
      <c r="A38" s="89">
        <v>45351</v>
      </c>
      <c r="B38" s="9" t="s">
        <v>11</v>
      </c>
      <c r="C38" s="76" t="s">
        <v>442</v>
      </c>
      <c r="D38" s="11" t="s">
        <v>29</v>
      </c>
      <c r="F38" s="31">
        <v>565750</v>
      </c>
      <c r="G38" s="1"/>
      <c r="H38" s="1"/>
      <c r="I38" s="130"/>
      <c r="J38" s="169"/>
      <c r="K38" s="169"/>
      <c r="L38" s="165"/>
    </row>
    <row r="39" spans="1:12" s="2" customFormat="1" ht="14.25" customHeight="1" x14ac:dyDescent="0.2">
      <c r="A39" s="89">
        <v>45351</v>
      </c>
      <c r="B39" s="9" t="s">
        <v>11</v>
      </c>
      <c r="C39" s="76" t="s">
        <v>2098</v>
      </c>
      <c r="D39" s="11" t="s">
        <v>29</v>
      </c>
      <c r="F39" s="31">
        <v>628105.4</v>
      </c>
      <c r="G39" s="1"/>
      <c r="H39" s="1"/>
      <c r="I39" s="130"/>
      <c r="J39" s="169"/>
      <c r="K39" s="169"/>
      <c r="L39" s="165"/>
    </row>
    <row r="40" spans="1:12" s="2" customFormat="1" ht="14.25" customHeight="1" x14ac:dyDescent="0.2">
      <c r="A40" s="89">
        <v>45351</v>
      </c>
      <c r="B40" s="9" t="s">
        <v>11</v>
      </c>
      <c r="C40" s="76" t="s">
        <v>745</v>
      </c>
      <c r="D40" s="11" t="s">
        <v>29</v>
      </c>
      <c r="F40" s="31">
        <v>2205985</v>
      </c>
      <c r="G40" s="1"/>
      <c r="H40" s="1"/>
      <c r="I40" s="130"/>
      <c r="J40" s="169"/>
      <c r="K40" s="169"/>
      <c r="L40" s="165"/>
    </row>
    <row r="41" spans="1:12" s="2" customFormat="1" ht="14.25" customHeight="1" x14ac:dyDescent="0.2">
      <c r="A41" s="89">
        <v>45351</v>
      </c>
      <c r="B41" s="9" t="s">
        <v>11</v>
      </c>
      <c r="C41" s="76" t="s">
        <v>194</v>
      </c>
      <c r="D41" s="11" t="s">
        <v>29</v>
      </c>
      <c r="E41" s="31"/>
      <c r="F41" s="31">
        <v>3297441</v>
      </c>
      <c r="G41" s="1"/>
      <c r="H41" s="1"/>
      <c r="I41" s="130"/>
      <c r="J41" s="169"/>
      <c r="K41" s="169"/>
      <c r="L41" s="165"/>
    </row>
    <row r="42" spans="1:12" s="2" customFormat="1" ht="14.25" customHeight="1" x14ac:dyDescent="0.4">
      <c r="D42" s="11" t="s">
        <v>8</v>
      </c>
      <c r="E42" s="16">
        <f>SUM(E35:E41)</f>
        <v>3369445.64</v>
      </c>
      <c r="F42" s="16">
        <f>SUM(F34:F41)</f>
        <v>28886451.800000001</v>
      </c>
      <c r="G42" s="1"/>
      <c r="H42" s="1"/>
      <c r="J42" s="112"/>
      <c r="K42" s="153" t="s">
        <v>779</v>
      </c>
    </row>
    <row r="43" spans="1:12" s="2" customFormat="1" ht="14.25" customHeight="1" x14ac:dyDescent="0.2">
      <c r="A43" s="17"/>
      <c r="B43" s="18"/>
      <c r="C43" s="96" t="s">
        <v>9</v>
      </c>
      <c r="D43" s="20"/>
      <c r="E43" s="21">
        <f>+F42-E42</f>
        <v>25517006.16</v>
      </c>
      <c r="G43" s="1"/>
      <c r="H43" s="1"/>
      <c r="J43" s="40">
        <v>25517006.16</v>
      </c>
      <c r="K43" s="154">
        <f>J43-E43</f>
        <v>0</v>
      </c>
    </row>
    <row r="44" spans="1:12" s="2" customFormat="1" ht="14.25" customHeight="1" x14ac:dyDescent="0.2">
      <c r="A44" s="17"/>
      <c r="B44" s="28" t="s">
        <v>66</v>
      </c>
      <c r="C44" s="43" t="s">
        <v>1458</v>
      </c>
      <c r="D44" s="43"/>
      <c r="E44" s="12">
        <f>30000000+60000000</f>
        <v>90000000</v>
      </c>
      <c r="F44" s="22"/>
      <c r="G44" s="1"/>
      <c r="H44" s="1"/>
      <c r="I44" s="13" t="s">
        <v>1582</v>
      </c>
      <c r="J44" s="13" t="s">
        <v>1583</v>
      </c>
    </row>
    <row r="45" spans="1:12" s="2" customFormat="1" ht="14.25" customHeight="1" x14ac:dyDescent="0.25">
      <c r="A45" s="36"/>
      <c r="B45" s="28"/>
      <c r="C45" s="44" t="s">
        <v>1541</v>
      </c>
      <c r="D45" s="43"/>
      <c r="E45" s="7">
        <f>+E43+E44</f>
        <v>115517006.16</v>
      </c>
      <c r="F45" s="22"/>
      <c r="G45" s="1"/>
      <c r="H45" s="1"/>
      <c r="I45" s="2">
        <v>415171</v>
      </c>
      <c r="J45" s="2">
        <v>10111779</v>
      </c>
      <c r="K45" s="176">
        <f>I45-J45</f>
        <v>-9696608</v>
      </c>
    </row>
    <row r="46" spans="1:12" s="2" customFormat="1" ht="14.25" customHeight="1" x14ac:dyDescent="0.25">
      <c r="A46" s="36"/>
      <c r="B46" s="28"/>
      <c r="C46" s="44" t="s">
        <v>1511</v>
      </c>
      <c r="D46" s="43"/>
      <c r="E46" s="38">
        <f>I30-J30+J34</f>
        <v>4482993.84</v>
      </c>
      <c r="F46" s="22"/>
      <c r="G46" s="1"/>
      <c r="H46" s="1"/>
      <c r="J46" s="130"/>
      <c r="K46" s="130"/>
    </row>
    <row r="47" spans="1:12" s="2" customFormat="1" x14ac:dyDescent="0.2">
      <c r="A47" s="24"/>
      <c r="B47" s="1"/>
      <c r="C47" s="14"/>
      <c r="D47" s="25"/>
      <c r="G47" s="1"/>
      <c r="H47" s="1"/>
      <c r="I47" s="159"/>
      <c r="J47" s="160">
        <f>100000000+175000000</f>
        <v>275000000</v>
      </c>
      <c r="K47" s="160" t="s">
        <v>1506</v>
      </c>
      <c r="L47" s="70"/>
    </row>
    <row r="48" spans="1:12" s="2" customFormat="1" ht="15" x14ac:dyDescent="0.35">
      <c r="A48" s="214" t="s">
        <v>10</v>
      </c>
      <c r="B48" s="214"/>
      <c r="C48" s="214"/>
      <c r="D48" s="214"/>
      <c r="E48" s="214"/>
      <c r="F48" s="214"/>
      <c r="G48" s="1"/>
      <c r="H48" s="1"/>
      <c r="I48" s="159"/>
      <c r="J48" s="179">
        <v>225168015.44999999</v>
      </c>
      <c r="K48" s="160" t="s">
        <v>1507</v>
      </c>
      <c r="L48" s="70" t="s">
        <v>1512</v>
      </c>
    </row>
    <row r="49" spans="1:12" s="2" customFormat="1" x14ac:dyDescent="0.2">
      <c r="A49" s="26" t="s">
        <v>1</v>
      </c>
      <c r="B49" s="27" t="s">
        <v>2</v>
      </c>
      <c r="C49" s="5"/>
      <c r="D49" s="6" t="s">
        <v>3</v>
      </c>
      <c r="E49" s="7" t="s">
        <v>4</v>
      </c>
      <c r="F49" s="7" t="s">
        <v>5</v>
      </c>
      <c r="G49" s="1"/>
      <c r="H49" s="1"/>
      <c r="I49" s="159" t="s">
        <v>1505</v>
      </c>
      <c r="J49" s="160">
        <f>+J47-J48</f>
        <v>49831984.550000012</v>
      </c>
      <c r="K49" s="160"/>
      <c r="L49" s="70"/>
    </row>
    <row r="50" spans="1:12" s="2" customFormat="1" x14ac:dyDescent="0.2">
      <c r="A50" s="89">
        <v>45351</v>
      </c>
      <c r="B50" s="128" t="s">
        <v>11</v>
      </c>
      <c r="C50" s="29" t="s">
        <v>7</v>
      </c>
      <c r="D50" s="25"/>
      <c r="E50" s="31"/>
      <c r="F50" s="13">
        <v>249345777.34999987</v>
      </c>
      <c r="G50" s="23"/>
      <c r="H50" s="23"/>
      <c r="I50" s="159"/>
      <c r="J50" s="160"/>
      <c r="K50" s="160"/>
      <c r="L50" s="70"/>
    </row>
    <row r="51" spans="1:12" s="2" customFormat="1" x14ac:dyDescent="0.2">
      <c r="A51" s="89">
        <v>45351</v>
      </c>
      <c r="B51" s="128" t="s">
        <v>6</v>
      </c>
      <c r="C51" s="181" t="s">
        <v>750</v>
      </c>
      <c r="D51" s="11" t="s">
        <v>13</v>
      </c>
      <c r="E51" s="86">
        <v>4331999</v>
      </c>
      <c r="G51" s="23"/>
      <c r="H51" s="23"/>
      <c r="I51" s="159"/>
      <c r="J51" s="160"/>
      <c r="K51" s="160"/>
      <c r="L51" s="70"/>
    </row>
    <row r="52" spans="1:12" s="2" customFormat="1" x14ac:dyDescent="0.2">
      <c r="A52" s="89">
        <v>45351</v>
      </c>
      <c r="B52" s="128" t="s">
        <v>6</v>
      </c>
      <c r="C52" s="181" t="s">
        <v>1778</v>
      </c>
      <c r="D52" s="11" t="s">
        <v>13</v>
      </c>
      <c r="E52" s="86">
        <v>98860</v>
      </c>
      <c r="G52" s="23"/>
      <c r="H52" s="23"/>
      <c r="I52" s="159"/>
      <c r="J52" s="160"/>
      <c r="K52" s="160"/>
      <c r="L52" s="70"/>
    </row>
    <row r="53" spans="1:12" s="2" customFormat="1" x14ac:dyDescent="0.2">
      <c r="A53" s="89">
        <v>45351</v>
      </c>
      <c r="B53" s="128" t="s">
        <v>6</v>
      </c>
      <c r="C53" s="181" t="s">
        <v>903</v>
      </c>
      <c r="D53" s="11" t="s">
        <v>13</v>
      </c>
      <c r="E53" s="86">
        <v>1314280</v>
      </c>
      <c r="G53" s="23"/>
      <c r="H53" s="23"/>
      <c r="I53" s="159"/>
      <c r="J53" s="160"/>
      <c r="K53" s="160"/>
      <c r="L53" s="70"/>
    </row>
    <row r="54" spans="1:12" s="2" customFormat="1" x14ac:dyDescent="0.2">
      <c r="A54" s="89">
        <v>45351</v>
      </c>
      <c r="B54" s="128" t="s">
        <v>6</v>
      </c>
      <c r="C54" s="181" t="s">
        <v>366</v>
      </c>
      <c r="D54" s="11" t="s">
        <v>13</v>
      </c>
      <c r="E54" s="86">
        <v>3073598.75</v>
      </c>
      <c r="G54" s="23"/>
      <c r="H54" s="23"/>
      <c r="I54" s="159"/>
      <c r="J54" s="160"/>
      <c r="K54" s="160"/>
      <c r="L54" s="70"/>
    </row>
    <row r="55" spans="1:12" s="2" customFormat="1" x14ac:dyDescent="0.2">
      <c r="A55" s="89">
        <v>45351</v>
      </c>
      <c r="B55" s="128" t="s">
        <v>6</v>
      </c>
      <c r="C55" s="181" t="s">
        <v>299</v>
      </c>
      <c r="D55" s="11" t="s">
        <v>13</v>
      </c>
      <c r="E55" s="86">
        <v>97545</v>
      </c>
      <c r="G55" s="23"/>
      <c r="H55" s="23"/>
      <c r="I55" s="159"/>
      <c r="J55" s="160"/>
      <c r="K55" s="160"/>
      <c r="L55" s="70"/>
    </row>
    <row r="56" spans="1:12" s="2" customFormat="1" x14ac:dyDescent="0.2">
      <c r="A56" s="89">
        <v>45351</v>
      </c>
      <c r="B56" s="128" t="s">
        <v>6</v>
      </c>
      <c r="C56" s="181" t="s">
        <v>1402</v>
      </c>
      <c r="D56" s="11" t="s">
        <v>13</v>
      </c>
      <c r="E56" s="86">
        <v>287219</v>
      </c>
      <c r="G56" s="23"/>
      <c r="H56" s="23"/>
      <c r="I56" s="159"/>
      <c r="J56" s="160"/>
      <c r="K56" s="160"/>
      <c r="L56" s="70"/>
    </row>
    <row r="57" spans="1:12" s="2" customFormat="1" x14ac:dyDescent="0.2">
      <c r="A57" s="89">
        <v>45351</v>
      </c>
      <c r="B57" s="128" t="s">
        <v>6</v>
      </c>
      <c r="C57" s="181" t="s">
        <v>2151</v>
      </c>
      <c r="D57" s="11" t="s">
        <v>13</v>
      </c>
      <c r="E57" s="86">
        <v>5125</v>
      </c>
      <c r="G57" s="23"/>
      <c r="H57" s="23"/>
      <c r="I57" s="159"/>
      <c r="J57" s="160"/>
      <c r="K57" s="160"/>
      <c r="L57" s="70"/>
    </row>
    <row r="58" spans="1:12" s="2" customFormat="1" x14ac:dyDescent="0.2">
      <c r="A58" s="89">
        <v>45351</v>
      </c>
      <c r="B58" s="128" t="s">
        <v>6</v>
      </c>
      <c r="C58" s="181" t="s">
        <v>316</v>
      </c>
      <c r="D58" s="11" t="s">
        <v>13</v>
      </c>
      <c r="E58" s="86">
        <v>693513</v>
      </c>
      <c r="G58" s="23"/>
      <c r="H58" s="23"/>
      <c r="I58" s="159"/>
      <c r="J58" s="160"/>
      <c r="K58" s="160"/>
      <c r="L58" s="70"/>
    </row>
    <row r="59" spans="1:12" s="2" customFormat="1" x14ac:dyDescent="0.2">
      <c r="A59" s="89">
        <v>45351</v>
      </c>
      <c r="B59" s="128" t="s">
        <v>6</v>
      </c>
      <c r="C59" s="181" t="s">
        <v>1729</v>
      </c>
      <c r="D59" s="11" t="s">
        <v>13</v>
      </c>
      <c r="E59" s="86">
        <v>9046619</v>
      </c>
      <c r="G59" s="23"/>
      <c r="H59" s="23"/>
      <c r="I59" s="159"/>
      <c r="J59" s="160"/>
      <c r="K59" s="160"/>
      <c r="L59" s="70"/>
    </row>
    <row r="60" spans="1:12" s="2" customFormat="1" x14ac:dyDescent="0.2">
      <c r="A60" s="89">
        <v>45351</v>
      </c>
      <c r="B60" s="128" t="s">
        <v>6</v>
      </c>
      <c r="C60" s="181" t="s">
        <v>15</v>
      </c>
      <c r="D60" s="11" t="s">
        <v>13</v>
      </c>
      <c r="E60" s="86">
        <v>88736.05</v>
      </c>
      <c r="G60" s="23"/>
      <c r="H60" s="23"/>
      <c r="I60" s="159"/>
      <c r="J60" s="160"/>
      <c r="K60" s="160"/>
      <c r="L60" s="70"/>
    </row>
    <row r="61" spans="1:12" s="2" customFormat="1" x14ac:dyDescent="0.2">
      <c r="A61" s="89">
        <v>45351</v>
      </c>
      <c r="B61" s="128" t="s">
        <v>6</v>
      </c>
      <c r="C61" s="181" t="s">
        <v>748</v>
      </c>
      <c r="D61" s="11" t="s">
        <v>13</v>
      </c>
      <c r="E61" s="86">
        <v>945734.89999999991</v>
      </c>
      <c r="G61" s="23"/>
      <c r="H61" s="23"/>
      <c r="I61" s="159"/>
      <c r="J61" s="160"/>
      <c r="K61" s="160"/>
      <c r="L61" s="70"/>
    </row>
    <row r="62" spans="1:12" s="2" customFormat="1" x14ac:dyDescent="0.2">
      <c r="A62" s="89">
        <v>45351</v>
      </c>
      <c r="B62" s="128" t="s">
        <v>6</v>
      </c>
      <c r="C62" s="181" t="s">
        <v>149</v>
      </c>
      <c r="D62" s="11" t="s">
        <v>13</v>
      </c>
      <c r="E62" s="86">
        <v>820</v>
      </c>
      <c r="G62" s="23"/>
      <c r="H62" s="23"/>
      <c r="I62" s="159"/>
      <c r="J62" s="160"/>
      <c r="K62" s="160"/>
      <c r="L62" s="70"/>
    </row>
    <row r="63" spans="1:12" s="2" customFormat="1" x14ac:dyDescent="0.2">
      <c r="A63" s="89">
        <v>45351</v>
      </c>
      <c r="B63" s="128" t="s">
        <v>6</v>
      </c>
      <c r="C63" s="181" t="s">
        <v>773</v>
      </c>
      <c r="D63" s="11" t="s">
        <v>13</v>
      </c>
      <c r="E63" s="86">
        <v>2481433</v>
      </c>
      <c r="G63" s="23"/>
      <c r="H63" s="23"/>
      <c r="I63" s="159"/>
      <c r="J63" s="160"/>
      <c r="K63" s="160"/>
      <c r="L63" s="70"/>
    </row>
    <row r="64" spans="1:12" s="2" customFormat="1" x14ac:dyDescent="0.2">
      <c r="A64" s="89">
        <v>45351</v>
      </c>
      <c r="B64" s="128" t="s">
        <v>6</v>
      </c>
      <c r="C64" s="181" t="s">
        <v>1331</v>
      </c>
      <c r="D64" s="11" t="s">
        <v>13</v>
      </c>
      <c r="E64" s="86">
        <v>250000</v>
      </c>
      <c r="G64" s="23"/>
      <c r="H64" s="23"/>
      <c r="I64" s="159"/>
      <c r="J64" s="160"/>
      <c r="K64" s="160"/>
      <c r="L64" s="70"/>
    </row>
    <row r="65" spans="1:16" s="2" customFormat="1" x14ac:dyDescent="0.2">
      <c r="A65" s="89">
        <v>45351</v>
      </c>
      <c r="B65" s="128" t="s">
        <v>6</v>
      </c>
      <c r="C65" s="181" t="s">
        <v>480</v>
      </c>
      <c r="D65" s="11" t="s">
        <v>13</v>
      </c>
      <c r="E65" s="86">
        <v>79000</v>
      </c>
      <c r="G65" s="23"/>
      <c r="H65" s="23"/>
      <c r="I65" s="159"/>
      <c r="J65" s="160"/>
      <c r="K65" s="160"/>
      <c r="L65" s="70"/>
    </row>
    <row r="66" spans="1:16" s="2" customFormat="1" x14ac:dyDescent="0.2">
      <c r="A66" s="89">
        <v>45351</v>
      </c>
      <c r="B66" s="128" t="s">
        <v>11</v>
      </c>
      <c r="C66" s="181" t="s">
        <v>64</v>
      </c>
      <c r="D66" s="11" t="s">
        <v>29</v>
      </c>
      <c r="E66" s="86"/>
      <c r="F66" s="2">
        <v>247.79999999999998</v>
      </c>
      <c r="G66" s="23"/>
      <c r="H66" s="23"/>
      <c r="I66" s="159"/>
      <c r="J66" s="160"/>
      <c r="K66" s="160"/>
      <c r="L66" s="70"/>
    </row>
    <row r="67" spans="1:16" s="2" customFormat="1" x14ac:dyDescent="0.2">
      <c r="A67" s="89">
        <v>45351</v>
      </c>
      <c r="B67" s="128" t="s">
        <v>11</v>
      </c>
      <c r="C67" s="181" t="s">
        <v>733</v>
      </c>
      <c r="D67" s="11" t="s">
        <v>29</v>
      </c>
      <c r="E67" s="86"/>
      <c r="F67" s="2">
        <v>2284239</v>
      </c>
      <c r="G67" s="23"/>
      <c r="H67" s="23"/>
      <c r="I67" s="159"/>
      <c r="J67" s="160"/>
      <c r="K67" s="160"/>
      <c r="L67" s="70"/>
    </row>
    <row r="68" spans="1:16" s="2" customFormat="1" x14ac:dyDescent="0.2">
      <c r="A68" s="89">
        <v>45351</v>
      </c>
      <c r="B68" s="128" t="s">
        <v>11</v>
      </c>
      <c r="C68" s="181" t="s">
        <v>732</v>
      </c>
      <c r="D68" s="11" t="s">
        <v>29</v>
      </c>
      <c r="E68" s="86"/>
      <c r="F68" s="2">
        <v>3426360</v>
      </c>
      <c r="G68" s="23"/>
      <c r="H68" s="23"/>
      <c r="I68" s="159"/>
      <c r="J68" s="160"/>
      <c r="K68" s="160"/>
      <c r="L68" s="70"/>
    </row>
    <row r="69" spans="1:16" s="2" customFormat="1" x14ac:dyDescent="0.2">
      <c r="A69" s="89">
        <v>45351</v>
      </c>
      <c r="B69" s="128" t="s">
        <v>11</v>
      </c>
      <c r="C69" s="181" t="s">
        <v>1838</v>
      </c>
      <c r="D69" s="11" t="s">
        <v>29</v>
      </c>
      <c r="E69" s="86"/>
      <c r="F69" s="2">
        <v>100110</v>
      </c>
      <c r="G69" s="23"/>
      <c r="H69" s="23"/>
      <c r="I69" s="159"/>
      <c r="J69" s="160"/>
      <c r="K69" s="160"/>
      <c r="L69" s="70"/>
    </row>
    <row r="70" spans="1:16" s="2" customFormat="1" x14ac:dyDescent="0.2">
      <c r="A70" s="89">
        <v>45351</v>
      </c>
      <c r="B70" s="128" t="s">
        <v>11</v>
      </c>
      <c r="C70" s="181" t="s">
        <v>1403</v>
      </c>
      <c r="D70" s="11" t="s">
        <v>29</v>
      </c>
      <c r="E70" s="86"/>
      <c r="F70" s="2">
        <v>742893</v>
      </c>
      <c r="G70" s="23"/>
      <c r="H70" s="23"/>
      <c r="I70" s="159"/>
      <c r="J70" s="160"/>
      <c r="K70" s="160"/>
      <c r="L70" s="70"/>
    </row>
    <row r="71" spans="1:16" s="2" customFormat="1" x14ac:dyDescent="0.2">
      <c r="A71" s="89">
        <v>45351</v>
      </c>
      <c r="B71" s="128" t="s">
        <v>11</v>
      </c>
      <c r="C71" s="181" t="s">
        <v>109</v>
      </c>
      <c r="D71" s="11" t="s">
        <v>29</v>
      </c>
      <c r="E71" s="86"/>
      <c r="F71" s="2">
        <v>768171</v>
      </c>
      <c r="G71" s="23"/>
      <c r="H71" s="23"/>
      <c r="I71" s="159"/>
      <c r="J71" s="160"/>
      <c r="K71" s="160"/>
      <c r="L71" s="70"/>
    </row>
    <row r="72" spans="1:16" s="2" customFormat="1" x14ac:dyDescent="0.2">
      <c r="A72" s="89">
        <v>45351</v>
      </c>
      <c r="B72" s="128" t="s">
        <v>11</v>
      </c>
      <c r="C72" s="181" t="s">
        <v>1798</v>
      </c>
      <c r="D72" s="11" t="s">
        <v>29</v>
      </c>
      <c r="E72" s="86"/>
      <c r="F72" s="2">
        <v>991308</v>
      </c>
      <c r="G72" s="23"/>
      <c r="H72" s="23"/>
      <c r="I72" s="159"/>
      <c r="J72" s="160"/>
      <c r="K72" s="160"/>
      <c r="L72" s="70"/>
    </row>
    <row r="73" spans="1:16" s="70" customFormat="1" x14ac:dyDescent="0.2">
      <c r="A73" s="32"/>
      <c r="B73" s="33"/>
      <c r="C73" s="14"/>
      <c r="D73" s="34"/>
      <c r="E73" s="16">
        <f>SUM(E50:E72)</f>
        <v>22794482.699999999</v>
      </c>
      <c r="F73" s="16">
        <f>SUM(F50:F72)</f>
        <v>257659106.14999989</v>
      </c>
      <c r="G73" s="1"/>
      <c r="H73" s="1"/>
      <c r="I73" s="1"/>
      <c r="J73" s="38">
        <v>234864623.44999999</v>
      </c>
      <c r="K73" s="2"/>
      <c r="L73" s="92">
        <f>E74-J73</f>
        <v>0</v>
      </c>
      <c r="M73" s="2"/>
      <c r="N73" s="2"/>
      <c r="O73" s="2"/>
      <c r="P73" s="2"/>
    </row>
    <row r="74" spans="1:16" s="70" customFormat="1" x14ac:dyDescent="0.2">
      <c r="A74" s="36"/>
      <c r="B74" s="28" t="s">
        <v>11</v>
      </c>
      <c r="C74" s="19" t="s">
        <v>65</v>
      </c>
      <c r="D74" s="37"/>
      <c r="E74" s="38">
        <f>F73-E73</f>
        <v>234864623.4499999</v>
      </c>
      <c r="F74" s="22"/>
      <c r="G74" s="1"/>
      <c r="H74" s="1"/>
      <c r="I74" s="1"/>
      <c r="M74" s="2"/>
      <c r="N74" s="2"/>
      <c r="O74" s="1"/>
      <c r="P74" s="2"/>
    </row>
    <row r="75" spans="1:16" s="70" customFormat="1" x14ac:dyDescent="0.2">
      <c r="A75" s="36"/>
      <c r="B75" s="28" t="s">
        <v>66</v>
      </c>
      <c r="C75" s="19" t="s">
        <v>67</v>
      </c>
      <c r="D75" s="37"/>
      <c r="E75" s="38">
        <v>11500000</v>
      </c>
      <c r="F75" s="22"/>
      <c r="G75" s="1"/>
      <c r="H75" s="1"/>
      <c r="M75" s="2"/>
      <c r="N75" s="2"/>
      <c r="O75" s="1"/>
      <c r="P75" s="2"/>
    </row>
    <row r="76" spans="1:16" s="70" customFormat="1" x14ac:dyDescent="0.2">
      <c r="A76" s="36"/>
      <c r="B76" s="28" t="s">
        <v>66</v>
      </c>
      <c r="C76" s="43" t="s">
        <v>1457</v>
      </c>
      <c r="D76" s="43"/>
      <c r="E76" s="12">
        <f>400000000-175000000</f>
        <v>225000000</v>
      </c>
      <c r="F76" s="22"/>
      <c r="G76" s="1"/>
      <c r="H76" s="1"/>
      <c r="J76" s="45">
        <v>2594.9899999999998</v>
      </c>
      <c r="K76" s="46"/>
      <c r="L76" s="46"/>
      <c r="M76" s="2"/>
      <c r="N76" s="2"/>
      <c r="O76" s="1"/>
      <c r="P76" s="2"/>
    </row>
    <row r="77" spans="1:16" s="70" customFormat="1" ht="15" x14ac:dyDescent="0.25">
      <c r="A77" s="36"/>
      <c r="B77" s="28"/>
      <c r="C77" s="44" t="s">
        <v>1541</v>
      </c>
      <c r="D77" s="43"/>
      <c r="E77" s="7">
        <f>+E76+E74+E75</f>
        <v>471364623.44999993</v>
      </c>
      <c r="F77" s="22"/>
      <c r="G77" s="1"/>
      <c r="H77" s="1"/>
      <c r="I77" s="103" t="s">
        <v>69</v>
      </c>
      <c r="J77" s="45">
        <v>-129.94</v>
      </c>
      <c r="K77" s="46"/>
      <c r="L77" s="46"/>
      <c r="M77" s="2"/>
      <c r="N77" s="2"/>
      <c r="O77" s="1"/>
      <c r="P77" s="2"/>
    </row>
    <row r="78" spans="1:16" s="70" customFormat="1" ht="15" x14ac:dyDescent="0.25">
      <c r="A78" s="24"/>
      <c r="B78" s="1"/>
      <c r="C78" s="44" t="s">
        <v>1510</v>
      </c>
      <c r="D78" s="25"/>
      <c r="E78" s="156">
        <f>+J49-E75+I45-J45</f>
        <v>28635376.550000012</v>
      </c>
      <c r="F78" s="2"/>
      <c r="G78" s="1"/>
      <c r="H78" s="1"/>
      <c r="I78" s="35">
        <v>1</v>
      </c>
      <c r="J78" s="45">
        <v>106.02</v>
      </c>
      <c r="K78" s="46">
        <f>+J79-D81</f>
        <v>0</v>
      </c>
      <c r="L78" s="2"/>
      <c r="M78" s="2"/>
      <c r="N78" s="2"/>
      <c r="O78" s="1"/>
      <c r="P78" s="2"/>
    </row>
    <row r="79" spans="1:16" s="70" customFormat="1" ht="12.75" customHeight="1" x14ac:dyDescent="0.2">
      <c r="A79" s="24"/>
      <c r="B79" s="1"/>
      <c r="C79" s="56"/>
      <c r="D79" s="56"/>
      <c r="E79" s="104"/>
      <c r="F79" s="2"/>
      <c r="G79" s="166"/>
      <c r="H79" s="166"/>
      <c r="J79" s="49">
        <f>SUM(J76:J78)</f>
        <v>2571.0699999999997</v>
      </c>
      <c r="K79" s="46"/>
      <c r="L79" s="46"/>
      <c r="M79" s="124"/>
      <c r="N79" s="124"/>
      <c r="O79" s="1"/>
      <c r="P79" s="2"/>
    </row>
    <row r="80" spans="1:16" s="70" customFormat="1" ht="12.75" customHeight="1" x14ac:dyDescent="0.2">
      <c r="A80" s="24"/>
      <c r="B80" s="1"/>
      <c r="C80" s="78" t="s">
        <v>575</v>
      </c>
      <c r="D80" s="48" t="s">
        <v>576</v>
      </c>
      <c r="E80" s="104"/>
      <c r="F80" s="2"/>
      <c r="G80" s="168"/>
      <c r="H80" s="168"/>
      <c r="I80" s="167"/>
      <c r="J80" s="167"/>
      <c r="K80" s="168"/>
      <c r="L80" s="124"/>
      <c r="M80" s="124"/>
      <c r="N80" s="124"/>
      <c r="O80" s="124"/>
      <c r="P80" s="2"/>
    </row>
    <row r="81" spans="1:19" s="70" customFormat="1" ht="12.75" customHeight="1" x14ac:dyDescent="0.2">
      <c r="A81" s="24"/>
      <c r="B81" s="1"/>
      <c r="C81" s="47" t="s">
        <v>570</v>
      </c>
      <c r="D81" s="111">
        <v>2571.0700000000002</v>
      </c>
      <c r="E81" s="104"/>
      <c r="F81" s="2"/>
      <c r="G81" s="168"/>
      <c r="H81" s="168"/>
      <c r="I81" s="110" t="s">
        <v>581</v>
      </c>
      <c r="J81" s="167"/>
      <c r="K81" s="168"/>
      <c r="L81" s="124"/>
      <c r="M81" s="124"/>
      <c r="N81" s="124"/>
      <c r="O81" s="124"/>
      <c r="P81" s="124"/>
    </row>
    <row r="82" spans="1:19" s="70" customFormat="1" ht="12.75" customHeight="1" x14ac:dyDescent="0.2">
      <c r="A82" s="24"/>
      <c r="B82" s="1"/>
      <c r="C82" s="47" t="s">
        <v>931</v>
      </c>
      <c r="D82" s="111">
        <v>174.46</v>
      </c>
      <c r="E82" s="104"/>
      <c r="F82" s="2"/>
      <c r="G82" s="168"/>
      <c r="H82" s="168"/>
      <c r="I82" s="110" t="s">
        <v>580</v>
      </c>
      <c r="J82" s="167"/>
      <c r="K82" s="168"/>
      <c r="L82" s="124"/>
      <c r="M82" s="124"/>
      <c r="N82" s="124"/>
      <c r="O82" s="124"/>
      <c r="P82" s="124"/>
    </row>
    <row r="83" spans="1:19" s="70" customFormat="1" ht="12.75" customHeight="1" x14ac:dyDescent="0.2">
      <c r="A83" s="24"/>
      <c r="B83" s="1"/>
      <c r="C83" s="47" t="s">
        <v>572</v>
      </c>
      <c r="D83" s="111">
        <f>+D137/100000</f>
        <v>808.53019829999994</v>
      </c>
      <c r="E83" s="104"/>
      <c r="F83" s="2"/>
      <c r="G83" s="166"/>
      <c r="H83" s="166"/>
      <c r="I83" s="90" t="s">
        <v>587</v>
      </c>
      <c r="J83" s="167"/>
      <c r="K83" s="168"/>
      <c r="L83" s="124"/>
      <c r="M83" s="124"/>
      <c r="N83" s="124"/>
      <c r="O83" s="124"/>
      <c r="P83" s="124"/>
    </row>
    <row r="84" spans="1:19" s="70" customFormat="1" ht="12.75" customHeight="1" x14ac:dyDescent="0.2">
      <c r="A84" s="24"/>
      <c r="B84" s="1"/>
      <c r="C84" s="108" t="s">
        <v>578</v>
      </c>
      <c r="D84" s="48">
        <f>SUM(D81:D83)</f>
        <v>3554.0601983000001</v>
      </c>
      <c r="E84" s="104"/>
      <c r="F84" s="2"/>
      <c r="G84" s="30"/>
      <c r="H84" s="30"/>
      <c r="I84" s="2"/>
      <c r="J84" s="13"/>
      <c r="K84" s="13"/>
      <c r="L84" s="2"/>
      <c r="M84" s="2"/>
      <c r="N84" s="2"/>
      <c r="O84" s="124"/>
      <c r="P84" s="124"/>
    </row>
    <row r="85" spans="1:19" s="70" customFormat="1" ht="12.75" customHeight="1" x14ac:dyDescent="0.2">
      <c r="A85" s="24"/>
      <c r="B85" s="1"/>
      <c r="C85" s="47"/>
      <c r="D85" s="107"/>
      <c r="E85" s="104"/>
      <c r="F85" s="2"/>
      <c r="G85" s="30"/>
      <c r="H85" s="30"/>
      <c r="I85" s="2"/>
      <c r="O85" s="2"/>
      <c r="P85" s="124"/>
    </row>
    <row r="86" spans="1:19" s="70" customFormat="1" ht="12.75" customHeight="1" x14ac:dyDescent="0.2">
      <c r="A86" s="24"/>
      <c r="B86" s="1"/>
      <c r="C86" s="47" t="s">
        <v>932</v>
      </c>
      <c r="D86" s="111">
        <v>319.02999999999997</v>
      </c>
      <c r="E86" s="104"/>
      <c r="F86" s="2"/>
      <c r="G86" s="30"/>
      <c r="H86" s="30"/>
      <c r="I86" s="110" t="s">
        <v>581</v>
      </c>
      <c r="P86" s="2"/>
    </row>
    <row r="87" spans="1:19" s="70" customFormat="1" ht="12.75" customHeight="1" x14ac:dyDescent="0.2">
      <c r="A87" s="24"/>
      <c r="B87" s="1"/>
      <c r="C87" s="136" t="s">
        <v>1142</v>
      </c>
      <c r="D87" s="111">
        <v>925.01</v>
      </c>
      <c r="E87" s="104"/>
      <c r="F87" s="2"/>
      <c r="G87" s="30"/>
      <c r="H87" s="30"/>
      <c r="I87" s="110" t="s">
        <v>581</v>
      </c>
    </row>
    <row r="88" spans="1:19" s="70" customFormat="1" ht="12.75" customHeight="1" x14ac:dyDescent="0.2">
      <c r="A88" s="24"/>
      <c r="B88" s="1"/>
      <c r="C88" s="78" t="s">
        <v>579</v>
      </c>
      <c r="D88" s="109">
        <f>D86+D87</f>
        <v>1244.04</v>
      </c>
      <c r="E88" s="104"/>
      <c r="F88" s="2"/>
      <c r="G88" s="30"/>
      <c r="H88" s="30"/>
      <c r="Q88" s="2"/>
      <c r="R88" s="2"/>
      <c r="S88" s="2"/>
    </row>
    <row r="89" spans="1:19" s="2" customFormat="1" x14ac:dyDescent="0.2">
      <c r="A89" s="24"/>
      <c r="B89" s="1"/>
      <c r="C89" s="105"/>
      <c r="D89" s="106"/>
      <c r="E89" s="104"/>
      <c r="G89" s="30"/>
      <c r="H89" s="30"/>
      <c r="I89" s="70"/>
      <c r="K89" s="221" t="str">
        <f>"FROM ( 01-02-2024 to "&amp;TEXT(A5,"dd-mm-yyyy")&amp;" )"</f>
        <v>FROM ( 01-02-2024 to 29-02-2024 )</v>
      </c>
      <c r="L89" s="221"/>
      <c r="O89" s="70"/>
      <c r="P89" s="70"/>
    </row>
    <row r="90" spans="1:19" s="2" customFormat="1" x14ac:dyDescent="0.2">
      <c r="A90" s="24"/>
      <c r="B90" s="1"/>
      <c r="C90" s="78" t="s">
        <v>577</v>
      </c>
      <c r="D90" s="109">
        <f>D81+D88</f>
        <v>3815.11</v>
      </c>
      <c r="E90" s="104"/>
      <c r="G90" s="30"/>
      <c r="H90" s="30"/>
      <c r="I90" s="70"/>
      <c r="J90" s="113"/>
      <c r="K90" s="113" t="s">
        <v>709</v>
      </c>
      <c r="L90" s="113" t="s">
        <v>710</v>
      </c>
      <c r="M90" s="113" t="s">
        <v>711</v>
      </c>
      <c r="N90" s="113" t="s">
        <v>712</v>
      </c>
      <c r="O90" s="70"/>
      <c r="P90" s="70"/>
    </row>
    <row r="91" spans="1:19" s="2" customFormat="1" x14ac:dyDescent="0.2">
      <c r="A91" s="24"/>
      <c r="B91" s="1"/>
      <c r="C91" s="56"/>
      <c r="D91" s="56"/>
      <c r="E91" s="104"/>
      <c r="G91" s="30"/>
      <c r="H91" s="30"/>
      <c r="I91" s="70"/>
      <c r="J91" s="113" t="s">
        <v>1860</v>
      </c>
      <c r="K91" s="115">
        <v>191.98999999999998</v>
      </c>
      <c r="L91" s="115">
        <v>27.85</v>
      </c>
      <c r="M91" s="115">
        <v>31.65</v>
      </c>
      <c r="N91" s="113">
        <f>+K91+M91-L91</f>
        <v>195.79</v>
      </c>
      <c r="O91" s="70"/>
      <c r="P91" s="70"/>
    </row>
    <row r="92" spans="1:19" s="2" customFormat="1" ht="38.25" x14ac:dyDescent="0.2">
      <c r="A92" s="24"/>
      <c r="B92" s="1"/>
      <c r="C92" s="79" t="str">
        <f>"Particulars ( 01-02-2024 to "&amp;TEXT(A5,"dd-mm-yyyy")&amp;" )"</f>
        <v>Particulars ( 01-02-2024 to 29-02-2024 )</v>
      </c>
      <c r="D92" s="79" t="s">
        <v>7</v>
      </c>
      <c r="E92" s="80" t="s">
        <v>73</v>
      </c>
      <c r="F92" s="80" t="s">
        <v>74</v>
      </c>
      <c r="G92" s="81" t="s">
        <v>75</v>
      </c>
      <c r="H92" s="80" t="s">
        <v>76</v>
      </c>
      <c r="I92" s="70"/>
      <c r="J92" s="113" t="s">
        <v>1861</v>
      </c>
      <c r="K92" s="115">
        <v>1862.06</v>
      </c>
      <c r="L92" s="115">
        <v>1152.21</v>
      </c>
      <c r="M92" s="115">
        <v>1264.8900000000001</v>
      </c>
      <c r="N92" s="113">
        <f>+K92+M92-L92</f>
        <v>1974.7399999999998</v>
      </c>
      <c r="O92" s="70"/>
      <c r="P92" s="70"/>
    </row>
    <row r="93" spans="1:19" s="2" customFormat="1" x14ac:dyDescent="0.2">
      <c r="A93" s="24"/>
      <c r="B93" s="1"/>
      <c r="C93" s="50" t="s">
        <v>444</v>
      </c>
      <c r="D93" s="55">
        <f>+K93</f>
        <v>332.44</v>
      </c>
      <c r="E93" s="55">
        <f>+IF(M93=0,0,M93)</f>
        <v>319.02999999999997</v>
      </c>
      <c r="F93" s="55">
        <f>+L93</f>
        <v>174.46</v>
      </c>
      <c r="G93" s="55">
        <f>+D93+E93-F93</f>
        <v>477.01</v>
      </c>
      <c r="H93" s="55">
        <f>1500-G93</f>
        <v>1022.99</v>
      </c>
      <c r="I93" s="70">
        <f>+IF(M93=0,0,M93)</f>
        <v>319.02999999999997</v>
      </c>
      <c r="J93" s="113" t="s">
        <v>707</v>
      </c>
      <c r="K93" s="115">
        <v>332.44</v>
      </c>
      <c r="L93" s="115">
        <v>174.46</v>
      </c>
      <c r="M93" s="115">
        <v>319.02999999999997</v>
      </c>
      <c r="N93" s="113">
        <f>+K93+M93-L93</f>
        <v>477.01</v>
      </c>
      <c r="O93" s="70"/>
      <c r="P93" s="70"/>
    </row>
    <row r="94" spans="1:19" s="2" customFormat="1" x14ac:dyDescent="0.2">
      <c r="A94" s="24"/>
      <c r="B94" s="1"/>
      <c r="C94" s="50" t="s">
        <v>71</v>
      </c>
      <c r="D94" s="55">
        <f>+K91+K92</f>
        <v>2054.0499999999997</v>
      </c>
      <c r="E94" s="55">
        <f>+M91+M92</f>
        <v>1296.5400000000002</v>
      </c>
      <c r="F94" s="55">
        <f>+L91+L92</f>
        <v>1180.06</v>
      </c>
      <c r="G94" s="55">
        <f>+D94+E94-F94</f>
        <v>2170.5300000000002</v>
      </c>
      <c r="H94" s="55">
        <f>1500+700+200-G94</f>
        <v>229.4699999999998</v>
      </c>
      <c r="I94" s="70"/>
      <c r="K94" s="118">
        <f>SUM(K91:K93)</f>
        <v>2386.4899999999998</v>
      </c>
      <c r="L94" s="118">
        <f>SUM(L91:L93)</f>
        <v>1354.52</v>
      </c>
      <c r="M94" s="118">
        <f>SUM(M91:M93)</f>
        <v>1615.5700000000002</v>
      </c>
      <c r="N94" s="118">
        <f>SUM(N91:N93)</f>
        <v>2647.54</v>
      </c>
      <c r="O94" s="70"/>
      <c r="P94" s="70"/>
    </row>
    <row r="95" spans="1:19" s="2" customFormat="1" x14ac:dyDescent="0.2">
      <c r="A95" s="24"/>
      <c r="B95" s="1"/>
      <c r="C95" s="14"/>
      <c r="D95" s="56"/>
      <c r="E95" s="13"/>
      <c r="G95" s="30"/>
      <c r="H95" s="30"/>
      <c r="I95" s="70"/>
      <c r="J95" s="70"/>
      <c r="K95" s="70"/>
      <c r="L95" s="70"/>
      <c r="M95" s="70"/>
      <c r="N95" s="70"/>
      <c r="O95" s="70"/>
      <c r="P95" s="70"/>
    </row>
    <row r="96" spans="1:19" s="2" customFormat="1" x14ac:dyDescent="0.2">
      <c r="A96" s="215" t="s">
        <v>80</v>
      </c>
      <c r="B96" s="216"/>
      <c r="C96" s="216"/>
      <c r="D96" s="217"/>
      <c r="E96" s="69"/>
      <c r="F96" s="70"/>
      <c r="G96" s="30"/>
      <c r="H96" s="30"/>
      <c r="I96" s="70"/>
      <c r="J96" s="70"/>
      <c r="K96" s="70"/>
      <c r="L96" s="70"/>
      <c r="M96" s="70"/>
      <c r="N96" s="70"/>
      <c r="O96" s="70"/>
      <c r="P96" s="70"/>
    </row>
    <row r="97" spans="1:16" s="2" customFormat="1" x14ac:dyDescent="0.2">
      <c r="A97" s="71" t="s">
        <v>81</v>
      </c>
      <c r="B97" s="71"/>
      <c r="C97" s="72" t="s">
        <v>82</v>
      </c>
      <c r="D97" s="73" t="s">
        <v>83</v>
      </c>
      <c r="E97" s="69"/>
      <c r="F97" s="70"/>
      <c r="G97" s="30"/>
      <c r="H97" s="30"/>
      <c r="I97" s="70"/>
      <c r="J97" s="70"/>
      <c r="K97" s="70"/>
      <c r="L97" s="70"/>
      <c r="M97" s="70"/>
      <c r="N97" s="70"/>
      <c r="O97" s="70"/>
      <c r="P97" s="70"/>
    </row>
    <row r="98" spans="1:16" s="2" customFormat="1" x14ac:dyDescent="0.2">
      <c r="A98" s="87">
        <v>45323</v>
      </c>
      <c r="B98" s="120" t="s">
        <v>6</v>
      </c>
      <c r="C98" s="75" t="s">
        <v>18</v>
      </c>
      <c r="D98" s="88">
        <v>881220</v>
      </c>
      <c r="G98" s="30"/>
      <c r="H98" s="30"/>
      <c r="M98" s="41"/>
      <c r="N98" s="42"/>
      <c r="O98" s="70"/>
      <c r="P98" s="70"/>
    </row>
    <row r="99" spans="1:16" s="2" customFormat="1" x14ac:dyDescent="0.2">
      <c r="A99" s="87">
        <v>45324</v>
      </c>
      <c r="B99" s="120" t="s">
        <v>6</v>
      </c>
      <c r="C99" s="75" t="s">
        <v>270</v>
      </c>
      <c r="D99" s="88">
        <v>47729</v>
      </c>
      <c r="G99" s="30"/>
      <c r="H99" s="30"/>
      <c r="M99" s="41"/>
      <c r="N99" s="42"/>
      <c r="P99" s="70"/>
    </row>
    <row r="100" spans="1:16" s="2" customFormat="1" x14ac:dyDescent="0.2">
      <c r="A100" s="87">
        <v>45327</v>
      </c>
      <c r="B100" s="120" t="s">
        <v>6</v>
      </c>
      <c r="C100" s="75" t="s">
        <v>271</v>
      </c>
      <c r="D100" s="88">
        <v>56647</v>
      </c>
      <c r="G100" s="30"/>
      <c r="H100" s="30"/>
      <c r="M100" s="41"/>
      <c r="N100" s="42"/>
      <c r="P100" s="70"/>
    </row>
    <row r="101" spans="1:16" s="2" customFormat="1" x14ac:dyDescent="0.2">
      <c r="A101" s="87">
        <v>45328</v>
      </c>
      <c r="B101" s="120" t="s">
        <v>6</v>
      </c>
      <c r="C101" s="75" t="s">
        <v>87</v>
      </c>
      <c r="D101" s="88">
        <v>1312580</v>
      </c>
      <c r="G101" s="30"/>
      <c r="H101" s="30"/>
      <c r="M101" s="41"/>
      <c r="N101" s="42"/>
      <c r="P101" s="70"/>
    </row>
    <row r="102" spans="1:16" s="2" customFormat="1" x14ac:dyDescent="0.2">
      <c r="A102" s="87">
        <v>45329</v>
      </c>
      <c r="B102" s="120" t="s">
        <v>6</v>
      </c>
      <c r="C102" s="75" t="s">
        <v>18</v>
      </c>
      <c r="D102" s="88">
        <v>548859</v>
      </c>
      <c r="G102" s="30"/>
      <c r="H102" s="30"/>
      <c r="M102" s="41"/>
      <c r="N102" s="42"/>
      <c r="P102" s="70"/>
    </row>
    <row r="103" spans="1:16" s="2" customFormat="1" x14ac:dyDescent="0.2">
      <c r="A103" s="87">
        <v>45332</v>
      </c>
      <c r="B103" s="120" t="s">
        <v>6</v>
      </c>
      <c r="C103" s="75" t="s">
        <v>594</v>
      </c>
      <c r="D103" s="88">
        <v>1603904</v>
      </c>
      <c r="G103" s="30"/>
      <c r="H103" s="30"/>
      <c r="M103" s="41"/>
      <c r="N103" s="42"/>
      <c r="P103" s="70"/>
    </row>
    <row r="104" spans="1:16" s="2" customFormat="1" x14ac:dyDescent="0.2">
      <c r="A104" s="87">
        <v>45334</v>
      </c>
      <c r="B104" s="120" t="s">
        <v>6</v>
      </c>
      <c r="C104" s="75" t="s">
        <v>270</v>
      </c>
      <c r="D104" s="88">
        <v>126143</v>
      </c>
      <c r="G104" s="30"/>
      <c r="H104" s="30"/>
      <c r="M104" s="41"/>
      <c r="N104" s="42"/>
      <c r="P104" s="70"/>
    </row>
    <row r="105" spans="1:16" s="2" customFormat="1" x14ac:dyDescent="0.2">
      <c r="A105" s="87">
        <v>45334</v>
      </c>
      <c r="B105" s="120" t="s">
        <v>6</v>
      </c>
      <c r="C105" s="75" t="s">
        <v>323</v>
      </c>
      <c r="D105" s="88">
        <v>231107</v>
      </c>
      <c r="G105" s="30"/>
      <c r="H105" s="30"/>
      <c r="M105" s="41"/>
      <c r="N105" s="42"/>
      <c r="P105" s="70"/>
    </row>
    <row r="106" spans="1:16" s="2" customFormat="1" x14ac:dyDescent="0.2">
      <c r="A106" s="87">
        <v>45335</v>
      </c>
      <c r="B106" s="120" t="s">
        <v>6</v>
      </c>
      <c r="C106" s="75" t="s">
        <v>271</v>
      </c>
      <c r="D106" s="88">
        <v>9126</v>
      </c>
      <c r="G106" s="30"/>
      <c r="H106" s="30"/>
      <c r="P106" s="70"/>
    </row>
    <row r="107" spans="1:16" s="2" customFormat="1" x14ac:dyDescent="0.2">
      <c r="A107" s="87">
        <v>45336</v>
      </c>
      <c r="B107" s="120" t="s">
        <v>6</v>
      </c>
      <c r="C107" s="75" t="s">
        <v>18</v>
      </c>
      <c r="D107" s="88">
        <v>1067908</v>
      </c>
      <c r="G107" s="30"/>
      <c r="H107" s="30"/>
      <c r="P107" s="70"/>
    </row>
    <row r="108" spans="1:16" s="2" customFormat="1" x14ac:dyDescent="0.2">
      <c r="A108" s="87">
        <v>45337</v>
      </c>
      <c r="B108" s="120" t="s">
        <v>6</v>
      </c>
      <c r="C108" s="75" t="s">
        <v>201</v>
      </c>
      <c r="D108" s="88">
        <v>78251</v>
      </c>
      <c r="F108" s="2" t="s">
        <v>396</v>
      </c>
      <c r="G108" s="30"/>
      <c r="H108" s="30"/>
      <c r="P108" s="70"/>
    </row>
    <row r="109" spans="1:16" s="2" customFormat="1" x14ac:dyDescent="0.2">
      <c r="A109" s="87">
        <v>45337</v>
      </c>
      <c r="B109" s="120" t="s">
        <v>6</v>
      </c>
      <c r="C109" s="75" t="s">
        <v>271</v>
      </c>
      <c r="D109" s="88">
        <v>17527</v>
      </c>
      <c r="G109" s="30"/>
      <c r="H109" s="30"/>
      <c r="P109" s="70"/>
    </row>
    <row r="110" spans="1:16" s="2" customFormat="1" x14ac:dyDescent="0.2">
      <c r="A110" s="87">
        <v>45338</v>
      </c>
      <c r="B110" s="120" t="s">
        <v>6</v>
      </c>
      <c r="C110" s="75" t="s">
        <v>1789</v>
      </c>
      <c r="D110" s="88">
        <v>1418915</v>
      </c>
      <c r="F110" s="2" t="s">
        <v>396</v>
      </c>
      <c r="G110" s="30"/>
      <c r="H110" s="30"/>
      <c r="P110" s="70"/>
    </row>
    <row r="111" spans="1:16" s="2" customFormat="1" x14ac:dyDescent="0.2">
      <c r="A111" s="87">
        <v>45338</v>
      </c>
      <c r="B111" s="120" t="s">
        <v>6</v>
      </c>
      <c r="C111" s="75" t="s">
        <v>87</v>
      </c>
      <c r="D111" s="88">
        <v>3685988</v>
      </c>
      <c r="G111" s="30"/>
      <c r="H111" s="30"/>
      <c r="P111" s="70"/>
    </row>
    <row r="112" spans="1:16" s="2" customFormat="1" x14ac:dyDescent="0.2">
      <c r="A112" s="87">
        <v>45339</v>
      </c>
      <c r="B112" s="120" t="s">
        <v>6</v>
      </c>
      <c r="C112" s="75" t="s">
        <v>271</v>
      </c>
      <c r="D112" s="88">
        <v>423618</v>
      </c>
      <c r="G112" s="30"/>
      <c r="H112" s="30"/>
      <c r="P112" s="70"/>
    </row>
    <row r="113" spans="1:16" s="2" customFormat="1" x14ac:dyDescent="0.2">
      <c r="A113" s="87">
        <v>45339</v>
      </c>
      <c r="B113" s="120" t="s">
        <v>6</v>
      </c>
      <c r="C113" s="2" t="s">
        <v>18</v>
      </c>
      <c r="D113" s="88">
        <v>875762</v>
      </c>
      <c r="G113" s="30"/>
      <c r="H113" s="30"/>
      <c r="P113" s="70"/>
    </row>
    <row r="114" spans="1:16" s="2" customFormat="1" x14ac:dyDescent="0.2">
      <c r="A114" s="87">
        <v>45341</v>
      </c>
      <c r="B114" s="120" t="s">
        <v>6</v>
      </c>
      <c r="C114" s="2" t="s">
        <v>271</v>
      </c>
      <c r="D114" s="88">
        <v>121500</v>
      </c>
      <c r="G114" s="30"/>
      <c r="H114" s="30"/>
      <c r="P114" s="70"/>
    </row>
    <row r="115" spans="1:16" s="2" customFormat="1" x14ac:dyDescent="0.2">
      <c r="A115" s="87">
        <v>45341</v>
      </c>
      <c r="B115" s="120" t="s">
        <v>6</v>
      </c>
      <c r="C115" s="75" t="s">
        <v>270</v>
      </c>
      <c r="D115" s="88">
        <v>58247.99</v>
      </c>
      <c r="G115" s="30"/>
      <c r="H115" s="30"/>
      <c r="P115" s="70"/>
    </row>
    <row r="116" spans="1:16" s="2" customFormat="1" x14ac:dyDescent="0.2">
      <c r="A116" s="87">
        <v>45341</v>
      </c>
      <c r="B116" s="120" t="s">
        <v>6</v>
      </c>
      <c r="C116" s="75" t="s">
        <v>88</v>
      </c>
      <c r="D116" s="88">
        <v>5824017.3399999999</v>
      </c>
      <c r="G116" s="30"/>
      <c r="H116" s="30"/>
      <c r="P116" s="70"/>
    </row>
    <row r="117" spans="1:16" s="2" customFormat="1" x14ac:dyDescent="0.2">
      <c r="A117" s="87">
        <v>45341</v>
      </c>
      <c r="B117" s="120" t="s">
        <v>6</v>
      </c>
      <c r="C117" s="75" t="s">
        <v>270</v>
      </c>
      <c r="D117" s="88">
        <v>164904</v>
      </c>
      <c r="G117" s="30"/>
      <c r="H117" s="30"/>
      <c r="P117" s="70"/>
    </row>
    <row r="118" spans="1:16" s="2" customFormat="1" x14ac:dyDescent="0.2">
      <c r="A118" s="87">
        <v>45342</v>
      </c>
      <c r="B118" s="120" t="s">
        <v>6</v>
      </c>
      <c r="C118" s="75" t="s">
        <v>201</v>
      </c>
      <c r="D118" s="88">
        <v>6536518</v>
      </c>
      <c r="G118" s="30"/>
      <c r="H118" s="30"/>
      <c r="P118" s="70"/>
    </row>
    <row r="119" spans="1:16" s="2" customFormat="1" x14ac:dyDescent="0.2">
      <c r="A119" s="87">
        <v>45343</v>
      </c>
      <c r="B119" s="120" t="s">
        <v>6</v>
      </c>
      <c r="C119" s="75" t="s">
        <v>84</v>
      </c>
      <c r="D119" s="88">
        <v>2997902</v>
      </c>
      <c r="G119" s="30"/>
      <c r="H119" s="30"/>
      <c r="P119" s="70"/>
    </row>
    <row r="120" spans="1:16" s="2" customFormat="1" x14ac:dyDescent="0.2">
      <c r="A120" s="87">
        <v>45343</v>
      </c>
      <c r="B120" s="120" t="s">
        <v>6</v>
      </c>
      <c r="C120" s="75" t="s">
        <v>201</v>
      </c>
      <c r="D120" s="88">
        <v>15000146.5</v>
      </c>
      <c r="G120" s="30"/>
      <c r="H120" s="30"/>
      <c r="P120" s="70"/>
    </row>
    <row r="121" spans="1:16" s="2" customFormat="1" x14ac:dyDescent="0.2">
      <c r="A121" s="87">
        <v>45343</v>
      </c>
      <c r="B121" s="120" t="s">
        <v>6</v>
      </c>
      <c r="C121" s="75" t="s">
        <v>84</v>
      </c>
      <c r="D121" s="88">
        <v>2098</v>
      </c>
      <c r="G121" s="30"/>
      <c r="H121" s="30"/>
      <c r="P121" s="70"/>
    </row>
    <row r="122" spans="1:16" s="2" customFormat="1" x14ac:dyDescent="0.2">
      <c r="A122" s="87">
        <v>45343</v>
      </c>
      <c r="B122" s="120" t="s">
        <v>6</v>
      </c>
      <c r="C122" s="75" t="s">
        <v>18</v>
      </c>
      <c r="D122" s="88">
        <v>465686</v>
      </c>
      <c r="G122" s="30"/>
      <c r="H122" s="30"/>
      <c r="P122" s="70"/>
    </row>
    <row r="123" spans="1:16" s="2" customFormat="1" x14ac:dyDescent="0.2">
      <c r="A123" s="87">
        <v>45344</v>
      </c>
      <c r="B123" s="120" t="s">
        <v>6</v>
      </c>
      <c r="C123" s="75" t="s">
        <v>86</v>
      </c>
      <c r="D123" s="88">
        <v>107495</v>
      </c>
      <c r="G123" s="30"/>
      <c r="H123" s="30"/>
      <c r="P123" s="70"/>
    </row>
    <row r="124" spans="1:16" s="2" customFormat="1" x14ac:dyDescent="0.2">
      <c r="A124" s="87">
        <v>45344</v>
      </c>
      <c r="B124" s="120" t="s">
        <v>6</v>
      </c>
      <c r="C124" s="75" t="s">
        <v>86</v>
      </c>
      <c r="D124" s="88">
        <v>4051957</v>
      </c>
      <c r="G124" s="30"/>
      <c r="H124" s="30"/>
      <c r="P124" s="70"/>
    </row>
    <row r="125" spans="1:16" s="2" customFormat="1" x14ac:dyDescent="0.2">
      <c r="A125" s="87">
        <v>45344</v>
      </c>
      <c r="B125" s="120" t="s">
        <v>6</v>
      </c>
      <c r="C125" s="75" t="s">
        <v>594</v>
      </c>
      <c r="D125" s="88">
        <v>3989745</v>
      </c>
      <c r="G125" s="30"/>
      <c r="H125" s="30"/>
      <c r="P125" s="70"/>
    </row>
    <row r="126" spans="1:16" s="2" customFormat="1" x14ac:dyDescent="0.2">
      <c r="A126" s="87">
        <v>45344</v>
      </c>
      <c r="B126" s="120" t="s">
        <v>6</v>
      </c>
      <c r="C126" s="75" t="s">
        <v>594</v>
      </c>
      <c r="D126" s="88">
        <v>2520</v>
      </c>
      <c r="G126" s="30"/>
      <c r="H126" s="30"/>
      <c r="P126" s="70"/>
    </row>
    <row r="127" spans="1:16" s="2" customFormat="1" x14ac:dyDescent="0.2">
      <c r="A127" s="87">
        <v>45345</v>
      </c>
      <c r="B127" s="120" t="s">
        <v>6</v>
      </c>
      <c r="C127" s="75" t="s">
        <v>87</v>
      </c>
      <c r="D127" s="88">
        <v>6959736</v>
      </c>
      <c r="G127" s="30"/>
      <c r="H127" s="30"/>
      <c r="P127" s="70"/>
    </row>
    <row r="128" spans="1:16" s="2" customFormat="1" x14ac:dyDescent="0.2">
      <c r="A128" s="87">
        <v>45345</v>
      </c>
      <c r="B128" s="120" t="s">
        <v>6</v>
      </c>
      <c r="C128" s="75" t="s">
        <v>271</v>
      </c>
      <c r="D128" s="88">
        <v>718415</v>
      </c>
      <c r="G128" s="30"/>
      <c r="H128" s="30"/>
      <c r="P128" s="70"/>
    </row>
    <row r="129" spans="1:16" s="2" customFormat="1" x14ac:dyDescent="0.2">
      <c r="A129" s="87">
        <v>45345</v>
      </c>
      <c r="B129" s="120" t="s">
        <v>6</v>
      </c>
      <c r="C129" s="75" t="s">
        <v>271</v>
      </c>
      <c r="D129" s="88">
        <v>756396</v>
      </c>
      <c r="G129" s="30"/>
      <c r="H129" s="30"/>
      <c r="P129" s="70"/>
    </row>
    <row r="130" spans="1:16" s="2" customFormat="1" x14ac:dyDescent="0.2">
      <c r="A130" s="87">
        <v>45348</v>
      </c>
      <c r="B130" s="120" t="s">
        <v>6</v>
      </c>
      <c r="C130" s="75" t="s">
        <v>271</v>
      </c>
      <c r="D130" s="88">
        <v>6830</v>
      </c>
      <c r="G130" s="30"/>
      <c r="H130" s="30"/>
      <c r="P130" s="70"/>
    </row>
    <row r="131" spans="1:16" s="2" customFormat="1" x14ac:dyDescent="0.2">
      <c r="A131" s="87">
        <v>45349</v>
      </c>
      <c r="B131" s="120" t="s">
        <v>6</v>
      </c>
      <c r="C131" s="75" t="s">
        <v>1789</v>
      </c>
      <c r="D131" s="88">
        <v>3831686</v>
      </c>
      <c r="G131" s="30"/>
      <c r="H131" s="30"/>
      <c r="P131" s="70"/>
    </row>
    <row r="132" spans="1:16" s="2" customFormat="1" x14ac:dyDescent="0.2">
      <c r="A132" s="87">
        <v>45349</v>
      </c>
      <c r="B132" s="120" t="s">
        <v>6</v>
      </c>
      <c r="C132" s="75" t="s">
        <v>323</v>
      </c>
      <c r="D132" s="88">
        <v>3113059</v>
      </c>
      <c r="G132" s="30"/>
      <c r="H132" s="30"/>
      <c r="P132" s="70"/>
    </row>
    <row r="133" spans="1:16" s="2" customFormat="1" x14ac:dyDescent="0.2">
      <c r="A133" s="87">
        <v>45349</v>
      </c>
      <c r="B133" s="120" t="s">
        <v>6</v>
      </c>
      <c r="C133" s="75" t="s">
        <v>271</v>
      </c>
      <c r="D133" s="88">
        <v>3575603</v>
      </c>
      <c r="G133" s="30"/>
      <c r="H133" s="30"/>
      <c r="P133" s="70"/>
    </row>
    <row r="134" spans="1:16" s="2" customFormat="1" x14ac:dyDescent="0.2">
      <c r="A134" s="87">
        <v>45350</v>
      </c>
      <c r="B134" s="120"/>
      <c r="C134" s="75" t="s">
        <v>201</v>
      </c>
      <c r="D134" s="88">
        <v>5490500</v>
      </c>
      <c r="G134" s="30"/>
      <c r="H134" s="30"/>
      <c r="P134" s="70"/>
    </row>
    <row r="135" spans="1:16" s="2" customFormat="1" x14ac:dyDescent="0.2">
      <c r="A135" s="87">
        <v>45351</v>
      </c>
      <c r="B135" s="120"/>
      <c r="C135" s="75" t="s">
        <v>1789</v>
      </c>
      <c r="D135" s="88">
        <v>1162179</v>
      </c>
      <c r="G135" s="30"/>
      <c r="H135" s="30"/>
      <c r="P135" s="70"/>
    </row>
    <row r="136" spans="1:16" s="2" customFormat="1" x14ac:dyDescent="0.2">
      <c r="A136" s="87">
        <v>45351</v>
      </c>
      <c r="B136" s="120"/>
      <c r="C136" s="75" t="s">
        <v>87</v>
      </c>
      <c r="D136" s="88">
        <v>3530595</v>
      </c>
      <c r="G136" s="30"/>
      <c r="H136" s="30"/>
      <c r="P136" s="70"/>
    </row>
    <row r="137" spans="1:16" s="2" customFormat="1" x14ac:dyDescent="0.2">
      <c r="A137" s="87"/>
      <c r="B137" s="74"/>
      <c r="C137" s="183" t="s">
        <v>2141</v>
      </c>
      <c r="D137" s="51">
        <f>SUM(D98:D136)</f>
        <v>80853019.829999998</v>
      </c>
      <c r="F137" s="2" t="s">
        <v>396</v>
      </c>
      <c r="G137" s="1"/>
      <c r="H137" s="1"/>
      <c r="P137" s="70"/>
    </row>
    <row r="138" spans="1:16" s="2" customFormat="1" x14ac:dyDescent="0.2">
      <c r="A138" s="24"/>
      <c r="B138" s="1"/>
      <c r="C138" s="14"/>
      <c r="D138" s="56"/>
      <c r="E138" s="13"/>
      <c r="G138" s="1"/>
      <c r="H138" s="1"/>
      <c r="I138" s="2" t="s">
        <v>396</v>
      </c>
    </row>
    <row r="139" spans="1:16" s="2" customFormat="1" x14ac:dyDescent="0.2">
      <c r="A139" s="24"/>
      <c r="B139" s="1"/>
      <c r="C139" s="218" t="s">
        <v>77</v>
      </c>
      <c r="D139" s="219"/>
      <c r="E139" s="219"/>
      <c r="F139" s="220"/>
      <c r="I139" s="2" t="s">
        <v>396</v>
      </c>
    </row>
    <row r="140" spans="1:16" s="2" customFormat="1" x14ac:dyDescent="0.2">
      <c r="A140" s="24"/>
      <c r="B140" s="1"/>
      <c r="C140" s="50"/>
      <c r="D140" s="57" t="s">
        <v>78</v>
      </c>
      <c r="E140" s="58" t="s">
        <v>79</v>
      </c>
      <c r="F140" s="57" t="s">
        <v>72</v>
      </c>
    </row>
    <row r="141" spans="1:16" s="2" customFormat="1" x14ac:dyDescent="0.2">
      <c r="A141" s="24"/>
      <c r="B141" s="1"/>
      <c r="C141" s="59" t="str">
        <f>"01-02-2024 to "&amp;TEXT(A5-2,"dd-mm-yyyy")</f>
        <v>01-02-2024 to 27-02-2024</v>
      </c>
      <c r="D141" s="60">
        <v>3323.81</v>
      </c>
      <c r="E141" s="60">
        <v>626.62</v>
      </c>
      <c r="F141" s="61">
        <f>SUM(D141:E141)</f>
        <v>3950.43</v>
      </c>
      <c r="I141" s="53"/>
    </row>
    <row r="142" spans="1:16" s="2" customFormat="1" x14ac:dyDescent="0.2">
      <c r="A142" s="24"/>
      <c r="B142" s="1"/>
      <c r="C142" s="62" t="str">
        <f>TEXT(A5-1,"dd-mm-yyyy")</f>
        <v>28-02-2024</v>
      </c>
      <c r="D142" s="60">
        <v>410.71</v>
      </c>
      <c r="E142" s="60">
        <v>33</v>
      </c>
      <c r="F142" s="61">
        <f>SUM(D142:E142)</f>
        <v>443.71</v>
      </c>
      <c r="G142" s="1"/>
      <c r="H142" s="1"/>
      <c r="I142" s="53"/>
    </row>
    <row r="143" spans="1:16" s="2" customFormat="1" ht="13.5" thickBot="1" x14ac:dyDescent="0.25">
      <c r="A143" s="24"/>
      <c r="B143" s="1"/>
      <c r="C143" s="63" t="str">
        <f>"01-02-2024 to "&amp;TEXT(A5-1,"dd-mm-yyyy")</f>
        <v>01-02-2024 to 28-02-2024</v>
      </c>
      <c r="D143" s="64">
        <f>SUM(D141:D142)</f>
        <v>3734.52</v>
      </c>
      <c r="E143" s="64">
        <f>SUM(E141:E142)</f>
        <v>659.62</v>
      </c>
      <c r="F143" s="64">
        <f>SUM(F141:F142)</f>
        <v>4394.1399999999994</v>
      </c>
      <c r="G143" s="1"/>
      <c r="H143" s="1"/>
      <c r="M143" s="1"/>
      <c r="N143" s="1"/>
    </row>
    <row r="144" spans="1:16" s="2" customFormat="1" ht="13.5" thickTop="1" x14ac:dyDescent="0.2">
      <c r="A144" s="24"/>
      <c r="B144" s="1"/>
      <c r="C144" s="62"/>
      <c r="D144" s="65"/>
      <c r="E144" s="66"/>
      <c r="F144" s="67"/>
      <c r="M144" s="1"/>
      <c r="N144" s="1"/>
    </row>
    <row r="145" spans="1:19" s="2" customFormat="1" x14ac:dyDescent="0.2">
      <c r="A145" s="24"/>
      <c r="B145" s="1"/>
      <c r="C145" s="62" t="str">
        <f>"01-04-2023 to " &amp;C142</f>
        <v>01-04-2023 to 28-02-2024</v>
      </c>
      <c r="D145" s="68">
        <f>+D143+37155.6</f>
        <v>40890.119999999995</v>
      </c>
      <c r="E145" s="68">
        <f>+E143+4502.26</f>
        <v>5161.88</v>
      </c>
      <c r="F145" s="68">
        <f>+F143+41657.86</f>
        <v>46052</v>
      </c>
      <c r="G145" s="1"/>
      <c r="H145" s="1"/>
      <c r="M145" s="1"/>
      <c r="N145" s="1"/>
    </row>
    <row r="146" spans="1:19" s="2" customFormat="1" x14ac:dyDescent="0.2">
      <c r="A146" s="24"/>
      <c r="B146" s="1"/>
      <c r="C146" s="52"/>
      <c r="D146" s="85"/>
      <c r="E146" s="53"/>
      <c r="F146" s="53"/>
      <c r="G146" s="1"/>
      <c r="H146" s="1"/>
      <c r="M146" s="1"/>
      <c r="N146" s="1"/>
    </row>
    <row r="147" spans="1:19" s="2" customFormat="1" x14ac:dyDescent="0.2">
      <c r="A147" s="24"/>
      <c r="B147" s="1"/>
      <c r="C147" s="52"/>
      <c r="D147" s="85"/>
      <c r="E147" s="53"/>
      <c r="F147" s="53"/>
      <c r="G147" s="1"/>
      <c r="H147" s="1"/>
      <c r="M147" s="1"/>
      <c r="N147" s="1"/>
    </row>
    <row r="148" spans="1:19" s="2" customFormat="1" x14ac:dyDescent="0.2">
      <c r="A148" s="24"/>
      <c r="B148" s="1"/>
      <c r="C148" s="52"/>
      <c r="D148" s="85"/>
      <c r="E148" s="53"/>
      <c r="F148" s="53"/>
      <c r="G148" s="1"/>
      <c r="H148" s="1"/>
      <c r="M148" s="1"/>
      <c r="N148" s="1"/>
    </row>
    <row r="149" spans="1:19" s="2" customFormat="1" x14ac:dyDescent="0.2">
      <c r="A149" s="24"/>
      <c r="B149" s="1"/>
      <c r="C149" s="52"/>
      <c r="D149" s="85"/>
      <c r="E149" s="53"/>
      <c r="F149" s="53"/>
      <c r="G149" s="1"/>
      <c r="H149" s="1"/>
      <c r="M149" s="1"/>
      <c r="N149" s="1"/>
    </row>
    <row r="150" spans="1:19" s="2" customFormat="1" x14ac:dyDescent="0.2">
      <c r="A150" s="24"/>
      <c r="B150" s="1"/>
      <c r="C150" s="14"/>
      <c r="D150" s="25">
        <f>SUM(D147:D149)</f>
        <v>0</v>
      </c>
      <c r="E150" s="2">
        <f>SUM(E147:E149)</f>
        <v>0</v>
      </c>
      <c r="G150" s="1"/>
      <c r="H150" s="1"/>
      <c r="M150" s="1"/>
      <c r="N150" s="1"/>
    </row>
    <row r="151" spans="1:19" s="2" customFormat="1" x14ac:dyDescent="0.2">
      <c r="A151" s="24"/>
      <c r="B151" s="1"/>
      <c r="C151" s="14"/>
      <c r="D151" s="25"/>
      <c r="G151" s="1"/>
      <c r="H151" s="1"/>
      <c r="M151" s="1"/>
      <c r="N151" s="1"/>
    </row>
    <row r="152" spans="1:19" s="2" customFormat="1" x14ac:dyDescent="0.2">
      <c r="A152" s="24"/>
      <c r="B152" s="1"/>
      <c r="C152" s="14"/>
      <c r="D152" s="25"/>
      <c r="G152" s="1"/>
      <c r="H152" s="1"/>
      <c r="M152" s="1"/>
      <c r="N152" s="1"/>
    </row>
    <row r="153" spans="1:19" s="2" customFormat="1" x14ac:dyDescent="0.2">
      <c r="A153" s="24"/>
      <c r="B153" s="1"/>
      <c r="C153" s="14"/>
      <c r="D153" s="25"/>
      <c r="G153" s="1"/>
      <c r="H153" s="1"/>
      <c r="M153" s="1"/>
      <c r="N153" s="1"/>
    </row>
    <row r="154" spans="1:19" s="2" customFormat="1" x14ac:dyDescent="0.2">
      <c r="A154" s="24"/>
      <c r="B154" s="1"/>
      <c r="C154" s="14"/>
      <c r="D154" s="25"/>
      <c r="G154" s="1"/>
      <c r="H154" s="1"/>
      <c r="M154" s="1"/>
      <c r="N154" s="1"/>
    </row>
    <row r="155" spans="1:19" s="2" customFormat="1" x14ac:dyDescent="0.2">
      <c r="A155" s="24"/>
      <c r="B155" s="1"/>
      <c r="C155" s="14"/>
      <c r="D155" s="25"/>
      <c r="G155" s="1"/>
      <c r="H155" s="1"/>
      <c r="M155" s="1"/>
      <c r="N155" s="1"/>
    </row>
    <row r="156" spans="1:19" s="2" customFormat="1" x14ac:dyDescent="0.2">
      <c r="A156" s="24"/>
      <c r="B156" s="1"/>
      <c r="C156" s="14"/>
      <c r="D156" s="25"/>
      <c r="G156" s="1"/>
      <c r="H156" s="1"/>
      <c r="M156" s="1"/>
      <c r="N156" s="1"/>
    </row>
    <row r="157" spans="1:19" s="2" customFormat="1" x14ac:dyDescent="0.2">
      <c r="A157" s="24"/>
      <c r="B157" s="1"/>
      <c r="C157" s="14"/>
      <c r="D157" s="25"/>
      <c r="G157" s="1"/>
      <c r="H157" s="1"/>
      <c r="M157" s="1"/>
      <c r="N157" s="1"/>
      <c r="Q157" s="1"/>
      <c r="R157" s="1"/>
      <c r="S157" s="1"/>
    </row>
    <row r="158" spans="1:19" x14ac:dyDescent="0.2">
      <c r="J158" s="2"/>
      <c r="K158" s="2"/>
      <c r="L158" s="2"/>
      <c r="O158" s="2"/>
      <c r="P158" s="2"/>
      <c r="Q158" s="2"/>
      <c r="R158" s="2"/>
      <c r="S158" s="2"/>
    </row>
    <row r="159" spans="1:19" s="2" customFormat="1" x14ac:dyDescent="0.2">
      <c r="A159" s="24"/>
      <c r="B159" s="1"/>
      <c r="C159" s="14"/>
      <c r="D159" s="25"/>
      <c r="G159" s="1"/>
      <c r="H159" s="1"/>
      <c r="M159" s="1"/>
      <c r="N159" s="1"/>
      <c r="Q159" s="1"/>
      <c r="R159" s="1"/>
      <c r="S159" s="1"/>
    </row>
    <row r="160" spans="1:19" x14ac:dyDescent="0.2">
      <c r="J160" s="2"/>
      <c r="K160" s="2"/>
      <c r="L160" s="2"/>
      <c r="O160" s="2"/>
      <c r="P160" s="2"/>
    </row>
    <row r="161" spans="7:16" x14ac:dyDescent="0.2">
      <c r="J161" s="2"/>
      <c r="K161" s="2"/>
      <c r="L161" s="2"/>
      <c r="O161" s="2"/>
      <c r="P161" s="2"/>
    </row>
    <row r="162" spans="7:16" x14ac:dyDescent="0.2">
      <c r="J162" s="2"/>
      <c r="K162" s="2"/>
      <c r="L162" s="2"/>
      <c r="O162" s="2"/>
      <c r="P162" s="2"/>
    </row>
    <row r="163" spans="7:16" x14ac:dyDescent="0.2">
      <c r="J163" s="2"/>
      <c r="K163" s="2"/>
      <c r="L163" s="2"/>
      <c r="O163" s="2"/>
      <c r="P163" s="2"/>
    </row>
    <row r="164" spans="7:16" x14ac:dyDescent="0.2">
      <c r="O164" s="2"/>
      <c r="P164" s="2"/>
    </row>
    <row r="165" spans="7:16" x14ac:dyDescent="0.2">
      <c r="J165" s="2"/>
      <c r="K165" s="2"/>
      <c r="L165" s="2"/>
      <c r="M165" s="2"/>
      <c r="N165" s="2"/>
      <c r="O165" s="2"/>
      <c r="P165" s="2"/>
    </row>
    <row r="166" spans="7:16" x14ac:dyDescent="0.2">
      <c r="O166" s="2"/>
      <c r="P166" s="2"/>
    </row>
    <row r="167" spans="7:16" x14ac:dyDescent="0.2">
      <c r="G167" s="54"/>
      <c r="H167" s="54"/>
      <c r="O167" s="2"/>
      <c r="P167" s="2"/>
    </row>
    <row r="168" spans="7:16" x14ac:dyDescent="0.2">
      <c r="G168" s="54"/>
      <c r="H168" s="54"/>
      <c r="O168" s="2"/>
      <c r="P168" s="2"/>
    </row>
    <row r="169" spans="7:16" x14ac:dyDescent="0.2">
      <c r="G169" s="54"/>
      <c r="H169" s="54"/>
      <c r="O169" s="2"/>
      <c r="P169" s="2"/>
    </row>
    <row r="170" spans="7:16" x14ac:dyDescent="0.2">
      <c r="G170" s="54"/>
      <c r="H170" s="54"/>
      <c r="I170" s="2" t="s">
        <v>396</v>
      </c>
      <c r="O170" s="2"/>
      <c r="P170" s="2"/>
    </row>
    <row r="171" spans="7:16" x14ac:dyDescent="0.2">
      <c r="G171" s="54"/>
      <c r="H171" s="54"/>
      <c r="I171" s="53"/>
      <c r="J171" s="2"/>
      <c r="K171" s="2"/>
      <c r="L171" s="2"/>
      <c r="M171" s="2"/>
      <c r="N171" s="2"/>
      <c r="P171" s="2"/>
    </row>
    <row r="172" spans="7:16" x14ac:dyDescent="0.2">
      <c r="G172" s="54"/>
      <c r="H172" s="54"/>
      <c r="I172" s="53" t="s">
        <v>396</v>
      </c>
      <c r="O172" s="2"/>
      <c r="P172" s="2"/>
    </row>
    <row r="173" spans="7:16" x14ac:dyDescent="0.2">
      <c r="G173" s="54"/>
      <c r="H173" s="54"/>
      <c r="I173" s="53" t="s">
        <v>396</v>
      </c>
      <c r="K173" s="42"/>
      <c r="P173" s="2"/>
    </row>
    <row r="174" spans="7:16" x14ac:dyDescent="0.2">
      <c r="G174" s="54"/>
      <c r="H174" s="54"/>
      <c r="I174" s="53"/>
      <c r="J174" s="101"/>
      <c r="P174" s="2"/>
    </row>
    <row r="175" spans="7:16" x14ac:dyDescent="0.2">
      <c r="G175" s="54"/>
      <c r="H175" s="54"/>
      <c r="I175" s="53"/>
    </row>
    <row r="176" spans="7:16" x14ac:dyDescent="0.2">
      <c r="G176" s="54"/>
      <c r="H176" s="54"/>
      <c r="I176" s="53"/>
      <c r="P176" s="2"/>
    </row>
    <row r="177" spans="7:9" x14ac:dyDescent="0.2">
      <c r="G177" s="54"/>
      <c r="H177" s="54"/>
      <c r="I177" s="53"/>
    </row>
  </sheetData>
  <sheetProtection insertRows="0"/>
  <mergeCells count="8">
    <mergeCell ref="K89:L89"/>
    <mergeCell ref="A96:D96"/>
    <mergeCell ref="C139:F139"/>
    <mergeCell ref="A1:H1"/>
    <mergeCell ref="A3:F3"/>
    <mergeCell ref="A9:F9"/>
    <mergeCell ref="A32:F32"/>
    <mergeCell ref="A48:F48"/>
  </mergeCells>
  <conditionalFormatting sqref="H93:H94">
    <cfRule type="cellIs" dxfId="49" priority="1" operator="lessThan">
      <formula>0</formula>
    </cfRule>
  </conditionalFormatting>
  <conditionalFormatting sqref="C50">
    <cfRule type="duplicateValues" dxfId="48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1-000000000000}">
  <sheetPr codeName="Sheet562">
    <pageSetUpPr fitToPage="1"/>
  </sheetPr>
  <dimension ref="A1:S131"/>
  <sheetViews>
    <sheetView topLeftCell="A43" zoomScaleNormal="100" workbookViewId="0">
      <selection activeCell="E50" sqref="E50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12.85546875" style="1" customWidth="1"/>
    <col min="9" max="9" width="24.85546875" style="2" bestFit="1" customWidth="1"/>
    <col min="10" max="10" width="21.5703125" style="1" bestFit="1" customWidth="1"/>
    <col min="11" max="11" width="16.85546875" style="1" bestFit="1" customWidth="1"/>
    <col min="12" max="12" width="19.5703125" style="1" bestFit="1" customWidth="1"/>
    <col min="13" max="13" width="13.5703125" style="1" bestFit="1" customWidth="1"/>
    <col min="14" max="14" width="17.42578125" style="1" bestFit="1" customWidth="1"/>
    <col min="15" max="15" width="12.85546875" style="1" bestFit="1" customWidth="1"/>
    <col min="16" max="17" width="9.140625" style="1"/>
    <col min="18" max="18" width="15.5703125" style="1" bestFit="1" customWidth="1"/>
    <col min="19" max="16384" width="9.140625" style="1"/>
  </cols>
  <sheetData>
    <row r="1" spans="1:11" ht="20.25" customHeight="1" x14ac:dyDescent="0.4">
      <c r="A1" s="212" t="s">
        <v>2152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1" ht="12.75" customHeight="1" x14ac:dyDescent="0.4">
      <c r="I2" s="112"/>
      <c r="J2" s="112"/>
    </row>
    <row r="3" spans="1:11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1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1" s="2" customFormat="1" ht="14.25" customHeight="1" x14ac:dyDescent="0.4">
      <c r="A5" s="89">
        <v>45352</v>
      </c>
      <c r="B5" s="9" t="s">
        <v>6</v>
      </c>
      <c r="C5" s="10" t="s">
        <v>7</v>
      </c>
      <c r="D5" s="11"/>
      <c r="E5" s="12">
        <v>322570.6800000004</v>
      </c>
      <c r="F5" s="12"/>
      <c r="G5" s="1"/>
      <c r="H5" s="1"/>
      <c r="I5" s="112"/>
      <c r="J5" s="112"/>
    </row>
    <row r="6" spans="1:11" s="2" customFormat="1" ht="14.25" customHeight="1" x14ac:dyDescent="0.4">
      <c r="A6" s="89">
        <v>45352</v>
      </c>
      <c r="B6" s="9" t="s">
        <v>6</v>
      </c>
      <c r="C6" s="10" t="s">
        <v>683</v>
      </c>
      <c r="D6" s="11" t="s">
        <v>13</v>
      </c>
      <c r="E6" s="12">
        <v>140306.16</v>
      </c>
      <c r="F6" s="12"/>
      <c r="G6" s="1"/>
      <c r="H6" s="1"/>
      <c r="I6" s="112"/>
      <c r="J6" s="112"/>
    </row>
    <row r="7" spans="1:11" s="2" customFormat="1" ht="12.75" customHeight="1" x14ac:dyDescent="0.2">
      <c r="D7" s="15" t="s">
        <v>8</v>
      </c>
      <c r="E7" s="16">
        <f>SUM(E5:E6)</f>
        <v>462876.84000000043</v>
      </c>
      <c r="F7" s="16">
        <f>F5</f>
        <v>0</v>
      </c>
      <c r="G7" s="1"/>
      <c r="H7" s="1"/>
      <c r="I7" s="13" t="s">
        <v>1582</v>
      </c>
      <c r="J7" s="13" t="s">
        <v>1583</v>
      </c>
    </row>
    <row r="8" spans="1:11" s="2" customFormat="1" ht="12.75" customHeight="1" x14ac:dyDescent="0.2">
      <c r="A8" s="17"/>
      <c r="B8" s="18"/>
      <c r="C8" s="19" t="s">
        <v>9</v>
      </c>
      <c r="D8" s="20"/>
      <c r="E8" s="21">
        <f>+E7-F7</f>
        <v>462876.84000000043</v>
      </c>
      <c r="F8" s="22"/>
      <c r="G8" s="23"/>
      <c r="H8" s="23"/>
      <c r="I8" s="2">
        <v>1992357</v>
      </c>
      <c r="J8" s="2">
        <v>0</v>
      </c>
      <c r="K8" s="176">
        <f>I8-J8</f>
        <v>1992357</v>
      </c>
    </row>
    <row r="9" spans="1:11" ht="11.25" customHeight="1" x14ac:dyDescent="0.4">
      <c r="I9" s="112"/>
      <c r="J9" s="112"/>
    </row>
    <row r="10" spans="1:11" ht="18" customHeight="1" x14ac:dyDescent="0.4">
      <c r="A10" s="213" t="s">
        <v>2103</v>
      </c>
      <c r="B10" s="213"/>
      <c r="C10" s="213"/>
      <c r="D10" s="213"/>
      <c r="E10" s="213"/>
      <c r="F10" s="213"/>
      <c r="I10" s="112"/>
      <c r="J10" s="112"/>
    </row>
    <row r="11" spans="1:11" ht="12.75" customHeight="1" x14ac:dyDescent="0.4">
      <c r="A11" s="3" t="s">
        <v>1</v>
      </c>
      <c r="B11" s="4" t="s">
        <v>2</v>
      </c>
      <c r="C11" s="5"/>
      <c r="D11" s="6" t="s">
        <v>3</v>
      </c>
      <c r="E11" s="7" t="s">
        <v>4</v>
      </c>
      <c r="F11" s="7" t="s">
        <v>5</v>
      </c>
      <c r="I11" s="112"/>
      <c r="J11" s="112"/>
    </row>
    <row r="12" spans="1:11" ht="12.75" customHeight="1" x14ac:dyDescent="0.4">
      <c r="A12" s="89">
        <v>45352</v>
      </c>
      <c r="B12" s="9" t="s">
        <v>6</v>
      </c>
      <c r="C12" s="10" t="s">
        <v>7</v>
      </c>
      <c r="D12" s="11"/>
      <c r="E12" s="12">
        <v>2035572.0299999993</v>
      </c>
      <c r="F12" s="1"/>
      <c r="I12" s="112"/>
      <c r="J12" s="112"/>
    </row>
    <row r="13" spans="1:11" ht="12.75" customHeight="1" x14ac:dyDescent="0.4">
      <c r="A13" s="89">
        <v>45352</v>
      </c>
      <c r="B13" s="9" t="s">
        <v>11</v>
      </c>
      <c r="C13" s="76" t="s">
        <v>1091</v>
      </c>
      <c r="D13" s="11" t="s">
        <v>29</v>
      </c>
      <c r="E13" s="31"/>
      <c r="F13" s="31">
        <v>118</v>
      </c>
      <c r="I13" s="112"/>
      <c r="J13" s="112"/>
    </row>
    <row r="14" spans="1:11" ht="12.75" customHeight="1" x14ac:dyDescent="0.2">
      <c r="A14" s="2"/>
      <c r="B14" s="2"/>
      <c r="C14" s="2"/>
      <c r="D14" s="11" t="s">
        <v>8</v>
      </c>
      <c r="E14" s="16">
        <f>SUM(E12:E13)</f>
        <v>2035572.0299999993</v>
      </c>
      <c r="F14" s="16">
        <f>SUM(F12:F13)</f>
        <v>118</v>
      </c>
      <c r="I14" s="13" t="s">
        <v>1582</v>
      </c>
      <c r="J14" s="13" t="s">
        <v>1583</v>
      </c>
    </row>
    <row r="15" spans="1:11" x14ac:dyDescent="0.2">
      <c r="A15" s="17"/>
      <c r="B15" s="18"/>
      <c r="C15" s="19" t="s">
        <v>9</v>
      </c>
      <c r="D15" s="20"/>
      <c r="E15" s="21">
        <f>+E14-F14</f>
        <v>2035454.0299999993</v>
      </c>
      <c r="I15" s="2">
        <v>0</v>
      </c>
      <c r="J15" s="2">
        <v>0</v>
      </c>
    </row>
    <row r="16" spans="1:11" ht="18" customHeight="1" x14ac:dyDescent="0.25">
      <c r="A16" s="36"/>
      <c r="B16" s="28"/>
      <c r="C16" s="44"/>
      <c r="D16" s="43"/>
      <c r="E16" s="38"/>
      <c r="F16" s="22"/>
      <c r="J16" s="2"/>
    </row>
    <row r="17" spans="1:12" ht="18" customHeight="1" x14ac:dyDescent="0.4">
      <c r="A17" s="213" t="s">
        <v>2104</v>
      </c>
      <c r="B17" s="213"/>
      <c r="C17" s="213"/>
      <c r="D17" s="213"/>
      <c r="E17" s="213"/>
      <c r="F17" s="213"/>
      <c r="I17" s="112"/>
      <c r="J17" s="169">
        <f>90000000-60000000</f>
        <v>30000000</v>
      </c>
      <c r="K17" s="169" t="s">
        <v>1508</v>
      </c>
    </row>
    <row r="18" spans="1:12" ht="12.75" customHeight="1" x14ac:dyDescent="0.4">
      <c r="A18" s="3" t="s">
        <v>1</v>
      </c>
      <c r="B18" s="4" t="s">
        <v>2</v>
      </c>
      <c r="C18" s="5"/>
      <c r="D18" s="6" t="s">
        <v>3</v>
      </c>
      <c r="E18" s="7" t="s">
        <v>4</v>
      </c>
      <c r="F18" s="7" t="s">
        <v>5</v>
      </c>
      <c r="I18" s="112"/>
      <c r="J18" s="169">
        <v>28282488.989999998</v>
      </c>
      <c r="K18" s="169" t="s">
        <v>1509</v>
      </c>
      <c r="L18" s="124"/>
    </row>
    <row r="19" spans="1:12" s="2" customFormat="1" ht="14.25" customHeight="1" x14ac:dyDescent="0.2">
      <c r="A19" s="89" t="s">
        <v>2153</v>
      </c>
      <c r="B19" s="9" t="s">
        <v>6</v>
      </c>
      <c r="C19" s="10" t="s">
        <v>7</v>
      </c>
      <c r="D19" s="11"/>
      <c r="F19" s="12">
        <v>25517006.16</v>
      </c>
      <c r="G19" s="1"/>
      <c r="H19" s="1"/>
      <c r="I19" s="130" t="s">
        <v>396</v>
      </c>
      <c r="J19" s="169">
        <f>+J17-J18</f>
        <v>1717511.0100000016</v>
      </c>
      <c r="K19" s="169" t="s">
        <v>712</v>
      </c>
      <c r="L19" s="165" t="s">
        <v>1512</v>
      </c>
    </row>
    <row r="20" spans="1:12" s="2" customFormat="1" ht="14.25" customHeight="1" x14ac:dyDescent="0.2">
      <c r="A20" s="89" t="s">
        <v>2153</v>
      </c>
      <c r="B20" s="9" t="s">
        <v>6</v>
      </c>
      <c r="C20" s="76" t="s">
        <v>1255</v>
      </c>
      <c r="D20" s="11" t="s">
        <v>13</v>
      </c>
      <c r="E20" s="31">
        <v>1764977</v>
      </c>
      <c r="F20" s="12"/>
      <c r="G20" s="1"/>
      <c r="H20" s="1"/>
      <c r="I20" s="130"/>
      <c r="J20" s="169"/>
      <c r="K20" s="169"/>
      <c r="L20" s="165"/>
    </row>
    <row r="21" spans="1:12" s="2" customFormat="1" ht="14.25" customHeight="1" x14ac:dyDescent="0.2">
      <c r="A21" s="89" t="s">
        <v>2153</v>
      </c>
      <c r="B21" s="9" t="s">
        <v>11</v>
      </c>
      <c r="C21" s="76" t="s">
        <v>1156</v>
      </c>
      <c r="D21" s="11" t="s">
        <v>29</v>
      </c>
      <c r="F21" s="31">
        <v>3135749.44</v>
      </c>
      <c r="G21" s="1"/>
      <c r="H21" s="1"/>
      <c r="I21" s="130"/>
      <c r="J21" s="169"/>
      <c r="K21" s="169"/>
      <c r="L21" s="165"/>
    </row>
    <row r="22" spans="1:12" s="2" customFormat="1" ht="14.25" customHeight="1" x14ac:dyDescent="0.2">
      <c r="A22" s="89" t="s">
        <v>2153</v>
      </c>
      <c r="B22" s="9" t="s">
        <v>11</v>
      </c>
      <c r="C22" s="76" t="s">
        <v>1681</v>
      </c>
      <c r="D22" s="11" t="s">
        <v>29</v>
      </c>
      <c r="F22" s="31">
        <v>65836</v>
      </c>
      <c r="G22" s="1"/>
      <c r="H22" s="1"/>
      <c r="I22" s="130"/>
      <c r="J22" s="169"/>
      <c r="K22" s="169"/>
      <c r="L22" s="165"/>
    </row>
    <row r="23" spans="1:12" s="2" customFormat="1" ht="14.25" customHeight="1" x14ac:dyDescent="0.2">
      <c r="A23" s="89" t="s">
        <v>2153</v>
      </c>
      <c r="B23" s="9" t="s">
        <v>11</v>
      </c>
      <c r="C23" s="76" t="s">
        <v>1681</v>
      </c>
      <c r="D23" s="11" t="s">
        <v>29</v>
      </c>
      <c r="F23" s="31">
        <v>424274</v>
      </c>
      <c r="G23" s="1"/>
      <c r="H23" s="1"/>
      <c r="I23" s="130"/>
      <c r="J23" s="169"/>
      <c r="K23" s="169"/>
      <c r="L23" s="165"/>
    </row>
    <row r="24" spans="1:12" s="2" customFormat="1" ht="14.25" customHeight="1" x14ac:dyDescent="0.2">
      <c r="A24" s="89" t="s">
        <v>2153</v>
      </c>
      <c r="B24" s="9" t="s">
        <v>11</v>
      </c>
      <c r="C24" s="76" t="s">
        <v>156</v>
      </c>
      <c r="D24" s="11" t="s">
        <v>29</v>
      </c>
      <c r="F24" s="31">
        <f>1374.43-90</f>
        <v>1284.43</v>
      </c>
      <c r="G24" s="1"/>
      <c r="H24" s="1"/>
      <c r="I24" s="130"/>
      <c r="J24" s="169"/>
      <c r="K24" s="169"/>
      <c r="L24" s="165"/>
    </row>
    <row r="25" spans="1:12" s="2" customFormat="1" ht="14.25" customHeight="1" x14ac:dyDescent="0.2">
      <c r="A25" s="89" t="s">
        <v>2153</v>
      </c>
      <c r="B25" s="9" t="s">
        <v>11</v>
      </c>
      <c r="C25" s="76" t="s">
        <v>102</v>
      </c>
      <c r="D25" s="11" t="s">
        <v>29</v>
      </c>
      <c r="F25" s="31">
        <v>106980.96</v>
      </c>
      <c r="G25" s="1"/>
      <c r="H25" s="1"/>
      <c r="I25" s="130"/>
      <c r="J25" s="169"/>
      <c r="K25" s="169"/>
      <c r="L25" s="165"/>
    </row>
    <row r="26" spans="1:12" s="2" customFormat="1" ht="14.25" customHeight="1" x14ac:dyDescent="0.2">
      <c r="A26" s="89" t="s">
        <v>2153</v>
      </c>
      <c r="B26" s="9" t="s">
        <v>11</v>
      </c>
      <c r="C26" s="76" t="s">
        <v>2086</v>
      </c>
      <c r="D26" s="11" t="s">
        <v>29</v>
      </c>
      <c r="F26" s="31">
        <v>192329</v>
      </c>
      <c r="G26" s="1"/>
      <c r="H26" s="1"/>
      <c r="I26" s="130"/>
      <c r="J26" s="169"/>
      <c r="K26" s="169"/>
      <c r="L26" s="165"/>
    </row>
    <row r="27" spans="1:12" s="2" customFormat="1" ht="14.25" customHeight="1" x14ac:dyDescent="0.2">
      <c r="A27" s="89" t="s">
        <v>2153</v>
      </c>
      <c r="B27" s="9" t="s">
        <v>11</v>
      </c>
      <c r="C27" s="76" t="s">
        <v>1503</v>
      </c>
      <c r="D27" s="11" t="s">
        <v>29</v>
      </c>
      <c r="F27" s="31">
        <v>562192</v>
      </c>
      <c r="G27" s="1"/>
      <c r="H27" s="1"/>
      <c r="I27" s="130"/>
      <c r="J27" s="169"/>
      <c r="K27" s="169"/>
      <c r="L27" s="165"/>
    </row>
    <row r="28" spans="1:12" s="2" customFormat="1" ht="14.25" customHeight="1" x14ac:dyDescent="0.2">
      <c r="A28" s="89" t="s">
        <v>2153</v>
      </c>
      <c r="B28" s="9" t="s">
        <v>11</v>
      </c>
      <c r="C28" s="76" t="s">
        <v>2154</v>
      </c>
      <c r="D28" s="11" t="s">
        <v>29</v>
      </c>
      <c r="F28" s="31">
        <v>2254</v>
      </c>
      <c r="G28" s="1"/>
      <c r="H28" s="1"/>
      <c r="I28" s="130"/>
      <c r="J28" s="169"/>
      <c r="K28" s="169"/>
      <c r="L28" s="165"/>
    </row>
    <row r="29" spans="1:12" s="2" customFormat="1" ht="14.25" customHeight="1" x14ac:dyDescent="0.2">
      <c r="A29" s="89" t="s">
        <v>2153</v>
      </c>
      <c r="B29" s="9" t="s">
        <v>11</v>
      </c>
      <c r="C29" s="76" t="s">
        <v>2155</v>
      </c>
      <c r="D29" s="11" t="s">
        <v>29</v>
      </c>
      <c r="F29" s="31">
        <v>1981</v>
      </c>
      <c r="G29" s="1"/>
      <c r="H29" s="1"/>
      <c r="I29" s="130"/>
      <c r="J29" s="169"/>
      <c r="K29" s="169"/>
      <c r="L29" s="165"/>
    </row>
    <row r="30" spans="1:12" s="2" customFormat="1" ht="14.25" customHeight="1" x14ac:dyDescent="0.2">
      <c r="A30" s="89" t="s">
        <v>2153</v>
      </c>
      <c r="B30" s="9" t="s">
        <v>11</v>
      </c>
      <c r="C30" s="76" t="s">
        <v>484</v>
      </c>
      <c r="D30" s="11" t="s">
        <v>29</v>
      </c>
      <c r="F30" s="31">
        <v>2202</v>
      </c>
      <c r="G30" s="1"/>
      <c r="H30" s="1"/>
      <c r="I30" s="130"/>
      <c r="J30" s="169"/>
      <c r="K30" s="169"/>
      <c r="L30" s="165"/>
    </row>
    <row r="31" spans="1:12" s="2" customFormat="1" ht="14.25" customHeight="1" x14ac:dyDescent="0.2">
      <c r="A31" s="89" t="s">
        <v>2153</v>
      </c>
      <c r="B31" s="9" t="s">
        <v>11</v>
      </c>
      <c r="C31" s="76" t="s">
        <v>208</v>
      </c>
      <c r="D31" s="11" t="s">
        <v>29</v>
      </c>
      <c r="E31" s="31"/>
      <c r="F31" s="31">
        <v>35377</v>
      </c>
      <c r="G31" s="1"/>
      <c r="H31" s="1"/>
      <c r="I31" s="130"/>
      <c r="J31" s="169"/>
      <c r="K31" s="169"/>
      <c r="L31" s="165"/>
    </row>
    <row r="32" spans="1:12" s="2" customFormat="1" ht="14.25" customHeight="1" x14ac:dyDescent="0.4">
      <c r="D32" s="11" t="s">
        <v>8</v>
      </c>
      <c r="E32" s="16">
        <f>SUM(E20:E31)</f>
        <v>1764977</v>
      </c>
      <c r="F32" s="16">
        <f>SUM(F19:F31)</f>
        <v>30047465.990000002</v>
      </c>
      <c r="G32" s="1"/>
      <c r="H32" s="1"/>
      <c r="J32" s="112"/>
      <c r="K32" s="153" t="s">
        <v>779</v>
      </c>
    </row>
    <row r="33" spans="1:12" s="2" customFormat="1" ht="14.25" customHeight="1" x14ac:dyDescent="0.2">
      <c r="A33" s="17"/>
      <c r="B33" s="18"/>
      <c r="C33" s="96" t="s">
        <v>9</v>
      </c>
      <c r="D33" s="20"/>
      <c r="E33" s="21">
        <f>+F32-E32</f>
        <v>28282488.990000002</v>
      </c>
      <c r="G33" s="1"/>
      <c r="H33" s="1"/>
      <c r="J33" s="40">
        <v>28282488.989999998</v>
      </c>
      <c r="K33" s="154">
        <f>J33-E33</f>
        <v>0</v>
      </c>
    </row>
    <row r="34" spans="1:12" s="2" customFormat="1" ht="14.25" customHeight="1" x14ac:dyDescent="0.2">
      <c r="A34" s="17"/>
      <c r="B34" s="28" t="s">
        <v>66</v>
      </c>
      <c r="C34" s="43" t="s">
        <v>1458</v>
      </c>
      <c r="D34" s="43"/>
      <c r="E34" s="12">
        <f>30000000+60000000</f>
        <v>90000000</v>
      </c>
      <c r="F34" s="22"/>
      <c r="G34" s="1"/>
      <c r="H34" s="1"/>
      <c r="I34" s="13" t="s">
        <v>1582</v>
      </c>
      <c r="J34" s="13" t="s">
        <v>1583</v>
      </c>
    </row>
    <row r="35" spans="1:12" s="2" customFormat="1" ht="14.25" customHeight="1" x14ac:dyDescent="0.25">
      <c r="A35" s="36"/>
      <c r="B35" s="28"/>
      <c r="C35" s="44" t="s">
        <v>1541</v>
      </c>
      <c r="D35" s="43"/>
      <c r="E35" s="7">
        <f>+E33+E34</f>
        <v>118282488.99000001</v>
      </c>
      <c r="F35" s="22"/>
      <c r="G35" s="1"/>
      <c r="H35" s="1"/>
      <c r="I35" s="2">
        <v>389889</v>
      </c>
      <c r="J35" s="2">
        <v>13563427</v>
      </c>
      <c r="K35" s="176">
        <f>I35-J35</f>
        <v>-13173538</v>
      </c>
    </row>
    <row r="36" spans="1:12" s="2" customFormat="1" ht="14.25" customHeight="1" x14ac:dyDescent="0.25">
      <c r="A36" s="36"/>
      <c r="B36" s="28"/>
      <c r="C36" s="44" t="s">
        <v>1511</v>
      </c>
      <c r="D36" s="43"/>
      <c r="E36" s="38">
        <f>I15-J15+J19</f>
        <v>1717511.0100000016</v>
      </c>
      <c r="F36" s="22"/>
      <c r="G36" s="1"/>
      <c r="H36" s="1"/>
      <c r="J36" s="130"/>
      <c r="K36" s="130"/>
    </row>
    <row r="37" spans="1:12" s="2" customFormat="1" x14ac:dyDescent="0.2">
      <c r="A37" s="24"/>
      <c r="B37" s="1"/>
      <c r="C37" s="14"/>
      <c r="D37" s="25"/>
      <c r="G37" s="1"/>
      <c r="H37" s="1"/>
      <c r="I37" s="159"/>
      <c r="J37" s="160">
        <f>100000000+175000000</f>
        <v>275000000</v>
      </c>
      <c r="K37" s="160" t="s">
        <v>1506</v>
      </c>
      <c r="L37" s="70"/>
    </row>
    <row r="38" spans="1:12" s="2" customFormat="1" ht="15" x14ac:dyDescent="0.35">
      <c r="A38" s="214" t="s">
        <v>10</v>
      </c>
      <c r="B38" s="214"/>
      <c r="C38" s="214"/>
      <c r="D38" s="214"/>
      <c r="E38" s="214"/>
      <c r="F38" s="214"/>
      <c r="G38" s="1"/>
      <c r="H38" s="1"/>
      <c r="I38" s="159"/>
      <c r="J38" s="179">
        <v>236893974.38999999</v>
      </c>
      <c r="K38" s="160" t="s">
        <v>1507</v>
      </c>
      <c r="L38" s="70" t="s">
        <v>1512</v>
      </c>
    </row>
    <row r="39" spans="1:12" s="2" customFormat="1" x14ac:dyDescent="0.2">
      <c r="A39" s="26" t="s">
        <v>1</v>
      </c>
      <c r="B39" s="27" t="s">
        <v>2</v>
      </c>
      <c r="C39" s="5"/>
      <c r="D39" s="6" t="s">
        <v>3</v>
      </c>
      <c r="E39" s="7" t="s">
        <v>4</v>
      </c>
      <c r="F39" s="7" t="s">
        <v>5</v>
      </c>
      <c r="G39" s="1"/>
      <c r="H39" s="1"/>
      <c r="I39" s="159" t="s">
        <v>1505</v>
      </c>
      <c r="J39" s="160">
        <f>+J37-J38</f>
        <v>38106025.610000014</v>
      </c>
      <c r="K39" s="160"/>
      <c r="L39" s="70"/>
    </row>
    <row r="40" spans="1:12" s="2" customFormat="1" x14ac:dyDescent="0.2">
      <c r="A40" s="89" t="s">
        <v>2156</v>
      </c>
      <c r="B40" s="128" t="s">
        <v>11</v>
      </c>
      <c r="C40" s="29" t="s">
        <v>7</v>
      </c>
      <c r="D40" s="25"/>
      <c r="E40" s="31"/>
      <c r="F40" s="13">
        <v>234864623.4499999</v>
      </c>
      <c r="G40" s="23"/>
      <c r="H40" s="23"/>
      <c r="I40" s="159"/>
      <c r="J40" s="160"/>
      <c r="K40" s="160"/>
      <c r="L40" s="70"/>
    </row>
    <row r="41" spans="1:12" s="2" customFormat="1" x14ac:dyDescent="0.2">
      <c r="A41" s="89" t="s">
        <v>2156</v>
      </c>
      <c r="B41" s="128" t="s">
        <v>6</v>
      </c>
      <c r="C41" s="181" t="s">
        <v>149</v>
      </c>
      <c r="D41" s="11" t="s">
        <v>13</v>
      </c>
      <c r="E41" s="86">
        <v>49352</v>
      </c>
      <c r="G41" s="23"/>
      <c r="H41" s="23"/>
      <c r="I41" s="159"/>
      <c r="J41" s="160"/>
      <c r="K41" s="160"/>
      <c r="L41" s="70"/>
    </row>
    <row r="42" spans="1:12" s="2" customFormat="1" x14ac:dyDescent="0.2">
      <c r="A42" s="89" t="s">
        <v>2156</v>
      </c>
      <c r="B42" s="128" t="s">
        <v>6</v>
      </c>
      <c r="C42" s="181" t="s">
        <v>457</v>
      </c>
      <c r="D42" s="11" t="s">
        <v>13</v>
      </c>
      <c r="E42" s="86">
        <v>1260</v>
      </c>
      <c r="G42" s="23"/>
      <c r="H42" s="23"/>
      <c r="I42" s="159"/>
      <c r="J42" s="160"/>
      <c r="K42" s="160"/>
      <c r="L42" s="70"/>
    </row>
    <row r="43" spans="1:12" s="2" customFormat="1" x14ac:dyDescent="0.2">
      <c r="A43" s="89" t="s">
        <v>2156</v>
      </c>
      <c r="B43" s="128" t="s">
        <v>6</v>
      </c>
      <c r="C43" s="181" t="s">
        <v>219</v>
      </c>
      <c r="D43" s="11" t="s">
        <v>13</v>
      </c>
      <c r="E43" s="86">
        <v>678686</v>
      </c>
      <c r="G43" s="23"/>
      <c r="H43" s="23"/>
      <c r="I43" s="159"/>
      <c r="J43" s="160"/>
      <c r="K43" s="160"/>
      <c r="L43" s="70"/>
    </row>
    <row r="44" spans="1:12" s="2" customFormat="1" x14ac:dyDescent="0.2">
      <c r="A44" s="89" t="s">
        <v>2156</v>
      </c>
      <c r="B44" s="128" t="s">
        <v>6</v>
      </c>
      <c r="C44" s="181" t="s">
        <v>2157</v>
      </c>
      <c r="D44" s="11" t="s">
        <v>13</v>
      </c>
      <c r="E44" s="86">
        <v>24835</v>
      </c>
      <c r="G44" s="23"/>
      <c r="H44" s="23"/>
      <c r="I44" s="159"/>
      <c r="J44" s="160"/>
      <c r="K44" s="160"/>
      <c r="L44" s="70"/>
    </row>
    <row r="45" spans="1:12" s="2" customFormat="1" x14ac:dyDescent="0.2">
      <c r="A45" s="89" t="s">
        <v>2156</v>
      </c>
      <c r="B45" s="128" t="s">
        <v>6</v>
      </c>
      <c r="C45" s="181" t="s">
        <v>146</v>
      </c>
      <c r="D45" s="11" t="s">
        <v>13</v>
      </c>
      <c r="E45" s="86">
        <v>478324.66</v>
      </c>
      <c r="G45" s="23"/>
      <c r="H45" s="23"/>
      <c r="I45" s="159"/>
      <c r="J45" s="160"/>
      <c r="K45" s="160"/>
      <c r="L45" s="70"/>
    </row>
    <row r="46" spans="1:12" s="2" customFormat="1" x14ac:dyDescent="0.2">
      <c r="A46" s="89" t="s">
        <v>2156</v>
      </c>
      <c r="B46" s="128" t="s">
        <v>6</v>
      </c>
      <c r="C46" s="181" t="s">
        <v>2079</v>
      </c>
      <c r="D46" s="11" t="s">
        <v>13</v>
      </c>
      <c r="E46" s="86">
        <v>1</v>
      </c>
      <c r="G46" s="23"/>
      <c r="H46" s="23"/>
      <c r="I46" s="159"/>
      <c r="J46" s="160"/>
      <c r="K46" s="160"/>
      <c r="L46" s="70"/>
    </row>
    <row r="47" spans="1:12" s="2" customFormat="1" x14ac:dyDescent="0.2">
      <c r="A47" s="89" t="s">
        <v>2156</v>
      </c>
      <c r="B47" s="128" t="s">
        <v>6</v>
      </c>
      <c r="C47" s="181" t="s">
        <v>101</v>
      </c>
      <c r="D47" s="11" t="s">
        <v>13</v>
      </c>
      <c r="E47" s="86">
        <v>123191</v>
      </c>
      <c r="G47" s="23"/>
      <c r="H47" s="23"/>
      <c r="I47" s="159"/>
      <c r="J47" s="160"/>
      <c r="K47" s="160"/>
      <c r="L47" s="70"/>
    </row>
    <row r="48" spans="1:12" s="2" customFormat="1" x14ac:dyDescent="0.2">
      <c r="A48" s="89" t="s">
        <v>2156</v>
      </c>
      <c r="B48" s="128" t="s">
        <v>6</v>
      </c>
      <c r="C48" s="181" t="s">
        <v>670</v>
      </c>
      <c r="D48" s="11" t="s">
        <v>13</v>
      </c>
      <c r="E48" s="86">
        <v>356629</v>
      </c>
      <c r="G48" s="23"/>
      <c r="H48" s="23"/>
      <c r="I48" s="159"/>
      <c r="J48" s="160"/>
      <c r="K48" s="160"/>
      <c r="L48" s="70"/>
    </row>
    <row r="49" spans="1:12" s="2" customFormat="1" x14ac:dyDescent="0.2">
      <c r="A49" s="89" t="s">
        <v>2156</v>
      </c>
      <c r="B49" s="128" t="s">
        <v>6</v>
      </c>
      <c r="C49" s="181" t="s">
        <v>2081</v>
      </c>
      <c r="D49" s="11" t="s">
        <v>13</v>
      </c>
      <c r="E49" s="86">
        <v>70000</v>
      </c>
      <c r="G49" s="23"/>
      <c r="H49" s="23"/>
      <c r="I49" s="159"/>
      <c r="J49" s="160"/>
      <c r="K49" s="160"/>
      <c r="L49" s="70"/>
    </row>
    <row r="50" spans="1:12" s="2" customFormat="1" x14ac:dyDescent="0.2">
      <c r="A50" s="89" t="s">
        <v>2156</v>
      </c>
      <c r="B50" s="128" t="s">
        <v>6</v>
      </c>
      <c r="C50" s="181" t="s">
        <v>1031</v>
      </c>
      <c r="D50" s="11" t="s">
        <v>13</v>
      </c>
      <c r="E50" s="86">
        <v>18224.05</v>
      </c>
      <c r="G50" s="23"/>
      <c r="H50" s="23"/>
      <c r="I50" s="159"/>
      <c r="J50" s="160"/>
      <c r="K50" s="160"/>
      <c r="L50" s="70"/>
    </row>
    <row r="51" spans="1:12" s="2" customFormat="1" x14ac:dyDescent="0.2">
      <c r="A51" s="89" t="s">
        <v>2156</v>
      </c>
      <c r="B51" s="128" t="s">
        <v>11</v>
      </c>
      <c r="C51" s="181" t="s">
        <v>156</v>
      </c>
      <c r="D51" s="11" t="s">
        <v>29</v>
      </c>
      <c r="E51" s="86"/>
      <c r="F51" s="2">
        <v>0.54</v>
      </c>
      <c r="G51" s="23"/>
      <c r="H51" s="23"/>
      <c r="I51" s="159"/>
      <c r="J51" s="160"/>
      <c r="K51" s="160"/>
      <c r="L51" s="70"/>
    </row>
    <row r="52" spans="1:12" s="2" customFormat="1" x14ac:dyDescent="0.2">
      <c r="A52" s="89" t="s">
        <v>2156</v>
      </c>
      <c r="B52" s="128" t="s">
        <v>11</v>
      </c>
      <c r="C52" s="181" t="s">
        <v>1031</v>
      </c>
      <c r="D52" s="11" t="s">
        <v>29</v>
      </c>
      <c r="E52" s="86"/>
      <c r="F52" s="2">
        <v>105078.97</v>
      </c>
      <c r="G52" s="23"/>
      <c r="H52" s="23"/>
      <c r="I52" s="159"/>
      <c r="J52" s="160"/>
      <c r="K52" s="160"/>
      <c r="L52" s="70"/>
    </row>
    <row r="53" spans="1:12" s="2" customFormat="1" x14ac:dyDescent="0.2">
      <c r="A53" s="89" t="s">
        <v>2156</v>
      </c>
      <c r="B53" s="128" t="s">
        <v>11</v>
      </c>
      <c r="C53" s="181" t="s">
        <v>92</v>
      </c>
      <c r="D53" s="11" t="s">
        <v>29</v>
      </c>
      <c r="E53" s="86"/>
      <c r="F53" s="2">
        <v>16615</v>
      </c>
      <c r="G53" s="23"/>
      <c r="H53" s="23"/>
      <c r="I53" s="159"/>
      <c r="J53" s="160"/>
      <c r="K53" s="160"/>
      <c r="L53" s="70"/>
    </row>
    <row r="54" spans="1:12" s="2" customFormat="1" x14ac:dyDescent="0.2">
      <c r="A54" s="89" t="s">
        <v>2156</v>
      </c>
      <c r="B54" s="128" t="s">
        <v>11</v>
      </c>
      <c r="C54" s="181" t="s">
        <v>740</v>
      </c>
      <c r="D54" s="11" t="s">
        <v>29</v>
      </c>
      <c r="E54" s="86"/>
      <c r="F54" s="2">
        <v>44098</v>
      </c>
      <c r="G54" s="23"/>
      <c r="H54" s="23"/>
      <c r="I54" s="159"/>
      <c r="J54" s="160"/>
      <c r="K54" s="160"/>
      <c r="L54" s="70"/>
    </row>
    <row r="55" spans="1:12" s="2" customFormat="1" x14ac:dyDescent="0.2">
      <c r="A55" s="89" t="s">
        <v>2156</v>
      </c>
      <c r="B55" s="128" t="s">
        <v>11</v>
      </c>
      <c r="C55" s="181" t="s">
        <v>2131</v>
      </c>
      <c r="D55" s="11" t="s">
        <v>29</v>
      </c>
      <c r="E55" s="86"/>
      <c r="F55" s="2">
        <v>5705591</v>
      </c>
      <c r="G55" s="23"/>
      <c r="H55" s="23"/>
      <c r="I55" s="159"/>
      <c r="J55" s="160"/>
      <c r="K55" s="160"/>
      <c r="L55" s="70"/>
    </row>
    <row r="56" spans="1:12" s="2" customFormat="1" x14ac:dyDescent="0.2">
      <c r="A56" s="89" t="s">
        <v>2156</v>
      </c>
      <c r="B56" s="128" t="s">
        <v>11</v>
      </c>
      <c r="C56" s="181" t="s">
        <v>1936</v>
      </c>
      <c r="D56" s="11" t="s">
        <v>29</v>
      </c>
      <c r="E56" s="86"/>
      <c r="F56" s="2">
        <v>5005519</v>
      </c>
      <c r="G56" s="23"/>
      <c r="H56" s="23"/>
      <c r="I56" s="159"/>
      <c r="J56" s="160"/>
      <c r="K56" s="160"/>
      <c r="L56" s="70"/>
    </row>
    <row r="57" spans="1:12" s="2" customFormat="1" x14ac:dyDescent="0.2">
      <c r="A57" s="89" t="s">
        <v>2156</v>
      </c>
      <c r="B57" s="128" t="s">
        <v>11</v>
      </c>
      <c r="C57" s="181" t="s">
        <v>518</v>
      </c>
      <c r="D57" s="11" t="s">
        <v>29</v>
      </c>
      <c r="E57" s="86"/>
      <c r="F57" s="2">
        <v>20302</v>
      </c>
      <c r="G57" s="23"/>
      <c r="H57" s="23"/>
      <c r="I57" s="159"/>
      <c r="J57" s="160"/>
      <c r="K57" s="160"/>
      <c r="L57" s="70"/>
    </row>
    <row r="58" spans="1:12" s="2" customFormat="1" x14ac:dyDescent="0.2">
      <c r="A58" s="89" t="s">
        <v>2156</v>
      </c>
      <c r="B58" s="128" t="s">
        <v>11</v>
      </c>
      <c r="C58" s="181" t="s">
        <v>284</v>
      </c>
      <c r="D58" s="11" t="s">
        <v>29</v>
      </c>
      <c r="E58" s="86"/>
      <c r="F58" s="2">
        <v>342555</v>
      </c>
      <c r="G58" s="23"/>
      <c r="H58" s="23"/>
      <c r="I58" s="159"/>
      <c r="J58" s="160"/>
      <c r="K58" s="160"/>
      <c r="L58" s="70"/>
    </row>
    <row r="59" spans="1:12" s="2" customFormat="1" x14ac:dyDescent="0.2">
      <c r="A59" s="89" t="s">
        <v>2156</v>
      </c>
      <c r="B59" s="128" t="s">
        <v>11</v>
      </c>
      <c r="C59" s="181" t="s">
        <v>715</v>
      </c>
      <c r="D59" s="11" t="s">
        <v>29</v>
      </c>
      <c r="E59" s="86"/>
      <c r="F59" s="2">
        <v>2899050</v>
      </c>
      <c r="G59" s="23"/>
      <c r="H59" s="23"/>
      <c r="I59" s="159"/>
      <c r="J59" s="160"/>
      <c r="K59" s="160"/>
      <c r="L59" s="70"/>
    </row>
    <row r="60" spans="1:12" s="2" customFormat="1" x14ac:dyDescent="0.2">
      <c r="A60" s="89" t="s">
        <v>2156</v>
      </c>
      <c r="B60" s="128" t="s">
        <v>11</v>
      </c>
      <c r="C60" s="181" t="s">
        <v>107</v>
      </c>
      <c r="D60" s="11" t="s">
        <v>29</v>
      </c>
      <c r="E60" s="86"/>
      <c r="F60" s="2">
        <v>123115.89</v>
      </c>
      <c r="G60" s="23"/>
      <c r="H60" s="23"/>
      <c r="I60" s="159"/>
      <c r="J60" s="160"/>
      <c r="K60" s="160"/>
      <c r="L60" s="70"/>
    </row>
    <row r="61" spans="1:12" s="2" customFormat="1" x14ac:dyDescent="0.2">
      <c r="A61" s="89" t="s">
        <v>2156</v>
      </c>
      <c r="B61" s="128" t="s">
        <v>11</v>
      </c>
      <c r="C61" s="181" t="s">
        <v>1155</v>
      </c>
      <c r="D61" s="11" t="s">
        <v>29</v>
      </c>
      <c r="E61" s="86"/>
      <c r="F61" s="2">
        <v>1415471.3099999998</v>
      </c>
      <c r="G61" s="23"/>
      <c r="H61" s="23"/>
      <c r="I61" s="159"/>
      <c r="J61" s="160"/>
      <c r="K61" s="160"/>
      <c r="L61" s="70"/>
    </row>
    <row r="62" spans="1:12" s="2" customFormat="1" x14ac:dyDescent="0.2">
      <c r="A62" s="89" t="s">
        <v>2156</v>
      </c>
      <c r="B62" s="128" t="s">
        <v>11</v>
      </c>
      <c r="C62" s="181" t="s">
        <v>108</v>
      </c>
      <c r="D62" s="11" t="s">
        <v>29</v>
      </c>
      <c r="E62" s="86"/>
      <c r="F62" s="2">
        <v>313471.11</v>
      </c>
      <c r="G62" s="23"/>
      <c r="H62" s="23"/>
      <c r="I62" s="159"/>
      <c r="J62" s="160"/>
      <c r="K62" s="160"/>
      <c r="L62" s="70"/>
    </row>
    <row r="63" spans="1:12" s="2" customFormat="1" x14ac:dyDescent="0.2">
      <c r="A63" s="89" t="s">
        <v>2156</v>
      </c>
      <c r="B63" s="128" t="s">
        <v>11</v>
      </c>
      <c r="C63" s="181" t="s">
        <v>1979</v>
      </c>
      <c r="D63" s="11" t="s">
        <v>29</v>
      </c>
      <c r="E63" s="86"/>
      <c r="F63" s="2">
        <v>73523.83</v>
      </c>
      <c r="G63" s="23"/>
      <c r="H63" s="23"/>
      <c r="I63" s="159"/>
      <c r="J63" s="160"/>
      <c r="K63" s="160"/>
      <c r="L63" s="70"/>
    </row>
    <row r="64" spans="1:12" s="2" customFormat="1" x14ac:dyDescent="0.2">
      <c r="A64" s="89" t="s">
        <v>2156</v>
      </c>
      <c r="B64" s="128" t="s">
        <v>11</v>
      </c>
      <c r="C64" s="181" t="s">
        <v>786</v>
      </c>
      <c r="D64" s="11" t="s">
        <v>29</v>
      </c>
      <c r="E64" s="86"/>
      <c r="F64" s="2">
        <v>939000</v>
      </c>
      <c r="G64" s="23"/>
      <c r="H64" s="23"/>
      <c r="I64" s="159"/>
      <c r="J64" s="160"/>
      <c r="K64" s="160"/>
      <c r="L64" s="70"/>
    </row>
    <row r="65" spans="1:19" s="70" customFormat="1" x14ac:dyDescent="0.2">
      <c r="A65" s="32"/>
      <c r="B65" s="33"/>
      <c r="C65" s="14"/>
      <c r="D65" s="34"/>
      <c r="E65" s="16">
        <f>SUM(E40:E64)</f>
        <v>1800502.71</v>
      </c>
      <c r="F65" s="16">
        <f>SUM(F40:F64)</f>
        <v>251868015.0999999</v>
      </c>
      <c r="G65" s="1"/>
      <c r="H65" s="1"/>
      <c r="I65" s="1"/>
      <c r="J65" s="38">
        <v>250067512.38999999</v>
      </c>
      <c r="K65" s="2"/>
      <c r="L65" s="92">
        <f>E66-J65</f>
        <v>0</v>
      </c>
      <c r="M65" s="2"/>
      <c r="N65" s="2"/>
      <c r="O65" s="2"/>
      <c r="P65" s="2"/>
    </row>
    <row r="66" spans="1:19" s="70" customFormat="1" x14ac:dyDescent="0.2">
      <c r="A66" s="36"/>
      <c r="B66" s="28" t="s">
        <v>11</v>
      </c>
      <c r="C66" s="19" t="s">
        <v>65</v>
      </c>
      <c r="D66" s="37"/>
      <c r="E66" s="38">
        <f>F65-E65</f>
        <v>250067512.3899999</v>
      </c>
      <c r="F66" s="22"/>
      <c r="G66" s="1"/>
      <c r="H66" s="1"/>
      <c r="I66" s="1"/>
      <c r="M66" s="2"/>
      <c r="N66" s="2"/>
      <c r="O66" s="1"/>
      <c r="P66" s="2"/>
    </row>
    <row r="67" spans="1:19" s="70" customFormat="1" x14ac:dyDescent="0.2">
      <c r="A67" s="36"/>
      <c r="B67" s="28" t="s">
        <v>66</v>
      </c>
      <c r="C67" s="19" t="s">
        <v>67</v>
      </c>
      <c r="D67" s="37"/>
      <c r="E67" s="38">
        <v>11500000</v>
      </c>
      <c r="F67" s="22"/>
      <c r="G67" s="1"/>
      <c r="H67" s="1"/>
      <c r="M67" s="2"/>
      <c r="N67" s="2"/>
      <c r="O67" s="1"/>
      <c r="P67" s="2"/>
    </row>
    <row r="68" spans="1:19" s="70" customFormat="1" x14ac:dyDescent="0.2">
      <c r="A68" s="36"/>
      <c r="B68" s="28" t="s">
        <v>66</v>
      </c>
      <c r="C68" s="43" t="s">
        <v>1457</v>
      </c>
      <c r="D68" s="43"/>
      <c r="E68" s="12">
        <f>400000000-175000000</f>
        <v>225000000</v>
      </c>
      <c r="F68" s="22"/>
      <c r="G68" s="1"/>
      <c r="H68" s="1"/>
      <c r="J68" s="45">
        <v>21.92</v>
      </c>
      <c r="K68" s="46"/>
      <c r="L68" s="46"/>
      <c r="M68" s="2"/>
      <c r="N68" s="2"/>
      <c r="O68" s="1"/>
      <c r="P68" s="2"/>
    </row>
    <row r="69" spans="1:19" s="70" customFormat="1" ht="15" x14ac:dyDescent="0.25">
      <c r="A69" s="36"/>
      <c r="B69" s="28"/>
      <c r="C69" s="44" t="s">
        <v>1541</v>
      </c>
      <c r="D69" s="43"/>
      <c r="E69" s="7">
        <f>+E68+E66+E67</f>
        <v>486567512.38999987</v>
      </c>
      <c r="F69" s="22"/>
      <c r="G69" s="1"/>
      <c r="H69" s="1"/>
      <c r="I69" s="103" t="s">
        <v>69</v>
      </c>
      <c r="J69" s="45">
        <v>-0.74</v>
      </c>
      <c r="K69" s="46"/>
      <c r="L69" s="46"/>
      <c r="M69" s="2"/>
      <c r="N69" s="2"/>
      <c r="O69" s="1"/>
      <c r="P69" s="2"/>
    </row>
    <row r="70" spans="1:19" s="70" customFormat="1" ht="15" x14ac:dyDescent="0.25">
      <c r="A70" s="24"/>
      <c r="B70" s="1"/>
      <c r="C70" s="44" t="s">
        <v>1510</v>
      </c>
      <c r="D70" s="25"/>
      <c r="E70" s="156">
        <f>+J39-E67+I35-J35</f>
        <v>13432487.610000014</v>
      </c>
      <c r="F70" s="2"/>
      <c r="G70" s="1"/>
      <c r="H70" s="1"/>
      <c r="I70" s="35">
        <v>1</v>
      </c>
      <c r="J70" s="45">
        <v>0</v>
      </c>
      <c r="K70" s="46">
        <f>+J71-D73</f>
        <v>0</v>
      </c>
      <c r="L70" s="2"/>
      <c r="M70" s="2"/>
      <c r="N70" s="2"/>
      <c r="O70" s="1"/>
      <c r="P70" s="2"/>
    </row>
    <row r="71" spans="1:19" s="70" customFormat="1" ht="12.75" customHeight="1" x14ac:dyDescent="0.2">
      <c r="A71" s="24"/>
      <c r="B71" s="1"/>
      <c r="C71" s="56"/>
      <c r="D71" s="56"/>
      <c r="E71" s="104"/>
      <c r="F71" s="2"/>
      <c r="G71" s="166"/>
      <c r="H71" s="166"/>
      <c r="J71" s="49">
        <f>SUM(J68:J70)</f>
        <v>21.180000000000003</v>
      </c>
      <c r="K71" s="46"/>
      <c r="L71" s="46"/>
      <c r="M71" s="124"/>
      <c r="N71" s="124"/>
      <c r="O71" s="1"/>
      <c r="P71" s="2"/>
    </row>
    <row r="72" spans="1:19" s="70" customFormat="1" ht="12.75" customHeight="1" x14ac:dyDescent="0.2">
      <c r="A72" s="24"/>
      <c r="B72" s="1"/>
      <c r="C72" s="78" t="s">
        <v>575</v>
      </c>
      <c r="D72" s="48" t="s">
        <v>576</v>
      </c>
      <c r="E72" s="104"/>
      <c r="F72" s="2"/>
      <c r="G72" s="168"/>
      <c r="H72" s="168"/>
      <c r="I72" s="167"/>
      <c r="J72" s="167"/>
      <c r="K72" s="168"/>
      <c r="L72" s="124"/>
      <c r="M72" s="124"/>
      <c r="N72" s="124"/>
      <c r="O72" s="124"/>
      <c r="P72" s="2"/>
    </row>
    <row r="73" spans="1:19" s="70" customFormat="1" ht="12.75" customHeight="1" x14ac:dyDescent="0.2">
      <c r="A73" s="24"/>
      <c r="B73" s="1"/>
      <c r="C73" s="47" t="s">
        <v>570</v>
      </c>
      <c r="D73" s="111">
        <v>21.18</v>
      </c>
      <c r="E73" s="104"/>
      <c r="F73" s="2"/>
      <c r="G73" s="168"/>
      <c r="H73" s="168"/>
      <c r="I73" s="110" t="s">
        <v>581</v>
      </c>
      <c r="J73" s="167"/>
      <c r="K73" s="168"/>
      <c r="L73" s="124"/>
      <c r="M73" s="124"/>
      <c r="N73" s="124"/>
      <c r="O73" s="124"/>
      <c r="P73" s="124"/>
    </row>
    <row r="74" spans="1:19" s="70" customFormat="1" ht="12.75" customHeight="1" x14ac:dyDescent="0.2">
      <c r="A74" s="24"/>
      <c r="B74" s="1"/>
      <c r="C74" s="47" t="s">
        <v>931</v>
      </c>
      <c r="D74" s="111">
        <v>0</v>
      </c>
      <c r="E74" s="104"/>
      <c r="F74" s="2"/>
      <c r="G74" s="168"/>
      <c r="H74" s="168"/>
      <c r="I74" s="110" t="s">
        <v>580</v>
      </c>
      <c r="J74" s="167"/>
      <c r="K74" s="168"/>
      <c r="L74" s="124"/>
      <c r="M74" s="124"/>
      <c r="N74" s="124"/>
      <c r="O74" s="124"/>
      <c r="P74" s="124"/>
    </row>
    <row r="75" spans="1:19" s="70" customFormat="1" ht="12.75" customHeight="1" x14ac:dyDescent="0.2">
      <c r="A75" s="24"/>
      <c r="B75" s="1"/>
      <c r="C75" s="47" t="s">
        <v>572</v>
      </c>
      <c r="D75" s="111">
        <f>+D91/100000</f>
        <v>0</v>
      </c>
      <c r="E75" s="104"/>
      <c r="F75" s="2"/>
      <c r="G75" s="166"/>
      <c r="H75" s="166"/>
      <c r="I75" s="90" t="s">
        <v>587</v>
      </c>
      <c r="J75" s="167"/>
      <c r="K75" s="168"/>
      <c r="L75" s="124"/>
      <c r="M75" s="124"/>
      <c r="N75" s="124"/>
      <c r="O75" s="124"/>
      <c r="P75" s="124"/>
    </row>
    <row r="76" spans="1:19" s="70" customFormat="1" ht="12.75" customHeight="1" x14ac:dyDescent="0.2">
      <c r="A76" s="24"/>
      <c r="B76" s="1"/>
      <c r="C76" s="108" t="s">
        <v>578</v>
      </c>
      <c r="D76" s="48">
        <f>SUM(D73:D75)</f>
        <v>21.18</v>
      </c>
      <c r="E76" s="104"/>
      <c r="F76" s="2"/>
      <c r="G76" s="30"/>
      <c r="H76" s="30"/>
      <c r="I76" s="2"/>
      <c r="J76" s="13"/>
      <c r="K76" s="13"/>
      <c r="L76" s="2"/>
      <c r="M76" s="2"/>
      <c r="N76" s="2"/>
      <c r="O76" s="124"/>
      <c r="P76" s="124"/>
    </row>
    <row r="77" spans="1:19" s="70" customFormat="1" ht="12.75" customHeight="1" x14ac:dyDescent="0.2">
      <c r="A77" s="24"/>
      <c r="B77" s="1"/>
      <c r="C77" s="47"/>
      <c r="D77" s="107"/>
      <c r="E77" s="104"/>
      <c r="F77" s="2"/>
      <c r="G77" s="30"/>
      <c r="H77" s="30"/>
      <c r="I77" s="2"/>
      <c r="O77" s="2"/>
      <c r="P77" s="124"/>
    </row>
    <row r="78" spans="1:19" s="70" customFormat="1" ht="12.75" customHeight="1" x14ac:dyDescent="0.2">
      <c r="A78" s="24"/>
      <c r="B78" s="1"/>
      <c r="C78" s="47" t="s">
        <v>932</v>
      </c>
      <c r="D78" s="111">
        <v>0</v>
      </c>
      <c r="E78" s="104"/>
      <c r="F78" s="2"/>
      <c r="G78" s="30"/>
      <c r="H78" s="30"/>
      <c r="I78" s="110" t="s">
        <v>581</v>
      </c>
      <c r="P78" s="2"/>
    </row>
    <row r="79" spans="1:19" s="70" customFormat="1" ht="12.75" customHeight="1" x14ac:dyDescent="0.2">
      <c r="A79" s="24"/>
      <c r="B79" s="1"/>
      <c r="C79" s="136" t="s">
        <v>1142</v>
      </c>
      <c r="D79" s="111">
        <v>0</v>
      </c>
      <c r="E79" s="104"/>
      <c r="F79" s="2"/>
      <c r="G79" s="30"/>
      <c r="H79" s="30"/>
      <c r="I79" s="110" t="s">
        <v>581</v>
      </c>
    </row>
    <row r="80" spans="1:19" s="70" customFormat="1" ht="12.75" customHeight="1" x14ac:dyDescent="0.2">
      <c r="A80" s="24"/>
      <c r="B80" s="1"/>
      <c r="C80" s="78" t="s">
        <v>579</v>
      </c>
      <c r="D80" s="109">
        <f>D78+D79</f>
        <v>0</v>
      </c>
      <c r="E80" s="104"/>
      <c r="F80" s="2"/>
      <c r="G80" s="30"/>
      <c r="H80" s="30"/>
      <c r="Q80" s="2"/>
      <c r="R80" s="2"/>
      <c r="S80" s="2"/>
    </row>
    <row r="81" spans="1:16" s="2" customFormat="1" x14ac:dyDescent="0.2">
      <c r="A81" s="24"/>
      <c r="B81" s="1"/>
      <c r="C81" s="105"/>
      <c r="D81" s="106"/>
      <c r="E81" s="104"/>
      <c r="G81" s="30"/>
      <c r="H81" s="30"/>
      <c r="I81" s="70"/>
      <c r="K81" s="221" t="str">
        <f>"FROM ( 01-02-2024 to "&amp;TEXT(A5,"dd-mm-yyyy")&amp;" )"</f>
        <v>FROM ( 01-02-2024 to 01-03-2024 )</v>
      </c>
      <c r="L81" s="221"/>
      <c r="O81" s="70"/>
      <c r="P81" s="70"/>
    </row>
    <row r="82" spans="1:16" s="2" customFormat="1" x14ac:dyDescent="0.2">
      <c r="A82" s="24"/>
      <c r="B82" s="1"/>
      <c r="C82" s="78" t="s">
        <v>577</v>
      </c>
      <c r="D82" s="109">
        <f>D73+D80</f>
        <v>21.18</v>
      </c>
      <c r="E82" s="104"/>
      <c r="G82" s="30"/>
      <c r="H82" s="30"/>
      <c r="I82" s="70"/>
      <c r="J82" s="113"/>
      <c r="K82" s="113" t="s">
        <v>709</v>
      </c>
      <c r="L82" s="113" t="s">
        <v>710</v>
      </c>
      <c r="M82" s="113" t="s">
        <v>711</v>
      </c>
      <c r="N82" s="113" t="s">
        <v>712</v>
      </c>
      <c r="O82" s="70"/>
      <c r="P82" s="70"/>
    </row>
    <row r="83" spans="1:16" s="2" customFormat="1" x14ac:dyDescent="0.2">
      <c r="A83" s="24"/>
      <c r="B83" s="1"/>
      <c r="C83" s="56"/>
      <c r="D83" s="56"/>
      <c r="E83" s="104"/>
      <c r="G83" s="30"/>
      <c r="H83" s="30"/>
      <c r="I83" s="70"/>
      <c r="J83" s="113" t="s">
        <v>1860</v>
      </c>
      <c r="K83" s="115">
        <v>191.98999999999998</v>
      </c>
      <c r="L83" s="115">
        <v>27.85</v>
      </c>
      <c r="M83" s="115">
        <v>31.65</v>
      </c>
      <c r="N83" s="113">
        <f>+K83+M83-L83</f>
        <v>195.79</v>
      </c>
      <c r="O83" s="70"/>
      <c r="P83" s="70"/>
    </row>
    <row r="84" spans="1:16" s="2" customFormat="1" ht="38.25" x14ac:dyDescent="0.2">
      <c r="A84" s="24"/>
      <c r="B84" s="1"/>
      <c r="C84" s="79" t="str">
        <f>"Particulars ( 01-02-2024 to "&amp;TEXT(A5,"dd-mm-yyyy")&amp;" )"</f>
        <v>Particulars ( 01-02-2024 to 01-03-2024 )</v>
      </c>
      <c r="D84" s="79" t="s">
        <v>7</v>
      </c>
      <c r="E84" s="80" t="s">
        <v>73</v>
      </c>
      <c r="F84" s="80" t="s">
        <v>74</v>
      </c>
      <c r="G84" s="81" t="s">
        <v>75</v>
      </c>
      <c r="H84" s="80" t="s">
        <v>76</v>
      </c>
      <c r="I84" s="70"/>
      <c r="J84" s="113" t="s">
        <v>1861</v>
      </c>
      <c r="K84" s="115">
        <v>1862.06</v>
      </c>
      <c r="L84" s="115">
        <v>1243.26</v>
      </c>
      <c r="M84" s="115">
        <v>1264.8900000000001</v>
      </c>
      <c r="N84" s="113">
        <f>+K84+M84-L84</f>
        <v>1883.6899999999998</v>
      </c>
      <c r="O84" s="70"/>
      <c r="P84" s="70"/>
    </row>
    <row r="85" spans="1:16" s="2" customFormat="1" x14ac:dyDescent="0.2">
      <c r="A85" s="24"/>
      <c r="B85" s="1"/>
      <c r="C85" s="50" t="s">
        <v>444</v>
      </c>
      <c r="D85" s="55">
        <f>+K85</f>
        <v>332.44</v>
      </c>
      <c r="E85" s="55">
        <f>+IF(M85=0,0,M85)</f>
        <v>319.02999999999997</v>
      </c>
      <c r="F85" s="55">
        <f>+L85</f>
        <v>174.46</v>
      </c>
      <c r="G85" s="55">
        <f>+D85+E85-F85</f>
        <v>477.01</v>
      </c>
      <c r="H85" s="55">
        <f>1500-G85</f>
        <v>1022.99</v>
      </c>
      <c r="I85" s="70">
        <f>+IF(M85=0,0,M85)</f>
        <v>319.02999999999997</v>
      </c>
      <c r="J85" s="113" t="s">
        <v>707</v>
      </c>
      <c r="K85" s="115">
        <v>332.44</v>
      </c>
      <c r="L85" s="115">
        <v>174.46</v>
      </c>
      <c r="M85" s="115">
        <v>319.02999999999997</v>
      </c>
      <c r="N85" s="113">
        <f>+K85+M85-L85</f>
        <v>477.01</v>
      </c>
      <c r="O85" s="70"/>
      <c r="P85" s="70"/>
    </row>
    <row r="86" spans="1:16" s="2" customFormat="1" x14ac:dyDescent="0.2">
      <c r="A86" s="24"/>
      <c r="B86" s="1"/>
      <c r="C86" s="50" t="s">
        <v>71</v>
      </c>
      <c r="D86" s="55">
        <f>+K83+K84</f>
        <v>2054.0499999999997</v>
      </c>
      <c r="E86" s="55">
        <f>+M83+M84</f>
        <v>1296.5400000000002</v>
      </c>
      <c r="F86" s="55">
        <f>+L83+L84</f>
        <v>1271.1099999999999</v>
      </c>
      <c r="G86" s="55">
        <f>+D86+E86-F86</f>
        <v>2079.4800000000005</v>
      </c>
      <c r="H86" s="55">
        <f>1500+700+200-G86</f>
        <v>320.51999999999953</v>
      </c>
      <c r="I86" s="70"/>
      <c r="K86" s="118">
        <f>SUM(K83:K85)</f>
        <v>2386.4899999999998</v>
      </c>
      <c r="L86" s="118">
        <f>SUM(L83:L85)</f>
        <v>1445.57</v>
      </c>
      <c r="M86" s="118">
        <f>SUM(M83:M85)</f>
        <v>1615.5700000000002</v>
      </c>
      <c r="N86" s="118">
        <f>SUM(N83:N85)</f>
        <v>2556.4899999999998</v>
      </c>
      <c r="O86" s="70"/>
      <c r="P86" s="70"/>
    </row>
    <row r="87" spans="1:16" s="2" customFormat="1" x14ac:dyDescent="0.2">
      <c r="A87" s="24"/>
      <c r="B87" s="1"/>
      <c r="C87" s="14"/>
      <c r="D87" s="56"/>
      <c r="E87" s="13"/>
      <c r="G87" s="30"/>
      <c r="H87" s="30"/>
      <c r="I87" s="70"/>
      <c r="J87" s="70"/>
      <c r="K87" s="70"/>
      <c r="L87" s="70"/>
      <c r="M87" s="70"/>
      <c r="N87" s="70"/>
      <c r="O87" s="70"/>
      <c r="P87" s="70"/>
    </row>
    <row r="88" spans="1:16" s="2" customFormat="1" x14ac:dyDescent="0.2">
      <c r="A88" s="215" t="s">
        <v>80</v>
      </c>
      <c r="B88" s="216"/>
      <c r="C88" s="216"/>
      <c r="D88" s="217"/>
      <c r="E88" s="69"/>
      <c r="F88" s="70"/>
      <c r="G88" s="30"/>
      <c r="H88" s="30"/>
      <c r="I88" s="70"/>
      <c r="J88" s="70"/>
      <c r="K88" s="70"/>
      <c r="L88" s="70"/>
      <c r="M88" s="70"/>
      <c r="N88" s="70"/>
      <c r="O88" s="70"/>
      <c r="P88" s="70"/>
    </row>
    <row r="89" spans="1:16" s="2" customFormat="1" x14ac:dyDescent="0.2">
      <c r="A89" s="71" t="s">
        <v>81</v>
      </c>
      <c r="B89" s="71"/>
      <c r="C89" s="72" t="s">
        <v>82</v>
      </c>
      <c r="D89" s="73" t="s">
        <v>83</v>
      </c>
      <c r="E89" s="69"/>
      <c r="F89" s="70"/>
      <c r="G89" s="30"/>
      <c r="H89" s="30"/>
      <c r="I89" s="70"/>
      <c r="J89" s="70"/>
      <c r="K89" s="70"/>
      <c r="L89" s="70"/>
      <c r="M89" s="70"/>
      <c r="N89" s="70"/>
      <c r="O89" s="70"/>
      <c r="P89" s="70"/>
    </row>
    <row r="90" spans="1:16" s="2" customFormat="1" x14ac:dyDescent="0.2">
      <c r="A90" s="87"/>
      <c r="B90" s="120"/>
      <c r="C90" s="75"/>
      <c r="D90" s="88"/>
      <c r="G90" s="30"/>
      <c r="H90" s="30"/>
      <c r="P90" s="70"/>
    </row>
    <row r="91" spans="1:16" s="2" customFormat="1" x14ac:dyDescent="0.2">
      <c r="A91" s="87"/>
      <c r="B91" s="74"/>
      <c r="C91" s="183" t="s">
        <v>2141</v>
      </c>
      <c r="D91" s="51">
        <f>SUM(D90:D90)</f>
        <v>0</v>
      </c>
      <c r="F91" s="2" t="s">
        <v>396</v>
      </c>
      <c r="G91" s="1"/>
      <c r="H91" s="1"/>
      <c r="P91" s="70"/>
    </row>
    <row r="92" spans="1:16" s="2" customFormat="1" x14ac:dyDescent="0.2">
      <c r="A92" s="24"/>
      <c r="B92" s="1"/>
      <c r="C92" s="14"/>
      <c r="D92" s="56"/>
      <c r="E92" s="13"/>
      <c r="G92" s="1"/>
      <c r="H92" s="1"/>
      <c r="I92" s="2" t="s">
        <v>396</v>
      </c>
    </row>
    <row r="93" spans="1:16" s="2" customFormat="1" x14ac:dyDescent="0.2">
      <c r="A93" s="24"/>
      <c r="B93" s="1"/>
      <c r="C93" s="218" t="s">
        <v>77</v>
      </c>
      <c r="D93" s="219"/>
      <c r="E93" s="219"/>
      <c r="F93" s="220"/>
      <c r="I93" s="2" t="s">
        <v>396</v>
      </c>
    </row>
    <row r="94" spans="1:16" s="2" customFormat="1" x14ac:dyDescent="0.2">
      <c r="A94" s="24"/>
      <c r="B94" s="1"/>
      <c r="C94" s="50"/>
      <c r="D94" s="57" t="s">
        <v>78</v>
      </c>
      <c r="E94" s="58" t="s">
        <v>79</v>
      </c>
      <c r="F94" s="57" t="s">
        <v>72</v>
      </c>
    </row>
    <row r="95" spans="1:16" s="2" customFormat="1" x14ac:dyDescent="0.2">
      <c r="A95" s="24"/>
      <c r="B95" s="1"/>
      <c r="C95" s="59" t="str">
        <f>"01-02-2024 to "&amp;TEXT(A5-2,"dd-mm-yyyy")</f>
        <v>01-02-2024 to 28-02-2024</v>
      </c>
      <c r="D95" s="60">
        <v>3734.52</v>
      </c>
      <c r="E95" s="60">
        <v>659.62</v>
      </c>
      <c r="F95" s="61">
        <f>SUM(D95:E95)</f>
        <v>4394.1400000000003</v>
      </c>
      <c r="I95" s="53"/>
    </row>
    <row r="96" spans="1:16" s="2" customFormat="1" x14ac:dyDescent="0.2">
      <c r="A96" s="24"/>
      <c r="B96" s="1"/>
      <c r="C96" s="62" t="str">
        <f>TEXT(A5-1,"dd-mm-yyyy")</f>
        <v>29-02-2024</v>
      </c>
      <c r="D96" s="60">
        <v>243.76</v>
      </c>
      <c r="E96" s="60">
        <v>21.89</v>
      </c>
      <c r="F96" s="61">
        <f>SUM(D96:E96)</f>
        <v>265.64999999999998</v>
      </c>
      <c r="G96" s="1"/>
      <c r="H96" s="1"/>
      <c r="I96" s="53"/>
    </row>
    <row r="97" spans="1:19" s="2" customFormat="1" ht="13.5" thickBot="1" x14ac:dyDescent="0.25">
      <c r="A97" s="24"/>
      <c r="B97" s="1"/>
      <c r="C97" s="63" t="str">
        <f>"01-02-2024 to "&amp;TEXT(A5-1,"dd-mm-yyyy")</f>
        <v>01-02-2024 to 29-02-2024</v>
      </c>
      <c r="D97" s="64">
        <f>SUM(D95:D96)</f>
        <v>3978.2799999999997</v>
      </c>
      <c r="E97" s="64">
        <f>SUM(E95:E96)</f>
        <v>681.51</v>
      </c>
      <c r="F97" s="64">
        <f>SUM(F95:F96)</f>
        <v>4659.79</v>
      </c>
      <c r="G97" s="1"/>
      <c r="H97" s="1"/>
      <c r="M97" s="1"/>
      <c r="N97" s="1"/>
    </row>
    <row r="98" spans="1:19" s="2" customFormat="1" ht="13.5" thickTop="1" x14ac:dyDescent="0.2">
      <c r="A98" s="24"/>
      <c r="B98" s="1"/>
      <c r="C98" s="62"/>
      <c r="D98" s="65"/>
      <c r="E98" s="66"/>
      <c r="F98" s="67"/>
      <c r="M98" s="1"/>
      <c r="N98" s="1"/>
    </row>
    <row r="99" spans="1:19" s="2" customFormat="1" x14ac:dyDescent="0.2">
      <c r="A99" s="24"/>
      <c r="B99" s="1"/>
      <c r="C99" s="62" t="str">
        <f>"01-04-2023 to " &amp;C96</f>
        <v>01-04-2023 to 29-02-2024</v>
      </c>
      <c r="D99" s="68">
        <f>+D97+37155.6</f>
        <v>41133.879999999997</v>
      </c>
      <c r="E99" s="68">
        <f>+E97+4497.36</f>
        <v>5178.87</v>
      </c>
      <c r="F99" s="68">
        <f>+F97+41652.96</f>
        <v>46312.75</v>
      </c>
      <c r="G99" s="1"/>
      <c r="H99" s="1"/>
      <c r="M99" s="1"/>
      <c r="N99" s="1"/>
    </row>
    <row r="100" spans="1:19" s="2" customFormat="1" x14ac:dyDescent="0.2">
      <c r="A100" s="24"/>
      <c r="B100" s="1"/>
      <c r="C100" s="52"/>
      <c r="D100" s="85"/>
      <c r="E100" s="53"/>
      <c r="F100" s="53"/>
      <c r="G100" s="1"/>
      <c r="H100" s="1"/>
      <c r="M100" s="1"/>
      <c r="N100" s="1"/>
    </row>
    <row r="101" spans="1:19" s="2" customFormat="1" x14ac:dyDescent="0.2">
      <c r="A101" s="24"/>
      <c r="B101" s="1"/>
      <c r="C101" s="52"/>
      <c r="D101" s="85"/>
      <c r="E101" s="53"/>
      <c r="F101" s="53"/>
      <c r="G101" s="1"/>
      <c r="H101" s="1"/>
      <c r="M101" s="1"/>
      <c r="N101" s="1"/>
    </row>
    <row r="102" spans="1:19" s="2" customFormat="1" x14ac:dyDescent="0.2">
      <c r="A102" s="24"/>
      <c r="B102" s="1"/>
      <c r="C102" s="52"/>
      <c r="D102" s="85"/>
      <c r="E102" s="53"/>
      <c r="F102" s="53"/>
      <c r="G102" s="1"/>
      <c r="H102" s="1"/>
      <c r="M102" s="1"/>
      <c r="N102" s="1"/>
    </row>
    <row r="103" spans="1:19" s="2" customFormat="1" x14ac:dyDescent="0.2">
      <c r="A103" s="24"/>
      <c r="B103" s="1"/>
      <c r="C103" s="52"/>
      <c r="D103" s="85"/>
      <c r="E103" s="53"/>
      <c r="F103" s="53"/>
      <c r="G103" s="1"/>
      <c r="H103" s="1"/>
      <c r="M103" s="1"/>
      <c r="N103" s="1"/>
    </row>
    <row r="104" spans="1:19" s="2" customFormat="1" x14ac:dyDescent="0.2">
      <c r="A104" s="24"/>
      <c r="B104" s="1"/>
      <c r="C104" s="14"/>
      <c r="D104" s="25">
        <f>SUM(D101:D103)</f>
        <v>0</v>
      </c>
      <c r="E104" s="2">
        <f>SUM(E101:E103)</f>
        <v>0</v>
      </c>
      <c r="G104" s="1"/>
      <c r="H104" s="1"/>
      <c r="M104" s="1"/>
      <c r="N104" s="1"/>
    </row>
    <row r="105" spans="1:19" s="2" customFormat="1" x14ac:dyDescent="0.2">
      <c r="A105" s="24"/>
      <c r="B105" s="1"/>
      <c r="C105" s="14"/>
      <c r="D105" s="25"/>
      <c r="G105" s="1"/>
      <c r="H105" s="1"/>
      <c r="M105" s="1"/>
      <c r="N105" s="1"/>
    </row>
    <row r="106" spans="1:19" s="2" customFormat="1" x14ac:dyDescent="0.2">
      <c r="A106" s="24"/>
      <c r="B106" s="1"/>
      <c r="C106" s="14"/>
      <c r="D106" s="25"/>
      <c r="G106" s="1"/>
      <c r="H106" s="1"/>
      <c r="M106" s="1"/>
      <c r="N106" s="1"/>
    </row>
    <row r="107" spans="1:19" s="2" customFormat="1" x14ac:dyDescent="0.2">
      <c r="A107" s="24"/>
      <c r="B107" s="1"/>
      <c r="C107" s="14"/>
      <c r="D107" s="25"/>
      <c r="G107" s="1"/>
      <c r="H107" s="1"/>
      <c r="M107" s="1"/>
      <c r="N107" s="1"/>
    </row>
    <row r="108" spans="1:19" s="2" customFormat="1" x14ac:dyDescent="0.2">
      <c r="A108" s="24"/>
      <c r="B108" s="1"/>
      <c r="C108" s="14"/>
      <c r="D108" s="25"/>
      <c r="G108" s="1"/>
      <c r="H108" s="1"/>
      <c r="M108" s="1"/>
      <c r="N108" s="1"/>
    </row>
    <row r="109" spans="1:19" s="2" customFormat="1" x14ac:dyDescent="0.2">
      <c r="A109" s="24"/>
      <c r="B109" s="1"/>
      <c r="C109" s="14"/>
      <c r="D109" s="25"/>
      <c r="G109" s="1"/>
      <c r="H109" s="1"/>
      <c r="M109" s="1"/>
      <c r="N109" s="1"/>
    </row>
    <row r="110" spans="1:19" s="2" customFormat="1" x14ac:dyDescent="0.2">
      <c r="A110" s="24"/>
      <c r="B110" s="1"/>
      <c r="C110" s="14"/>
      <c r="D110" s="25"/>
      <c r="G110" s="1"/>
      <c r="H110" s="1"/>
      <c r="M110" s="1"/>
      <c r="N110" s="1"/>
    </row>
    <row r="111" spans="1:19" s="2" customFormat="1" x14ac:dyDescent="0.2">
      <c r="A111" s="24"/>
      <c r="B111" s="1"/>
      <c r="C111" s="14"/>
      <c r="D111" s="25"/>
      <c r="G111" s="1"/>
      <c r="H111" s="1"/>
      <c r="M111" s="1"/>
      <c r="N111" s="1"/>
      <c r="Q111" s="1"/>
      <c r="R111" s="1"/>
      <c r="S111" s="1"/>
    </row>
    <row r="112" spans="1:19" x14ac:dyDescent="0.2">
      <c r="J112" s="2"/>
      <c r="K112" s="2"/>
      <c r="L112" s="2"/>
      <c r="O112" s="2"/>
      <c r="P112" s="2"/>
      <c r="Q112" s="2"/>
      <c r="R112" s="2"/>
      <c r="S112" s="2"/>
    </row>
    <row r="113" spans="1:19" s="2" customFormat="1" x14ac:dyDescent="0.2">
      <c r="A113" s="24"/>
      <c r="B113" s="1"/>
      <c r="C113" s="14"/>
      <c r="D113" s="25"/>
      <c r="G113" s="1"/>
      <c r="H113" s="1"/>
      <c r="M113" s="1"/>
      <c r="N113" s="1"/>
      <c r="Q113" s="1"/>
      <c r="R113" s="1"/>
      <c r="S113" s="1"/>
    </row>
    <row r="114" spans="1:19" x14ac:dyDescent="0.2">
      <c r="J114" s="2"/>
      <c r="K114" s="2"/>
      <c r="L114" s="2"/>
      <c r="O114" s="2"/>
      <c r="P114" s="2"/>
    </row>
    <row r="115" spans="1:19" x14ac:dyDescent="0.2">
      <c r="J115" s="2"/>
      <c r="K115" s="2"/>
      <c r="L115" s="2"/>
      <c r="O115" s="2"/>
      <c r="P115" s="2"/>
    </row>
    <row r="116" spans="1:19" x14ac:dyDescent="0.2">
      <c r="J116" s="2"/>
      <c r="K116" s="2"/>
      <c r="L116" s="2"/>
      <c r="O116" s="2"/>
      <c r="P116" s="2"/>
    </row>
    <row r="117" spans="1:19" x14ac:dyDescent="0.2">
      <c r="J117" s="2"/>
      <c r="K117" s="2"/>
      <c r="L117" s="2"/>
      <c r="O117" s="2"/>
      <c r="P117" s="2"/>
    </row>
    <row r="118" spans="1:19" x14ac:dyDescent="0.2">
      <c r="O118" s="2"/>
      <c r="P118" s="2"/>
    </row>
    <row r="119" spans="1:19" x14ac:dyDescent="0.2">
      <c r="J119" s="2"/>
      <c r="K119" s="2"/>
      <c r="L119" s="2"/>
      <c r="M119" s="2"/>
      <c r="N119" s="2"/>
      <c r="O119" s="2"/>
      <c r="P119" s="2"/>
    </row>
    <row r="120" spans="1:19" x14ac:dyDescent="0.2">
      <c r="O120" s="2"/>
      <c r="P120" s="2"/>
    </row>
    <row r="121" spans="1:19" x14ac:dyDescent="0.2">
      <c r="G121" s="54"/>
      <c r="H121" s="54"/>
      <c r="O121" s="2"/>
      <c r="P121" s="2"/>
    </row>
    <row r="122" spans="1:19" x14ac:dyDescent="0.2">
      <c r="G122" s="54"/>
      <c r="H122" s="54"/>
      <c r="O122" s="2"/>
      <c r="P122" s="2"/>
    </row>
    <row r="123" spans="1:19" x14ac:dyDescent="0.2">
      <c r="G123" s="54"/>
      <c r="H123" s="54"/>
      <c r="O123" s="2"/>
      <c r="P123" s="2"/>
    </row>
    <row r="124" spans="1:19" x14ac:dyDescent="0.2">
      <c r="G124" s="54"/>
      <c r="H124" s="54"/>
      <c r="I124" s="2" t="s">
        <v>396</v>
      </c>
      <c r="O124" s="2"/>
      <c r="P124" s="2"/>
    </row>
    <row r="125" spans="1:19" x14ac:dyDescent="0.2">
      <c r="G125" s="54"/>
      <c r="H125" s="54"/>
      <c r="I125" s="53"/>
      <c r="J125" s="2"/>
      <c r="K125" s="2"/>
      <c r="L125" s="2"/>
      <c r="M125" s="2"/>
      <c r="N125" s="2"/>
      <c r="P125" s="2"/>
    </row>
    <row r="126" spans="1:19" x14ac:dyDescent="0.2">
      <c r="G126" s="54"/>
      <c r="H126" s="54"/>
      <c r="I126" s="53" t="s">
        <v>396</v>
      </c>
      <c r="O126" s="2"/>
      <c r="P126" s="2"/>
    </row>
    <row r="127" spans="1:19" x14ac:dyDescent="0.2">
      <c r="G127" s="54"/>
      <c r="H127" s="54"/>
      <c r="I127" s="53" t="s">
        <v>396</v>
      </c>
      <c r="K127" s="42"/>
      <c r="P127" s="2"/>
    </row>
    <row r="128" spans="1:19" x14ac:dyDescent="0.2">
      <c r="G128" s="54"/>
      <c r="H128" s="54"/>
      <c r="I128" s="53"/>
      <c r="J128" s="101"/>
      <c r="P128" s="2"/>
    </row>
    <row r="129" spans="7:16" x14ac:dyDescent="0.2">
      <c r="G129" s="54"/>
      <c r="H129" s="54"/>
      <c r="I129" s="53"/>
    </row>
    <row r="130" spans="7:16" x14ac:dyDescent="0.2">
      <c r="G130" s="54"/>
      <c r="H130" s="54"/>
      <c r="I130" s="53"/>
      <c r="P130" s="2"/>
    </row>
    <row r="131" spans="7:16" x14ac:dyDescent="0.2">
      <c r="G131" s="54"/>
      <c r="H131" s="54"/>
      <c r="I131" s="53"/>
    </row>
  </sheetData>
  <sheetProtection insertRows="0"/>
  <mergeCells count="8">
    <mergeCell ref="K81:L81"/>
    <mergeCell ref="A88:D88"/>
    <mergeCell ref="C93:F93"/>
    <mergeCell ref="A1:H1"/>
    <mergeCell ref="A3:F3"/>
    <mergeCell ref="A10:F10"/>
    <mergeCell ref="A17:F17"/>
    <mergeCell ref="A38:F38"/>
  </mergeCells>
  <conditionalFormatting sqref="H85:H86">
    <cfRule type="cellIs" dxfId="47" priority="1" operator="lessThan">
      <formula>0</formula>
    </cfRule>
  </conditionalFormatting>
  <conditionalFormatting sqref="C40">
    <cfRule type="duplicateValues" dxfId="46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1-000000000000}">
  <sheetPr codeName="Sheet563">
    <pageSetUpPr fitToPage="1"/>
  </sheetPr>
  <dimension ref="A1:S156"/>
  <sheetViews>
    <sheetView topLeftCell="A26" zoomScaleNormal="100" workbookViewId="0">
      <selection activeCell="I33" sqref="I33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12.85546875" style="1" customWidth="1"/>
    <col min="9" max="9" width="24.85546875" style="2" bestFit="1" customWidth="1"/>
    <col min="10" max="10" width="21.5703125" style="1" bestFit="1" customWidth="1"/>
    <col min="11" max="11" width="16.85546875" style="1" bestFit="1" customWidth="1"/>
    <col min="12" max="12" width="19.5703125" style="1" bestFit="1" customWidth="1"/>
    <col min="13" max="13" width="13.5703125" style="1" bestFit="1" customWidth="1"/>
    <col min="14" max="14" width="17.42578125" style="1" bestFit="1" customWidth="1"/>
    <col min="15" max="15" width="12.85546875" style="1" bestFit="1" customWidth="1"/>
    <col min="16" max="17" width="9.140625" style="1"/>
    <col min="18" max="18" width="15.5703125" style="1" bestFit="1" customWidth="1"/>
    <col min="19" max="16384" width="9.140625" style="1"/>
  </cols>
  <sheetData>
    <row r="1" spans="1:11" ht="20.25" customHeight="1" x14ac:dyDescent="0.4">
      <c r="A1" s="212" t="s">
        <v>2158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1" ht="12.75" customHeight="1" x14ac:dyDescent="0.4">
      <c r="I2" s="112"/>
      <c r="J2" s="112"/>
    </row>
    <row r="3" spans="1:11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1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1" s="2" customFormat="1" ht="14.25" customHeight="1" x14ac:dyDescent="0.4">
      <c r="A5" s="89">
        <v>45353</v>
      </c>
      <c r="B5" s="9" t="s">
        <v>6</v>
      </c>
      <c r="C5" s="10" t="s">
        <v>7</v>
      </c>
      <c r="D5" s="11"/>
      <c r="E5" s="12">
        <v>462876.84000000043</v>
      </c>
      <c r="F5" s="12"/>
      <c r="G5" s="1"/>
      <c r="H5" s="1"/>
      <c r="I5" s="112"/>
      <c r="J5" s="112"/>
    </row>
    <row r="6" spans="1:11" s="2" customFormat="1" ht="12.75" customHeight="1" x14ac:dyDescent="0.2">
      <c r="D6" s="15" t="s">
        <v>8</v>
      </c>
      <c r="E6" s="16">
        <f>SUM(E5:E5)</f>
        <v>462876.84000000043</v>
      </c>
      <c r="F6" s="16">
        <f>F5</f>
        <v>0</v>
      </c>
      <c r="G6" s="1"/>
      <c r="H6" s="1"/>
      <c r="I6" s="13" t="s">
        <v>1582</v>
      </c>
      <c r="J6" s="13" t="s">
        <v>1583</v>
      </c>
    </row>
    <row r="7" spans="1:11" s="2" customFormat="1" ht="12.75" customHeight="1" x14ac:dyDescent="0.2">
      <c r="A7" s="17"/>
      <c r="B7" s="18"/>
      <c r="C7" s="19" t="s">
        <v>9</v>
      </c>
      <c r="D7" s="20"/>
      <c r="E7" s="21">
        <f>+E6-F6</f>
        <v>462876.84000000043</v>
      </c>
      <c r="F7" s="22"/>
      <c r="G7" s="23"/>
      <c r="H7" s="23"/>
      <c r="I7" s="2">
        <v>0</v>
      </c>
      <c r="J7" s="2">
        <v>0</v>
      </c>
      <c r="K7" s="176">
        <f>I7-J7</f>
        <v>0</v>
      </c>
    </row>
    <row r="8" spans="1:11" ht="11.25" customHeight="1" x14ac:dyDescent="0.4">
      <c r="I8" s="112"/>
      <c r="J8" s="112"/>
    </row>
    <row r="9" spans="1:11" ht="18" customHeight="1" x14ac:dyDescent="0.4">
      <c r="A9" s="213" t="s">
        <v>2103</v>
      </c>
      <c r="B9" s="213"/>
      <c r="C9" s="213"/>
      <c r="D9" s="213"/>
      <c r="E9" s="213"/>
      <c r="F9" s="213"/>
      <c r="I9" s="112"/>
      <c r="J9" s="112"/>
    </row>
    <row r="10" spans="1:11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I10" s="112"/>
      <c r="J10" s="112"/>
    </row>
    <row r="11" spans="1:11" ht="12.75" customHeight="1" x14ac:dyDescent="0.4">
      <c r="A11" s="89">
        <v>45352</v>
      </c>
      <c r="B11" s="9" t="s">
        <v>6</v>
      </c>
      <c r="C11" s="10" t="s">
        <v>7</v>
      </c>
      <c r="D11" s="11"/>
      <c r="E11" s="12">
        <v>2035454.0299999993</v>
      </c>
      <c r="F11" s="1"/>
      <c r="I11" s="112"/>
      <c r="J11" s="112"/>
    </row>
    <row r="12" spans="1:11" ht="12.75" customHeight="1" x14ac:dyDescent="0.4">
      <c r="A12" s="89">
        <v>45352</v>
      </c>
      <c r="B12" s="9" t="s">
        <v>11</v>
      </c>
      <c r="C12" s="76" t="s">
        <v>377</v>
      </c>
      <c r="D12" s="11" t="s">
        <v>29</v>
      </c>
      <c r="E12" s="31"/>
      <c r="F12" s="31">
        <v>245590</v>
      </c>
      <c r="I12" s="112"/>
      <c r="J12" s="112"/>
    </row>
    <row r="13" spans="1:11" ht="12.75" customHeight="1" x14ac:dyDescent="0.4">
      <c r="A13" s="89">
        <v>45352</v>
      </c>
      <c r="B13" s="9" t="s">
        <v>11</v>
      </c>
      <c r="C13" s="76" t="s">
        <v>2159</v>
      </c>
      <c r="D13" s="11" t="s">
        <v>29</v>
      </c>
      <c r="E13" s="31"/>
      <c r="F13" s="31">
        <v>5900</v>
      </c>
      <c r="I13" s="112"/>
      <c r="J13" s="112"/>
    </row>
    <row r="14" spans="1:11" ht="12.75" customHeight="1" x14ac:dyDescent="0.4">
      <c r="A14" s="89">
        <v>45352</v>
      </c>
      <c r="B14" s="9" t="s">
        <v>11</v>
      </c>
      <c r="C14" s="76" t="s">
        <v>1968</v>
      </c>
      <c r="D14" s="11" t="s">
        <v>29</v>
      </c>
      <c r="E14" s="31"/>
      <c r="F14" s="31">
        <v>40110</v>
      </c>
      <c r="I14" s="112"/>
      <c r="J14" s="112"/>
    </row>
    <row r="15" spans="1:11" ht="12.75" customHeight="1" x14ac:dyDescent="0.4">
      <c r="A15" s="89">
        <v>45352</v>
      </c>
      <c r="B15" s="9" t="s">
        <v>11</v>
      </c>
      <c r="C15" s="76" t="s">
        <v>1703</v>
      </c>
      <c r="D15" s="11" t="s">
        <v>29</v>
      </c>
      <c r="E15" s="31"/>
      <c r="F15" s="31">
        <v>2478</v>
      </c>
      <c r="I15" s="112"/>
      <c r="J15" s="112"/>
    </row>
    <row r="16" spans="1:11" ht="12.75" customHeight="1" x14ac:dyDescent="0.4">
      <c r="A16" s="89">
        <v>45352</v>
      </c>
      <c r="B16" s="9" t="s">
        <v>11</v>
      </c>
      <c r="C16" s="76" t="s">
        <v>2160</v>
      </c>
      <c r="D16" s="11" t="s">
        <v>29</v>
      </c>
      <c r="E16" s="31"/>
      <c r="F16" s="31">
        <v>6490</v>
      </c>
      <c r="I16" s="112"/>
      <c r="J16" s="112"/>
    </row>
    <row r="17" spans="1:12" ht="12.75" customHeight="1" x14ac:dyDescent="0.4">
      <c r="A17" s="89">
        <v>45352</v>
      </c>
      <c r="B17" s="9" t="s">
        <v>11</v>
      </c>
      <c r="C17" s="76" t="s">
        <v>1013</v>
      </c>
      <c r="D17" s="11" t="s">
        <v>29</v>
      </c>
      <c r="E17" s="31"/>
      <c r="F17" s="31">
        <v>154049</v>
      </c>
      <c r="I17" s="112"/>
      <c r="J17" s="112"/>
    </row>
    <row r="18" spans="1:12" ht="12.75" customHeight="1" x14ac:dyDescent="0.4">
      <c r="A18" s="89">
        <v>45352</v>
      </c>
      <c r="B18" s="9" t="s">
        <v>11</v>
      </c>
      <c r="C18" s="76" t="s">
        <v>1056</v>
      </c>
      <c r="D18" s="11" t="s">
        <v>29</v>
      </c>
      <c r="E18" s="31"/>
      <c r="F18" s="31">
        <v>36500</v>
      </c>
      <c r="I18" s="112"/>
      <c r="J18" s="112"/>
    </row>
    <row r="19" spans="1:12" ht="12.75" customHeight="1" x14ac:dyDescent="0.4">
      <c r="A19" s="89">
        <v>45352</v>
      </c>
      <c r="B19" s="9" t="s">
        <v>11</v>
      </c>
      <c r="C19" s="76" t="s">
        <v>482</v>
      </c>
      <c r="D19" s="11" t="s">
        <v>29</v>
      </c>
      <c r="E19" s="31"/>
      <c r="F19" s="31">
        <v>16420</v>
      </c>
      <c r="I19" s="112"/>
      <c r="J19" s="112"/>
    </row>
    <row r="20" spans="1:12" ht="12.75" customHeight="1" x14ac:dyDescent="0.4">
      <c r="A20" s="89">
        <v>45352</v>
      </c>
      <c r="B20" s="9" t="s">
        <v>11</v>
      </c>
      <c r="C20" s="76" t="s">
        <v>243</v>
      </c>
      <c r="D20" s="11" t="s">
        <v>29</v>
      </c>
      <c r="E20" s="31"/>
      <c r="F20" s="31">
        <v>30612.07</v>
      </c>
      <c r="I20" s="112"/>
      <c r="J20" s="112"/>
    </row>
    <row r="21" spans="1:12" ht="12.75" customHeight="1" x14ac:dyDescent="0.4">
      <c r="A21" s="89">
        <v>45352</v>
      </c>
      <c r="B21" s="9" t="s">
        <v>11</v>
      </c>
      <c r="C21" s="76" t="s">
        <v>1912</v>
      </c>
      <c r="D21" s="11" t="s">
        <v>29</v>
      </c>
      <c r="E21" s="31"/>
      <c r="F21" s="31">
        <v>53460</v>
      </c>
      <c r="I21" s="112"/>
      <c r="J21" s="112"/>
    </row>
    <row r="22" spans="1:12" ht="12.75" customHeight="1" x14ac:dyDescent="0.4">
      <c r="A22" s="89">
        <v>45352</v>
      </c>
      <c r="B22" s="9" t="s">
        <v>11</v>
      </c>
      <c r="C22" s="76" t="s">
        <v>1911</v>
      </c>
      <c r="D22" s="11" t="s">
        <v>29</v>
      </c>
      <c r="E22" s="31"/>
      <c r="F22" s="31">
        <v>5294</v>
      </c>
      <c r="I22" s="112"/>
      <c r="J22" s="112"/>
    </row>
    <row r="23" spans="1:12" ht="12.75" customHeight="1" x14ac:dyDescent="0.4">
      <c r="A23" s="89">
        <v>45352</v>
      </c>
      <c r="B23" s="9" t="s">
        <v>11</v>
      </c>
      <c r="C23" s="76" t="s">
        <v>232</v>
      </c>
      <c r="D23" s="11" t="s">
        <v>29</v>
      </c>
      <c r="E23" s="31"/>
      <c r="F23" s="31">
        <v>8157.24</v>
      </c>
      <c r="I23" s="112"/>
      <c r="J23" s="112"/>
    </row>
    <row r="24" spans="1:12" ht="12.75" customHeight="1" x14ac:dyDescent="0.4">
      <c r="A24" s="89">
        <v>45352</v>
      </c>
      <c r="B24" s="9" t="s">
        <v>11</v>
      </c>
      <c r="C24" s="76" t="s">
        <v>2161</v>
      </c>
      <c r="D24" s="11" t="s">
        <v>29</v>
      </c>
      <c r="E24" s="31"/>
      <c r="F24" s="31">
        <v>1770</v>
      </c>
      <c r="I24" s="112"/>
      <c r="J24" s="112"/>
    </row>
    <row r="25" spans="1:12" ht="12.75" customHeight="1" x14ac:dyDescent="0.4">
      <c r="A25" s="89">
        <v>45352</v>
      </c>
      <c r="B25" s="9" t="s">
        <v>11</v>
      </c>
      <c r="C25" s="76" t="s">
        <v>98</v>
      </c>
      <c r="D25" s="11" t="s">
        <v>29</v>
      </c>
      <c r="E25" s="31"/>
      <c r="F25" s="31">
        <v>5510</v>
      </c>
      <c r="I25" s="112"/>
      <c r="J25" s="112"/>
    </row>
    <row r="26" spans="1:12" ht="12.75" customHeight="1" x14ac:dyDescent="0.4">
      <c r="A26" s="89">
        <v>45352</v>
      </c>
      <c r="B26" s="9" t="s">
        <v>11</v>
      </c>
      <c r="C26" s="76" t="s">
        <v>2162</v>
      </c>
      <c r="D26" s="11" t="s">
        <v>29</v>
      </c>
      <c r="E26" s="31"/>
      <c r="F26" s="31">
        <v>79079</v>
      </c>
      <c r="I26" s="112"/>
      <c r="J26" s="112"/>
    </row>
    <row r="27" spans="1:12" ht="12.75" customHeight="1" x14ac:dyDescent="0.2">
      <c r="A27" s="2"/>
      <c r="B27" s="2"/>
      <c r="C27" s="2"/>
      <c r="D27" s="11" t="s">
        <v>8</v>
      </c>
      <c r="E27" s="16">
        <f>SUM(E11:E12)</f>
        <v>2035454.0299999993</v>
      </c>
      <c r="F27" s="16">
        <f>SUM(F12:F26)</f>
        <v>691419.30999999994</v>
      </c>
      <c r="I27" s="13" t="s">
        <v>1582</v>
      </c>
      <c r="J27" s="13" t="s">
        <v>1583</v>
      </c>
    </row>
    <row r="28" spans="1:12" x14ac:dyDescent="0.2">
      <c r="A28" s="17"/>
      <c r="B28" s="18"/>
      <c r="C28" s="19" t="s">
        <v>9</v>
      </c>
      <c r="D28" s="20"/>
      <c r="E28" s="21">
        <f>+E27-F27</f>
        <v>1344034.7199999993</v>
      </c>
      <c r="I28" s="2">
        <v>0</v>
      </c>
      <c r="J28" s="2">
        <v>0</v>
      </c>
    </row>
    <row r="29" spans="1:12" ht="18" customHeight="1" x14ac:dyDescent="0.25">
      <c r="A29" s="36"/>
      <c r="B29" s="28"/>
      <c r="C29" s="44"/>
      <c r="D29" s="43"/>
      <c r="E29" s="38"/>
      <c r="F29" s="22"/>
      <c r="J29" s="2"/>
    </row>
    <row r="30" spans="1:12" ht="18" customHeight="1" x14ac:dyDescent="0.4">
      <c r="A30" s="213" t="s">
        <v>2104</v>
      </c>
      <c r="B30" s="213"/>
      <c r="C30" s="213"/>
      <c r="D30" s="213"/>
      <c r="E30" s="213"/>
      <c r="F30" s="213"/>
      <c r="I30" s="112"/>
      <c r="J30" s="169">
        <f>90000000-60000000</f>
        <v>30000000</v>
      </c>
      <c r="K30" s="169" t="s">
        <v>1508</v>
      </c>
    </row>
    <row r="31" spans="1:12" ht="12.75" customHeight="1" x14ac:dyDescent="0.4">
      <c r="A31" s="3" t="s">
        <v>1</v>
      </c>
      <c r="B31" s="4" t="s">
        <v>2</v>
      </c>
      <c r="C31" s="5"/>
      <c r="D31" s="6" t="s">
        <v>3</v>
      </c>
      <c r="E31" s="7" t="s">
        <v>4</v>
      </c>
      <c r="F31" s="7" t="s">
        <v>5</v>
      </c>
      <c r="I31" s="112"/>
      <c r="J31" s="169">
        <v>28182140.989999998</v>
      </c>
      <c r="K31" s="169" t="s">
        <v>1509</v>
      </c>
      <c r="L31" s="124"/>
    </row>
    <row r="32" spans="1:12" s="2" customFormat="1" ht="14.25" customHeight="1" x14ac:dyDescent="0.2">
      <c r="A32" s="89">
        <v>45353</v>
      </c>
      <c r="B32" s="9" t="s">
        <v>6</v>
      </c>
      <c r="C32" s="10" t="s">
        <v>7</v>
      </c>
      <c r="D32" s="11"/>
      <c r="F32" s="12">
        <v>28282488.990000002</v>
      </c>
      <c r="G32" s="1"/>
      <c r="H32" s="1"/>
      <c r="I32" s="130" t="s">
        <v>396</v>
      </c>
      <c r="J32" s="169">
        <f>+J30-J31</f>
        <v>1817859.0100000016</v>
      </c>
      <c r="K32" s="169" t="s">
        <v>712</v>
      </c>
      <c r="L32" s="165" t="s">
        <v>1512</v>
      </c>
    </row>
    <row r="33" spans="1:12" s="2" customFormat="1" ht="14.25" customHeight="1" x14ac:dyDescent="0.2">
      <c r="A33" s="89">
        <v>45353</v>
      </c>
      <c r="B33" s="9" t="s">
        <v>6</v>
      </c>
      <c r="C33" s="76" t="s">
        <v>21</v>
      </c>
      <c r="D33" s="11" t="s">
        <v>13</v>
      </c>
      <c r="E33" s="31">
        <v>300000</v>
      </c>
      <c r="F33" s="12"/>
      <c r="G33" s="1"/>
      <c r="H33" s="1"/>
      <c r="I33" s="130"/>
      <c r="J33" s="169"/>
      <c r="K33" s="169"/>
      <c r="L33" s="165"/>
    </row>
    <row r="34" spans="1:12" s="2" customFormat="1" ht="14.25" customHeight="1" x14ac:dyDescent="0.2">
      <c r="A34" s="89">
        <v>45353</v>
      </c>
      <c r="B34" s="9" t="s">
        <v>11</v>
      </c>
      <c r="C34" s="76" t="s">
        <v>102</v>
      </c>
      <c r="D34" s="11" t="s">
        <v>29</v>
      </c>
      <c r="F34" s="31">
        <v>199652</v>
      </c>
      <c r="G34" s="1"/>
      <c r="H34" s="1"/>
      <c r="I34" s="130"/>
      <c r="J34" s="169"/>
      <c r="K34" s="169"/>
      <c r="L34" s="165"/>
    </row>
    <row r="35" spans="1:12" s="2" customFormat="1" ht="14.25" customHeight="1" x14ac:dyDescent="0.4">
      <c r="D35" s="11" t="s">
        <v>8</v>
      </c>
      <c r="E35" s="16">
        <f>SUM(E33:E34)</f>
        <v>300000</v>
      </c>
      <c r="F35" s="16">
        <f>SUM(F32:F34)</f>
        <v>28482140.990000002</v>
      </c>
      <c r="G35" s="1"/>
      <c r="H35" s="1"/>
      <c r="J35" s="112"/>
      <c r="K35" s="153" t="s">
        <v>779</v>
      </c>
    </row>
    <row r="36" spans="1:12" s="2" customFormat="1" ht="14.25" customHeight="1" x14ac:dyDescent="0.2">
      <c r="A36" s="17"/>
      <c r="B36" s="18"/>
      <c r="C36" s="96" t="s">
        <v>9</v>
      </c>
      <c r="D36" s="20"/>
      <c r="E36" s="21">
        <f>+F35-E35</f>
        <v>28182140.990000002</v>
      </c>
      <c r="G36" s="1"/>
      <c r="H36" s="1"/>
      <c r="J36" s="40">
        <v>28182140.989999998</v>
      </c>
      <c r="K36" s="154">
        <f>J36-E36</f>
        <v>0</v>
      </c>
    </row>
    <row r="37" spans="1:12" s="2" customFormat="1" ht="14.25" customHeight="1" x14ac:dyDescent="0.2">
      <c r="A37" s="17"/>
      <c r="B37" s="28" t="s">
        <v>66</v>
      </c>
      <c r="C37" s="43" t="s">
        <v>1458</v>
      </c>
      <c r="D37" s="43"/>
      <c r="E37" s="12">
        <f>30000000+60000000</f>
        <v>90000000</v>
      </c>
      <c r="F37" s="22"/>
      <c r="G37" s="1"/>
      <c r="H37" s="1"/>
      <c r="I37" s="13" t="s">
        <v>1582</v>
      </c>
      <c r="J37" s="13" t="s">
        <v>1583</v>
      </c>
    </row>
    <row r="38" spans="1:12" s="2" customFormat="1" ht="14.25" customHeight="1" x14ac:dyDescent="0.25">
      <c r="A38" s="36"/>
      <c r="B38" s="28"/>
      <c r="C38" s="44" t="s">
        <v>1541</v>
      </c>
      <c r="D38" s="43"/>
      <c r="E38" s="7">
        <f>+E36+E37</f>
        <v>118182140.99000001</v>
      </c>
      <c r="F38" s="22"/>
      <c r="G38" s="1"/>
      <c r="H38" s="1"/>
      <c r="I38" s="2">
        <v>4235825</v>
      </c>
      <c r="J38" s="2">
        <v>21077108.510000002</v>
      </c>
      <c r="K38" s="176">
        <f>I38-J38</f>
        <v>-16841283.510000002</v>
      </c>
    </row>
    <row r="39" spans="1:12" s="2" customFormat="1" ht="14.25" customHeight="1" x14ac:dyDescent="0.25">
      <c r="A39" s="36"/>
      <c r="B39" s="28"/>
      <c r="C39" s="44" t="s">
        <v>1511</v>
      </c>
      <c r="D39" s="43"/>
      <c r="E39" s="38">
        <f>I28-J28+J32</f>
        <v>1817859.0100000016</v>
      </c>
      <c r="F39" s="22"/>
      <c r="G39" s="1"/>
      <c r="H39" s="1"/>
      <c r="J39" s="130"/>
      <c r="K39" s="130"/>
    </row>
    <row r="40" spans="1:12" s="2" customFormat="1" x14ac:dyDescent="0.2">
      <c r="A40" s="24"/>
      <c r="B40" s="1"/>
      <c r="C40" s="14"/>
      <c r="D40" s="25"/>
      <c r="G40" s="1"/>
      <c r="H40" s="1"/>
      <c r="I40" s="159"/>
      <c r="J40" s="160">
        <f>100000000+175000000</f>
        <v>275000000</v>
      </c>
      <c r="K40" s="160" t="s">
        <v>1506</v>
      </c>
      <c r="L40" s="70"/>
    </row>
    <row r="41" spans="1:12" s="2" customFormat="1" ht="15" x14ac:dyDescent="0.35">
      <c r="A41" s="214" t="s">
        <v>10</v>
      </c>
      <c r="B41" s="214"/>
      <c r="C41" s="214"/>
      <c r="D41" s="214"/>
      <c r="E41" s="214"/>
      <c r="F41" s="214"/>
      <c r="G41" s="1"/>
      <c r="H41" s="1"/>
      <c r="I41" s="159"/>
      <c r="J41" s="179">
        <v>230072108.50999999</v>
      </c>
      <c r="K41" s="160" t="s">
        <v>1507</v>
      </c>
      <c r="L41" s="70" t="s">
        <v>1512</v>
      </c>
    </row>
    <row r="42" spans="1:12" s="2" customFormat="1" x14ac:dyDescent="0.2">
      <c r="A42" s="26" t="s">
        <v>1</v>
      </c>
      <c r="B42" s="27" t="s">
        <v>2</v>
      </c>
      <c r="C42" s="5"/>
      <c r="D42" s="6" t="s">
        <v>3</v>
      </c>
      <c r="E42" s="7" t="s">
        <v>4</v>
      </c>
      <c r="F42" s="7" t="s">
        <v>5</v>
      </c>
      <c r="G42" s="1"/>
      <c r="H42" s="1"/>
      <c r="I42" s="159" t="s">
        <v>1505</v>
      </c>
      <c r="J42" s="160">
        <f>+J40-J41</f>
        <v>44927891.49000001</v>
      </c>
      <c r="K42" s="160"/>
      <c r="L42" s="70"/>
    </row>
    <row r="43" spans="1:12" s="2" customFormat="1" x14ac:dyDescent="0.2">
      <c r="A43" s="89" t="s">
        <v>2163</v>
      </c>
      <c r="B43" s="128" t="s">
        <v>11</v>
      </c>
      <c r="C43" s="29" t="s">
        <v>7</v>
      </c>
      <c r="D43" s="25"/>
      <c r="E43" s="31"/>
      <c r="F43" s="13">
        <v>250067512.3899999</v>
      </c>
      <c r="G43" s="23"/>
      <c r="H43" s="23"/>
      <c r="I43" s="159"/>
      <c r="J43" s="160"/>
      <c r="K43" s="160"/>
      <c r="L43" s="70"/>
    </row>
    <row r="44" spans="1:12" s="2" customFormat="1" x14ac:dyDescent="0.2">
      <c r="A44" s="89" t="s">
        <v>2163</v>
      </c>
      <c r="B44" s="128" t="s">
        <v>6</v>
      </c>
      <c r="C44" s="181" t="s">
        <v>2085</v>
      </c>
      <c r="D44" s="11" t="s">
        <v>13</v>
      </c>
      <c r="E44" s="86">
        <v>200000</v>
      </c>
      <c r="G44" s="23"/>
      <c r="H44" s="23"/>
      <c r="I44" s="159"/>
      <c r="J44" s="160"/>
      <c r="K44" s="160"/>
      <c r="L44" s="70"/>
    </row>
    <row r="45" spans="1:12" s="2" customFormat="1" x14ac:dyDescent="0.2">
      <c r="A45" s="89" t="s">
        <v>2163</v>
      </c>
      <c r="B45" s="128" t="s">
        <v>6</v>
      </c>
      <c r="C45" s="181" t="s">
        <v>15</v>
      </c>
      <c r="D45" s="11" t="s">
        <v>13</v>
      </c>
      <c r="E45" s="86">
        <v>789.88</v>
      </c>
      <c r="G45" s="23"/>
      <c r="H45" s="23"/>
      <c r="I45" s="159"/>
      <c r="J45" s="160"/>
      <c r="K45" s="160"/>
      <c r="L45" s="70"/>
    </row>
    <row r="46" spans="1:12" s="2" customFormat="1" x14ac:dyDescent="0.2">
      <c r="A46" s="89" t="s">
        <v>2163</v>
      </c>
      <c r="B46" s="128" t="s">
        <v>6</v>
      </c>
      <c r="C46" s="181" t="s">
        <v>120</v>
      </c>
      <c r="D46" s="11" t="s">
        <v>13</v>
      </c>
      <c r="E46" s="86">
        <v>5803538</v>
      </c>
      <c r="G46" s="23"/>
      <c r="H46" s="23"/>
      <c r="I46" s="159"/>
      <c r="J46" s="160"/>
      <c r="K46" s="160"/>
      <c r="L46" s="70"/>
    </row>
    <row r="47" spans="1:12" s="2" customFormat="1" x14ac:dyDescent="0.2">
      <c r="A47" s="89" t="s">
        <v>2163</v>
      </c>
      <c r="B47" s="128" t="s">
        <v>6</v>
      </c>
      <c r="C47" s="181" t="s">
        <v>2164</v>
      </c>
      <c r="D47" s="11" t="s">
        <v>13</v>
      </c>
      <c r="E47" s="86">
        <v>70880</v>
      </c>
      <c r="G47" s="23"/>
      <c r="H47" s="23"/>
      <c r="I47" s="159"/>
      <c r="J47" s="160"/>
      <c r="K47" s="160"/>
      <c r="L47" s="70"/>
    </row>
    <row r="48" spans="1:12" s="2" customFormat="1" x14ac:dyDescent="0.2">
      <c r="A48" s="89" t="s">
        <v>2163</v>
      </c>
      <c r="B48" s="128" t="s">
        <v>6</v>
      </c>
      <c r="C48" s="181" t="s">
        <v>121</v>
      </c>
      <c r="D48" s="11" t="s">
        <v>13</v>
      </c>
      <c r="E48" s="86">
        <v>500000</v>
      </c>
      <c r="G48" s="23"/>
      <c r="H48" s="23"/>
      <c r="I48" s="159"/>
      <c r="J48" s="160"/>
      <c r="K48" s="160"/>
      <c r="L48" s="70"/>
    </row>
    <row r="49" spans="1:12" s="2" customFormat="1" x14ac:dyDescent="0.2">
      <c r="A49" s="89" t="s">
        <v>2163</v>
      </c>
      <c r="B49" s="128" t="s">
        <v>6</v>
      </c>
      <c r="C49" s="181" t="s">
        <v>237</v>
      </c>
      <c r="D49" s="11" t="s">
        <v>13</v>
      </c>
      <c r="E49" s="86">
        <v>481613</v>
      </c>
      <c r="G49" s="23"/>
      <c r="H49" s="23"/>
      <c r="I49" s="159"/>
      <c r="J49" s="160"/>
      <c r="K49" s="160"/>
      <c r="L49" s="70"/>
    </row>
    <row r="50" spans="1:12" s="2" customFormat="1" x14ac:dyDescent="0.2">
      <c r="A50" s="89" t="s">
        <v>2163</v>
      </c>
      <c r="B50" s="128" t="s">
        <v>6</v>
      </c>
      <c r="C50" s="181" t="s">
        <v>24</v>
      </c>
      <c r="D50" s="11" t="s">
        <v>13</v>
      </c>
      <c r="E50" s="86">
        <v>216371</v>
      </c>
      <c r="G50" s="23"/>
      <c r="H50" s="23"/>
      <c r="I50" s="159"/>
      <c r="J50" s="160"/>
      <c r="K50" s="160"/>
      <c r="L50" s="70"/>
    </row>
    <row r="51" spans="1:12" s="2" customFormat="1" x14ac:dyDescent="0.2">
      <c r="A51" s="89" t="s">
        <v>2163</v>
      </c>
      <c r="B51" s="128" t="s">
        <v>6</v>
      </c>
      <c r="C51" s="181" t="s">
        <v>19</v>
      </c>
      <c r="D51" s="11" t="s">
        <v>13</v>
      </c>
      <c r="E51" s="86">
        <v>4720</v>
      </c>
      <c r="G51" s="23"/>
      <c r="H51" s="23"/>
      <c r="I51" s="159"/>
      <c r="J51" s="160"/>
      <c r="K51" s="160"/>
      <c r="L51" s="70"/>
    </row>
    <row r="52" spans="1:12" s="2" customFormat="1" x14ac:dyDescent="0.2">
      <c r="A52" s="89" t="s">
        <v>2163</v>
      </c>
      <c r="B52" s="128" t="s">
        <v>6</v>
      </c>
      <c r="C52" s="181" t="s">
        <v>761</v>
      </c>
      <c r="D52" s="11" t="s">
        <v>13</v>
      </c>
      <c r="E52" s="86">
        <v>772959</v>
      </c>
      <c r="G52" s="23"/>
      <c r="H52" s="23"/>
      <c r="I52" s="159"/>
      <c r="J52" s="160"/>
      <c r="K52" s="160"/>
      <c r="L52" s="70"/>
    </row>
    <row r="53" spans="1:12" s="2" customFormat="1" x14ac:dyDescent="0.2">
      <c r="A53" s="89" t="s">
        <v>2163</v>
      </c>
      <c r="B53" s="128" t="s">
        <v>6</v>
      </c>
      <c r="C53" s="181" t="s">
        <v>244</v>
      </c>
      <c r="D53" s="11" t="s">
        <v>13</v>
      </c>
      <c r="E53" s="86">
        <v>350000</v>
      </c>
      <c r="G53" s="23"/>
      <c r="H53" s="23"/>
      <c r="I53" s="159"/>
      <c r="J53" s="160"/>
      <c r="K53" s="160"/>
      <c r="L53" s="70"/>
    </row>
    <row r="54" spans="1:12" s="2" customFormat="1" x14ac:dyDescent="0.2">
      <c r="A54" s="89" t="s">
        <v>2163</v>
      </c>
      <c r="B54" s="128" t="s">
        <v>6</v>
      </c>
      <c r="C54" s="181" t="s">
        <v>334</v>
      </c>
      <c r="D54" s="11" t="s">
        <v>13</v>
      </c>
      <c r="E54" s="86">
        <v>2660981</v>
      </c>
      <c r="G54" s="23"/>
      <c r="H54" s="23"/>
      <c r="I54" s="159"/>
      <c r="J54" s="160"/>
      <c r="K54" s="160"/>
      <c r="L54" s="70"/>
    </row>
    <row r="55" spans="1:12" s="2" customFormat="1" x14ac:dyDescent="0.2">
      <c r="A55" s="89" t="s">
        <v>2163</v>
      </c>
      <c r="B55" s="128" t="s">
        <v>6</v>
      </c>
      <c r="C55" s="181" t="s">
        <v>133</v>
      </c>
      <c r="D55" s="11" t="s">
        <v>13</v>
      </c>
      <c r="E55" s="86">
        <v>1184955</v>
      </c>
      <c r="G55" s="23"/>
      <c r="H55" s="23"/>
      <c r="I55" s="159"/>
      <c r="J55" s="160"/>
      <c r="K55" s="160"/>
      <c r="L55" s="70"/>
    </row>
    <row r="56" spans="1:12" s="2" customFormat="1" x14ac:dyDescent="0.2">
      <c r="A56" s="89" t="s">
        <v>2163</v>
      </c>
      <c r="B56" s="128" t="s">
        <v>6</v>
      </c>
      <c r="C56" s="181" t="s">
        <v>163</v>
      </c>
      <c r="D56" s="11" t="s">
        <v>13</v>
      </c>
      <c r="E56" s="86">
        <v>260201</v>
      </c>
      <c r="G56" s="23"/>
      <c r="H56" s="23"/>
      <c r="I56" s="159"/>
      <c r="J56" s="160"/>
      <c r="K56" s="160"/>
      <c r="L56" s="70"/>
    </row>
    <row r="57" spans="1:12" s="2" customFormat="1" x14ac:dyDescent="0.2">
      <c r="A57" s="89" t="s">
        <v>2163</v>
      </c>
      <c r="B57" s="128" t="s">
        <v>11</v>
      </c>
      <c r="C57" s="181" t="s">
        <v>102</v>
      </c>
      <c r="D57" s="11" t="s">
        <v>29</v>
      </c>
      <c r="E57" s="86"/>
      <c r="F57" s="2">
        <v>726710</v>
      </c>
      <c r="G57" s="23"/>
      <c r="H57" s="23"/>
      <c r="I57" s="159"/>
      <c r="J57" s="160"/>
      <c r="K57" s="160"/>
      <c r="L57" s="70"/>
    </row>
    <row r="58" spans="1:12" s="2" customFormat="1" x14ac:dyDescent="0.2">
      <c r="A58" s="89" t="s">
        <v>2163</v>
      </c>
      <c r="B58" s="128" t="s">
        <v>11</v>
      </c>
      <c r="C58" s="181" t="s">
        <v>1472</v>
      </c>
      <c r="D58" s="11" t="s">
        <v>29</v>
      </c>
      <c r="E58" s="86"/>
      <c r="F58" s="2">
        <v>1145208</v>
      </c>
      <c r="G58" s="23"/>
      <c r="H58" s="23"/>
      <c r="I58" s="159"/>
      <c r="J58" s="160"/>
      <c r="K58" s="160"/>
      <c r="L58" s="70"/>
    </row>
    <row r="59" spans="1:12" s="2" customFormat="1" x14ac:dyDescent="0.2">
      <c r="A59" s="89" t="s">
        <v>2163</v>
      </c>
      <c r="B59" s="128" t="s">
        <v>11</v>
      </c>
      <c r="C59" s="181" t="s">
        <v>61</v>
      </c>
      <c r="D59" s="11" t="s">
        <v>29</v>
      </c>
      <c r="E59" s="86"/>
      <c r="F59" s="2">
        <v>319081.59999999998</v>
      </c>
      <c r="G59" s="23"/>
      <c r="H59" s="23"/>
      <c r="I59" s="159"/>
      <c r="J59" s="160"/>
      <c r="K59" s="160"/>
      <c r="L59" s="70"/>
    </row>
    <row r="60" spans="1:12" s="2" customFormat="1" x14ac:dyDescent="0.2">
      <c r="A60" s="89" t="s">
        <v>2163</v>
      </c>
      <c r="B60" s="128" t="s">
        <v>11</v>
      </c>
      <c r="C60" s="181" t="s">
        <v>44</v>
      </c>
      <c r="D60" s="11" t="s">
        <v>29</v>
      </c>
      <c r="E60" s="86"/>
      <c r="F60" s="2">
        <v>1121816</v>
      </c>
      <c r="G60" s="23"/>
      <c r="H60" s="23"/>
      <c r="I60" s="159"/>
      <c r="J60" s="160"/>
      <c r="K60" s="160"/>
      <c r="L60" s="70"/>
    </row>
    <row r="61" spans="1:12" s="2" customFormat="1" x14ac:dyDescent="0.2">
      <c r="A61" s="89" t="s">
        <v>2163</v>
      </c>
      <c r="B61" s="128" t="s">
        <v>11</v>
      </c>
      <c r="C61" s="181" t="s">
        <v>277</v>
      </c>
      <c r="D61" s="11" t="s">
        <v>29</v>
      </c>
      <c r="E61" s="86"/>
      <c r="F61" s="2">
        <v>128520</v>
      </c>
      <c r="G61" s="23"/>
      <c r="H61" s="23"/>
      <c r="I61" s="159"/>
      <c r="J61" s="160"/>
      <c r="K61" s="160"/>
      <c r="L61" s="70"/>
    </row>
    <row r="62" spans="1:12" s="2" customFormat="1" x14ac:dyDescent="0.2">
      <c r="A62" s="89" t="s">
        <v>2163</v>
      </c>
      <c r="B62" s="128" t="s">
        <v>11</v>
      </c>
      <c r="C62" s="181" t="s">
        <v>225</v>
      </c>
      <c r="D62" s="11" t="s">
        <v>29</v>
      </c>
      <c r="E62" s="86"/>
      <c r="F62" s="2">
        <v>24190</v>
      </c>
      <c r="G62" s="23"/>
      <c r="H62" s="23"/>
      <c r="I62" s="159"/>
      <c r="J62" s="160"/>
      <c r="K62" s="160"/>
      <c r="L62" s="70"/>
    </row>
    <row r="63" spans="1:12" s="2" customFormat="1" x14ac:dyDescent="0.2">
      <c r="A63" s="89" t="s">
        <v>2163</v>
      </c>
      <c r="B63" s="128" t="s">
        <v>11</v>
      </c>
      <c r="C63" s="181" t="s">
        <v>45</v>
      </c>
      <c r="D63" s="11" t="s">
        <v>29</v>
      </c>
      <c r="E63" s="86"/>
      <c r="F63" s="2">
        <v>607393</v>
      </c>
      <c r="G63" s="23"/>
      <c r="H63" s="23"/>
      <c r="I63" s="159"/>
      <c r="J63" s="160"/>
      <c r="K63" s="160"/>
      <c r="L63" s="70"/>
    </row>
    <row r="64" spans="1:12" s="2" customFormat="1" x14ac:dyDescent="0.2">
      <c r="A64" s="89" t="s">
        <v>2163</v>
      </c>
      <c r="B64" s="128" t="s">
        <v>11</v>
      </c>
      <c r="C64" s="181" t="s">
        <v>46</v>
      </c>
      <c r="D64" s="11" t="s">
        <v>29</v>
      </c>
      <c r="E64" s="86"/>
      <c r="F64" s="2">
        <v>136910</v>
      </c>
      <c r="G64" s="23"/>
      <c r="H64" s="23"/>
      <c r="I64" s="159"/>
      <c r="J64" s="160"/>
      <c r="K64" s="160"/>
      <c r="L64" s="70"/>
    </row>
    <row r="65" spans="1:12" s="2" customFormat="1" x14ac:dyDescent="0.2">
      <c r="A65" s="89" t="s">
        <v>2163</v>
      </c>
      <c r="B65" s="128" t="s">
        <v>11</v>
      </c>
      <c r="C65" s="181" t="s">
        <v>1188</v>
      </c>
      <c r="D65" s="11" t="s">
        <v>29</v>
      </c>
      <c r="E65" s="86"/>
      <c r="F65" s="2">
        <v>17089</v>
      </c>
      <c r="G65" s="23"/>
      <c r="H65" s="23"/>
      <c r="I65" s="159"/>
      <c r="J65" s="160"/>
      <c r="K65" s="160"/>
      <c r="L65" s="70"/>
    </row>
    <row r="66" spans="1:12" s="2" customFormat="1" x14ac:dyDescent="0.2">
      <c r="A66" s="89" t="s">
        <v>2163</v>
      </c>
      <c r="B66" s="128" t="s">
        <v>11</v>
      </c>
      <c r="C66" s="181" t="s">
        <v>37</v>
      </c>
      <c r="D66" s="11" t="s">
        <v>29</v>
      </c>
      <c r="E66" s="86"/>
      <c r="F66" s="2">
        <v>1357</v>
      </c>
      <c r="G66" s="23"/>
      <c r="H66" s="23"/>
      <c r="I66" s="159"/>
      <c r="J66" s="160"/>
      <c r="K66" s="160"/>
      <c r="L66" s="70"/>
    </row>
    <row r="67" spans="1:12" s="2" customFormat="1" x14ac:dyDescent="0.2">
      <c r="A67" s="89" t="s">
        <v>2163</v>
      </c>
      <c r="B67" s="128" t="s">
        <v>11</v>
      </c>
      <c r="C67" s="181" t="s">
        <v>462</v>
      </c>
      <c r="D67" s="11" t="s">
        <v>29</v>
      </c>
      <c r="E67" s="86"/>
      <c r="F67" s="2">
        <v>146717.6</v>
      </c>
      <c r="G67" s="23"/>
      <c r="H67" s="23"/>
      <c r="I67" s="159"/>
      <c r="J67" s="160"/>
      <c r="K67" s="160"/>
      <c r="L67" s="70"/>
    </row>
    <row r="68" spans="1:12" s="2" customFormat="1" x14ac:dyDescent="0.2">
      <c r="A68" s="89" t="s">
        <v>2163</v>
      </c>
      <c r="B68" s="128" t="s">
        <v>11</v>
      </c>
      <c r="C68" s="181" t="s">
        <v>431</v>
      </c>
      <c r="D68" s="11" t="s">
        <v>29</v>
      </c>
      <c r="E68" s="86"/>
      <c r="F68" s="2">
        <v>24072</v>
      </c>
      <c r="G68" s="23"/>
      <c r="H68" s="23"/>
      <c r="I68" s="159"/>
      <c r="J68" s="160"/>
      <c r="K68" s="160"/>
      <c r="L68" s="70"/>
    </row>
    <row r="69" spans="1:12" s="2" customFormat="1" x14ac:dyDescent="0.2">
      <c r="A69" s="89" t="s">
        <v>2163</v>
      </c>
      <c r="B69" s="128" t="s">
        <v>11</v>
      </c>
      <c r="C69" s="181" t="s">
        <v>117</v>
      </c>
      <c r="D69" s="11" t="s">
        <v>29</v>
      </c>
      <c r="E69" s="86"/>
      <c r="F69" s="2">
        <v>104990</v>
      </c>
      <c r="G69" s="23"/>
      <c r="H69" s="23"/>
      <c r="I69" s="159"/>
      <c r="J69" s="160"/>
      <c r="K69" s="160"/>
      <c r="L69" s="70"/>
    </row>
    <row r="70" spans="1:12" s="2" customFormat="1" x14ac:dyDescent="0.2">
      <c r="A70" s="89" t="s">
        <v>2163</v>
      </c>
      <c r="B70" s="128" t="s">
        <v>11</v>
      </c>
      <c r="C70" s="181" t="s">
        <v>409</v>
      </c>
      <c r="D70" s="11" t="s">
        <v>29</v>
      </c>
      <c r="E70" s="86"/>
      <c r="F70" s="2">
        <v>2199</v>
      </c>
      <c r="G70" s="23"/>
      <c r="H70" s="23"/>
      <c r="I70" s="159"/>
      <c r="J70" s="160"/>
      <c r="K70" s="160"/>
      <c r="L70" s="70"/>
    </row>
    <row r="71" spans="1:12" s="2" customFormat="1" x14ac:dyDescent="0.2">
      <c r="A71" s="89" t="s">
        <v>2163</v>
      </c>
      <c r="B71" s="128" t="s">
        <v>11</v>
      </c>
      <c r="C71" s="181" t="s">
        <v>493</v>
      </c>
      <c r="D71" s="11" t="s">
        <v>29</v>
      </c>
      <c r="E71" s="86"/>
      <c r="F71" s="2">
        <v>6480</v>
      </c>
      <c r="G71" s="23"/>
      <c r="H71" s="23"/>
      <c r="I71" s="159"/>
      <c r="J71" s="160"/>
      <c r="K71" s="160"/>
      <c r="L71" s="70"/>
    </row>
    <row r="72" spans="1:12" s="2" customFormat="1" x14ac:dyDescent="0.2">
      <c r="A72" s="89" t="s">
        <v>2163</v>
      </c>
      <c r="B72" s="128" t="s">
        <v>11</v>
      </c>
      <c r="C72" s="181" t="s">
        <v>657</v>
      </c>
      <c r="D72" s="11" t="s">
        <v>29</v>
      </c>
      <c r="E72" s="86"/>
      <c r="F72" s="2">
        <v>69259</v>
      </c>
      <c r="G72" s="23"/>
      <c r="H72" s="23"/>
      <c r="I72" s="159"/>
      <c r="J72" s="160"/>
      <c r="K72" s="160"/>
      <c r="L72" s="70"/>
    </row>
    <row r="73" spans="1:12" s="2" customFormat="1" x14ac:dyDescent="0.2">
      <c r="A73" s="89" t="s">
        <v>2163</v>
      </c>
      <c r="B73" s="128" t="s">
        <v>11</v>
      </c>
      <c r="C73" s="181" t="s">
        <v>528</v>
      </c>
      <c r="D73" s="11" t="s">
        <v>29</v>
      </c>
      <c r="E73" s="86"/>
      <c r="F73" s="2">
        <v>45853.91</v>
      </c>
      <c r="G73" s="23"/>
      <c r="H73" s="23"/>
      <c r="I73" s="159"/>
      <c r="J73" s="160"/>
      <c r="K73" s="160"/>
      <c r="L73" s="70"/>
    </row>
    <row r="74" spans="1:12" s="2" customFormat="1" x14ac:dyDescent="0.2">
      <c r="A74" s="89" t="s">
        <v>2163</v>
      </c>
      <c r="B74" s="128" t="s">
        <v>11</v>
      </c>
      <c r="C74" s="181" t="s">
        <v>167</v>
      </c>
      <c r="D74" s="11" t="s">
        <v>29</v>
      </c>
      <c r="E74" s="86"/>
      <c r="F74" s="2">
        <v>65884</v>
      </c>
      <c r="G74" s="23"/>
      <c r="H74" s="23"/>
      <c r="I74" s="159"/>
      <c r="J74" s="160"/>
      <c r="K74" s="160"/>
      <c r="L74" s="70"/>
    </row>
    <row r="75" spans="1:12" s="2" customFormat="1" x14ac:dyDescent="0.2">
      <c r="A75" s="89" t="s">
        <v>2163</v>
      </c>
      <c r="B75" s="128" t="s">
        <v>11</v>
      </c>
      <c r="C75" s="181" t="s">
        <v>170</v>
      </c>
      <c r="D75" s="11" t="s">
        <v>29</v>
      </c>
      <c r="E75" s="86"/>
      <c r="F75" s="2">
        <v>10000</v>
      </c>
      <c r="G75" s="23"/>
      <c r="H75" s="23"/>
      <c r="I75" s="159"/>
      <c r="J75" s="160"/>
      <c r="K75" s="160"/>
      <c r="L75" s="70"/>
    </row>
    <row r="76" spans="1:12" s="2" customFormat="1" x14ac:dyDescent="0.2">
      <c r="A76" s="89" t="s">
        <v>2163</v>
      </c>
      <c r="B76" s="128" t="s">
        <v>11</v>
      </c>
      <c r="C76" s="181" t="s">
        <v>169</v>
      </c>
      <c r="D76" s="11" t="s">
        <v>29</v>
      </c>
      <c r="E76" s="86"/>
      <c r="F76" s="2">
        <v>8500</v>
      </c>
      <c r="G76" s="23"/>
      <c r="H76" s="23"/>
      <c r="I76" s="159"/>
      <c r="J76" s="160"/>
      <c r="K76" s="160"/>
      <c r="L76" s="70"/>
    </row>
    <row r="77" spans="1:12" s="2" customFormat="1" x14ac:dyDescent="0.2">
      <c r="A77" s="89" t="s">
        <v>2163</v>
      </c>
      <c r="B77" s="128" t="s">
        <v>11</v>
      </c>
      <c r="C77" s="181" t="s">
        <v>168</v>
      </c>
      <c r="D77" s="11" t="s">
        <v>29</v>
      </c>
      <c r="E77" s="86"/>
      <c r="F77" s="2">
        <v>3600</v>
      </c>
      <c r="G77" s="23"/>
      <c r="H77" s="23"/>
      <c r="I77" s="159"/>
      <c r="J77" s="160"/>
      <c r="K77" s="160"/>
      <c r="L77" s="70"/>
    </row>
    <row r="78" spans="1:12" s="2" customFormat="1" x14ac:dyDescent="0.2">
      <c r="A78" s="89" t="s">
        <v>2163</v>
      </c>
      <c r="B78" s="128" t="s">
        <v>11</v>
      </c>
      <c r="C78" s="181" t="s">
        <v>198</v>
      </c>
      <c r="D78" s="11" t="s">
        <v>29</v>
      </c>
      <c r="E78" s="86"/>
      <c r="F78" s="2">
        <v>750000</v>
      </c>
      <c r="G78" s="23"/>
      <c r="H78" s="23"/>
      <c r="I78" s="159"/>
      <c r="J78" s="160"/>
      <c r="K78" s="160"/>
      <c r="L78" s="70"/>
    </row>
    <row r="79" spans="1:12" s="2" customFormat="1" x14ac:dyDescent="0.2">
      <c r="A79" s="89" t="s">
        <v>2163</v>
      </c>
      <c r="B79" s="128" t="s">
        <v>11</v>
      </c>
      <c r="C79" s="181" t="s">
        <v>663</v>
      </c>
      <c r="D79" s="11" t="s">
        <v>29</v>
      </c>
      <c r="E79" s="86"/>
      <c r="F79" s="2">
        <v>55440</v>
      </c>
      <c r="G79" s="23"/>
      <c r="H79" s="23"/>
      <c r="I79" s="159"/>
      <c r="J79" s="160"/>
      <c r="K79" s="160"/>
      <c r="L79" s="70"/>
    </row>
    <row r="80" spans="1:12" s="2" customFormat="1" x14ac:dyDescent="0.2">
      <c r="A80" s="89" t="s">
        <v>2163</v>
      </c>
      <c r="B80" s="128" t="s">
        <v>11</v>
      </c>
      <c r="C80" s="181" t="s">
        <v>472</v>
      </c>
      <c r="D80" s="11" t="s">
        <v>29</v>
      </c>
      <c r="E80" s="86"/>
      <c r="F80" s="2">
        <v>13815.44</v>
      </c>
      <c r="G80" s="23"/>
      <c r="H80" s="23"/>
      <c r="I80" s="159"/>
      <c r="J80" s="160"/>
      <c r="K80" s="160"/>
      <c r="L80" s="70"/>
    </row>
    <row r="81" spans="1:16" s="2" customFormat="1" x14ac:dyDescent="0.2">
      <c r="A81" s="89" t="s">
        <v>2163</v>
      </c>
      <c r="B81" s="128" t="s">
        <v>11</v>
      </c>
      <c r="C81" s="181" t="s">
        <v>315</v>
      </c>
      <c r="D81" s="11" t="s">
        <v>29</v>
      </c>
      <c r="E81" s="86"/>
      <c r="F81" s="2">
        <v>68534</v>
      </c>
      <c r="G81" s="23"/>
      <c r="H81" s="23"/>
      <c r="I81" s="159"/>
      <c r="J81" s="160"/>
      <c r="K81" s="160"/>
      <c r="L81" s="70"/>
    </row>
    <row r="82" spans="1:16" s="2" customFormat="1" x14ac:dyDescent="0.2">
      <c r="A82" s="89" t="s">
        <v>2163</v>
      </c>
      <c r="B82" s="128" t="s">
        <v>11</v>
      </c>
      <c r="C82" s="181" t="s">
        <v>319</v>
      </c>
      <c r="D82" s="11" t="s">
        <v>29</v>
      </c>
      <c r="E82" s="86"/>
      <c r="F82" s="2">
        <v>134506.6</v>
      </c>
      <c r="G82" s="23"/>
      <c r="H82" s="23"/>
      <c r="I82" s="159"/>
      <c r="J82" s="160"/>
      <c r="K82" s="160"/>
      <c r="L82" s="70"/>
    </row>
    <row r="83" spans="1:16" s="2" customFormat="1" x14ac:dyDescent="0.2">
      <c r="A83" s="89" t="s">
        <v>2163</v>
      </c>
      <c r="B83" s="128" t="s">
        <v>11</v>
      </c>
      <c r="C83" s="181" t="s">
        <v>43</v>
      </c>
      <c r="D83" s="11" t="s">
        <v>29</v>
      </c>
      <c r="E83" s="86"/>
      <c r="F83" s="2">
        <v>25134</v>
      </c>
      <c r="G83" s="23"/>
      <c r="H83" s="23"/>
      <c r="I83" s="159"/>
      <c r="J83" s="160"/>
      <c r="K83" s="160"/>
      <c r="L83" s="70"/>
    </row>
    <row r="84" spans="1:16" s="2" customFormat="1" x14ac:dyDescent="0.2">
      <c r="A84" s="89" t="s">
        <v>2163</v>
      </c>
      <c r="B84" s="128" t="s">
        <v>11</v>
      </c>
      <c r="C84" s="181" t="s">
        <v>115</v>
      </c>
      <c r="D84" s="11" t="s">
        <v>29</v>
      </c>
      <c r="E84" s="86"/>
      <c r="F84" s="2">
        <v>158618</v>
      </c>
      <c r="G84" s="23"/>
      <c r="H84" s="23"/>
      <c r="I84" s="159"/>
      <c r="J84" s="160"/>
      <c r="K84" s="160"/>
      <c r="L84" s="70"/>
    </row>
    <row r="85" spans="1:16" s="2" customFormat="1" x14ac:dyDescent="0.2">
      <c r="A85" s="89" t="s">
        <v>2163</v>
      </c>
      <c r="B85" s="128" t="s">
        <v>11</v>
      </c>
      <c r="C85" s="181" t="s">
        <v>228</v>
      </c>
      <c r="D85" s="11" t="s">
        <v>29</v>
      </c>
      <c r="E85" s="86"/>
      <c r="F85" s="2">
        <v>167292</v>
      </c>
      <c r="G85" s="23"/>
      <c r="H85" s="23"/>
      <c r="I85" s="159"/>
      <c r="J85" s="160"/>
      <c r="K85" s="160"/>
      <c r="L85" s="70"/>
    </row>
    <row r="86" spans="1:16" s="2" customFormat="1" x14ac:dyDescent="0.2">
      <c r="A86" s="89" t="s">
        <v>2163</v>
      </c>
      <c r="B86" s="128" t="s">
        <v>11</v>
      </c>
      <c r="C86" s="181" t="s">
        <v>209</v>
      </c>
      <c r="D86" s="11" t="s">
        <v>29</v>
      </c>
      <c r="E86" s="86"/>
      <c r="F86" s="2">
        <v>50000</v>
      </c>
      <c r="G86" s="23"/>
      <c r="H86" s="23"/>
      <c r="I86" s="159"/>
      <c r="J86" s="160"/>
      <c r="K86" s="160"/>
      <c r="L86" s="70"/>
    </row>
    <row r="87" spans="1:16" s="2" customFormat="1" x14ac:dyDescent="0.2">
      <c r="A87" s="89" t="s">
        <v>2163</v>
      </c>
      <c r="B87" s="128" t="s">
        <v>11</v>
      </c>
      <c r="C87" s="181" t="s">
        <v>649</v>
      </c>
      <c r="D87" s="11" t="s">
        <v>29</v>
      </c>
      <c r="E87" s="86"/>
      <c r="F87" s="2">
        <v>273885.03000000003</v>
      </c>
      <c r="G87" s="23"/>
      <c r="H87" s="23"/>
      <c r="I87" s="159"/>
      <c r="J87" s="160"/>
      <c r="K87" s="160"/>
      <c r="L87" s="70"/>
    </row>
    <row r="88" spans="1:16" s="2" customFormat="1" x14ac:dyDescent="0.2">
      <c r="A88" s="89" t="s">
        <v>2163</v>
      </c>
      <c r="B88" s="128" t="s">
        <v>11</v>
      </c>
      <c r="C88" s="181" t="s">
        <v>64</v>
      </c>
      <c r="D88" s="11" t="s">
        <v>29</v>
      </c>
      <c r="E88" s="86"/>
      <c r="F88" s="2">
        <v>1770</v>
      </c>
      <c r="G88" s="23"/>
      <c r="H88" s="23"/>
      <c r="I88" s="159"/>
      <c r="J88" s="160"/>
      <c r="K88" s="160"/>
      <c r="L88" s="70"/>
    </row>
    <row r="89" spans="1:16" s="2" customFormat="1" x14ac:dyDescent="0.2">
      <c r="A89" s="89" t="s">
        <v>2163</v>
      </c>
      <c r="B89" s="128" t="s">
        <v>11</v>
      </c>
      <c r="C89" s="181" t="s">
        <v>147</v>
      </c>
      <c r="D89" s="11" t="s">
        <v>29</v>
      </c>
      <c r="E89" s="86"/>
      <c r="F89" s="2">
        <v>2938422</v>
      </c>
      <c r="G89" s="23"/>
      <c r="H89" s="23"/>
      <c r="I89" s="159"/>
      <c r="J89" s="160"/>
      <c r="K89" s="160"/>
      <c r="L89" s="70"/>
    </row>
    <row r="90" spans="1:16" s="70" customFormat="1" x14ac:dyDescent="0.2">
      <c r="A90" s="32"/>
      <c r="B90" s="33"/>
      <c r="C90" s="14"/>
      <c r="D90" s="34"/>
      <c r="E90" s="16">
        <f>SUM(E43:E89)</f>
        <v>12507007.879999999</v>
      </c>
      <c r="F90" s="16">
        <f>SUM(F43:F89)</f>
        <v>259420759.56999987</v>
      </c>
      <c r="G90" s="1"/>
      <c r="H90" s="1"/>
      <c r="I90" s="1"/>
      <c r="J90" s="38">
        <v>246913751.69</v>
      </c>
      <c r="K90" s="2"/>
      <c r="L90" s="92">
        <f>E91-J90</f>
        <v>0</v>
      </c>
      <c r="M90" s="2"/>
      <c r="N90" s="2"/>
      <c r="O90" s="2"/>
      <c r="P90" s="2"/>
    </row>
    <row r="91" spans="1:16" s="70" customFormat="1" x14ac:dyDescent="0.2">
      <c r="A91" s="36"/>
      <c r="B91" s="28" t="s">
        <v>11</v>
      </c>
      <c r="C91" s="19" t="s">
        <v>65</v>
      </c>
      <c r="D91" s="37"/>
      <c r="E91" s="38">
        <f>F90-E90</f>
        <v>246913751.68999988</v>
      </c>
      <c r="F91" s="22"/>
      <c r="G91" s="1"/>
      <c r="H91" s="1"/>
      <c r="I91" s="1"/>
      <c r="M91" s="2"/>
      <c r="N91" s="2"/>
      <c r="O91" s="1"/>
      <c r="P91" s="2"/>
    </row>
    <row r="92" spans="1:16" s="70" customFormat="1" x14ac:dyDescent="0.2">
      <c r="A92" s="36"/>
      <c r="B92" s="28" t="s">
        <v>66</v>
      </c>
      <c r="C92" s="19" t="s">
        <v>67</v>
      </c>
      <c r="D92" s="37"/>
      <c r="E92" s="38">
        <v>11500000</v>
      </c>
      <c r="F92" s="22"/>
      <c r="G92" s="1"/>
      <c r="H92" s="1"/>
      <c r="M92" s="2"/>
      <c r="N92" s="2"/>
      <c r="O92" s="1"/>
      <c r="P92" s="2"/>
    </row>
    <row r="93" spans="1:16" s="70" customFormat="1" x14ac:dyDescent="0.2">
      <c r="A93" s="36"/>
      <c r="B93" s="28" t="s">
        <v>66</v>
      </c>
      <c r="C93" s="43" t="s">
        <v>1457</v>
      </c>
      <c r="D93" s="43"/>
      <c r="E93" s="12">
        <f>400000000-175000000</f>
        <v>225000000</v>
      </c>
      <c r="F93" s="22"/>
      <c r="G93" s="1"/>
      <c r="H93" s="1"/>
      <c r="J93" s="45">
        <v>149.97999999999999</v>
      </c>
      <c r="K93" s="46"/>
      <c r="L93" s="46"/>
      <c r="M93" s="2"/>
      <c r="N93" s="2"/>
      <c r="O93" s="1"/>
      <c r="P93" s="2"/>
    </row>
    <row r="94" spans="1:16" s="70" customFormat="1" ht="15" x14ac:dyDescent="0.25">
      <c r="A94" s="36"/>
      <c r="B94" s="28"/>
      <c r="C94" s="44" t="s">
        <v>1541</v>
      </c>
      <c r="D94" s="43"/>
      <c r="E94" s="7">
        <f>+E93+E91+E92</f>
        <v>483413751.68999988</v>
      </c>
      <c r="F94" s="22"/>
      <c r="G94" s="1"/>
      <c r="H94" s="1"/>
      <c r="I94" s="103" t="s">
        <v>69</v>
      </c>
      <c r="J94" s="45">
        <v>-30.12</v>
      </c>
      <c r="K94" s="46"/>
      <c r="L94" s="46"/>
      <c r="M94" s="2"/>
      <c r="N94" s="2"/>
      <c r="O94" s="1"/>
      <c r="P94" s="2"/>
    </row>
    <row r="95" spans="1:16" s="70" customFormat="1" ht="15" x14ac:dyDescent="0.25">
      <c r="A95" s="24"/>
      <c r="B95" s="1"/>
      <c r="C95" s="44" t="s">
        <v>1510</v>
      </c>
      <c r="D95" s="25"/>
      <c r="E95" s="156">
        <f>+J42-E92+I38-J38</f>
        <v>16586607.980000008</v>
      </c>
      <c r="F95" s="2"/>
      <c r="G95" s="1"/>
      <c r="H95" s="1"/>
      <c r="I95" s="35">
        <v>1</v>
      </c>
      <c r="J95" s="45">
        <v>0.74</v>
      </c>
      <c r="K95" s="46">
        <f>+J96-D98</f>
        <v>0</v>
      </c>
      <c r="L95" s="2"/>
      <c r="M95" s="2"/>
      <c r="N95" s="2"/>
      <c r="O95" s="1"/>
      <c r="P95" s="2"/>
    </row>
    <row r="96" spans="1:16" s="70" customFormat="1" ht="12.75" customHeight="1" x14ac:dyDescent="0.2">
      <c r="A96" s="24"/>
      <c r="B96" s="1"/>
      <c r="C96" s="56"/>
      <c r="D96" s="56"/>
      <c r="E96" s="104"/>
      <c r="F96" s="2"/>
      <c r="G96" s="166"/>
      <c r="H96" s="166"/>
      <c r="J96" s="49">
        <f>SUM(J93:J95)</f>
        <v>120.59999999999998</v>
      </c>
      <c r="K96" s="46"/>
      <c r="L96" s="46"/>
      <c r="M96" s="124"/>
      <c r="N96" s="124"/>
      <c r="O96" s="1"/>
      <c r="P96" s="2"/>
    </row>
    <row r="97" spans="1:19" s="70" customFormat="1" ht="12.75" customHeight="1" x14ac:dyDescent="0.2">
      <c r="A97" s="24"/>
      <c r="B97" s="1"/>
      <c r="C97" s="78" t="s">
        <v>575</v>
      </c>
      <c r="D97" s="48" t="s">
        <v>576</v>
      </c>
      <c r="E97" s="104"/>
      <c r="F97" s="2"/>
      <c r="G97" s="168"/>
      <c r="H97" s="168"/>
      <c r="I97" s="167"/>
      <c r="J97" s="167"/>
      <c r="K97" s="168"/>
      <c r="L97" s="124"/>
      <c r="M97" s="124"/>
      <c r="N97" s="124"/>
      <c r="O97" s="124"/>
      <c r="P97" s="2"/>
    </row>
    <row r="98" spans="1:19" s="70" customFormat="1" ht="12.75" customHeight="1" x14ac:dyDescent="0.2">
      <c r="A98" s="24"/>
      <c r="B98" s="1"/>
      <c r="C98" s="47" t="s">
        <v>570</v>
      </c>
      <c r="D98" s="111">
        <v>120.6</v>
      </c>
      <c r="E98" s="104"/>
      <c r="F98" s="2"/>
      <c r="G98" s="168"/>
      <c r="H98" s="168"/>
      <c r="I98" s="110" t="s">
        <v>581</v>
      </c>
      <c r="J98" s="167"/>
      <c r="K98" s="168"/>
      <c r="L98" s="124"/>
      <c r="M98" s="124"/>
      <c r="N98" s="124"/>
      <c r="O98" s="124"/>
      <c r="P98" s="124"/>
    </row>
    <row r="99" spans="1:19" s="70" customFormat="1" ht="12.75" customHeight="1" x14ac:dyDescent="0.2">
      <c r="A99" s="24"/>
      <c r="B99" s="1"/>
      <c r="C99" s="47" t="s">
        <v>931</v>
      </c>
      <c r="D99" s="111">
        <v>0</v>
      </c>
      <c r="E99" s="104"/>
      <c r="F99" s="2"/>
      <c r="G99" s="168"/>
      <c r="H99" s="168"/>
      <c r="I99" s="110" t="s">
        <v>580</v>
      </c>
      <c r="J99" s="167"/>
      <c r="K99" s="168"/>
      <c r="L99" s="124"/>
      <c r="M99" s="124"/>
      <c r="N99" s="124"/>
      <c r="O99" s="124"/>
      <c r="P99" s="124"/>
    </row>
    <row r="100" spans="1:19" s="70" customFormat="1" ht="12.75" customHeight="1" x14ac:dyDescent="0.2">
      <c r="A100" s="24"/>
      <c r="B100" s="1"/>
      <c r="C100" s="47" t="s">
        <v>572</v>
      </c>
      <c r="D100" s="111">
        <f>+D116/100000</f>
        <v>21.431439999999998</v>
      </c>
      <c r="E100" s="104"/>
      <c r="F100" s="2"/>
      <c r="G100" s="166"/>
      <c r="H100" s="166"/>
      <c r="I100" s="90" t="s">
        <v>587</v>
      </c>
      <c r="J100" s="167"/>
      <c r="K100" s="168"/>
      <c r="L100" s="124"/>
      <c r="M100" s="124"/>
      <c r="N100" s="124"/>
      <c r="O100" s="124"/>
      <c r="P100" s="124"/>
    </row>
    <row r="101" spans="1:19" s="70" customFormat="1" ht="12.75" customHeight="1" x14ac:dyDescent="0.2">
      <c r="A101" s="24"/>
      <c r="B101" s="1"/>
      <c r="C101" s="108" t="s">
        <v>578</v>
      </c>
      <c r="D101" s="48">
        <f>SUM(D98:D100)</f>
        <v>142.03144</v>
      </c>
      <c r="E101" s="104"/>
      <c r="F101" s="2"/>
      <c r="G101" s="30"/>
      <c r="H101" s="30"/>
      <c r="I101" s="2"/>
      <c r="J101" s="13"/>
      <c r="K101" s="13"/>
      <c r="L101" s="2"/>
      <c r="M101" s="2"/>
      <c r="N101" s="2"/>
      <c r="O101" s="124"/>
      <c r="P101" s="124"/>
    </row>
    <row r="102" spans="1:19" s="70" customFormat="1" ht="12.75" customHeight="1" x14ac:dyDescent="0.2">
      <c r="A102" s="24"/>
      <c r="B102" s="1"/>
      <c r="C102" s="47"/>
      <c r="D102" s="107"/>
      <c r="E102" s="104"/>
      <c r="F102" s="2"/>
      <c r="G102" s="30"/>
      <c r="H102" s="30"/>
      <c r="I102" s="2"/>
      <c r="O102" s="2"/>
      <c r="P102" s="124"/>
    </row>
    <row r="103" spans="1:19" s="70" customFormat="1" ht="12.75" customHeight="1" x14ac:dyDescent="0.2">
      <c r="A103" s="24"/>
      <c r="B103" s="1"/>
      <c r="C103" s="47" t="s">
        <v>932</v>
      </c>
      <c r="D103" s="111">
        <v>0</v>
      </c>
      <c r="E103" s="104"/>
      <c r="F103" s="2"/>
      <c r="G103" s="30"/>
      <c r="H103" s="30"/>
      <c r="I103" s="110" t="s">
        <v>581</v>
      </c>
      <c r="P103" s="2"/>
    </row>
    <row r="104" spans="1:19" s="70" customFormat="1" ht="12.75" customHeight="1" x14ac:dyDescent="0.2">
      <c r="A104" s="24"/>
      <c r="B104" s="1"/>
      <c r="C104" s="136" t="s">
        <v>1142</v>
      </c>
      <c r="D104" s="111">
        <v>0</v>
      </c>
      <c r="E104" s="104"/>
      <c r="F104" s="2"/>
      <c r="G104" s="30"/>
      <c r="H104" s="30"/>
      <c r="I104" s="110" t="s">
        <v>581</v>
      </c>
    </row>
    <row r="105" spans="1:19" s="70" customFormat="1" ht="12.75" customHeight="1" x14ac:dyDescent="0.2">
      <c r="A105" s="24"/>
      <c r="B105" s="1"/>
      <c r="C105" s="78" t="s">
        <v>579</v>
      </c>
      <c r="D105" s="109">
        <f>D103+D104</f>
        <v>0</v>
      </c>
      <c r="E105" s="104"/>
      <c r="F105" s="2"/>
      <c r="G105" s="30"/>
      <c r="H105" s="30"/>
      <c r="Q105" s="2"/>
      <c r="R105" s="2"/>
      <c r="S105" s="2"/>
    </row>
    <row r="106" spans="1:19" s="2" customFormat="1" x14ac:dyDescent="0.2">
      <c r="A106" s="24"/>
      <c r="B106" s="1"/>
      <c r="C106" s="105"/>
      <c r="D106" s="106"/>
      <c r="E106" s="104"/>
      <c r="G106" s="30"/>
      <c r="H106" s="30"/>
      <c r="I106" s="70"/>
      <c r="K106" s="221" t="str">
        <f>"FROM ( 01-03-2024 to "&amp;TEXT(A5,"dd-mm-yyyy")&amp;" )"</f>
        <v>FROM ( 01-03-2024 to 02-03-2024 )</v>
      </c>
      <c r="L106" s="221"/>
      <c r="O106" s="70"/>
      <c r="P106" s="70"/>
    </row>
    <row r="107" spans="1:19" s="2" customFormat="1" x14ac:dyDescent="0.2">
      <c r="A107" s="24"/>
      <c r="B107" s="1"/>
      <c r="C107" s="78" t="s">
        <v>577</v>
      </c>
      <c r="D107" s="109">
        <f>D98+D105</f>
        <v>120.6</v>
      </c>
      <c r="E107" s="104"/>
      <c r="G107" s="30"/>
      <c r="H107" s="30"/>
      <c r="I107" s="70"/>
      <c r="J107" s="113"/>
      <c r="K107" s="113" t="s">
        <v>709</v>
      </c>
      <c r="L107" s="113" t="s">
        <v>710</v>
      </c>
      <c r="M107" s="113" t="s">
        <v>711</v>
      </c>
      <c r="N107" s="113" t="s">
        <v>712</v>
      </c>
      <c r="O107" s="70"/>
      <c r="P107" s="70"/>
    </row>
    <row r="108" spans="1:19" s="2" customFormat="1" x14ac:dyDescent="0.2">
      <c r="A108" s="24"/>
      <c r="B108" s="1"/>
      <c r="C108" s="56"/>
      <c r="D108" s="56"/>
      <c r="E108" s="104"/>
      <c r="G108" s="30"/>
      <c r="H108" s="30"/>
      <c r="I108" s="70"/>
      <c r="J108" s="113" t="s">
        <v>1860</v>
      </c>
      <c r="K108" s="115">
        <v>195.8</v>
      </c>
      <c r="L108" s="115">
        <v>0</v>
      </c>
      <c r="M108" s="115">
        <v>0</v>
      </c>
      <c r="N108" s="113">
        <f>+K108+M108-L108</f>
        <v>195.8</v>
      </c>
      <c r="O108" s="70"/>
      <c r="P108" s="70"/>
    </row>
    <row r="109" spans="1:19" s="2" customFormat="1" ht="38.25" x14ac:dyDescent="0.2">
      <c r="A109" s="24"/>
      <c r="B109" s="1"/>
      <c r="C109" s="79" t="str">
        <f>"Particulars ( 01-02-2024 to "&amp;TEXT(A5,"dd-mm-yyyy")&amp;" )"</f>
        <v>Particulars ( 01-02-2024 to 02-03-2024 )</v>
      </c>
      <c r="D109" s="79" t="s">
        <v>7</v>
      </c>
      <c r="E109" s="80" t="s">
        <v>73</v>
      </c>
      <c r="F109" s="80" t="s">
        <v>74</v>
      </c>
      <c r="G109" s="81" t="s">
        <v>75</v>
      </c>
      <c r="H109" s="80" t="s">
        <v>76</v>
      </c>
      <c r="I109" s="70"/>
      <c r="J109" s="113" t="s">
        <v>1861</v>
      </c>
      <c r="K109" s="115">
        <v>1883.69</v>
      </c>
      <c r="L109" s="115">
        <v>21.43</v>
      </c>
      <c r="M109" s="115">
        <v>0</v>
      </c>
      <c r="N109" s="113">
        <f>+K109+M109-L109</f>
        <v>1862.26</v>
      </c>
      <c r="O109" s="70"/>
      <c r="P109" s="70"/>
    </row>
    <row r="110" spans="1:19" s="2" customFormat="1" x14ac:dyDescent="0.2">
      <c r="A110" s="24"/>
      <c r="B110" s="1"/>
      <c r="C110" s="50" t="s">
        <v>444</v>
      </c>
      <c r="D110" s="55">
        <f>+K110</f>
        <v>477.01</v>
      </c>
      <c r="E110" s="55">
        <f>+IF(M110=0,0,M110)</f>
        <v>0</v>
      </c>
      <c r="F110" s="55">
        <f>+L110</f>
        <v>0</v>
      </c>
      <c r="G110" s="55">
        <f>+D110+E110-F110</f>
        <v>477.01</v>
      </c>
      <c r="H110" s="55">
        <f>1500-G110</f>
        <v>1022.99</v>
      </c>
      <c r="I110" s="70">
        <f>+IF(M110=0,0,M110)</f>
        <v>0</v>
      </c>
      <c r="J110" s="113" t="s">
        <v>707</v>
      </c>
      <c r="K110" s="115">
        <v>477.01</v>
      </c>
      <c r="L110" s="115">
        <v>0</v>
      </c>
      <c r="M110" s="115">
        <v>0</v>
      </c>
      <c r="N110" s="113">
        <f>+K110+M110-L110</f>
        <v>477.01</v>
      </c>
      <c r="O110" s="70"/>
      <c r="P110" s="70"/>
    </row>
    <row r="111" spans="1:19" s="2" customFormat="1" x14ac:dyDescent="0.2">
      <c r="A111" s="24"/>
      <c r="B111" s="1"/>
      <c r="C111" s="50" t="s">
        <v>71</v>
      </c>
      <c r="D111" s="55">
        <f>+K108+K109</f>
        <v>2079.4900000000002</v>
      </c>
      <c r="E111" s="55">
        <f>+M108+M109</f>
        <v>0</v>
      </c>
      <c r="F111" s="55">
        <f>+L108+L109</f>
        <v>21.43</v>
      </c>
      <c r="G111" s="55">
        <f>+D111+E111-F111</f>
        <v>2058.0600000000004</v>
      </c>
      <c r="H111" s="55">
        <f>1500+700+200-G111</f>
        <v>341.9399999999996</v>
      </c>
      <c r="I111" s="70"/>
      <c r="K111" s="118">
        <f>SUM(K108:K110)</f>
        <v>2556.5</v>
      </c>
      <c r="L111" s="118">
        <f>SUM(L108:L110)</f>
        <v>21.43</v>
      </c>
      <c r="M111" s="118">
        <f>SUM(M108:M110)</f>
        <v>0</v>
      </c>
      <c r="N111" s="118">
        <f>SUM(N108:N110)</f>
        <v>2535.0699999999997</v>
      </c>
      <c r="O111" s="70"/>
      <c r="P111" s="70"/>
    </row>
    <row r="112" spans="1:19" s="2" customFormat="1" x14ac:dyDescent="0.2">
      <c r="A112" s="24"/>
      <c r="B112" s="1"/>
      <c r="C112" s="14"/>
      <c r="D112" s="56"/>
      <c r="E112" s="13"/>
      <c r="G112" s="30"/>
      <c r="H112" s="30"/>
      <c r="I112" s="70"/>
      <c r="J112" s="70"/>
      <c r="K112" s="70"/>
      <c r="L112" s="70"/>
      <c r="M112" s="70"/>
      <c r="N112" s="70"/>
      <c r="O112" s="70"/>
      <c r="P112" s="70"/>
    </row>
    <row r="113" spans="1:16" s="2" customFormat="1" x14ac:dyDescent="0.2">
      <c r="A113" s="215" t="s">
        <v>80</v>
      </c>
      <c r="B113" s="216"/>
      <c r="C113" s="216"/>
      <c r="D113" s="217"/>
      <c r="E113" s="69"/>
      <c r="F113" s="70"/>
      <c r="G113" s="30"/>
      <c r="H113" s="30"/>
      <c r="I113" s="70"/>
      <c r="J113" s="70"/>
      <c r="K113" s="70"/>
      <c r="L113" s="70"/>
      <c r="M113" s="70"/>
      <c r="N113" s="70"/>
      <c r="O113" s="70"/>
      <c r="P113" s="70"/>
    </row>
    <row r="114" spans="1:16" s="2" customFormat="1" x14ac:dyDescent="0.2">
      <c r="A114" s="71" t="s">
        <v>81</v>
      </c>
      <c r="B114" s="71"/>
      <c r="C114" s="72" t="s">
        <v>82</v>
      </c>
      <c r="D114" s="73" t="s">
        <v>83</v>
      </c>
      <c r="E114" s="69"/>
      <c r="F114" s="70"/>
      <c r="G114" s="30"/>
      <c r="H114" s="30"/>
      <c r="I114" s="70"/>
      <c r="J114" s="70"/>
      <c r="K114" s="70"/>
      <c r="L114" s="70"/>
      <c r="M114" s="70"/>
      <c r="N114" s="70"/>
      <c r="O114" s="70"/>
      <c r="P114" s="70"/>
    </row>
    <row r="115" spans="1:16" s="2" customFormat="1" x14ac:dyDescent="0.2">
      <c r="A115" s="87">
        <v>45352</v>
      </c>
      <c r="B115" s="120" t="s">
        <v>6</v>
      </c>
      <c r="C115" s="75" t="s">
        <v>2165</v>
      </c>
      <c r="D115" s="88">
        <v>2143144</v>
      </c>
      <c r="G115" s="30"/>
      <c r="H115" s="30"/>
      <c r="P115" s="70"/>
    </row>
    <row r="116" spans="1:16" s="2" customFormat="1" x14ac:dyDescent="0.2">
      <c r="A116" s="87"/>
      <c r="B116" s="74"/>
      <c r="C116" s="183" t="s">
        <v>2141</v>
      </c>
      <c r="D116" s="51">
        <f>SUM(D115:D115)</f>
        <v>2143144</v>
      </c>
      <c r="F116" s="2" t="s">
        <v>396</v>
      </c>
      <c r="G116" s="1"/>
      <c r="H116" s="1"/>
      <c r="P116" s="70"/>
    </row>
    <row r="117" spans="1:16" s="2" customFormat="1" x14ac:dyDescent="0.2">
      <c r="A117" s="24"/>
      <c r="B117" s="1"/>
      <c r="C117" s="14"/>
      <c r="D117" s="56"/>
      <c r="E117" s="13"/>
      <c r="G117" s="1"/>
      <c r="H117" s="1"/>
      <c r="I117" s="2" t="s">
        <v>396</v>
      </c>
    </row>
    <row r="118" spans="1:16" s="2" customFormat="1" x14ac:dyDescent="0.2">
      <c r="A118" s="24"/>
      <c r="B118" s="1"/>
      <c r="C118" s="218" t="s">
        <v>77</v>
      </c>
      <c r="D118" s="219"/>
      <c r="E118" s="219"/>
      <c r="F118" s="220"/>
      <c r="I118" s="2" t="s">
        <v>396</v>
      </c>
    </row>
    <row r="119" spans="1:16" s="2" customFormat="1" x14ac:dyDescent="0.2">
      <c r="A119" s="24"/>
      <c r="B119" s="1"/>
      <c r="C119" s="50"/>
      <c r="D119" s="57" t="s">
        <v>78</v>
      </c>
      <c r="E119" s="58" t="s">
        <v>79</v>
      </c>
      <c r="F119" s="57" t="s">
        <v>72</v>
      </c>
    </row>
    <row r="120" spans="1:16" s="2" customFormat="1" x14ac:dyDescent="0.2">
      <c r="A120" s="24"/>
      <c r="B120" s="1"/>
      <c r="C120" s="59" t="str">
        <f>"01-02-2024 to "&amp;TEXT(A5-2,"dd-mm-yyyy")</f>
        <v>01-02-2024 to 29-02-2024</v>
      </c>
      <c r="D120" s="60">
        <v>3978.28</v>
      </c>
      <c r="E120" s="60">
        <v>681.51</v>
      </c>
      <c r="F120" s="61">
        <f>SUM(D120:E120)</f>
        <v>4659.79</v>
      </c>
      <c r="I120" s="53"/>
    </row>
    <row r="121" spans="1:16" s="2" customFormat="1" x14ac:dyDescent="0.2">
      <c r="A121" s="24"/>
      <c r="B121" s="1"/>
      <c r="C121" s="62" t="str">
        <f>TEXT(A5-1,"dd-mm-yyyy")</f>
        <v>01-03-2024</v>
      </c>
      <c r="D121" s="60">
        <v>133.16</v>
      </c>
      <c r="E121" s="60">
        <v>15.17</v>
      </c>
      <c r="F121" s="61">
        <f>SUM(D121:E121)</f>
        <v>148.32999999999998</v>
      </c>
      <c r="G121" s="1"/>
      <c r="H121" s="1"/>
      <c r="I121" s="53"/>
    </row>
    <row r="122" spans="1:16" s="2" customFormat="1" ht="13.5" thickBot="1" x14ac:dyDescent="0.25">
      <c r="A122" s="24"/>
      <c r="B122" s="1"/>
      <c r="C122" s="63" t="str">
        <f>"01-02-2024 to "&amp;TEXT(A5-1,"dd-mm-yyyy")</f>
        <v>01-02-2024 to 01-03-2024</v>
      </c>
      <c r="D122" s="64">
        <f>SUM(D120:D121)</f>
        <v>4111.4400000000005</v>
      </c>
      <c r="E122" s="64">
        <f>SUM(E120:E121)</f>
        <v>696.68</v>
      </c>
      <c r="F122" s="64">
        <f>SUM(F120:F121)</f>
        <v>4808.12</v>
      </c>
      <c r="G122" s="1"/>
      <c r="H122" s="1"/>
      <c r="M122" s="1"/>
      <c r="N122" s="1"/>
    </row>
    <row r="123" spans="1:16" s="2" customFormat="1" ht="13.5" thickTop="1" x14ac:dyDescent="0.2">
      <c r="A123" s="24"/>
      <c r="B123" s="1"/>
      <c r="C123" s="62"/>
      <c r="D123" s="65"/>
      <c r="E123" s="66"/>
      <c r="F123" s="67"/>
      <c r="M123" s="1"/>
      <c r="N123" s="1"/>
    </row>
    <row r="124" spans="1:16" s="2" customFormat="1" x14ac:dyDescent="0.2">
      <c r="A124" s="24"/>
      <c r="B124" s="1"/>
      <c r="C124" s="62" t="str">
        <f>"01-04-2023 to " &amp;C121</f>
        <v>01-04-2023 to 01-03-2024</v>
      </c>
      <c r="D124" s="68">
        <f>+D122+37155.6</f>
        <v>41267.040000000001</v>
      </c>
      <c r="E124" s="68">
        <f>+E122+4497.36</f>
        <v>5194.04</v>
      </c>
      <c r="F124" s="68">
        <f>+F122+41652.96</f>
        <v>46461.08</v>
      </c>
      <c r="G124" s="1"/>
      <c r="H124" s="1"/>
      <c r="M124" s="1"/>
      <c r="N124" s="1"/>
    </row>
    <row r="125" spans="1:16" s="2" customFormat="1" x14ac:dyDescent="0.2">
      <c r="A125" s="24"/>
      <c r="B125" s="1"/>
      <c r="C125" s="52"/>
      <c r="D125" s="85"/>
      <c r="E125" s="53"/>
      <c r="F125" s="53"/>
      <c r="G125" s="1"/>
      <c r="H125" s="1"/>
      <c r="M125" s="1"/>
      <c r="N125" s="1"/>
    </row>
    <row r="126" spans="1:16" s="2" customFormat="1" x14ac:dyDescent="0.2">
      <c r="A126" s="24"/>
      <c r="B126" s="1"/>
      <c r="C126" s="52"/>
      <c r="D126" s="85"/>
      <c r="E126" s="53"/>
      <c r="F126" s="53"/>
      <c r="G126" s="1"/>
      <c r="H126" s="1"/>
      <c r="M126" s="1"/>
      <c r="N126" s="1"/>
    </row>
    <row r="127" spans="1:16" s="2" customFormat="1" x14ac:dyDescent="0.2">
      <c r="A127" s="24"/>
      <c r="B127" s="1"/>
      <c r="C127" s="52"/>
      <c r="D127" s="85"/>
      <c r="E127" s="53"/>
      <c r="F127" s="53"/>
      <c r="G127" s="1"/>
      <c r="H127" s="1"/>
      <c r="M127" s="1"/>
      <c r="N127" s="1"/>
    </row>
    <row r="128" spans="1:16" s="2" customFormat="1" x14ac:dyDescent="0.2">
      <c r="A128" s="24"/>
      <c r="B128" s="1"/>
      <c r="C128" s="52"/>
      <c r="D128" s="85"/>
      <c r="E128" s="53"/>
      <c r="F128" s="53"/>
      <c r="G128" s="1"/>
      <c r="H128" s="1"/>
      <c r="M128" s="1"/>
      <c r="N128" s="1"/>
    </row>
    <row r="129" spans="1:19" s="2" customFormat="1" x14ac:dyDescent="0.2">
      <c r="A129" s="24"/>
      <c r="B129" s="1"/>
      <c r="C129" s="14"/>
      <c r="D129" s="25">
        <f>SUM(D126:D128)</f>
        <v>0</v>
      </c>
      <c r="E129" s="2">
        <f>SUM(E126:E128)</f>
        <v>0</v>
      </c>
      <c r="G129" s="1"/>
      <c r="H129" s="1"/>
      <c r="M129" s="1"/>
      <c r="N129" s="1"/>
    </row>
    <row r="130" spans="1:19" s="2" customFormat="1" x14ac:dyDescent="0.2">
      <c r="A130" s="24"/>
      <c r="B130" s="1"/>
      <c r="C130" s="14"/>
      <c r="D130" s="25"/>
      <c r="G130" s="1"/>
      <c r="H130" s="1"/>
      <c r="M130" s="1"/>
      <c r="N130" s="1"/>
    </row>
    <row r="131" spans="1:19" s="2" customFormat="1" x14ac:dyDescent="0.2">
      <c r="A131" s="24"/>
      <c r="B131" s="1"/>
      <c r="C131" s="14"/>
      <c r="D131" s="25"/>
      <c r="G131" s="1"/>
      <c r="H131" s="1"/>
      <c r="M131" s="1"/>
      <c r="N131" s="1"/>
    </row>
    <row r="132" spans="1:19" s="2" customFormat="1" x14ac:dyDescent="0.2">
      <c r="A132" s="24"/>
      <c r="B132" s="1"/>
      <c r="C132" s="14"/>
      <c r="D132" s="25"/>
      <c r="G132" s="1"/>
      <c r="H132" s="1"/>
      <c r="M132" s="1"/>
      <c r="N132" s="1"/>
    </row>
    <row r="133" spans="1:19" s="2" customFormat="1" x14ac:dyDescent="0.2">
      <c r="A133" s="24"/>
      <c r="B133" s="1"/>
      <c r="C133" s="14"/>
      <c r="D133" s="25"/>
      <c r="G133" s="1"/>
      <c r="H133" s="1"/>
      <c r="M133" s="1"/>
      <c r="N133" s="1"/>
    </row>
    <row r="134" spans="1:19" s="2" customFormat="1" x14ac:dyDescent="0.2">
      <c r="A134" s="24"/>
      <c r="B134" s="1"/>
      <c r="C134" s="14"/>
      <c r="D134" s="25"/>
      <c r="G134" s="1"/>
      <c r="H134" s="1"/>
      <c r="M134" s="1"/>
      <c r="N134" s="1"/>
    </row>
    <row r="135" spans="1:19" s="2" customFormat="1" x14ac:dyDescent="0.2">
      <c r="A135" s="24"/>
      <c r="B135" s="1"/>
      <c r="C135" s="14"/>
      <c r="D135" s="25"/>
      <c r="G135" s="1"/>
      <c r="H135" s="1"/>
      <c r="M135" s="1"/>
      <c r="N135" s="1"/>
    </row>
    <row r="136" spans="1:19" s="2" customFormat="1" x14ac:dyDescent="0.2">
      <c r="A136" s="24"/>
      <c r="B136" s="1"/>
      <c r="C136" s="14"/>
      <c r="D136" s="25"/>
      <c r="G136" s="1"/>
      <c r="H136" s="1"/>
      <c r="M136" s="1"/>
      <c r="N136" s="1"/>
      <c r="Q136" s="1"/>
      <c r="R136" s="1"/>
      <c r="S136" s="1"/>
    </row>
    <row r="137" spans="1:19" x14ac:dyDescent="0.2">
      <c r="J137" s="2"/>
      <c r="K137" s="2"/>
      <c r="L137" s="2"/>
      <c r="O137" s="2"/>
      <c r="P137" s="2"/>
      <c r="Q137" s="2"/>
      <c r="R137" s="2"/>
      <c r="S137" s="2"/>
    </row>
    <row r="138" spans="1:19" s="2" customFormat="1" x14ac:dyDescent="0.2">
      <c r="A138" s="24"/>
      <c r="B138" s="1"/>
      <c r="C138" s="14"/>
      <c r="D138" s="25"/>
      <c r="G138" s="1"/>
      <c r="H138" s="1"/>
      <c r="M138" s="1"/>
      <c r="N138" s="1"/>
      <c r="Q138" s="1"/>
      <c r="R138" s="1"/>
      <c r="S138" s="1"/>
    </row>
    <row r="139" spans="1:19" x14ac:dyDescent="0.2">
      <c r="J139" s="2"/>
      <c r="K139" s="2"/>
      <c r="L139" s="2"/>
      <c r="O139" s="2"/>
      <c r="P139" s="2"/>
    </row>
    <row r="140" spans="1:19" x14ac:dyDescent="0.2">
      <c r="J140" s="2"/>
      <c r="K140" s="2"/>
      <c r="L140" s="2"/>
      <c r="O140" s="2"/>
      <c r="P140" s="2"/>
    </row>
    <row r="141" spans="1:19" x14ac:dyDescent="0.2">
      <c r="J141" s="2"/>
      <c r="K141" s="2"/>
      <c r="L141" s="2"/>
      <c r="O141" s="2"/>
      <c r="P141" s="2"/>
    </row>
    <row r="142" spans="1:19" x14ac:dyDescent="0.2">
      <c r="J142" s="2"/>
      <c r="K142" s="2"/>
      <c r="L142" s="2"/>
      <c r="O142" s="2"/>
      <c r="P142" s="2"/>
    </row>
    <row r="143" spans="1:19" x14ac:dyDescent="0.2">
      <c r="O143" s="2"/>
      <c r="P143" s="2"/>
    </row>
    <row r="144" spans="1:19" x14ac:dyDescent="0.2">
      <c r="J144" s="2"/>
      <c r="K144" s="2"/>
      <c r="L144" s="2"/>
      <c r="M144" s="2"/>
      <c r="N144" s="2"/>
      <c r="O144" s="2"/>
      <c r="P144" s="2"/>
    </row>
    <row r="145" spans="7:16" x14ac:dyDescent="0.2">
      <c r="O145" s="2"/>
      <c r="P145" s="2"/>
    </row>
    <row r="146" spans="7:16" x14ac:dyDescent="0.2">
      <c r="G146" s="54"/>
      <c r="H146" s="54"/>
      <c r="O146" s="2"/>
      <c r="P146" s="2"/>
    </row>
    <row r="147" spans="7:16" x14ac:dyDescent="0.2">
      <c r="G147" s="54"/>
      <c r="H147" s="54"/>
      <c r="O147" s="2"/>
      <c r="P147" s="2"/>
    </row>
    <row r="148" spans="7:16" x14ac:dyDescent="0.2">
      <c r="G148" s="54"/>
      <c r="H148" s="54"/>
      <c r="O148" s="2"/>
      <c r="P148" s="2"/>
    </row>
    <row r="149" spans="7:16" x14ac:dyDescent="0.2">
      <c r="G149" s="54"/>
      <c r="H149" s="54"/>
      <c r="I149" s="2" t="s">
        <v>396</v>
      </c>
      <c r="O149" s="2"/>
      <c r="P149" s="2"/>
    </row>
    <row r="150" spans="7:16" x14ac:dyDescent="0.2">
      <c r="G150" s="54"/>
      <c r="H150" s="54"/>
      <c r="I150" s="53"/>
      <c r="J150" s="2"/>
      <c r="K150" s="2"/>
      <c r="L150" s="2"/>
      <c r="M150" s="2"/>
      <c r="N150" s="2"/>
      <c r="P150" s="2"/>
    </row>
    <row r="151" spans="7:16" x14ac:dyDescent="0.2">
      <c r="G151" s="54"/>
      <c r="H151" s="54"/>
      <c r="I151" s="53" t="s">
        <v>396</v>
      </c>
      <c r="O151" s="2"/>
      <c r="P151" s="2"/>
    </row>
    <row r="152" spans="7:16" x14ac:dyDescent="0.2">
      <c r="G152" s="54"/>
      <c r="H152" s="54"/>
      <c r="I152" s="53" t="s">
        <v>396</v>
      </c>
      <c r="K152" s="42"/>
      <c r="P152" s="2"/>
    </row>
    <row r="153" spans="7:16" x14ac:dyDescent="0.2">
      <c r="G153" s="54"/>
      <c r="H153" s="54"/>
      <c r="I153" s="53"/>
      <c r="J153" s="101"/>
      <c r="P153" s="2"/>
    </row>
    <row r="154" spans="7:16" x14ac:dyDescent="0.2">
      <c r="G154" s="54"/>
      <c r="H154" s="54"/>
      <c r="I154" s="53"/>
    </row>
    <row r="155" spans="7:16" x14ac:dyDescent="0.2">
      <c r="G155" s="54"/>
      <c r="H155" s="54"/>
      <c r="I155" s="53"/>
      <c r="P155" s="2"/>
    </row>
    <row r="156" spans="7:16" x14ac:dyDescent="0.2">
      <c r="G156" s="54"/>
      <c r="H156" s="54"/>
      <c r="I156" s="53"/>
    </row>
  </sheetData>
  <sheetProtection insertRows="0"/>
  <mergeCells count="8">
    <mergeCell ref="K106:L106"/>
    <mergeCell ref="A113:D113"/>
    <mergeCell ref="C118:F118"/>
    <mergeCell ref="A1:H1"/>
    <mergeCell ref="A3:F3"/>
    <mergeCell ref="A9:F9"/>
    <mergeCell ref="A30:F30"/>
    <mergeCell ref="A41:F41"/>
  </mergeCells>
  <conditionalFormatting sqref="H110:H111">
    <cfRule type="cellIs" dxfId="45" priority="1" operator="lessThan">
      <formula>0</formula>
    </cfRule>
  </conditionalFormatting>
  <conditionalFormatting sqref="C43">
    <cfRule type="duplicateValues" dxfId="44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1-000000000000}">
  <sheetPr codeName="Sheet564">
    <pageSetUpPr fitToPage="1"/>
  </sheetPr>
  <dimension ref="A1:S149"/>
  <sheetViews>
    <sheetView topLeftCell="A10" zoomScaleNormal="100" workbookViewId="0">
      <selection activeCell="F59" sqref="F59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12.85546875" style="1" customWidth="1"/>
    <col min="9" max="9" width="24.85546875" style="2" bestFit="1" customWidth="1"/>
    <col min="10" max="10" width="21.5703125" style="1" bestFit="1" customWidth="1"/>
    <col min="11" max="11" width="16.85546875" style="1" bestFit="1" customWidth="1"/>
    <col min="12" max="12" width="19.5703125" style="1" bestFit="1" customWidth="1"/>
    <col min="13" max="13" width="13.5703125" style="1" bestFit="1" customWidth="1"/>
    <col min="14" max="14" width="17.42578125" style="1" bestFit="1" customWidth="1"/>
    <col min="15" max="15" width="12.85546875" style="1" bestFit="1" customWidth="1"/>
    <col min="16" max="17" width="9.140625" style="1"/>
    <col min="18" max="18" width="15.5703125" style="1" bestFit="1" customWidth="1"/>
    <col min="19" max="16384" width="9.140625" style="1"/>
  </cols>
  <sheetData>
    <row r="1" spans="1:11" ht="20.25" customHeight="1" x14ac:dyDescent="0.4">
      <c r="A1" s="212" t="s">
        <v>2166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1" ht="12.75" customHeight="1" x14ac:dyDescent="0.4">
      <c r="I2" s="112"/>
      <c r="J2" s="112"/>
    </row>
    <row r="3" spans="1:11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1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1" s="2" customFormat="1" ht="14.25" customHeight="1" x14ac:dyDescent="0.4">
      <c r="A5" s="89">
        <v>45355</v>
      </c>
      <c r="B5" s="9" t="s">
        <v>6</v>
      </c>
      <c r="C5" s="10" t="s">
        <v>7</v>
      </c>
      <c r="D5" s="11"/>
      <c r="E5" s="12">
        <v>462876.84000000043</v>
      </c>
      <c r="F5" s="12"/>
      <c r="G5" s="1"/>
      <c r="H5" s="1"/>
      <c r="I5" s="112"/>
      <c r="J5" s="112"/>
    </row>
    <row r="6" spans="1:11" s="2" customFormat="1" ht="12.75" customHeight="1" x14ac:dyDescent="0.2">
      <c r="D6" s="15" t="s">
        <v>8</v>
      </c>
      <c r="E6" s="16">
        <f>SUM(E5:E5)</f>
        <v>462876.84000000043</v>
      </c>
      <c r="F6" s="16">
        <f>F5</f>
        <v>0</v>
      </c>
      <c r="G6" s="1"/>
      <c r="H6" s="1"/>
      <c r="I6" s="13" t="s">
        <v>1582</v>
      </c>
      <c r="J6" s="13" t="s">
        <v>1583</v>
      </c>
    </row>
    <row r="7" spans="1:11" s="2" customFormat="1" ht="12.75" customHeight="1" x14ac:dyDescent="0.2">
      <c r="A7" s="17"/>
      <c r="B7" s="18"/>
      <c r="C7" s="19" t="s">
        <v>9</v>
      </c>
      <c r="D7" s="20"/>
      <c r="E7" s="21">
        <f>+E6-F6</f>
        <v>462876.84000000043</v>
      </c>
      <c r="F7" s="22"/>
      <c r="G7" s="23"/>
      <c r="H7" s="23"/>
      <c r="I7" s="2">
        <v>4547178</v>
      </c>
      <c r="J7" s="2">
        <v>0</v>
      </c>
      <c r="K7" s="176">
        <f>I7-J7</f>
        <v>4547178</v>
      </c>
    </row>
    <row r="8" spans="1:11" ht="11.25" customHeight="1" x14ac:dyDescent="0.4">
      <c r="I8" s="112"/>
      <c r="J8" s="112"/>
    </row>
    <row r="9" spans="1:11" ht="18" customHeight="1" x14ac:dyDescent="0.4">
      <c r="A9" s="213" t="s">
        <v>2103</v>
      </c>
      <c r="B9" s="213"/>
      <c r="C9" s="213"/>
      <c r="D9" s="213"/>
      <c r="E9" s="213"/>
      <c r="F9" s="213"/>
      <c r="I9" s="112"/>
      <c r="J9" s="112"/>
    </row>
    <row r="10" spans="1:11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I10" s="112"/>
      <c r="J10" s="112"/>
    </row>
    <row r="11" spans="1:11" ht="12.75" customHeight="1" x14ac:dyDescent="0.4">
      <c r="A11" s="89">
        <v>45355</v>
      </c>
      <c r="B11" s="9" t="s">
        <v>6</v>
      </c>
      <c r="C11" s="10" t="s">
        <v>7</v>
      </c>
      <c r="D11" s="11"/>
      <c r="E11" s="12">
        <v>1344034.7199999993</v>
      </c>
      <c r="F11" s="1"/>
      <c r="I11" s="112"/>
      <c r="J11" s="112"/>
    </row>
    <row r="12" spans="1:11" ht="12.75" customHeight="1" x14ac:dyDescent="0.4">
      <c r="A12" s="89">
        <v>45355</v>
      </c>
      <c r="B12" s="9" t="s">
        <v>11</v>
      </c>
      <c r="C12" s="76" t="s">
        <v>220</v>
      </c>
      <c r="D12" s="11" t="s">
        <v>29</v>
      </c>
      <c r="E12" s="31">
        <v>4547178</v>
      </c>
      <c r="F12" s="31"/>
      <c r="I12" s="112"/>
      <c r="J12" s="112"/>
    </row>
    <row r="13" spans="1:11" ht="12.75" customHeight="1" x14ac:dyDescent="0.4">
      <c r="A13" s="89">
        <v>45355</v>
      </c>
      <c r="B13" s="9" t="s">
        <v>11</v>
      </c>
      <c r="C13" s="76" t="s">
        <v>186</v>
      </c>
      <c r="D13" s="11" t="s">
        <v>29</v>
      </c>
      <c r="E13" s="31"/>
      <c r="F13" s="31">
        <v>885903</v>
      </c>
      <c r="I13" s="112"/>
      <c r="J13" s="112"/>
    </row>
    <row r="14" spans="1:11" ht="12.75" customHeight="1" x14ac:dyDescent="0.4">
      <c r="A14" s="89">
        <v>45355</v>
      </c>
      <c r="B14" s="9" t="s">
        <v>11</v>
      </c>
      <c r="C14" s="76" t="s">
        <v>194</v>
      </c>
      <c r="D14" s="11" t="s">
        <v>29</v>
      </c>
      <c r="E14" s="31"/>
      <c r="F14" s="31">
        <v>1770</v>
      </c>
      <c r="I14" s="112"/>
      <c r="J14" s="112"/>
    </row>
    <row r="15" spans="1:11" ht="12.75" customHeight="1" x14ac:dyDescent="0.4">
      <c r="A15" s="89">
        <v>45355</v>
      </c>
      <c r="B15" s="9" t="s">
        <v>11</v>
      </c>
      <c r="C15" s="76" t="s">
        <v>2167</v>
      </c>
      <c r="D15" s="11" t="s">
        <v>29</v>
      </c>
      <c r="E15" s="31"/>
      <c r="F15" s="31">
        <v>63076</v>
      </c>
      <c r="I15" s="112"/>
      <c r="J15" s="112"/>
    </row>
    <row r="16" spans="1:11" ht="12.75" customHeight="1" x14ac:dyDescent="0.4">
      <c r="A16" s="89">
        <v>45355</v>
      </c>
      <c r="B16" s="9" t="s">
        <v>11</v>
      </c>
      <c r="C16" s="76" t="s">
        <v>1341</v>
      </c>
      <c r="D16" s="11" t="s">
        <v>29</v>
      </c>
      <c r="E16" s="31"/>
      <c r="F16" s="31">
        <v>80326.11</v>
      </c>
      <c r="I16" s="112"/>
      <c r="J16" s="112"/>
    </row>
    <row r="17" spans="1:11" ht="12.75" customHeight="1" x14ac:dyDescent="0.4">
      <c r="A17" s="89">
        <v>45355</v>
      </c>
      <c r="B17" s="9" t="s">
        <v>11</v>
      </c>
      <c r="C17" s="76" t="s">
        <v>685</v>
      </c>
      <c r="D17" s="11" t="s">
        <v>29</v>
      </c>
      <c r="E17" s="31"/>
      <c r="F17" s="31">
        <v>67260</v>
      </c>
      <c r="I17" s="112"/>
      <c r="J17" s="112"/>
    </row>
    <row r="18" spans="1:11" ht="12.75" customHeight="1" x14ac:dyDescent="0.4">
      <c r="A18" s="89">
        <v>45355</v>
      </c>
      <c r="B18" s="9" t="s">
        <v>11</v>
      </c>
      <c r="C18" s="76" t="s">
        <v>685</v>
      </c>
      <c r="D18" s="11" t="s">
        <v>29</v>
      </c>
      <c r="E18" s="31"/>
      <c r="F18" s="31">
        <v>31656</v>
      </c>
      <c r="I18" s="112"/>
      <c r="J18" s="112"/>
    </row>
    <row r="19" spans="1:11" ht="12.75" customHeight="1" x14ac:dyDescent="0.4">
      <c r="A19" s="89">
        <v>45355</v>
      </c>
      <c r="B19" s="9" t="s">
        <v>11</v>
      </c>
      <c r="C19" s="76" t="s">
        <v>96</v>
      </c>
      <c r="D19" s="11" t="s">
        <v>29</v>
      </c>
      <c r="E19" s="31"/>
      <c r="F19" s="31">
        <v>5746</v>
      </c>
      <c r="I19" s="112"/>
      <c r="J19" s="112"/>
    </row>
    <row r="20" spans="1:11" ht="12.75" customHeight="1" x14ac:dyDescent="0.4">
      <c r="A20" s="89">
        <v>45355</v>
      </c>
      <c r="B20" s="9" t="s">
        <v>11</v>
      </c>
      <c r="C20" s="76" t="s">
        <v>937</v>
      </c>
      <c r="D20" s="11" t="s">
        <v>29</v>
      </c>
      <c r="E20" s="31"/>
      <c r="F20" s="31">
        <v>4991</v>
      </c>
      <c r="I20" s="112"/>
      <c r="J20" s="112"/>
    </row>
    <row r="21" spans="1:11" ht="12.75" customHeight="1" x14ac:dyDescent="0.4">
      <c r="A21" s="89">
        <v>45355</v>
      </c>
      <c r="B21" s="9" t="s">
        <v>11</v>
      </c>
      <c r="C21" s="76" t="s">
        <v>823</v>
      </c>
      <c r="D21" s="11" t="s">
        <v>29</v>
      </c>
      <c r="E21" s="31"/>
      <c r="F21" s="31">
        <v>20985</v>
      </c>
      <c r="I21" s="112"/>
      <c r="J21" s="112"/>
    </row>
    <row r="22" spans="1:11" ht="12.75" customHeight="1" x14ac:dyDescent="0.4">
      <c r="A22" s="89">
        <v>45355</v>
      </c>
      <c r="B22" s="9" t="s">
        <v>11</v>
      </c>
      <c r="C22" s="76" t="s">
        <v>235</v>
      </c>
      <c r="D22" s="11" t="s">
        <v>29</v>
      </c>
      <c r="E22" s="31"/>
      <c r="F22" s="31">
        <v>6003</v>
      </c>
      <c r="I22" s="112"/>
      <c r="J22" s="112"/>
    </row>
    <row r="23" spans="1:11" ht="12.75" customHeight="1" x14ac:dyDescent="0.4">
      <c r="A23" s="89">
        <v>45355</v>
      </c>
      <c r="B23" s="9" t="s">
        <v>11</v>
      </c>
      <c r="C23" s="76" t="s">
        <v>738</v>
      </c>
      <c r="D23" s="11" t="s">
        <v>29</v>
      </c>
      <c r="E23" s="31"/>
      <c r="F23" s="31">
        <v>21275</v>
      </c>
      <c r="I23" s="112"/>
      <c r="J23" s="112"/>
    </row>
    <row r="24" spans="1:11" ht="12.75" customHeight="1" x14ac:dyDescent="0.4">
      <c r="A24" s="89">
        <v>45355</v>
      </c>
      <c r="B24" s="9" t="s">
        <v>11</v>
      </c>
      <c r="C24" s="76" t="s">
        <v>242</v>
      </c>
      <c r="D24" s="11" t="s">
        <v>29</v>
      </c>
      <c r="E24" s="31"/>
      <c r="F24" s="31">
        <v>6276.84</v>
      </c>
      <c r="I24" s="112"/>
      <c r="J24" s="112"/>
    </row>
    <row r="25" spans="1:11" ht="12.75" customHeight="1" x14ac:dyDescent="0.4">
      <c r="A25" s="89">
        <v>45355</v>
      </c>
      <c r="B25" s="9" t="s">
        <v>11</v>
      </c>
      <c r="C25" s="76" t="s">
        <v>2168</v>
      </c>
      <c r="D25" s="11" t="s">
        <v>29</v>
      </c>
      <c r="E25" s="31"/>
      <c r="F25" s="31">
        <v>26513</v>
      </c>
      <c r="I25" s="112"/>
      <c r="J25" s="112"/>
    </row>
    <row r="26" spans="1:11" ht="12.75" customHeight="1" x14ac:dyDescent="0.4">
      <c r="A26" s="89">
        <v>45355</v>
      </c>
      <c r="B26" s="9" t="s">
        <v>11</v>
      </c>
      <c r="C26" s="76" t="s">
        <v>171</v>
      </c>
      <c r="D26" s="11" t="s">
        <v>29</v>
      </c>
      <c r="E26" s="31"/>
      <c r="F26" s="31">
        <v>5034</v>
      </c>
      <c r="I26" s="112"/>
      <c r="J26" s="112"/>
    </row>
    <row r="27" spans="1:11" ht="12.75" customHeight="1" x14ac:dyDescent="0.4">
      <c r="A27" s="89">
        <v>45355</v>
      </c>
      <c r="B27" s="9" t="s">
        <v>11</v>
      </c>
      <c r="C27" s="76" t="s">
        <v>352</v>
      </c>
      <c r="D27" s="11" t="s">
        <v>29</v>
      </c>
      <c r="E27" s="31"/>
      <c r="F27" s="31">
        <v>58271</v>
      </c>
      <c r="I27" s="112"/>
      <c r="J27" s="112"/>
    </row>
    <row r="28" spans="1:11" ht="12.75" customHeight="1" x14ac:dyDescent="0.4">
      <c r="A28" s="89">
        <v>45355</v>
      </c>
      <c r="B28" s="9" t="s">
        <v>11</v>
      </c>
      <c r="C28" s="76" t="s">
        <v>800</v>
      </c>
      <c r="D28" s="11" t="s">
        <v>29</v>
      </c>
      <c r="E28" s="31"/>
      <c r="F28" s="31">
        <v>27585</v>
      </c>
      <c r="I28" s="112"/>
      <c r="J28" s="112"/>
    </row>
    <row r="29" spans="1:11" ht="12.75" customHeight="1" x14ac:dyDescent="0.2">
      <c r="A29" s="2"/>
      <c r="B29" s="2"/>
      <c r="C29" s="2"/>
      <c r="D29" s="11" t="s">
        <v>8</v>
      </c>
      <c r="E29" s="16">
        <f>SUM(E11:E12)</f>
        <v>5891212.7199999988</v>
      </c>
      <c r="F29" s="16">
        <f>SUM(F12:F28)</f>
        <v>1312670.95</v>
      </c>
      <c r="I29" s="13" t="s">
        <v>1582</v>
      </c>
      <c r="J29" s="13" t="s">
        <v>1583</v>
      </c>
    </row>
    <row r="30" spans="1:11" x14ac:dyDescent="0.2">
      <c r="A30" s="17"/>
      <c r="B30" s="18"/>
      <c r="C30" s="19" t="s">
        <v>9</v>
      </c>
      <c r="D30" s="20"/>
      <c r="E30" s="21">
        <f>+E29-F29</f>
        <v>4578541.7699999986</v>
      </c>
      <c r="I30" s="2">
        <v>419747</v>
      </c>
      <c r="J30" s="2">
        <v>0</v>
      </c>
    </row>
    <row r="31" spans="1:11" ht="18" customHeight="1" x14ac:dyDescent="0.25">
      <c r="A31" s="36"/>
      <c r="B31" s="28"/>
      <c r="C31" s="44"/>
      <c r="D31" s="43"/>
      <c r="E31" s="38"/>
      <c r="F31" s="22"/>
      <c r="J31" s="2"/>
    </row>
    <row r="32" spans="1:11" ht="18" customHeight="1" x14ac:dyDescent="0.4">
      <c r="A32" s="213" t="s">
        <v>2104</v>
      </c>
      <c r="B32" s="213"/>
      <c r="C32" s="213"/>
      <c r="D32" s="213"/>
      <c r="E32" s="213"/>
      <c r="F32" s="213"/>
      <c r="I32" s="112"/>
      <c r="J32" s="169">
        <f>90000000-60000000</f>
        <v>30000000</v>
      </c>
      <c r="K32" s="169" t="s">
        <v>1508</v>
      </c>
    </row>
    <row r="33" spans="1:12" ht="12.75" customHeight="1" x14ac:dyDescent="0.4">
      <c r="A33" s="3" t="s">
        <v>1</v>
      </c>
      <c r="B33" s="4" t="s">
        <v>2</v>
      </c>
      <c r="C33" s="5"/>
      <c r="D33" s="6" t="s">
        <v>3</v>
      </c>
      <c r="E33" s="7" t="s">
        <v>4</v>
      </c>
      <c r="F33" s="7" t="s">
        <v>5</v>
      </c>
      <c r="I33" s="112"/>
      <c r="J33" s="169">
        <v>28182140.989999998</v>
      </c>
      <c r="K33" s="169" t="s">
        <v>1509</v>
      </c>
      <c r="L33" s="124"/>
    </row>
    <row r="34" spans="1:12" s="2" customFormat="1" ht="14.25" customHeight="1" x14ac:dyDescent="0.2">
      <c r="A34" s="89">
        <v>45355</v>
      </c>
      <c r="B34" s="9" t="s">
        <v>6</v>
      </c>
      <c r="C34" s="10" t="s">
        <v>7</v>
      </c>
      <c r="D34" s="11"/>
      <c r="F34" s="12">
        <v>28182140.990000002</v>
      </c>
      <c r="G34" s="1"/>
      <c r="H34" s="1"/>
      <c r="I34" s="130" t="s">
        <v>396</v>
      </c>
      <c r="J34" s="169">
        <f>+J32-J33</f>
        <v>1817859.0100000016</v>
      </c>
      <c r="K34" s="169" t="s">
        <v>712</v>
      </c>
      <c r="L34" s="165" t="s">
        <v>1512</v>
      </c>
    </row>
    <row r="35" spans="1:12" s="2" customFormat="1" ht="14.25" customHeight="1" x14ac:dyDescent="0.2">
      <c r="A35" s="89">
        <v>45355</v>
      </c>
      <c r="B35" s="9" t="s">
        <v>6</v>
      </c>
      <c r="C35" s="76" t="s">
        <v>419</v>
      </c>
      <c r="D35" s="11" t="s">
        <v>13</v>
      </c>
      <c r="E35" s="31">
        <v>419747</v>
      </c>
      <c r="F35" s="12"/>
      <c r="G35" s="1"/>
      <c r="H35" s="1"/>
      <c r="I35" s="130"/>
      <c r="J35" s="169"/>
      <c r="K35" s="169"/>
      <c r="L35" s="165"/>
    </row>
    <row r="36" spans="1:12" s="2" customFormat="1" ht="14.25" customHeight="1" x14ac:dyDescent="0.4">
      <c r="D36" s="11" t="s">
        <v>8</v>
      </c>
      <c r="E36" s="16">
        <f>SUM(E35:E35)</f>
        <v>419747</v>
      </c>
      <c r="F36" s="16">
        <f>SUM(F34:F35)</f>
        <v>28182140.990000002</v>
      </c>
      <c r="G36" s="1"/>
      <c r="H36" s="1"/>
      <c r="J36" s="112"/>
      <c r="K36" s="153" t="s">
        <v>779</v>
      </c>
    </row>
    <row r="37" spans="1:12" s="2" customFormat="1" ht="14.25" customHeight="1" x14ac:dyDescent="0.2">
      <c r="A37" s="17"/>
      <c r="B37" s="18"/>
      <c r="C37" s="96" t="s">
        <v>9</v>
      </c>
      <c r="D37" s="20"/>
      <c r="E37" s="21">
        <f>+F36-E36</f>
        <v>27762393.990000002</v>
      </c>
      <c r="G37" s="1"/>
      <c r="H37" s="1"/>
      <c r="J37" s="40">
        <v>27762393.989999998</v>
      </c>
      <c r="K37" s="154">
        <f>J37-E37</f>
        <v>0</v>
      </c>
    </row>
    <row r="38" spans="1:12" s="2" customFormat="1" ht="14.25" customHeight="1" x14ac:dyDescent="0.2">
      <c r="A38" s="17"/>
      <c r="B38" s="28" t="s">
        <v>66</v>
      </c>
      <c r="C38" s="43" t="s">
        <v>1458</v>
      </c>
      <c r="D38" s="43"/>
      <c r="E38" s="12">
        <f>30000000+60000000</f>
        <v>90000000</v>
      </c>
      <c r="F38" s="22"/>
      <c r="G38" s="1"/>
      <c r="H38" s="1"/>
      <c r="I38" s="13" t="s">
        <v>1582</v>
      </c>
      <c r="J38" s="13" t="s">
        <v>1583</v>
      </c>
    </row>
    <row r="39" spans="1:12" s="2" customFormat="1" ht="14.25" customHeight="1" x14ac:dyDescent="0.25">
      <c r="A39" s="36"/>
      <c r="B39" s="28"/>
      <c r="C39" s="44" t="s">
        <v>1541</v>
      </c>
      <c r="D39" s="43"/>
      <c r="E39" s="7">
        <f>+E37+E38</f>
        <v>117762393.99000001</v>
      </c>
      <c r="F39" s="22"/>
      <c r="G39" s="1"/>
      <c r="H39" s="1"/>
      <c r="I39" s="2">
        <v>4673</v>
      </c>
      <c r="J39" s="2">
        <v>40993</v>
      </c>
      <c r="K39" s="176">
        <f>I39-J39</f>
        <v>-36320</v>
      </c>
    </row>
    <row r="40" spans="1:12" s="2" customFormat="1" ht="14.25" customHeight="1" x14ac:dyDescent="0.25">
      <c r="A40" s="36"/>
      <c r="B40" s="28"/>
      <c r="C40" s="44" t="s">
        <v>1511</v>
      </c>
      <c r="D40" s="43"/>
      <c r="E40" s="38">
        <f>I30-J30+J34</f>
        <v>2237606.0100000016</v>
      </c>
      <c r="F40" s="22"/>
      <c r="G40" s="1"/>
      <c r="H40" s="1"/>
      <c r="J40" s="130"/>
      <c r="K40" s="130"/>
    </row>
    <row r="41" spans="1:12" s="2" customFormat="1" x14ac:dyDescent="0.2">
      <c r="A41" s="24"/>
      <c r="B41" s="1"/>
      <c r="C41" s="14"/>
      <c r="D41" s="25"/>
      <c r="G41" s="1"/>
      <c r="H41" s="1"/>
      <c r="I41" s="159"/>
      <c r="J41" s="160">
        <f>100000000+175000000</f>
        <v>275000000</v>
      </c>
      <c r="K41" s="160" t="s">
        <v>1506</v>
      </c>
      <c r="L41" s="70"/>
    </row>
    <row r="42" spans="1:12" s="2" customFormat="1" ht="15" x14ac:dyDescent="0.35">
      <c r="A42" s="214" t="s">
        <v>10</v>
      </c>
      <c r="B42" s="214"/>
      <c r="C42" s="214"/>
      <c r="D42" s="214"/>
      <c r="E42" s="214"/>
      <c r="F42" s="214"/>
      <c r="G42" s="1"/>
      <c r="H42" s="1"/>
      <c r="I42" s="159"/>
      <c r="J42" s="179">
        <v>251880742.80000001</v>
      </c>
      <c r="K42" s="160" t="s">
        <v>1507</v>
      </c>
      <c r="L42" s="70" t="s">
        <v>1512</v>
      </c>
    </row>
    <row r="43" spans="1:12" s="2" customFormat="1" x14ac:dyDescent="0.2">
      <c r="A43" s="26" t="s">
        <v>1</v>
      </c>
      <c r="B43" s="27" t="s">
        <v>2</v>
      </c>
      <c r="C43" s="5"/>
      <c r="D43" s="6" t="s">
        <v>3</v>
      </c>
      <c r="E43" s="7" t="s">
        <v>4</v>
      </c>
      <c r="F43" s="7" t="s">
        <v>5</v>
      </c>
      <c r="G43" s="1"/>
      <c r="H43" s="1"/>
      <c r="I43" s="159" t="s">
        <v>1505</v>
      </c>
      <c r="J43" s="160">
        <f>+J41-J42</f>
        <v>23119257.199999988</v>
      </c>
      <c r="K43" s="160"/>
      <c r="L43" s="70"/>
    </row>
    <row r="44" spans="1:12" s="2" customFormat="1" x14ac:dyDescent="0.2">
      <c r="A44" s="89" t="s">
        <v>2169</v>
      </c>
      <c r="B44" s="128" t="s">
        <v>11</v>
      </c>
      <c r="C44" s="29" t="s">
        <v>7</v>
      </c>
      <c r="D44" s="25"/>
      <c r="E44" s="31"/>
      <c r="F44" s="13">
        <v>246913751.68999988</v>
      </c>
      <c r="G44" s="23"/>
      <c r="H44" s="23"/>
      <c r="I44" s="159"/>
      <c r="J44" s="160"/>
      <c r="K44" s="160"/>
      <c r="L44" s="70"/>
    </row>
    <row r="45" spans="1:12" s="2" customFormat="1" x14ac:dyDescent="0.2">
      <c r="A45" s="89" t="s">
        <v>2169</v>
      </c>
      <c r="B45" s="128" t="s">
        <v>6</v>
      </c>
      <c r="C45" s="181" t="s">
        <v>177</v>
      </c>
      <c r="D45" s="11" t="s">
        <v>13</v>
      </c>
      <c r="E45" s="86">
        <v>3142981</v>
      </c>
      <c r="G45" s="23"/>
      <c r="H45" s="23"/>
      <c r="I45" s="159"/>
      <c r="J45" s="160"/>
      <c r="K45" s="160"/>
      <c r="L45" s="70"/>
    </row>
    <row r="46" spans="1:12" s="2" customFormat="1" x14ac:dyDescent="0.2">
      <c r="A46" s="89" t="s">
        <v>2169</v>
      </c>
      <c r="B46" s="128" t="s">
        <v>6</v>
      </c>
      <c r="C46" s="181" t="s">
        <v>916</v>
      </c>
      <c r="D46" s="11" t="s">
        <v>13</v>
      </c>
      <c r="E46" s="86">
        <v>968957</v>
      </c>
      <c r="G46" s="23"/>
      <c r="H46" s="23"/>
      <c r="I46" s="159"/>
      <c r="J46" s="160"/>
      <c r="K46" s="160"/>
      <c r="L46" s="70"/>
    </row>
    <row r="47" spans="1:12" s="2" customFormat="1" x14ac:dyDescent="0.2">
      <c r="A47" s="89" t="s">
        <v>2169</v>
      </c>
      <c r="B47" s="128" t="s">
        <v>6</v>
      </c>
      <c r="C47" s="181" t="s">
        <v>316</v>
      </c>
      <c r="D47" s="11" t="s">
        <v>13</v>
      </c>
      <c r="E47" s="86">
        <v>5198</v>
      </c>
      <c r="G47" s="23"/>
      <c r="H47" s="23"/>
      <c r="I47" s="159"/>
      <c r="J47" s="160"/>
      <c r="K47" s="160"/>
      <c r="L47" s="70"/>
    </row>
    <row r="48" spans="1:12" s="2" customFormat="1" x14ac:dyDescent="0.2">
      <c r="A48" s="89" t="s">
        <v>2169</v>
      </c>
      <c r="B48" s="128" t="s">
        <v>6</v>
      </c>
      <c r="C48" s="181" t="s">
        <v>465</v>
      </c>
      <c r="D48" s="11" t="s">
        <v>13</v>
      </c>
      <c r="E48" s="86">
        <v>2608133.5499999998</v>
      </c>
      <c r="G48" s="23"/>
      <c r="H48" s="23"/>
      <c r="I48" s="159"/>
      <c r="J48" s="160"/>
      <c r="K48" s="160"/>
      <c r="L48" s="70"/>
    </row>
    <row r="49" spans="1:12" s="2" customFormat="1" x14ac:dyDescent="0.2">
      <c r="A49" s="89" t="s">
        <v>2169</v>
      </c>
      <c r="B49" s="128" t="s">
        <v>6</v>
      </c>
      <c r="C49" s="181" t="s">
        <v>24</v>
      </c>
      <c r="D49" s="11" t="s">
        <v>13</v>
      </c>
      <c r="E49" s="86">
        <v>7182</v>
      </c>
      <c r="G49" s="23"/>
      <c r="H49" s="23"/>
      <c r="I49" s="159"/>
      <c r="J49" s="160"/>
      <c r="K49" s="160"/>
      <c r="L49" s="70"/>
    </row>
    <row r="50" spans="1:12" s="2" customFormat="1" x14ac:dyDescent="0.2">
      <c r="A50" s="89" t="s">
        <v>2169</v>
      </c>
      <c r="B50" s="128" t="s">
        <v>6</v>
      </c>
      <c r="C50" s="181" t="s">
        <v>364</v>
      </c>
      <c r="D50" s="11" t="s">
        <v>13</v>
      </c>
      <c r="E50" s="86">
        <v>3675</v>
      </c>
      <c r="G50" s="23"/>
      <c r="H50" s="23"/>
      <c r="I50" s="159"/>
      <c r="J50" s="160"/>
      <c r="K50" s="160"/>
      <c r="L50" s="70"/>
    </row>
    <row r="51" spans="1:12" s="2" customFormat="1" x14ac:dyDescent="0.2">
      <c r="A51" s="89" t="s">
        <v>2169</v>
      </c>
      <c r="B51" s="128" t="s">
        <v>6</v>
      </c>
      <c r="C51" s="181" t="s">
        <v>1765</v>
      </c>
      <c r="D51" s="11" t="s">
        <v>13</v>
      </c>
      <c r="E51" s="86">
        <v>2783</v>
      </c>
      <c r="G51" s="23"/>
      <c r="H51" s="23"/>
      <c r="I51" s="159"/>
      <c r="J51" s="160"/>
      <c r="K51" s="160"/>
      <c r="L51" s="70"/>
    </row>
    <row r="52" spans="1:12" s="2" customFormat="1" x14ac:dyDescent="0.2">
      <c r="A52" s="89" t="s">
        <v>2169</v>
      </c>
      <c r="B52" s="128" t="s">
        <v>6</v>
      </c>
      <c r="C52" s="181" t="s">
        <v>332</v>
      </c>
      <c r="D52" s="11" t="s">
        <v>13</v>
      </c>
      <c r="E52" s="86">
        <v>10500</v>
      </c>
      <c r="G52" s="23"/>
      <c r="H52" s="23"/>
      <c r="I52" s="159"/>
      <c r="J52" s="160"/>
      <c r="K52" s="160"/>
      <c r="L52" s="70"/>
    </row>
    <row r="53" spans="1:12" s="2" customFormat="1" x14ac:dyDescent="0.2">
      <c r="A53" s="89" t="s">
        <v>2169</v>
      </c>
      <c r="B53" s="128" t="s">
        <v>6</v>
      </c>
      <c r="C53" s="181" t="s">
        <v>164</v>
      </c>
      <c r="D53" s="11" t="s">
        <v>13</v>
      </c>
      <c r="E53" s="86">
        <v>1000000</v>
      </c>
      <c r="G53" s="23"/>
      <c r="H53" s="23"/>
      <c r="I53" s="159"/>
      <c r="J53" s="160"/>
      <c r="K53" s="160"/>
      <c r="L53" s="70"/>
    </row>
    <row r="54" spans="1:12" s="2" customFormat="1" x14ac:dyDescent="0.2">
      <c r="A54" s="89" t="s">
        <v>2169</v>
      </c>
      <c r="B54" s="128" t="s">
        <v>6</v>
      </c>
      <c r="C54" s="181" t="s">
        <v>1959</v>
      </c>
      <c r="D54" s="11" t="s">
        <v>13</v>
      </c>
      <c r="E54" s="86">
        <v>27471</v>
      </c>
      <c r="G54" s="23"/>
      <c r="H54" s="23"/>
      <c r="I54" s="159"/>
      <c r="J54" s="160"/>
      <c r="K54" s="160"/>
      <c r="L54" s="70"/>
    </row>
    <row r="55" spans="1:12" s="2" customFormat="1" x14ac:dyDescent="0.2">
      <c r="A55" s="89" t="s">
        <v>2169</v>
      </c>
      <c r="B55" s="128" t="s">
        <v>6</v>
      </c>
      <c r="C55" s="181" t="s">
        <v>877</v>
      </c>
      <c r="D55" s="11" t="s">
        <v>13</v>
      </c>
      <c r="E55" s="86">
        <v>2573</v>
      </c>
      <c r="G55" s="23"/>
      <c r="H55" s="23"/>
      <c r="I55" s="159"/>
      <c r="J55" s="160"/>
      <c r="K55" s="160"/>
      <c r="L55" s="70"/>
    </row>
    <row r="56" spans="1:12" s="2" customFormat="1" x14ac:dyDescent="0.2">
      <c r="A56" s="89" t="s">
        <v>2169</v>
      </c>
      <c r="B56" s="128" t="s">
        <v>6</v>
      </c>
      <c r="C56" s="181" t="s">
        <v>1275</v>
      </c>
      <c r="D56" s="11" t="s">
        <v>13</v>
      </c>
      <c r="E56" s="86">
        <v>2100</v>
      </c>
      <c r="G56" s="23"/>
      <c r="H56" s="23"/>
      <c r="I56" s="159"/>
      <c r="J56" s="160"/>
      <c r="K56" s="160"/>
      <c r="L56" s="70"/>
    </row>
    <row r="57" spans="1:12" s="2" customFormat="1" x14ac:dyDescent="0.2">
      <c r="A57" s="89" t="s">
        <v>2169</v>
      </c>
      <c r="B57" s="128" t="s">
        <v>6</v>
      </c>
      <c r="C57" s="181" t="s">
        <v>409</v>
      </c>
      <c r="D57" s="11" t="s">
        <v>2170</v>
      </c>
      <c r="E57" s="86">
        <v>2199</v>
      </c>
      <c r="G57" s="23"/>
      <c r="H57" s="23"/>
      <c r="I57" s="159"/>
      <c r="J57" s="160"/>
      <c r="K57" s="160"/>
      <c r="L57" s="70"/>
    </row>
    <row r="58" spans="1:12" s="2" customFormat="1" x14ac:dyDescent="0.2">
      <c r="A58" s="89" t="s">
        <v>2169</v>
      </c>
      <c r="B58" s="128" t="s">
        <v>6</v>
      </c>
      <c r="C58" s="181" t="s">
        <v>15</v>
      </c>
      <c r="D58" s="11" t="s">
        <v>13</v>
      </c>
      <c r="E58" s="86">
        <v>86412.760000000009</v>
      </c>
      <c r="G58" s="23"/>
      <c r="H58" s="23"/>
      <c r="I58" s="159"/>
      <c r="J58" s="160"/>
      <c r="K58" s="160"/>
      <c r="L58" s="70"/>
    </row>
    <row r="59" spans="1:12" s="2" customFormat="1" x14ac:dyDescent="0.2">
      <c r="A59" s="89" t="s">
        <v>2169</v>
      </c>
      <c r="B59" s="128" t="s">
        <v>6</v>
      </c>
      <c r="C59" s="181" t="s">
        <v>27</v>
      </c>
      <c r="D59" s="11" t="s">
        <v>13</v>
      </c>
      <c r="E59" s="86">
        <v>1248662.44</v>
      </c>
      <c r="G59" s="23"/>
      <c r="H59" s="23"/>
      <c r="I59" s="159"/>
      <c r="J59" s="160"/>
      <c r="K59" s="160"/>
      <c r="L59" s="70"/>
    </row>
    <row r="60" spans="1:12" s="2" customFormat="1" x14ac:dyDescent="0.2">
      <c r="A60" s="89" t="s">
        <v>2169</v>
      </c>
      <c r="B60" s="128" t="s">
        <v>6</v>
      </c>
      <c r="C60" s="181" t="s">
        <v>149</v>
      </c>
      <c r="D60" s="11" t="s">
        <v>13</v>
      </c>
      <c r="E60" s="86">
        <v>13687</v>
      </c>
      <c r="G60" s="23"/>
      <c r="H60" s="23"/>
      <c r="I60" s="159"/>
      <c r="J60" s="160"/>
      <c r="K60" s="160"/>
      <c r="L60" s="70"/>
    </row>
    <row r="61" spans="1:12" s="2" customFormat="1" x14ac:dyDescent="0.2">
      <c r="A61" s="89" t="s">
        <v>2169</v>
      </c>
      <c r="B61" s="128" t="s">
        <v>6</v>
      </c>
      <c r="C61" s="181" t="s">
        <v>120</v>
      </c>
      <c r="D61" s="11" t="s">
        <v>13</v>
      </c>
      <c r="E61" s="86">
        <v>6414317</v>
      </c>
      <c r="G61" s="23"/>
      <c r="H61" s="23"/>
      <c r="I61" s="159"/>
      <c r="J61" s="160"/>
      <c r="K61" s="160"/>
      <c r="L61" s="70"/>
    </row>
    <row r="62" spans="1:12" s="2" customFormat="1" x14ac:dyDescent="0.2">
      <c r="A62" s="89" t="s">
        <v>2169</v>
      </c>
      <c r="B62" s="128" t="s">
        <v>6</v>
      </c>
      <c r="C62" s="181" t="s">
        <v>19</v>
      </c>
      <c r="D62" s="11" t="s">
        <v>13</v>
      </c>
      <c r="E62" s="86">
        <v>9441</v>
      </c>
      <c r="G62" s="23"/>
      <c r="H62" s="23"/>
      <c r="I62" s="159"/>
      <c r="J62" s="160"/>
      <c r="K62" s="160"/>
      <c r="L62" s="70"/>
    </row>
    <row r="63" spans="1:12" s="2" customFormat="1" x14ac:dyDescent="0.2">
      <c r="A63" s="89" t="s">
        <v>2169</v>
      </c>
      <c r="B63" s="128" t="s">
        <v>11</v>
      </c>
      <c r="C63" s="181" t="s">
        <v>64</v>
      </c>
      <c r="D63" s="11" t="s">
        <v>29</v>
      </c>
      <c r="E63" s="86"/>
      <c r="F63" s="2">
        <v>33040</v>
      </c>
      <c r="G63" s="23"/>
      <c r="H63" s="23"/>
      <c r="I63" s="159"/>
      <c r="J63" s="160"/>
      <c r="K63" s="160"/>
      <c r="L63" s="70"/>
    </row>
    <row r="64" spans="1:12" s="2" customFormat="1" x14ac:dyDescent="0.2">
      <c r="A64" s="89" t="s">
        <v>2169</v>
      </c>
      <c r="B64" s="128" t="s">
        <v>11</v>
      </c>
      <c r="C64" s="181" t="s">
        <v>1884</v>
      </c>
      <c r="D64" s="11" t="s">
        <v>29</v>
      </c>
      <c r="E64" s="86"/>
      <c r="F64" s="2">
        <v>9424454</v>
      </c>
      <c r="G64" s="23"/>
      <c r="H64" s="23"/>
      <c r="I64" s="159"/>
      <c r="J64" s="160"/>
      <c r="K64" s="160"/>
      <c r="L64" s="70"/>
    </row>
    <row r="65" spans="1:12" s="2" customFormat="1" x14ac:dyDescent="0.2">
      <c r="A65" s="89" t="s">
        <v>2169</v>
      </c>
      <c r="B65" s="128" t="s">
        <v>11</v>
      </c>
      <c r="C65" s="181" t="s">
        <v>188</v>
      </c>
      <c r="D65" s="11" t="s">
        <v>29</v>
      </c>
      <c r="E65" s="86"/>
      <c r="F65" s="2">
        <v>192917</v>
      </c>
      <c r="G65" s="23"/>
      <c r="H65" s="23"/>
      <c r="I65" s="159"/>
      <c r="J65" s="160"/>
      <c r="K65" s="160"/>
      <c r="L65" s="70"/>
    </row>
    <row r="66" spans="1:12" s="2" customFormat="1" x14ac:dyDescent="0.2">
      <c r="A66" s="89" t="s">
        <v>2169</v>
      </c>
      <c r="B66" s="128" t="s">
        <v>11</v>
      </c>
      <c r="C66" s="181" t="s">
        <v>184</v>
      </c>
      <c r="D66" s="11" t="s">
        <v>29</v>
      </c>
      <c r="E66" s="86"/>
      <c r="F66" s="2">
        <v>56232</v>
      </c>
      <c r="G66" s="23"/>
      <c r="H66" s="23"/>
      <c r="I66" s="159"/>
      <c r="J66" s="160"/>
      <c r="K66" s="160"/>
      <c r="L66" s="70"/>
    </row>
    <row r="67" spans="1:12" s="2" customFormat="1" x14ac:dyDescent="0.2">
      <c r="A67" s="89" t="s">
        <v>2169</v>
      </c>
      <c r="B67" s="128" t="s">
        <v>11</v>
      </c>
      <c r="C67" s="181" t="s">
        <v>185</v>
      </c>
      <c r="D67" s="11" t="s">
        <v>29</v>
      </c>
      <c r="E67" s="86"/>
      <c r="F67" s="2">
        <v>1141592</v>
      </c>
      <c r="G67" s="23"/>
      <c r="H67" s="23"/>
      <c r="I67" s="159"/>
      <c r="J67" s="160"/>
      <c r="K67" s="160"/>
      <c r="L67" s="70"/>
    </row>
    <row r="68" spans="1:12" s="2" customFormat="1" x14ac:dyDescent="0.2">
      <c r="A68" s="89" t="s">
        <v>2169</v>
      </c>
      <c r="B68" s="128" t="s">
        <v>11</v>
      </c>
      <c r="C68" s="181" t="s">
        <v>187</v>
      </c>
      <c r="D68" s="11" t="s">
        <v>29</v>
      </c>
      <c r="E68" s="86"/>
      <c r="F68" s="2">
        <v>1487311</v>
      </c>
      <c r="G68" s="23"/>
      <c r="H68" s="23"/>
      <c r="I68" s="159"/>
      <c r="J68" s="160"/>
      <c r="K68" s="160"/>
      <c r="L68" s="70"/>
    </row>
    <row r="69" spans="1:12" s="2" customFormat="1" x14ac:dyDescent="0.2">
      <c r="A69" s="89" t="s">
        <v>2169</v>
      </c>
      <c r="B69" s="128" t="s">
        <v>11</v>
      </c>
      <c r="C69" s="181" t="s">
        <v>189</v>
      </c>
      <c r="D69" s="11" t="s">
        <v>29</v>
      </c>
      <c r="E69" s="86"/>
      <c r="F69" s="2">
        <v>480232</v>
      </c>
      <c r="G69" s="23"/>
      <c r="H69" s="23"/>
      <c r="I69" s="159"/>
      <c r="J69" s="160"/>
      <c r="K69" s="160"/>
      <c r="L69" s="70"/>
    </row>
    <row r="70" spans="1:12" s="2" customFormat="1" x14ac:dyDescent="0.2">
      <c r="A70" s="89" t="s">
        <v>2169</v>
      </c>
      <c r="B70" s="128" t="s">
        <v>11</v>
      </c>
      <c r="C70" s="181" t="s">
        <v>190</v>
      </c>
      <c r="D70" s="11" t="s">
        <v>29</v>
      </c>
      <c r="E70" s="86"/>
      <c r="F70" s="2">
        <v>1796801</v>
      </c>
      <c r="G70" s="23"/>
      <c r="H70" s="23"/>
      <c r="I70" s="159"/>
      <c r="J70" s="160"/>
      <c r="K70" s="160"/>
      <c r="L70" s="70"/>
    </row>
    <row r="71" spans="1:12" s="2" customFormat="1" x14ac:dyDescent="0.2">
      <c r="A71" s="89" t="s">
        <v>2169</v>
      </c>
      <c r="B71" s="128" t="s">
        <v>11</v>
      </c>
      <c r="C71" s="181" t="s">
        <v>191</v>
      </c>
      <c r="D71" s="11" t="s">
        <v>29</v>
      </c>
      <c r="E71" s="86"/>
      <c r="F71" s="2">
        <v>152009</v>
      </c>
      <c r="G71" s="23"/>
      <c r="H71" s="23"/>
      <c r="I71" s="159"/>
      <c r="J71" s="160"/>
      <c r="K71" s="160"/>
      <c r="L71" s="70"/>
    </row>
    <row r="72" spans="1:12" s="2" customFormat="1" x14ac:dyDescent="0.2">
      <c r="A72" s="89" t="s">
        <v>2169</v>
      </c>
      <c r="B72" s="128" t="s">
        <v>11</v>
      </c>
      <c r="C72" s="181" t="s">
        <v>588</v>
      </c>
      <c r="D72" s="11" t="s">
        <v>29</v>
      </c>
      <c r="E72" s="86"/>
      <c r="F72" s="2">
        <v>60300</v>
      </c>
      <c r="G72" s="23"/>
      <c r="H72" s="23"/>
      <c r="I72" s="159"/>
      <c r="J72" s="160"/>
      <c r="K72" s="160"/>
      <c r="L72" s="70"/>
    </row>
    <row r="73" spans="1:12" s="2" customFormat="1" x14ac:dyDescent="0.2">
      <c r="A73" s="89" t="s">
        <v>2169</v>
      </c>
      <c r="B73" s="128" t="s">
        <v>11</v>
      </c>
      <c r="C73" s="181" t="s">
        <v>192</v>
      </c>
      <c r="D73" s="11" t="s">
        <v>29</v>
      </c>
      <c r="E73" s="86"/>
      <c r="F73" s="2">
        <v>856301</v>
      </c>
      <c r="G73" s="23"/>
      <c r="H73" s="23"/>
      <c r="I73" s="159"/>
      <c r="J73" s="160"/>
      <c r="K73" s="160"/>
      <c r="L73" s="70"/>
    </row>
    <row r="74" spans="1:12" s="2" customFormat="1" x14ac:dyDescent="0.2">
      <c r="A74" s="89" t="s">
        <v>2169</v>
      </c>
      <c r="B74" s="128" t="s">
        <v>11</v>
      </c>
      <c r="C74" s="181" t="s">
        <v>804</v>
      </c>
      <c r="D74" s="11" t="s">
        <v>29</v>
      </c>
      <c r="E74" s="86"/>
      <c r="F74" s="2">
        <v>513009</v>
      </c>
      <c r="G74" s="23"/>
      <c r="H74" s="23"/>
      <c r="I74" s="159"/>
      <c r="J74" s="160"/>
      <c r="K74" s="160"/>
      <c r="L74" s="70"/>
    </row>
    <row r="75" spans="1:12" s="2" customFormat="1" x14ac:dyDescent="0.2">
      <c r="A75" s="89" t="s">
        <v>2169</v>
      </c>
      <c r="B75" s="128" t="s">
        <v>11</v>
      </c>
      <c r="C75" s="181" t="s">
        <v>664</v>
      </c>
      <c r="D75" s="11" t="s">
        <v>29</v>
      </c>
      <c r="E75" s="86"/>
      <c r="F75" s="2">
        <v>49629</v>
      </c>
      <c r="G75" s="23"/>
      <c r="H75" s="23"/>
      <c r="I75" s="159"/>
      <c r="J75" s="160"/>
      <c r="K75" s="160"/>
      <c r="L75" s="70"/>
    </row>
    <row r="76" spans="1:12" s="2" customFormat="1" x14ac:dyDescent="0.2">
      <c r="A76" s="89" t="s">
        <v>2169</v>
      </c>
      <c r="B76" s="128" t="s">
        <v>11</v>
      </c>
      <c r="C76" s="181" t="s">
        <v>387</v>
      </c>
      <c r="D76" s="11" t="s">
        <v>29</v>
      </c>
      <c r="E76" s="86"/>
      <c r="F76" s="2">
        <v>41738</v>
      </c>
      <c r="G76" s="23"/>
      <c r="H76" s="23"/>
      <c r="I76" s="159"/>
      <c r="J76" s="160"/>
      <c r="K76" s="160"/>
      <c r="L76" s="70"/>
    </row>
    <row r="77" spans="1:12" s="2" customFormat="1" x14ac:dyDescent="0.2">
      <c r="A77" s="89" t="s">
        <v>2169</v>
      </c>
      <c r="B77" s="128" t="s">
        <v>11</v>
      </c>
      <c r="C77" s="181" t="s">
        <v>789</v>
      </c>
      <c r="D77" s="11" t="s">
        <v>29</v>
      </c>
      <c r="E77" s="86"/>
      <c r="F77" s="2">
        <v>683000</v>
      </c>
      <c r="G77" s="23"/>
      <c r="H77" s="23"/>
      <c r="I77" s="159"/>
      <c r="J77" s="160"/>
      <c r="K77" s="160"/>
      <c r="L77" s="70"/>
    </row>
    <row r="78" spans="1:12" s="2" customFormat="1" x14ac:dyDescent="0.2">
      <c r="A78" s="89" t="s">
        <v>2169</v>
      </c>
      <c r="B78" s="128" t="s">
        <v>11</v>
      </c>
      <c r="C78" s="181" t="s">
        <v>502</v>
      </c>
      <c r="D78" s="11" t="s">
        <v>29</v>
      </c>
      <c r="E78" s="86"/>
      <c r="F78" s="2">
        <v>766502</v>
      </c>
      <c r="G78" s="23"/>
      <c r="H78" s="23"/>
      <c r="I78" s="159"/>
      <c r="J78" s="160"/>
      <c r="K78" s="160"/>
      <c r="L78" s="70"/>
    </row>
    <row r="79" spans="1:12" s="2" customFormat="1" x14ac:dyDescent="0.2">
      <c r="A79" s="89" t="s">
        <v>2169</v>
      </c>
      <c r="B79" s="128" t="s">
        <v>11</v>
      </c>
      <c r="C79" s="181" t="s">
        <v>242</v>
      </c>
      <c r="D79" s="11" t="s">
        <v>29</v>
      </c>
      <c r="E79" s="86"/>
      <c r="F79" s="2">
        <v>255000</v>
      </c>
      <c r="G79" s="23"/>
      <c r="H79" s="23"/>
      <c r="I79" s="159"/>
      <c r="J79" s="160"/>
      <c r="K79" s="160"/>
      <c r="L79" s="70"/>
    </row>
    <row r="80" spans="1:12" s="2" customFormat="1" x14ac:dyDescent="0.2">
      <c r="A80" s="89" t="s">
        <v>2169</v>
      </c>
      <c r="B80" s="128" t="s">
        <v>11</v>
      </c>
      <c r="C80" s="181" t="s">
        <v>57</v>
      </c>
      <c r="D80" s="11" t="s">
        <v>29</v>
      </c>
      <c r="E80" s="86"/>
      <c r="F80" s="2">
        <v>2500000</v>
      </c>
      <c r="G80" s="23"/>
      <c r="H80" s="23"/>
      <c r="I80" s="159"/>
      <c r="J80" s="160"/>
      <c r="K80" s="160"/>
      <c r="L80" s="70"/>
    </row>
    <row r="81" spans="1:16" s="2" customFormat="1" x14ac:dyDescent="0.2">
      <c r="A81" s="89" t="s">
        <v>2169</v>
      </c>
      <c r="B81" s="128" t="s">
        <v>11</v>
      </c>
      <c r="C81" s="181" t="s">
        <v>1979</v>
      </c>
      <c r="D81" s="11" t="s">
        <v>29</v>
      </c>
      <c r="E81" s="86"/>
      <c r="F81" s="2">
        <v>69516.86</v>
      </c>
      <c r="G81" s="23"/>
      <c r="H81" s="23"/>
      <c r="I81" s="159"/>
      <c r="J81" s="160"/>
      <c r="K81" s="160"/>
      <c r="L81" s="70"/>
    </row>
    <row r="82" spans="1:16" s="70" customFormat="1" x14ac:dyDescent="0.2">
      <c r="A82" s="32"/>
      <c r="B82" s="33"/>
      <c r="C82" s="14"/>
      <c r="D82" s="34"/>
      <c r="E82" s="16">
        <f>SUM(E44:E81)</f>
        <v>15556272.75</v>
      </c>
      <c r="F82" s="16">
        <f>SUM(F44:F81)</f>
        <v>267473335.54999989</v>
      </c>
      <c r="G82" s="1"/>
      <c r="H82" s="1"/>
      <c r="I82" s="1"/>
      <c r="J82" s="38">
        <v>251917062.80000001</v>
      </c>
      <c r="K82" s="2"/>
      <c r="L82" s="92">
        <f>E83-J82</f>
        <v>0</v>
      </c>
      <c r="M82" s="2"/>
      <c r="N82" s="2"/>
      <c r="O82" s="2"/>
      <c r="P82" s="2"/>
    </row>
    <row r="83" spans="1:16" s="70" customFormat="1" x14ac:dyDescent="0.2">
      <c r="A83" s="36"/>
      <c r="B83" s="28" t="s">
        <v>11</v>
      </c>
      <c r="C83" s="19" t="s">
        <v>65</v>
      </c>
      <c r="D83" s="37"/>
      <c r="E83" s="38">
        <f>F82-E82</f>
        <v>251917062.79999989</v>
      </c>
      <c r="F83" s="22"/>
      <c r="G83" s="1"/>
      <c r="H83" s="1"/>
      <c r="I83" s="1"/>
      <c r="M83" s="2"/>
      <c r="N83" s="2"/>
      <c r="O83" s="1"/>
      <c r="P83" s="2"/>
    </row>
    <row r="84" spans="1:16" s="70" customFormat="1" x14ac:dyDescent="0.2">
      <c r="A84" s="36"/>
      <c r="B84" s="28" t="s">
        <v>66</v>
      </c>
      <c r="C84" s="19" t="s">
        <v>67</v>
      </c>
      <c r="D84" s="37"/>
      <c r="E84" s="38">
        <v>11500000</v>
      </c>
      <c r="F84" s="22"/>
      <c r="G84" s="1"/>
      <c r="H84" s="1"/>
      <c r="M84" s="2"/>
      <c r="N84" s="2"/>
      <c r="O84" s="1"/>
      <c r="P84" s="2"/>
    </row>
    <row r="85" spans="1:16" s="70" customFormat="1" x14ac:dyDescent="0.2">
      <c r="A85" s="36"/>
      <c r="B85" s="28" t="s">
        <v>66</v>
      </c>
      <c r="C85" s="43" t="s">
        <v>1457</v>
      </c>
      <c r="D85" s="43"/>
      <c r="E85" s="12">
        <f>400000000-175000000</f>
        <v>225000000</v>
      </c>
      <c r="F85" s="22"/>
      <c r="G85" s="1"/>
      <c r="H85" s="1"/>
      <c r="J85" s="45">
        <v>341.66</v>
      </c>
      <c r="K85" s="46"/>
      <c r="L85" s="46"/>
      <c r="M85" s="2"/>
      <c r="N85" s="2"/>
      <c r="O85" s="1"/>
      <c r="P85" s="2"/>
    </row>
    <row r="86" spans="1:16" s="70" customFormat="1" ht="15" x14ac:dyDescent="0.25">
      <c r="A86" s="36"/>
      <c r="B86" s="28"/>
      <c r="C86" s="44" t="s">
        <v>1541</v>
      </c>
      <c r="D86" s="43"/>
      <c r="E86" s="7">
        <f>+E85+E83+E84</f>
        <v>488417062.79999989</v>
      </c>
      <c r="F86" s="22"/>
      <c r="G86" s="1"/>
      <c r="H86" s="1"/>
      <c r="I86" s="103" t="s">
        <v>69</v>
      </c>
      <c r="J86" s="45">
        <v>-30.81</v>
      </c>
      <c r="K86" s="46"/>
      <c r="L86" s="46"/>
      <c r="M86" s="2"/>
      <c r="N86" s="2"/>
      <c r="O86" s="1"/>
      <c r="P86" s="2"/>
    </row>
    <row r="87" spans="1:16" s="70" customFormat="1" ht="15" x14ac:dyDescent="0.25">
      <c r="A87" s="24"/>
      <c r="B87" s="1"/>
      <c r="C87" s="44" t="s">
        <v>1510</v>
      </c>
      <c r="D87" s="25"/>
      <c r="E87" s="156">
        <f>+J43-E84+I39-J39</f>
        <v>11582937.199999988</v>
      </c>
      <c r="F87" s="2"/>
      <c r="G87" s="1"/>
      <c r="H87" s="1"/>
      <c r="I87" s="35">
        <v>1</v>
      </c>
      <c r="J87" s="45">
        <v>29.38</v>
      </c>
      <c r="K87" s="46">
        <f>+J88-D90</f>
        <v>0</v>
      </c>
      <c r="L87" s="2"/>
      <c r="M87" s="2"/>
      <c r="N87" s="2"/>
      <c r="O87" s="1"/>
      <c r="P87" s="2"/>
    </row>
    <row r="88" spans="1:16" s="70" customFormat="1" ht="12.75" customHeight="1" x14ac:dyDescent="0.2">
      <c r="A88" s="24"/>
      <c r="B88" s="1"/>
      <c r="C88" s="56"/>
      <c r="D88" s="56"/>
      <c r="E88" s="104"/>
      <c r="F88" s="2"/>
      <c r="G88" s="166"/>
      <c r="H88" s="166"/>
      <c r="J88" s="49">
        <f>SUM(J85:J87)</f>
        <v>340.23</v>
      </c>
      <c r="K88" s="46"/>
      <c r="L88" s="46"/>
      <c r="M88" s="124"/>
      <c r="N88" s="124"/>
      <c r="O88" s="1"/>
      <c r="P88" s="2"/>
    </row>
    <row r="89" spans="1:16" s="70" customFormat="1" ht="12.75" customHeight="1" x14ac:dyDescent="0.2">
      <c r="A89" s="24"/>
      <c r="B89" s="1"/>
      <c r="C89" s="78" t="s">
        <v>575</v>
      </c>
      <c r="D89" s="48" t="s">
        <v>576</v>
      </c>
      <c r="E89" s="104"/>
      <c r="F89" s="2"/>
      <c r="G89" s="168"/>
      <c r="H89" s="168"/>
      <c r="I89" s="167"/>
      <c r="J89" s="167"/>
      <c r="K89" s="168"/>
      <c r="L89" s="124"/>
      <c r="M89" s="124"/>
      <c r="N89" s="124"/>
      <c r="O89" s="124"/>
      <c r="P89" s="2"/>
    </row>
    <row r="90" spans="1:16" s="70" customFormat="1" ht="12.75" customHeight="1" x14ac:dyDescent="0.2">
      <c r="A90" s="24"/>
      <c r="B90" s="1"/>
      <c r="C90" s="47" t="s">
        <v>570</v>
      </c>
      <c r="D90" s="111">
        <v>340.23</v>
      </c>
      <c r="E90" s="104"/>
      <c r="F90" s="2"/>
      <c r="G90" s="168"/>
      <c r="H90" s="168"/>
      <c r="I90" s="110" t="s">
        <v>581</v>
      </c>
      <c r="J90" s="167"/>
      <c r="K90" s="168"/>
      <c r="L90" s="124"/>
      <c r="M90" s="124"/>
      <c r="N90" s="124"/>
      <c r="O90" s="124"/>
      <c r="P90" s="124"/>
    </row>
    <row r="91" spans="1:16" s="70" customFormat="1" ht="12.75" customHeight="1" x14ac:dyDescent="0.2">
      <c r="A91" s="24"/>
      <c r="B91" s="1"/>
      <c r="C91" s="47" t="s">
        <v>931</v>
      </c>
      <c r="D91" s="111">
        <v>11.82</v>
      </c>
      <c r="E91" s="104"/>
      <c r="F91" s="2"/>
      <c r="G91" s="168"/>
      <c r="H91" s="168"/>
      <c r="I91" s="110" t="s">
        <v>580</v>
      </c>
      <c r="J91" s="167"/>
      <c r="K91" s="168"/>
      <c r="L91" s="124"/>
      <c r="M91" s="124"/>
      <c r="N91" s="124"/>
      <c r="O91" s="124"/>
      <c r="P91" s="124"/>
    </row>
    <row r="92" spans="1:16" s="70" customFormat="1" ht="12.75" customHeight="1" x14ac:dyDescent="0.2">
      <c r="A92" s="24"/>
      <c r="B92" s="1"/>
      <c r="C92" s="47" t="s">
        <v>572</v>
      </c>
      <c r="D92" s="111">
        <f>+D109/100000</f>
        <v>21.431439999999998</v>
      </c>
      <c r="E92" s="104"/>
      <c r="F92" s="2"/>
      <c r="G92" s="166"/>
      <c r="H92" s="166"/>
      <c r="I92" s="90" t="s">
        <v>587</v>
      </c>
      <c r="J92" s="167"/>
      <c r="K92" s="168"/>
      <c r="L92" s="124"/>
      <c r="M92" s="124"/>
      <c r="N92" s="124"/>
      <c r="O92" s="124"/>
      <c r="P92" s="124"/>
    </row>
    <row r="93" spans="1:16" s="70" customFormat="1" ht="12.75" customHeight="1" x14ac:dyDescent="0.2">
      <c r="A93" s="24"/>
      <c r="B93" s="1"/>
      <c r="C93" s="108" t="s">
        <v>578</v>
      </c>
      <c r="D93" s="48">
        <f>SUM(D90:D92)</f>
        <v>373.48144000000002</v>
      </c>
      <c r="E93" s="104"/>
      <c r="F93" s="2"/>
      <c r="G93" s="30"/>
      <c r="H93" s="30"/>
      <c r="I93" s="2"/>
      <c r="J93" s="13"/>
      <c r="K93" s="13"/>
      <c r="L93" s="2"/>
      <c r="M93" s="2"/>
      <c r="N93" s="2"/>
      <c r="O93" s="124"/>
      <c r="P93" s="124"/>
    </row>
    <row r="94" spans="1:16" s="70" customFormat="1" ht="12.75" customHeight="1" x14ac:dyDescent="0.2">
      <c r="A94" s="24"/>
      <c r="B94" s="1"/>
      <c r="C94" s="47"/>
      <c r="D94" s="107"/>
      <c r="E94" s="104"/>
      <c r="F94" s="2"/>
      <c r="G94" s="30"/>
      <c r="H94" s="30"/>
      <c r="I94" s="2"/>
      <c r="O94" s="2"/>
      <c r="P94" s="124"/>
    </row>
    <row r="95" spans="1:16" s="70" customFormat="1" ht="12.75" customHeight="1" x14ac:dyDescent="0.2">
      <c r="A95" s="24"/>
      <c r="B95" s="1"/>
      <c r="C95" s="47" t="s">
        <v>932</v>
      </c>
      <c r="D95" s="111">
        <v>0</v>
      </c>
      <c r="E95" s="104"/>
      <c r="F95" s="2"/>
      <c r="G95" s="30"/>
      <c r="H95" s="30"/>
      <c r="I95" s="110" t="s">
        <v>581</v>
      </c>
      <c r="P95" s="2"/>
    </row>
    <row r="96" spans="1:16" s="70" customFormat="1" ht="12.75" customHeight="1" x14ac:dyDescent="0.2">
      <c r="A96" s="24"/>
      <c r="B96" s="1"/>
      <c r="C96" s="136" t="s">
        <v>1142</v>
      </c>
      <c r="D96" s="111">
        <v>12.49</v>
      </c>
      <c r="E96" s="104"/>
      <c r="F96" s="2"/>
      <c r="G96" s="30"/>
      <c r="H96" s="30"/>
      <c r="I96" s="110" t="s">
        <v>581</v>
      </c>
    </row>
    <row r="97" spans="1:19" s="70" customFormat="1" ht="12.75" customHeight="1" x14ac:dyDescent="0.2">
      <c r="A97" s="24"/>
      <c r="B97" s="1"/>
      <c r="C97" s="78" t="s">
        <v>579</v>
      </c>
      <c r="D97" s="109">
        <f>D95+D96</f>
        <v>12.49</v>
      </c>
      <c r="E97" s="104"/>
      <c r="F97" s="2"/>
      <c r="G97" s="30"/>
      <c r="H97" s="30"/>
      <c r="Q97" s="2"/>
      <c r="R97" s="2"/>
      <c r="S97" s="2"/>
    </row>
    <row r="98" spans="1:19" s="2" customFormat="1" x14ac:dyDescent="0.2">
      <c r="A98" s="24"/>
      <c r="B98" s="1"/>
      <c r="C98" s="105"/>
      <c r="D98" s="106"/>
      <c r="E98" s="104"/>
      <c r="G98" s="30"/>
      <c r="H98" s="30"/>
      <c r="I98" s="70"/>
      <c r="K98" s="221" t="str">
        <f>"FROM ( 01-03-2024 to "&amp;TEXT(A5,"dd-mm-yyyy")&amp;" )"</f>
        <v>FROM ( 01-03-2024 to 04-03-2024 )</v>
      </c>
      <c r="L98" s="221"/>
      <c r="O98" s="70"/>
      <c r="P98" s="70"/>
    </row>
    <row r="99" spans="1:19" s="2" customFormat="1" x14ac:dyDescent="0.2">
      <c r="A99" s="24"/>
      <c r="B99" s="1"/>
      <c r="C99" s="78" t="s">
        <v>577</v>
      </c>
      <c r="D99" s="109">
        <f>D90+D97</f>
        <v>352.72</v>
      </c>
      <c r="E99" s="104"/>
      <c r="G99" s="30"/>
      <c r="H99" s="30"/>
      <c r="I99" s="70"/>
      <c r="J99" s="113"/>
      <c r="K99" s="113" t="s">
        <v>709</v>
      </c>
      <c r="L99" s="113" t="s">
        <v>710</v>
      </c>
      <c r="M99" s="113" t="s">
        <v>711</v>
      </c>
      <c r="N99" s="113" t="s">
        <v>712</v>
      </c>
      <c r="O99" s="70"/>
      <c r="P99" s="70"/>
    </row>
    <row r="100" spans="1:19" s="2" customFormat="1" x14ac:dyDescent="0.2">
      <c r="A100" s="24"/>
      <c r="B100" s="1"/>
      <c r="C100" s="56"/>
      <c r="D100" s="56"/>
      <c r="E100" s="104"/>
      <c r="G100" s="30"/>
      <c r="H100" s="30"/>
      <c r="I100" s="70"/>
      <c r="J100" s="113" t="s">
        <v>1860</v>
      </c>
      <c r="K100" s="115">
        <v>195.8</v>
      </c>
      <c r="L100" s="115">
        <v>0</v>
      </c>
      <c r="M100" s="115">
        <v>0</v>
      </c>
      <c r="N100" s="113">
        <f>+K100+M100-L100</f>
        <v>195.8</v>
      </c>
      <c r="O100" s="70"/>
      <c r="P100" s="70"/>
    </row>
    <row r="101" spans="1:19" s="2" customFormat="1" ht="38.25" x14ac:dyDescent="0.2">
      <c r="A101" s="24"/>
      <c r="B101" s="1"/>
      <c r="C101" s="79" t="str">
        <f>"Particulars ( 01-03-2024 to "&amp;TEXT(A5,"dd-mm-yyyy")&amp;" )"</f>
        <v>Particulars ( 01-03-2024 to 04-03-2024 )</v>
      </c>
      <c r="D101" s="79" t="s">
        <v>7</v>
      </c>
      <c r="E101" s="80" t="s">
        <v>73</v>
      </c>
      <c r="F101" s="80" t="s">
        <v>74</v>
      </c>
      <c r="G101" s="81" t="s">
        <v>75</v>
      </c>
      <c r="H101" s="80" t="s">
        <v>76</v>
      </c>
      <c r="I101" s="70"/>
      <c r="J101" s="113" t="s">
        <v>1861</v>
      </c>
      <c r="K101" s="115">
        <v>1883.69</v>
      </c>
      <c r="L101" s="115">
        <v>36.369999999999997</v>
      </c>
      <c r="M101" s="115">
        <v>12.49</v>
      </c>
      <c r="N101" s="113">
        <f>+K101+M101-L101</f>
        <v>1859.8100000000002</v>
      </c>
      <c r="O101" s="70"/>
      <c r="P101" s="70"/>
    </row>
    <row r="102" spans="1:19" s="2" customFormat="1" x14ac:dyDescent="0.2">
      <c r="A102" s="24"/>
      <c r="B102" s="1"/>
      <c r="C102" s="50" t="s">
        <v>444</v>
      </c>
      <c r="D102" s="55">
        <f>+K102</f>
        <v>477.01</v>
      </c>
      <c r="E102" s="55">
        <f>+IF(M102=0,0,M102)</f>
        <v>0</v>
      </c>
      <c r="F102" s="55">
        <f>+L102</f>
        <v>11.82</v>
      </c>
      <c r="G102" s="55">
        <f>+D102+E102-F102</f>
        <v>465.19</v>
      </c>
      <c r="H102" s="55">
        <f>1500-G102</f>
        <v>1034.81</v>
      </c>
      <c r="I102" s="70">
        <f>+IF(M102=0,0,M102)</f>
        <v>0</v>
      </c>
      <c r="J102" s="113" t="s">
        <v>707</v>
      </c>
      <c r="K102" s="115">
        <v>477.01</v>
      </c>
      <c r="L102" s="115">
        <v>11.82</v>
      </c>
      <c r="M102" s="115">
        <v>0</v>
      </c>
      <c r="N102" s="113">
        <f>+K102+M102-L102</f>
        <v>465.19</v>
      </c>
      <c r="O102" s="70"/>
      <c r="P102" s="70"/>
    </row>
    <row r="103" spans="1:19" s="2" customFormat="1" x14ac:dyDescent="0.2">
      <c r="A103" s="24"/>
      <c r="B103" s="1"/>
      <c r="C103" s="50" t="s">
        <v>71</v>
      </c>
      <c r="D103" s="55">
        <f>+K100+K101</f>
        <v>2079.4900000000002</v>
      </c>
      <c r="E103" s="55">
        <f>+M100+M101</f>
        <v>12.49</v>
      </c>
      <c r="F103" s="55">
        <f>+L100+L101</f>
        <v>36.369999999999997</v>
      </c>
      <c r="G103" s="55">
        <f>+D103+E103-F103</f>
        <v>2055.61</v>
      </c>
      <c r="H103" s="55">
        <f>1500+700+200-G103</f>
        <v>344.38999999999987</v>
      </c>
      <c r="I103" s="70"/>
      <c r="K103" s="118">
        <f>SUM(K100:K102)</f>
        <v>2556.5</v>
      </c>
      <c r="L103" s="118">
        <f>SUM(L100:L102)</f>
        <v>48.19</v>
      </c>
      <c r="M103" s="118">
        <f>SUM(M100:M102)</f>
        <v>12.49</v>
      </c>
      <c r="N103" s="118">
        <f>SUM(N100:N102)</f>
        <v>2520.8000000000002</v>
      </c>
      <c r="O103" s="70"/>
      <c r="P103" s="70"/>
    </row>
    <row r="104" spans="1:19" s="2" customFormat="1" x14ac:dyDescent="0.2">
      <c r="A104" s="24"/>
      <c r="B104" s="1"/>
      <c r="C104" s="14"/>
      <c r="D104" s="56"/>
      <c r="E104" s="13"/>
      <c r="G104" s="30"/>
      <c r="H104" s="30"/>
      <c r="I104" s="70"/>
      <c r="J104" s="70"/>
      <c r="K104" s="70"/>
      <c r="L104" s="70"/>
      <c r="M104" s="70"/>
      <c r="N104" s="70"/>
      <c r="O104" s="70"/>
      <c r="P104" s="70"/>
    </row>
    <row r="105" spans="1:19" s="2" customFormat="1" x14ac:dyDescent="0.2">
      <c r="A105" s="215" t="s">
        <v>80</v>
      </c>
      <c r="B105" s="216"/>
      <c r="C105" s="216"/>
      <c r="D105" s="217"/>
      <c r="E105" s="69"/>
      <c r="F105" s="70"/>
      <c r="G105" s="30"/>
      <c r="H105" s="30"/>
      <c r="I105" s="70"/>
      <c r="J105" s="70"/>
      <c r="K105" s="70"/>
      <c r="L105" s="70"/>
      <c r="M105" s="70"/>
      <c r="N105" s="70"/>
      <c r="O105" s="70"/>
      <c r="P105" s="70"/>
    </row>
    <row r="106" spans="1:19" s="2" customFormat="1" x14ac:dyDescent="0.2">
      <c r="A106" s="71" t="s">
        <v>81</v>
      </c>
      <c r="B106" s="71"/>
      <c r="C106" s="72" t="s">
        <v>82</v>
      </c>
      <c r="D106" s="73" t="s">
        <v>83</v>
      </c>
      <c r="E106" s="69"/>
      <c r="F106" s="70"/>
      <c r="G106" s="30"/>
      <c r="H106" s="30"/>
      <c r="I106" s="70"/>
      <c r="J106" s="70"/>
      <c r="K106" s="70"/>
      <c r="L106" s="70"/>
      <c r="M106" s="70"/>
      <c r="N106" s="70"/>
      <c r="O106" s="70"/>
      <c r="P106" s="70"/>
    </row>
    <row r="107" spans="1:19" s="2" customFormat="1" x14ac:dyDescent="0.2">
      <c r="A107" s="87">
        <v>45352</v>
      </c>
      <c r="B107" s="120" t="s">
        <v>6</v>
      </c>
      <c r="C107" s="75" t="s">
        <v>2165</v>
      </c>
      <c r="D107" s="88">
        <v>2143144</v>
      </c>
      <c r="G107" s="30"/>
      <c r="H107" s="30"/>
      <c r="P107" s="70"/>
    </row>
    <row r="108" spans="1:19" s="2" customFormat="1" x14ac:dyDescent="0.2">
      <c r="A108" s="87">
        <v>45352</v>
      </c>
      <c r="B108" s="120" t="s">
        <v>6</v>
      </c>
      <c r="C108" s="75" t="s">
        <v>2171</v>
      </c>
      <c r="D108" s="88">
        <v>1493463</v>
      </c>
      <c r="G108" s="30"/>
      <c r="H108" s="30"/>
      <c r="P108" s="70"/>
    </row>
    <row r="109" spans="1:19" s="2" customFormat="1" x14ac:dyDescent="0.2">
      <c r="A109" s="87"/>
      <c r="B109" s="74"/>
      <c r="C109" s="183" t="s">
        <v>2141</v>
      </c>
      <c r="D109" s="51">
        <f>SUM(D107:D107)</f>
        <v>2143144</v>
      </c>
      <c r="F109" s="2" t="s">
        <v>396</v>
      </c>
      <c r="G109" s="1"/>
      <c r="H109" s="1"/>
      <c r="P109" s="70"/>
    </row>
    <row r="110" spans="1:19" s="2" customFormat="1" x14ac:dyDescent="0.2">
      <c r="A110" s="24"/>
      <c r="B110" s="1"/>
      <c r="C110" s="14"/>
      <c r="D110" s="56"/>
      <c r="E110" s="13"/>
      <c r="G110" s="1"/>
      <c r="H110" s="1"/>
      <c r="I110" s="2" t="s">
        <v>396</v>
      </c>
    </row>
    <row r="111" spans="1:19" s="2" customFormat="1" x14ac:dyDescent="0.2">
      <c r="A111" s="24"/>
      <c r="B111" s="1"/>
      <c r="C111" s="218" t="s">
        <v>77</v>
      </c>
      <c r="D111" s="219"/>
      <c r="E111" s="219"/>
      <c r="F111" s="220"/>
      <c r="I111" s="2" t="s">
        <v>396</v>
      </c>
    </row>
    <row r="112" spans="1:19" s="2" customFormat="1" x14ac:dyDescent="0.2">
      <c r="A112" s="24"/>
      <c r="B112" s="1"/>
      <c r="C112" s="50"/>
      <c r="D112" s="57" t="s">
        <v>78</v>
      </c>
      <c r="E112" s="58" t="s">
        <v>79</v>
      </c>
      <c r="F112" s="57" t="s">
        <v>72</v>
      </c>
    </row>
    <row r="113" spans="1:14" s="2" customFormat="1" x14ac:dyDescent="0.2">
      <c r="A113" s="24"/>
      <c r="B113" s="1"/>
      <c r="C113" s="59" t="str">
        <f>"01-03-2024 to "&amp;TEXT(A5-2,"dd-mm-yyyy")</f>
        <v>01-03-2024 to 02-03-2024</v>
      </c>
      <c r="D113" s="60">
        <v>393.25</v>
      </c>
      <c r="E113" s="60">
        <v>49.36</v>
      </c>
      <c r="F113" s="61">
        <f>SUM(D113:E113)</f>
        <v>442.61</v>
      </c>
      <c r="I113" s="53"/>
    </row>
    <row r="114" spans="1:14" s="2" customFormat="1" x14ac:dyDescent="0.2">
      <c r="A114" s="24"/>
      <c r="B114" s="1"/>
      <c r="C114" s="62" t="str">
        <f>TEXT(A5-1,"dd-mm-yyyy")</f>
        <v>03-03-2024</v>
      </c>
      <c r="D114" s="60">
        <v>100.65</v>
      </c>
      <c r="E114" s="60">
        <v>1.1399999999999999</v>
      </c>
      <c r="F114" s="61">
        <f>SUM(D114:E114)</f>
        <v>101.79</v>
      </c>
      <c r="G114" s="1"/>
      <c r="H114" s="1"/>
      <c r="I114" s="53"/>
    </row>
    <row r="115" spans="1:14" s="2" customFormat="1" ht="13.5" thickBot="1" x14ac:dyDescent="0.25">
      <c r="A115" s="24"/>
      <c r="B115" s="1"/>
      <c r="C115" s="63" t="str">
        <f>"01-02-2024 to "&amp;TEXT(A5-1,"dd-mm-yyyy")</f>
        <v>01-02-2024 to 03-03-2024</v>
      </c>
      <c r="D115" s="64">
        <f>SUM(D113:D114)</f>
        <v>493.9</v>
      </c>
      <c r="E115" s="64">
        <f>SUM(E113:E114)</f>
        <v>50.5</v>
      </c>
      <c r="F115" s="64">
        <f>SUM(F113:F114)</f>
        <v>544.4</v>
      </c>
      <c r="G115" s="1"/>
      <c r="H115" s="1"/>
      <c r="M115" s="1"/>
      <c r="N115" s="1"/>
    </row>
    <row r="116" spans="1:14" s="2" customFormat="1" ht="13.5" thickTop="1" x14ac:dyDescent="0.2">
      <c r="A116" s="24"/>
      <c r="B116" s="1"/>
      <c r="C116" s="62"/>
      <c r="D116" s="65"/>
      <c r="E116" s="66"/>
      <c r="F116" s="67"/>
      <c r="M116" s="1"/>
      <c r="N116" s="1"/>
    </row>
    <row r="117" spans="1:14" s="2" customFormat="1" x14ac:dyDescent="0.2">
      <c r="A117" s="24"/>
      <c r="B117" s="1"/>
      <c r="C117" s="62" t="str">
        <f>"01-04-2023 to " &amp;C114</f>
        <v>01-04-2023 to 03-03-2024</v>
      </c>
      <c r="D117" s="68">
        <f>+D115+41133.88</f>
        <v>41627.78</v>
      </c>
      <c r="E117" s="68">
        <f>+E115+5178.87</f>
        <v>5229.37</v>
      </c>
      <c r="F117" s="68">
        <f>+F115+46312.75</f>
        <v>46857.15</v>
      </c>
      <c r="G117" s="1"/>
      <c r="H117" s="1"/>
      <c r="M117" s="1"/>
      <c r="N117" s="1"/>
    </row>
    <row r="118" spans="1:14" s="2" customFormat="1" x14ac:dyDescent="0.2">
      <c r="A118" s="24"/>
      <c r="B118" s="1"/>
      <c r="C118" s="52"/>
      <c r="D118" s="85"/>
      <c r="E118" s="53"/>
      <c r="F118" s="53"/>
      <c r="G118" s="1"/>
      <c r="H118" s="1"/>
      <c r="M118" s="1"/>
      <c r="N118" s="1"/>
    </row>
    <row r="119" spans="1:14" s="2" customFormat="1" x14ac:dyDescent="0.2">
      <c r="A119" s="24"/>
      <c r="B119" s="1"/>
      <c r="C119" s="52"/>
      <c r="D119" s="85"/>
      <c r="E119" s="53"/>
      <c r="F119" s="53"/>
      <c r="G119" s="1"/>
      <c r="H119" s="1"/>
      <c r="M119" s="1"/>
      <c r="N119" s="1"/>
    </row>
    <row r="120" spans="1:14" s="2" customFormat="1" x14ac:dyDescent="0.2">
      <c r="A120" s="24"/>
      <c r="B120" s="1"/>
      <c r="C120" s="52"/>
      <c r="D120" s="85"/>
      <c r="E120" s="53"/>
      <c r="F120" s="53"/>
      <c r="G120" s="1"/>
      <c r="H120" s="1"/>
      <c r="M120" s="1"/>
      <c r="N120" s="1"/>
    </row>
    <row r="121" spans="1:14" s="2" customFormat="1" x14ac:dyDescent="0.2">
      <c r="A121" s="24"/>
      <c r="B121" s="1"/>
      <c r="C121" s="52"/>
      <c r="D121" s="85"/>
      <c r="E121" s="53"/>
      <c r="F121" s="53"/>
      <c r="G121" s="1"/>
      <c r="H121" s="1"/>
      <c r="M121" s="1"/>
      <c r="N121" s="1"/>
    </row>
    <row r="122" spans="1:14" s="2" customFormat="1" x14ac:dyDescent="0.2">
      <c r="A122" s="24"/>
      <c r="B122" s="1"/>
      <c r="C122" s="14"/>
      <c r="D122" s="25">
        <f>SUM(D119:D121)</f>
        <v>0</v>
      </c>
      <c r="E122" s="2">
        <f>SUM(E119:E121)</f>
        <v>0</v>
      </c>
      <c r="G122" s="1"/>
      <c r="H122" s="1"/>
      <c r="M122" s="1"/>
      <c r="N122" s="1"/>
    </row>
    <row r="123" spans="1:14" s="2" customFormat="1" x14ac:dyDescent="0.2">
      <c r="A123" s="24"/>
      <c r="B123" s="1"/>
      <c r="C123" s="14"/>
      <c r="D123" s="25"/>
      <c r="G123" s="1"/>
      <c r="H123" s="1"/>
      <c r="M123" s="1"/>
      <c r="N123" s="1"/>
    </row>
    <row r="124" spans="1:14" s="2" customFormat="1" x14ac:dyDescent="0.2">
      <c r="A124" s="24"/>
      <c r="B124" s="1"/>
      <c r="C124" s="14"/>
      <c r="D124" s="25"/>
      <c r="G124" s="1"/>
      <c r="H124" s="1"/>
      <c r="M124" s="1"/>
      <c r="N124" s="1"/>
    </row>
    <row r="125" spans="1:14" s="2" customFormat="1" x14ac:dyDescent="0.2">
      <c r="A125" s="24"/>
      <c r="B125" s="1"/>
      <c r="C125" s="14"/>
      <c r="D125" s="25"/>
      <c r="G125" s="1"/>
      <c r="H125" s="1"/>
      <c r="M125" s="1"/>
      <c r="N125" s="1"/>
    </row>
    <row r="126" spans="1:14" s="2" customFormat="1" x14ac:dyDescent="0.2">
      <c r="A126" s="24"/>
      <c r="B126" s="1"/>
      <c r="C126" s="14"/>
      <c r="D126" s="25"/>
      <c r="G126" s="1"/>
      <c r="H126" s="1"/>
      <c r="M126" s="1"/>
      <c r="N126" s="1"/>
    </row>
    <row r="127" spans="1:14" s="2" customFormat="1" x14ac:dyDescent="0.2">
      <c r="A127" s="24"/>
      <c r="B127" s="1"/>
      <c r="C127" s="14"/>
      <c r="D127" s="25"/>
      <c r="G127" s="1"/>
      <c r="H127" s="1"/>
      <c r="M127" s="1"/>
      <c r="N127" s="1"/>
    </row>
    <row r="128" spans="1:14" s="2" customFormat="1" x14ac:dyDescent="0.2">
      <c r="A128" s="24"/>
      <c r="B128" s="1"/>
      <c r="C128" s="14"/>
      <c r="D128" s="25"/>
      <c r="G128" s="1"/>
      <c r="H128" s="1"/>
      <c r="M128" s="1"/>
      <c r="N128" s="1"/>
    </row>
    <row r="129" spans="1:19" s="2" customFormat="1" x14ac:dyDescent="0.2">
      <c r="A129" s="24"/>
      <c r="B129" s="1"/>
      <c r="C129" s="14"/>
      <c r="D129" s="25"/>
      <c r="G129" s="1"/>
      <c r="H129" s="1"/>
      <c r="M129" s="1"/>
      <c r="N129" s="1"/>
      <c r="Q129" s="1"/>
      <c r="R129" s="1"/>
      <c r="S129" s="1"/>
    </row>
    <row r="130" spans="1:19" x14ac:dyDescent="0.2">
      <c r="J130" s="2"/>
      <c r="K130" s="2"/>
      <c r="L130" s="2"/>
      <c r="O130" s="2"/>
      <c r="P130" s="2"/>
      <c r="Q130" s="2"/>
      <c r="R130" s="2"/>
      <c r="S130" s="2"/>
    </row>
    <row r="131" spans="1:19" s="2" customFormat="1" x14ac:dyDescent="0.2">
      <c r="A131" s="24"/>
      <c r="B131" s="1"/>
      <c r="C131" s="14"/>
      <c r="D131" s="25"/>
      <c r="G131" s="1"/>
      <c r="H131" s="1"/>
      <c r="M131" s="1"/>
      <c r="N131" s="1"/>
      <c r="Q131" s="1"/>
      <c r="R131" s="1"/>
      <c r="S131" s="1"/>
    </row>
    <row r="132" spans="1:19" x14ac:dyDescent="0.2">
      <c r="J132" s="2"/>
      <c r="K132" s="2"/>
      <c r="L132" s="2"/>
      <c r="O132" s="2"/>
      <c r="P132" s="2"/>
    </row>
    <row r="133" spans="1:19" x14ac:dyDescent="0.2">
      <c r="J133" s="2"/>
      <c r="K133" s="2"/>
      <c r="L133" s="2"/>
      <c r="O133" s="2"/>
      <c r="P133" s="2"/>
    </row>
    <row r="134" spans="1:19" x14ac:dyDescent="0.2">
      <c r="J134" s="2"/>
      <c r="K134" s="2"/>
      <c r="L134" s="2"/>
      <c r="O134" s="2"/>
      <c r="P134" s="2"/>
    </row>
    <row r="135" spans="1:19" x14ac:dyDescent="0.2">
      <c r="J135" s="2"/>
      <c r="K135" s="2"/>
      <c r="L135" s="2"/>
      <c r="O135" s="2"/>
      <c r="P135" s="2"/>
    </row>
    <row r="136" spans="1:19" x14ac:dyDescent="0.2">
      <c r="O136" s="2"/>
      <c r="P136" s="2"/>
    </row>
    <row r="137" spans="1:19" x14ac:dyDescent="0.2">
      <c r="J137" s="2"/>
      <c r="K137" s="2"/>
      <c r="L137" s="2"/>
      <c r="M137" s="2"/>
      <c r="N137" s="2"/>
      <c r="O137" s="2"/>
      <c r="P137" s="2"/>
    </row>
    <row r="138" spans="1:19" x14ac:dyDescent="0.2">
      <c r="O138" s="2"/>
      <c r="P138" s="2"/>
    </row>
    <row r="139" spans="1:19" x14ac:dyDescent="0.2">
      <c r="G139" s="54"/>
      <c r="H139" s="54"/>
      <c r="O139" s="2"/>
      <c r="P139" s="2"/>
    </row>
    <row r="140" spans="1:19" x14ac:dyDescent="0.2">
      <c r="G140" s="54"/>
      <c r="H140" s="54"/>
      <c r="O140" s="2"/>
      <c r="P140" s="2"/>
    </row>
    <row r="141" spans="1:19" x14ac:dyDescent="0.2">
      <c r="G141" s="54"/>
      <c r="H141" s="54"/>
      <c r="O141" s="2"/>
      <c r="P141" s="2"/>
    </row>
    <row r="142" spans="1:19" x14ac:dyDescent="0.2">
      <c r="G142" s="54"/>
      <c r="H142" s="54"/>
      <c r="I142" s="2" t="s">
        <v>396</v>
      </c>
      <c r="O142" s="2"/>
      <c r="P142" s="2"/>
    </row>
    <row r="143" spans="1:19" x14ac:dyDescent="0.2">
      <c r="G143" s="54"/>
      <c r="H143" s="54"/>
      <c r="I143" s="53"/>
      <c r="J143" s="2"/>
      <c r="K143" s="2"/>
      <c r="L143" s="2"/>
      <c r="M143" s="2"/>
      <c r="N143" s="2"/>
      <c r="P143" s="2"/>
    </row>
    <row r="144" spans="1:19" x14ac:dyDescent="0.2">
      <c r="G144" s="54"/>
      <c r="H144" s="54"/>
      <c r="I144" s="53" t="s">
        <v>396</v>
      </c>
      <c r="O144" s="2"/>
      <c r="P144" s="2"/>
    </row>
    <row r="145" spans="7:16" x14ac:dyDescent="0.2">
      <c r="G145" s="54"/>
      <c r="H145" s="54"/>
      <c r="I145" s="53" t="s">
        <v>396</v>
      </c>
      <c r="K145" s="42"/>
      <c r="P145" s="2"/>
    </row>
    <row r="146" spans="7:16" x14ac:dyDescent="0.2">
      <c r="G146" s="54"/>
      <c r="H146" s="54"/>
      <c r="I146" s="53"/>
      <c r="J146" s="101"/>
      <c r="P146" s="2"/>
    </row>
    <row r="147" spans="7:16" x14ac:dyDescent="0.2">
      <c r="G147" s="54"/>
      <c r="H147" s="54"/>
      <c r="I147" s="53"/>
    </row>
    <row r="148" spans="7:16" x14ac:dyDescent="0.2">
      <c r="G148" s="54"/>
      <c r="H148" s="54"/>
      <c r="I148" s="53"/>
      <c r="P148" s="2"/>
    </row>
    <row r="149" spans="7:16" x14ac:dyDescent="0.2">
      <c r="G149" s="54"/>
      <c r="H149" s="54"/>
      <c r="I149" s="53"/>
    </row>
  </sheetData>
  <sheetProtection insertRows="0"/>
  <mergeCells count="8">
    <mergeCell ref="K98:L98"/>
    <mergeCell ref="A105:D105"/>
    <mergeCell ref="C111:F111"/>
    <mergeCell ref="A1:H1"/>
    <mergeCell ref="A3:F3"/>
    <mergeCell ref="A9:F9"/>
    <mergeCell ref="A32:F32"/>
    <mergeCell ref="A42:F42"/>
  </mergeCells>
  <conditionalFormatting sqref="H102:H103">
    <cfRule type="cellIs" dxfId="43" priority="1" operator="lessThan">
      <formula>0</formula>
    </cfRule>
  </conditionalFormatting>
  <conditionalFormatting sqref="C44">
    <cfRule type="duplicateValues" dxfId="42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1-000000000000}">
  <sheetPr codeName="Sheet565">
    <pageSetUpPr fitToPage="1"/>
  </sheetPr>
  <dimension ref="A1:S141"/>
  <sheetViews>
    <sheetView topLeftCell="A24" zoomScaleNormal="100" workbookViewId="0">
      <selection activeCell="D109" sqref="D109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12.85546875" style="1" customWidth="1"/>
    <col min="9" max="9" width="24.85546875" style="2" bestFit="1" customWidth="1"/>
    <col min="10" max="10" width="21.5703125" style="1" bestFit="1" customWidth="1"/>
    <col min="11" max="11" width="16.85546875" style="1" bestFit="1" customWidth="1"/>
    <col min="12" max="12" width="19.5703125" style="1" bestFit="1" customWidth="1"/>
    <col min="13" max="13" width="13.5703125" style="1" bestFit="1" customWidth="1"/>
    <col min="14" max="14" width="17.42578125" style="1" bestFit="1" customWidth="1"/>
    <col min="15" max="15" width="12.85546875" style="1" bestFit="1" customWidth="1"/>
    <col min="16" max="17" width="9.140625" style="1"/>
    <col min="18" max="18" width="15.5703125" style="1" bestFit="1" customWidth="1"/>
    <col min="19" max="16384" width="9.140625" style="1"/>
  </cols>
  <sheetData>
    <row r="1" spans="1:11" ht="20.25" customHeight="1" x14ac:dyDescent="0.4">
      <c r="A1" s="212" t="s">
        <v>2172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1" ht="12.75" customHeight="1" x14ac:dyDescent="0.4">
      <c r="I2" s="112"/>
      <c r="J2" s="112"/>
    </row>
    <row r="3" spans="1:11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1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1" s="2" customFormat="1" ht="14.25" customHeight="1" x14ac:dyDescent="0.4">
      <c r="A5" s="89">
        <v>45356</v>
      </c>
      <c r="B5" s="9" t="s">
        <v>6</v>
      </c>
      <c r="C5" s="10" t="s">
        <v>7</v>
      </c>
      <c r="D5" s="11"/>
      <c r="E5" s="12">
        <v>462876.84000000043</v>
      </c>
      <c r="F5" s="12"/>
      <c r="G5" s="1"/>
      <c r="H5" s="1"/>
      <c r="I5" s="112"/>
      <c r="J5" s="112"/>
    </row>
    <row r="6" spans="1:11" s="2" customFormat="1" ht="14.25" customHeight="1" x14ac:dyDescent="0.4">
      <c r="A6" s="89">
        <v>45356</v>
      </c>
      <c r="B6" s="9" t="s">
        <v>6</v>
      </c>
      <c r="C6" s="10" t="s">
        <v>1170</v>
      </c>
      <c r="D6" s="11" t="s">
        <v>13</v>
      </c>
      <c r="E6" s="12">
        <v>4000000</v>
      </c>
      <c r="F6" s="12"/>
      <c r="G6" s="1"/>
      <c r="H6" s="1"/>
      <c r="I6" s="112"/>
      <c r="J6" s="112"/>
    </row>
    <row r="7" spans="1:11" s="2" customFormat="1" ht="12.75" customHeight="1" x14ac:dyDescent="0.2">
      <c r="D7" s="15" t="s">
        <v>8</v>
      </c>
      <c r="E7" s="16">
        <f>SUM(E5:E6)</f>
        <v>4462876.8400000008</v>
      </c>
      <c r="F7" s="16">
        <f>F5</f>
        <v>0</v>
      </c>
      <c r="G7" s="1"/>
      <c r="H7" s="1"/>
      <c r="I7" s="13" t="s">
        <v>1582</v>
      </c>
      <c r="J7" s="13" t="s">
        <v>1583</v>
      </c>
    </row>
    <row r="8" spans="1:11" s="2" customFormat="1" ht="12.75" customHeight="1" x14ac:dyDescent="0.2">
      <c r="A8" s="17"/>
      <c r="B8" s="18"/>
      <c r="C8" s="19" t="s">
        <v>9</v>
      </c>
      <c r="D8" s="20"/>
      <c r="E8" s="21">
        <f>+E7-F7</f>
        <v>4462876.8400000008</v>
      </c>
      <c r="F8" s="22"/>
      <c r="G8" s="23"/>
      <c r="H8" s="23"/>
      <c r="I8" s="2">
        <v>0</v>
      </c>
      <c r="J8" s="2">
        <v>0</v>
      </c>
      <c r="K8" s="176">
        <f>I8-J8</f>
        <v>0</v>
      </c>
    </row>
    <row r="9" spans="1:11" ht="11.25" customHeight="1" x14ac:dyDescent="0.4">
      <c r="I9" s="112"/>
      <c r="J9" s="112"/>
    </row>
    <row r="10" spans="1:11" ht="18" customHeight="1" x14ac:dyDescent="0.4">
      <c r="A10" s="213" t="s">
        <v>2103</v>
      </c>
      <c r="B10" s="213"/>
      <c r="C10" s="213"/>
      <c r="D10" s="213"/>
      <c r="E10" s="213"/>
      <c r="F10" s="213"/>
      <c r="I10" s="112"/>
      <c r="J10" s="112"/>
    </row>
    <row r="11" spans="1:11" ht="12.75" customHeight="1" x14ac:dyDescent="0.4">
      <c r="A11" s="3" t="s">
        <v>1</v>
      </c>
      <c r="B11" s="4" t="s">
        <v>2</v>
      </c>
      <c r="C11" s="5"/>
      <c r="D11" s="6" t="s">
        <v>3</v>
      </c>
      <c r="E11" s="7" t="s">
        <v>4</v>
      </c>
      <c r="F11" s="7" t="s">
        <v>5</v>
      </c>
      <c r="I11" s="112"/>
      <c r="J11" s="112"/>
    </row>
    <row r="12" spans="1:11" ht="12.75" customHeight="1" x14ac:dyDescent="0.4">
      <c r="A12" s="89">
        <v>45356</v>
      </c>
      <c r="B12" s="9" t="s">
        <v>6</v>
      </c>
      <c r="C12" s="10" t="s">
        <v>7</v>
      </c>
      <c r="D12" s="11"/>
      <c r="E12" s="12">
        <v>4578541.7699999986</v>
      </c>
      <c r="F12" s="1"/>
      <c r="I12" s="112"/>
      <c r="J12" s="112"/>
    </row>
    <row r="13" spans="1:11" ht="12.75" customHeight="1" x14ac:dyDescent="0.4">
      <c r="A13" s="89">
        <v>45356</v>
      </c>
      <c r="B13" s="9" t="s">
        <v>11</v>
      </c>
      <c r="C13" s="76" t="s">
        <v>207</v>
      </c>
      <c r="D13" s="11" t="s">
        <v>29</v>
      </c>
      <c r="E13" s="31"/>
      <c r="F13" s="31">
        <v>375436</v>
      </c>
      <c r="I13" s="112"/>
      <c r="J13" s="112"/>
    </row>
    <row r="14" spans="1:11" ht="12.75" customHeight="1" x14ac:dyDescent="0.4">
      <c r="A14" s="89">
        <v>45356</v>
      </c>
      <c r="B14" s="9" t="s">
        <v>11</v>
      </c>
      <c r="C14" s="76" t="s">
        <v>2173</v>
      </c>
      <c r="D14" s="11" t="s">
        <v>29</v>
      </c>
      <c r="E14" s="31"/>
      <c r="F14" s="31">
        <v>294000</v>
      </c>
      <c r="I14" s="112"/>
      <c r="J14" s="112"/>
    </row>
    <row r="15" spans="1:11" ht="12.75" customHeight="1" x14ac:dyDescent="0.4">
      <c r="A15" s="89">
        <v>45356</v>
      </c>
      <c r="B15" s="9" t="s">
        <v>11</v>
      </c>
      <c r="C15" s="76" t="s">
        <v>34</v>
      </c>
      <c r="D15" s="11" t="s">
        <v>29</v>
      </c>
      <c r="E15" s="31"/>
      <c r="F15" s="31">
        <v>45000</v>
      </c>
      <c r="I15" s="112"/>
      <c r="J15" s="112"/>
    </row>
    <row r="16" spans="1:11" ht="12.75" customHeight="1" x14ac:dyDescent="0.4">
      <c r="A16" s="89">
        <v>45356</v>
      </c>
      <c r="B16" s="9" t="s">
        <v>11</v>
      </c>
      <c r="C16" s="76" t="s">
        <v>302</v>
      </c>
      <c r="D16" s="11" t="s">
        <v>29</v>
      </c>
      <c r="E16" s="31"/>
      <c r="F16" s="31">
        <v>15813</v>
      </c>
      <c r="I16" s="112"/>
      <c r="J16" s="112"/>
    </row>
    <row r="17" spans="1:12" ht="12.75" customHeight="1" x14ac:dyDescent="0.4">
      <c r="A17" s="89">
        <v>45356</v>
      </c>
      <c r="B17" s="9" t="s">
        <v>11</v>
      </c>
      <c r="C17" s="76" t="s">
        <v>2174</v>
      </c>
      <c r="D17" s="11" t="s">
        <v>29</v>
      </c>
      <c r="E17" s="31"/>
      <c r="F17" s="31">
        <v>1875000</v>
      </c>
      <c r="I17" s="112"/>
      <c r="J17" s="112"/>
    </row>
    <row r="18" spans="1:12" ht="12.75" customHeight="1" x14ac:dyDescent="0.4">
      <c r="A18" s="89">
        <v>45356</v>
      </c>
      <c r="B18" s="9" t="s">
        <v>11</v>
      </c>
      <c r="C18" s="76" t="s">
        <v>1299</v>
      </c>
      <c r="D18" s="11" t="s">
        <v>29</v>
      </c>
      <c r="E18" s="31"/>
      <c r="F18" s="31">
        <v>259711</v>
      </c>
      <c r="I18" s="112"/>
      <c r="J18" s="112"/>
    </row>
    <row r="19" spans="1:12" ht="12.75" customHeight="1" x14ac:dyDescent="0.4">
      <c r="A19" s="89">
        <v>45356</v>
      </c>
      <c r="B19" s="9" t="s">
        <v>11</v>
      </c>
      <c r="C19" s="76" t="s">
        <v>57</v>
      </c>
      <c r="D19" s="11" t="s">
        <v>29</v>
      </c>
      <c r="E19" s="31"/>
      <c r="F19" s="31">
        <v>500000</v>
      </c>
      <c r="I19" s="112"/>
      <c r="J19" s="112"/>
    </row>
    <row r="20" spans="1:12" ht="12.75" customHeight="1" x14ac:dyDescent="0.4">
      <c r="A20" s="89">
        <v>45356</v>
      </c>
      <c r="B20" s="9" t="s">
        <v>11</v>
      </c>
      <c r="C20" s="76" t="s">
        <v>1315</v>
      </c>
      <c r="D20" s="11" t="s">
        <v>29</v>
      </c>
      <c r="E20" s="31"/>
      <c r="F20" s="31">
        <v>15279</v>
      </c>
      <c r="I20" s="112"/>
      <c r="J20" s="112"/>
    </row>
    <row r="21" spans="1:12" ht="12.75" customHeight="1" x14ac:dyDescent="0.4">
      <c r="A21" s="89">
        <v>45356</v>
      </c>
      <c r="B21" s="9" t="s">
        <v>11</v>
      </c>
      <c r="C21" s="76" t="s">
        <v>1091</v>
      </c>
      <c r="D21" s="11" t="s">
        <v>29</v>
      </c>
      <c r="E21" s="31"/>
      <c r="F21" s="31">
        <v>1298</v>
      </c>
      <c r="I21" s="112"/>
      <c r="J21" s="112"/>
    </row>
    <row r="22" spans="1:12" ht="12.75" customHeight="1" x14ac:dyDescent="0.2">
      <c r="A22" s="2"/>
      <c r="B22" s="2"/>
      <c r="C22" s="2"/>
      <c r="D22" s="11" t="s">
        <v>8</v>
      </c>
      <c r="E22" s="16">
        <f>SUM(E12:E12)</f>
        <v>4578541.7699999986</v>
      </c>
      <c r="F22" s="16">
        <f>SUM(F13:F21)</f>
        <v>3381537</v>
      </c>
      <c r="I22" s="13" t="s">
        <v>1582</v>
      </c>
      <c r="J22" s="13" t="s">
        <v>1583</v>
      </c>
    </row>
    <row r="23" spans="1:12" x14ac:dyDescent="0.2">
      <c r="A23" s="17"/>
      <c r="B23" s="18"/>
      <c r="C23" s="19" t="s">
        <v>9</v>
      </c>
      <c r="D23" s="20"/>
      <c r="E23" s="21">
        <f>+E22-F22</f>
        <v>1197004.7699999986</v>
      </c>
      <c r="I23" s="2">
        <v>0</v>
      </c>
      <c r="J23" s="2">
        <v>0</v>
      </c>
    </row>
    <row r="24" spans="1:12" ht="18" customHeight="1" x14ac:dyDescent="0.25">
      <c r="A24" s="36"/>
      <c r="B24" s="28"/>
      <c r="C24" s="44"/>
      <c r="D24" s="43"/>
      <c r="E24" s="38"/>
      <c r="F24" s="22"/>
      <c r="J24" s="2"/>
    </row>
    <row r="25" spans="1:12" ht="18" customHeight="1" x14ac:dyDescent="0.4">
      <c r="A25" s="213" t="s">
        <v>2104</v>
      </c>
      <c r="B25" s="213"/>
      <c r="C25" s="213"/>
      <c r="D25" s="213"/>
      <c r="E25" s="213"/>
      <c r="F25" s="213"/>
      <c r="I25" s="112"/>
      <c r="J25" s="169">
        <f>90000000-60000000</f>
        <v>30000000</v>
      </c>
      <c r="K25" s="169" t="s">
        <v>1508</v>
      </c>
    </row>
    <row r="26" spans="1:12" ht="12.75" customHeight="1" x14ac:dyDescent="0.4">
      <c r="A26" s="3" t="s">
        <v>1</v>
      </c>
      <c r="B26" s="4" t="s">
        <v>2</v>
      </c>
      <c r="C26" s="5"/>
      <c r="D26" s="6" t="s">
        <v>3</v>
      </c>
      <c r="E26" s="7" t="s">
        <v>4</v>
      </c>
      <c r="F26" s="7" t="s">
        <v>5</v>
      </c>
      <c r="I26" s="112"/>
      <c r="J26" s="169">
        <v>23573618.960000001</v>
      </c>
      <c r="K26" s="169" t="s">
        <v>1509</v>
      </c>
      <c r="L26" s="124"/>
    </row>
    <row r="27" spans="1:12" s="2" customFormat="1" ht="14.25" customHeight="1" x14ac:dyDescent="0.2">
      <c r="A27" s="89">
        <v>45356</v>
      </c>
      <c r="B27" s="9" t="s">
        <v>6</v>
      </c>
      <c r="C27" s="10" t="s">
        <v>7</v>
      </c>
      <c r="D27" s="11"/>
      <c r="F27" s="12">
        <v>27762393.990000002</v>
      </c>
      <c r="G27" s="1"/>
      <c r="H27" s="1"/>
      <c r="I27" s="130" t="s">
        <v>396</v>
      </c>
      <c r="J27" s="169">
        <f>+J25-J26</f>
        <v>6426381.0399999991</v>
      </c>
      <c r="K27" s="169" t="s">
        <v>712</v>
      </c>
      <c r="L27" s="165" t="s">
        <v>1512</v>
      </c>
    </row>
    <row r="28" spans="1:12" s="2" customFormat="1" ht="14.25" customHeight="1" x14ac:dyDescent="0.2">
      <c r="A28" s="89">
        <v>45356</v>
      </c>
      <c r="B28" s="9" t="s">
        <v>6</v>
      </c>
      <c r="C28" s="76" t="s">
        <v>1002</v>
      </c>
      <c r="D28" s="11" t="s">
        <v>13</v>
      </c>
      <c r="E28" s="31">
        <v>4193156.69</v>
      </c>
      <c r="F28" s="12"/>
      <c r="G28" s="1"/>
      <c r="H28" s="1"/>
      <c r="I28" s="130"/>
      <c r="J28" s="169"/>
      <c r="K28" s="169"/>
      <c r="L28" s="165"/>
    </row>
    <row r="29" spans="1:12" s="2" customFormat="1" ht="14.25" customHeight="1" x14ac:dyDescent="0.2">
      <c r="A29" s="89">
        <v>45356</v>
      </c>
      <c r="B29" s="9" t="s">
        <v>11</v>
      </c>
      <c r="C29" s="76" t="s">
        <v>156</v>
      </c>
      <c r="D29" s="11" t="s">
        <v>29</v>
      </c>
      <c r="E29" s="31"/>
      <c r="F29" s="12">
        <v>253.62</v>
      </c>
      <c r="G29" s="1"/>
      <c r="H29" s="1"/>
      <c r="I29" s="130"/>
      <c r="J29" s="169"/>
      <c r="K29" s="169"/>
      <c r="L29" s="165"/>
    </row>
    <row r="30" spans="1:12" s="2" customFormat="1" ht="14.25" customHeight="1" x14ac:dyDescent="0.2">
      <c r="A30" s="89">
        <v>45356</v>
      </c>
      <c r="B30" s="9" t="s">
        <v>11</v>
      </c>
      <c r="C30" s="76" t="s">
        <v>1137</v>
      </c>
      <c r="D30" s="11" t="s">
        <v>29</v>
      </c>
      <c r="E30" s="31"/>
      <c r="F30" s="12">
        <v>4128.04</v>
      </c>
      <c r="G30" s="1"/>
      <c r="H30" s="1"/>
      <c r="I30" s="130"/>
      <c r="J30" s="169"/>
      <c r="K30" s="169"/>
      <c r="L30" s="165"/>
    </row>
    <row r="31" spans="1:12" s="2" customFormat="1" ht="14.25" customHeight="1" x14ac:dyDescent="0.4">
      <c r="D31" s="11" t="s">
        <v>8</v>
      </c>
      <c r="E31" s="16">
        <f>SUM(E28:E28)</f>
        <v>4193156.69</v>
      </c>
      <c r="F31" s="16">
        <f>SUM(F27:F30)</f>
        <v>27766775.650000002</v>
      </c>
      <c r="G31" s="1"/>
      <c r="H31" s="1"/>
      <c r="J31" s="112"/>
      <c r="K31" s="153" t="s">
        <v>779</v>
      </c>
    </row>
    <row r="32" spans="1:12" s="2" customFormat="1" ht="14.25" customHeight="1" x14ac:dyDescent="0.2">
      <c r="A32" s="17"/>
      <c r="B32" s="18"/>
      <c r="C32" s="96" t="s">
        <v>9</v>
      </c>
      <c r="D32" s="20"/>
      <c r="E32" s="21">
        <f>+F31-E31</f>
        <v>23573618.960000001</v>
      </c>
      <c r="G32" s="1"/>
      <c r="H32" s="1"/>
      <c r="J32" s="40">
        <v>23573618.960000001</v>
      </c>
      <c r="K32" s="154">
        <f>J32-E32</f>
        <v>0</v>
      </c>
    </row>
    <row r="33" spans="1:12" s="2" customFormat="1" ht="14.25" customHeight="1" x14ac:dyDescent="0.2">
      <c r="A33" s="17"/>
      <c r="B33" s="28" t="s">
        <v>66</v>
      </c>
      <c r="C33" s="43" t="s">
        <v>1458</v>
      </c>
      <c r="D33" s="43"/>
      <c r="E33" s="12">
        <f>30000000+60000000</f>
        <v>90000000</v>
      </c>
      <c r="F33" s="22"/>
      <c r="G33" s="1"/>
      <c r="H33" s="1"/>
      <c r="I33" s="13" t="s">
        <v>1582</v>
      </c>
      <c r="J33" s="13" t="s">
        <v>1583</v>
      </c>
    </row>
    <row r="34" spans="1:12" s="2" customFormat="1" ht="14.25" customHeight="1" x14ac:dyDescent="0.25">
      <c r="A34" s="36"/>
      <c r="B34" s="28"/>
      <c r="C34" s="44" t="s">
        <v>1541</v>
      </c>
      <c r="D34" s="43"/>
      <c r="E34" s="7">
        <f>+E32+E33</f>
        <v>113573618.96000001</v>
      </c>
      <c r="F34" s="22"/>
      <c r="G34" s="1"/>
      <c r="H34" s="1"/>
      <c r="I34" s="2">
        <v>4673</v>
      </c>
      <c r="J34" s="2">
        <v>3922561</v>
      </c>
      <c r="K34" s="176">
        <f>I34-J34</f>
        <v>-3917888</v>
      </c>
    </row>
    <row r="35" spans="1:12" s="2" customFormat="1" ht="14.25" customHeight="1" x14ac:dyDescent="0.25">
      <c r="A35" s="36"/>
      <c r="B35" s="28"/>
      <c r="C35" s="44" t="s">
        <v>1511</v>
      </c>
      <c r="D35" s="43"/>
      <c r="E35" s="38">
        <f>I23-J23+J27</f>
        <v>6426381.0399999991</v>
      </c>
      <c r="F35" s="22"/>
      <c r="G35" s="1"/>
      <c r="H35" s="1"/>
      <c r="J35" s="130"/>
      <c r="K35" s="130"/>
    </row>
    <row r="36" spans="1:12" s="2" customFormat="1" x14ac:dyDescent="0.2">
      <c r="A36" s="24"/>
      <c r="B36" s="1"/>
      <c r="C36" s="14"/>
      <c r="D36" s="25"/>
      <c r="G36" s="1"/>
      <c r="H36" s="1"/>
      <c r="I36" s="159"/>
      <c r="J36" s="160">
        <f>100000000+175000000</f>
        <v>275000000</v>
      </c>
      <c r="K36" s="160" t="s">
        <v>1506</v>
      </c>
      <c r="L36" s="70"/>
    </row>
    <row r="37" spans="1:12" s="2" customFormat="1" ht="15" x14ac:dyDescent="0.35">
      <c r="A37" s="214" t="s">
        <v>10</v>
      </c>
      <c r="B37" s="214"/>
      <c r="C37" s="214"/>
      <c r="D37" s="214"/>
      <c r="E37" s="214"/>
      <c r="F37" s="214"/>
      <c r="G37" s="1"/>
      <c r="H37" s="1"/>
      <c r="I37" s="159"/>
      <c r="J37" s="179">
        <v>228088319.78</v>
      </c>
      <c r="K37" s="160" t="s">
        <v>1507</v>
      </c>
      <c r="L37" s="70" t="s">
        <v>1512</v>
      </c>
    </row>
    <row r="38" spans="1:12" s="2" customFormat="1" x14ac:dyDescent="0.2">
      <c r="A38" s="26" t="s">
        <v>1</v>
      </c>
      <c r="B38" s="27" t="s">
        <v>2</v>
      </c>
      <c r="C38" s="5"/>
      <c r="D38" s="6" t="s">
        <v>3</v>
      </c>
      <c r="E38" s="7" t="s">
        <v>4</v>
      </c>
      <c r="F38" s="7" t="s">
        <v>5</v>
      </c>
      <c r="G38" s="1"/>
      <c r="H38" s="1"/>
      <c r="I38" s="159" t="s">
        <v>1505</v>
      </c>
      <c r="J38" s="160">
        <f>+J36-J37</f>
        <v>46911680.219999999</v>
      </c>
      <c r="K38" s="160"/>
      <c r="L38" s="70"/>
    </row>
    <row r="39" spans="1:12" s="2" customFormat="1" x14ac:dyDescent="0.2">
      <c r="A39" s="89" t="s">
        <v>2175</v>
      </c>
      <c r="B39" s="128" t="s">
        <v>11</v>
      </c>
      <c r="C39" s="29" t="s">
        <v>7</v>
      </c>
      <c r="D39" s="25"/>
      <c r="E39" s="31"/>
      <c r="F39" s="13">
        <v>251917062.79999989</v>
      </c>
      <c r="G39" s="23"/>
      <c r="H39" s="23"/>
      <c r="I39" s="159"/>
      <c r="J39" s="160"/>
      <c r="K39" s="160"/>
      <c r="L39" s="70"/>
    </row>
    <row r="40" spans="1:12" s="2" customFormat="1" x14ac:dyDescent="0.2">
      <c r="A40" s="89" t="s">
        <v>2175</v>
      </c>
      <c r="B40" s="128" t="s">
        <v>6</v>
      </c>
      <c r="C40" s="181" t="s">
        <v>15</v>
      </c>
      <c r="D40" s="11" t="s">
        <v>13</v>
      </c>
      <c r="E40" s="86">
        <v>107305.28</v>
      </c>
      <c r="G40" s="23"/>
      <c r="H40" s="23"/>
      <c r="I40" s="159"/>
      <c r="J40" s="160"/>
      <c r="K40" s="160"/>
      <c r="L40" s="70"/>
    </row>
    <row r="41" spans="1:12" s="2" customFormat="1" x14ac:dyDescent="0.2">
      <c r="A41" s="89" t="s">
        <v>2175</v>
      </c>
      <c r="B41" s="128" t="s">
        <v>6</v>
      </c>
      <c r="C41" s="181" t="s">
        <v>765</v>
      </c>
      <c r="D41" s="11" t="s">
        <v>13</v>
      </c>
      <c r="E41" s="86">
        <v>13814309.989999998</v>
      </c>
      <c r="G41" s="23"/>
      <c r="H41" s="23"/>
      <c r="I41" s="159"/>
      <c r="J41" s="160"/>
      <c r="K41" s="160"/>
      <c r="L41" s="70"/>
    </row>
    <row r="42" spans="1:12" s="2" customFormat="1" x14ac:dyDescent="0.2">
      <c r="A42" s="89" t="s">
        <v>2175</v>
      </c>
      <c r="B42" s="128" t="s">
        <v>6</v>
      </c>
      <c r="C42" s="181" t="s">
        <v>2176</v>
      </c>
      <c r="D42" s="11" t="s">
        <v>13</v>
      </c>
      <c r="E42" s="86">
        <v>12619</v>
      </c>
      <c r="G42" s="23"/>
      <c r="H42" s="23"/>
      <c r="I42" s="159"/>
      <c r="J42" s="160"/>
      <c r="K42" s="160"/>
      <c r="L42" s="70"/>
    </row>
    <row r="43" spans="1:12" s="2" customFormat="1" x14ac:dyDescent="0.2">
      <c r="A43" s="89" t="s">
        <v>2175</v>
      </c>
      <c r="B43" s="128" t="s">
        <v>6</v>
      </c>
      <c r="C43" s="181" t="s">
        <v>750</v>
      </c>
      <c r="D43" s="11" t="s">
        <v>13</v>
      </c>
      <c r="E43" s="86">
        <v>1493463</v>
      </c>
      <c r="G43" s="23"/>
      <c r="H43" s="23"/>
      <c r="I43" s="159"/>
      <c r="J43" s="160"/>
      <c r="K43" s="160"/>
      <c r="L43" s="70"/>
    </row>
    <row r="44" spans="1:12" s="2" customFormat="1" x14ac:dyDescent="0.2">
      <c r="A44" s="89" t="s">
        <v>2175</v>
      </c>
      <c r="B44" s="128" t="s">
        <v>6</v>
      </c>
      <c r="C44" s="181" t="s">
        <v>316</v>
      </c>
      <c r="D44" s="11" t="s">
        <v>13</v>
      </c>
      <c r="E44" s="86">
        <v>513479</v>
      </c>
      <c r="G44" s="23"/>
      <c r="H44" s="23"/>
      <c r="I44" s="159"/>
      <c r="J44" s="160"/>
      <c r="K44" s="160"/>
      <c r="L44" s="70"/>
    </row>
    <row r="45" spans="1:12" s="2" customFormat="1" x14ac:dyDescent="0.2">
      <c r="A45" s="89" t="s">
        <v>2175</v>
      </c>
      <c r="B45" s="128" t="s">
        <v>6</v>
      </c>
      <c r="C45" s="181" t="s">
        <v>761</v>
      </c>
      <c r="D45" s="11" t="s">
        <v>13</v>
      </c>
      <c r="E45" s="86">
        <v>1058182</v>
      </c>
      <c r="G45" s="23"/>
      <c r="H45" s="23"/>
      <c r="I45" s="159"/>
      <c r="J45" s="160"/>
      <c r="K45" s="160"/>
      <c r="L45" s="70"/>
    </row>
    <row r="46" spans="1:12" s="2" customFormat="1" x14ac:dyDescent="0.2">
      <c r="A46" s="89" t="s">
        <v>2175</v>
      </c>
      <c r="B46" s="128" t="s">
        <v>6</v>
      </c>
      <c r="C46" s="181" t="s">
        <v>19</v>
      </c>
      <c r="D46" s="11" t="s">
        <v>13</v>
      </c>
      <c r="E46" s="86">
        <v>39534</v>
      </c>
      <c r="G46" s="23"/>
      <c r="H46" s="23"/>
      <c r="I46" s="159"/>
      <c r="J46" s="160"/>
      <c r="K46" s="160"/>
      <c r="L46" s="70"/>
    </row>
    <row r="47" spans="1:12" s="2" customFormat="1" x14ac:dyDescent="0.2">
      <c r="A47" s="89" t="s">
        <v>2175</v>
      </c>
      <c r="B47" s="128" t="s">
        <v>6</v>
      </c>
      <c r="C47" s="181" t="s">
        <v>760</v>
      </c>
      <c r="D47" s="11" t="s">
        <v>13</v>
      </c>
      <c r="E47" s="86">
        <v>1341129.76</v>
      </c>
      <c r="G47" s="23"/>
      <c r="H47" s="23"/>
      <c r="I47" s="159"/>
      <c r="J47" s="160"/>
      <c r="K47" s="160"/>
      <c r="L47" s="70"/>
    </row>
    <row r="48" spans="1:12" s="2" customFormat="1" x14ac:dyDescent="0.2">
      <c r="A48" s="89" t="s">
        <v>2175</v>
      </c>
      <c r="B48" s="128" t="s">
        <v>6</v>
      </c>
      <c r="C48" s="181" t="s">
        <v>758</v>
      </c>
      <c r="D48" s="11" t="s">
        <v>13</v>
      </c>
      <c r="E48" s="86">
        <v>3228382.21</v>
      </c>
      <c r="G48" s="23"/>
      <c r="H48" s="23"/>
      <c r="I48" s="159"/>
      <c r="J48" s="160"/>
      <c r="K48" s="160"/>
      <c r="L48" s="70"/>
    </row>
    <row r="49" spans="1:12" s="2" customFormat="1" x14ac:dyDescent="0.2">
      <c r="A49" s="89" t="s">
        <v>2175</v>
      </c>
      <c r="B49" s="128" t="s">
        <v>6</v>
      </c>
      <c r="C49" s="181" t="s">
        <v>759</v>
      </c>
      <c r="D49" s="11" t="s">
        <v>13</v>
      </c>
      <c r="E49" s="86">
        <v>1513345.99</v>
      </c>
      <c r="G49" s="23"/>
      <c r="H49" s="23"/>
      <c r="I49" s="159"/>
      <c r="J49" s="160"/>
      <c r="K49" s="160"/>
      <c r="L49" s="70"/>
    </row>
    <row r="50" spans="1:12" s="2" customFormat="1" x14ac:dyDescent="0.2">
      <c r="A50" s="89" t="s">
        <v>2175</v>
      </c>
      <c r="B50" s="128" t="s">
        <v>6</v>
      </c>
      <c r="C50" s="181" t="s">
        <v>727</v>
      </c>
      <c r="D50" s="11" t="s">
        <v>13</v>
      </c>
      <c r="E50" s="86">
        <v>277854</v>
      </c>
      <c r="G50" s="23"/>
      <c r="H50" s="23"/>
      <c r="I50" s="159"/>
      <c r="J50" s="160"/>
      <c r="K50" s="160"/>
      <c r="L50" s="70"/>
    </row>
    <row r="51" spans="1:12" s="2" customFormat="1" x14ac:dyDescent="0.2">
      <c r="A51" s="89" t="s">
        <v>2175</v>
      </c>
      <c r="B51" s="128" t="s">
        <v>6</v>
      </c>
      <c r="C51" s="181" t="s">
        <v>749</v>
      </c>
      <c r="D51" s="11" t="s">
        <v>13</v>
      </c>
      <c r="E51" s="86">
        <v>4010758.95</v>
      </c>
      <c r="G51" s="23"/>
      <c r="H51" s="23"/>
      <c r="I51" s="159"/>
      <c r="J51" s="160"/>
      <c r="K51" s="160"/>
      <c r="L51" s="70"/>
    </row>
    <row r="52" spans="1:12" s="2" customFormat="1" x14ac:dyDescent="0.2">
      <c r="A52" s="89" t="s">
        <v>2175</v>
      </c>
      <c r="B52" s="128" t="s">
        <v>6</v>
      </c>
      <c r="C52" s="181" t="s">
        <v>764</v>
      </c>
      <c r="D52" s="11" t="s">
        <v>13</v>
      </c>
      <c r="E52" s="86">
        <v>3873721.96</v>
      </c>
      <c r="G52" s="23"/>
      <c r="H52" s="23"/>
      <c r="I52" s="159"/>
      <c r="J52" s="160"/>
      <c r="K52" s="160"/>
      <c r="L52" s="70"/>
    </row>
    <row r="53" spans="1:12" s="2" customFormat="1" x14ac:dyDescent="0.2">
      <c r="A53" s="89" t="s">
        <v>2175</v>
      </c>
      <c r="B53" s="128" t="s">
        <v>6</v>
      </c>
      <c r="C53" s="181" t="s">
        <v>266</v>
      </c>
      <c r="D53" s="11" t="s">
        <v>13</v>
      </c>
      <c r="E53" s="86">
        <v>500000</v>
      </c>
      <c r="G53" s="23"/>
      <c r="H53" s="23"/>
      <c r="I53" s="159"/>
      <c r="J53" s="160"/>
      <c r="K53" s="160"/>
      <c r="L53" s="70"/>
    </row>
    <row r="54" spans="1:12" s="2" customFormat="1" x14ac:dyDescent="0.2">
      <c r="A54" s="89" t="s">
        <v>2175</v>
      </c>
      <c r="B54" s="128" t="s">
        <v>6</v>
      </c>
      <c r="C54" s="181" t="s">
        <v>2079</v>
      </c>
      <c r="D54" s="11" t="s">
        <v>13</v>
      </c>
      <c r="E54" s="86">
        <v>1119494.25</v>
      </c>
      <c r="G54" s="23"/>
      <c r="H54" s="23"/>
      <c r="I54" s="159"/>
      <c r="J54" s="160"/>
      <c r="K54" s="160"/>
      <c r="L54" s="70"/>
    </row>
    <row r="55" spans="1:12" s="2" customFormat="1" x14ac:dyDescent="0.2">
      <c r="A55" s="89" t="s">
        <v>2175</v>
      </c>
      <c r="B55" s="128" t="s">
        <v>6</v>
      </c>
      <c r="C55" s="181" t="s">
        <v>177</v>
      </c>
      <c r="D55" s="11" t="s">
        <v>13</v>
      </c>
      <c r="E55" s="86">
        <v>2090310</v>
      </c>
      <c r="G55" s="23"/>
      <c r="H55" s="23"/>
      <c r="I55" s="159"/>
      <c r="J55" s="160"/>
      <c r="K55" s="160"/>
      <c r="L55" s="70"/>
    </row>
    <row r="56" spans="1:12" s="2" customFormat="1" x14ac:dyDescent="0.2">
      <c r="A56" s="89" t="s">
        <v>2175</v>
      </c>
      <c r="B56" s="128" t="s">
        <v>6</v>
      </c>
      <c r="C56" s="181" t="s">
        <v>121</v>
      </c>
      <c r="D56" s="11" t="s">
        <v>13</v>
      </c>
      <c r="E56" s="86">
        <v>500000</v>
      </c>
      <c r="G56" s="23"/>
      <c r="H56" s="23"/>
      <c r="I56" s="159"/>
      <c r="J56" s="160"/>
      <c r="K56" s="160"/>
      <c r="L56" s="70"/>
    </row>
    <row r="57" spans="1:12" s="2" customFormat="1" x14ac:dyDescent="0.2">
      <c r="A57" s="89" t="s">
        <v>2175</v>
      </c>
      <c r="B57" s="128" t="s">
        <v>6</v>
      </c>
      <c r="C57" s="181" t="s">
        <v>149</v>
      </c>
      <c r="D57" s="11" t="s">
        <v>13</v>
      </c>
      <c r="E57" s="86">
        <v>1115</v>
      </c>
      <c r="G57" s="23"/>
      <c r="H57" s="23"/>
      <c r="I57" s="159"/>
      <c r="J57" s="160"/>
      <c r="K57" s="160"/>
      <c r="L57" s="70"/>
    </row>
    <row r="58" spans="1:12" s="2" customFormat="1" x14ac:dyDescent="0.2">
      <c r="A58" s="89" t="s">
        <v>2175</v>
      </c>
      <c r="B58" s="128" t="s">
        <v>6</v>
      </c>
      <c r="C58" s="181" t="s">
        <v>2081</v>
      </c>
      <c r="D58" s="11" t="s">
        <v>13</v>
      </c>
      <c r="E58" s="86">
        <v>47028</v>
      </c>
      <c r="G58" s="23"/>
      <c r="H58" s="23"/>
      <c r="I58" s="159"/>
      <c r="J58" s="160"/>
      <c r="K58" s="160"/>
      <c r="L58" s="70"/>
    </row>
    <row r="59" spans="1:12" s="2" customFormat="1" x14ac:dyDescent="0.2">
      <c r="A59" s="89" t="s">
        <v>2175</v>
      </c>
      <c r="B59" s="128" t="s">
        <v>11</v>
      </c>
      <c r="C59" s="181" t="s">
        <v>64</v>
      </c>
      <c r="D59" s="11" t="s">
        <v>29</v>
      </c>
      <c r="E59" s="86"/>
      <c r="F59" s="2">
        <v>12443.1</v>
      </c>
      <c r="G59" s="23"/>
      <c r="H59" s="23"/>
      <c r="I59" s="159"/>
      <c r="J59" s="160"/>
      <c r="K59" s="160"/>
      <c r="L59" s="70"/>
    </row>
    <row r="60" spans="1:12" s="2" customFormat="1" x14ac:dyDescent="0.2">
      <c r="A60" s="89" t="s">
        <v>2175</v>
      </c>
      <c r="B60" s="128" t="s">
        <v>11</v>
      </c>
      <c r="C60" s="181" t="s">
        <v>274</v>
      </c>
      <c r="D60" s="11" t="s">
        <v>29</v>
      </c>
      <c r="E60" s="86"/>
      <c r="F60" s="2">
        <v>1220630.56</v>
      </c>
      <c r="G60" s="23"/>
      <c r="H60" s="23"/>
      <c r="I60" s="159"/>
      <c r="J60" s="160"/>
      <c r="K60" s="160"/>
      <c r="L60" s="70"/>
    </row>
    <row r="61" spans="1:12" s="2" customFormat="1" x14ac:dyDescent="0.2">
      <c r="A61" s="89" t="s">
        <v>2175</v>
      </c>
      <c r="B61" s="128" t="s">
        <v>11</v>
      </c>
      <c r="C61" s="181" t="s">
        <v>156</v>
      </c>
      <c r="D61" s="11" t="s">
        <v>29</v>
      </c>
      <c r="E61" s="86"/>
      <c r="F61" s="2">
        <v>1029.71</v>
      </c>
      <c r="G61" s="23"/>
      <c r="H61" s="23"/>
      <c r="I61" s="159"/>
      <c r="J61" s="160"/>
      <c r="K61" s="160"/>
      <c r="L61" s="70"/>
    </row>
    <row r="62" spans="1:12" s="2" customFormat="1" x14ac:dyDescent="0.2">
      <c r="A62" s="89" t="s">
        <v>2175</v>
      </c>
      <c r="B62" s="128" t="s">
        <v>11</v>
      </c>
      <c r="C62" s="181" t="s">
        <v>183</v>
      </c>
      <c r="D62" s="11" t="s">
        <v>29</v>
      </c>
      <c r="E62" s="86"/>
      <c r="F62" s="2">
        <v>20623</v>
      </c>
      <c r="G62" s="23"/>
      <c r="H62" s="23"/>
      <c r="I62" s="159"/>
      <c r="J62" s="160"/>
      <c r="K62" s="160"/>
      <c r="L62" s="70"/>
    </row>
    <row r="63" spans="1:12" s="2" customFormat="1" x14ac:dyDescent="0.2">
      <c r="A63" s="89" t="s">
        <v>2175</v>
      </c>
      <c r="B63" s="128" t="s">
        <v>11</v>
      </c>
      <c r="C63" s="181" t="s">
        <v>1734</v>
      </c>
      <c r="D63" s="11" t="s">
        <v>29</v>
      </c>
      <c r="E63" s="86"/>
      <c r="F63" s="2">
        <v>1667952</v>
      </c>
      <c r="G63" s="23"/>
      <c r="H63" s="23"/>
      <c r="I63" s="159"/>
      <c r="J63" s="160"/>
      <c r="K63" s="160"/>
      <c r="L63" s="70"/>
    </row>
    <row r="64" spans="1:12" s="2" customFormat="1" x14ac:dyDescent="0.2">
      <c r="A64" s="89" t="s">
        <v>2175</v>
      </c>
      <c r="B64" s="128" t="s">
        <v>11</v>
      </c>
      <c r="C64" s="181" t="s">
        <v>109</v>
      </c>
      <c r="D64" s="11" t="s">
        <v>29</v>
      </c>
      <c r="E64" s="86"/>
      <c r="F64" s="2">
        <v>319693</v>
      </c>
      <c r="G64" s="23"/>
      <c r="H64" s="23"/>
      <c r="I64" s="159"/>
      <c r="J64" s="160"/>
      <c r="K64" s="160"/>
      <c r="L64" s="70"/>
    </row>
    <row r="65" spans="1:16" s="2" customFormat="1" x14ac:dyDescent="0.2">
      <c r="A65" s="89" t="s">
        <v>2175</v>
      </c>
      <c r="B65" s="128" t="s">
        <v>11</v>
      </c>
      <c r="C65" s="181" t="s">
        <v>687</v>
      </c>
      <c r="D65" s="11" t="s">
        <v>29</v>
      </c>
      <c r="E65" s="86"/>
      <c r="F65" s="2">
        <v>609375</v>
      </c>
      <c r="G65" s="23"/>
      <c r="H65" s="23"/>
      <c r="I65" s="159"/>
      <c r="J65" s="160"/>
      <c r="K65" s="160"/>
      <c r="L65" s="70"/>
    </row>
    <row r="66" spans="1:16" s="2" customFormat="1" x14ac:dyDescent="0.2">
      <c r="A66" s="89" t="s">
        <v>2175</v>
      </c>
      <c r="B66" s="128" t="s">
        <v>11</v>
      </c>
      <c r="C66" s="181" t="s">
        <v>1472</v>
      </c>
      <c r="D66" s="11" t="s">
        <v>29</v>
      </c>
      <c r="E66" s="86"/>
      <c r="F66" s="2">
        <v>958079</v>
      </c>
      <c r="G66" s="23"/>
      <c r="H66" s="23"/>
      <c r="I66" s="159"/>
      <c r="J66" s="160"/>
      <c r="K66" s="160"/>
      <c r="L66" s="70"/>
    </row>
    <row r="67" spans="1:16" s="2" customFormat="1" x14ac:dyDescent="0.2">
      <c r="A67" s="89" t="s">
        <v>2175</v>
      </c>
      <c r="B67" s="128" t="s">
        <v>11</v>
      </c>
      <c r="C67" s="181" t="s">
        <v>284</v>
      </c>
      <c r="D67" s="11" t="s">
        <v>29</v>
      </c>
      <c r="E67" s="86"/>
      <c r="F67" s="2">
        <v>326469</v>
      </c>
      <c r="G67" s="23"/>
      <c r="H67" s="23"/>
      <c r="I67" s="159"/>
      <c r="J67" s="160"/>
      <c r="K67" s="160"/>
      <c r="L67" s="70"/>
    </row>
    <row r="68" spans="1:16" s="2" customFormat="1" x14ac:dyDescent="0.2">
      <c r="A68" s="89" t="s">
        <v>2175</v>
      </c>
      <c r="B68" s="128" t="s">
        <v>11</v>
      </c>
      <c r="C68" s="181" t="s">
        <v>123</v>
      </c>
      <c r="D68" s="11" t="s">
        <v>29</v>
      </c>
      <c r="E68" s="86"/>
      <c r="F68" s="2">
        <v>3657408</v>
      </c>
      <c r="G68" s="23"/>
      <c r="H68" s="23"/>
      <c r="I68" s="159"/>
      <c r="J68" s="160"/>
      <c r="K68" s="160"/>
      <c r="L68" s="70"/>
    </row>
    <row r="69" spans="1:16" s="2" customFormat="1" x14ac:dyDescent="0.2">
      <c r="A69" s="89" t="s">
        <v>2175</v>
      </c>
      <c r="B69" s="128" t="s">
        <v>11</v>
      </c>
      <c r="C69" s="181" t="s">
        <v>525</v>
      </c>
      <c r="D69" s="11" t="s">
        <v>29</v>
      </c>
      <c r="E69" s="86"/>
      <c r="F69" s="2">
        <v>1500000</v>
      </c>
      <c r="G69" s="23"/>
      <c r="H69" s="23"/>
      <c r="I69" s="159"/>
      <c r="J69" s="160"/>
      <c r="K69" s="160"/>
      <c r="L69" s="70"/>
    </row>
    <row r="70" spans="1:16" s="2" customFormat="1" x14ac:dyDescent="0.2">
      <c r="A70" s="89" t="s">
        <v>2175</v>
      </c>
      <c r="B70" s="128" t="s">
        <v>11</v>
      </c>
      <c r="C70" s="181" t="s">
        <v>206</v>
      </c>
      <c r="D70" s="11" t="s">
        <v>29</v>
      </c>
      <c r="E70" s="86"/>
      <c r="F70" s="2">
        <v>962426</v>
      </c>
      <c r="G70" s="23"/>
      <c r="H70" s="23"/>
      <c r="I70" s="159"/>
      <c r="J70" s="160"/>
      <c r="K70" s="160"/>
      <c r="L70" s="70"/>
    </row>
    <row r="71" spans="1:16" s="2" customFormat="1" x14ac:dyDescent="0.2">
      <c r="A71" s="89" t="s">
        <v>2175</v>
      </c>
      <c r="B71" s="128" t="s">
        <v>11</v>
      </c>
      <c r="C71" s="181" t="s">
        <v>181</v>
      </c>
      <c r="D71" s="11" t="s">
        <v>29</v>
      </c>
      <c r="E71" s="86"/>
      <c r="F71" s="2">
        <v>48600</v>
      </c>
      <c r="G71" s="23"/>
      <c r="H71" s="23"/>
      <c r="I71" s="159"/>
      <c r="J71" s="160"/>
      <c r="K71" s="160"/>
      <c r="L71" s="70"/>
    </row>
    <row r="72" spans="1:16" s="2" customFormat="1" x14ac:dyDescent="0.2">
      <c r="A72" s="89" t="s">
        <v>2175</v>
      </c>
      <c r="B72" s="128" t="s">
        <v>11</v>
      </c>
      <c r="C72" s="181" t="s">
        <v>1269</v>
      </c>
      <c r="D72" s="11" t="s">
        <v>29</v>
      </c>
      <c r="E72" s="86"/>
      <c r="F72" s="2">
        <v>326449</v>
      </c>
      <c r="G72" s="23"/>
      <c r="H72" s="23"/>
      <c r="I72" s="159"/>
      <c r="J72" s="160"/>
      <c r="K72" s="160"/>
      <c r="L72" s="70"/>
    </row>
    <row r="73" spans="1:16" s="2" customFormat="1" x14ac:dyDescent="0.2">
      <c r="A73" s="89" t="s">
        <v>2175</v>
      </c>
      <c r="B73" s="128" t="s">
        <v>11</v>
      </c>
      <c r="C73" s="181" t="s">
        <v>402</v>
      </c>
      <c r="D73" s="11" t="s">
        <v>29</v>
      </c>
      <c r="E73" s="86"/>
      <c r="F73" s="2">
        <v>4000000</v>
      </c>
      <c r="G73" s="23"/>
      <c r="H73" s="23"/>
      <c r="I73" s="159"/>
      <c r="J73" s="160"/>
      <c r="K73" s="160"/>
      <c r="L73" s="70"/>
    </row>
    <row r="74" spans="1:16" s="70" customFormat="1" x14ac:dyDescent="0.2">
      <c r="A74" s="32"/>
      <c r="B74" s="33"/>
      <c r="C74" s="14"/>
      <c r="D74" s="34"/>
      <c r="E74" s="16">
        <f>SUM(E39:E73)</f>
        <v>35542032.390000001</v>
      </c>
      <c r="F74" s="16">
        <f>SUM(F39:F73)</f>
        <v>267548240.1699999</v>
      </c>
      <c r="G74" s="1"/>
      <c r="H74" s="1"/>
      <c r="I74" s="1"/>
      <c r="J74" s="38">
        <v>232006207.78</v>
      </c>
      <c r="K74" s="2"/>
      <c r="L74" s="92">
        <f>E75-J74</f>
        <v>0</v>
      </c>
      <c r="M74" s="2"/>
      <c r="N74" s="2"/>
      <c r="O74" s="2"/>
      <c r="P74" s="2"/>
    </row>
    <row r="75" spans="1:16" s="70" customFormat="1" x14ac:dyDescent="0.2">
      <c r="A75" s="36"/>
      <c r="B75" s="28" t="s">
        <v>11</v>
      </c>
      <c r="C75" s="19" t="s">
        <v>65</v>
      </c>
      <c r="D75" s="37"/>
      <c r="E75" s="38">
        <f>F74-E74</f>
        <v>232006207.77999991</v>
      </c>
      <c r="F75" s="22"/>
      <c r="G75" s="1"/>
      <c r="H75" s="1"/>
      <c r="I75" s="1"/>
      <c r="M75" s="2"/>
      <c r="N75" s="2"/>
      <c r="O75" s="1"/>
      <c r="P75" s="2"/>
    </row>
    <row r="76" spans="1:16" s="70" customFormat="1" x14ac:dyDescent="0.2">
      <c r="A76" s="36"/>
      <c r="B76" s="28" t="s">
        <v>66</v>
      </c>
      <c r="C76" s="19" t="s">
        <v>67</v>
      </c>
      <c r="D76" s="37"/>
      <c r="E76" s="38">
        <v>11500000</v>
      </c>
      <c r="F76" s="22"/>
      <c r="G76" s="1"/>
      <c r="H76" s="1"/>
      <c r="M76" s="2"/>
      <c r="N76" s="2"/>
      <c r="O76" s="1"/>
      <c r="P76" s="2"/>
    </row>
    <row r="77" spans="1:16" s="70" customFormat="1" x14ac:dyDescent="0.2">
      <c r="A77" s="36"/>
      <c r="B77" s="28" t="s">
        <v>66</v>
      </c>
      <c r="C77" s="43" t="s">
        <v>1457</v>
      </c>
      <c r="D77" s="43"/>
      <c r="E77" s="12">
        <f>400000000-175000000</f>
        <v>225000000</v>
      </c>
      <c r="F77" s="22"/>
      <c r="G77" s="1"/>
      <c r="H77" s="1"/>
      <c r="J77" s="45">
        <v>440.25</v>
      </c>
      <c r="K77" s="46"/>
      <c r="L77" s="46"/>
      <c r="M77" s="2"/>
      <c r="N77" s="2"/>
      <c r="O77" s="1"/>
      <c r="P77" s="2"/>
    </row>
    <row r="78" spans="1:16" s="70" customFormat="1" ht="15" x14ac:dyDescent="0.25">
      <c r="A78" s="36"/>
      <c r="B78" s="28"/>
      <c r="C78" s="44" t="s">
        <v>1541</v>
      </c>
      <c r="D78" s="43"/>
      <c r="E78" s="7">
        <f>+E77+E75+E76</f>
        <v>468506207.77999991</v>
      </c>
      <c r="F78" s="22"/>
      <c r="G78" s="1"/>
      <c r="H78" s="1"/>
      <c r="I78" s="103" t="s">
        <v>69</v>
      </c>
      <c r="J78" s="45">
        <v>-30.81</v>
      </c>
      <c r="K78" s="46"/>
      <c r="L78" s="46"/>
      <c r="M78" s="2"/>
      <c r="N78" s="2"/>
      <c r="O78" s="1"/>
      <c r="P78" s="2"/>
    </row>
    <row r="79" spans="1:16" s="70" customFormat="1" ht="15" x14ac:dyDescent="0.25">
      <c r="A79" s="24"/>
      <c r="B79" s="1"/>
      <c r="C79" s="44" t="s">
        <v>1510</v>
      </c>
      <c r="D79" s="25"/>
      <c r="E79" s="156">
        <f>+J38-E76+I34-J34</f>
        <v>31493792.219999999</v>
      </c>
      <c r="F79" s="2"/>
      <c r="G79" s="1"/>
      <c r="H79" s="1"/>
      <c r="I79" s="35">
        <v>1</v>
      </c>
      <c r="J79" s="45">
        <v>29.38</v>
      </c>
      <c r="K79" s="46">
        <f>+J80-D82</f>
        <v>0</v>
      </c>
      <c r="L79" s="2"/>
      <c r="M79" s="2"/>
      <c r="N79" s="2"/>
      <c r="O79" s="1"/>
      <c r="P79" s="2"/>
    </row>
    <row r="80" spans="1:16" s="70" customFormat="1" ht="12.75" customHeight="1" x14ac:dyDescent="0.2">
      <c r="A80" s="24"/>
      <c r="B80" s="1"/>
      <c r="C80" s="56"/>
      <c r="D80" s="56"/>
      <c r="E80" s="104"/>
      <c r="F80" s="2"/>
      <c r="G80" s="166"/>
      <c r="H80" s="166"/>
      <c r="J80" s="49">
        <f>SUM(J77:J79)</f>
        <v>438.82</v>
      </c>
      <c r="K80" s="46"/>
      <c r="L80" s="46"/>
      <c r="M80" s="124"/>
      <c r="N80" s="124"/>
      <c r="O80" s="1"/>
      <c r="P80" s="2"/>
    </row>
    <row r="81" spans="1:19" s="70" customFormat="1" ht="12.75" customHeight="1" x14ac:dyDescent="0.2">
      <c r="A81" s="24"/>
      <c r="B81" s="1"/>
      <c r="C81" s="78" t="s">
        <v>575</v>
      </c>
      <c r="D81" s="48" t="s">
        <v>576</v>
      </c>
      <c r="E81" s="104"/>
      <c r="F81" s="2"/>
      <c r="G81" s="168"/>
      <c r="H81" s="168"/>
      <c r="I81" s="167"/>
      <c r="J81" s="167"/>
      <c r="K81" s="168"/>
      <c r="L81" s="124"/>
      <c r="M81" s="124"/>
      <c r="N81" s="124"/>
      <c r="O81" s="124"/>
      <c r="P81" s="2"/>
    </row>
    <row r="82" spans="1:19" s="70" customFormat="1" ht="12.75" customHeight="1" x14ac:dyDescent="0.2">
      <c r="A82" s="24"/>
      <c r="B82" s="1"/>
      <c r="C82" s="47" t="s">
        <v>570</v>
      </c>
      <c r="D82" s="111">
        <v>438.82</v>
      </c>
      <c r="E82" s="104"/>
      <c r="F82" s="2"/>
      <c r="G82" s="168"/>
      <c r="H82" s="168"/>
      <c r="I82" s="110" t="s">
        <v>581</v>
      </c>
      <c r="J82" s="167"/>
      <c r="K82" s="168"/>
      <c r="L82" s="124"/>
      <c r="M82" s="124"/>
      <c r="N82" s="124"/>
      <c r="O82" s="124"/>
      <c r="P82" s="124"/>
    </row>
    <row r="83" spans="1:19" s="70" customFormat="1" ht="12.75" customHeight="1" x14ac:dyDescent="0.2">
      <c r="A83" s="24"/>
      <c r="B83" s="1"/>
      <c r="C83" s="47" t="s">
        <v>931</v>
      </c>
      <c r="D83" s="111">
        <v>11.82</v>
      </c>
      <c r="E83" s="104"/>
      <c r="F83" s="2"/>
      <c r="G83" s="168"/>
      <c r="H83" s="168"/>
      <c r="I83" s="110" t="s">
        <v>580</v>
      </c>
      <c r="J83" s="167"/>
      <c r="K83" s="168"/>
      <c r="L83" s="124"/>
      <c r="M83" s="124"/>
      <c r="N83" s="124"/>
      <c r="O83" s="124"/>
      <c r="P83" s="124"/>
    </row>
    <row r="84" spans="1:19" s="70" customFormat="1" ht="12.75" customHeight="1" x14ac:dyDescent="0.2">
      <c r="A84" s="24"/>
      <c r="B84" s="1"/>
      <c r="C84" s="47" t="s">
        <v>572</v>
      </c>
      <c r="D84" s="111">
        <f>+D101/100000</f>
        <v>21.431439999999998</v>
      </c>
      <c r="E84" s="104"/>
      <c r="F84" s="2"/>
      <c r="G84" s="166"/>
      <c r="H84" s="166"/>
      <c r="I84" s="90" t="s">
        <v>587</v>
      </c>
      <c r="J84" s="167"/>
      <c r="K84" s="168"/>
      <c r="L84" s="124"/>
      <c r="M84" s="124"/>
      <c r="N84" s="124"/>
      <c r="O84" s="124"/>
      <c r="P84" s="124"/>
    </row>
    <row r="85" spans="1:19" s="70" customFormat="1" ht="12.75" customHeight="1" x14ac:dyDescent="0.2">
      <c r="A85" s="24"/>
      <c r="B85" s="1"/>
      <c r="C85" s="108" t="s">
        <v>578</v>
      </c>
      <c r="D85" s="48">
        <f>SUM(D82:D84)</f>
        <v>472.07144</v>
      </c>
      <c r="E85" s="104"/>
      <c r="F85" s="2"/>
      <c r="G85" s="30"/>
      <c r="H85" s="30"/>
      <c r="I85" s="2"/>
      <c r="J85" s="13"/>
      <c r="K85" s="13"/>
      <c r="L85" s="2"/>
      <c r="M85" s="2"/>
      <c r="N85" s="2"/>
      <c r="O85" s="124"/>
      <c r="P85" s="124"/>
    </row>
    <row r="86" spans="1:19" s="70" customFormat="1" ht="12.75" customHeight="1" x14ac:dyDescent="0.2">
      <c r="A86" s="24"/>
      <c r="B86" s="1"/>
      <c r="C86" s="47"/>
      <c r="D86" s="107"/>
      <c r="E86" s="104"/>
      <c r="F86" s="2"/>
      <c r="G86" s="30"/>
      <c r="H86" s="30"/>
      <c r="I86" s="2"/>
      <c r="O86" s="2"/>
      <c r="P86" s="124"/>
    </row>
    <row r="87" spans="1:19" s="70" customFormat="1" ht="12.75" customHeight="1" x14ac:dyDescent="0.2">
      <c r="A87" s="24"/>
      <c r="B87" s="1"/>
      <c r="C87" s="47" t="s">
        <v>932</v>
      </c>
      <c r="D87" s="111">
        <v>0</v>
      </c>
      <c r="E87" s="104"/>
      <c r="F87" s="2"/>
      <c r="G87" s="30"/>
      <c r="H87" s="30"/>
      <c r="I87" s="110" t="s">
        <v>581</v>
      </c>
      <c r="P87" s="2"/>
    </row>
    <row r="88" spans="1:19" s="70" customFormat="1" ht="12.75" customHeight="1" x14ac:dyDescent="0.2">
      <c r="A88" s="24"/>
      <c r="B88" s="1"/>
      <c r="C88" s="136" t="s">
        <v>1142</v>
      </c>
      <c r="D88" s="111">
        <v>311.35000000000002</v>
      </c>
      <c r="E88" s="104"/>
      <c r="F88" s="2"/>
      <c r="G88" s="30"/>
      <c r="H88" s="30"/>
      <c r="I88" s="110" t="s">
        <v>581</v>
      </c>
    </row>
    <row r="89" spans="1:19" s="70" customFormat="1" ht="12.75" customHeight="1" x14ac:dyDescent="0.2">
      <c r="A89" s="24"/>
      <c r="B89" s="1"/>
      <c r="C89" s="78" t="s">
        <v>579</v>
      </c>
      <c r="D89" s="109">
        <f>D87+D88</f>
        <v>311.35000000000002</v>
      </c>
      <c r="E89" s="104"/>
      <c r="F89" s="2"/>
      <c r="G89" s="30"/>
      <c r="H89" s="30"/>
      <c r="Q89" s="2"/>
      <c r="R89" s="2"/>
      <c r="S89" s="2"/>
    </row>
    <row r="90" spans="1:19" s="2" customFormat="1" x14ac:dyDescent="0.2">
      <c r="A90" s="24"/>
      <c r="B90" s="1"/>
      <c r="C90" s="105"/>
      <c r="D90" s="106"/>
      <c r="E90" s="104"/>
      <c r="G90" s="30"/>
      <c r="H90" s="30"/>
      <c r="I90" s="70"/>
      <c r="K90" s="221" t="str">
        <f>"FROM ( 01-03-2024 to "&amp;TEXT(A5,"dd-mm-yyyy")&amp;" )"</f>
        <v>FROM ( 01-03-2024 to 05-03-2024 )</v>
      </c>
      <c r="L90" s="221"/>
      <c r="O90" s="70"/>
      <c r="P90" s="70"/>
    </row>
    <row r="91" spans="1:19" s="2" customFormat="1" x14ac:dyDescent="0.2">
      <c r="A91" s="24"/>
      <c r="B91" s="1"/>
      <c r="C91" s="78" t="s">
        <v>577</v>
      </c>
      <c r="D91" s="109">
        <f>D82+D89</f>
        <v>750.17000000000007</v>
      </c>
      <c r="E91" s="104"/>
      <c r="G91" s="30"/>
      <c r="H91" s="30"/>
      <c r="I91" s="70"/>
      <c r="J91" s="113"/>
      <c r="K91" s="113" t="s">
        <v>709</v>
      </c>
      <c r="L91" s="113" t="s">
        <v>710</v>
      </c>
      <c r="M91" s="113" t="s">
        <v>711</v>
      </c>
      <c r="N91" s="113" t="s">
        <v>712</v>
      </c>
      <c r="O91" s="70"/>
      <c r="P91" s="70"/>
    </row>
    <row r="92" spans="1:19" s="2" customFormat="1" x14ac:dyDescent="0.2">
      <c r="A92" s="24"/>
      <c r="B92" s="1"/>
      <c r="C92" s="56"/>
      <c r="D92" s="56"/>
      <c r="E92" s="104"/>
      <c r="G92" s="30"/>
      <c r="H92" s="30"/>
      <c r="I92" s="70"/>
      <c r="J92" s="113" t="s">
        <v>1860</v>
      </c>
      <c r="K92" s="115">
        <v>195.8</v>
      </c>
      <c r="L92" s="115">
        <v>0</v>
      </c>
      <c r="M92" s="115">
        <v>0</v>
      </c>
      <c r="N92" s="113">
        <f>+K92+M92-L92</f>
        <v>195.8</v>
      </c>
      <c r="O92" s="70"/>
      <c r="P92" s="70"/>
    </row>
    <row r="93" spans="1:19" s="2" customFormat="1" ht="38.25" x14ac:dyDescent="0.2">
      <c r="A93" s="24"/>
      <c r="B93" s="1"/>
      <c r="C93" s="79" t="str">
        <f>"Particulars ( 01-03-2024 to "&amp;TEXT(A5,"dd-mm-yyyy")&amp;" )"</f>
        <v>Particulars ( 01-03-2024 to 05-03-2024 )</v>
      </c>
      <c r="D93" s="79" t="s">
        <v>7</v>
      </c>
      <c r="E93" s="80" t="s">
        <v>73</v>
      </c>
      <c r="F93" s="80" t="s">
        <v>74</v>
      </c>
      <c r="G93" s="81" t="s">
        <v>75</v>
      </c>
      <c r="H93" s="80" t="s">
        <v>76</v>
      </c>
      <c r="I93" s="70"/>
      <c r="J93" s="113" t="s">
        <v>1861</v>
      </c>
      <c r="K93" s="115">
        <v>1883.69</v>
      </c>
      <c r="L93" s="115">
        <v>36.369999999999997</v>
      </c>
      <c r="M93" s="115">
        <v>311.35000000000002</v>
      </c>
      <c r="N93" s="113">
        <f>+K93+M93-L93</f>
        <v>2158.67</v>
      </c>
      <c r="O93" s="70"/>
      <c r="P93" s="70"/>
    </row>
    <row r="94" spans="1:19" s="2" customFormat="1" x14ac:dyDescent="0.2">
      <c r="A94" s="24"/>
      <c r="B94" s="1"/>
      <c r="C94" s="50" t="s">
        <v>444</v>
      </c>
      <c r="D94" s="55">
        <f>+K94</f>
        <v>477.01</v>
      </c>
      <c r="E94" s="55">
        <f>+IF(M94=0,0,M94)</f>
        <v>0</v>
      </c>
      <c r="F94" s="55">
        <f>+L94</f>
        <v>11.82</v>
      </c>
      <c r="G94" s="55">
        <f>+D94+E94-F94</f>
        <v>465.19</v>
      </c>
      <c r="H94" s="55">
        <f>1500-G94</f>
        <v>1034.81</v>
      </c>
      <c r="I94" s="70">
        <f>+IF(M94=0,0,M94)</f>
        <v>0</v>
      </c>
      <c r="J94" s="113" t="s">
        <v>707</v>
      </c>
      <c r="K94" s="115">
        <v>477.01</v>
      </c>
      <c r="L94" s="115">
        <v>11.82</v>
      </c>
      <c r="M94" s="115">
        <v>0</v>
      </c>
      <c r="N94" s="113">
        <f>+K94+M94-L94</f>
        <v>465.19</v>
      </c>
      <c r="O94" s="70"/>
      <c r="P94" s="70"/>
    </row>
    <row r="95" spans="1:19" s="2" customFormat="1" x14ac:dyDescent="0.2">
      <c r="A95" s="24"/>
      <c r="B95" s="1"/>
      <c r="C95" s="50" t="s">
        <v>71</v>
      </c>
      <c r="D95" s="55">
        <f>+K92+K93</f>
        <v>2079.4900000000002</v>
      </c>
      <c r="E95" s="55">
        <f>+M92+M93</f>
        <v>311.35000000000002</v>
      </c>
      <c r="F95" s="55">
        <f>+L92+L93</f>
        <v>36.369999999999997</v>
      </c>
      <c r="G95" s="55">
        <f>+D95+E95-F95</f>
        <v>2354.4700000000003</v>
      </c>
      <c r="H95" s="55">
        <f>1500+700+200-G95</f>
        <v>45.529999999999745</v>
      </c>
      <c r="I95" s="70"/>
      <c r="K95" s="118">
        <f>SUM(K92:K94)</f>
        <v>2556.5</v>
      </c>
      <c r="L95" s="118">
        <f>SUM(L92:L94)</f>
        <v>48.19</v>
      </c>
      <c r="M95" s="118">
        <f>SUM(M92:M94)</f>
        <v>311.35000000000002</v>
      </c>
      <c r="N95" s="118">
        <f>SUM(N92:N94)</f>
        <v>2819.6600000000003</v>
      </c>
      <c r="O95" s="70"/>
      <c r="P95" s="70"/>
    </row>
    <row r="96" spans="1:19" s="2" customFormat="1" x14ac:dyDescent="0.2">
      <c r="A96" s="24"/>
      <c r="B96" s="1"/>
      <c r="C96" s="14"/>
      <c r="D96" s="56"/>
      <c r="E96" s="13"/>
      <c r="G96" s="30"/>
      <c r="H96" s="30"/>
      <c r="I96" s="70"/>
      <c r="J96" s="70"/>
      <c r="K96" s="70"/>
      <c r="L96" s="70"/>
      <c r="M96" s="70"/>
      <c r="N96" s="70"/>
      <c r="O96" s="70"/>
      <c r="P96" s="70"/>
    </row>
    <row r="97" spans="1:16" s="2" customFormat="1" x14ac:dyDescent="0.2">
      <c r="A97" s="215" t="s">
        <v>80</v>
      </c>
      <c r="B97" s="216"/>
      <c r="C97" s="216"/>
      <c r="D97" s="217"/>
      <c r="E97" s="69"/>
      <c r="F97" s="70"/>
      <c r="G97" s="30"/>
      <c r="H97" s="30"/>
      <c r="I97" s="70"/>
      <c r="J97" s="70"/>
      <c r="K97" s="70"/>
      <c r="L97" s="70"/>
      <c r="M97" s="70"/>
      <c r="N97" s="70"/>
      <c r="O97" s="70"/>
      <c r="P97" s="70"/>
    </row>
    <row r="98" spans="1:16" s="2" customFormat="1" x14ac:dyDescent="0.2">
      <c r="A98" s="71" t="s">
        <v>81</v>
      </c>
      <c r="B98" s="71"/>
      <c r="C98" s="72" t="s">
        <v>82</v>
      </c>
      <c r="D98" s="73" t="s">
        <v>83</v>
      </c>
      <c r="E98" s="69"/>
      <c r="F98" s="70"/>
      <c r="G98" s="30"/>
      <c r="H98" s="30"/>
      <c r="I98" s="70"/>
      <c r="J98" s="70"/>
      <c r="K98" s="70"/>
      <c r="L98" s="70"/>
      <c r="M98" s="70"/>
      <c r="N98" s="70"/>
      <c r="O98" s="70"/>
      <c r="P98" s="70"/>
    </row>
    <row r="99" spans="1:16" s="2" customFormat="1" x14ac:dyDescent="0.2">
      <c r="A99" s="87">
        <v>45352</v>
      </c>
      <c r="B99" s="120" t="s">
        <v>6</v>
      </c>
      <c r="C99" s="75" t="s">
        <v>2165</v>
      </c>
      <c r="D99" s="88">
        <v>2143144</v>
      </c>
      <c r="G99" s="30"/>
      <c r="H99" s="30"/>
      <c r="P99" s="70"/>
    </row>
    <row r="100" spans="1:16" s="2" customFormat="1" x14ac:dyDescent="0.2">
      <c r="A100" s="87">
        <v>45352</v>
      </c>
      <c r="B100" s="120" t="s">
        <v>6</v>
      </c>
      <c r="C100" s="75" t="s">
        <v>2171</v>
      </c>
      <c r="D100" s="88">
        <v>1493463</v>
      </c>
      <c r="G100" s="30"/>
      <c r="H100" s="30"/>
      <c r="P100" s="70"/>
    </row>
    <row r="101" spans="1:16" s="2" customFormat="1" x14ac:dyDescent="0.2">
      <c r="A101" s="87"/>
      <c r="B101" s="74"/>
      <c r="C101" s="183" t="s">
        <v>2141</v>
      </c>
      <c r="D101" s="51">
        <f>SUM(D99:D99)</f>
        <v>2143144</v>
      </c>
      <c r="F101" s="2" t="s">
        <v>396</v>
      </c>
      <c r="G101" s="1"/>
      <c r="H101" s="1"/>
      <c r="P101" s="70"/>
    </row>
    <row r="102" spans="1:16" s="2" customFormat="1" x14ac:dyDescent="0.2">
      <c r="A102" s="24"/>
      <c r="B102" s="1"/>
      <c r="C102" s="14"/>
      <c r="D102" s="56"/>
      <c r="E102" s="13"/>
      <c r="G102" s="1"/>
      <c r="H102" s="1"/>
      <c r="I102" s="2" t="s">
        <v>396</v>
      </c>
    </row>
    <row r="103" spans="1:16" s="2" customFormat="1" x14ac:dyDescent="0.2">
      <c r="A103" s="24"/>
      <c r="B103" s="1"/>
      <c r="C103" s="218" t="s">
        <v>77</v>
      </c>
      <c r="D103" s="219"/>
      <c r="E103" s="219"/>
      <c r="F103" s="220"/>
      <c r="I103" s="2" t="s">
        <v>396</v>
      </c>
    </row>
    <row r="104" spans="1:16" s="2" customFormat="1" x14ac:dyDescent="0.2">
      <c r="A104" s="24"/>
      <c r="B104" s="1"/>
      <c r="C104" s="50"/>
      <c r="D104" s="57" t="s">
        <v>78</v>
      </c>
      <c r="E104" s="58" t="s">
        <v>79</v>
      </c>
      <c r="F104" s="57" t="s">
        <v>72</v>
      </c>
    </row>
    <row r="105" spans="1:16" s="2" customFormat="1" x14ac:dyDescent="0.2">
      <c r="A105" s="24"/>
      <c r="B105" s="1"/>
      <c r="C105" s="59" t="str">
        <f>"01-03-2024 to "&amp;TEXT(A5-2,"dd-mm-yyyy")</f>
        <v>01-03-2024 to 03-03-2024</v>
      </c>
      <c r="D105" s="60">
        <v>493.9</v>
      </c>
      <c r="E105" s="60">
        <v>50.5</v>
      </c>
      <c r="F105" s="61">
        <f>SUM(D105:E105)</f>
        <v>544.4</v>
      </c>
      <c r="I105" s="53"/>
    </row>
    <row r="106" spans="1:16" s="2" customFormat="1" x14ac:dyDescent="0.2">
      <c r="A106" s="24"/>
      <c r="B106" s="1"/>
      <c r="C106" s="62" t="str">
        <f>TEXT(A5-1,"dd-mm-yyyy")</f>
        <v>04-03-2024</v>
      </c>
      <c r="D106" s="60">
        <v>81.27</v>
      </c>
      <c r="E106" s="60">
        <v>52.66</v>
      </c>
      <c r="F106" s="61">
        <f>SUM(D106:E106)</f>
        <v>133.93</v>
      </c>
      <c r="G106" s="1"/>
      <c r="H106" s="1"/>
      <c r="I106" s="53"/>
    </row>
    <row r="107" spans="1:16" s="2" customFormat="1" ht="13.5" thickBot="1" x14ac:dyDescent="0.25">
      <c r="A107" s="24"/>
      <c r="B107" s="1"/>
      <c r="C107" s="63" t="str">
        <f>"01-03-2024 to "&amp;TEXT(A5-1,"dd-mm-yyyy")</f>
        <v>01-03-2024 to 04-03-2024</v>
      </c>
      <c r="D107" s="64">
        <f>SUM(D105:D106)</f>
        <v>575.16999999999996</v>
      </c>
      <c r="E107" s="64">
        <f>SUM(E105:E106)</f>
        <v>103.16</v>
      </c>
      <c r="F107" s="64">
        <f>SUM(F105:F106)</f>
        <v>678.32999999999993</v>
      </c>
      <c r="G107" s="1"/>
      <c r="H107" s="1"/>
      <c r="M107" s="1"/>
      <c r="N107" s="1"/>
    </row>
    <row r="108" spans="1:16" s="2" customFormat="1" ht="13.5" thickTop="1" x14ac:dyDescent="0.2">
      <c r="A108" s="24"/>
      <c r="B108" s="1"/>
      <c r="C108" s="62"/>
      <c r="D108" s="65"/>
      <c r="E108" s="66"/>
      <c r="F108" s="67"/>
      <c r="M108" s="1"/>
      <c r="N108" s="1"/>
    </row>
    <row r="109" spans="1:16" s="2" customFormat="1" x14ac:dyDescent="0.2">
      <c r="A109" s="24"/>
      <c r="B109" s="1"/>
      <c r="C109" s="62" t="str">
        <f>"01-04-2023 to " &amp;C106</f>
        <v>01-04-2023 to 04-03-2024</v>
      </c>
      <c r="D109" s="68">
        <f>+D107+41133.88</f>
        <v>41709.049999999996</v>
      </c>
      <c r="E109" s="68">
        <f>+E107+5178.87</f>
        <v>5282.03</v>
      </c>
      <c r="F109" s="68">
        <f>+F107+46312.75</f>
        <v>46991.08</v>
      </c>
      <c r="G109" s="1"/>
      <c r="H109" s="1"/>
      <c r="M109" s="1"/>
      <c r="N109" s="1"/>
    </row>
    <row r="110" spans="1:16" s="2" customFormat="1" x14ac:dyDescent="0.2">
      <c r="A110" s="24"/>
      <c r="B110" s="1"/>
      <c r="C110" s="52"/>
      <c r="D110" s="85"/>
      <c r="E110" s="53"/>
      <c r="F110" s="53"/>
      <c r="G110" s="1"/>
      <c r="H110" s="1"/>
      <c r="M110" s="1"/>
      <c r="N110" s="1"/>
    </row>
    <row r="111" spans="1:16" s="2" customFormat="1" x14ac:dyDescent="0.2">
      <c r="A111" s="24"/>
      <c r="B111" s="1"/>
      <c r="C111" s="52"/>
      <c r="D111" s="85"/>
      <c r="E111" s="53"/>
      <c r="F111" s="53"/>
      <c r="G111" s="1"/>
      <c r="H111" s="1"/>
      <c r="M111" s="1"/>
      <c r="N111" s="1"/>
    </row>
    <row r="112" spans="1:16" s="2" customFormat="1" x14ac:dyDescent="0.2">
      <c r="A112" s="24"/>
      <c r="B112" s="1"/>
      <c r="C112" s="52"/>
      <c r="D112" s="85"/>
      <c r="E112" s="53"/>
      <c r="F112" s="53"/>
      <c r="G112" s="1"/>
      <c r="H112" s="1"/>
      <c r="M112" s="1"/>
      <c r="N112" s="1"/>
    </row>
    <row r="113" spans="1:19" s="2" customFormat="1" x14ac:dyDescent="0.2">
      <c r="A113" s="24"/>
      <c r="B113" s="1"/>
      <c r="C113" s="52"/>
      <c r="D113" s="85"/>
      <c r="E113" s="53"/>
      <c r="F113" s="53"/>
      <c r="G113" s="1"/>
      <c r="H113" s="1"/>
      <c r="M113" s="1"/>
      <c r="N113" s="1"/>
    </row>
    <row r="114" spans="1:19" s="2" customFormat="1" x14ac:dyDescent="0.2">
      <c r="A114" s="24"/>
      <c r="B114" s="1"/>
      <c r="C114" s="14"/>
      <c r="D114" s="25">
        <f>SUM(D111:D113)</f>
        <v>0</v>
      </c>
      <c r="E114" s="2">
        <f>SUM(E111:E113)</f>
        <v>0</v>
      </c>
      <c r="G114" s="1"/>
      <c r="H114" s="1"/>
      <c r="M114" s="1"/>
      <c r="N114" s="1"/>
    </row>
    <row r="115" spans="1:19" s="2" customFormat="1" x14ac:dyDescent="0.2">
      <c r="A115" s="24"/>
      <c r="B115" s="1"/>
      <c r="C115" s="14"/>
      <c r="D115" s="25"/>
      <c r="G115" s="1"/>
      <c r="H115" s="1"/>
      <c r="M115" s="1"/>
      <c r="N115" s="1"/>
    </row>
    <row r="116" spans="1:19" s="2" customFormat="1" x14ac:dyDescent="0.2">
      <c r="A116" s="24"/>
      <c r="B116" s="1"/>
      <c r="C116" s="14"/>
      <c r="D116" s="25"/>
      <c r="G116" s="1"/>
      <c r="H116" s="1"/>
      <c r="M116" s="1"/>
      <c r="N116" s="1"/>
    </row>
    <row r="117" spans="1:19" s="2" customFormat="1" x14ac:dyDescent="0.2">
      <c r="A117" s="24"/>
      <c r="B117" s="1"/>
      <c r="C117" s="14"/>
      <c r="D117" s="25"/>
      <c r="G117" s="1"/>
      <c r="H117" s="1"/>
      <c r="M117" s="1"/>
      <c r="N117" s="1"/>
    </row>
    <row r="118" spans="1:19" s="2" customFormat="1" x14ac:dyDescent="0.2">
      <c r="A118" s="24"/>
      <c r="B118" s="1"/>
      <c r="C118" s="14"/>
      <c r="D118" s="25"/>
      <c r="G118" s="1"/>
      <c r="H118" s="1"/>
      <c r="M118" s="1"/>
      <c r="N118" s="1"/>
    </row>
    <row r="119" spans="1:19" s="2" customFormat="1" x14ac:dyDescent="0.2">
      <c r="A119" s="24"/>
      <c r="B119" s="1"/>
      <c r="C119" s="14"/>
      <c r="D119" s="25"/>
      <c r="G119" s="1"/>
      <c r="H119" s="1"/>
      <c r="M119" s="1"/>
      <c r="N119" s="1"/>
    </row>
    <row r="120" spans="1:19" s="2" customFormat="1" x14ac:dyDescent="0.2">
      <c r="A120" s="24"/>
      <c r="B120" s="1"/>
      <c r="C120" s="14"/>
      <c r="D120" s="25"/>
      <c r="G120" s="1"/>
      <c r="H120" s="1"/>
      <c r="M120" s="1"/>
      <c r="N120" s="1"/>
    </row>
    <row r="121" spans="1:19" s="2" customFormat="1" x14ac:dyDescent="0.2">
      <c r="A121" s="24"/>
      <c r="B121" s="1"/>
      <c r="C121" s="14"/>
      <c r="D121" s="25"/>
      <c r="G121" s="1"/>
      <c r="H121" s="1"/>
      <c r="M121" s="1"/>
      <c r="N121" s="1"/>
      <c r="Q121" s="1"/>
      <c r="R121" s="1"/>
      <c r="S121" s="1"/>
    </row>
    <row r="122" spans="1:19" x14ac:dyDescent="0.2">
      <c r="J122" s="2"/>
      <c r="K122" s="2"/>
      <c r="L122" s="2"/>
      <c r="O122" s="2"/>
      <c r="P122" s="2"/>
      <c r="Q122" s="2"/>
      <c r="R122" s="2"/>
      <c r="S122" s="2"/>
    </row>
    <row r="123" spans="1:19" s="2" customFormat="1" x14ac:dyDescent="0.2">
      <c r="A123" s="24"/>
      <c r="B123" s="1"/>
      <c r="C123" s="14"/>
      <c r="D123" s="25"/>
      <c r="G123" s="1"/>
      <c r="H123" s="1"/>
      <c r="M123" s="1"/>
      <c r="N123" s="1"/>
      <c r="Q123" s="1"/>
      <c r="R123" s="1"/>
      <c r="S123" s="1"/>
    </row>
    <row r="124" spans="1:19" x14ac:dyDescent="0.2">
      <c r="J124" s="2"/>
      <c r="K124" s="2"/>
      <c r="L124" s="2"/>
      <c r="O124" s="2"/>
      <c r="P124" s="2"/>
    </row>
    <row r="125" spans="1:19" x14ac:dyDescent="0.2">
      <c r="J125" s="2"/>
      <c r="K125" s="2"/>
      <c r="L125" s="2"/>
      <c r="O125" s="2"/>
      <c r="P125" s="2"/>
    </row>
    <row r="126" spans="1:19" x14ac:dyDescent="0.2">
      <c r="J126" s="2"/>
      <c r="K126" s="2"/>
      <c r="L126" s="2"/>
      <c r="O126" s="2"/>
      <c r="P126" s="2"/>
    </row>
    <row r="127" spans="1:19" x14ac:dyDescent="0.2">
      <c r="J127" s="2"/>
      <c r="K127" s="2"/>
      <c r="L127" s="2"/>
      <c r="O127" s="2"/>
      <c r="P127" s="2"/>
    </row>
    <row r="128" spans="1:19" x14ac:dyDescent="0.2">
      <c r="O128" s="2"/>
      <c r="P128" s="2"/>
    </row>
    <row r="129" spans="7:16" x14ac:dyDescent="0.2">
      <c r="J129" s="2"/>
      <c r="K129" s="2"/>
      <c r="L129" s="2"/>
      <c r="M129" s="2"/>
      <c r="N129" s="2"/>
      <c r="O129" s="2"/>
      <c r="P129" s="2"/>
    </row>
    <row r="130" spans="7:16" x14ac:dyDescent="0.2">
      <c r="O130" s="2"/>
      <c r="P130" s="2"/>
    </row>
    <row r="131" spans="7:16" x14ac:dyDescent="0.2">
      <c r="G131" s="54"/>
      <c r="H131" s="54"/>
      <c r="O131" s="2"/>
      <c r="P131" s="2"/>
    </row>
    <row r="132" spans="7:16" x14ac:dyDescent="0.2">
      <c r="G132" s="54"/>
      <c r="H132" s="54"/>
      <c r="O132" s="2"/>
      <c r="P132" s="2"/>
    </row>
    <row r="133" spans="7:16" x14ac:dyDescent="0.2">
      <c r="G133" s="54"/>
      <c r="H133" s="54"/>
      <c r="O133" s="2"/>
      <c r="P133" s="2"/>
    </row>
    <row r="134" spans="7:16" x14ac:dyDescent="0.2">
      <c r="G134" s="54"/>
      <c r="H134" s="54"/>
      <c r="I134" s="2" t="s">
        <v>396</v>
      </c>
      <c r="O134" s="2"/>
      <c r="P134" s="2"/>
    </row>
    <row r="135" spans="7:16" x14ac:dyDescent="0.2">
      <c r="G135" s="54"/>
      <c r="H135" s="54"/>
      <c r="I135" s="53"/>
      <c r="J135" s="2"/>
      <c r="K135" s="2"/>
      <c r="L135" s="2"/>
      <c r="M135" s="2"/>
      <c r="N135" s="2"/>
      <c r="P135" s="2"/>
    </row>
    <row r="136" spans="7:16" x14ac:dyDescent="0.2">
      <c r="G136" s="54"/>
      <c r="H136" s="54"/>
      <c r="I136" s="53" t="s">
        <v>396</v>
      </c>
      <c r="O136" s="2"/>
      <c r="P136" s="2"/>
    </row>
    <row r="137" spans="7:16" x14ac:dyDescent="0.2">
      <c r="G137" s="54"/>
      <c r="H137" s="54"/>
      <c r="I137" s="53" t="s">
        <v>396</v>
      </c>
      <c r="K137" s="42"/>
      <c r="P137" s="2"/>
    </row>
    <row r="138" spans="7:16" x14ac:dyDescent="0.2">
      <c r="G138" s="54"/>
      <c r="H138" s="54"/>
      <c r="I138" s="53"/>
      <c r="J138" s="101"/>
      <c r="P138" s="2"/>
    </row>
    <row r="139" spans="7:16" x14ac:dyDescent="0.2">
      <c r="G139" s="54"/>
      <c r="H139" s="54"/>
      <c r="I139" s="53"/>
    </row>
    <row r="140" spans="7:16" x14ac:dyDescent="0.2">
      <c r="G140" s="54"/>
      <c r="H140" s="54"/>
      <c r="I140" s="53"/>
      <c r="P140" s="2"/>
    </row>
    <row r="141" spans="7:16" x14ac:dyDescent="0.2">
      <c r="G141" s="54"/>
      <c r="H141" s="54"/>
      <c r="I141" s="53"/>
    </row>
  </sheetData>
  <sheetProtection insertRows="0"/>
  <mergeCells count="8">
    <mergeCell ref="K90:L90"/>
    <mergeCell ref="A97:D97"/>
    <mergeCell ref="C103:F103"/>
    <mergeCell ref="A1:H1"/>
    <mergeCell ref="A3:F3"/>
    <mergeCell ref="A10:F10"/>
    <mergeCell ref="A25:F25"/>
    <mergeCell ref="A37:F37"/>
  </mergeCells>
  <conditionalFormatting sqref="H94:H95">
    <cfRule type="cellIs" dxfId="41" priority="1" operator="lessThan">
      <formula>0</formula>
    </cfRule>
  </conditionalFormatting>
  <conditionalFormatting sqref="C39">
    <cfRule type="duplicateValues" dxfId="40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1-000000000000}">
  <sheetPr codeName="Sheet566">
    <pageSetUpPr fitToPage="1"/>
  </sheetPr>
  <dimension ref="A1:S132"/>
  <sheetViews>
    <sheetView topLeftCell="A58" zoomScaleNormal="100" workbookViewId="0">
      <selection activeCell="E76" sqref="E76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12.85546875" style="1" customWidth="1"/>
    <col min="9" max="9" width="24.85546875" style="2" bestFit="1" customWidth="1"/>
    <col min="10" max="10" width="21.5703125" style="1" bestFit="1" customWidth="1"/>
    <col min="11" max="11" width="16.85546875" style="1" bestFit="1" customWidth="1"/>
    <col min="12" max="12" width="19.5703125" style="1" bestFit="1" customWidth="1"/>
    <col min="13" max="13" width="13.5703125" style="1" bestFit="1" customWidth="1"/>
    <col min="14" max="14" width="17.42578125" style="1" bestFit="1" customWidth="1"/>
    <col min="15" max="15" width="12.85546875" style="1" bestFit="1" customWidth="1"/>
    <col min="16" max="17" width="9.140625" style="1"/>
    <col min="18" max="18" width="15.5703125" style="1" bestFit="1" customWidth="1"/>
    <col min="19" max="16384" width="9.140625" style="1"/>
  </cols>
  <sheetData>
    <row r="1" spans="1:11" ht="20.25" customHeight="1" x14ac:dyDescent="0.4">
      <c r="A1" s="212" t="s">
        <v>2177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1" ht="12.75" customHeight="1" x14ac:dyDescent="0.4">
      <c r="I2" s="112"/>
      <c r="J2" s="112"/>
    </row>
    <row r="3" spans="1:11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1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1" s="2" customFormat="1" ht="14.25" customHeight="1" x14ac:dyDescent="0.4">
      <c r="A5" s="89">
        <v>45357</v>
      </c>
      <c r="B5" s="9" t="s">
        <v>6</v>
      </c>
      <c r="C5" s="10" t="s">
        <v>7</v>
      </c>
      <c r="D5" s="11"/>
      <c r="E5" s="12">
        <v>4462876.8400000008</v>
      </c>
      <c r="F5" s="12"/>
      <c r="G5" s="1"/>
      <c r="H5" s="1"/>
      <c r="I5" s="112"/>
      <c r="J5" s="112"/>
    </row>
    <row r="6" spans="1:11" s="2" customFormat="1" ht="12.75" customHeight="1" x14ac:dyDescent="0.2">
      <c r="D6" s="15" t="s">
        <v>8</v>
      </c>
      <c r="E6" s="16">
        <f>SUM(E5:E5)</f>
        <v>4462876.8400000008</v>
      </c>
      <c r="F6" s="16">
        <f>F5</f>
        <v>0</v>
      </c>
      <c r="G6" s="1"/>
      <c r="H6" s="1"/>
      <c r="I6" s="13" t="s">
        <v>1582</v>
      </c>
      <c r="J6" s="13" t="s">
        <v>1583</v>
      </c>
    </row>
    <row r="7" spans="1:11" s="2" customFormat="1" ht="12.75" customHeight="1" x14ac:dyDescent="0.2">
      <c r="A7" s="17"/>
      <c r="B7" s="18"/>
      <c r="C7" s="19" t="s">
        <v>9</v>
      </c>
      <c r="D7" s="20"/>
      <c r="E7" s="21">
        <f>+E6-F6</f>
        <v>4462876.8400000008</v>
      </c>
      <c r="F7" s="22"/>
      <c r="G7" s="23"/>
      <c r="H7" s="23"/>
      <c r="I7" s="2">
        <v>0</v>
      </c>
      <c r="J7" s="2">
        <v>0</v>
      </c>
      <c r="K7" s="176">
        <f>I7-J7</f>
        <v>0</v>
      </c>
    </row>
    <row r="8" spans="1:11" ht="11.25" customHeight="1" x14ac:dyDescent="0.4">
      <c r="I8" s="112"/>
      <c r="J8" s="112"/>
    </row>
    <row r="9" spans="1:11" ht="18" customHeight="1" x14ac:dyDescent="0.4">
      <c r="A9" s="213" t="s">
        <v>2103</v>
      </c>
      <c r="B9" s="213"/>
      <c r="C9" s="213"/>
      <c r="D9" s="213"/>
      <c r="E9" s="213"/>
      <c r="F9" s="213"/>
      <c r="I9" s="112"/>
      <c r="J9" s="112"/>
    </row>
    <row r="10" spans="1:11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I10" s="112"/>
      <c r="J10" s="112"/>
    </row>
    <row r="11" spans="1:11" ht="12.75" customHeight="1" x14ac:dyDescent="0.4">
      <c r="A11" s="89">
        <v>45357</v>
      </c>
      <c r="B11" s="9" t="s">
        <v>6</v>
      </c>
      <c r="C11" s="10" t="s">
        <v>7</v>
      </c>
      <c r="D11" s="11"/>
      <c r="E11" s="12">
        <v>1197004.7699999986</v>
      </c>
      <c r="F11" s="1"/>
      <c r="I11" s="112"/>
      <c r="J11" s="112"/>
    </row>
    <row r="12" spans="1:11" ht="12.75" customHeight="1" x14ac:dyDescent="0.4">
      <c r="A12" s="89">
        <v>45357</v>
      </c>
      <c r="B12" s="9" t="s">
        <v>11</v>
      </c>
      <c r="C12" s="76" t="s">
        <v>1606</v>
      </c>
      <c r="D12" s="11" t="s">
        <v>29</v>
      </c>
      <c r="E12" s="31"/>
      <c r="F12" s="31">
        <v>57125</v>
      </c>
      <c r="I12" s="112"/>
      <c r="J12" s="112"/>
    </row>
    <row r="13" spans="1:11" ht="12.75" customHeight="1" x14ac:dyDescent="0.4">
      <c r="A13" s="89">
        <v>45357</v>
      </c>
      <c r="B13" s="9" t="s">
        <v>11</v>
      </c>
      <c r="C13" s="76" t="s">
        <v>2178</v>
      </c>
      <c r="D13" s="11" t="s">
        <v>29</v>
      </c>
      <c r="E13" s="31"/>
      <c r="F13" s="31">
        <v>241020</v>
      </c>
      <c r="I13" s="112"/>
      <c r="J13" s="112"/>
    </row>
    <row r="14" spans="1:11" ht="12.75" customHeight="1" x14ac:dyDescent="0.4">
      <c r="A14" s="89">
        <v>45357</v>
      </c>
      <c r="B14" s="9" t="s">
        <v>11</v>
      </c>
      <c r="C14" s="76" t="s">
        <v>1268</v>
      </c>
      <c r="D14" s="11" t="s">
        <v>29</v>
      </c>
      <c r="E14" s="31"/>
      <c r="F14" s="31">
        <v>2891</v>
      </c>
      <c r="I14" s="112"/>
      <c r="J14" s="112"/>
    </row>
    <row r="15" spans="1:11" ht="12.75" customHeight="1" x14ac:dyDescent="0.4">
      <c r="A15" s="89">
        <v>45357</v>
      </c>
      <c r="B15" s="9" t="s">
        <v>11</v>
      </c>
      <c r="C15" s="76" t="s">
        <v>937</v>
      </c>
      <c r="D15" s="11" t="s">
        <v>29</v>
      </c>
      <c r="E15" s="31"/>
      <c r="F15" s="31">
        <v>4696</v>
      </c>
      <c r="I15" s="112"/>
      <c r="J15" s="112"/>
    </row>
    <row r="16" spans="1:11" ht="12.75" customHeight="1" x14ac:dyDescent="0.4">
      <c r="A16" s="89">
        <v>45357</v>
      </c>
      <c r="B16" s="9" t="s">
        <v>11</v>
      </c>
      <c r="C16" s="76" t="s">
        <v>196</v>
      </c>
      <c r="D16" s="11" t="s">
        <v>29</v>
      </c>
      <c r="E16" s="31"/>
      <c r="F16" s="31">
        <v>65000</v>
      </c>
      <c r="I16" s="112"/>
      <c r="J16" s="112"/>
    </row>
    <row r="17" spans="1:12" ht="12.75" customHeight="1" x14ac:dyDescent="0.2">
      <c r="A17" s="2"/>
      <c r="B17" s="2"/>
      <c r="C17" s="2"/>
      <c r="D17" s="11" t="s">
        <v>8</v>
      </c>
      <c r="E17" s="16">
        <f>SUM(E11:E11)</f>
        <v>1197004.7699999986</v>
      </c>
      <c r="F17" s="16">
        <f>SUM(F12:F16)</f>
        <v>370732</v>
      </c>
      <c r="I17" s="13" t="s">
        <v>1582</v>
      </c>
      <c r="J17" s="13" t="s">
        <v>1583</v>
      </c>
    </row>
    <row r="18" spans="1:12" x14ac:dyDescent="0.2">
      <c r="A18" s="17"/>
      <c r="B18" s="18"/>
      <c r="C18" s="19" t="s">
        <v>9</v>
      </c>
      <c r="D18" s="20"/>
      <c r="E18" s="21">
        <f>+E17-F17</f>
        <v>826272.76999999862</v>
      </c>
      <c r="I18" s="2">
        <v>0</v>
      </c>
      <c r="J18" s="2">
        <v>5606948</v>
      </c>
    </row>
    <row r="19" spans="1:12" ht="18" customHeight="1" x14ac:dyDescent="0.25">
      <c r="A19" s="36"/>
      <c r="B19" s="28"/>
      <c r="C19" s="44"/>
      <c r="D19" s="43"/>
      <c r="E19" s="38"/>
      <c r="F19" s="22"/>
      <c r="J19" s="2"/>
    </row>
    <row r="20" spans="1:12" ht="18" customHeight="1" x14ac:dyDescent="0.4">
      <c r="A20" s="213" t="s">
        <v>2104</v>
      </c>
      <c r="B20" s="213"/>
      <c r="C20" s="213"/>
      <c r="D20" s="213"/>
      <c r="E20" s="213"/>
      <c r="F20" s="213"/>
      <c r="I20" s="112"/>
      <c r="J20" s="169">
        <f>90000000-60000000</f>
        <v>30000000</v>
      </c>
      <c r="K20" s="169" t="s">
        <v>1508</v>
      </c>
    </row>
    <row r="21" spans="1:12" ht="12.75" customHeight="1" x14ac:dyDescent="0.4">
      <c r="A21" s="3" t="s">
        <v>1</v>
      </c>
      <c r="B21" s="4" t="s">
        <v>2</v>
      </c>
      <c r="C21" s="5"/>
      <c r="D21" s="6" t="s">
        <v>3</v>
      </c>
      <c r="E21" s="7" t="s">
        <v>4</v>
      </c>
      <c r="F21" s="7" t="s">
        <v>5</v>
      </c>
      <c r="I21" s="112"/>
      <c r="J21" s="169">
        <v>23488107.940000001</v>
      </c>
      <c r="K21" s="169" t="s">
        <v>1509</v>
      </c>
      <c r="L21" s="124"/>
    </row>
    <row r="22" spans="1:12" s="2" customFormat="1" ht="14.25" customHeight="1" x14ac:dyDescent="0.2">
      <c r="A22" s="89">
        <v>45357</v>
      </c>
      <c r="B22" s="9" t="s">
        <v>6</v>
      </c>
      <c r="C22" s="10" t="s">
        <v>7</v>
      </c>
      <c r="D22" s="11"/>
      <c r="F22" s="12">
        <v>23573618.960000001</v>
      </c>
      <c r="G22" s="1"/>
      <c r="H22" s="1"/>
      <c r="I22" s="130" t="s">
        <v>396</v>
      </c>
      <c r="J22" s="169">
        <f>+J20-J21</f>
        <v>6511892.0599999987</v>
      </c>
      <c r="K22" s="169" t="s">
        <v>712</v>
      </c>
      <c r="L22" s="165" t="s">
        <v>1512</v>
      </c>
    </row>
    <row r="23" spans="1:12" s="2" customFormat="1" ht="14.25" customHeight="1" x14ac:dyDescent="0.2">
      <c r="A23" s="89">
        <v>45357</v>
      </c>
      <c r="B23" s="9" t="s">
        <v>6</v>
      </c>
      <c r="C23" s="76" t="s">
        <v>158</v>
      </c>
      <c r="D23" s="11" t="s">
        <v>13</v>
      </c>
      <c r="E23" s="31">
        <v>43950</v>
      </c>
      <c r="F23" s="12"/>
      <c r="G23" s="1"/>
      <c r="H23" s="1"/>
      <c r="I23" s="130"/>
      <c r="J23" s="169"/>
      <c r="K23" s="169"/>
      <c r="L23" s="165"/>
    </row>
    <row r="24" spans="1:12" s="2" customFormat="1" ht="14.25" customHeight="1" x14ac:dyDescent="0.2">
      <c r="A24" s="89">
        <v>45357</v>
      </c>
      <c r="B24" s="9" t="s">
        <v>6</v>
      </c>
      <c r="C24" s="76" t="s">
        <v>1002</v>
      </c>
      <c r="D24" s="11" t="s">
        <v>13</v>
      </c>
      <c r="E24" s="31">
        <v>41696.019999999997</v>
      </c>
      <c r="F24" s="12"/>
      <c r="G24" s="1"/>
      <c r="H24" s="1"/>
      <c r="I24" s="130"/>
      <c r="J24" s="169"/>
      <c r="K24" s="169"/>
      <c r="L24" s="165"/>
    </row>
    <row r="25" spans="1:12" s="2" customFormat="1" ht="14.25" customHeight="1" x14ac:dyDescent="0.2">
      <c r="A25" s="89">
        <v>45357</v>
      </c>
      <c r="B25" s="9" t="s">
        <v>11</v>
      </c>
      <c r="C25" s="76" t="s">
        <v>156</v>
      </c>
      <c r="D25" s="11" t="s">
        <v>29</v>
      </c>
      <c r="E25" s="31"/>
      <c r="F25" s="12">
        <v>135</v>
      </c>
      <c r="G25" s="1"/>
      <c r="H25" s="1"/>
      <c r="I25" s="130"/>
      <c r="J25" s="169"/>
      <c r="K25" s="169"/>
      <c r="L25" s="165"/>
    </row>
    <row r="26" spans="1:12" s="2" customFormat="1" ht="14.25" customHeight="1" x14ac:dyDescent="0.2">
      <c r="A26" s="89">
        <v>45357</v>
      </c>
      <c r="B26" s="9" t="s">
        <v>11</v>
      </c>
      <c r="C26" s="76" t="s">
        <v>330</v>
      </c>
      <c r="D26" s="11" t="s">
        <v>29</v>
      </c>
      <c r="E26" s="31"/>
      <c r="F26" s="31">
        <v>1000000</v>
      </c>
      <c r="G26" s="1"/>
      <c r="H26" s="1"/>
      <c r="I26" s="130"/>
      <c r="J26" s="169"/>
      <c r="K26" s="169"/>
      <c r="L26" s="165"/>
    </row>
    <row r="27" spans="1:12" s="2" customFormat="1" ht="14.25" customHeight="1" x14ac:dyDescent="0.2">
      <c r="A27" s="89">
        <v>45357</v>
      </c>
      <c r="B27" s="9" t="s">
        <v>11</v>
      </c>
      <c r="C27" s="76" t="s">
        <v>923</v>
      </c>
      <c r="D27" s="11" t="s">
        <v>29</v>
      </c>
      <c r="E27" s="31"/>
      <c r="F27" s="31">
        <v>300000</v>
      </c>
      <c r="G27" s="1"/>
      <c r="H27" s="1"/>
      <c r="I27" s="130"/>
      <c r="J27" s="169"/>
      <c r="K27" s="169"/>
      <c r="L27" s="165"/>
    </row>
    <row r="28" spans="1:12" s="2" customFormat="1" ht="14.25" customHeight="1" x14ac:dyDescent="0.2">
      <c r="A28" s="89">
        <v>45357</v>
      </c>
      <c r="B28" s="9" t="s">
        <v>11</v>
      </c>
      <c r="C28" s="76" t="s">
        <v>2179</v>
      </c>
      <c r="D28" s="11" t="s">
        <v>29</v>
      </c>
      <c r="E28" s="31"/>
      <c r="F28" s="31">
        <v>1500000</v>
      </c>
      <c r="G28" s="1"/>
      <c r="H28" s="1"/>
      <c r="I28" s="130"/>
      <c r="J28" s="169"/>
      <c r="K28" s="169"/>
      <c r="L28" s="165"/>
    </row>
    <row r="29" spans="1:12" s="2" customFormat="1" ht="14.25" customHeight="1" x14ac:dyDescent="0.2">
      <c r="A29" s="89">
        <v>45357</v>
      </c>
      <c r="B29" s="9" t="s">
        <v>11</v>
      </c>
      <c r="C29" s="76" t="s">
        <v>212</v>
      </c>
      <c r="D29" s="11" t="s">
        <v>29</v>
      </c>
      <c r="E29" s="31"/>
      <c r="F29" s="12">
        <v>2806948</v>
      </c>
      <c r="G29" s="1"/>
      <c r="H29" s="1"/>
      <c r="I29" s="130"/>
      <c r="J29" s="169"/>
      <c r="K29" s="169"/>
      <c r="L29" s="165"/>
    </row>
    <row r="30" spans="1:12" s="2" customFormat="1" ht="14.25" customHeight="1" x14ac:dyDescent="0.4">
      <c r="D30" s="11" t="s">
        <v>8</v>
      </c>
      <c r="E30" s="16">
        <f>SUM(E23:E24)</f>
        <v>85646.01999999999</v>
      </c>
      <c r="F30" s="16">
        <f>SUM(F22:F29)</f>
        <v>29180701.960000001</v>
      </c>
      <c r="G30" s="1"/>
      <c r="H30" s="1"/>
      <c r="J30" s="112"/>
      <c r="K30" s="153" t="s">
        <v>779</v>
      </c>
    </row>
    <row r="31" spans="1:12" s="2" customFormat="1" ht="14.25" customHeight="1" x14ac:dyDescent="0.2">
      <c r="A31" s="17"/>
      <c r="B31" s="18"/>
      <c r="C31" s="96" t="s">
        <v>9</v>
      </c>
      <c r="D31" s="20"/>
      <c r="E31" s="21">
        <f>+F30-E30</f>
        <v>29095055.940000001</v>
      </c>
      <c r="G31" s="1"/>
      <c r="H31" s="1"/>
      <c r="J31" s="40">
        <v>29095055.940000001</v>
      </c>
      <c r="K31" s="154">
        <f>J31-E31</f>
        <v>0</v>
      </c>
    </row>
    <row r="32" spans="1:12" s="2" customFormat="1" ht="14.25" customHeight="1" x14ac:dyDescent="0.2">
      <c r="A32" s="17"/>
      <c r="B32" s="28" t="s">
        <v>66</v>
      </c>
      <c r="C32" s="43" t="s">
        <v>1458</v>
      </c>
      <c r="D32" s="43"/>
      <c r="E32" s="12">
        <f>30000000+60000000</f>
        <v>90000000</v>
      </c>
      <c r="F32" s="22"/>
      <c r="G32" s="1"/>
      <c r="H32" s="1"/>
      <c r="I32" s="13" t="s">
        <v>1582</v>
      </c>
      <c r="J32" s="13" t="s">
        <v>1583</v>
      </c>
    </row>
    <row r="33" spans="1:12" s="2" customFormat="1" ht="14.25" customHeight="1" x14ac:dyDescent="0.25">
      <c r="A33" s="36"/>
      <c r="B33" s="28"/>
      <c r="C33" s="44" t="s">
        <v>1541</v>
      </c>
      <c r="D33" s="43"/>
      <c r="E33" s="7">
        <f>+E31+E32</f>
        <v>119095055.94</v>
      </c>
      <c r="F33" s="22"/>
      <c r="G33" s="1"/>
      <c r="H33" s="1"/>
      <c r="I33" s="2">
        <v>1500000</v>
      </c>
      <c r="J33" s="2">
        <v>22428410</v>
      </c>
      <c r="K33" s="176">
        <f>I33-J33</f>
        <v>-20928410</v>
      </c>
    </row>
    <row r="34" spans="1:12" s="2" customFormat="1" ht="14.25" customHeight="1" x14ac:dyDescent="0.25">
      <c r="A34" s="36"/>
      <c r="B34" s="28"/>
      <c r="C34" s="44" t="s">
        <v>1511</v>
      </c>
      <c r="D34" s="43"/>
      <c r="E34" s="38">
        <f>I18-J18+J22</f>
        <v>904944.05999999866</v>
      </c>
      <c r="F34" s="22"/>
      <c r="G34" s="1"/>
      <c r="H34" s="1"/>
      <c r="J34" s="130"/>
      <c r="K34" s="130"/>
    </row>
    <row r="35" spans="1:12" s="2" customFormat="1" x14ac:dyDescent="0.2">
      <c r="A35" s="24"/>
      <c r="B35" s="1"/>
      <c r="C35" s="14"/>
      <c r="D35" s="25"/>
      <c r="G35" s="1"/>
      <c r="H35" s="1"/>
      <c r="I35" s="159"/>
      <c r="J35" s="160">
        <f>100000000+175000000</f>
        <v>275000000</v>
      </c>
      <c r="K35" s="160" t="s">
        <v>1506</v>
      </c>
      <c r="L35" s="70"/>
    </row>
    <row r="36" spans="1:12" s="2" customFormat="1" ht="15" x14ac:dyDescent="0.35">
      <c r="A36" s="214" t="s">
        <v>10</v>
      </c>
      <c r="B36" s="214"/>
      <c r="C36" s="214"/>
      <c r="D36" s="214"/>
      <c r="E36" s="214"/>
      <c r="F36" s="214"/>
      <c r="G36" s="1"/>
      <c r="H36" s="1"/>
      <c r="I36" s="159"/>
      <c r="J36" s="179">
        <v>240249441.37</v>
      </c>
      <c r="K36" s="160" t="s">
        <v>1507</v>
      </c>
      <c r="L36" s="70" t="s">
        <v>1512</v>
      </c>
    </row>
    <row r="37" spans="1:12" s="2" customFormat="1" x14ac:dyDescent="0.2">
      <c r="A37" s="26" t="s">
        <v>1</v>
      </c>
      <c r="B37" s="27" t="s">
        <v>2</v>
      </c>
      <c r="C37" s="5"/>
      <c r="D37" s="6" t="s">
        <v>3</v>
      </c>
      <c r="E37" s="7" t="s">
        <v>4</v>
      </c>
      <c r="F37" s="7" t="s">
        <v>5</v>
      </c>
      <c r="G37" s="1"/>
      <c r="H37" s="1"/>
      <c r="I37" s="159" t="s">
        <v>1505</v>
      </c>
      <c r="J37" s="160">
        <f>+J35-J36</f>
        <v>34750558.629999995</v>
      </c>
      <c r="K37" s="160"/>
      <c r="L37" s="70"/>
    </row>
    <row r="38" spans="1:12" s="2" customFormat="1" x14ac:dyDescent="0.2">
      <c r="A38" s="89" t="s">
        <v>2180</v>
      </c>
      <c r="B38" s="128" t="s">
        <v>11</v>
      </c>
      <c r="C38" s="29" t="s">
        <v>7</v>
      </c>
      <c r="D38" s="25"/>
      <c r="E38" s="31"/>
      <c r="F38" s="13">
        <v>232006207.77999991</v>
      </c>
      <c r="G38" s="23"/>
      <c r="H38" s="23"/>
      <c r="I38" s="159"/>
      <c r="J38" s="160"/>
      <c r="K38" s="160"/>
      <c r="L38" s="70"/>
    </row>
    <row r="39" spans="1:12" s="2" customFormat="1" x14ac:dyDescent="0.2">
      <c r="A39" s="89" t="s">
        <v>2180</v>
      </c>
      <c r="B39" s="128" t="s">
        <v>6</v>
      </c>
      <c r="C39" s="181" t="s">
        <v>123</v>
      </c>
      <c r="D39" s="11" t="s">
        <v>13</v>
      </c>
      <c r="E39" s="86">
        <v>18041</v>
      </c>
      <c r="G39" s="23"/>
      <c r="H39" s="23"/>
      <c r="I39" s="159"/>
      <c r="J39" s="160"/>
      <c r="K39" s="160"/>
      <c r="L39" s="70"/>
    </row>
    <row r="40" spans="1:12" s="2" customFormat="1" x14ac:dyDescent="0.2">
      <c r="A40" s="89" t="s">
        <v>2180</v>
      </c>
      <c r="B40" s="128" t="s">
        <v>6</v>
      </c>
      <c r="C40" s="181" t="s">
        <v>146</v>
      </c>
      <c r="D40" s="11" t="s">
        <v>13</v>
      </c>
      <c r="E40" s="86">
        <v>200730.26</v>
      </c>
      <c r="G40" s="23"/>
      <c r="H40" s="23"/>
      <c r="I40" s="159"/>
      <c r="J40" s="160"/>
      <c r="K40" s="160"/>
      <c r="L40" s="70"/>
    </row>
    <row r="41" spans="1:12" s="2" customFormat="1" x14ac:dyDescent="0.2">
      <c r="A41" s="89" t="s">
        <v>2180</v>
      </c>
      <c r="B41" s="128" t="s">
        <v>6</v>
      </c>
      <c r="C41" s="181" t="s">
        <v>17</v>
      </c>
      <c r="D41" s="11" t="s">
        <v>13</v>
      </c>
      <c r="E41" s="86">
        <v>143736</v>
      </c>
      <c r="G41" s="23"/>
      <c r="H41" s="23"/>
      <c r="I41" s="159"/>
      <c r="J41" s="160"/>
      <c r="K41" s="160"/>
      <c r="L41" s="70"/>
    </row>
    <row r="42" spans="1:12" s="2" customFormat="1" x14ac:dyDescent="0.2">
      <c r="A42" s="89" t="s">
        <v>2180</v>
      </c>
      <c r="B42" s="128" t="s">
        <v>6</v>
      </c>
      <c r="C42" s="181" t="s">
        <v>15</v>
      </c>
      <c r="D42" s="11" t="s">
        <v>13</v>
      </c>
      <c r="E42" s="86">
        <v>2986.6499999999996</v>
      </c>
      <c r="G42" s="23"/>
      <c r="H42" s="23"/>
      <c r="I42" s="159"/>
      <c r="J42" s="160"/>
      <c r="K42" s="160"/>
      <c r="L42" s="70"/>
    </row>
    <row r="43" spans="1:12" s="2" customFormat="1" x14ac:dyDescent="0.2">
      <c r="A43" s="89" t="s">
        <v>2180</v>
      </c>
      <c r="B43" s="128" t="s">
        <v>6</v>
      </c>
      <c r="C43" s="181" t="s">
        <v>24</v>
      </c>
      <c r="D43" s="11" t="s">
        <v>13</v>
      </c>
      <c r="E43" s="86">
        <v>5534</v>
      </c>
      <c r="G43" s="23"/>
      <c r="H43" s="23"/>
      <c r="I43" s="159"/>
      <c r="J43" s="160"/>
      <c r="K43" s="160"/>
      <c r="L43" s="70"/>
    </row>
    <row r="44" spans="1:12" s="2" customFormat="1" x14ac:dyDescent="0.2">
      <c r="A44" s="89" t="s">
        <v>2180</v>
      </c>
      <c r="B44" s="128" t="s">
        <v>6</v>
      </c>
      <c r="C44" s="181" t="s">
        <v>547</v>
      </c>
      <c r="D44" s="11" t="s">
        <v>13</v>
      </c>
      <c r="E44" s="86">
        <v>65110</v>
      </c>
      <c r="G44" s="23"/>
      <c r="H44" s="23"/>
      <c r="I44" s="159"/>
      <c r="J44" s="160"/>
      <c r="K44" s="160"/>
      <c r="L44" s="70"/>
    </row>
    <row r="45" spans="1:12" s="2" customFormat="1" x14ac:dyDescent="0.2">
      <c r="A45" s="89" t="s">
        <v>2180</v>
      </c>
      <c r="B45" s="128" t="s">
        <v>6</v>
      </c>
      <c r="C45" s="181" t="s">
        <v>2042</v>
      </c>
      <c r="D45" s="11" t="s">
        <v>13</v>
      </c>
      <c r="E45" s="86">
        <v>54810.39</v>
      </c>
      <c r="G45" s="23"/>
      <c r="H45" s="23"/>
      <c r="I45" s="159"/>
      <c r="J45" s="160"/>
      <c r="K45" s="160"/>
      <c r="L45" s="70"/>
    </row>
    <row r="46" spans="1:12" s="2" customFormat="1" x14ac:dyDescent="0.2">
      <c r="A46" s="89" t="s">
        <v>2180</v>
      </c>
      <c r="B46" s="128" t="s">
        <v>6</v>
      </c>
      <c r="C46" s="181" t="s">
        <v>164</v>
      </c>
      <c r="D46" s="11" t="s">
        <v>13</v>
      </c>
      <c r="E46" s="86">
        <v>1000000</v>
      </c>
      <c r="G46" s="23"/>
      <c r="H46" s="23"/>
      <c r="I46" s="159"/>
      <c r="J46" s="160"/>
      <c r="K46" s="160"/>
      <c r="L46" s="70"/>
    </row>
    <row r="47" spans="1:12" s="2" customFormat="1" x14ac:dyDescent="0.2">
      <c r="A47" s="89" t="s">
        <v>2180</v>
      </c>
      <c r="B47" s="128" t="s">
        <v>6</v>
      </c>
      <c r="C47" s="181" t="s">
        <v>316</v>
      </c>
      <c r="D47" s="11" t="s">
        <v>13</v>
      </c>
      <c r="E47" s="86">
        <v>50850</v>
      </c>
      <c r="G47" s="23"/>
      <c r="H47" s="23"/>
      <c r="I47" s="159"/>
      <c r="J47" s="160"/>
      <c r="K47" s="160"/>
      <c r="L47" s="70"/>
    </row>
    <row r="48" spans="1:12" s="2" customFormat="1" x14ac:dyDescent="0.2">
      <c r="A48" s="89" t="s">
        <v>2180</v>
      </c>
      <c r="B48" s="128" t="s">
        <v>6</v>
      </c>
      <c r="C48" s="181" t="s">
        <v>944</v>
      </c>
      <c r="D48" s="11" t="s">
        <v>13</v>
      </c>
      <c r="E48" s="86">
        <v>1500000</v>
      </c>
      <c r="G48" s="23"/>
      <c r="H48" s="23"/>
      <c r="I48" s="159"/>
      <c r="J48" s="160"/>
      <c r="K48" s="160"/>
      <c r="L48" s="70"/>
    </row>
    <row r="49" spans="1:16" s="2" customFormat="1" x14ac:dyDescent="0.2">
      <c r="A49" s="89" t="s">
        <v>2180</v>
      </c>
      <c r="B49" s="128" t="s">
        <v>6</v>
      </c>
      <c r="C49" s="181" t="s">
        <v>247</v>
      </c>
      <c r="D49" s="11" t="s">
        <v>13</v>
      </c>
      <c r="E49" s="86">
        <v>1470000</v>
      </c>
      <c r="G49" s="23"/>
      <c r="H49" s="23"/>
      <c r="I49" s="159"/>
      <c r="J49" s="160"/>
      <c r="K49" s="160"/>
      <c r="L49" s="70"/>
    </row>
    <row r="50" spans="1:16" s="2" customFormat="1" x14ac:dyDescent="0.2">
      <c r="A50" s="89" t="s">
        <v>2180</v>
      </c>
      <c r="B50" s="128" t="s">
        <v>6</v>
      </c>
      <c r="C50" s="181" t="s">
        <v>474</v>
      </c>
      <c r="D50" s="11" t="s">
        <v>13</v>
      </c>
      <c r="E50" s="86">
        <v>247714</v>
      </c>
      <c r="G50" s="23"/>
      <c r="H50" s="23"/>
      <c r="I50" s="159"/>
      <c r="J50" s="160"/>
      <c r="K50" s="160"/>
      <c r="L50" s="70"/>
    </row>
    <row r="51" spans="1:16" s="2" customFormat="1" x14ac:dyDescent="0.2">
      <c r="A51" s="89" t="s">
        <v>2180</v>
      </c>
      <c r="B51" s="128" t="s">
        <v>6</v>
      </c>
      <c r="C51" s="181" t="s">
        <v>62</v>
      </c>
      <c r="D51" s="11" t="s">
        <v>13</v>
      </c>
      <c r="E51" s="86">
        <v>9000</v>
      </c>
      <c r="G51" s="23"/>
      <c r="H51" s="23"/>
      <c r="I51" s="159"/>
      <c r="J51" s="160"/>
      <c r="K51" s="160"/>
      <c r="L51" s="70"/>
    </row>
    <row r="52" spans="1:16" s="2" customFormat="1" x14ac:dyDescent="0.2">
      <c r="A52" s="89" t="s">
        <v>2180</v>
      </c>
      <c r="B52" s="128" t="s">
        <v>6</v>
      </c>
      <c r="C52" s="181" t="s">
        <v>2097</v>
      </c>
      <c r="D52" s="11" t="s">
        <v>13</v>
      </c>
      <c r="E52" s="86">
        <v>2363</v>
      </c>
      <c r="G52" s="23"/>
      <c r="H52" s="23"/>
      <c r="I52" s="159"/>
      <c r="J52" s="160"/>
      <c r="K52" s="160"/>
      <c r="L52" s="70"/>
    </row>
    <row r="53" spans="1:16" s="2" customFormat="1" x14ac:dyDescent="0.2">
      <c r="A53" s="89" t="s">
        <v>2180</v>
      </c>
      <c r="B53" s="128" t="s">
        <v>6</v>
      </c>
      <c r="C53" s="181" t="s">
        <v>2085</v>
      </c>
      <c r="D53" s="11" t="s">
        <v>13</v>
      </c>
      <c r="E53" s="86">
        <v>300000</v>
      </c>
      <c r="G53" s="23"/>
      <c r="H53" s="23"/>
      <c r="I53" s="159"/>
      <c r="J53" s="160"/>
      <c r="K53" s="160"/>
      <c r="L53" s="70"/>
    </row>
    <row r="54" spans="1:16" s="2" customFormat="1" x14ac:dyDescent="0.2">
      <c r="A54" s="89" t="s">
        <v>2180</v>
      </c>
      <c r="B54" s="128" t="s">
        <v>6</v>
      </c>
      <c r="C54" s="181" t="s">
        <v>2181</v>
      </c>
      <c r="D54" s="11" t="s">
        <v>13</v>
      </c>
      <c r="E54" s="86">
        <v>37934.5</v>
      </c>
      <c r="G54" s="23"/>
      <c r="H54" s="23"/>
      <c r="I54" s="159"/>
      <c r="J54" s="160"/>
      <c r="K54" s="160"/>
      <c r="L54" s="70"/>
    </row>
    <row r="55" spans="1:16" s="2" customFormat="1" x14ac:dyDescent="0.2">
      <c r="A55" s="89" t="s">
        <v>2180</v>
      </c>
      <c r="B55" s="128" t="s">
        <v>11</v>
      </c>
      <c r="C55" s="181" t="s">
        <v>1979</v>
      </c>
      <c r="D55" s="11" t="s">
        <v>29</v>
      </c>
      <c r="E55" s="86"/>
      <c r="F55" s="2">
        <v>146707.91999999998</v>
      </c>
      <c r="G55" s="23"/>
      <c r="H55" s="23"/>
      <c r="I55" s="159"/>
      <c r="J55" s="160"/>
      <c r="K55" s="160"/>
      <c r="L55" s="70"/>
    </row>
    <row r="56" spans="1:16" s="2" customFormat="1" x14ac:dyDescent="0.2">
      <c r="A56" s="89" t="s">
        <v>2180</v>
      </c>
      <c r="B56" s="128" t="s">
        <v>11</v>
      </c>
      <c r="C56" s="181" t="s">
        <v>64</v>
      </c>
      <c r="D56" s="11" t="s">
        <v>29</v>
      </c>
      <c r="E56" s="86"/>
      <c r="F56" s="2">
        <v>4624.75</v>
      </c>
      <c r="G56" s="23"/>
      <c r="H56" s="23"/>
      <c r="I56" s="159"/>
      <c r="J56" s="160"/>
      <c r="K56" s="160"/>
      <c r="L56" s="70"/>
    </row>
    <row r="57" spans="1:16" s="2" customFormat="1" x14ac:dyDescent="0.2">
      <c r="A57" s="89" t="s">
        <v>2180</v>
      </c>
      <c r="B57" s="128" t="s">
        <v>11</v>
      </c>
      <c r="C57" s="181" t="s">
        <v>156</v>
      </c>
      <c r="D57" s="11" t="s">
        <v>29</v>
      </c>
      <c r="E57" s="86"/>
      <c r="F57" s="2">
        <v>0.72</v>
      </c>
      <c r="G57" s="23"/>
      <c r="H57" s="23"/>
      <c r="I57" s="159"/>
      <c r="J57" s="160"/>
      <c r="K57" s="160"/>
      <c r="L57" s="70"/>
    </row>
    <row r="58" spans="1:16" s="2" customFormat="1" x14ac:dyDescent="0.2">
      <c r="A58" s="89" t="s">
        <v>2180</v>
      </c>
      <c r="B58" s="128" t="s">
        <v>11</v>
      </c>
      <c r="C58" s="181" t="s">
        <v>1936</v>
      </c>
      <c r="D58" s="11" t="s">
        <v>29</v>
      </c>
      <c r="E58" s="86"/>
      <c r="F58" s="2">
        <v>9602065</v>
      </c>
      <c r="G58" s="23"/>
      <c r="H58" s="23"/>
      <c r="I58" s="159"/>
      <c r="J58" s="160"/>
      <c r="K58" s="160"/>
      <c r="L58" s="70"/>
    </row>
    <row r="59" spans="1:16" s="2" customFormat="1" x14ac:dyDescent="0.2">
      <c r="A59" s="89" t="s">
        <v>2180</v>
      </c>
      <c r="B59" s="128" t="s">
        <v>11</v>
      </c>
      <c r="C59" s="181" t="s">
        <v>2131</v>
      </c>
      <c r="D59" s="11" t="s">
        <v>29</v>
      </c>
      <c r="E59" s="86"/>
      <c r="F59" s="2">
        <v>2547596</v>
      </c>
      <c r="G59" s="23"/>
      <c r="H59" s="23"/>
      <c r="I59" s="159"/>
      <c r="J59" s="160"/>
      <c r="K59" s="160"/>
      <c r="L59" s="70"/>
    </row>
    <row r="60" spans="1:16" s="2" customFormat="1" x14ac:dyDescent="0.2">
      <c r="A60" s="89" t="s">
        <v>2180</v>
      </c>
      <c r="B60" s="128" t="s">
        <v>11</v>
      </c>
      <c r="C60" s="181" t="s">
        <v>1849</v>
      </c>
      <c r="D60" s="11" t="s">
        <v>29</v>
      </c>
      <c r="E60" s="86"/>
      <c r="F60" s="2">
        <v>922994</v>
      </c>
      <c r="G60" s="23"/>
      <c r="H60" s="23"/>
      <c r="I60" s="159"/>
      <c r="J60" s="160"/>
      <c r="K60" s="160"/>
      <c r="L60" s="70"/>
    </row>
    <row r="61" spans="1:16" s="2" customFormat="1" x14ac:dyDescent="0.2">
      <c r="A61" s="89" t="s">
        <v>2180</v>
      </c>
      <c r="B61" s="128" t="s">
        <v>11</v>
      </c>
      <c r="C61" s="181" t="s">
        <v>1884</v>
      </c>
      <c r="D61" s="11" t="s">
        <v>29</v>
      </c>
      <c r="E61" s="86"/>
      <c r="F61" s="2">
        <v>3948563</v>
      </c>
      <c r="G61" s="23"/>
      <c r="H61" s="23"/>
      <c r="I61" s="159"/>
      <c r="J61" s="160"/>
      <c r="K61" s="160"/>
      <c r="L61" s="70"/>
    </row>
    <row r="62" spans="1:16" s="2" customFormat="1" x14ac:dyDescent="0.2">
      <c r="A62" s="89" t="s">
        <v>2180</v>
      </c>
      <c r="B62" s="128" t="s">
        <v>11</v>
      </c>
      <c r="C62" s="181" t="s">
        <v>223</v>
      </c>
      <c r="D62" s="11" t="s">
        <v>29</v>
      </c>
      <c r="E62" s="86"/>
      <c r="F62" s="2">
        <v>6607624</v>
      </c>
      <c r="G62" s="23"/>
      <c r="H62" s="23"/>
      <c r="I62" s="159"/>
      <c r="J62" s="160"/>
      <c r="K62" s="160"/>
      <c r="L62" s="70"/>
    </row>
    <row r="63" spans="1:16" s="2" customFormat="1" x14ac:dyDescent="0.2">
      <c r="A63" s="89" t="s">
        <v>2180</v>
      </c>
      <c r="B63" s="128" t="s">
        <v>11</v>
      </c>
      <c r="C63" s="181" t="s">
        <v>127</v>
      </c>
      <c r="D63" s="11" t="s">
        <v>29</v>
      </c>
      <c r="E63" s="86"/>
      <c r="F63" s="2">
        <v>10500278</v>
      </c>
      <c r="G63" s="23"/>
      <c r="H63" s="23"/>
      <c r="I63" s="159"/>
      <c r="J63" s="160"/>
      <c r="K63" s="160"/>
      <c r="L63" s="70"/>
    </row>
    <row r="64" spans="1:16" s="70" customFormat="1" x14ac:dyDescent="0.2">
      <c r="A64" s="32"/>
      <c r="B64" s="33"/>
      <c r="C64" s="14"/>
      <c r="D64" s="34"/>
      <c r="E64" s="16">
        <f>SUM(E38:E63)</f>
        <v>5108809.8</v>
      </c>
      <c r="F64" s="16">
        <f>SUM(F38:F63)</f>
        <v>266286661.1699999</v>
      </c>
      <c r="G64" s="1"/>
      <c r="H64" s="1"/>
      <c r="I64" s="1"/>
      <c r="J64" s="38">
        <v>261177851.37</v>
      </c>
      <c r="K64" s="2"/>
      <c r="L64" s="92">
        <f>E65-J64</f>
        <v>0</v>
      </c>
      <c r="M64" s="2"/>
      <c r="N64" s="2"/>
      <c r="O64" s="2"/>
      <c r="P64" s="2"/>
    </row>
    <row r="65" spans="1:19" s="70" customFormat="1" x14ac:dyDescent="0.2">
      <c r="A65" s="36"/>
      <c r="B65" s="28" t="s">
        <v>11</v>
      </c>
      <c r="C65" s="19" t="s">
        <v>65</v>
      </c>
      <c r="D65" s="37"/>
      <c r="E65" s="38">
        <f>F64-E64</f>
        <v>261177851.36999989</v>
      </c>
      <c r="F65" s="22"/>
      <c r="G65" s="1"/>
      <c r="H65" s="1"/>
      <c r="I65" s="1"/>
      <c r="M65" s="2"/>
      <c r="N65" s="2"/>
      <c r="O65" s="1"/>
      <c r="P65" s="2"/>
    </row>
    <row r="66" spans="1:19" s="70" customFormat="1" x14ac:dyDescent="0.2">
      <c r="A66" s="36"/>
      <c r="B66" s="28" t="s">
        <v>66</v>
      </c>
      <c r="C66" s="19" t="s">
        <v>67</v>
      </c>
      <c r="D66" s="37"/>
      <c r="E66" s="38">
        <v>11500000</v>
      </c>
      <c r="F66" s="22"/>
      <c r="G66" s="1"/>
      <c r="H66" s="1"/>
      <c r="M66" s="2"/>
      <c r="N66" s="2"/>
      <c r="O66" s="1"/>
      <c r="P66" s="2"/>
    </row>
    <row r="67" spans="1:19" s="70" customFormat="1" x14ac:dyDescent="0.2">
      <c r="A67" s="36"/>
      <c r="B67" s="28" t="s">
        <v>66</v>
      </c>
      <c r="C67" s="43" t="s">
        <v>1457</v>
      </c>
      <c r="D67" s="43"/>
      <c r="E67" s="12">
        <f>400000000-175000000</f>
        <v>225000000</v>
      </c>
      <c r="F67" s="22"/>
      <c r="G67" s="1"/>
      <c r="H67" s="1"/>
      <c r="J67" s="45">
        <v>476.37</v>
      </c>
      <c r="K67" s="46"/>
      <c r="L67" s="46"/>
      <c r="M67" s="2"/>
      <c r="N67" s="2"/>
      <c r="O67" s="1"/>
      <c r="P67" s="2"/>
    </row>
    <row r="68" spans="1:19" s="70" customFormat="1" ht="15" x14ac:dyDescent="0.25">
      <c r="A68" s="36"/>
      <c r="B68" s="28"/>
      <c r="C68" s="44" t="s">
        <v>1541</v>
      </c>
      <c r="D68" s="43"/>
      <c r="E68" s="7">
        <f>+E67+E65+E66</f>
        <v>497677851.36999989</v>
      </c>
      <c r="F68" s="22"/>
      <c r="G68" s="1"/>
      <c r="H68" s="1"/>
      <c r="I68" s="103" t="s">
        <v>69</v>
      </c>
      <c r="J68" s="45">
        <v>-32.28</v>
      </c>
      <c r="K68" s="46"/>
      <c r="L68" s="46"/>
      <c r="M68" s="2"/>
      <c r="N68" s="2"/>
      <c r="O68" s="1"/>
      <c r="P68" s="2"/>
    </row>
    <row r="69" spans="1:19" s="70" customFormat="1" ht="15" x14ac:dyDescent="0.25">
      <c r="A69" s="24"/>
      <c r="B69" s="1"/>
      <c r="C69" s="44" t="s">
        <v>1510</v>
      </c>
      <c r="D69" s="25"/>
      <c r="E69" s="156">
        <f>+J37-E66+I33-J33</f>
        <v>2322148.6299999952</v>
      </c>
      <c r="F69" s="2"/>
      <c r="G69" s="1"/>
      <c r="H69" s="1"/>
      <c r="I69" s="35">
        <v>1</v>
      </c>
      <c r="J69" s="45">
        <v>29.38</v>
      </c>
      <c r="K69" s="46">
        <f>+J70-D72</f>
        <v>0</v>
      </c>
      <c r="L69" s="2"/>
      <c r="M69" s="2"/>
      <c r="N69" s="2"/>
      <c r="O69" s="1"/>
      <c r="P69" s="2"/>
    </row>
    <row r="70" spans="1:19" s="70" customFormat="1" ht="12.75" customHeight="1" x14ac:dyDescent="0.2">
      <c r="A70" s="24"/>
      <c r="B70" s="1"/>
      <c r="C70" s="56"/>
      <c r="D70" s="56"/>
      <c r="E70" s="104"/>
      <c r="F70" s="2"/>
      <c r="G70" s="166"/>
      <c r="H70" s="166"/>
      <c r="J70" s="49">
        <f>SUM(J67:J69)</f>
        <v>473.47</v>
      </c>
      <c r="K70" s="46"/>
      <c r="L70" s="46"/>
      <c r="M70" s="124"/>
      <c r="N70" s="124"/>
      <c r="O70" s="1"/>
      <c r="P70" s="2"/>
    </row>
    <row r="71" spans="1:19" s="70" customFormat="1" ht="12.75" customHeight="1" x14ac:dyDescent="0.2">
      <c r="A71" s="24"/>
      <c r="B71" s="1"/>
      <c r="C71" s="78" t="s">
        <v>575</v>
      </c>
      <c r="D71" s="48" t="s">
        <v>576</v>
      </c>
      <c r="E71" s="104"/>
      <c r="F71" s="2"/>
      <c r="G71" s="168"/>
      <c r="H71" s="168"/>
      <c r="I71" s="167"/>
      <c r="J71" s="167"/>
      <c r="K71" s="168"/>
      <c r="L71" s="124"/>
      <c r="M71" s="124"/>
      <c r="N71" s="124"/>
      <c r="O71" s="124"/>
      <c r="P71" s="2"/>
    </row>
    <row r="72" spans="1:19" s="70" customFormat="1" ht="12.75" customHeight="1" x14ac:dyDescent="0.2">
      <c r="A72" s="24"/>
      <c r="B72" s="1"/>
      <c r="C72" s="47" t="s">
        <v>570</v>
      </c>
      <c r="D72" s="111">
        <v>473.47</v>
      </c>
      <c r="E72" s="104"/>
      <c r="F72" s="2"/>
      <c r="G72" s="168"/>
      <c r="H72" s="168"/>
      <c r="I72" s="110" t="s">
        <v>581</v>
      </c>
      <c r="J72" s="167"/>
      <c r="K72" s="168"/>
      <c r="L72" s="124"/>
      <c r="M72" s="124"/>
      <c r="N72" s="124"/>
      <c r="O72" s="124"/>
      <c r="P72" s="124"/>
    </row>
    <row r="73" spans="1:19" s="70" customFormat="1" ht="12.75" customHeight="1" x14ac:dyDescent="0.2">
      <c r="A73" s="24"/>
      <c r="B73" s="1"/>
      <c r="C73" s="47" t="s">
        <v>931</v>
      </c>
      <c r="D73" s="111">
        <v>34.950000000000003</v>
      </c>
      <c r="E73" s="104"/>
      <c r="F73" s="2"/>
      <c r="G73" s="168"/>
      <c r="H73" s="168"/>
      <c r="I73" s="110" t="s">
        <v>580</v>
      </c>
      <c r="J73" s="167"/>
      <c r="K73" s="168"/>
      <c r="L73" s="124"/>
      <c r="M73" s="124"/>
      <c r="N73" s="124"/>
      <c r="O73" s="124"/>
      <c r="P73" s="124"/>
    </row>
    <row r="74" spans="1:19" s="70" customFormat="1" ht="12.75" customHeight="1" x14ac:dyDescent="0.2">
      <c r="A74" s="24"/>
      <c r="B74" s="1"/>
      <c r="C74" s="47" t="s">
        <v>572</v>
      </c>
      <c r="D74" s="111">
        <f>+D92/100000</f>
        <v>21.431439999999998</v>
      </c>
      <c r="E74" s="104"/>
      <c r="F74" s="2"/>
      <c r="G74" s="166"/>
      <c r="H74" s="166"/>
      <c r="I74" s="90" t="s">
        <v>587</v>
      </c>
      <c r="J74" s="167"/>
      <c r="K74" s="168"/>
      <c r="L74" s="124"/>
      <c r="M74" s="124"/>
      <c r="N74" s="124"/>
      <c r="O74" s="124"/>
      <c r="P74" s="124"/>
    </row>
    <row r="75" spans="1:19" s="70" customFormat="1" ht="12.75" customHeight="1" x14ac:dyDescent="0.2">
      <c r="A75" s="24"/>
      <c r="B75" s="1"/>
      <c r="C75" s="108" t="s">
        <v>578</v>
      </c>
      <c r="D75" s="48">
        <f>SUM(D72:D74)</f>
        <v>529.85144000000003</v>
      </c>
      <c r="E75" s="104"/>
      <c r="F75" s="2"/>
      <c r="G75" s="30"/>
      <c r="H75" s="30"/>
      <c r="I75" s="2"/>
      <c r="J75" s="13"/>
      <c r="K75" s="13"/>
      <c r="L75" s="2"/>
      <c r="M75" s="2"/>
      <c r="N75" s="2"/>
      <c r="O75" s="124"/>
      <c r="P75" s="124"/>
    </row>
    <row r="76" spans="1:19" s="70" customFormat="1" ht="12.75" customHeight="1" x14ac:dyDescent="0.2">
      <c r="A76" s="24"/>
      <c r="B76" s="1"/>
      <c r="C76" s="47"/>
      <c r="D76" s="107"/>
      <c r="E76" s="104"/>
      <c r="F76" s="2"/>
      <c r="G76" s="30"/>
      <c r="H76" s="30"/>
      <c r="I76" s="2"/>
      <c r="O76" s="2"/>
      <c r="P76" s="124"/>
    </row>
    <row r="77" spans="1:19" s="70" customFormat="1" ht="12.75" customHeight="1" x14ac:dyDescent="0.2">
      <c r="A77" s="24"/>
      <c r="B77" s="1"/>
      <c r="C77" s="47" t="s">
        <v>932</v>
      </c>
      <c r="D77" s="111">
        <v>0</v>
      </c>
      <c r="E77" s="104"/>
      <c r="F77" s="2"/>
      <c r="G77" s="30"/>
      <c r="H77" s="30"/>
      <c r="I77" s="110" t="s">
        <v>581</v>
      </c>
      <c r="P77" s="2"/>
    </row>
    <row r="78" spans="1:19" s="70" customFormat="1" ht="12.75" customHeight="1" x14ac:dyDescent="0.2">
      <c r="A78" s="24"/>
      <c r="B78" s="1"/>
      <c r="C78" s="136" t="s">
        <v>1142</v>
      </c>
      <c r="D78" s="111">
        <v>311.35000000000002</v>
      </c>
      <c r="E78" s="104"/>
      <c r="F78" s="2"/>
      <c r="G78" s="30"/>
      <c r="H78" s="30"/>
      <c r="I78" s="110" t="s">
        <v>581</v>
      </c>
    </row>
    <row r="79" spans="1:19" s="70" customFormat="1" ht="12.75" customHeight="1" x14ac:dyDescent="0.2">
      <c r="A79" s="24"/>
      <c r="B79" s="1"/>
      <c r="C79" s="78" t="s">
        <v>579</v>
      </c>
      <c r="D79" s="109">
        <f>D77+D78</f>
        <v>311.35000000000002</v>
      </c>
      <c r="E79" s="104"/>
      <c r="F79" s="2"/>
      <c r="G79" s="30"/>
      <c r="H79" s="30"/>
      <c r="Q79" s="2"/>
      <c r="R79" s="2"/>
      <c r="S79" s="2"/>
    </row>
    <row r="80" spans="1:19" s="2" customFormat="1" x14ac:dyDescent="0.2">
      <c r="A80" s="24"/>
      <c r="B80" s="1"/>
      <c r="C80" s="105"/>
      <c r="D80" s="106"/>
      <c r="E80" s="104"/>
      <c r="G80" s="30"/>
      <c r="H80" s="30"/>
      <c r="I80" s="70"/>
      <c r="K80" s="221" t="str">
        <f>"FROM ( 01-03-2024 to "&amp;TEXT(A5,"dd-mm-yyyy")&amp;" )"</f>
        <v>FROM ( 01-03-2024 to 06-03-2024 )</v>
      </c>
      <c r="L80" s="221"/>
      <c r="O80" s="70"/>
      <c r="P80" s="70"/>
    </row>
    <row r="81" spans="1:16" s="2" customFormat="1" x14ac:dyDescent="0.2">
      <c r="A81" s="24"/>
      <c r="B81" s="1"/>
      <c r="C81" s="78" t="s">
        <v>577</v>
      </c>
      <c r="D81" s="109">
        <f>D72+D79</f>
        <v>784.82</v>
      </c>
      <c r="E81" s="104"/>
      <c r="G81" s="30"/>
      <c r="H81" s="30"/>
      <c r="I81" s="70"/>
      <c r="J81" s="113"/>
      <c r="K81" s="113" t="s">
        <v>709</v>
      </c>
      <c r="L81" s="113" t="s">
        <v>710</v>
      </c>
      <c r="M81" s="113" t="s">
        <v>711</v>
      </c>
      <c r="N81" s="113" t="s">
        <v>712</v>
      </c>
      <c r="O81" s="70"/>
      <c r="P81" s="70"/>
    </row>
    <row r="82" spans="1:16" s="2" customFormat="1" x14ac:dyDescent="0.2">
      <c r="A82" s="24"/>
      <c r="B82" s="1"/>
      <c r="C82" s="56"/>
      <c r="D82" s="56"/>
      <c r="E82" s="104"/>
      <c r="G82" s="30"/>
      <c r="H82" s="30"/>
      <c r="I82" s="70"/>
      <c r="J82" s="113" t="s">
        <v>1860</v>
      </c>
      <c r="K82" s="115">
        <v>195.8</v>
      </c>
      <c r="L82" s="115">
        <v>0</v>
      </c>
      <c r="M82" s="115">
        <v>0</v>
      </c>
      <c r="N82" s="113">
        <f>+K82+M82-L82</f>
        <v>195.8</v>
      </c>
      <c r="O82" s="70"/>
      <c r="P82" s="70"/>
    </row>
    <row r="83" spans="1:16" s="2" customFormat="1" ht="38.25" x14ac:dyDescent="0.2">
      <c r="A83" s="24"/>
      <c r="B83" s="1"/>
      <c r="C83" s="79" t="str">
        <f>"Particulars ( 01-03-2024 to "&amp;TEXT(A5,"dd-mm-yyyy")&amp;" )"</f>
        <v>Particulars ( 01-03-2024 to 06-03-2024 )</v>
      </c>
      <c r="D83" s="79" t="s">
        <v>7</v>
      </c>
      <c r="E83" s="80" t="s">
        <v>73</v>
      </c>
      <c r="F83" s="80" t="s">
        <v>74</v>
      </c>
      <c r="G83" s="81" t="s">
        <v>75</v>
      </c>
      <c r="H83" s="80" t="s">
        <v>76</v>
      </c>
      <c r="I83" s="70"/>
      <c r="J83" s="113" t="s">
        <v>1861</v>
      </c>
      <c r="K83" s="115">
        <v>1882.6</v>
      </c>
      <c r="L83" s="115">
        <v>67.48</v>
      </c>
      <c r="M83" s="115">
        <v>311.35000000000002</v>
      </c>
      <c r="N83" s="113">
        <f>+K83+M83-L83</f>
        <v>2126.4699999999998</v>
      </c>
      <c r="O83" s="70"/>
      <c r="P83" s="70"/>
    </row>
    <row r="84" spans="1:16" s="2" customFormat="1" x14ac:dyDescent="0.2">
      <c r="A84" s="24"/>
      <c r="B84" s="1"/>
      <c r="C84" s="50" t="s">
        <v>444</v>
      </c>
      <c r="D84" s="55">
        <f>+K84</f>
        <v>477.01</v>
      </c>
      <c r="E84" s="55">
        <f>+IF(M84=0,0,M84)</f>
        <v>0</v>
      </c>
      <c r="F84" s="55">
        <f>+L84</f>
        <v>34.950000000000003</v>
      </c>
      <c r="G84" s="55">
        <f>+D84+E84-F84</f>
        <v>442.06</v>
      </c>
      <c r="H84" s="55">
        <f>1500-G84</f>
        <v>1057.94</v>
      </c>
      <c r="I84" s="70">
        <f>+IF(M84=0,0,M84)</f>
        <v>0</v>
      </c>
      <c r="J84" s="113" t="s">
        <v>707</v>
      </c>
      <c r="K84" s="115">
        <v>477.01</v>
      </c>
      <c r="L84" s="115">
        <v>34.950000000000003</v>
      </c>
      <c r="M84" s="115">
        <v>0</v>
      </c>
      <c r="N84" s="113">
        <f>+K84+M84-L84</f>
        <v>442.06</v>
      </c>
      <c r="O84" s="70"/>
      <c r="P84" s="70"/>
    </row>
    <row r="85" spans="1:16" s="2" customFormat="1" x14ac:dyDescent="0.2">
      <c r="A85" s="24"/>
      <c r="B85" s="1"/>
      <c r="C85" s="50" t="s">
        <v>71</v>
      </c>
      <c r="D85" s="55">
        <f>+K82+K83</f>
        <v>2078.4</v>
      </c>
      <c r="E85" s="55">
        <f>+M82+M83</f>
        <v>311.35000000000002</v>
      </c>
      <c r="F85" s="55">
        <f>+L82+L83</f>
        <v>67.48</v>
      </c>
      <c r="G85" s="55">
        <f>+D85+E85-F85</f>
        <v>2322.27</v>
      </c>
      <c r="H85" s="55">
        <f>1500+700+200-G85</f>
        <v>77.730000000000018</v>
      </c>
      <c r="I85" s="70"/>
      <c r="K85" s="118">
        <f>SUM(K82:K84)</f>
        <v>2555.41</v>
      </c>
      <c r="L85" s="118">
        <f>SUM(L82:L84)</f>
        <v>102.43</v>
      </c>
      <c r="M85" s="118">
        <f>SUM(M82:M84)</f>
        <v>311.35000000000002</v>
      </c>
      <c r="N85" s="118">
        <f>SUM(N82:N84)</f>
        <v>2764.33</v>
      </c>
      <c r="O85" s="70"/>
      <c r="P85" s="70"/>
    </row>
    <row r="86" spans="1:16" s="2" customFormat="1" x14ac:dyDescent="0.2">
      <c r="A86" s="24"/>
      <c r="B86" s="1"/>
      <c r="C86" s="14"/>
      <c r="D86" s="56"/>
      <c r="E86" s="13"/>
      <c r="G86" s="30"/>
      <c r="H86" s="30"/>
      <c r="I86" s="70"/>
      <c r="J86" s="70"/>
      <c r="K86" s="70"/>
      <c r="L86" s="70"/>
      <c r="M86" s="70"/>
      <c r="N86" s="70"/>
      <c r="O86" s="70"/>
      <c r="P86" s="70"/>
    </row>
    <row r="87" spans="1:16" s="2" customFormat="1" x14ac:dyDescent="0.2">
      <c r="A87" s="215" t="s">
        <v>80</v>
      </c>
      <c r="B87" s="216"/>
      <c r="C87" s="216"/>
      <c r="D87" s="217"/>
      <c r="E87" s="69"/>
      <c r="F87" s="70"/>
      <c r="G87" s="30"/>
      <c r="H87" s="30"/>
      <c r="I87" s="70"/>
      <c r="J87" s="70"/>
      <c r="K87" s="70"/>
      <c r="L87" s="70"/>
      <c r="M87" s="70"/>
      <c r="N87" s="70"/>
      <c r="O87" s="70"/>
      <c r="P87" s="70"/>
    </row>
    <row r="88" spans="1:16" s="2" customFormat="1" x14ac:dyDescent="0.2">
      <c r="A88" s="71" t="s">
        <v>81</v>
      </c>
      <c r="B88" s="71"/>
      <c r="C88" s="72" t="s">
        <v>82</v>
      </c>
      <c r="D88" s="73" t="s">
        <v>83</v>
      </c>
      <c r="E88" s="69"/>
      <c r="F88" s="70"/>
      <c r="G88" s="30"/>
      <c r="H88" s="30"/>
      <c r="I88" s="70"/>
      <c r="J88" s="70"/>
      <c r="K88" s="70"/>
      <c r="L88" s="70"/>
      <c r="M88" s="70"/>
      <c r="N88" s="70"/>
      <c r="O88" s="70"/>
      <c r="P88" s="70"/>
    </row>
    <row r="89" spans="1:16" s="2" customFormat="1" x14ac:dyDescent="0.2">
      <c r="A89" s="87">
        <v>45352</v>
      </c>
      <c r="B89" s="120" t="s">
        <v>6</v>
      </c>
      <c r="C89" s="75" t="s">
        <v>2165</v>
      </c>
      <c r="D89" s="88">
        <v>2143144</v>
      </c>
      <c r="G89" s="30"/>
      <c r="H89" s="30"/>
      <c r="P89" s="70"/>
    </row>
    <row r="90" spans="1:16" s="2" customFormat="1" x14ac:dyDescent="0.2">
      <c r="A90" s="87">
        <v>45352</v>
      </c>
      <c r="B90" s="120" t="s">
        <v>6</v>
      </c>
      <c r="C90" s="75" t="s">
        <v>2171</v>
      </c>
      <c r="D90" s="88">
        <v>1493463</v>
      </c>
      <c r="G90" s="30"/>
      <c r="H90" s="30"/>
      <c r="P90" s="70"/>
    </row>
    <row r="91" spans="1:16" s="2" customFormat="1" x14ac:dyDescent="0.2">
      <c r="A91" s="87">
        <v>45356</v>
      </c>
      <c r="B91" s="120" t="s">
        <v>6</v>
      </c>
      <c r="C91" s="75" t="s">
        <v>1988</v>
      </c>
      <c r="D91" s="88">
        <v>3111466</v>
      </c>
      <c r="G91" s="30"/>
      <c r="H91" s="30"/>
      <c r="P91" s="70"/>
    </row>
    <row r="92" spans="1:16" s="2" customFormat="1" x14ac:dyDescent="0.2">
      <c r="A92" s="87"/>
      <c r="B92" s="74"/>
      <c r="C92" s="183" t="s">
        <v>2141</v>
      </c>
      <c r="D92" s="51">
        <f>SUM(D89:D89)</f>
        <v>2143144</v>
      </c>
      <c r="F92" s="2" t="s">
        <v>396</v>
      </c>
      <c r="G92" s="1"/>
      <c r="H92" s="1"/>
      <c r="P92" s="70"/>
    </row>
    <row r="93" spans="1:16" s="2" customFormat="1" x14ac:dyDescent="0.2">
      <c r="A93" s="24"/>
      <c r="B93" s="1"/>
      <c r="C93" s="14"/>
      <c r="D93" s="56"/>
      <c r="E93" s="13"/>
      <c r="G93" s="1"/>
      <c r="H93" s="1"/>
      <c r="I93" s="2" t="s">
        <v>396</v>
      </c>
    </row>
    <row r="94" spans="1:16" s="2" customFormat="1" x14ac:dyDescent="0.2">
      <c r="A94" s="24"/>
      <c r="B94" s="1"/>
      <c r="C94" s="218" t="s">
        <v>77</v>
      </c>
      <c r="D94" s="219"/>
      <c r="E94" s="219"/>
      <c r="F94" s="220"/>
      <c r="I94" s="2" t="s">
        <v>396</v>
      </c>
    </row>
    <row r="95" spans="1:16" s="2" customFormat="1" x14ac:dyDescent="0.2">
      <c r="A95" s="24"/>
      <c r="B95" s="1"/>
      <c r="C95" s="50"/>
      <c r="D95" s="57" t="s">
        <v>78</v>
      </c>
      <c r="E95" s="58" t="s">
        <v>79</v>
      </c>
      <c r="F95" s="57" t="s">
        <v>72</v>
      </c>
    </row>
    <row r="96" spans="1:16" s="2" customFormat="1" x14ac:dyDescent="0.2">
      <c r="A96" s="24"/>
      <c r="B96" s="1"/>
      <c r="C96" s="59" t="str">
        <f>"01-03-2024 to "&amp;TEXT(A5-2,"dd-mm-yyyy")</f>
        <v>01-03-2024 to 04-03-2024</v>
      </c>
      <c r="D96" s="60">
        <v>575.16999999999996</v>
      </c>
      <c r="E96" s="60">
        <v>102.29</v>
      </c>
      <c r="F96" s="61">
        <f>SUM(D96:E96)</f>
        <v>677.45999999999992</v>
      </c>
      <c r="I96" s="53"/>
    </row>
    <row r="97" spans="1:19" s="2" customFormat="1" x14ac:dyDescent="0.2">
      <c r="A97" s="24"/>
      <c r="B97" s="1"/>
      <c r="C97" s="62" t="str">
        <f>TEXT(A5-1,"dd-mm-yyyy")</f>
        <v>05-03-2024</v>
      </c>
      <c r="D97" s="60">
        <v>192.93</v>
      </c>
      <c r="E97" s="60">
        <v>22.72</v>
      </c>
      <c r="F97" s="61">
        <f>SUM(D97:E97)</f>
        <v>215.65</v>
      </c>
      <c r="G97" s="1"/>
      <c r="H97" s="1"/>
      <c r="I97" s="53"/>
    </row>
    <row r="98" spans="1:19" s="2" customFormat="1" ht="13.5" thickBot="1" x14ac:dyDescent="0.25">
      <c r="A98" s="24"/>
      <c r="B98" s="1"/>
      <c r="C98" s="63" t="str">
        <f>"01-03-2024 to "&amp;TEXT(A5-1,"dd-mm-yyyy")</f>
        <v>01-03-2024 to 05-03-2024</v>
      </c>
      <c r="D98" s="64">
        <f>SUM(D96:D97)</f>
        <v>768.09999999999991</v>
      </c>
      <c r="E98" s="64">
        <f>SUM(E96:E97)</f>
        <v>125.01</v>
      </c>
      <c r="F98" s="64">
        <f>SUM(F96:F97)</f>
        <v>893.1099999999999</v>
      </c>
      <c r="G98" s="1"/>
      <c r="H98" s="1"/>
      <c r="M98" s="1"/>
      <c r="N98" s="1"/>
    </row>
    <row r="99" spans="1:19" s="2" customFormat="1" ht="13.5" thickTop="1" x14ac:dyDescent="0.2">
      <c r="A99" s="24"/>
      <c r="B99" s="1"/>
      <c r="C99" s="62"/>
      <c r="D99" s="65"/>
      <c r="E99" s="66"/>
      <c r="F99" s="67"/>
      <c r="M99" s="1"/>
      <c r="N99" s="1"/>
    </row>
    <row r="100" spans="1:19" s="2" customFormat="1" x14ac:dyDescent="0.2">
      <c r="A100" s="24"/>
      <c r="B100" s="1"/>
      <c r="C100" s="62" t="str">
        <f>"01-04-2023 to " &amp;C97</f>
        <v>01-04-2023 to 05-03-2024</v>
      </c>
      <c r="D100" s="68">
        <f>+D98+41133.88</f>
        <v>41901.979999999996</v>
      </c>
      <c r="E100" s="68">
        <f>+E98+5178.87</f>
        <v>5303.88</v>
      </c>
      <c r="F100" s="68">
        <f>+F98+46312.75</f>
        <v>47205.86</v>
      </c>
      <c r="G100" s="1"/>
      <c r="H100" s="1"/>
      <c r="M100" s="1"/>
      <c r="N100" s="1"/>
    </row>
    <row r="101" spans="1:19" s="2" customFormat="1" x14ac:dyDescent="0.2">
      <c r="A101" s="24"/>
      <c r="B101" s="1"/>
      <c r="C101" s="52"/>
      <c r="D101" s="85"/>
      <c r="E101" s="53"/>
      <c r="F101" s="53"/>
      <c r="G101" s="1"/>
      <c r="H101" s="1"/>
      <c r="M101" s="1"/>
      <c r="N101" s="1"/>
    </row>
    <row r="102" spans="1:19" s="2" customFormat="1" x14ac:dyDescent="0.2">
      <c r="A102" s="24"/>
      <c r="B102" s="1"/>
      <c r="C102" s="52"/>
      <c r="D102" s="85"/>
      <c r="E102" s="53"/>
      <c r="F102" s="53"/>
      <c r="G102" s="1"/>
      <c r="H102" s="1"/>
      <c r="M102" s="1"/>
      <c r="N102" s="1"/>
    </row>
    <row r="103" spans="1:19" s="2" customFormat="1" x14ac:dyDescent="0.2">
      <c r="A103" s="24"/>
      <c r="B103" s="1"/>
      <c r="C103" s="52"/>
      <c r="D103" s="85"/>
      <c r="E103" s="53"/>
      <c r="F103" s="53"/>
      <c r="G103" s="1"/>
      <c r="H103" s="1"/>
      <c r="M103" s="1"/>
      <c r="N103" s="1"/>
    </row>
    <row r="104" spans="1:19" s="2" customFormat="1" x14ac:dyDescent="0.2">
      <c r="A104" s="24"/>
      <c r="B104" s="1"/>
      <c r="C104" s="52"/>
      <c r="D104" s="85"/>
      <c r="E104" s="53"/>
      <c r="F104" s="53"/>
      <c r="G104" s="1"/>
      <c r="H104" s="1"/>
      <c r="M104" s="1"/>
      <c r="N104" s="1"/>
    </row>
    <row r="105" spans="1:19" s="2" customFormat="1" x14ac:dyDescent="0.2">
      <c r="A105" s="24"/>
      <c r="B105" s="1"/>
      <c r="C105" s="14"/>
      <c r="D105" s="25">
        <f>SUM(D102:D104)</f>
        <v>0</v>
      </c>
      <c r="E105" s="2">
        <f>SUM(E102:E104)</f>
        <v>0</v>
      </c>
      <c r="G105" s="1"/>
      <c r="H105" s="1"/>
      <c r="M105" s="1"/>
      <c r="N105" s="1"/>
    </row>
    <row r="106" spans="1:19" s="2" customFormat="1" x14ac:dyDescent="0.2">
      <c r="A106" s="24"/>
      <c r="B106" s="1"/>
      <c r="C106" s="14"/>
      <c r="D106" s="25"/>
      <c r="G106" s="1"/>
      <c r="H106" s="1"/>
      <c r="M106" s="1"/>
      <c r="N106" s="1"/>
    </row>
    <row r="107" spans="1:19" s="2" customFormat="1" x14ac:dyDescent="0.2">
      <c r="A107" s="24"/>
      <c r="B107" s="1"/>
      <c r="C107" s="14"/>
      <c r="D107" s="25"/>
      <c r="G107" s="1"/>
      <c r="H107" s="1"/>
      <c r="M107" s="1"/>
      <c r="N107" s="1"/>
    </row>
    <row r="108" spans="1:19" s="2" customFormat="1" x14ac:dyDescent="0.2">
      <c r="A108" s="24"/>
      <c r="B108" s="1"/>
      <c r="C108" s="14"/>
      <c r="D108" s="25"/>
      <c r="G108" s="1"/>
      <c r="H108" s="1"/>
      <c r="M108" s="1"/>
      <c r="N108" s="1"/>
    </row>
    <row r="109" spans="1:19" s="2" customFormat="1" x14ac:dyDescent="0.2">
      <c r="A109" s="24"/>
      <c r="B109" s="1"/>
      <c r="C109" s="14"/>
      <c r="D109" s="25"/>
      <c r="G109" s="1"/>
      <c r="H109" s="1"/>
      <c r="M109" s="1"/>
      <c r="N109" s="1"/>
    </row>
    <row r="110" spans="1:19" s="2" customFormat="1" x14ac:dyDescent="0.2">
      <c r="A110" s="24"/>
      <c r="B110" s="1"/>
      <c r="C110" s="14"/>
      <c r="D110" s="25"/>
      <c r="G110" s="1"/>
      <c r="H110" s="1"/>
      <c r="M110" s="1"/>
      <c r="N110" s="1"/>
    </row>
    <row r="111" spans="1:19" s="2" customFormat="1" x14ac:dyDescent="0.2">
      <c r="A111" s="24"/>
      <c r="B111" s="1"/>
      <c r="C111" s="14"/>
      <c r="D111" s="25"/>
      <c r="G111" s="1"/>
      <c r="H111" s="1"/>
      <c r="M111" s="1"/>
      <c r="N111" s="1"/>
    </row>
    <row r="112" spans="1:19" s="2" customFormat="1" x14ac:dyDescent="0.2">
      <c r="A112" s="24"/>
      <c r="B112" s="1"/>
      <c r="C112" s="14"/>
      <c r="D112" s="25"/>
      <c r="G112" s="1"/>
      <c r="H112" s="1"/>
      <c r="M112" s="1"/>
      <c r="N112" s="1"/>
      <c r="Q112" s="1"/>
      <c r="R112" s="1"/>
      <c r="S112" s="1"/>
    </row>
    <row r="113" spans="1:19" x14ac:dyDescent="0.2">
      <c r="J113" s="2"/>
      <c r="K113" s="2"/>
      <c r="L113" s="2"/>
      <c r="O113" s="2"/>
      <c r="P113" s="2"/>
      <c r="Q113" s="2"/>
      <c r="R113" s="2"/>
      <c r="S113" s="2"/>
    </row>
    <row r="114" spans="1:19" s="2" customFormat="1" x14ac:dyDescent="0.2">
      <c r="A114" s="24"/>
      <c r="B114" s="1"/>
      <c r="C114" s="14"/>
      <c r="D114" s="25"/>
      <c r="G114" s="1"/>
      <c r="H114" s="1"/>
      <c r="M114" s="1"/>
      <c r="N114" s="1"/>
      <c r="Q114" s="1"/>
      <c r="R114" s="1"/>
      <c r="S114" s="1"/>
    </row>
    <row r="115" spans="1:19" x14ac:dyDescent="0.2">
      <c r="J115" s="2"/>
      <c r="K115" s="2"/>
      <c r="L115" s="2"/>
      <c r="O115" s="2"/>
      <c r="P115" s="2"/>
    </row>
    <row r="116" spans="1:19" x14ac:dyDescent="0.2">
      <c r="J116" s="2"/>
      <c r="K116" s="2"/>
      <c r="L116" s="2"/>
      <c r="O116" s="2"/>
      <c r="P116" s="2"/>
    </row>
    <row r="117" spans="1:19" x14ac:dyDescent="0.2">
      <c r="J117" s="2"/>
      <c r="K117" s="2"/>
      <c r="L117" s="2"/>
      <c r="O117" s="2"/>
      <c r="P117" s="2"/>
    </row>
    <row r="118" spans="1:19" x14ac:dyDescent="0.2">
      <c r="J118" s="2"/>
      <c r="K118" s="2"/>
      <c r="L118" s="2"/>
      <c r="O118" s="2"/>
      <c r="P118" s="2"/>
    </row>
    <row r="119" spans="1:19" x14ac:dyDescent="0.2">
      <c r="O119" s="2"/>
      <c r="P119" s="2"/>
    </row>
    <row r="120" spans="1:19" x14ac:dyDescent="0.2">
      <c r="J120" s="2"/>
      <c r="K120" s="2"/>
      <c r="L120" s="2"/>
      <c r="M120" s="2"/>
      <c r="N120" s="2"/>
      <c r="O120" s="2"/>
      <c r="P120" s="2"/>
    </row>
    <row r="121" spans="1:19" x14ac:dyDescent="0.2">
      <c r="O121" s="2"/>
      <c r="P121" s="2"/>
    </row>
    <row r="122" spans="1:19" x14ac:dyDescent="0.2">
      <c r="G122" s="54"/>
      <c r="H122" s="54"/>
      <c r="O122" s="2"/>
      <c r="P122" s="2"/>
    </row>
    <row r="123" spans="1:19" x14ac:dyDescent="0.2">
      <c r="G123" s="54"/>
      <c r="H123" s="54"/>
      <c r="O123" s="2"/>
      <c r="P123" s="2"/>
    </row>
    <row r="124" spans="1:19" x14ac:dyDescent="0.2">
      <c r="G124" s="54"/>
      <c r="H124" s="54"/>
      <c r="O124" s="2"/>
      <c r="P124" s="2"/>
    </row>
    <row r="125" spans="1:19" x14ac:dyDescent="0.2">
      <c r="G125" s="54"/>
      <c r="H125" s="54"/>
      <c r="I125" s="2" t="s">
        <v>396</v>
      </c>
      <c r="O125" s="2"/>
      <c r="P125" s="2"/>
    </row>
    <row r="126" spans="1:19" x14ac:dyDescent="0.2">
      <c r="G126" s="54"/>
      <c r="H126" s="54"/>
      <c r="I126" s="53"/>
      <c r="J126" s="2"/>
      <c r="K126" s="2"/>
      <c r="L126" s="2"/>
      <c r="M126" s="2"/>
      <c r="N126" s="2"/>
      <c r="P126" s="2"/>
    </row>
    <row r="127" spans="1:19" x14ac:dyDescent="0.2">
      <c r="G127" s="54"/>
      <c r="H127" s="54"/>
      <c r="I127" s="53" t="s">
        <v>396</v>
      </c>
      <c r="O127" s="2"/>
      <c r="P127" s="2"/>
    </row>
    <row r="128" spans="1:19" x14ac:dyDescent="0.2">
      <c r="G128" s="54"/>
      <c r="H128" s="54"/>
      <c r="I128" s="53" t="s">
        <v>396</v>
      </c>
      <c r="K128" s="42"/>
      <c r="P128" s="2"/>
    </row>
    <row r="129" spans="7:16" x14ac:dyDescent="0.2">
      <c r="G129" s="54"/>
      <c r="H129" s="54"/>
      <c r="I129" s="53"/>
      <c r="J129" s="101"/>
      <c r="P129" s="2"/>
    </row>
    <row r="130" spans="7:16" x14ac:dyDescent="0.2">
      <c r="G130" s="54"/>
      <c r="H130" s="54"/>
      <c r="I130" s="53"/>
    </row>
    <row r="131" spans="7:16" x14ac:dyDescent="0.2">
      <c r="G131" s="54"/>
      <c r="H131" s="54"/>
      <c r="I131" s="53"/>
      <c r="P131" s="2"/>
    </row>
    <row r="132" spans="7:16" x14ac:dyDescent="0.2">
      <c r="G132" s="54"/>
      <c r="H132" s="54"/>
      <c r="I132" s="53"/>
    </row>
  </sheetData>
  <sheetProtection insertRows="0"/>
  <mergeCells count="8">
    <mergeCell ref="K80:L80"/>
    <mergeCell ref="A87:D87"/>
    <mergeCell ref="C94:F94"/>
    <mergeCell ref="A1:H1"/>
    <mergeCell ref="A3:F3"/>
    <mergeCell ref="A9:F9"/>
    <mergeCell ref="A20:F20"/>
    <mergeCell ref="A36:F36"/>
  </mergeCells>
  <conditionalFormatting sqref="H84:H85">
    <cfRule type="cellIs" dxfId="39" priority="1" operator="lessThan">
      <formula>0</formula>
    </cfRule>
  </conditionalFormatting>
  <conditionalFormatting sqref="C38">
    <cfRule type="duplicateValues" dxfId="38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1-000000000000}">
  <sheetPr codeName="Sheet567">
    <pageSetUpPr fitToPage="1"/>
  </sheetPr>
  <dimension ref="A1:S129"/>
  <sheetViews>
    <sheetView topLeftCell="A85" zoomScaleNormal="100" workbookViewId="0">
      <selection sqref="A1:H98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12.85546875" style="1" customWidth="1"/>
    <col min="9" max="9" width="24.85546875" style="2" bestFit="1" customWidth="1"/>
    <col min="10" max="10" width="21.5703125" style="1" bestFit="1" customWidth="1"/>
    <col min="11" max="11" width="16.85546875" style="1" bestFit="1" customWidth="1"/>
    <col min="12" max="12" width="19.5703125" style="1" bestFit="1" customWidth="1"/>
    <col min="13" max="13" width="13.5703125" style="1" bestFit="1" customWidth="1"/>
    <col min="14" max="14" width="17.42578125" style="1" bestFit="1" customWidth="1"/>
    <col min="15" max="15" width="12.85546875" style="1" bestFit="1" customWidth="1"/>
    <col min="16" max="17" width="9.140625" style="1"/>
    <col min="18" max="18" width="15.5703125" style="1" bestFit="1" customWidth="1"/>
    <col min="19" max="16384" width="9.140625" style="1"/>
  </cols>
  <sheetData>
    <row r="1" spans="1:11" ht="20.25" customHeight="1" x14ac:dyDescent="0.4">
      <c r="A1" s="212" t="s">
        <v>2182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1" ht="12.75" customHeight="1" x14ac:dyDescent="0.4">
      <c r="I2" s="112"/>
      <c r="J2" s="112"/>
    </row>
    <row r="3" spans="1:11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1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1" s="2" customFormat="1" ht="14.25" customHeight="1" x14ac:dyDescent="0.4">
      <c r="A5" s="89">
        <v>45358</v>
      </c>
      <c r="B5" s="9" t="s">
        <v>6</v>
      </c>
      <c r="C5" s="10" t="s">
        <v>7</v>
      </c>
      <c r="D5" s="11"/>
      <c r="E5" s="12">
        <v>4462876.8400000008</v>
      </c>
      <c r="F5" s="12"/>
      <c r="G5" s="1"/>
      <c r="H5" s="1"/>
      <c r="I5" s="112"/>
      <c r="J5" s="112"/>
    </row>
    <row r="6" spans="1:11" s="2" customFormat="1" ht="14.25" customHeight="1" x14ac:dyDescent="0.4">
      <c r="A6" s="89">
        <v>45358</v>
      </c>
      <c r="B6" s="9" t="s">
        <v>11</v>
      </c>
      <c r="C6" s="10" t="s">
        <v>380</v>
      </c>
      <c r="D6" s="11" t="s">
        <v>29</v>
      </c>
      <c r="E6" s="12"/>
      <c r="F6" s="12">
        <v>3784114</v>
      </c>
      <c r="G6" s="1"/>
      <c r="H6" s="1"/>
      <c r="I6" s="112"/>
      <c r="J6" s="112"/>
    </row>
    <row r="7" spans="1:11" s="2" customFormat="1" ht="12.75" customHeight="1" x14ac:dyDescent="0.2">
      <c r="D7" s="15" t="s">
        <v>8</v>
      </c>
      <c r="E7" s="16">
        <f>SUM(E5:E5)</f>
        <v>4462876.8400000008</v>
      </c>
      <c r="F7" s="16">
        <f>F6</f>
        <v>3784114</v>
      </c>
      <c r="G7" s="1"/>
      <c r="H7" s="1"/>
      <c r="I7" s="13" t="s">
        <v>1582</v>
      </c>
      <c r="J7" s="13" t="s">
        <v>1583</v>
      </c>
    </row>
    <row r="8" spans="1:11" s="2" customFormat="1" ht="12.75" customHeight="1" x14ac:dyDescent="0.2">
      <c r="A8" s="17"/>
      <c r="B8" s="18"/>
      <c r="C8" s="19" t="s">
        <v>9</v>
      </c>
      <c r="D8" s="20"/>
      <c r="E8" s="21">
        <f>+E7-F7</f>
        <v>678762.84000000078</v>
      </c>
      <c r="F8" s="22"/>
      <c r="G8" s="23"/>
      <c r="H8" s="23"/>
      <c r="I8" s="2">
        <v>0</v>
      </c>
      <c r="J8" s="2">
        <v>0</v>
      </c>
      <c r="K8" s="176">
        <f>I8-J8</f>
        <v>0</v>
      </c>
    </row>
    <row r="9" spans="1:11" ht="11.25" customHeight="1" x14ac:dyDescent="0.4">
      <c r="I9" s="112"/>
      <c r="J9" s="112"/>
    </row>
    <row r="10" spans="1:11" ht="18" customHeight="1" x14ac:dyDescent="0.4">
      <c r="A10" s="213" t="s">
        <v>2103</v>
      </c>
      <c r="B10" s="213"/>
      <c r="C10" s="213"/>
      <c r="D10" s="213"/>
      <c r="E10" s="213"/>
      <c r="F10" s="213"/>
      <c r="I10" s="112"/>
      <c r="J10" s="112"/>
    </row>
    <row r="11" spans="1:11" ht="12.75" customHeight="1" x14ac:dyDescent="0.4">
      <c r="A11" s="3" t="s">
        <v>1</v>
      </c>
      <c r="B11" s="4" t="s">
        <v>2</v>
      </c>
      <c r="C11" s="5"/>
      <c r="D11" s="6" t="s">
        <v>3</v>
      </c>
      <c r="E11" s="7" t="s">
        <v>4</v>
      </c>
      <c r="F11" s="7" t="s">
        <v>5</v>
      </c>
      <c r="I11" s="112"/>
      <c r="J11" s="112"/>
    </row>
    <row r="12" spans="1:11" ht="12.75" customHeight="1" x14ac:dyDescent="0.4">
      <c r="A12" s="89">
        <v>45358</v>
      </c>
      <c r="B12" s="9" t="s">
        <v>6</v>
      </c>
      <c r="C12" s="10" t="s">
        <v>7</v>
      </c>
      <c r="D12" s="11"/>
      <c r="E12" s="12">
        <v>826272.76999999862</v>
      </c>
      <c r="F12" s="1"/>
      <c r="I12" s="112"/>
      <c r="J12" s="112"/>
    </row>
    <row r="13" spans="1:11" ht="12.75" customHeight="1" x14ac:dyDescent="0.4">
      <c r="A13" s="89">
        <v>45358</v>
      </c>
      <c r="B13" s="9" t="s">
        <v>11</v>
      </c>
      <c r="C13" s="76" t="s">
        <v>729</v>
      </c>
      <c r="D13" s="11" t="s">
        <v>29</v>
      </c>
      <c r="E13" s="31"/>
      <c r="F13" s="31">
        <v>16175</v>
      </c>
      <c r="I13" s="112"/>
      <c r="J13" s="112"/>
    </row>
    <row r="14" spans="1:11" ht="12.75" customHeight="1" x14ac:dyDescent="0.4">
      <c r="A14" s="89">
        <v>45358</v>
      </c>
      <c r="B14" s="9" t="s">
        <v>11</v>
      </c>
      <c r="C14" s="76" t="s">
        <v>2183</v>
      </c>
      <c r="D14" s="11" t="s">
        <v>29</v>
      </c>
      <c r="E14" s="31"/>
      <c r="F14" s="31">
        <v>48852</v>
      </c>
      <c r="I14" s="112"/>
      <c r="J14" s="112"/>
    </row>
    <row r="15" spans="1:11" ht="12.75" customHeight="1" x14ac:dyDescent="0.4">
      <c r="A15" s="89">
        <v>45358</v>
      </c>
      <c r="B15" s="9" t="s">
        <v>11</v>
      </c>
      <c r="C15" s="76" t="s">
        <v>2184</v>
      </c>
      <c r="D15" s="11" t="s">
        <v>29</v>
      </c>
      <c r="E15" s="31"/>
      <c r="F15" s="31">
        <v>23750</v>
      </c>
      <c r="I15" s="112"/>
      <c r="J15" s="112"/>
    </row>
    <row r="16" spans="1:11" ht="12.75" customHeight="1" x14ac:dyDescent="0.4">
      <c r="A16" s="89">
        <v>45358</v>
      </c>
      <c r="B16" s="9" t="s">
        <v>11</v>
      </c>
      <c r="C16" s="76" t="s">
        <v>1734</v>
      </c>
      <c r="D16" s="11" t="s">
        <v>29</v>
      </c>
      <c r="E16" s="31"/>
      <c r="F16" s="31">
        <v>150375</v>
      </c>
      <c r="I16" s="112"/>
      <c r="J16" s="112"/>
    </row>
    <row r="17" spans="1:12" ht="12.75" customHeight="1" x14ac:dyDescent="0.4">
      <c r="A17" s="89">
        <v>45358</v>
      </c>
      <c r="B17" s="9" t="s">
        <v>11</v>
      </c>
      <c r="C17" s="76" t="s">
        <v>628</v>
      </c>
      <c r="D17" s="11" t="s">
        <v>29</v>
      </c>
      <c r="E17" s="31"/>
      <c r="F17" s="31">
        <v>22490</v>
      </c>
      <c r="I17" s="112"/>
      <c r="J17" s="112"/>
    </row>
    <row r="18" spans="1:12" ht="12.75" customHeight="1" x14ac:dyDescent="0.4">
      <c r="A18" s="89">
        <v>45358</v>
      </c>
      <c r="B18" s="9" t="s">
        <v>11</v>
      </c>
      <c r="C18" s="76" t="s">
        <v>123</v>
      </c>
      <c r="D18" s="11" t="s">
        <v>29</v>
      </c>
      <c r="E18" s="31"/>
      <c r="F18" s="31">
        <v>33929</v>
      </c>
      <c r="I18" s="112"/>
      <c r="J18" s="112"/>
    </row>
    <row r="19" spans="1:12" ht="12.75" customHeight="1" x14ac:dyDescent="0.4">
      <c r="A19" s="89">
        <v>45358</v>
      </c>
      <c r="B19" s="9" t="s">
        <v>11</v>
      </c>
      <c r="C19" s="76" t="s">
        <v>699</v>
      </c>
      <c r="D19" s="11" t="s">
        <v>29</v>
      </c>
      <c r="E19" s="31"/>
      <c r="F19" s="31">
        <v>14320</v>
      </c>
      <c r="I19" s="112"/>
      <c r="J19" s="112"/>
    </row>
    <row r="20" spans="1:12" ht="12.75" customHeight="1" x14ac:dyDescent="0.4">
      <c r="A20" s="89">
        <v>45358</v>
      </c>
      <c r="B20" s="9" t="s">
        <v>11</v>
      </c>
      <c r="C20" s="76" t="s">
        <v>223</v>
      </c>
      <c r="D20" s="11" t="s">
        <v>29</v>
      </c>
      <c r="E20" s="31"/>
      <c r="F20" s="31">
        <v>19819</v>
      </c>
      <c r="I20" s="112"/>
      <c r="J20" s="112"/>
    </row>
    <row r="21" spans="1:12" ht="12.75" customHeight="1" x14ac:dyDescent="0.4">
      <c r="A21" s="89">
        <v>45358</v>
      </c>
      <c r="B21" s="9" t="s">
        <v>11</v>
      </c>
      <c r="C21" s="76" t="s">
        <v>235</v>
      </c>
      <c r="D21" s="11" t="s">
        <v>29</v>
      </c>
      <c r="E21" s="31"/>
      <c r="F21" s="31">
        <v>5900</v>
      </c>
      <c r="I21" s="112"/>
      <c r="J21" s="112"/>
    </row>
    <row r="22" spans="1:12" ht="12.75" customHeight="1" x14ac:dyDescent="0.4">
      <c r="A22" s="89">
        <v>45358</v>
      </c>
      <c r="B22" s="9" t="s">
        <v>11</v>
      </c>
      <c r="C22" s="76" t="s">
        <v>1091</v>
      </c>
      <c r="D22" s="11" t="s">
        <v>29</v>
      </c>
      <c r="E22" s="31"/>
      <c r="F22" s="31">
        <v>1298</v>
      </c>
      <c r="I22" s="112"/>
      <c r="J22" s="112"/>
    </row>
    <row r="23" spans="1:12" ht="12.75" customHeight="1" x14ac:dyDescent="0.2">
      <c r="A23" s="2"/>
      <c r="B23" s="2"/>
      <c r="C23" s="2"/>
      <c r="D23" s="11" t="s">
        <v>8</v>
      </c>
      <c r="E23" s="16">
        <f>SUM(E12:E12)</f>
        <v>826272.76999999862</v>
      </c>
      <c r="F23" s="16">
        <f>SUM(F13:F22)</f>
        <v>336908</v>
      </c>
      <c r="I23" s="13" t="s">
        <v>1582</v>
      </c>
      <c r="J23" s="13" t="s">
        <v>1583</v>
      </c>
    </row>
    <row r="24" spans="1:12" x14ac:dyDescent="0.2">
      <c r="A24" s="17"/>
      <c r="B24" s="18"/>
      <c r="C24" s="19" t="s">
        <v>9</v>
      </c>
      <c r="D24" s="20"/>
      <c r="E24" s="21">
        <f>+E23-F23</f>
        <v>489364.76999999862</v>
      </c>
      <c r="I24" s="2">
        <v>0</v>
      </c>
      <c r="J24" s="2">
        <v>0</v>
      </c>
    </row>
    <row r="25" spans="1:12" ht="18" customHeight="1" x14ac:dyDescent="0.25">
      <c r="A25" s="36"/>
      <c r="B25" s="28"/>
      <c r="C25" s="44"/>
      <c r="D25" s="43"/>
      <c r="E25" s="38"/>
      <c r="F25" s="22"/>
      <c r="J25" s="2"/>
    </row>
    <row r="26" spans="1:12" ht="18" customHeight="1" x14ac:dyDescent="0.4">
      <c r="A26" s="213" t="s">
        <v>2104</v>
      </c>
      <c r="B26" s="213"/>
      <c r="C26" s="213"/>
      <c r="D26" s="213"/>
      <c r="E26" s="213"/>
      <c r="F26" s="213"/>
      <c r="I26" s="112"/>
      <c r="J26" s="169">
        <f>90000000-60000000</f>
        <v>30000000</v>
      </c>
      <c r="K26" s="169" t="s">
        <v>1508</v>
      </c>
    </row>
    <row r="27" spans="1:12" ht="12.75" customHeight="1" x14ac:dyDescent="0.4">
      <c r="A27" s="3" t="s">
        <v>1</v>
      </c>
      <c r="B27" s="4" t="s">
        <v>2</v>
      </c>
      <c r="C27" s="5"/>
      <c r="D27" s="6" t="s">
        <v>3</v>
      </c>
      <c r="E27" s="7" t="s">
        <v>4</v>
      </c>
      <c r="F27" s="7" t="s">
        <v>5</v>
      </c>
      <c r="I27" s="112"/>
      <c r="J27" s="169">
        <v>28716308.760000002</v>
      </c>
      <c r="K27" s="169" t="s">
        <v>1509</v>
      </c>
      <c r="L27" s="124"/>
    </row>
    <row r="28" spans="1:12" s="2" customFormat="1" ht="14.25" customHeight="1" x14ac:dyDescent="0.2">
      <c r="A28" s="89">
        <v>45358</v>
      </c>
      <c r="B28" s="9" t="s">
        <v>6</v>
      </c>
      <c r="C28" s="10" t="s">
        <v>7</v>
      </c>
      <c r="D28" s="11"/>
      <c r="F28" s="12">
        <v>29095055.940000001</v>
      </c>
      <c r="G28" s="1"/>
      <c r="H28" s="1"/>
      <c r="I28" s="130" t="s">
        <v>396</v>
      </c>
      <c r="J28" s="169">
        <f>+J26-J27</f>
        <v>1283691.2399999984</v>
      </c>
      <c r="K28" s="169" t="s">
        <v>712</v>
      </c>
      <c r="L28" s="165" t="s">
        <v>1512</v>
      </c>
    </row>
    <row r="29" spans="1:12" s="2" customFormat="1" ht="14.25" customHeight="1" x14ac:dyDescent="0.2">
      <c r="A29" s="89">
        <v>45358</v>
      </c>
      <c r="B29" s="9" t="s">
        <v>6</v>
      </c>
      <c r="C29" s="76" t="s">
        <v>1002</v>
      </c>
      <c r="D29" s="11" t="s">
        <v>13</v>
      </c>
      <c r="E29" s="31">
        <v>408480.81</v>
      </c>
      <c r="F29" s="12"/>
      <c r="G29" s="1"/>
      <c r="H29" s="1"/>
      <c r="I29" s="130"/>
      <c r="J29" s="169"/>
      <c r="K29" s="169"/>
      <c r="L29" s="165"/>
    </row>
    <row r="30" spans="1:12" s="2" customFormat="1" ht="14.25" customHeight="1" x14ac:dyDescent="0.2">
      <c r="A30" s="89">
        <v>45358</v>
      </c>
      <c r="B30" s="9" t="s">
        <v>11</v>
      </c>
      <c r="C30" s="76" t="s">
        <v>1137</v>
      </c>
      <c r="D30" s="11" t="s">
        <v>29</v>
      </c>
      <c r="E30" s="31"/>
      <c r="F30" s="12">
        <v>24556</v>
      </c>
      <c r="G30" s="1"/>
      <c r="H30" s="1"/>
      <c r="I30" s="130"/>
      <c r="J30" s="169"/>
      <c r="K30" s="169"/>
      <c r="L30" s="165"/>
    </row>
    <row r="31" spans="1:12" s="2" customFormat="1" ht="14.25" customHeight="1" x14ac:dyDescent="0.2">
      <c r="A31" s="89">
        <v>45358</v>
      </c>
      <c r="B31" s="9" t="s">
        <v>11</v>
      </c>
      <c r="C31" s="76" t="s">
        <v>156</v>
      </c>
      <c r="D31" s="11" t="s">
        <v>29</v>
      </c>
      <c r="E31" s="31"/>
      <c r="F31" s="31">
        <v>5177.63</v>
      </c>
      <c r="G31" s="1"/>
      <c r="H31" s="1"/>
      <c r="I31" s="130"/>
      <c r="J31" s="169"/>
      <c r="K31" s="169"/>
      <c r="L31" s="165"/>
    </row>
    <row r="32" spans="1:12" s="2" customFormat="1" ht="14.25" customHeight="1" x14ac:dyDescent="0.4">
      <c r="D32" s="11" t="s">
        <v>8</v>
      </c>
      <c r="E32" s="16">
        <f>SUM(E29:E29)</f>
        <v>408480.81</v>
      </c>
      <c r="F32" s="16">
        <f>SUM(F28:F31)</f>
        <v>29124789.57</v>
      </c>
      <c r="G32" s="1"/>
      <c r="H32" s="1"/>
      <c r="J32" s="112"/>
      <c r="K32" s="153" t="s">
        <v>779</v>
      </c>
    </row>
    <row r="33" spans="1:12" s="2" customFormat="1" ht="14.25" customHeight="1" x14ac:dyDescent="0.2">
      <c r="A33" s="17"/>
      <c r="B33" s="18"/>
      <c r="C33" s="96" t="s">
        <v>9</v>
      </c>
      <c r="D33" s="20"/>
      <c r="E33" s="21">
        <f>+F32-E32</f>
        <v>28716308.760000002</v>
      </c>
      <c r="G33" s="1"/>
      <c r="H33" s="1"/>
      <c r="J33" s="40">
        <v>28716308.760000002</v>
      </c>
      <c r="K33" s="154">
        <f>J33-E33</f>
        <v>0</v>
      </c>
    </row>
    <row r="34" spans="1:12" s="2" customFormat="1" ht="14.25" customHeight="1" x14ac:dyDescent="0.2">
      <c r="A34" s="17"/>
      <c r="B34" s="28" t="s">
        <v>66</v>
      </c>
      <c r="C34" s="43" t="s">
        <v>1458</v>
      </c>
      <c r="D34" s="43"/>
      <c r="E34" s="12">
        <f>30000000+60000000</f>
        <v>90000000</v>
      </c>
      <c r="F34" s="22"/>
      <c r="G34" s="1"/>
      <c r="H34" s="1"/>
      <c r="I34" s="13" t="s">
        <v>1582</v>
      </c>
      <c r="J34" s="13" t="s">
        <v>1583</v>
      </c>
    </row>
    <row r="35" spans="1:12" s="2" customFormat="1" ht="14.25" customHeight="1" x14ac:dyDescent="0.25">
      <c r="A35" s="36"/>
      <c r="B35" s="28"/>
      <c r="C35" s="44" t="s">
        <v>1541</v>
      </c>
      <c r="D35" s="43"/>
      <c r="E35" s="7">
        <f>+E33+E34</f>
        <v>118716308.76000001</v>
      </c>
      <c r="F35" s="22"/>
      <c r="G35" s="1"/>
      <c r="H35" s="1"/>
      <c r="I35" s="2">
        <v>2100000</v>
      </c>
      <c r="J35" s="2">
        <v>40993</v>
      </c>
      <c r="K35" s="176">
        <f>I35-J35</f>
        <v>2059007</v>
      </c>
    </row>
    <row r="36" spans="1:12" s="2" customFormat="1" ht="14.25" customHeight="1" x14ac:dyDescent="0.25">
      <c r="A36" s="36"/>
      <c r="B36" s="28"/>
      <c r="C36" s="44" t="s">
        <v>1511</v>
      </c>
      <c r="D36" s="43"/>
      <c r="E36" s="38">
        <f>I24-J24+J28</f>
        <v>1283691.2399999984</v>
      </c>
      <c r="F36" s="22"/>
      <c r="G36" s="1"/>
      <c r="H36" s="1"/>
      <c r="J36" s="130"/>
      <c r="K36" s="130"/>
    </row>
    <row r="37" spans="1:12" s="2" customFormat="1" x14ac:dyDescent="0.2">
      <c r="A37" s="24"/>
      <c r="B37" s="1"/>
      <c r="C37" s="14"/>
      <c r="D37" s="25"/>
      <c r="G37" s="1"/>
      <c r="H37" s="1"/>
      <c r="I37" s="159"/>
      <c r="J37" s="160">
        <f>100000000+175000000</f>
        <v>275000000</v>
      </c>
      <c r="K37" s="160" t="s">
        <v>1506</v>
      </c>
      <c r="L37" s="70"/>
    </row>
    <row r="38" spans="1:12" s="2" customFormat="1" ht="15" x14ac:dyDescent="0.35">
      <c r="A38" s="214" t="s">
        <v>10</v>
      </c>
      <c r="B38" s="214"/>
      <c r="C38" s="214"/>
      <c r="D38" s="214"/>
      <c r="E38" s="214"/>
      <c r="F38" s="214"/>
      <c r="G38" s="1"/>
      <c r="H38" s="1"/>
      <c r="I38" s="159"/>
      <c r="J38" s="179">
        <v>241899482.47</v>
      </c>
      <c r="K38" s="160" t="s">
        <v>1507</v>
      </c>
      <c r="L38" s="70" t="s">
        <v>1512</v>
      </c>
    </row>
    <row r="39" spans="1:12" s="2" customFormat="1" x14ac:dyDescent="0.2">
      <c r="A39" s="26" t="s">
        <v>1</v>
      </c>
      <c r="B39" s="27" t="s">
        <v>2</v>
      </c>
      <c r="C39" s="5"/>
      <c r="D39" s="6" t="s">
        <v>3</v>
      </c>
      <c r="E39" s="7" t="s">
        <v>4</v>
      </c>
      <c r="F39" s="7" t="s">
        <v>5</v>
      </c>
      <c r="G39" s="1"/>
      <c r="H39" s="1"/>
      <c r="I39" s="159" t="s">
        <v>1505</v>
      </c>
      <c r="J39" s="160">
        <f>+J37-J38</f>
        <v>33100517.530000001</v>
      </c>
      <c r="K39" s="160"/>
      <c r="L39" s="70"/>
    </row>
    <row r="40" spans="1:12" s="2" customFormat="1" x14ac:dyDescent="0.2">
      <c r="A40" s="89" t="s">
        <v>2185</v>
      </c>
      <c r="B40" s="128" t="s">
        <v>11</v>
      </c>
      <c r="C40" s="29" t="s">
        <v>7</v>
      </c>
      <c r="D40" s="25"/>
      <c r="E40" s="31"/>
      <c r="F40" s="13">
        <v>261177851.36999989</v>
      </c>
      <c r="G40" s="23"/>
      <c r="H40" s="23"/>
      <c r="I40" s="159"/>
      <c r="J40" s="160"/>
      <c r="K40" s="160"/>
      <c r="L40" s="70"/>
    </row>
    <row r="41" spans="1:12" s="2" customFormat="1" x14ac:dyDescent="0.2">
      <c r="A41" s="89" t="s">
        <v>2185</v>
      </c>
      <c r="B41" s="128" t="s">
        <v>6</v>
      </c>
      <c r="C41" s="181" t="s">
        <v>223</v>
      </c>
      <c r="D41" s="11" t="s">
        <v>13</v>
      </c>
      <c r="E41" s="86">
        <v>19819</v>
      </c>
      <c r="G41" s="23"/>
      <c r="H41" s="23"/>
      <c r="I41" s="159"/>
      <c r="J41" s="160"/>
      <c r="K41" s="160"/>
      <c r="L41" s="70"/>
    </row>
    <row r="42" spans="1:12" s="2" customFormat="1" x14ac:dyDescent="0.2">
      <c r="A42" s="89" t="s">
        <v>2185</v>
      </c>
      <c r="B42" s="128" t="s">
        <v>6</v>
      </c>
      <c r="C42" s="181" t="s">
        <v>318</v>
      </c>
      <c r="D42" s="11" t="s">
        <v>13</v>
      </c>
      <c r="E42" s="86">
        <v>453521</v>
      </c>
      <c r="G42" s="23"/>
      <c r="H42" s="23"/>
      <c r="I42" s="159"/>
      <c r="J42" s="160"/>
      <c r="K42" s="160"/>
      <c r="L42" s="70"/>
    </row>
    <row r="43" spans="1:12" s="2" customFormat="1" x14ac:dyDescent="0.2">
      <c r="A43" s="89" t="s">
        <v>2185</v>
      </c>
      <c r="B43" s="128" t="s">
        <v>6</v>
      </c>
      <c r="C43" s="181" t="s">
        <v>1808</v>
      </c>
      <c r="D43" s="11" t="s">
        <v>13</v>
      </c>
      <c r="E43" s="86">
        <v>1406236</v>
      </c>
      <c r="G43" s="23"/>
      <c r="H43" s="23"/>
      <c r="I43" s="159"/>
      <c r="J43" s="160"/>
      <c r="K43" s="160"/>
      <c r="L43" s="70"/>
    </row>
    <row r="44" spans="1:12" s="2" customFormat="1" x14ac:dyDescent="0.2">
      <c r="A44" s="89" t="s">
        <v>2185</v>
      </c>
      <c r="B44" s="128" t="s">
        <v>6</v>
      </c>
      <c r="C44" s="181" t="s">
        <v>316</v>
      </c>
      <c r="D44" s="11" t="s">
        <v>13</v>
      </c>
      <c r="E44" s="86">
        <v>68160</v>
      </c>
      <c r="G44" s="23"/>
      <c r="H44" s="23"/>
      <c r="I44" s="159"/>
      <c r="J44" s="160"/>
      <c r="K44" s="160"/>
      <c r="L44" s="70"/>
    </row>
    <row r="45" spans="1:12" s="2" customFormat="1" x14ac:dyDescent="0.2">
      <c r="A45" s="89" t="s">
        <v>2185</v>
      </c>
      <c r="B45" s="128" t="s">
        <v>6</v>
      </c>
      <c r="C45" s="181" t="s">
        <v>120</v>
      </c>
      <c r="D45" s="11" t="s">
        <v>13</v>
      </c>
      <c r="E45" s="86">
        <v>4328672</v>
      </c>
      <c r="G45" s="23"/>
      <c r="H45" s="23"/>
      <c r="I45" s="159"/>
      <c r="J45" s="160"/>
      <c r="K45" s="160"/>
      <c r="L45" s="70"/>
    </row>
    <row r="46" spans="1:12" s="2" customFormat="1" x14ac:dyDescent="0.2">
      <c r="A46" s="89" t="s">
        <v>2185</v>
      </c>
      <c r="B46" s="128" t="s">
        <v>6</v>
      </c>
      <c r="C46" s="181" t="s">
        <v>19</v>
      </c>
      <c r="D46" s="11" t="s">
        <v>13</v>
      </c>
      <c r="E46" s="86">
        <v>4146719</v>
      </c>
      <c r="G46" s="23"/>
      <c r="H46" s="23"/>
      <c r="I46" s="159"/>
      <c r="J46" s="160"/>
      <c r="K46" s="160"/>
      <c r="L46" s="70"/>
    </row>
    <row r="47" spans="1:12" s="2" customFormat="1" x14ac:dyDescent="0.2">
      <c r="A47" s="89" t="s">
        <v>2185</v>
      </c>
      <c r="B47" s="128" t="s">
        <v>6</v>
      </c>
      <c r="C47" s="181" t="s">
        <v>62</v>
      </c>
      <c r="D47" s="11" t="s">
        <v>13</v>
      </c>
      <c r="E47" s="86">
        <v>14000</v>
      </c>
      <c r="G47" s="23"/>
      <c r="H47" s="23"/>
      <c r="I47" s="159"/>
      <c r="J47" s="160"/>
      <c r="K47" s="160"/>
      <c r="L47" s="70"/>
    </row>
    <row r="48" spans="1:12" s="2" customFormat="1" x14ac:dyDescent="0.2">
      <c r="A48" s="89" t="s">
        <v>2185</v>
      </c>
      <c r="B48" s="128" t="s">
        <v>6</v>
      </c>
      <c r="C48" s="181" t="s">
        <v>785</v>
      </c>
      <c r="D48" s="11" t="s">
        <v>13</v>
      </c>
      <c r="E48" s="86">
        <v>13682370</v>
      </c>
      <c r="G48" s="23"/>
      <c r="H48" s="23"/>
      <c r="I48" s="159"/>
      <c r="J48" s="160"/>
      <c r="K48" s="160"/>
      <c r="L48" s="70"/>
    </row>
    <row r="49" spans="1:16" s="2" customFormat="1" x14ac:dyDescent="0.2">
      <c r="A49" s="89" t="s">
        <v>2185</v>
      </c>
      <c r="B49" s="128" t="s">
        <v>6</v>
      </c>
      <c r="C49" s="181" t="s">
        <v>2027</v>
      </c>
      <c r="D49" s="11" t="s">
        <v>13</v>
      </c>
      <c r="E49" s="86">
        <v>844601</v>
      </c>
      <c r="G49" s="23"/>
      <c r="H49" s="23"/>
      <c r="I49" s="159"/>
      <c r="J49" s="160"/>
      <c r="K49" s="160"/>
      <c r="L49" s="70"/>
    </row>
    <row r="50" spans="1:16" s="2" customFormat="1" x14ac:dyDescent="0.2">
      <c r="A50" s="89" t="s">
        <v>2185</v>
      </c>
      <c r="B50" s="128" t="s">
        <v>6</v>
      </c>
      <c r="C50" s="181" t="s">
        <v>332</v>
      </c>
      <c r="D50" s="11" t="s">
        <v>13</v>
      </c>
      <c r="E50" s="86">
        <v>1333848</v>
      </c>
      <c r="G50" s="23"/>
      <c r="H50" s="23"/>
      <c r="I50" s="159"/>
      <c r="J50" s="160"/>
      <c r="K50" s="160"/>
      <c r="L50" s="70"/>
    </row>
    <row r="51" spans="1:16" s="2" customFormat="1" x14ac:dyDescent="0.2">
      <c r="A51" s="89" t="s">
        <v>2185</v>
      </c>
      <c r="B51" s="128" t="s">
        <v>6</v>
      </c>
      <c r="C51" s="181" t="s">
        <v>106</v>
      </c>
      <c r="D51" s="11" t="s">
        <v>13</v>
      </c>
      <c r="E51" s="86">
        <v>2100000</v>
      </c>
      <c r="G51" s="23"/>
      <c r="H51" s="23"/>
      <c r="I51" s="159"/>
      <c r="J51" s="160"/>
      <c r="K51" s="160"/>
      <c r="L51" s="70"/>
    </row>
    <row r="52" spans="1:16" s="2" customFormat="1" x14ac:dyDescent="0.2">
      <c r="A52" s="89" t="s">
        <v>2185</v>
      </c>
      <c r="B52" s="128" t="s">
        <v>6</v>
      </c>
      <c r="C52" s="181" t="s">
        <v>2186</v>
      </c>
      <c r="D52" s="11" t="s">
        <v>13</v>
      </c>
      <c r="E52" s="86">
        <v>1522</v>
      </c>
      <c r="G52" s="23"/>
      <c r="H52" s="23"/>
      <c r="I52" s="159"/>
      <c r="J52" s="160"/>
      <c r="K52" s="160"/>
      <c r="L52" s="70"/>
    </row>
    <row r="53" spans="1:16" s="2" customFormat="1" x14ac:dyDescent="0.2">
      <c r="A53" s="89" t="s">
        <v>2185</v>
      </c>
      <c r="B53" s="128" t="s">
        <v>6</v>
      </c>
      <c r="C53" s="181" t="s">
        <v>149</v>
      </c>
      <c r="D53" s="11" t="s">
        <v>13</v>
      </c>
      <c r="E53" s="86">
        <v>8908</v>
      </c>
      <c r="G53" s="23"/>
      <c r="H53" s="23"/>
      <c r="I53" s="159"/>
      <c r="J53" s="160"/>
      <c r="K53" s="160"/>
      <c r="L53" s="70"/>
    </row>
    <row r="54" spans="1:16" s="2" customFormat="1" x14ac:dyDescent="0.2">
      <c r="A54" s="89" t="s">
        <v>2185</v>
      </c>
      <c r="B54" s="128" t="s">
        <v>6</v>
      </c>
      <c r="C54" s="181" t="s">
        <v>788</v>
      </c>
      <c r="D54" s="11" t="s">
        <v>13</v>
      </c>
      <c r="E54" s="86">
        <v>308661</v>
      </c>
      <c r="G54" s="23"/>
      <c r="H54" s="23"/>
      <c r="I54" s="159"/>
      <c r="J54" s="160"/>
      <c r="K54" s="160"/>
      <c r="L54" s="70"/>
    </row>
    <row r="55" spans="1:16" s="2" customFormat="1" x14ac:dyDescent="0.2">
      <c r="A55" s="89" t="s">
        <v>2185</v>
      </c>
      <c r="B55" s="128" t="s">
        <v>11</v>
      </c>
      <c r="C55" s="181" t="s">
        <v>15</v>
      </c>
      <c r="D55" s="11" t="s">
        <v>29</v>
      </c>
      <c r="E55" s="86"/>
      <c r="F55" s="2">
        <v>224477.95</v>
      </c>
      <c r="G55" s="23"/>
      <c r="H55" s="23"/>
      <c r="I55" s="159"/>
      <c r="J55" s="160"/>
      <c r="K55" s="160"/>
      <c r="L55" s="70"/>
    </row>
    <row r="56" spans="1:16" s="2" customFormat="1" x14ac:dyDescent="0.2">
      <c r="A56" s="89" t="s">
        <v>2185</v>
      </c>
      <c r="B56" s="128" t="s">
        <v>11</v>
      </c>
      <c r="C56" s="181" t="s">
        <v>64</v>
      </c>
      <c r="D56" s="11" t="s">
        <v>29</v>
      </c>
      <c r="E56" s="86"/>
      <c r="F56" s="2">
        <v>11210</v>
      </c>
      <c r="G56" s="23"/>
      <c r="H56" s="23"/>
      <c r="I56" s="159"/>
      <c r="J56" s="160"/>
      <c r="K56" s="160"/>
      <c r="L56" s="70"/>
    </row>
    <row r="57" spans="1:16" s="2" customFormat="1" x14ac:dyDescent="0.2">
      <c r="A57" s="89" t="s">
        <v>2185</v>
      </c>
      <c r="B57" s="128" t="s">
        <v>11</v>
      </c>
      <c r="C57" s="181" t="s">
        <v>2187</v>
      </c>
      <c r="D57" s="11" t="s">
        <v>29</v>
      </c>
      <c r="E57" s="86"/>
      <c r="F57" s="2">
        <v>86108</v>
      </c>
      <c r="G57" s="23"/>
      <c r="H57" s="23"/>
      <c r="I57" s="159"/>
      <c r="J57" s="160"/>
      <c r="K57" s="160"/>
      <c r="L57" s="70"/>
    </row>
    <row r="58" spans="1:16" s="2" customFormat="1" x14ac:dyDescent="0.2">
      <c r="A58" s="89" t="s">
        <v>2185</v>
      </c>
      <c r="B58" s="128" t="s">
        <v>11</v>
      </c>
      <c r="C58" s="181" t="s">
        <v>1348</v>
      </c>
      <c r="D58" s="11" t="s">
        <v>29</v>
      </c>
      <c r="E58" s="86"/>
      <c r="F58" s="2">
        <v>6805734</v>
      </c>
      <c r="G58" s="23"/>
      <c r="H58" s="23"/>
      <c r="I58" s="159"/>
      <c r="J58" s="160"/>
      <c r="K58" s="160"/>
      <c r="L58" s="70"/>
    </row>
    <row r="59" spans="1:16" s="2" customFormat="1" x14ac:dyDescent="0.2">
      <c r="A59" s="89" t="s">
        <v>2185</v>
      </c>
      <c r="B59" s="128" t="s">
        <v>11</v>
      </c>
      <c r="C59" s="181" t="s">
        <v>1979</v>
      </c>
      <c r="D59" s="11" t="s">
        <v>29</v>
      </c>
      <c r="E59" s="86"/>
      <c r="F59" s="2">
        <v>252131.15</v>
      </c>
      <c r="G59" s="23"/>
      <c r="H59" s="23"/>
      <c r="I59" s="159"/>
      <c r="J59" s="160"/>
      <c r="K59" s="160"/>
      <c r="L59" s="70"/>
    </row>
    <row r="60" spans="1:16" s="70" customFormat="1" x14ac:dyDescent="0.2">
      <c r="A60" s="32"/>
      <c r="B60" s="33"/>
      <c r="C60" s="14"/>
      <c r="D60" s="34"/>
      <c r="E60" s="16">
        <f>SUM(E40:E59)</f>
        <v>28717037</v>
      </c>
      <c r="F60" s="16">
        <f>SUM(F40:F59)</f>
        <v>268557512.46999985</v>
      </c>
      <c r="G60" s="1"/>
      <c r="H60" s="1"/>
      <c r="I60" s="1"/>
      <c r="J60" s="38">
        <v>239840475.47</v>
      </c>
      <c r="K60" s="2"/>
      <c r="L60" s="92">
        <f>E61-J60</f>
        <v>0</v>
      </c>
      <c r="M60" s="2"/>
      <c r="N60" s="2"/>
      <c r="O60" s="2"/>
      <c r="P60" s="2"/>
    </row>
    <row r="61" spans="1:16" s="70" customFormat="1" x14ac:dyDescent="0.2">
      <c r="A61" s="36"/>
      <c r="B61" s="28" t="s">
        <v>11</v>
      </c>
      <c r="C61" s="19" t="s">
        <v>65</v>
      </c>
      <c r="D61" s="37"/>
      <c r="E61" s="38">
        <f>F60-E60</f>
        <v>239840475.46999985</v>
      </c>
      <c r="F61" s="22"/>
      <c r="G61" s="1"/>
      <c r="H61" s="1"/>
      <c r="I61" s="1"/>
      <c r="M61" s="2"/>
      <c r="N61" s="2"/>
      <c r="O61" s="1"/>
      <c r="P61" s="2"/>
    </row>
    <row r="62" spans="1:16" s="70" customFormat="1" x14ac:dyDescent="0.2">
      <c r="A62" s="36"/>
      <c r="B62" s="28" t="s">
        <v>66</v>
      </c>
      <c r="C62" s="19" t="s">
        <v>67</v>
      </c>
      <c r="D62" s="37"/>
      <c r="E62" s="38">
        <v>11500000</v>
      </c>
      <c r="F62" s="22"/>
      <c r="G62" s="1"/>
      <c r="H62" s="1"/>
      <c r="M62" s="2"/>
      <c r="N62" s="2"/>
      <c r="O62" s="1"/>
      <c r="P62" s="2"/>
    </row>
    <row r="63" spans="1:16" s="70" customFormat="1" x14ac:dyDescent="0.2">
      <c r="A63" s="36"/>
      <c r="B63" s="28" t="s">
        <v>66</v>
      </c>
      <c r="C63" s="43" t="s">
        <v>1457</v>
      </c>
      <c r="D63" s="43"/>
      <c r="E63" s="12">
        <f>400000000-175000000</f>
        <v>225000000</v>
      </c>
      <c r="F63" s="22"/>
      <c r="G63" s="1"/>
      <c r="H63" s="1"/>
      <c r="J63" s="45">
        <v>615.63</v>
      </c>
      <c r="K63" s="46"/>
      <c r="L63" s="46"/>
      <c r="M63" s="2"/>
      <c r="N63" s="2"/>
      <c r="O63" s="1"/>
      <c r="P63" s="2"/>
    </row>
    <row r="64" spans="1:16" s="70" customFormat="1" ht="15" x14ac:dyDescent="0.25">
      <c r="A64" s="36"/>
      <c r="B64" s="28"/>
      <c r="C64" s="44" t="s">
        <v>1541</v>
      </c>
      <c r="D64" s="43"/>
      <c r="E64" s="7">
        <f>+E63+E61+E62</f>
        <v>476340475.46999985</v>
      </c>
      <c r="F64" s="22"/>
      <c r="G64" s="1"/>
      <c r="H64" s="1"/>
      <c r="I64" s="103" t="s">
        <v>69</v>
      </c>
      <c r="J64" s="45">
        <v>-34.700000000000003</v>
      </c>
      <c r="K64" s="46"/>
      <c r="L64" s="46"/>
      <c r="M64" s="2"/>
      <c r="N64" s="2"/>
      <c r="O64" s="1"/>
      <c r="P64" s="2"/>
    </row>
    <row r="65" spans="1:19" s="70" customFormat="1" ht="15" x14ac:dyDescent="0.25">
      <c r="A65" s="24"/>
      <c r="B65" s="1"/>
      <c r="C65" s="44" t="s">
        <v>1510</v>
      </c>
      <c r="D65" s="25"/>
      <c r="E65" s="156">
        <f>+J39-E62+I35-J35</f>
        <v>23659524.530000001</v>
      </c>
      <c r="F65" s="2"/>
      <c r="G65" s="1"/>
      <c r="H65" s="1"/>
      <c r="I65" s="35">
        <v>1</v>
      </c>
      <c r="J65" s="45">
        <v>29.38</v>
      </c>
      <c r="K65" s="46">
        <f>+J66-D68</f>
        <v>0</v>
      </c>
      <c r="L65" s="2"/>
      <c r="M65" s="2"/>
      <c r="N65" s="2"/>
      <c r="O65" s="1"/>
      <c r="P65" s="2"/>
    </row>
    <row r="66" spans="1:19" s="70" customFormat="1" ht="12.75" customHeight="1" x14ac:dyDescent="0.2">
      <c r="A66" s="24"/>
      <c r="B66" s="1"/>
      <c r="C66" s="56"/>
      <c r="D66" s="56"/>
      <c r="E66" s="104"/>
      <c r="F66" s="2"/>
      <c r="G66" s="166"/>
      <c r="H66" s="166"/>
      <c r="J66" s="49">
        <f>SUM(J63:J65)</f>
        <v>610.30999999999995</v>
      </c>
      <c r="K66" s="46"/>
      <c r="L66" s="46"/>
      <c r="M66" s="124"/>
      <c r="N66" s="124"/>
      <c r="O66" s="1"/>
      <c r="P66" s="2"/>
    </row>
    <row r="67" spans="1:19" s="70" customFormat="1" ht="12.75" customHeight="1" x14ac:dyDescent="0.2">
      <c r="A67" s="24"/>
      <c r="B67" s="1"/>
      <c r="C67" s="78" t="s">
        <v>575</v>
      </c>
      <c r="D67" s="48" t="s">
        <v>576</v>
      </c>
      <c r="E67" s="104"/>
      <c r="F67" s="2"/>
      <c r="G67" s="168"/>
      <c r="H67" s="168"/>
      <c r="I67" s="167"/>
      <c r="J67" s="167"/>
      <c r="K67" s="168"/>
      <c r="L67" s="124"/>
      <c r="M67" s="124"/>
      <c r="N67" s="124"/>
      <c r="O67" s="124"/>
      <c r="P67" s="2"/>
    </row>
    <row r="68" spans="1:19" s="70" customFormat="1" ht="12.75" customHeight="1" x14ac:dyDescent="0.2">
      <c r="A68" s="24"/>
      <c r="B68" s="1"/>
      <c r="C68" s="47" t="s">
        <v>570</v>
      </c>
      <c r="D68" s="111">
        <v>610.30999999999995</v>
      </c>
      <c r="E68" s="104"/>
      <c r="F68" s="2"/>
      <c r="G68" s="168"/>
      <c r="H68" s="168"/>
      <c r="I68" s="110" t="s">
        <v>581</v>
      </c>
      <c r="J68" s="167"/>
      <c r="K68" s="168"/>
      <c r="L68" s="124"/>
      <c r="M68" s="124"/>
      <c r="N68" s="124"/>
      <c r="O68" s="124"/>
      <c r="P68" s="124"/>
    </row>
    <row r="69" spans="1:19" s="70" customFormat="1" ht="12.75" customHeight="1" x14ac:dyDescent="0.2">
      <c r="A69" s="24"/>
      <c r="B69" s="1"/>
      <c r="C69" s="47" t="s">
        <v>931</v>
      </c>
      <c r="D69" s="111">
        <v>34.950000000000003</v>
      </c>
      <c r="E69" s="104"/>
      <c r="F69" s="2"/>
      <c r="G69" s="168"/>
      <c r="H69" s="168"/>
      <c r="I69" s="110" t="s">
        <v>580</v>
      </c>
      <c r="J69" s="167"/>
      <c r="K69" s="168"/>
      <c r="L69" s="124"/>
      <c r="M69" s="124"/>
      <c r="N69" s="124"/>
      <c r="O69" s="124"/>
      <c r="P69" s="124"/>
    </row>
    <row r="70" spans="1:19" s="70" customFormat="1" ht="12.75" customHeight="1" x14ac:dyDescent="0.2">
      <c r="A70" s="24"/>
      <c r="B70" s="1"/>
      <c r="C70" s="47" t="s">
        <v>572</v>
      </c>
      <c r="D70" s="111">
        <f>+D89/100000</f>
        <v>81.415059999999997</v>
      </c>
      <c r="E70" s="104"/>
      <c r="F70" s="2"/>
      <c r="G70" s="166"/>
      <c r="H70" s="166"/>
      <c r="I70" s="90" t="s">
        <v>587</v>
      </c>
      <c r="J70" s="167"/>
      <c r="K70" s="168"/>
      <c r="L70" s="124"/>
      <c r="M70" s="124"/>
      <c r="N70" s="124"/>
      <c r="O70" s="124"/>
      <c r="P70" s="124"/>
    </row>
    <row r="71" spans="1:19" s="70" customFormat="1" ht="12.75" customHeight="1" x14ac:dyDescent="0.2">
      <c r="A71" s="24"/>
      <c r="B71" s="1"/>
      <c r="C71" s="108" t="s">
        <v>578</v>
      </c>
      <c r="D71" s="48">
        <f>SUM(D68:D70)</f>
        <v>726.67506000000003</v>
      </c>
      <c r="E71" s="104"/>
      <c r="F71" s="2"/>
      <c r="G71" s="30"/>
      <c r="H71" s="30"/>
      <c r="I71" s="2"/>
      <c r="J71" s="13"/>
      <c r="K71" s="13"/>
      <c r="L71" s="2"/>
      <c r="M71" s="2"/>
      <c r="N71" s="2"/>
      <c r="O71" s="124"/>
      <c r="P71" s="124"/>
    </row>
    <row r="72" spans="1:19" s="70" customFormat="1" ht="12.75" customHeight="1" x14ac:dyDescent="0.2">
      <c r="A72" s="24"/>
      <c r="B72" s="1"/>
      <c r="C72" s="47"/>
      <c r="D72" s="107"/>
      <c r="E72" s="104"/>
      <c r="F72" s="2"/>
      <c r="G72" s="30"/>
      <c r="H72" s="30"/>
      <c r="I72" s="2"/>
      <c r="O72" s="2"/>
      <c r="P72" s="124"/>
    </row>
    <row r="73" spans="1:19" s="70" customFormat="1" ht="12.75" customHeight="1" x14ac:dyDescent="0.2">
      <c r="A73" s="24"/>
      <c r="B73" s="1"/>
      <c r="C73" s="47" t="s">
        <v>932</v>
      </c>
      <c r="D73" s="111">
        <v>150.88999999999999</v>
      </c>
      <c r="E73" s="104"/>
      <c r="F73" s="2"/>
      <c r="G73" s="30"/>
      <c r="H73" s="30"/>
      <c r="I73" s="110" t="s">
        <v>581</v>
      </c>
      <c r="P73" s="2"/>
    </row>
    <row r="74" spans="1:19" s="70" customFormat="1" ht="12.75" customHeight="1" x14ac:dyDescent="0.2">
      <c r="A74" s="24"/>
      <c r="B74" s="1"/>
      <c r="C74" s="136" t="s">
        <v>1142</v>
      </c>
      <c r="D74" s="111">
        <v>311.35000000000002</v>
      </c>
      <c r="E74" s="104"/>
      <c r="F74" s="2"/>
      <c r="G74" s="30"/>
      <c r="H74" s="30"/>
      <c r="I74" s="110" t="s">
        <v>581</v>
      </c>
    </row>
    <row r="75" spans="1:19" s="70" customFormat="1" ht="12.75" customHeight="1" x14ac:dyDescent="0.2">
      <c r="A75" s="24"/>
      <c r="B75" s="1"/>
      <c r="C75" s="78" t="s">
        <v>579</v>
      </c>
      <c r="D75" s="109">
        <f>D73+D74</f>
        <v>462.24</v>
      </c>
      <c r="E75" s="104"/>
      <c r="F75" s="2"/>
      <c r="G75" s="30"/>
      <c r="H75" s="30"/>
      <c r="Q75" s="2"/>
      <c r="R75" s="2"/>
      <c r="S75" s="2"/>
    </row>
    <row r="76" spans="1:19" s="2" customFormat="1" x14ac:dyDescent="0.2">
      <c r="A76" s="24"/>
      <c r="B76" s="1"/>
      <c r="C76" s="105"/>
      <c r="D76" s="106"/>
      <c r="E76" s="104"/>
      <c r="G76" s="30"/>
      <c r="H76" s="30"/>
      <c r="I76" s="70"/>
      <c r="K76" s="221" t="str">
        <f>"FROM ( 01-03-2024 to "&amp;TEXT(A5,"dd-mm-yyyy")&amp;" )"</f>
        <v>FROM ( 01-03-2024 to 07-03-2024 )</v>
      </c>
      <c r="L76" s="221"/>
      <c r="O76" s="70"/>
      <c r="P76" s="70"/>
    </row>
    <row r="77" spans="1:19" s="2" customFormat="1" x14ac:dyDescent="0.2">
      <c r="A77" s="24"/>
      <c r="B77" s="1"/>
      <c r="C77" s="78" t="s">
        <v>577</v>
      </c>
      <c r="D77" s="109">
        <f>D68+D75</f>
        <v>1072.55</v>
      </c>
      <c r="E77" s="104"/>
      <c r="G77" s="30"/>
      <c r="H77" s="30"/>
      <c r="I77" s="70"/>
      <c r="J77" s="113"/>
      <c r="K77" s="113" t="s">
        <v>709</v>
      </c>
      <c r="L77" s="113" t="s">
        <v>710</v>
      </c>
      <c r="M77" s="113" t="s">
        <v>711</v>
      </c>
      <c r="N77" s="113" t="s">
        <v>712</v>
      </c>
      <c r="O77" s="70"/>
      <c r="P77" s="70"/>
    </row>
    <row r="78" spans="1:19" s="2" customFormat="1" x14ac:dyDescent="0.2">
      <c r="A78" s="24"/>
      <c r="B78" s="1"/>
      <c r="C78" s="56"/>
      <c r="D78" s="56"/>
      <c r="E78" s="104"/>
      <c r="G78" s="30"/>
      <c r="H78" s="30"/>
      <c r="I78" s="70"/>
      <c r="J78" s="113" t="s">
        <v>1860</v>
      </c>
      <c r="K78" s="115">
        <v>195.8</v>
      </c>
      <c r="L78" s="115">
        <v>0</v>
      </c>
      <c r="M78" s="115">
        <v>0</v>
      </c>
      <c r="N78" s="113">
        <f>+K78+M78-L78</f>
        <v>195.8</v>
      </c>
      <c r="O78" s="70"/>
      <c r="P78" s="70"/>
    </row>
    <row r="79" spans="1:19" s="2" customFormat="1" ht="38.25" x14ac:dyDescent="0.2">
      <c r="A79" s="24"/>
      <c r="B79" s="1"/>
      <c r="C79" s="79" t="str">
        <f>"Particulars ( 01-03-2024 to "&amp;TEXT(A5,"dd-mm-yyyy")&amp;" )"</f>
        <v>Particulars ( 01-03-2024 to 07-03-2024 )</v>
      </c>
      <c r="D79" s="79" t="s">
        <v>7</v>
      </c>
      <c r="E79" s="80" t="s">
        <v>73</v>
      </c>
      <c r="F79" s="80" t="s">
        <v>74</v>
      </c>
      <c r="G79" s="81" t="s">
        <v>75</v>
      </c>
      <c r="H79" s="80" t="s">
        <v>76</v>
      </c>
      <c r="I79" s="70"/>
      <c r="J79" s="113" t="s">
        <v>1861</v>
      </c>
      <c r="K79" s="115">
        <v>1882.6</v>
      </c>
      <c r="L79" s="115">
        <v>81.42</v>
      </c>
      <c r="M79" s="115">
        <v>311.35000000000002</v>
      </c>
      <c r="N79" s="113">
        <f>+K79+M79-L79</f>
        <v>2112.5299999999997</v>
      </c>
      <c r="O79" s="70"/>
      <c r="P79" s="70"/>
    </row>
    <row r="80" spans="1:19" s="2" customFormat="1" x14ac:dyDescent="0.2">
      <c r="A80" s="24"/>
      <c r="B80" s="1"/>
      <c r="C80" s="50" t="s">
        <v>444</v>
      </c>
      <c r="D80" s="55">
        <f>+K80</f>
        <v>477.01</v>
      </c>
      <c r="E80" s="55">
        <f>+IF(M80=0,0,M80)</f>
        <v>150.88999999999999</v>
      </c>
      <c r="F80" s="55">
        <f>+L80</f>
        <v>34.950000000000003</v>
      </c>
      <c r="G80" s="55">
        <f>+D80+E80-F80</f>
        <v>592.94999999999993</v>
      </c>
      <c r="H80" s="55">
        <f>1500-G80</f>
        <v>907.05000000000007</v>
      </c>
      <c r="I80" s="70">
        <f>+IF(M80=0,0,M80)</f>
        <v>150.88999999999999</v>
      </c>
      <c r="J80" s="113" t="s">
        <v>707</v>
      </c>
      <c r="K80" s="115">
        <v>477.01</v>
      </c>
      <c r="L80" s="115">
        <v>34.950000000000003</v>
      </c>
      <c r="M80" s="115">
        <v>150.88999999999999</v>
      </c>
      <c r="N80" s="113">
        <f>+K80+M80-L80</f>
        <v>592.94999999999993</v>
      </c>
      <c r="O80" s="70"/>
      <c r="P80" s="70"/>
    </row>
    <row r="81" spans="1:16" s="2" customFormat="1" x14ac:dyDescent="0.2">
      <c r="A81" s="24"/>
      <c r="B81" s="1"/>
      <c r="C81" s="50" t="s">
        <v>71</v>
      </c>
      <c r="D81" s="55">
        <f>+K78+K79</f>
        <v>2078.4</v>
      </c>
      <c r="E81" s="55">
        <f>+M78+M79</f>
        <v>311.35000000000002</v>
      </c>
      <c r="F81" s="55">
        <f>+L78+L79</f>
        <v>81.42</v>
      </c>
      <c r="G81" s="55">
        <f>+D81+E81-F81</f>
        <v>2308.33</v>
      </c>
      <c r="H81" s="55">
        <f>1500+700+200-G81</f>
        <v>91.670000000000073</v>
      </c>
      <c r="I81" s="70"/>
      <c r="K81" s="118">
        <f>SUM(K78:K80)</f>
        <v>2555.41</v>
      </c>
      <c r="L81" s="118">
        <f>SUM(L78:L80)</f>
        <v>116.37</v>
      </c>
      <c r="M81" s="118">
        <f>SUM(M78:M80)</f>
        <v>462.24</v>
      </c>
      <c r="N81" s="118">
        <f>SUM(N78:N80)</f>
        <v>2901.2799999999997</v>
      </c>
      <c r="O81" s="70"/>
      <c r="P81" s="70"/>
    </row>
    <row r="82" spans="1:16" s="2" customFormat="1" x14ac:dyDescent="0.2">
      <c r="A82" s="24"/>
      <c r="B82" s="1"/>
      <c r="C82" s="14"/>
      <c r="D82" s="56"/>
      <c r="E82" s="13"/>
      <c r="G82" s="30"/>
      <c r="H82" s="30"/>
      <c r="I82" s="70"/>
      <c r="J82" s="70"/>
      <c r="K82" s="70"/>
      <c r="L82" s="70"/>
      <c r="M82" s="70"/>
      <c r="N82" s="70"/>
      <c r="O82" s="70"/>
      <c r="P82" s="70"/>
    </row>
    <row r="83" spans="1:16" s="2" customFormat="1" x14ac:dyDescent="0.2">
      <c r="A83" s="215" t="s">
        <v>80</v>
      </c>
      <c r="B83" s="216"/>
      <c r="C83" s="216"/>
      <c r="D83" s="217"/>
      <c r="E83" s="69"/>
      <c r="F83" s="70"/>
      <c r="G83" s="30"/>
      <c r="H83" s="30"/>
      <c r="I83" s="70"/>
      <c r="J83" s="70"/>
      <c r="K83" s="70"/>
      <c r="L83" s="70"/>
      <c r="M83" s="70"/>
      <c r="N83" s="70"/>
      <c r="O83" s="70"/>
      <c r="P83" s="70"/>
    </row>
    <row r="84" spans="1:16" s="2" customFormat="1" x14ac:dyDescent="0.2">
      <c r="A84" s="71" t="s">
        <v>81</v>
      </c>
      <c r="B84" s="71"/>
      <c r="C84" s="72" t="s">
        <v>82</v>
      </c>
      <c r="D84" s="73" t="s">
        <v>83</v>
      </c>
      <c r="E84" s="69"/>
      <c r="F84" s="70"/>
      <c r="G84" s="30"/>
      <c r="H84" s="30"/>
      <c r="I84" s="70"/>
      <c r="J84" s="70"/>
      <c r="K84" s="70"/>
      <c r="L84" s="70"/>
      <c r="M84" s="70"/>
      <c r="N84" s="70"/>
      <c r="O84" s="70"/>
      <c r="P84" s="70"/>
    </row>
    <row r="85" spans="1:16" s="2" customFormat="1" x14ac:dyDescent="0.2">
      <c r="A85" s="87">
        <v>45352</v>
      </c>
      <c r="B85" s="120" t="s">
        <v>6</v>
      </c>
      <c r="C85" s="75" t="s">
        <v>2165</v>
      </c>
      <c r="D85" s="88">
        <v>2143144</v>
      </c>
      <c r="G85" s="30"/>
      <c r="H85" s="30"/>
      <c r="P85" s="70"/>
    </row>
    <row r="86" spans="1:16" s="2" customFormat="1" x14ac:dyDescent="0.2">
      <c r="A86" s="87">
        <v>45352</v>
      </c>
      <c r="B86" s="120" t="s">
        <v>6</v>
      </c>
      <c r="C86" s="75" t="s">
        <v>2171</v>
      </c>
      <c r="D86" s="88">
        <v>1493463</v>
      </c>
      <c r="G86" s="30"/>
      <c r="H86" s="30"/>
      <c r="P86" s="70"/>
    </row>
    <row r="87" spans="1:16" s="2" customFormat="1" x14ac:dyDescent="0.2">
      <c r="A87" s="87">
        <v>45356</v>
      </c>
      <c r="B87" s="120" t="s">
        <v>6</v>
      </c>
      <c r="C87" s="75" t="s">
        <v>1988</v>
      </c>
      <c r="D87" s="88">
        <v>3111466</v>
      </c>
      <c r="G87" s="30"/>
      <c r="H87" s="30"/>
      <c r="P87" s="70"/>
    </row>
    <row r="88" spans="1:16" s="2" customFormat="1" x14ac:dyDescent="0.2">
      <c r="A88" s="87">
        <v>45357</v>
      </c>
      <c r="B88" s="120" t="s">
        <v>6</v>
      </c>
      <c r="C88" s="75" t="s">
        <v>2171</v>
      </c>
      <c r="D88" s="88">
        <v>1393433</v>
      </c>
      <c r="G88" s="30"/>
      <c r="H88" s="30"/>
      <c r="P88" s="70"/>
    </row>
    <row r="89" spans="1:16" s="2" customFormat="1" x14ac:dyDescent="0.2">
      <c r="A89" s="87"/>
      <c r="B89" s="74"/>
      <c r="C89" s="183" t="s">
        <v>2141</v>
      </c>
      <c r="D89" s="51">
        <f>SUM(D85:D88)</f>
        <v>8141506</v>
      </c>
      <c r="F89" s="2" t="s">
        <v>396</v>
      </c>
      <c r="G89" s="1"/>
      <c r="H89" s="1"/>
      <c r="P89" s="70"/>
    </row>
    <row r="90" spans="1:16" s="2" customFormat="1" x14ac:dyDescent="0.2">
      <c r="A90" s="24"/>
      <c r="B90" s="1"/>
      <c r="C90" s="14"/>
      <c r="D90" s="56"/>
      <c r="E90" s="13"/>
      <c r="G90" s="1"/>
      <c r="H90" s="1"/>
      <c r="I90" s="2" t="s">
        <v>396</v>
      </c>
    </row>
    <row r="91" spans="1:16" s="2" customFormat="1" x14ac:dyDescent="0.2">
      <c r="A91" s="24"/>
      <c r="B91" s="1"/>
      <c r="C91" s="218" t="s">
        <v>77</v>
      </c>
      <c r="D91" s="219"/>
      <c r="E91" s="219"/>
      <c r="F91" s="220"/>
      <c r="I91" s="2" t="s">
        <v>396</v>
      </c>
    </row>
    <row r="92" spans="1:16" s="2" customFormat="1" x14ac:dyDescent="0.2">
      <c r="A92" s="24"/>
      <c r="B92" s="1"/>
      <c r="C92" s="50"/>
      <c r="D92" s="57" t="s">
        <v>78</v>
      </c>
      <c r="E92" s="58" t="s">
        <v>79</v>
      </c>
      <c r="F92" s="57" t="s">
        <v>72</v>
      </c>
    </row>
    <row r="93" spans="1:16" s="2" customFormat="1" x14ac:dyDescent="0.2">
      <c r="A93" s="24"/>
      <c r="B93" s="1"/>
      <c r="C93" s="59" t="str">
        <f>"01-03-2024 to "&amp;TEXT(A5-2,"dd-mm-yyyy")</f>
        <v>01-03-2024 to 05-03-2024</v>
      </c>
      <c r="D93" s="60">
        <v>768.11</v>
      </c>
      <c r="E93" s="60">
        <v>125.02</v>
      </c>
      <c r="F93" s="61">
        <f>SUM(D93:E93)</f>
        <v>893.13</v>
      </c>
      <c r="I93" s="53"/>
    </row>
    <row r="94" spans="1:16" s="2" customFormat="1" x14ac:dyDescent="0.2">
      <c r="A94" s="24"/>
      <c r="B94" s="1"/>
      <c r="C94" s="62" t="str">
        <f>TEXT(A5-1,"dd-mm-yyyy")</f>
        <v>06-03-2024</v>
      </c>
      <c r="D94" s="60">
        <v>132.91</v>
      </c>
      <c r="E94" s="60">
        <v>26.84</v>
      </c>
      <c r="F94" s="61">
        <f>SUM(D94:E94)</f>
        <v>159.75</v>
      </c>
      <c r="G94" s="1"/>
      <c r="H94" s="1"/>
      <c r="I94" s="53"/>
    </row>
    <row r="95" spans="1:16" s="2" customFormat="1" ht="13.5" thickBot="1" x14ac:dyDescent="0.25">
      <c r="A95" s="24"/>
      <c r="B95" s="1"/>
      <c r="C95" s="63" t="str">
        <f>"01-03-2024 to "&amp;TEXT(A5-1,"dd-mm-yyyy")</f>
        <v>01-03-2024 to 06-03-2024</v>
      </c>
      <c r="D95" s="64">
        <f>SUM(D93:D94)</f>
        <v>901.02</v>
      </c>
      <c r="E95" s="64">
        <f>SUM(E93:E94)</f>
        <v>151.85999999999999</v>
      </c>
      <c r="F95" s="64">
        <f>SUM(F93:F94)</f>
        <v>1052.8800000000001</v>
      </c>
      <c r="G95" s="1"/>
      <c r="H95" s="1"/>
      <c r="M95" s="1"/>
      <c r="N95" s="1"/>
    </row>
    <row r="96" spans="1:16" s="2" customFormat="1" ht="13.5" thickTop="1" x14ac:dyDescent="0.2">
      <c r="A96" s="24"/>
      <c r="B96" s="1"/>
      <c r="C96" s="62"/>
      <c r="D96" s="65"/>
      <c r="E96" s="66"/>
      <c r="F96" s="67"/>
      <c r="M96" s="1"/>
      <c r="N96" s="1"/>
    </row>
    <row r="97" spans="1:19" s="2" customFormat="1" x14ac:dyDescent="0.2">
      <c r="A97" s="24"/>
      <c r="B97" s="1"/>
      <c r="C97" s="62" t="str">
        <f>"01-04-2023 to " &amp;C94</f>
        <v>01-04-2023 to 06-03-2024</v>
      </c>
      <c r="D97" s="68">
        <f>+D95+41133.88</f>
        <v>42034.899999999994</v>
      </c>
      <c r="E97" s="68">
        <f>+E95+5181.05</f>
        <v>5332.91</v>
      </c>
      <c r="F97" s="68">
        <f>+F95+46314.16</f>
        <v>47367.040000000001</v>
      </c>
      <c r="G97" s="1"/>
      <c r="H97" s="1"/>
      <c r="M97" s="1"/>
      <c r="N97" s="1"/>
    </row>
    <row r="98" spans="1:19" s="2" customFormat="1" x14ac:dyDescent="0.2">
      <c r="A98" s="24"/>
      <c r="B98" s="1"/>
      <c r="C98" s="52"/>
      <c r="D98" s="85"/>
      <c r="E98" s="53"/>
      <c r="F98" s="53"/>
      <c r="G98" s="1"/>
      <c r="H98" s="1"/>
      <c r="M98" s="1"/>
      <c r="N98" s="1"/>
    </row>
    <row r="99" spans="1:19" s="2" customFormat="1" x14ac:dyDescent="0.2">
      <c r="A99" s="24"/>
      <c r="B99" s="1"/>
      <c r="C99" s="52"/>
      <c r="D99" s="85"/>
      <c r="E99" s="53"/>
      <c r="F99" s="53"/>
      <c r="G99" s="1"/>
      <c r="H99" s="1"/>
      <c r="M99" s="1"/>
      <c r="N99" s="1"/>
    </row>
    <row r="100" spans="1:19" s="2" customFormat="1" x14ac:dyDescent="0.2">
      <c r="A100" s="24"/>
      <c r="B100" s="1"/>
      <c r="C100" s="52"/>
      <c r="D100" s="85"/>
      <c r="E100" s="53"/>
      <c r="F100" s="53"/>
      <c r="G100" s="1"/>
      <c r="H100" s="1"/>
      <c r="M100" s="1"/>
      <c r="N100" s="1"/>
    </row>
    <row r="101" spans="1:19" s="2" customFormat="1" x14ac:dyDescent="0.2">
      <c r="A101" s="24"/>
      <c r="B101" s="1"/>
      <c r="C101" s="52"/>
      <c r="D101" s="85"/>
      <c r="E101" s="53"/>
      <c r="F101" s="53"/>
      <c r="G101" s="1"/>
      <c r="H101" s="1"/>
      <c r="M101" s="1"/>
      <c r="N101" s="1"/>
    </row>
    <row r="102" spans="1:19" s="2" customFormat="1" x14ac:dyDescent="0.2">
      <c r="A102" s="24"/>
      <c r="B102" s="1"/>
      <c r="C102" s="14"/>
      <c r="D102" s="25">
        <f>SUM(D99:D101)</f>
        <v>0</v>
      </c>
      <c r="E102" s="2">
        <f>SUM(E99:E101)</f>
        <v>0</v>
      </c>
      <c r="G102" s="1"/>
      <c r="H102" s="1"/>
      <c r="M102" s="1"/>
      <c r="N102" s="1"/>
    </row>
    <row r="103" spans="1:19" s="2" customFormat="1" x14ac:dyDescent="0.2">
      <c r="A103" s="24"/>
      <c r="B103" s="1"/>
      <c r="C103" s="14"/>
      <c r="D103" s="25"/>
      <c r="G103" s="1"/>
      <c r="H103" s="1"/>
      <c r="M103" s="1"/>
      <c r="N103" s="1"/>
    </row>
    <row r="104" spans="1:19" s="2" customFormat="1" x14ac:dyDescent="0.2">
      <c r="A104" s="24"/>
      <c r="B104" s="1"/>
      <c r="C104" s="14"/>
      <c r="D104" s="25"/>
      <c r="G104" s="1"/>
      <c r="H104" s="1"/>
      <c r="M104" s="1"/>
      <c r="N104" s="1"/>
    </row>
    <row r="105" spans="1:19" s="2" customFormat="1" x14ac:dyDescent="0.2">
      <c r="A105" s="24"/>
      <c r="B105" s="1"/>
      <c r="C105" s="14"/>
      <c r="D105" s="25"/>
      <c r="G105" s="1"/>
      <c r="H105" s="1"/>
      <c r="M105" s="1"/>
      <c r="N105" s="1"/>
    </row>
    <row r="106" spans="1:19" s="2" customFormat="1" x14ac:dyDescent="0.2">
      <c r="A106" s="24"/>
      <c r="B106" s="1"/>
      <c r="C106" s="14"/>
      <c r="D106" s="25"/>
      <c r="G106" s="1"/>
      <c r="H106" s="1"/>
      <c r="M106" s="1"/>
      <c r="N106" s="1"/>
    </row>
    <row r="107" spans="1:19" s="2" customFormat="1" x14ac:dyDescent="0.2">
      <c r="A107" s="24"/>
      <c r="B107" s="1"/>
      <c r="C107" s="14"/>
      <c r="D107" s="25"/>
      <c r="G107" s="1"/>
      <c r="H107" s="1"/>
      <c r="M107" s="1"/>
      <c r="N107" s="1"/>
    </row>
    <row r="108" spans="1:19" s="2" customFormat="1" x14ac:dyDescent="0.2">
      <c r="A108" s="24"/>
      <c r="B108" s="1"/>
      <c r="C108" s="14"/>
      <c r="D108" s="25"/>
      <c r="G108" s="1"/>
      <c r="H108" s="1"/>
      <c r="M108" s="1"/>
      <c r="N108" s="1"/>
    </row>
    <row r="109" spans="1:19" s="2" customFormat="1" x14ac:dyDescent="0.2">
      <c r="A109" s="24"/>
      <c r="B109" s="1"/>
      <c r="C109" s="14"/>
      <c r="D109" s="25"/>
      <c r="G109" s="1"/>
      <c r="H109" s="1"/>
      <c r="M109" s="1"/>
      <c r="N109" s="1"/>
      <c r="Q109" s="1"/>
      <c r="R109" s="1"/>
      <c r="S109" s="1"/>
    </row>
    <row r="110" spans="1:19" x14ac:dyDescent="0.2">
      <c r="J110" s="2"/>
      <c r="K110" s="2"/>
      <c r="L110" s="2"/>
      <c r="O110" s="2"/>
      <c r="P110" s="2"/>
      <c r="Q110" s="2"/>
      <c r="R110" s="2"/>
      <c r="S110" s="2"/>
    </row>
    <row r="111" spans="1:19" s="2" customFormat="1" x14ac:dyDescent="0.2">
      <c r="A111" s="24"/>
      <c r="B111" s="1"/>
      <c r="C111" s="14"/>
      <c r="D111" s="25"/>
      <c r="G111" s="1"/>
      <c r="H111" s="1"/>
      <c r="M111" s="1"/>
      <c r="N111" s="1"/>
      <c r="Q111" s="1"/>
      <c r="R111" s="1"/>
      <c r="S111" s="1"/>
    </row>
    <row r="112" spans="1:19" x14ac:dyDescent="0.2">
      <c r="J112" s="2"/>
      <c r="K112" s="2"/>
      <c r="L112" s="2"/>
      <c r="O112" s="2"/>
      <c r="P112" s="2"/>
    </row>
    <row r="113" spans="7:16" x14ac:dyDescent="0.2">
      <c r="J113" s="2"/>
      <c r="K113" s="2"/>
      <c r="L113" s="2"/>
      <c r="O113" s="2"/>
      <c r="P113" s="2"/>
    </row>
    <row r="114" spans="7:16" x14ac:dyDescent="0.2">
      <c r="J114" s="2"/>
      <c r="K114" s="2"/>
      <c r="L114" s="2"/>
      <c r="O114" s="2"/>
      <c r="P114" s="2"/>
    </row>
    <row r="115" spans="7:16" x14ac:dyDescent="0.2">
      <c r="J115" s="2"/>
      <c r="K115" s="2"/>
      <c r="L115" s="2"/>
      <c r="O115" s="2"/>
      <c r="P115" s="2"/>
    </row>
    <row r="116" spans="7:16" x14ac:dyDescent="0.2">
      <c r="O116" s="2"/>
      <c r="P116" s="2"/>
    </row>
    <row r="117" spans="7:16" x14ac:dyDescent="0.2">
      <c r="J117" s="2"/>
      <c r="K117" s="2"/>
      <c r="L117" s="2"/>
      <c r="M117" s="2"/>
      <c r="N117" s="2"/>
      <c r="O117" s="2"/>
      <c r="P117" s="2"/>
    </row>
    <row r="118" spans="7:16" x14ac:dyDescent="0.2">
      <c r="O118" s="2"/>
      <c r="P118" s="2"/>
    </row>
    <row r="119" spans="7:16" x14ac:dyDescent="0.2">
      <c r="G119" s="54"/>
      <c r="H119" s="54"/>
      <c r="O119" s="2"/>
      <c r="P119" s="2"/>
    </row>
    <row r="120" spans="7:16" x14ac:dyDescent="0.2">
      <c r="G120" s="54"/>
      <c r="H120" s="54"/>
      <c r="O120" s="2"/>
      <c r="P120" s="2"/>
    </row>
    <row r="121" spans="7:16" x14ac:dyDescent="0.2">
      <c r="G121" s="54"/>
      <c r="H121" s="54"/>
      <c r="O121" s="2"/>
      <c r="P121" s="2"/>
    </row>
    <row r="122" spans="7:16" x14ac:dyDescent="0.2">
      <c r="G122" s="54"/>
      <c r="H122" s="54"/>
      <c r="I122" s="2" t="s">
        <v>396</v>
      </c>
      <c r="O122" s="2"/>
      <c r="P122" s="2"/>
    </row>
    <row r="123" spans="7:16" x14ac:dyDescent="0.2">
      <c r="G123" s="54"/>
      <c r="H123" s="54"/>
      <c r="I123" s="53"/>
      <c r="J123" s="2"/>
      <c r="K123" s="2"/>
      <c r="L123" s="2"/>
      <c r="M123" s="2"/>
      <c r="N123" s="2"/>
      <c r="P123" s="2"/>
    </row>
    <row r="124" spans="7:16" x14ac:dyDescent="0.2">
      <c r="G124" s="54"/>
      <c r="H124" s="54"/>
      <c r="I124" s="53" t="s">
        <v>396</v>
      </c>
      <c r="O124" s="2"/>
      <c r="P124" s="2"/>
    </row>
    <row r="125" spans="7:16" x14ac:dyDescent="0.2">
      <c r="G125" s="54"/>
      <c r="H125" s="54"/>
      <c r="I125" s="53" t="s">
        <v>396</v>
      </c>
      <c r="K125" s="42"/>
      <c r="P125" s="2"/>
    </row>
    <row r="126" spans="7:16" x14ac:dyDescent="0.2">
      <c r="G126" s="54"/>
      <c r="H126" s="54"/>
      <c r="I126" s="53"/>
      <c r="J126" s="101"/>
      <c r="P126" s="2"/>
    </row>
    <row r="127" spans="7:16" x14ac:dyDescent="0.2">
      <c r="G127" s="54"/>
      <c r="H127" s="54"/>
      <c r="I127" s="53"/>
    </row>
    <row r="128" spans="7:16" x14ac:dyDescent="0.2">
      <c r="G128" s="54"/>
      <c r="H128" s="54"/>
      <c r="I128" s="53"/>
      <c r="P128" s="2"/>
    </row>
    <row r="129" spans="7:9" x14ac:dyDescent="0.2">
      <c r="G129" s="54"/>
      <c r="H129" s="54"/>
      <c r="I129" s="53"/>
    </row>
  </sheetData>
  <sheetProtection insertRows="0"/>
  <mergeCells count="8">
    <mergeCell ref="K76:L76"/>
    <mergeCell ref="A83:D83"/>
    <mergeCell ref="C91:F91"/>
    <mergeCell ref="A1:H1"/>
    <mergeCell ref="A3:F3"/>
    <mergeCell ref="A10:F10"/>
    <mergeCell ref="A26:F26"/>
    <mergeCell ref="A38:F38"/>
  </mergeCells>
  <conditionalFormatting sqref="H80:H81">
    <cfRule type="cellIs" dxfId="37" priority="1" operator="lessThan">
      <formula>0</formula>
    </cfRule>
  </conditionalFormatting>
  <conditionalFormatting sqref="C40">
    <cfRule type="duplicateValues" dxfId="36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1-000000000000}">
  <sheetPr codeName="Sheet568">
    <pageSetUpPr fitToPage="1"/>
  </sheetPr>
  <dimension ref="A1:S147"/>
  <sheetViews>
    <sheetView topLeftCell="A63" zoomScaleNormal="100" workbookViewId="0">
      <selection activeCell="A98" sqref="A98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12.85546875" style="1" customWidth="1"/>
    <col min="9" max="9" width="24.85546875" style="2" bestFit="1" customWidth="1"/>
    <col min="10" max="10" width="21.5703125" style="1" bestFit="1" customWidth="1"/>
    <col min="11" max="11" width="16.85546875" style="1" bestFit="1" customWidth="1"/>
    <col min="12" max="12" width="19.5703125" style="1" bestFit="1" customWidth="1"/>
    <col min="13" max="13" width="13.5703125" style="1" bestFit="1" customWidth="1"/>
    <col min="14" max="14" width="17.42578125" style="1" bestFit="1" customWidth="1"/>
    <col min="15" max="15" width="12.85546875" style="1" bestFit="1" customWidth="1"/>
    <col min="16" max="17" width="9.140625" style="1"/>
    <col min="18" max="18" width="15.5703125" style="1" bestFit="1" customWidth="1"/>
    <col min="19" max="16384" width="9.140625" style="1"/>
  </cols>
  <sheetData>
    <row r="1" spans="1:11" ht="20.25" customHeight="1" x14ac:dyDescent="0.4">
      <c r="A1" s="212" t="s">
        <v>2188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1" ht="12.75" customHeight="1" x14ac:dyDescent="0.4">
      <c r="I2" s="112"/>
      <c r="J2" s="112"/>
    </row>
    <row r="3" spans="1:11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1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1" s="2" customFormat="1" ht="14.25" customHeight="1" x14ac:dyDescent="0.4">
      <c r="A5" s="89">
        <v>45359</v>
      </c>
      <c r="B5" s="9" t="s">
        <v>6</v>
      </c>
      <c r="C5" s="10" t="s">
        <v>7</v>
      </c>
      <c r="D5" s="11"/>
      <c r="E5" s="12">
        <v>678762.84000000078</v>
      </c>
      <c r="F5" s="12"/>
      <c r="G5" s="1"/>
      <c r="H5" s="1"/>
      <c r="I5" s="112"/>
      <c r="J5" s="112"/>
    </row>
    <row r="6" spans="1:11" s="2" customFormat="1" ht="12.75" customHeight="1" x14ac:dyDescent="0.2">
      <c r="D6" s="15" t="s">
        <v>8</v>
      </c>
      <c r="E6" s="16">
        <f>SUM(E5:E5)</f>
        <v>678762.84000000078</v>
      </c>
      <c r="F6" s="16">
        <f>F5</f>
        <v>0</v>
      </c>
      <c r="G6" s="1"/>
      <c r="H6" s="1"/>
      <c r="I6" s="13" t="s">
        <v>1582</v>
      </c>
      <c r="J6" s="13" t="s">
        <v>1583</v>
      </c>
    </row>
    <row r="7" spans="1:11" s="2" customFormat="1" ht="12.75" customHeight="1" x14ac:dyDescent="0.2">
      <c r="A7" s="17"/>
      <c r="B7" s="18"/>
      <c r="C7" s="19" t="s">
        <v>9</v>
      </c>
      <c r="D7" s="20"/>
      <c r="E7" s="21">
        <f>+E6-F6</f>
        <v>678762.84000000078</v>
      </c>
      <c r="F7" s="22"/>
      <c r="G7" s="23"/>
      <c r="H7" s="23"/>
      <c r="I7" s="2">
        <v>465360</v>
      </c>
      <c r="J7" s="2">
        <v>0</v>
      </c>
      <c r="K7" s="176">
        <f>I7-J7</f>
        <v>465360</v>
      </c>
    </row>
    <row r="8" spans="1:11" ht="11.25" customHeight="1" x14ac:dyDescent="0.4">
      <c r="I8" s="112"/>
      <c r="J8" s="112"/>
    </row>
    <row r="9" spans="1:11" ht="18" customHeight="1" x14ac:dyDescent="0.4">
      <c r="A9" s="213" t="s">
        <v>2103</v>
      </c>
      <c r="B9" s="213"/>
      <c r="C9" s="213"/>
      <c r="D9" s="213"/>
      <c r="E9" s="213"/>
      <c r="F9" s="213"/>
      <c r="I9" s="112"/>
      <c r="J9" s="112"/>
    </row>
    <row r="10" spans="1:11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I10" s="112"/>
      <c r="J10" s="112"/>
    </row>
    <row r="11" spans="1:11" ht="12.75" customHeight="1" x14ac:dyDescent="0.4">
      <c r="A11" s="89">
        <v>45359</v>
      </c>
      <c r="B11" s="9" t="s">
        <v>6</v>
      </c>
      <c r="C11" s="10" t="s">
        <v>7</v>
      </c>
      <c r="D11" s="11"/>
      <c r="E11" s="12">
        <v>489364.76999999862</v>
      </c>
      <c r="F11" s="1"/>
      <c r="I11" s="112"/>
      <c r="J11" s="112"/>
    </row>
    <row r="12" spans="1:11" ht="12.75" customHeight="1" x14ac:dyDescent="0.4">
      <c r="A12" s="89">
        <v>45359</v>
      </c>
      <c r="B12" s="9" t="s">
        <v>6</v>
      </c>
      <c r="C12" s="76" t="s">
        <v>220</v>
      </c>
      <c r="D12" s="11" t="s">
        <v>13</v>
      </c>
      <c r="E12" s="31">
        <v>465360</v>
      </c>
      <c r="F12" s="31"/>
      <c r="I12" s="112"/>
      <c r="J12" s="112"/>
    </row>
    <row r="13" spans="1:11" ht="12.75" customHeight="1" x14ac:dyDescent="0.2">
      <c r="A13" s="2"/>
      <c r="B13" s="2"/>
      <c r="C13" s="2"/>
      <c r="D13" s="11" t="s">
        <v>8</v>
      </c>
      <c r="E13" s="16">
        <f>SUM(E11:E12)</f>
        <v>954724.76999999862</v>
      </c>
      <c r="F13" s="16">
        <f>SUM(F12:F12)</f>
        <v>0</v>
      </c>
      <c r="I13" s="13" t="s">
        <v>1582</v>
      </c>
      <c r="J13" s="13" t="s">
        <v>1583</v>
      </c>
    </row>
    <row r="14" spans="1:11" x14ac:dyDescent="0.2">
      <c r="A14" s="17"/>
      <c r="B14" s="18"/>
      <c r="C14" s="19" t="s">
        <v>9</v>
      </c>
      <c r="D14" s="20"/>
      <c r="E14" s="21">
        <f>+E13-F13</f>
        <v>954724.76999999862</v>
      </c>
      <c r="I14" s="2">
        <v>0</v>
      </c>
      <c r="J14" s="2">
        <v>0</v>
      </c>
    </row>
    <row r="15" spans="1:11" ht="18" customHeight="1" x14ac:dyDescent="0.25">
      <c r="A15" s="36"/>
      <c r="B15" s="28"/>
      <c r="C15" s="44"/>
      <c r="D15" s="43"/>
      <c r="E15" s="38"/>
      <c r="F15" s="22"/>
      <c r="J15" s="2"/>
    </row>
    <row r="16" spans="1:11" ht="18" customHeight="1" x14ac:dyDescent="0.4">
      <c r="A16" s="213" t="s">
        <v>2104</v>
      </c>
      <c r="B16" s="213"/>
      <c r="C16" s="213"/>
      <c r="D16" s="213"/>
      <c r="E16" s="213"/>
      <c r="F16" s="213"/>
      <c r="I16" s="112"/>
      <c r="J16" s="169">
        <f>90000000-60000000</f>
        <v>30000000</v>
      </c>
      <c r="K16" s="169" t="s">
        <v>1508</v>
      </c>
    </row>
    <row r="17" spans="1:12" ht="12.75" customHeight="1" x14ac:dyDescent="0.4">
      <c r="A17" s="3" t="s">
        <v>1</v>
      </c>
      <c r="B17" s="4" t="s">
        <v>2</v>
      </c>
      <c r="C17" s="5"/>
      <c r="D17" s="6" t="s">
        <v>3</v>
      </c>
      <c r="E17" s="7" t="s">
        <v>4</v>
      </c>
      <c r="F17" s="7" t="s">
        <v>5</v>
      </c>
      <c r="I17" s="112"/>
      <c r="J17" s="169">
        <v>26398625.09</v>
      </c>
      <c r="K17" s="169" t="s">
        <v>1509</v>
      </c>
      <c r="L17" s="124"/>
    </row>
    <row r="18" spans="1:12" s="2" customFormat="1" ht="14.25" customHeight="1" x14ac:dyDescent="0.2">
      <c r="A18" s="89">
        <v>45359</v>
      </c>
      <c r="B18" s="9" t="s">
        <v>6</v>
      </c>
      <c r="C18" s="10" t="s">
        <v>7</v>
      </c>
      <c r="D18" s="11"/>
      <c r="F18" s="12">
        <v>28716308.760000002</v>
      </c>
      <c r="G18" s="1"/>
      <c r="H18" s="1"/>
      <c r="I18" s="130" t="s">
        <v>396</v>
      </c>
      <c r="J18" s="169">
        <f>+J16-J17</f>
        <v>3601374.91</v>
      </c>
      <c r="K18" s="169" t="s">
        <v>712</v>
      </c>
      <c r="L18" s="165" t="s">
        <v>1512</v>
      </c>
    </row>
    <row r="19" spans="1:12" s="2" customFormat="1" ht="14.25" customHeight="1" x14ac:dyDescent="0.2">
      <c r="A19" s="89">
        <v>45359</v>
      </c>
      <c r="B19" s="9" t="s">
        <v>6</v>
      </c>
      <c r="C19" s="76" t="s">
        <v>1002</v>
      </c>
      <c r="D19" s="11" t="s">
        <v>13</v>
      </c>
      <c r="E19" s="31">
        <v>5109523.75</v>
      </c>
      <c r="F19" s="12"/>
      <c r="G19" s="1"/>
      <c r="H19" s="1"/>
      <c r="I19" s="130"/>
      <c r="J19" s="169"/>
      <c r="K19" s="169"/>
      <c r="L19" s="165"/>
    </row>
    <row r="20" spans="1:12" s="2" customFormat="1" ht="14.25" customHeight="1" x14ac:dyDescent="0.2">
      <c r="A20" s="89">
        <v>45359</v>
      </c>
      <c r="B20" s="9" t="s">
        <v>11</v>
      </c>
      <c r="C20" s="76" t="s">
        <v>156</v>
      </c>
      <c r="D20" s="11" t="s">
        <v>29</v>
      </c>
      <c r="E20" s="31"/>
      <c r="F20" s="12">
        <v>16733.079999999998</v>
      </c>
      <c r="G20" s="1"/>
      <c r="H20" s="1"/>
      <c r="I20" s="130"/>
      <c r="J20" s="169"/>
      <c r="K20" s="169"/>
      <c r="L20" s="165"/>
    </row>
    <row r="21" spans="1:12" s="2" customFormat="1" ht="14.25" customHeight="1" x14ac:dyDescent="0.2">
      <c r="A21" s="89">
        <v>45359</v>
      </c>
      <c r="B21" s="9" t="s">
        <v>11</v>
      </c>
      <c r="C21" s="76" t="s">
        <v>384</v>
      </c>
      <c r="D21" s="11" t="s">
        <v>29</v>
      </c>
      <c r="E21" s="31"/>
      <c r="F21" s="12">
        <v>35300</v>
      </c>
      <c r="G21" s="1"/>
      <c r="H21" s="1"/>
      <c r="I21" s="130"/>
      <c r="J21" s="169"/>
      <c r="K21" s="169"/>
      <c r="L21" s="165"/>
    </row>
    <row r="22" spans="1:12" s="2" customFormat="1" ht="14.25" customHeight="1" x14ac:dyDescent="0.2">
      <c r="A22" s="89">
        <v>45359</v>
      </c>
      <c r="B22" s="9" t="s">
        <v>11</v>
      </c>
      <c r="C22" s="76" t="s">
        <v>832</v>
      </c>
      <c r="D22" s="11" t="s">
        <v>29</v>
      </c>
      <c r="E22" s="31"/>
      <c r="F22" s="12">
        <v>28319</v>
      </c>
      <c r="G22" s="1"/>
      <c r="H22" s="1"/>
      <c r="I22" s="130"/>
      <c r="J22" s="169"/>
      <c r="K22" s="169"/>
      <c r="L22" s="165"/>
    </row>
    <row r="23" spans="1:12" s="2" customFormat="1" ht="14.25" customHeight="1" x14ac:dyDescent="0.2">
      <c r="A23" s="89">
        <v>45359</v>
      </c>
      <c r="B23" s="9" t="s">
        <v>11</v>
      </c>
      <c r="C23" s="76" t="s">
        <v>698</v>
      </c>
      <c r="D23" s="11" t="s">
        <v>29</v>
      </c>
      <c r="E23" s="31"/>
      <c r="F23" s="12">
        <v>11160</v>
      </c>
      <c r="G23" s="1"/>
      <c r="H23" s="1"/>
      <c r="I23" s="130"/>
      <c r="J23" s="169"/>
      <c r="K23" s="169"/>
      <c r="L23" s="165"/>
    </row>
    <row r="24" spans="1:12" s="2" customFormat="1" ht="14.25" customHeight="1" x14ac:dyDescent="0.2">
      <c r="A24" s="89">
        <v>45359</v>
      </c>
      <c r="B24" s="9" t="s">
        <v>11</v>
      </c>
      <c r="C24" s="76" t="s">
        <v>401</v>
      </c>
      <c r="D24" s="11" t="s">
        <v>29</v>
      </c>
      <c r="E24" s="31"/>
      <c r="F24" s="12">
        <v>135000</v>
      </c>
      <c r="G24" s="1"/>
      <c r="H24" s="1"/>
      <c r="I24" s="130"/>
      <c r="J24" s="169"/>
      <c r="K24" s="169"/>
      <c r="L24" s="165"/>
    </row>
    <row r="25" spans="1:12" s="2" customFormat="1" ht="14.25" customHeight="1" x14ac:dyDescent="0.2">
      <c r="A25" s="89">
        <v>45359</v>
      </c>
      <c r="B25" s="9" t="s">
        <v>11</v>
      </c>
      <c r="C25" s="76" t="s">
        <v>58</v>
      </c>
      <c r="D25" s="11" t="s">
        <v>29</v>
      </c>
      <c r="E25" s="31"/>
      <c r="F25" s="12">
        <v>300543</v>
      </c>
      <c r="G25" s="1"/>
      <c r="H25" s="1"/>
      <c r="I25" s="130"/>
      <c r="J25" s="169"/>
      <c r="K25" s="169"/>
      <c r="L25" s="165"/>
    </row>
    <row r="26" spans="1:12" s="2" customFormat="1" ht="14.25" customHeight="1" x14ac:dyDescent="0.2">
      <c r="A26" s="89">
        <v>45359</v>
      </c>
      <c r="B26" s="9" t="s">
        <v>11</v>
      </c>
      <c r="C26" s="76" t="s">
        <v>1492</v>
      </c>
      <c r="D26" s="11" t="s">
        <v>29</v>
      </c>
      <c r="E26" s="31"/>
      <c r="F26" s="12">
        <v>16804</v>
      </c>
      <c r="G26" s="1"/>
      <c r="H26" s="1"/>
      <c r="I26" s="130"/>
      <c r="J26" s="169"/>
      <c r="K26" s="169"/>
      <c r="L26" s="165"/>
    </row>
    <row r="27" spans="1:12" s="2" customFormat="1" ht="14.25" customHeight="1" x14ac:dyDescent="0.2">
      <c r="A27" s="89">
        <v>45359</v>
      </c>
      <c r="B27" s="9" t="s">
        <v>11</v>
      </c>
      <c r="C27" s="76" t="s">
        <v>397</v>
      </c>
      <c r="D27" s="11" t="s">
        <v>29</v>
      </c>
      <c r="E27" s="31"/>
      <c r="F27" s="12">
        <v>26212</v>
      </c>
      <c r="G27" s="1"/>
      <c r="H27" s="1"/>
      <c r="I27" s="130"/>
      <c r="J27" s="169"/>
      <c r="K27" s="169"/>
      <c r="L27" s="165"/>
    </row>
    <row r="28" spans="1:12" s="2" customFormat="1" ht="14.25" customHeight="1" x14ac:dyDescent="0.2">
      <c r="A28" s="89">
        <v>45359</v>
      </c>
      <c r="B28" s="9" t="s">
        <v>11</v>
      </c>
      <c r="C28" s="76" t="s">
        <v>885</v>
      </c>
      <c r="D28" s="11" t="s">
        <v>29</v>
      </c>
      <c r="E28" s="31"/>
      <c r="F28" s="12">
        <v>5600</v>
      </c>
      <c r="G28" s="1"/>
      <c r="H28" s="1"/>
      <c r="I28" s="130"/>
      <c r="J28" s="169"/>
      <c r="K28" s="169"/>
      <c r="L28" s="165"/>
    </row>
    <row r="29" spans="1:12" s="2" customFormat="1" ht="14.25" customHeight="1" x14ac:dyDescent="0.2">
      <c r="A29" s="89">
        <v>45359</v>
      </c>
      <c r="B29" s="9" t="s">
        <v>11</v>
      </c>
      <c r="C29" s="76" t="s">
        <v>52</v>
      </c>
      <c r="D29" s="11" t="s">
        <v>29</v>
      </c>
      <c r="E29" s="31"/>
      <c r="F29" s="12">
        <v>21064</v>
      </c>
      <c r="G29" s="1"/>
      <c r="H29" s="1"/>
      <c r="I29" s="130"/>
      <c r="J29" s="169"/>
      <c r="K29" s="169"/>
      <c r="L29" s="165"/>
    </row>
    <row r="30" spans="1:12" s="2" customFormat="1" ht="14.25" customHeight="1" x14ac:dyDescent="0.2">
      <c r="A30" s="89">
        <v>45359</v>
      </c>
      <c r="B30" s="9" t="s">
        <v>11</v>
      </c>
      <c r="C30" s="76" t="s">
        <v>337</v>
      </c>
      <c r="D30" s="11" t="s">
        <v>29</v>
      </c>
      <c r="E30" s="31"/>
      <c r="F30" s="12">
        <v>135000</v>
      </c>
      <c r="G30" s="1"/>
      <c r="H30" s="1"/>
      <c r="I30" s="130"/>
      <c r="J30" s="169"/>
      <c r="K30" s="169"/>
      <c r="L30" s="165"/>
    </row>
    <row r="31" spans="1:12" s="2" customFormat="1" ht="14.25" customHeight="1" x14ac:dyDescent="0.2">
      <c r="A31" s="89">
        <v>45359</v>
      </c>
      <c r="B31" s="9" t="s">
        <v>11</v>
      </c>
      <c r="C31" s="76" t="s">
        <v>528</v>
      </c>
      <c r="D31" s="11" t="s">
        <v>29</v>
      </c>
      <c r="E31" s="31"/>
      <c r="F31" s="12">
        <v>63543</v>
      </c>
      <c r="G31" s="1"/>
      <c r="H31" s="1"/>
      <c r="I31" s="130"/>
      <c r="J31" s="169"/>
      <c r="K31" s="169"/>
      <c r="L31" s="165"/>
    </row>
    <row r="32" spans="1:12" s="2" customFormat="1" ht="14.25" customHeight="1" x14ac:dyDescent="0.2">
      <c r="A32" s="89">
        <v>45359</v>
      </c>
      <c r="B32" s="9" t="s">
        <v>11</v>
      </c>
      <c r="C32" s="76" t="s">
        <v>441</v>
      </c>
      <c r="D32" s="11" t="s">
        <v>29</v>
      </c>
      <c r="E32" s="31"/>
      <c r="F32" s="12">
        <v>602.9</v>
      </c>
      <c r="G32" s="1"/>
      <c r="H32" s="1"/>
      <c r="I32" s="130"/>
      <c r="J32" s="169"/>
      <c r="K32" s="169"/>
      <c r="L32" s="165"/>
    </row>
    <row r="33" spans="1:12" s="2" customFormat="1" ht="14.25" customHeight="1" x14ac:dyDescent="0.2">
      <c r="A33" s="89">
        <v>45359</v>
      </c>
      <c r="B33" s="9" t="s">
        <v>11</v>
      </c>
      <c r="C33" s="76" t="s">
        <v>2189</v>
      </c>
      <c r="D33" s="11" t="s">
        <v>29</v>
      </c>
      <c r="E33" s="31"/>
      <c r="F33" s="12">
        <v>61761</v>
      </c>
      <c r="G33" s="1"/>
      <c r="H33" s="1"/>
      <c r="I33" s="130"/>
      <c r="J33" s="169"/>
      <c r="K33" s="169"/>
      <c r="L33" s="165"/>
    </row>
    <row r="34" spans="1:12" s="2" customFormat="1" ht="14.25" customHeight="1" x14ac:dyDescent="0.2">
      <c r="A34" s="89">
        <v>45359</v>
      </c>
      <c r="B34" s="9" t="s">
        <v>11</v>
      </c>
      <c r="C34" s="76" t="s">
        <v>333</v>
      </c>
      <c r="D34" s="11" t="s">
        <v>29</v>
      </c>
      <c r="E34" s="31"/>
      <c r="F34" s="12">
        <v>439541</v>
      </c>
      <c r="G34" s="1"/>
      <c r="H34" s="1"/>
      <c r="I34" s="130"/>
      <c r="J34" s="169"/>
      <c r="K34" s="169"/>
      <c r="L34" s="165"/>
    </row>
    <row r="35" spans="1:12" s="2" customFormat="1" ht="14.25" customHeight="1" x14ac:dyDescent="0.2">
      <c r="A35" s="89">
        <v>45359</v>
      </c>
      <c r="B35" s="9" t="s">
        <v>11</v>
      </c>
      <c r="C35" s="76" t="s">
        <v>352</v>
      </c>
      <c r="D35" s="11" t="s">
        <v>29</v>
      </c>
      <c r="E35" s="31"/>
      <c r="F35" s="12">
        <v>57816</v>
      </c>
      <c r="G35" s="1"/>
      <c r="H35" s="1"/>
      <c r="I35" s="130"/>
      <c r="J35" s="169"/>
      <c r="K35" s="169"/>
      <c r="L35" s="165"/>
    </row>
    <row r="36" spans="1:12" s="2" customFormat="1" ht="14.25" customHeight="1" x14ac:dyDescent="0.2">
      <c r="A36" s="89">
        <v>45359</v>
      </c>
      <c r="B36" s="9" t="s">
        <v>11</v>
      </c>
      <c r="C36" s="76" t="s">
        <v>2190</v>
      </c>
      <c r="D36" s="11" t="s">
        <v>29</v>
      </c>
      <c r="E36" s="31"/>
      <c r="F36" s="12">
        <v>20400</v>
      </c>
      <c r="G36" s="1"/>
      <c r="H36" s="1"/>
      <c r="I36" s="130"/>
      <c r="J36" s="169"/>
      <c r="K36" s="169"/>
      <c r="L36" s="165"/>
    </row>
    <row r="37" spans="1:12" s="2" customFormat="1" ht="14.25" customHeight="1" x14ac:dyDescent="0.2">
      <c r="A37" s="89">
        <v>45359</v>
      </c>
      <c r="B37" s="9" t="s">
        <v>11</v>
      </c>
      <c r="C37" s="76" t="s">
        <v>1663</v>
      </c>
      <c r="D37" s="11" t="s">
        <v>29</v>
      </c>
      <c r="E37" s="31"/>
      <c r="F37" s="12">
        <v>15082</v>
      </c>
      <c r="G37" s="1"/>
      <c r="H37" s="1"/>
      <c r="I37" s="130"/>
      <c r="J37" s="169"/>
      <c r="K37" s="169"/>
      <c r="L37" s="165"/>
    </row>
    <row r="38" spans="1:12" s="2" customFormat="1" ht="14.25" customHeight="1" x14ac:dyDescent="0.2">
      <c r="A38" s="89">
        <v>45359</v>
      </c>
      <c r="B38" s="9" t="s">
        <v>11</v>
      </c>
      <c r="C38" s="76" t="s">
        <v>2191</v>
      </c>
      <c r="D38" s="11" t="s">
        <v>29</v>
      </c>
      <c r="E38" s="31"/>
      <c r="F38" s="12">
        <v>79296</v>
      </c>
      <c r="G38" s="1"/>
      <c r="H38" s="1"/>
      <c r="I38" s="130"/>
      <c r="J38" s="169"/>
      <c r="K38" s="169"/>
      <c r="L38" s="165"/>
    </row>
    <row r="39" spans="1:12" s="2" customFormat="1" ht="14.25" customHeight="1" x14ac:dyDescent="0.2">
      <c r="A39" s="89">
        <v>45359</v>
      </c>
      <c r="B39" s="9" t="s">
        <v>11</v>
      </c>
      <c r="C39" s="76" t="s">
        <v>602</v>
      </c>
      <c r="D39" s="11" t="s">
        <v>29</v>
      </c>
      <c r="E39" s="31"/>
      <c r="F39" s="12">
        <v>7400</v>
      </c>
      <c r="G39" s="1"/>
      <c r="H39" s="1"/>
      <c r="I39" s="130"/>
      <c r="J39" s="169"/>
      <c r="K39" s="169"/>
      <c r="L39" s="165"/>
    </row>
    <row r="40" spans="1:12" s="2" customFormat="1" ht="14.25" customHeight="1" x14ac:dyDescent="0.2">
      <c r="A40" s="89">
        <v>45359</v>
      </c>
      <c r="B40" s="9" t="s">
        <v>11</v>
      </c>
      <c r="C40" s="76" t="s">
        <v>1810</v>
      </c>
      <c r="D40" s="11" t="s">
        <v>29</v>
      </c>
      <c r="E40" s="31"/>
      <c r="F40" s="12">
        <v>3284</v>
      </c>
      <c r="G40" s="1"/>
      <c r="H40" s="1"/>
      <c r="I40" s="130"/>
      <c r="J40" s="169"/>
      <c r="K40" s="169"/>
      <c r="L40" s="165"/>
    </row>
    <row r="41" spans="1:12" s="2" customFormat="1" ht="14.25" customHeight="1" x14ac:dyDescent="0.2">
      <c r="A41" s="89">
        <v>45359</v>
      </c>
      <c r="B41" s="9" t="s">
        <v>11</v>
      </c>
      <c r="C41" s="76" t="s">
        <v>1734</v>
      </c>
      <c r="D41" s="11" t="s">
        <v>29</v>
      </c>
      <c r="E41" s="31"/>
      <c r="F41" s="12">
        <v>51094</v>
      </c>
      <c r="G41" s="1"/>
      <c r="H41" s="1"/>
      <c r="I41" s="130"/>
      <c r="J41" s="169"/>
      <c r="K41" s="169"/>
      <c r="L41" s="165"/>
    </row>
    <row r="42" spans="1:12" s="2" customFormat="1" ht="14.25" customHeight="1" x14ac:dyDescent="0.2">
      <c r="A42" s="89">
        <v>45359</v>
      </c>
      <c r="B42" s="9" t="s">
        <v>11</v>
      </c>
      <c r="C42" s="76" t="s">
        <v>735</v>
      </c>
      <c r="D42" s="11" t="s">
        <v>29</v>
      </c>
      <c r="E42" s="31"/>
      <c r="F42" s="12">
        <v>358522</v>
      </c>
      <c r="G42" s="1"/>
      <c r="H42" s="1"/>
      <c r="I42" s="130"/>
      <c r="J42" s="169"/>
      <c r="K42" s="169"/>
      <c r="L42" s="165"/>
    </row>
    <row r="43" spans="1:12" s="2" customFormat="1" ht="14.25" customHeight="1" x14ac:dyDescent="0.2">
      <c r="A43" s="89">
        <v>45359</v>
      </c>
      <c r="B43" s="9" t="s">
        <v>11</v>
      </c>
      <c r="C43" s="76" t="s">
        <v>442</v>
      </c>
      <c r="D43" s="11" t="s">
        <v>29</v>
      </c>
      <c r="E43" s="31"/>
      <c r="F43" s="12">
        <v>565750</v>
      </c>
      <c r="G43" s="1"/>
      <c r="H43" s="1"/>
      <c r="I43" s="130"/>
      <c r="J43" s="169"/>
      <c r="K43" s="169"/>
      <c r="L43" s="165"/>
    </row>
    <row r="44" spans="1:12" s="2" customFormat="1" ht="14.25" customHeight="1" x14ac:dyDescent="0.2">
      <c r="A44" s="89">
        <v>45359</v>
      </c>
      <c r="B44" s="9" t="s">
        <v>11</v>
      </c>
      <c r="C44" s="76" t="s">
        <v>1164</v>
      </c>
      <c r="D44" s="11" t="s">
        <v>29</v>
      </c>
      <c r="E44" s="31"/>
      <c r="F44" s="12">
        <v>39600</v>
      </c>
      <c r="G44" s="1"/>
      <c r="H44" s="1"/>
      <c r="I44" s="130"/>
      <c r="J44" s="169"/>
      <c r="K44" s="169"/>
      <c r="L44" s="165"/>
    </row>
    <row r="45" spans="1:12" s="2" customFormat="1" ht="14.25" customHeight="1" x14ac:dyDescent="0.2">
      <c r="A45" s="89">
        <v>45359</v>
      </c>
      <c r="B45" s="9" t="s">
        <v>11</v>
      </c>
      <c r="C45" s="76" t="s">
        <v>2192</v>
      </c>
      <c r="D45" s="11" t="s">
        <v>29</v>
      </c>
      <c r="E45" s="31"/>
      <c r="F45" s="12">
        <v>294000</v>
      </c>
      <c r="G45" s="1"/>
      <c r="H45" s="1"/>
      <c r="I45" s="130"/>
      <c r="J45" s="169"/>
      <c r="K45" s="169"/>
      <c r="L45" s="165"/>
    </row>
    <row r="46" spans="1:12" s="2" customFormat="1" ht="14.25" customHeight="1" x14ac:dyDescent="0.2">
      <c r="A46" s="89">
        <v>45359</v>
      </c>
      <c r="B46" s="9" t="s">
        <v>11</v>
      </c>
      <c r="C46" s="76" t="s">
        <v>243</v>
      </c>
      <c r="D46" s="11" t="s">
        <v>29</v>
      </c>
      <c r="E46" s="31"/>
      <c r="F46" s="12">
        <v>2413.1</v>
      </c>
      <c r="G46" s="1"/>
      <c r="H46" s="1"/>
      <c r="I46" s="130"/>
      <c r="J46" s="169"/>
      <c r="K46" s="169"/>
      <c r="L46" s="165"/>
    </row>
    <row r="47" spans="1:12" s="2" customFormat="1" ht="14.25" customHeight="1" x14ac:dyDescent="0.4">
      <c r="D47" s="11" t="s">
        <v>8</v>
      </c>
      <c r="E47" s="16">
        <f>SUM(E19:E19)</f>
        <v>5109523.75</v>
      </c>
      <c r="F47" s="16">
        <f>SUM(F18:F46)</f>
        <v>31508148.84</v>
      </c>
      <c r="G47" s="1"/>
      <c r="H47" s="1"/>
      <c r="J47" s="112"/>
      <c r="K47" s="153" t="s">
        <v>779</v>
      </c>
    </row>
    <row r="48" spans="1:12" s="2" customFormat="1" ht="14.25" customHeight="1" x14ac:dyDescent="0.2">
      <c r="A48" s="17"/>
      <c r="B48" s="18"/>
      <c r="C48" s="96" t="s">
        <v>9</v>
      </c>
      <c r="D48" s="20"/>
      <c r="E48" s="21">
        <f>+F47-E47</f>
        <v>26398625.09</v>
      </c>
      <c r="G48" s="1"/>
      <c r="H48" s="1"/>
      <c r="J48" s="40">
        <v>26398625.09</v>
      </c>
      <c r="K48" s="154">
        <f>J48-E48</f>
        <v>0</v>
      </c>
    </row>
    <row r="49" spans="1:12" s="2" customFormat="1" ht="14.25" customHeight="1" x14ac:dyDescent="0.2">
      <c r="A49" s="17"/>
      <c r="B49" s="28" t="s">
        <v>66</v>
      </c>
      <c r="C49" s="43" t="s">
        <v>1458</v>
      </c>
      <c r="D49" s="43"/>
      <c r="E49" s="12">
        <f>30000000+60000000</f>
        <v>90000000</v>
      </c>
      <c r="F49" s="22"/>
      <c r="G49" s="1"/>
      <c r="H49" s="1"/>
      <c r="I49" s="13" t="s">
        <v>1582</v>
      </c>
      <c r="J49" s="13" t="s">
        <v>1583</v>
      </c>
    </row>
    <row r="50" spans="1:12" s="2" customFormat="1" ht="14.25" customHeight="1" x14ac:dyDescent="0.25">
      <c r="A50" s="36"/>
      <c r="B50" s="28"/>
      <c r="C50" s="44" t="s">
        <v>1541</v>
      </c>
      <c r="D50" s="43"/>
      <c r="E50" s="7">
        <f>+E48+E49</f>
        <v>116398625.09</v>
      </c>
      <c r="F50" s="22"/>
      <c r="G50" s="1"/>
      <c r="H50" s="1"/>
      <c r="I50" s="2">
        <v>990370</v>
      </c>
      <c r="J50" s="2">
        <v>520179</v>
      </c>
      <c r="K50" s="176">
        <f>I50-J50</f>
        <v>470191</v>
      </c>
    </row>
    <row r="51" spans="1:12" s="2" customFormat="1" ht="14.25" customHeight="1" x14ac:dyDescent="0.25">
      <c r="A51" s="36"/>
      <c r="B51" s="28"/>
      <c r="C51" s="44" t="s">
        <v>1511</v>
      </c>
      <c r="D51" s="43"/>
      <c r="E51" s="38">
        <f>I14-J14+J18</f>
        <v>3601374.91</v>
      </c>
      <c r="F51" s="22"/>
      <c r="G51" s="1"/>
      <c r="H51" s="1"/>
      <c r="J51" s="130"/>
      <c r="K51" s="130"/>
    </row>
    <row r="52" spans="1:12" s="2" customFormat="1" x14ac:dyDescent="0.2">
      <c r="A52" s="24"/>
      <c r="B52" s="1"/>
      <c r="C52" s="14"/>
      <c r="D52" s="25"/>
      <c r="G52" s="1"/>
      <c r="H52" s="1"/>
      <c r="I52" s="159"/>
      <c r="J52" s="160">
        <f>100000000+175000000</f>
        <v>275000000</v>
      </c>
      <c r="K52" s="160" t="s">
        <v>1506</v>
      </c>
      <c r="L52" s="70"/>
    </row>
    <row r="53" spans="1:12" s="2" customFormat="1" ht="15" x14ac:dyDescent="0.35">
      <c r="A53" s="214" t="s">
        <v>10</v>
      </c>
      <c r="B53" s="214"/>
      <c r="C53" s="214"/>
      <c r="D53" s="214"/>
      <c r="E53" s="214"/>
      <c r="F53" s="214"/>
      <c r="G53" s="1"/>
      <c r="H53" s="1"/>
      <c r="I53" s="159"/>
      <c r="J53" s="179">
        <v>240869787.09</v>
      </c>
      <c r="K53" s="160" t="s">
        <v>1507</v>
      </c>
      <c r="L53" s="70" t="s">
        <v>1512</v>
      </c>
    </row>
    <row r="54" spans="1:12" s="2" customFormat="1" x14ac:dyDescent="0.2">
      <c r="A54" s="26" t="s">
        <v>1</v>
      </c>
      <c r="B54" s="27" t="s">
        <v>2</v>
      </c>
      <c r="C54" s="5"/>
      <c r="D54" s="6" t="s">
        <v>3</v>
      </c>
      <c r="E54" s="7" t="s">
        <v>4</v>
      </c>
      <c r="F54" s="7" t="s">
        <v>5</v>
      </c>
      <c r="G54" s="1"/>
      <c r="H54" s="1"/>
      <c r="I54" s="159" t="s">
        <v>1505</v>
      </c>
      <c r="J54" s="160">
        <f>+J52-J53</f>
        <v>34130212.909999996</v>
      </c>
      <c r="K54" s="160"/>
      <c r="L54" s="70"/>
    </row>
    <row r="55" spans="1:12" s="2" customFormat="1" x14ac:dyDescent="0.2">
      <c r="A55" s="89" t="s">
        <v>2193</v>
      </c>
      <c r="B55" s="128" t="s">
        <v>11</v>
      </c>
      <c r="C55" s="29" t="s">
        <v>7</v>
      </c>
      <c r="D55" s="25"/>
      <c r="E55" s="31"/>
      <c r="F55" s="13">
        <v>239840475.46999985</v>
      </c>
      <c r="G55" s="23"/>
      <c r="H55" s="23"/>
      <c r="I55" s="159"/>
      <c r="J55" s="160"/>
      <c r="K55" s="160"/>
      <c r="L55" s="70"/>
    </row>
    <row r="56" spans="1:12" s="2" customFormat="1" x14ac:dyDescent="0.2">
      <c r="A56" s="89" t="s">
        <v>2193</v>
      </c>
      <c r="B56" s="128" t="s">
        <v>6</v>
      </c>
      <c r="C56" s="181" t="s">
        <v>233</v>
      </c>
      <c r="D56" s="11" t="s">
        <v>13</v>
      </c>
      <c r="E56" s="86">
        <v>350916</v>
      </c>
      <c r="G56" s="23"/>
      <c r="H56" s="23"/>
      <c r="I56" s="159"/>
      <c r="J56" s="160"/>
      <c r="K56" s="160"/>
      <c r="L56" s="70"/>
    </row>
    <row r="57" spans="1:12" s="2" customFormat="1" x14ac:dyDescent="0.2">
      <c r="A57" s="89" t="s">
        <v>2193</v>
      </c>
      <c r="B57" s="128" t="s">
        <v>6</v>
      </c>
      <c r="C57" s="181" t="s">
        <v>403</v>
      </c>
      <c r="D57" s="11" t="s">
        <v>13</v>
      </c>
      <c r="E57" s="86">
        <v>14182</v>
      </c>
      <c r="G57" s="23"/>
      <c r="H57" s="23"/>
      <c r="I57" s="159"/>
      <c r="J57" s="160"/>
      <c r="K57" s="160"/>
      <c r="L57" s="70"/>
    </row>
    <row r="58" spans="1:12" s="2" customFormat="1" x14ac:dyDescent="0.2">
      <c r="A58" s="89" t="s">
        <v>2193</v>
      </c>
      <c r="B58" s="128" t="s">
        <v>6</v>
      </c>
      <c r="C58" s="181" t="s">
        <v>120</v>
      </c>
      <c r="D58" s="11" t="s">
        <v>13</v>
      </c>
      <c r="E58" s="86">
        <v>1506007</v>
      </c>
      <c r="G58" s="23"/>
      <c r="H58" s="23"/>
      <c r="I58" s="159"/>
      <c r="J58" s="160"/>
      <c r="K58" s="160"/>
      <c r="L58" s="70"/>
    </row>
    <row r="59" spans="1:12" s="2" customFormat="1" x14ac:dyDescent="0.2">
      <c r="A59" s="89" t="s">
        <v>2193</v>
      </c>
      <c r="B59" s="128" t="s">
        <v>6</v>
      </c>
      <c r="C59" s="181" t="s">
        <v>843</v>
      </c>
      <c r="D59" s="11" t="s">
        <v>13</v>
      </c>
      <c r="E59" s="86">
        <v>728185.22</v>
      </c>
      <c r="G59" s="23"/>
      <c r="H59" s="23"/>
      <c r="I59" s="159"/>
      <c r="J59" s="160"/>
      <c r="K59" s="160"/>
      <c r="L59" s="70"/>
    </row>
    <row r="60" spans="1:12" s="2" customFormat="1" x14ac:dyDescent="0.2">
      <c r="A60" s="89" t="s">
        <v>2193</v>
      </c>
      <c r="B60" s="128" t="s">
        <v>6</v>
      </c>
      <c r="C60" s="181" t="s">
        <v>366</v>
      </c>
      <c r="D60" s="11" t="s">
        <v>13</v>
      </c>
      <c r="E60" s="86">
        <v>3849632</v>
      </c>
      <c r="G60" s="23"/>
      <c r="H60" s="23"/>
      <c r="I60" s="159"/>
      <c r="J60" s="160"/>
      <c r="K60" s="160"/>
      <c r="L60" s="70"/>
    </row>
    <row r="61" spans="1:12" s="2" customFormat="1" x14ac:dyDescent="0.2">
      <c r="A61" s="89" t="s">
        <v>2193</v>
      </c>
      <c r="B61" s="128" t="s">
        <v>6</v>
      </c>
      <c r="C61" s="181" t="s">
        <v>15</v>
      </c>
      <c r="D61" s="11" t="s">
        <v>13</v>
      </c>
      <c r="E61" s="86">
        <v>36372.589999999997</v>
      </c>
      <c r="G61" s="23"/>
      <c r="H61" s="23"/>
      <c r="I61" s="159"/>
      <c r="J61" s="160"/>
      <c r="K61" s="160"/>
      <c r="L61" s="70"/>
    </row>
    <row r="62" spans="1:12" s="2" customFormat="1" x14ac:dyDescent="0.2">
      <c r="A62" s="89" t="s">
        <v>2193</v>
      </c>
      <c r="B62" s="128" t="s">
        <v>6</v>
      </c>
      <c r="C62" s="181" t="s">
        <v>27</v>
      </c>
      <c r="D62" s="11" t="s">
        <v>13</v>
      </c>
      <c r="E62" s="86">
        <v>387840.4</v>
      </c>
      <c r="G62" s="23"/>
      <c r="H62" s="23"/>
      <c r="I62" s="159"/>
      <c r="J62" s="160"/>
      <c r="K62" s="160"/>
      <c r="L62" s="70"/>
    </row>
    <row r="63" spans="1:12" s="2" customFormat="1" x14ac:dyDescent="0.2">
      <c r="A63" s="89" t="s">
        <v>2193</v>
      </c>
      <c r="B63" s="128" t="s">
        <v>6</v>
      </c>
      <c r="C63" s="181" t="s">
        <v>761</v>
      </c>
      <c r="D63" s="11" t="s">
        <v>13</v>
      </c>
      <c r="E63" s="86">
        <v>170887</v>
      </c>
      <c r="G63" s="23"/>
      <c r="H63" s="23"/>
      <c r="I63" s="159"/>
      <c r="J63" s="160"/>
      <c r="K63" s="160"/>
      <c r="L63" s="70"/>
    </row>
    <row r="64" spans="1:12" s="2" customFormat="1" x14ac:dyDescent="0.2">
      <c r="A64" s="89" t="s">
        <v>2193</v>
      </c>
      <c r="B64" s="128" t="s">
        <v>6</v>
      </c>
      <c r="C64" s="181" t="s">
        <v>159</v>
      </c>
      <c r="D64" s="11" t="s">
        <v>13</v>
      </c>
      <c r="E64" s="86">
        <v>981336</v>
      </c>
      <c r="G64" s="23"/>
      <c r="H64" s="23"/>
      <c r="I64" s="159"/>
      <c r="J64" s="160"/>
      <c r="K64" s="160"/>
      <c r="L64" s="70"/>
    </row>
    <row r="65" spans="1:16" s="2" customFormat="1" x14ac:dyDescent="0.2">
      <c r="A65" s="89" t="s">
        <v>2193</v>
      </c>
      <c r="B65" s="128" t="s">
        <v>6</v>
      </c>
      <c r="C65" s="181" t="s">
        <v>1396</v>
      </c>
      <c r="D65" s="11" t="s">
        <v>13</v>
      </c>
      <c r="E65" s="86">
        <v>9034</v>
      </c>
      <c r="G65" s="23"/>
      <c r="H65" s="23"/>
      <c r="I65" s="159"/>
      <c r="J65" s="160"/>
      <c r="K65" s="160"/>
      <c r="L65" s="70"/>
    </row>
    <row r="66" spans="1:16" s="2" customFormat="1" x14ac:dyDescent="0.2">
      <c r="A66" s="89" t="s">
        <v>2193</v>
      </c>
      <c r="B66" s="128" t="s">
        <v>6</v>
      </c>
      <c r="C66" s="181" t="s">
        <v>1621</v>
      </c>
      <c r="D66" s="11" t="s">
        <v>13</v>
      </c>
      <c r="E66" s="86">
        <v>108990</v>
      </c>
      <c r="G66" s="23"/>
      <c r="H66" s="23"/>
      <c r="I66" s="159"/>
      <c r="J66" s="160"/>
      <c r="K66" s="160"/>
      <c r="L66" s="70"/>
    </row>
    <row r="67" spans="1:16" s="2" customFormat="1" x14ac:dyDescent="0.2">
      <c r="A67" s="89" t="s">
        <v>2193</v>
      </c>
      <c r="B67" s="128" t="s">
        <v>6</v>
      </c>
      <c r="C67" s="181" t="s">
        <v>62</v>
      </c>
      <c r="D67" s="11" t="s">
        <v>13</v>
      </c>
      <c r="E67" s="86">
        <v>4000</v>
      </c>
      <c r="G67" s="23"/>
      <c r="H67" s="23"/>
      <c r="I67" s="159"/>
      <c r="J67" s="160"/>
      <c r="K67" s="160"/>
      <c r="L67" s="70"/>
    </row>
    <row r="68" spans="1:16" s="2" customFormat="1" x14ac:dyDescent="0.2">
      <c r="A68" s="89" t="s">
        <v>2193</v>
      </c>
      <c r="B68" s="128" t="s">
        <v>6</v>
      </c>
      <c r="C68" s="181" t="s">
        <v>955</v>
      </c>
      <c r="D68" s="11" t="s">
        <v>13</v>
      </c>
      <c r="E68" s="86">
        <v>1830691.32</v>
      </c>
      <c r="G68" s="23"/>
      <c r="H68" s="23"/>
      <c r="I68" s="159"/>
      <c r="J68" s="160"/>
      <c r="K68" s="160"/>
      <c r="L68" s="70"/>
    </row>
    <row r="69" spans="1:16" s="2" customFormat="1" x14ac:dyDescent="0.2">
      <c r="A69" s="89" t="s">
        <v>2193</v>
      </c>
      <c r="B69" s="128" t="s">
        <v>6</v>
      </c>
      <c r="C69" s="181" t="s">
        <v>1959</v>
      </c>
      <c r="D69" s="11" t="s">
        <v>13</v>
      </c>
      <c r="E69" s="86">
        <v>26607</v>
      </c>
      <c r="G69" s="23"/>
      <c r="H69" s="23"/>
      <c r="I69" s="159"/>
      <c r="J69" s="160"/>
      <c r="K69" s="160"/>
      <c r="L69" s="70"/>
    </row>
    <row r="70" spans="1:16" s="2" customFormat="1" x14ac:dyDescent="0.2">
      <c r="A70" s="89" t="s">
        <v>2193</v>
      </c>
      <c r="B70" s="128" t="s">
        <v>6</v>
      </c>
      <c r="C70" s="181" t="s">
        <v>2081</v>
      </c>
      <c r="D70" s="11" t="s">
        <v>13</v>
      </c>
      <c r="E70" s="86">
        <v>26863</v>
      </c>
      <c r="G70" s="23"/>
      <c r="H70" s="23"/>
      <c r="I70" s="159"/>
      <c r="J70" s="160"/>
      <c r="K70" s="160"/>
      <c r="L70" s="70"/>
    </row>
    <row r="71" spans="1:16" s="2" customFormat="1" x14ac:dyDescent="0.2">
      <c r="A71" s="89" t="s">
        <v>2193</v>
      </c>
      <c r="B71" s="128" t="s">
        <v>6</v>
      </c>
      <c r="C71" s="181" t="s">
        <v>2097</v>
      </c>
      <c r="D71" s="11" t="s">
        <v>13</v>
      </c>
      <c r="E71" s="86">
        <v>4725</v>
      </c>
      <c r="G71" s="23"/>
      <c r="H71" s="23"/>
      <c r="I71" s="159"/>
      <c r="J71" s="160"/>
      <c r="K71" s="160"/>
      <c r="L71" s="70"/>
    </row>
    <row r="72" spans="1:16" s="2" customFormat="1" x14ac:dyDescent="0.2">
      <c r="A72" s="89" t="s">
        <v>2193</v>
      </c>
      <c r="B72" s="128" t="s">
        <v>6</v>
      </c>
      <c r="C72" s="181" t="s">
        <v>682</v>
      </c>
      <c r="D72" s="11" t="s">
        <v>13</v>
      </c>
      <c r="E72" s="86">
        <v>1103</v>
      </c>
      <c r="G72" s="23"/>
      <c r="H72" s="23"/>
      <c r="I72" s="159"/>
      <c r="J72" s="160"/>
      <c r="K72" s="160"/>
      <c r="L72" s="70"/>
    </row>
    <row r="73" spans="1:16" s="2" customFormat="1" x14ac:dyDescent="0.2">
      <c r="A73" s="89" t="s">
        <v>2193</v>
      </c>
      <c r="B73" s="128" t="s">
        <v>11</v>
      </c>
      <c r="C73" s="181" t="s">
        <v>1403</v>
      </c>
      <c r="D73" s="11" t="s">
        <v>29</v>
      </c>
      <c r="E73" s="86"/>
      <c r="F73" s="2">
        <v>474010</v>
      </c>
      <c r="G73" s="23"/>
      <c r="H73" s="23"/>
      <c r="I73" s="159"/>
      <c r="J73" s="160"/>
      <c r="K73" s="160"/>
      <c r="L73" s="70"/>
    </row>
    <row r="74" spans="1:16" s="2" customFormat="1" x14ac:dyDescent="0.2">
      <c r="A74" s="89" t="s">
        <v>2193</v>
      </c>
      <c r="B74" s="128" t="s">
        <v>11</v>
      </c>
      <c r="C74" s="181" t="s">
        <v>1734</v>
      </c>
      <c r="D74" s="11" t="s">
        <v>29</v>
      </c>
      <c r="E74" s="86"/>
      <c r="F74" s="2">
        <v>10000000</v>
      </c>
      <c r="G74" s="23"/>
      <c r="H74" s="23"/>
      <c r="I74" s="159"/>
      <c r="J74" s="160"/>
      <c r="K74" s="160"/>
      <c r="L74" s="70"/>
    </row>
    <row r="75" spans="1:16" s="2" customFormat="1" x14ac:dyDescent="0.2">
      <c r="A75" s="89" t="s">
        <v>2193</v>
      </c>
      <c r="B75" s="128" t="s">
        <v>11</v>
      </c>
      <c r="C75" s="181" t="s">
        <v>64</v>
      </c>
      <c r="D75" s="11" t="s">
        <v>29</v>
      </c>
      <c r="E75" s="86"/>
      <c r="F75" s="2">
        <v>12066.15</v>
      </c>
      <c r="G75" s="23"/>
      <c r="H75" s="23"/>
      <c r="I75" s="159"/>
      <c r="J75" s="160"/>
      <c r="K75" s="160"/>
      <c r="L75" s="70"/>
    </row>
    <row r="76" spans="1:16" s="2" customFormat="1" x14ac:dyDescent="0.2">
      <c r="A76" s="89" t="s">
        <v>2193</v>
      </c>
      <c r="B76" s="128" t="s">
        <v>11</v>
      </c>
      <c r="C76" s="181" t="s">
        <v>250</v>
      </c>
      <c r="D76" s="11" t="s">
        <v>29</v>
      </c>
      <c r="E76" s="86"/>
      <c r="F76" s="2">
        <v>5176</v>
      </c>
      <c r="G76" s="23"/>
      <c r="H76" s="23"/>
      <c r="I76" s="159"/>
      <c r="J76" s="160"/>
      <c r="K76" s="160"/>
      <c r="L76" s="148" t="s">
        <v>2194</v>
      </c>
    </row>
    <row r="77" spans="1:16" s="70" customFormat="1" x14ac:dyDescent="0.2">
      <c r="A77" s="32"/>
      <c r="B77" s="33"/>
      <c r="C77" s="14"/>
      <c r="D77" s="34"/>
      <c r="E77" s="16">
        <f>SUM(E55:E76)</f>
        <v>10037371.529999999</v>
      </c>
      <c r="F77" s="16">
        <f>SUM(F55:F76)</f>
        <v>250331727.61999986</v>
      </c>
      <c r="G77" s="1"/>
      <c r="H77" s="1"/>
      <c r="I77" s="1"/>
      <c r="J77" s="38">
        <v>240399596.09</v>
      </c>
      <c r="K77" s="2"/>
      <c r="L77" s="92">
        <f>E78-J77</f>
        <v>-105240.00000014901</v>
      </c>
      <c r="M77" s="2"/>
      <c r="N77" s="2"/>
      <c r="O77" s="2"/>
      <c r="P77" s="2"/>
    </row>
    <row r="78" spans="1:16" s="70" customFormat="1" x14ac:dyDescent="0.2">
      <c r="A78" s="36"/>
      <c r="B78" s="28" t="s">
        <v>11</v>
      </c>
      <c r="C78" s="19" t="s">
        <v>65</v>
      </c>
      <c r="D78" s="37"/>
      <c r="E78" s="38">
        <f>F77-E77</f>
        <v>240294356.08999985</v>
      </c>
      <c r="F78" s="22"/>
      <c r="G78" s="1"/>
      <c r="H78" s="1"/>
      <c r="I78" s="1"/>
      <c r="M78" s="2"/>
      <c r="N78" s="2"/>
      <c r="O78" s="1"/>
      <c r="P78" s="2"/>
    </row>
    <row r="79" spans="1:16" s="70" customFormat="1" x14ac:dyDescent="0.2">
      <c r="A79" s="36"/>
      <c r="B79" s="28" t="s">
        <v>66</v>
      </c>
      <c r="C79" s="19" t="s">
        <v>67</v>
      </c>
      <c r="D79" s="37"/>
      <c r="E79" s="38">
        <v>11500000</v>
      </c>
      <c r="F79" s="22"/>
      <c r="G79" s="1"/>
      <c r="H79" s="1"/>
      <c r="M79" s="2"/>
      <c r="N79" s="2"/>
      <c r="O79" s="1"/>
      <c r="P79" s="2"/>
    </row>
    <row r="80" spans="1:16" s="70" customFormat="1" x14ac:dyDescent="0.2">
      <c r="A80" s="36"/>
      <c r="B80" s="28" t="s">
        <v>66</v>
      </c>
      <c r="C80" s="43" t="s">
        <v>1457</v>
      </c>
      <c r="D80" s="43"/>
      <c r="E80" s="12">
        <f>400000000-175000000</f>
        <v>225000000</v>
      </c>
      <c r="F80" s="22"/>
      <c r="G80" s="1"/>
      <c r="H80" s="1"/>
      <c r="J80" s="45">
        <v>767.52</v>
      </c>
      <c r="K80" s="46"/>
      <c r="L80" s="46"/>
      <c r="M80" s="2"/>
      <c r="N80" s="2"/>
      <c r="O80" s="1"/>
      <c r="P80" s="2"/>
    </row>
    <row r="81" spans="1:19" s="70" customFormat="1" ht="15" x14ac:dyDescent="0.25">
      <c r="A81" s="36"/>
      <c r="B81" s="28"/>
      <c r="C81" s="44" t="s">
        <v>1541</v>
      </c>
      <c r="D81" s="43"/>
      <c r="E81" s="7">
        <f>+E80+E78+E79</f>
        <v>476794356.08999985</v>
      </c>
      <c r="F81" s="22"/>
      <c r="G81" s="1"/>
      <c r="H81" s="1"/>
      <c r="I81" s="103" t="s">
        <v>69</v>
      </c>
      <c r="J81" s="45">
        <v>-29.38</v>
      </c>
      <c r="K81" s="46"/>
      <c r="L81" s="46"/>
      <c r="M81" s="2"/>
      <c r="N81" s="2"/>
      <c r="O81" s="1"/>
      <c r="P81" s="2"/>
    </row>
    <row r="82" spans="1:19" s="70" customFormat="1" ht="15" x14ac:dyDescent="0.25">
      <c r="A82" s="24"/>
      <c r="B82" s="1"/>
      <c r="C82" s="44" t="s">
        <v>1510</v>
      </c>
      <c r="D82" s="25"/>
      <c r="E82" s="156">
        <f>+J54-E79+I50-J50</f>
        <v>23100403.909999996</v>
      </c>
      <c r="F82" s="2"/>
      <c r="G82" s="1"/>
      <c r="H82" s="1"/>
      <c r="I82" s="35">
        <v>1</v>
      </c>
      <c r="J82" s="45">
        <v>29.38</v>
      </c>
      <c r="K82" s="46">
        <f>+J83-D85</f>
        <v>0</v>
      </c>
      <c r="L82" s="2"/>
      <c r="M82" s="2"/>
      <c r="N82" s="2"/>
      <c r="O82" s="1"/>
      <c r="P82" s="2"/>
    </row>
    <row r="83" spans="1:19" s="70" customFormat="1" ht="12.75" customHeight="1" x14ac:dyDescent="0.2">
      <c r="A83" s="24"/>
      <c r="B83" s="1"/>
      <c r="C83" s="56"/>
      <c r="D83" s="56"/>
      <c r="E83" s="104"/>
      <c r="F83" s="2"/>
      <c r="G83" s="166"/>
      <c r="H83" s="166"/>
      <c r="J83" s="49">
        <f>SUM(J80:J82)</f>
        <v>767.52</v>
      </c>
      <c r="K83" s="46"/>
      <c r="L83" s="46"/>
      <c r="M83" s="124"/>
      <c r="N83" s="124"/>
      <c r="O83" s="1"/>
      <c r="P83" s="2"/>
    </row>
    <row r="84" spans="1:19" s="70" customFormat="1" ht="12.75" customHeight="1" x14ac:dyDescent="0.2">
      <c r="A84" s="24"/>
      <c r="B84" s="1"/>
      <c r="C84" s="78" t="s">
        <v>575</v>
      </c>
      <c r="D84" s="48" t="s">
        <v>576</v>
      </c>
      <c r="E84" s="104"/>
      <c r="F84" s="2"/>
      <c r="G84" s="168"/>
      <c r="H84" s="168"/>
      <c r="I84" s="167"/>
      <c r="J84" s="167"/>
      <c r="K84" s="168"/>
      <c r="L84" s="124"/>
      <c r="M84" s="124"/>
      <c r="N84" s="124"/>
      <c r="O84" s="124"/>
      <c r="P84" s="2"/>
    </row>
    <row r="85" spans="1:19" s="70" customFormat="1" ht="12.75" customHeight="1" x14ac:dyDescent="0.2">
      <c r="A85" s="24"/>
      <c r="B85" s="1"/>
      <c r="C85" s="47" t="s">
        <v>570</v>
      </c>
      <c r="D85" s="111">
        <v>767.52</v>
      </c>
      <c r="E85" s="104"/>
      <c r="F85" s="2"/>
      <c r="G85" s="168"/>
      <c r="H85" s="168"/>
      <c r="I85" s="110" t="s">
        <v>581</v>
      </c>
      <c r="J85" s="167"/>
      <c r="K85" s="168"/>
      <c r="L85" s="124"/>
      <c r="M85" s="124"/>
      <c r="N85" s="124"/>
      <c r="O85" s="124"/>
      <c r="P85" s="124"/>
    </row>
    <row r="86" spans="1:19" s="70" customFormat="1" ht="12.75" customHeight="1" x14ac:dyDescent="0.2">
      <c r="A86" s="24"/>
      <c r="B86" s="1"/>
      <c r="C86" s="47" t="s">
        <v>931</v>
      </c>
      <c r="D86" s="111">
        <v>34.950000000000003</v>
      </c>
      <c r="E86" s="104"/>
      <c r="F86" s="2"/>
      <c r="G86" s="168"/>
      <c r="H86" s="168"/>
      <c r="I86" s="110" t="s">
        <v>580</v>
      </c>
      <c r="J86" s="167"/>
      <c r="K86" s="168"/>
      <c r="L86" s="124"/>
      <c r="M86" s="124"/>
      <c r="N86" s="124"/>
      <c r="O86" s="124"/>
      <c r="P86" s="124"/>
    </row>
    <row r="87" spans="1:19" s="70" customFormat="1" ht="12.75" customHeight="1" x14ac:dyDescent="0.2">
      <c r="A87" s="24"/>
      <c r="B87" s="1"/>
      <c r="C87" s="47" t="s">
        <v>572</v>
      </c>
      <c r="D87" s="111">
        <f>+D107/100000</f>
        <v>95.105969999999999</v>
      </c>
      <c r="E87" s="104"/>
      <c r="F87" s="2"/>
      <c r="G87" s="166"/>
      <c r="H87" s="166"/>
      <c r="I87" s="90" t="s">
        <v>587</v>
      </c>
      <c r="J87" s="167"/>
      <c r="K87" s="168"/>
      <c r="L87" s="124"/>
      <c r="M87" s="124"/>
      <c r="N87" s="124"/>
      <c r="O87" s="124"/>
      <c r="P87" s="124"/>
    </row>
    <row r="88" spans="1:19" s="70" customFormat="1" ht="12.75" customHeight="1" x14ac:dyDescent="0.2">
      <c r="A88" s="24"/>
      <c r="B88" s="1"/>
      <c r="C88" s="108" t="s">
        <v>578</v>
      </c>
      <c r="D88" s="48">
        <f>SUM(D85:D87)</f>
        <v>897.57596999999998</v>
      </c>
      <c r="E88" s="104"/>
      <c r="F88" s="2"/>
      <c r="G88" s="30"/>
      <c r="H88" s="30"/>
      <c r="I88" s="2"/>
      <c r="J88" s="13"/>
      <c r="K88" s="13"/>
      <c r="L88" s="2"/>
      <c r="M88" s="2"/>
      <c r="N88" s="2"/>
      <c r="O88" s="124"/>
      <c r="P88" s="124"/>
    </row>
    <row r="89" spans="1:19" s="70" customFormat="1" ht="12.75" customHeight="1" x14ac:dyDescent="0.2">
      <c r="A89" s="24"/>
      <c r="B89" s="1"/>
      <c r="C89" s="47"/>
      <c r="D89" s="107"/>
      <c r="E89" s="104"/>
      <c r="F89" s="2"/>
      <c r="G89" s="30"/>
      <c r="H89" s="30"/>
      <c r="I89" s="2"/>
      <c r="O89" s="2"/>
      <c r="P89" s="124"/>
    </row>
    <row r="90" spans="1:19" s="70" customFormat="1" ht="12.75" customHeight="1" x14ac:dyDescent="0.2">
      <c r="A90" s="24"/>
      <c r="B90" s="1"/>
      <c r="C90" s="47" t="s">
        <v>932</v>
      </c>
      <c r="D90" s="111">
        <v>150.88999999999999</v>
      </c>
      <c r="E90" s="104"/>
      <c r="F90" s="2"/>
      <c r="G90" s="30"/>
      <c r="H90" s="30"/>
      <c r="I90" s="110" t="s">
        <v>581</v>
      </c>
      <c r="P90" s="2"/>
    </row>
    <row r="91" spans="1:19" s="70" customFormat="1" ht="12.75" customHeight="1" x14ac:dyDescent="0.2">
      <c r="A91" s="24"/>
      <c r="B91" s="1"/>
      <c r="C91" s="136" t="s">
        <v>1142</v>
      </c>
      <c r="D91" s="111">
        <v>315.23</v>
      </c>
      <c r="E91" s="104"/>
      <c r="F91" s="2"/>
      <c r="G91" s="30"/>
      <c r="H91" s="30"/>
      <c r="I91" s="110" t="s">
        <v>581</v>
      </c>
    </row>
    <row r="92" spans="1:19" s="70" customFormat="1" ht="12.75" customHeight="1" x14ac:dyDescent="0.2">
      <c r="A92" s="24"/>
      <c r="B92" s="1"/>
      <c r="C92" s="78" t="s">
        <v>579</v>
      </c>
      <c r="D92" s="109">
        <f>D90+D91</f>
        <v>466.12</v>
      </c>
      <c r="E92" s="104"/>
      <c r="F92" s="2"/>
      <c r="G92" s="30"/>
      <c r="H92" s="30"/>
      <c r="Q92" s="2"/>
      <c r="R92" s="2"/>
      <c r="S92" s="2"/>
    </row>
    <row r="93" spans="1:19" s="2" customFormat="1" x14ac:dyDescent="0.2">
      <c r="A93" s="24"/>
      <c r="B93" s="1"/>
      <c r="C93" s="105"/>
      <c r="D93" s="106"/>
      <c r="E93" s="104"/>
      <c r="G93" s="30"/>
      <c r="H93" s="30"/>
      <c r="I93" s="70"/>
      <c r="K93" s="221" t="str">
        <f>"FROM ( 01-03-2024 to "&amp;TEXT(A5,"dd-mm-yyyy")&amp;" )"</f>
        <v>FROM ( 01-03-2024 to 08-03-2024 )</v>
      </c>
      <c r="L93" s="221"/>
      <c r="O93" s="70"/>
      <c r="P93" s="70"/>
    </row>
    <row r="94" spans="1:19" s="2" customFormat="1" x14ac:dyDescent="0.2">
      <c r="A94" s="24"/>
      <c r="B94" s="1"/>
      <c r="C94" s="78" t="s">
        <v>577</v>
      </c>
      <c r="D94" s="109">
        <f>D85+D92</f>
        <v>1233.6399999999999</v>
      </c>
      <c r="E94" s="104"/>
      <c r="G94" s="30"/>
      <c r="H94" s="30"/>
      <c r="I94" s="70"/>
      <c r="J94" s="113"/>
      <c r="K94" s="113" t="s">
        <v>709</v>
      </c>
      <c r="L94" s="113" t="s">
        <v>710</v>
      </c>
      <c r="M94" s="113" t="s">
        <v>711</v>
      </c>
      <c r="N94" s="113" t="s">
        <v>712</v>
      </c>
      <c r="O94" s="70"/>
      <c r="P94" s="70"/>
    </row>
    <row r="95" spans="1:19" s="2" customFormat="1" x14ac:dyDescent="0.2">
      <c r="A95" s="24"/>
      <c r="B95" s="1"/>
      <c r="C95" s="56"/>
      <c r="D95" s="56"/>
      <c r="E95" s="104"/>
      <c r="G95" s="30"/>
      <c r="H95" s="30"/>
      <c r="I95" s="70"/>
      <c r="J95" s="113" t="s">
        <v>1860</v>
      </c>
      <c r="K95" s="115">
        <v>195.8</v>
      </c>
      <c r="L95" s="115">
        <v>0</v>
      </c>
      <c r="M95" s="115">
        <v>0</v>
      </c>
      <c r="N95" s="113">
        <f>+K95+M95-L95</f>
        <v>195.8</v>
      </c>
      <c r="O95" s="70"/>
      <c r="P95" s="70"/>
    </row>
    <row r="96" spans="1:19" s="2" customFormat="1" ht="38.25" x14ac:dyDescent="0.2">
      <c r="A96" s="24"/>
      <c r="B96" s="1"/>
      <c r="C96" s="79" t="str">
        <f>"Particulars ( 01-03-2024 to "&amp;TEXT(A5,"dd-mm-yyyy")&amp;" )"</f>
        <v>Particulars ( 01-03-2024 to 08-03-2024 )</v>
      </c>
      <c r="D96" s="79" t="s">
        <v>7</v>
      </c>
      <c r="E96" s="80" t="s">
        <v>73</v>
      </c>
      <c r="F96" s="80" t="s">
        <v>74</v>
      </c>
      <c r="G96" s="81" t="s">
        <v>75</v>
      </c>
      <c r="H96" s="80" t="s">
        <v>76</v>
      </c>
      <c r="I96" s="70"/>
      <c r="J96" s="113" t="s">
        <v>1861</v>
      </c>
      <c r="K96" s="115">
        <v>1882.6</v>
      </c>
      <c r="L96" s="115">
        <v>95.11</v>
      </c>
      <c r="M96" s="115">
        <v>315.23</v>
      </c>
      <c r="N96" s="113">
        <f>+K96+M96-L96</f>
        <v>2102.7199999999998</v>
      </c>
      <c r="O96" s="70"/>
      <c r="P96" s="70"/>
    </row>
    <row r="97" spans="1:16" s="2" customFormat="1" x14ac:dyDescent="0.2">
      <c r="A97" s="24"/>
      <c r="B97" s="1"/>
      <c r="C97" s="50" t="s">
        <v>444</v>
      </c>
      <c r="D97" s="55">
        <f>+K97</f>
        <v>477.01</v>
      </c>
      <c r="E97" s="55">
        <f>+IF(M97=0,0,M97)</f>
        <v>150.88999999999999</v>
      </c>
      <c r="F97" s="55">
        <f>+L97</f>
        <v>34.950000000000003</v>
      </c>
      <c r="G97" s="55">
        <f>+D97+E97-F97</f>
        <v>592.94999999999993</v>
      </c>
      <c r="H97" s="55">
        <f>1500-G97</f>
        <v>907.05000000000007</v>
      </c>
      <c r="I97" s="70">
        <f>+IF(M97=0,0,M97)</f>
        <v>150.88999999999999</v>
      </c>
      <c r="J97" s="113" t="s">
        <v>707</v>
      </c>
      <c r="K97" s="115">
        <v>477.01</v>
      </c>
      <c r="L97" s="115">
        <v>34.950000000000003</v>
      </c>
      <c r="M97" s="115">
        <v>150.88999999999999</v>
      </c>
      <c r="N97" s="113">
        <f>+K97+M97-L97</f>
        <v>592.94999999999993</v>
      </c>
      <c r="O97" s="70"/>
      <c r="P97" s="70"/>
    </row>
    <row r="98" spans="1:16" s="2" customFormat="1" x14ac:dyDescent="0.2">
      <c r="A98" s="24"/>
      <c r="B98" s="1"/>
      <c r="C98" s="50" t="s">
        <v>71</v>
      </c>
      <c r="D98" s="55">
        <f>+K95+K96</f>
        <v>2078.4</v>
      </c>
      <c r="E98" s="55">
        <f>+M95+M96</f>
        <v>315.23</v>
      </c>
      <c r="F98" s="55">
        <f>+L95+L96</f>
        <v>95.11</v>
      </c>
      <c r="G98" s="55">
        <f>+D98+E98-F98</f>
        <v>2298.52</v>
      </c>
      <c r="H98" s="55">
        <f>1500+700+200-G98</f>
        <v>101.48000000000002</v>
      </c>
      <c r="I98" s="70"/>
      <c r="K98" s="118">
        <f>SUM(K95:K97)</f>
        <v>2555.41</v>
      </c>
      <c r="L98" s="118">
        <f>SUM(L95:L97)</f>
        <v>130.06</v>
      </c>
      <c r="M98" s="118">
        <f>SUM(M95:M97)</f>
        <v>466.12</v>
      </c>
      <c r="N98" s="118">
        <f>SUM(N95:N97)</f>
        <v>2891.47</v>
      </c>
      <c r="O98" s="70"/>
      <c r="P98" s="70"/>
    </row>
    <row r="99" spans="1:16" s="2" customFormat="1" x14ac:dyDescent="0.2">
      <c r="A99" s="24"/>
      <c r="B99" s="1"/>
      <c r="C99" s="14"/>
      <c r="D99" s="56"/>
      <c r="E99" s="13"/>
      <c r="G99" s="30"/>
      <c r="H99" s="30"/>
      <c r="I99" s="70"/>
      <c r="J99" s="70"/>
      <c r="K99" s="70"/>
      <c r="L99" s="70"/>
      <c r="M99" s="70"/>
      <c r="N99" s="70"/>
      <c r="O99" s="70"/>
      <c r="P99" s="70"/>
    </row>
    <row r="100" spans="1:16" s="2" customFormat="1" x14ac:dyDescent="0.2">
      <c r="A100" s="215" t="s">
        <v>80</v>
      </c>
      <c r="B100" s="216"/>
      <c r="C100" s="216"/>
      <c r="D100" s="217"/>
      <c r="E100" s="69"/>
      <c r="F100" s="70"/>
      <c r="G100" s="30"/>
      <c r="H100" s="30"/>
      <c r="I100" s="70"/>
      <c r="J100" s="70"/>
      <c r="K100" s="70"/>
      <c r="L100" s="70"/>
      <c r="M100" s="70"/>
      <c r="N100" s="70"/>
      <c r="O100" s="70"/>
      <c r="P100" s="70"/>
    </row>
    <row r="101" spans="1:16" s="2" customFormat="1" x14ac:dyDescent="0.2">
      <c r="A101" s="71" t="s">
        <v>81</v>
      </c>
      <c r="B101" s="71"/>
      <c r="C101" s="72" t="s">
        <v>82</v>
      </c>
      <c r="D101" s="73" t="s">
        <v>83</v>
      </c>
      <c r="E101" s="69"/>
      <c r="F101" s="70"/>
      <c r="G101" s="30"/>
      <c r="H101" s="30"/>
      <c r="I101" s="70"/>
      <c r="J101" s="70"/>
      <c r="K101" s="70"/>
      <c r="L101" s="70"/>
      <c r="M101" s="70"/>
      <c r="N101" s="70"/>
      <c r="O101" s="70"/>
      <c r="P101" s="70"/>
    </row>
    <row r="102" spans="1:16" s="2" customFormat="1" x14ac:dyDescent="0.2">
      <c r="A102" s="87">
        <v>45352</v>
      </c>
      <c r="B102" s="120" t="s">
        <v>6</v>
      </c>
      <c r="C102" s="75" t="s">
        <v>2165</v>
      </c>
      <c r="D102" s="88">
        <v>2143144</v>
      </c>
      <c r="G102" s="30"/>
      <c r="H102" s="30"/>
      <c r="P102" s="70"/>
    </row>
    <row r="103" spans="1:16" s="2" customFormat="1" x14ac:dyDescent="0.2">
      <c r="A103" s="87">
        <v>45352</v>
      </c>
      <c r="B103" s="120" t="s">
        <v>6</v>
      </c>
      <c r="C103" s="75" t="s">
        <v>2171</v>
      </c>
      <c r="D103" s="88">
        <v>1493463</v>
      </c>
      <c r="G103" s="30"/>
      <c r="H103" s="30"/>
      <c r="P103" s="70"/>
    </row>
    <row r="104" spans="1:16" s="2" customFormat="1" x14ac:dyDescent="0.2">
      <c r="A104" s="87">
        <v>45356</v>
      </c>
      <c r="B104" s="120" t="s">
        <v>6</v>
      </c>
      <c r="C104" s="75" t="s">
        <v>1988</v>
      </c>
      <c r="D104" s="88">
        <v>3111466</v>
      </c>
      <c r="G104" s="30"/>
      <c r="H104" s="30"/>
      <c r="P104" s="70"/>
    </row>
    <row r="105" spans="1:16" s="2" customFormat="1" x14ac:dyDescent="0.2">
      <c r="A105" s="87">
        <v>45357</v>
      </c>
      <c r="B105" s="120" t="s">
        <v>6</v>
      </c>
      <c r="C105" s="75" t="s">
        <v>2171</v>
      </c>
      <c r="D105" s="88">
        <v>1393433</v>
      </c>
      <c r="G105" s="30"/>
      <c r="H105" s="30"/>
      <c r="P105" s="70"/>
    </row>
    <row r="106" spans="1:16" s="2" customFormat="1" x14ac:dyDescent="0.2">
      <c r="A106" s="87">
        <v>45356</v>
      </c>
      <c r="B106" s="120" t="s">
        <v>6</v>
      </c>
      <c r="C106" s="75" t="s">
        <v>2171</v>
      </c>
      <c r="D106" s="88">
        <v>1369091</v>
      </c>
      <c r="G106" s="30"/>
      <c r="H106" s="30"/>
      <c r="P106" s="70"/>
    </row>
    <row r="107" spans="1:16" s="2" customFormat="1" x14ac:dyDescent="0.2">
      <c r="A107" s="87"/>
      <c r="B107" s="74"/>
      <c r="C107" s="183" t="s">
        <v>2141</v>
      </c>
      <c r="D107" s="51">
        <f>SUM(D102:D106)</f>
        <v>9510597</v>
      </c>
      <c r="F107" s="2" t="s">
        <v>396</v>
      </c>
      <c r="G107" s="1"/>
      <c r="H107" s="1"/>
      <c r="P107" s="70"/>
    </row>
    <row r="108" spans="1:16" s="2" customFormat="1" x14ac:dyDescent="0.2">
      <c r="A108" s="24"/>
      <c r="B108" s="1"/>
      <c r="C108" s="14"/>
      <c r="D108" s="56"/>
      <c r="E108" s="13"/>
      <c r="G108" s="1"/>
      <c r="H108" s="1"/>
      <c r="I108" s="2" t="s">
        <v>396</v>
      </c>
    </row>
    <row r="109" spans="1:16" s="2" customFormat="1" x14ac:dyDescent="0.2">
      <c r="A109" s="24"/>
      <c r="B109" s="1"/>
      <c r="C109" s="218" t="s">
        <v>77</v>
      </c>
      <c r="D109" s="219"/>
      <c r="E109" s="219"/>
      <c r="F109" s="220"/>
      <c r="I109" s="2" t="s">
        <v>396</v>
      </c>
    </row>
    <row r="110" spans="1:16" s="2" customFormat="1" x14ac:dyDescent="0.2">
      <c r="A110" s="24"/>
      <c r="B110" s="1"/>
      <c r="C110" s="50"/>
      <c r="D110" s="57" t="s">
        <v>78</v>
      </c>
      <c r="E110" s="58" t="s">
        <v>79</v>
      </c>
      <c r="F110" s="57" t="s">
        <v>72</v>
      </c>
    </row>
    <row r="111" spans="1:16" s="2" customFormat="1" x14ac:dyDescent="0.2">
      <c r="A111" s="24"/>
      <c r="B111" s="1"/>
      <c r="C111" s="59" t="str">
        <f>"01-03-2024 to "&amp;TEXT(A5-2,"dd-mm-yyyy")</f>
        <v>01-03-2024 to 06-03-2024</v>
      </c>
      <c r="D111" s="60">
        <v>901.02</v>
      </c>
      <c r="E111" s="60">
        <v>151.86000000000001</v>
      </c>
      <c r="F111" s="61">
        <f>SUM(D111:E111)</f>
        <v>1052.8800000000001</v>
      </c>
      <c r="I111" s="53"/>
    </row>
    <row r="112" spans="1:16" s="2" customFormat="1" x14ac:dyDescent="0.2">
      <c r="A112" s="24"/>
      <c r="B112" s="1"/>
      <c r="C112" s="62" t="str">
        <f>TEXT(A5-1,"dd-mm-yyyy")</f>
        <v>07-03-2024</v>
      </c>
      <c r="D112" s="60">
        <v>118.51</v>
      </c>
      <c r="E112" s="60">
        <v>12.53</v>
      </c>
      <c r="F112" s="61">
        <f>SUM(D112:E112)</f>
        <v>131.04</v>
      </c>
      <c r="G112" s="1"/>
      <c r="H112" s="1"/>
      <c r="I112" s="53"/>
    </row>
    <row r="113" spans="1:19" s="2" customFormat="1" ht="13.5" thickBot="1" x14ac:dyDescent="0.25">
      <c r="A113" s="24"/>
      <c r="B113" s="1"/>
      <c r="C113" s="63" t="str">
        <f>"01-03-2024 to "&amp;TEXT(A5-1,"dd-mm-yyyy")</f>
        <v>01-03-2024 to 07-03-2024</v>
      </c>
      <c r="D113" s="64">
        <f>SUM(D111:D112)</f>
        <v>1019.53</v>
      </c>
      <c r="E113" s="64">
        <f>SUM(E111:E112)</f>
        <v>164.39000000000001</v>
      </c>
      <c r="F113" s="64">
        <f>SUM(F111:F112)</f>
        <v>1183.92</v>
      </c>
      <c r="G113" s="1"/>
      <c r="H113" s="1"/>
      <c r="M113" s="1"/>
      <c r="N113" s="1"/>
    </row>
    <row r="114" spans="1:19" s="2" customFormat="1" ht="13.5" thickTop="1" x14ac:dyDescent="0.2">
      <c r="A114" s="24"/>
      <c r="B114" s="1"/>
      <c r="C114" s="62"/>
      <c r="D114" s="65"/>
      <c r="E114" s="66"/>
      <c r="F114" s="67"/>
      <c r="M114" s="1"/>
      <c r="N114" s="1"/>
    </row>
    <row r="115" spans="1:19" s="2" customFormat="1" x14ac:dyDescent="0.2">
      <c r="A115" s="24"/>
      <c r="B115" s="1"/>
      <c r="C115" s="62" t="str">
        <f>"01-04-2023 to " &amp;C112</f>
        <v>01-04-2023 to 07-03-2024</v>
      </c>
      <c r="D115" s="68">
        <f>+D113+41133.88</f>
        <v>42153.409999999996</v>
      </c>
      <c r="E115" s="68">
        <f>+E113+5181.05</f>
        <v>5345.4400000000005</v>
      </c>
      <c r="F115" s="68">
        <f>+F113+46314.16</f>
        <v>47498.080000000002</v>
      </c>
      <c r="G115" s="1"/>
      <c r="H115" s="1"/>
      <c r="M115" s="1"/>
      <c r="N115" s="1"/>
    </row>
    <row r="116" spans="1:19" s="2" customFormat="1" x14ac:dyDescent="0.2">
      <c r="A116" s="24"/>
      <c r="B116" s="1"/>
      <c r="C116" s="52"/>
      <c r="D116" s="85"/>
      <c r="E116" s="53"/>
      <c r="F116" s="53"/>
      <c r="G116" s="1"/>
      <c r="H116" s="1"/>
      <c r="M116" s="1"/>
      <c r="N116" s="1"/>
    </row>
    <row r="117" spans="1:19" s="2" customFormat="1" x14ac:dyDescent="0.2">
      <c r="A117" s="24"/>
      <c r="B117" s="1"/>
      <c r="C117" s="52"/>
      <c r="D117" s="85"/>
      <c r="E117" s="53"/>
      <c r="F117" s="53"/>
      <c r="G117" s="1"/>
      <c r="H117" s="1"/>
      <c r="M117" s="1"/>
      <c r="N117" s="1"/>
    </row>
    <row r="118" spans="1:19" s="2" customFormat="1" x14ac:dyDescent="0.2">
      <c r="A118" s="24"/>
      <c r="B118" s="1"/>
      <c r="C118" s="52"/>
      <c r="D118" s="85"/>
      <c r="E118" s="53"/>
      <c r="F118" s="53"/>
      <c r="G118" s="1"/>
      <c r="H118" s="1"/>
      <c r="M118" s="1"/>
      <c r="N118" s="1"/>
    </row>
    <row r="119" spans="1:19" s="2" customFormat="1" x14ac:dyDescent="0.2">
      <c r="A119" s="24"/>
      <c r="B119" s="1"/>
      <c r="C119" s="52"/>
      <c r="D119" s="85"/>
      <c r="E119" s="53"/>
      <c r="F119" s="53"/>
      <c r="G119" s="1"/>
      <c r="H119" s="1"/>
      <c r="M119" s="1"/>
      <c r="N119" s="1"/>
    </row>
    <row r="120" spans="1:19" s="2" customFormat="1" x14ac:dyDescent="0.2">
      <c r="A120" s="24"/>
      <c r="B120" s="1"/>
      <c r="C120" s="14"/>
      <c r="D120" s="25">
        <f>SUM(D117:D119)</f>
        <v>0</v>
      </c>
      <c r="E120" s="2">
        <f>SUM(E117:E119)</f>
        <v>0</v>
      </c>
      <c r="G120" s="1"/>
      <c r="H120" s="1"/>
      <c r="M120" s="1"/>
      <c r="N120" s="1"/>
    </row>
    <row r="121" spans="1:19" s="2" customFormat="1" x14ac:dyDescent="0.2">
      <c r="A121" s="24"/>
      <c r="B121" s="1"/>
      <c r="C121" s="14"/>
      <c r="D121" s="25"/>
      <c r="G121" s="1"/>
      <c r="H121" s="1"/>
      <c r="M121" s="1"/>
      <c r="N121" s="1"/>
    </row>
    <row r="122" spans="1:19" s="2" customFormat="1" x14ac:dyDescent="0.2">
      <c r="A122" s="24"/>
      <c r="B122" s="1"/>
      <c r="C122" s="14"/>
      <c r="D122" s="25"/>
      <c r="G122" s="1"/>
      <c r="H122" s="1"/>
      <c r="M122" s="1"/>
      <c r="N122" s="1"/>
    </row>
    <row r="123" spans="1:19" s="2" customFormat="1" x14ac:dyDescent="0.2">
      <c r="A123" s="24"/>
      <c r="B123" s="1"/>
      <c r="C123" s="14"/>
      <c r="D123" s="25"/>
      <c r="G123" s="1"/>
      <c r="H123" s="1"/>
      <c r="M123" s="1"/>
      <c r="N123" s="1"/>
    </row>
    <row r="124" spans="1:19" s="2" customFormat="1" x14ac:dyDescent="0.2">
      <c r="A124" s="24"/>
      <c r="B124" s="1"/>
      <c r="C124" s="14"/>
      <c r="D124" s="25"/>
      <c r="G124" s="1"/>
      <c r="H124" s="1"/>
      <c r="M124" s="1"/>
      <c r="N124" s="1"/>
    </row>
    <row r="125" spans="1:19" s="2" customFormat="1" x14ac:dyDescent="0.2">
      <c r="A125" s="24"/>
      <c r="B125" s="1"/>
      <c r="C125" s="14"/>
      <c r="D125" s="25"/>
      <c r="G125" s="1"/>
      <c r="H125" s="1"/>
      <c r="M125" s="1"/>
      <c r="N125" s="1"/>
    </row>
    <row r="126" spans="1:19" s="2" customFormat="1" x14ac:dyDescent="0.2">
      <c r="A126" s="24"/>
      <c r="B126" s="1"/>
      <c r="C126" s="14"/>
      <c r="D126" s="25"/>
      <c r="G126" s="1"/>
      <c r="H126" s="1"/>
      <c r="M126" s="1"/>
      <c r="N126" s="1"/>
    </row>
    <row r="127" spans="1:19" s="2" customFormat="1" x14ac:dyDescent="0.2">
      <c r="A127" s="24"/>
      <c r="B127" s="1"/>
      <c r="C127" s="14"/>
      <c r="D127" s="25"/>
      <c r="G127" s="1"/>
      <c r="H127" s="1"/>
      <c r="M127" s="1"/>
      <c r="N127" s="1"/>
      <c r="Q127" s="1"/>
      <c r="R127" s="1"/>
      <c r="S127" s="1"/>
    </row>
    <row r="128" spans="1:19" x14ac:dyDescent="0.2">
      <c r="J128" s="2"/>
      <c r="K128" s="2"/>
      <c r="L128" s="2"/>
      <c r="O128" s="2"/>
      <c r="P128" s="2"/>
      <c r="Q128" s="2"/>
      <c r="R128" s="2"/>
      <c r="S128" s="2"/>
    </row>
    <row r="129" spans="1:19" s="2" customFormat="1" x14ac:dyDescent="0.2">
      <c r="A129" s="24"/>
      <c r="B129" s="1"/>
      <c r="C129" s="14"/>
      <c r="D129" s="25"/>
      <c r="G129" s="1"/>
      <c r="H129" s="1"/>
      <c r="M129" s="1"/>
      <c r="N129" s="1"/>
      <c r="Q129" s="1"/>
      <c r="R129" s="1"/>
      <c r="S129" s="1"/>
    </row>
    <row r="130" spans="1:19" x14ac:dyDescent="0.2">
      <c r="J130" s="2"/>
      <c r="K130" s="2"/>
      <c r="L130" s="2"/>
      <c r="O130" s="2"/>
      <c r="P130" s="2"/>
    </row>
    <row r="131" spans="1:19" x14ac:dyDescent="0.2">
      <c r="J131" s="2"/>
      <c r="K131" s="2"/>
      <c r="L131" s="2"/>
      <c r="O131" s="2"/>
      <c r="P131" s="2"/>
    </row>
    <row r="132" spans="1:19" x14ac:dyDescent="0.2">
      <c r="J132" s="2"/>
      <c r="K132" s="2"/>
      <c r="L132" s="2"/>
      <c r="O132" s="2"/>
      <c r="P132" s="2"/>
    </row>
    <row r="133" spans="1:19" x14ac:dyDescent="0.2">
      <c r="J133" s="2"/>
      <c r="K133" s="2"/>
      <c r="L133" s="2"/>
      <c r="O133" s="2"/>
      <c r="P133" s="2"/>
    </row>
    <row r="134" spans="1:19" x14ac:dyDescent="0.2">
      <c r="O134" s="2"/>
      <c r="P134" s="2"/>
    </row>
    <row r="135" spans="1:19" x14ac:dyDescent="0.2">
      <c r="J135" s="2"/>
      <c r="K135" s="2"/>
      <c r="L135" s="2"/>
      <c r="M135" s="2"/>
      <c r="N135" s="2"/>
      <c r="O135" s="2"/>
      <c r="P135" s="2"/>
    </row>
    <row r="136" spans="1:19" x14ac:dyDescent="0.2">
      <c r="O136" s="2"/>
      <c r="P136" s="2"/>
    </row>
    <row r="137" spans="1:19" x14ac:dyDescent="0.2">
      <c r="G137" s="54"/>
      <c r="H137" s="54"/>
      <c r="O137" s="2"/>
      <c r="P137" s="2"/>
    </row>
    <row r="138" spans="1:19" x14ac:dyDescent="0.2">
      <c r="G138" s="54"/>
      <c r="H138" s="54"/>
      <c r="O138" s="2"/>
      <c r="P138" s="2"/>
    </row>
    <row r="139" spans="1:19" x14ac:dyDescent="0.2">
      <c r="G139" s="54"/>
      <c r="H139" s="54"/>
      <c r="O139" s="2"/>
      <c r="P139" s="2"/>
    </row>
    <row r="140" spans="1:19" x14ac:dyDescent="0.2">
      <c r="G140" s="54"/>
      <c r="H140" s="54"/>
      <c r="I140" s="2" t="s">
        <v>396</v>
      </c>
      <c r="O140" s="2"/>
      <c r="P140" s="2"/>
    </row>
    <row r="141" spans="1:19" x14ac:dyDescent="0.2">
      <c r="G141" s="54"/>
      <c r="H141" s="54"/>
      <c r="I141" s="53"/>
      <c r="J141" s="2"/>
      <c r="K141" s="2"/>
      <c r="L141" s="2"/>
      <c r="M141" s="2"/>
      <c r="N141" s="2"/>
      <c r="P141" s="2"/>
    </row>
    <row r="142" spans="1:19" x14ac:dyDescent="0.2">
      <c r="G142" s="54"/>
      <c r="H142" s="54"/>
      <c r="I142" s="53" t="s">
        <v>396</v>
      </c>
      <c r="O142" s="2"/>
      <c r="P142" s="2"/>
    </row>
    <row r="143" spans="1:19" x14ac:dyDescent="0.2">
      <c r="G143" s="54"/>
      <c r="H143" s="54"/>
      <c r="I143" s="53" t="s">
        <v>396</v>
      </c>
      <c r="K143" s="42"/>
      <c r="P143" s="2"/>
    </row>
    <row r="144" spans="1:19" x14ac:dyDescent="0.2">
      <c r="G144" s="54"/>
      <c r="H144" s="54"/>
      <c r="I144" s="53"/>
      <c r="J144" s="101"/>
      <c r="P144" s="2"/>
    </row>
    <row r="145" spans="7:16" x14ac:dyDescent="0.2">
      <c r="G145" s="54"/>
      <c r="H145" s="54"/>
      <c r="I145" s="53"/>
    </row>
    <row r="146" spans="7:16" x14ac:dyDescent="0.2">
      <c r="G146" s="54"/>
      <c r="H146" s="54"/>
      <c r="I146" s="53"/>
      <c r="P146" s="2"/>
    </row>
    <row r="147" spans="7:16" x14ac:dyDescent="0.2">
      <c r="G147" s="54"/>
      <c r="H147" s="54"/>
      <c r="I147" s="53"/>
    </row>
  </sheetData>
  <sheetProtection insertRows="0"/>
  <mergeCells count="8">
    <mergeCell ref="K93:L93"/>
    <mergeCell ref="A100:D100"/>
    <mergeCell ref="C109:F109"/>
    <mergeCell ref="A1:H1"/>
    <mergeCell ref="A3:F3"/>
    <mergeCell ref="A9:F9"/>
    <mergeCell ref="A16:F16"/>
    <mergeCell ref="A53:F53"/>
  </mergeCells>
  <conditionalFormatting sqref="H97:H98">
    <cfRule type="cellIs" dxfId="35" priority="1" operator="lessThan">
      <formula>0</formula>
    </cfRule>
  </conditionalFormatting>
  <conditionalFormatting sqref="C55">
    <cfRule type="duplicateValues" dxfId="34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1-000000000000}">
  <sheetPr codeName="Sheet569">
    <pageSetUpPr fitToPage="1"/>
  </sheetPr>
  <dimension ref="A1:S125"/>
  <sheetViews>
    <sheetView topLeftCell="A43" zoomScaleNormal="100" workbookViewId="0">
      <selection activeCell="C51" sqref="C51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12.85546875" style="1" customWidth="1"/>
    <col min="9" max="9" width="24.85546875" style="2" bestFit="1" customWidth="1"/>
    <col min="10" max="10" width="21.5703125" style="1" bestFit="1" customWidth="1"/>
    <col min="11" max="11" width="16.85546875" style="1" bestFit="1" customWidth="1"/>
    <col min="12" max="12" width="19.5703125" style="1" bestFit="1" customWidth="1"/>
    <col min="13" max="13" width="13.5703125" style="1" bestFit="1" customWidth="1"/>
    <col min="14" max="14" width="17.42578125" style="1" bestFit="1" customWidth="1"/>
    <col min="15" max="15" width="12.85546875" style="1" bestFit="1" customWidth="1"/>
    <col min="16" max="17" width="9.140625" style="1"/>
    <col min="18" max="18" width="15.5703125" style="1" bestFit="1" customWidth="1"/>
    <col min="19" max="16384" width="9.140625" style="1"/>
  </cols>
  <sheetData>
    <row r="1" spans="1:11" ht="20.25" customHeight="1" x14ac:dyDescent="0.4">
      <c r="A1" s="212" t="s">
        <v>2195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1" ht="12.75" customHeight="1" x14ac:dyDescent="0.4">
      <c r="I2" s="112"/>
      <c r="J2" s="112"/>
    </row>
    <row r="3" spans="1:11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1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1" s="2" customFormat="1" ht="14.25" customHeight="1" x14ac:dyDescent="0.4">
      <c r="A5" s="89">
        <v>45360</v>
      </c>
      <c r="B5" s="9" t="s">
        <v>6</v>
      </c>
      <c r="C5" s="10" t="s">
        <v>7</v>
      </c>
      <c r="D5" s="11"/>
      <c r="E5" s="12">
        <v>678762.84000000078</v>
      </c>
      <c r="F5" s="12"/>
      <c r="G5" s="1"/>
      <c r="H5" s="1"/>
      <c r="I5" s="112"/>
      <c r="J5" s="112"/>
    </row>
    <row r="6" spans="1:11" s="2" customFormat="1" ht="12.75" customHeight="1" x14ac:dyDescent="0.2">
      <c r="D6" s="15" t="s">
        <v>8</v>
      </c>
      <c r="E6" s="16">
        <f>SUM(E5:E5)</f>
        <v>678762.84000000078</v>
      </c>
      <c r="F6" s="16">
        <f>F5</f>
        <v>0</v>
      </c>
      <c r="G6" s="1"/>
      <c r="H6" s="1"/>
      <c r="I6" s="13" t="s">
        <v>1582</v>
      </c>
      <c r="J6" s="13" t="s">
        <v>1583</v>
      </c>
    </row>
    <row r="7" spans="1:11" s="2" customFormat="1" ht="12.75" customHeight="1" x14ac:dyDescent="0.2">
      <c r="A7" s="17"/>
      <c r="B7" s="18"/>
      <c r="C7" s="19" t="s">
        <v>9</v>
      </c>
      <c r="D7" s="20"/>
      <c r="E7" s="21">
        <f>+E6-F6</f>
        <v>678762.84000000078</v>
      </c>
      <c r="F7" s="22"/>
      <c r="G7" s="23"/>
      <c r="H7" s="23"/>
      <c r="I7" s="2">
        <v>465360</v>
      </c>
      <c r="J7" s="2">
        <v>0</v>
      </c>
      <c r="K7" s="176">
        <f>I7-J7</f>
        <v>465360</v>
      </c>
    </row>
    <row r="8" spans="1:11" ht="11.25" customHeight="1" x14ac:dyDescent="0.4">
      <c r="I8" s="112"/>
      <c r="J8" s="112"/>
    </row>
    <row r="9" spans="1:11" ht="18" customHeight="1" x14ac:dyDescent="0.4">
      <c r="A9" s="213" t="s">
        <v>2103</v>
      </c>
      <c r="B9" s="213"/>
      <c r="C9" s="213"/>
      <c r="D9" s="213"/>
      <c r="E9" s="213"/>
      <c r="F9" s="213"/>
      <c r="I9" s="112"/>
      <c r="J9" s="112"/>
    </row>
    <row r="10" spans="1:11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I10" s="112"/>
      <c r="J10" s="112"/>
    </row>
    <row r="11" spans="1:11" ht="12.75" customHeight="1" x14ac:dyDescent="0.4">
      <c r="A11" s="89">
        <v>45360</v>
      </c>
      <c r="B11" s="9" t="s">
        <v>6</v>
      </c>
      <c r="C11" s="10" t="s">
        <v>7</v>
      </c>
      <c r="D11" s="11"/>
      <c r="E11" s="12">
        <v>954724.76999999862</v>
      </c>
      <c r="F11" s="1"/>
      <c r="I11" s="112"/>
      <c r="J11" s="112"/>
    </row>
    <row r="12" spans="1:11" ht="12.75" customHeight="1" x14ac:dyDescent="0.4">
      <c r="A12" s="89">
        <v>45360</v>
      </c>
      <c r="B12" s="9" t="s">
        <v>11</v>
      </c>
      <c r="C12" s="76" t="s">
        <v>382</v>
      </c>
      <c r="D12" s="11" t="s">
        <v>29</v>
      </c>
      <c r="E12" s="31"/>
      <c r="F12" s="31">
        <v>39036</v>
      </c>
      <c r="I12" s="112"/>
      <c r="J12" s="112"/>
    </row>
    <row r="13" spans="1:11" ht="12.75" customHeight="1" x14ac:dyDescent="0.4">
      <c r="A13" s="89">
        <v>45360</v>
      </c>
      <c r="B13" s="9" t="s">
        <v>11</v>
      </c>
      <c r="C13" s="76" t="s">
        <v>721</v>
      </c>
      <c r="D13" s="11" t="s">
        <v>29</v>
      </c>
      <c r="E13" s="31"/>
      <c r="F13" s="31">
        <v>34155</v>
      </c>
      <c r="I13" s="112"/>
      <c r="J13" s="112"/>
    </row>
    <row r="14" spans="1:11" ht="12.75" customHeight="1" x14ac:dyDescent="0.4">
      <c r="A14" s="89">
        <v>45360</v>
      </c>
      <c r="B14" s="9" t="s">
        <v>11</v>
      </c>
      <c r="C14" s="76" t="s">
        <v>1772</v>
      </c>
      <c r="D14" s="11" t="s">
        <v>29</v>
      </c>
      <c r="E14" s="31"/>
      <c r="F14" s="31">
        <v>3296</v>
      </c>
      <c r="I14" s="112"/>
      <c r="J14" s="112"/>
    </row>
    <row r="15" spans="1:11" ht="12.75" customHeight="1" x14ac:dyDescent="0.4">
      <c r="A15" s="89">
        <v>45360</v>
      </c>
      <c r="B15" s="9" t="s">
        <v>11</v>
      </c>
      <c r="C15" s="76" t="s">
        <v>602</v>
      </c>
      <c r="D15" s="11" t="s">
        <v>29</v>
      </c>
      <c r="E15" s="31"/>
      <c r="F15" s="31">
        <v>5228</v>
      </c>
      <c r="I15" s="112"/>
      <c r="J15" s="112"/>
    </row>
    <row r="16" spans="1:11" ht="12.75" customHeight="1" x14ac:dyDescent="0.4">
      <c r="A16" s="89">
        <v>45360</v>
      </c>
      <c r="B16" s="9" t="s">
        <v>11</v>
      </c>
      <c r="C16" s="76" t="s">
        <v>1876</v>
      </c>
      <c r="D16" s="11" t="s">
        <v>29</v>
      </c>
      <c r="E16" s="31"/>
      <c r="F16" s="31">
        <v>2354.1</v>
      </c>
      <c r="I16" s="112"/>
      <c r="J16" s="112"/>
    </row>
    <row r="17" spans="1:10" ht="12.75" customHeight="1" x14ac:dyDescent="0.4">
      <c r="A17" s="89">
        <v>45360</v>
      </c>
      <c r="B17" s="9" t="s">
        <v>11</v>
      </c>
      <c r="C17" s="76" t="s">
        <v>188</v>
      </c>
      <c r="D17" s="11" t="s">
        <v>29</v>
      </c>
      <c r="E17" s="31"/>
      <c r="F17" s="31">
        <v>60000</v>
      </c>
      <c r="I17" s="112"/>
      <c r="J17" s="112"/>
    </row>
    <row r="18" spans="1:10" ht="12.75" customHeight="1" x14ac:dyDescent="0.4">
      <c r="A18" s="89">
        <v>45360</v>
      </c>
      <c r="B18" s="9" t="s">
        <v>11</v>
      </c>
      <c r="C18" s="76" t="s">
        <v>2196</v>
      </c>
      <c r="D18" s="11" t="s">
        <v>29</v>
      </c>
      <c r="E18" s="31"/>
      <c r="F18" s="31">
        <v>2940.56</v>
      </c>
      <c r="I18" s="112"/>
      <c r="J18" s="112"/>
    </row>
    <row r="19" spans="1:10" ht="12.75" customHeight="1" x14ac:dyDescent="0.4">
      <c r="A19" s="89">
        <v>45360</v>
      </c>
      <c r="B19" s="9" t="s">
        <v>11</v>
      </c>
      <c r="C19" s="76" t="s">
        <v>196</v>
      </c>
      <c r="D19" s="11" t="s">
        <v>29</v>
      </c>
      <c r="E19" s="31"/>
      <c r="F19" s="31">
        <v>3372</v>
      </c>
      <c r="I19" s="112"/>
      <c r="J19" s="112"/>
    </row>
    <row r="20" spans="1:10" ht="12.75" customHeight="1" x14ac:dyDescent="0.4">
      <c r="A20" s="89">
        <v>45360</v>
      </c>
      <c r="B20" s="9" t="s">
        <v>11</v>
      </c>
      <c r="C20" s="76" t="s">
        <v>221</v>
      </c>
      <c r="D20" s="11" t="s">
        <v>29</v>
      </c>
      <c r="E20" s="31"/>
      <c r="F20" s="31">
        <v>1620</v>
      </c>
      <c r="I20" s="112"/>
      <c r="J20" s="112"/>
    </row>
    <row r="21" spans="1:10" ht="12.75" customHeight="1" x14ac:dyDescent="0.4">
      <c r="A21" s="89">
        <v>45360</v>
      </c>
      <c r="B21" s="9" t="s">
        <v>11</v>
      </c>
      <c r="C21" s="76" t="s">
        <v>222</v>
      </c>
      <c r="D21" s="11" t="s">
        <v>29</v>
      </c>
      <c r="E21" s="31"/>
      <c r="F21" s="31">
        <v>2130</v>
      </c>
      <c r="I21" s="112"/>
      <c r="J21" s="112"/>
    </row>
    <row r="22" spans="1:10" ht="12.75" customHeight="1" x14ac:dyDescent="0.4">
      <c r="A22" s="89">
        <v>45360</v>
      </c>
      <c r="B22" s="9" t="s">
        <v>11</v>
      </c>
      <c r="C22" s="76" t="s">
        <v>738</v>
      </c>
      <c r="D22" s="11" t="s">
        <v>29</v>
      </c>
      <c r="E22" s="31"/>
      <c r="F22" s="31">
        <v>10450</v>
      </c>
      <c r="I22" s="112"/>
      <c r="J22" s="112"/>
    </row>
    <row r="23" spans="1:10" ht="12.75" customHeight="1" x14ac:dyDescent="0.4">
      <c r="A23" s="89">
        <v>45360</v>
      </c>
      <c r="B23" s="9" t="s">
        <v>11</v>
      </c>
      <c r="C23" s="76" t="s">
        <v>370</v>
      </c>
      <c r="D23" s="11" t="s">
        <v>29</v>
      </c>
      <c r="E23" s="31"/>
      <c r="F23" s="31">
        <v>13650</v>
      </c>
      <c r="I23" s="112"/>
      <c r="J23" s="112"/>
    </row>
    <row r="24" spans="1:10" ht="12.75" customHeight="1" x14ac:dyDescent="0.4">
      <c r="A24" s="89">
        <v>45360</v>
      </c>
      <c r="B24" s="9" t="s">
        <v>11</v>
      </c>
      <c r="C24" s="76" t="s">
        <v>38</v>
      </c>
      <c r="D24" s="11" t="s">
        <v>29</v>
      </c>
      <c r="E24" s="31"/>
      <c r="F24" s="31">
        <v>37966</v>
      </c>
      <c r="I24" s="112"/>
      <c r="J24" s="112"/>
    </row>
    <row r="25" spans="1:10" ht="12.75" customHeight="1" x14ac:dyDescent="0.4">
      <c r="A25" s="89">
        <v>45360</v>
      </c>
      <c r="B25" s="9" t="s">
        <v>11</v>
      </c>
      <c r="C25" s="76" t="s">
        <v>42</v>
      </c>
      <c r="D25" s="11" t="s">
        <v>29</v>
      </c>
      <c r="E25" s="31"/>
      <c r="F25" s="31">
        <v>25654</v>
      </c>
      <c r="I25" s="112"/>
      <c r="J25" s="112"/>
    </row>
    <row r="26" spans="1:10" ht="12.75" customHeight="1" x14ac:dyDescent="0.4">
      <c r="A26" s="89">
        <v>45360</v>
      </c>
      <c r="B26" s="9" t="s">
        <v>11</v>
      </c>
      <c r="C26" s="76" t="s">
        <v>290</v>
      </c>
      <c r="D26" s="11" t="s">
        <v>29</v>
      </c>
      <c r="E26" s="31"/>
      <c r="F26" s="31">
        <v>17633</v>
      </c>
      <c r="I26" s="112"/>
      <c r="J26" s="112"/>
    </row>
    <row r="27" spans="1:10" ht="12.75" customHeight="1" x14ac:dyDescent="0.4">
      <c r="A27" s="89">
        <v>45360</v>
      </c>
      <c r="B27" s="9" t="s">
        <v>11</v>
      </c>
      <c r="C27" s="76" t="s">
        <v>1209</v>
      </c>
      <c r="D27" s="11" t="s">
        <v>29</v>
      </c>
      <c r="E27" s="31"/>
      <c r="F27" s="31">
        <v>5500</v>
      </c>
      <c r="I27" s="112"/>
      <c r="J27" s="112"/>
    </row>
    <row r="28" spans="1:10" ht="12.75" customHeight="1" x14ac:dyDescent="0.4">
      <c r="A28" s="89">
        <v>45360</v>
      </c>
      <c r="B28" s="9" t="s">
        <v>11</v>
      </c>
      <c r="C28" s="76" t="s">
        <v>508</v>
      </c>
      <c r="D28" s="11" t="s">
        <v>29</v>
      </c>
      <c r="E28" s="31"/>
      <c r="F28" s="31">
        <v>4095</v>
      </c>
      <c r="I28" s="112"/>
      <c r="J28" s="112"/>
    </row>
    <row r="29" spans="1:10" ht="12.75" customHeight="1" x14ac:dyDescent="0.4">
      <c r="A29" s="89">
        <v>45360</v>
      </c>
      <c r="B29" s="9" t="s">
        <v>11</v>
      </c>
      <c r="C29" s="76" t="s">
        <v>2145</v>
      </c>
      <c r="D29" s="11" t="s">
        <v>29</v>
      </c>
      <c r="E29" s="31"/>
      <c r="F29" s="31">
        <v>6764</v>
      </c>
      <c r="I29" s="112"/>
      <c r="J29" s="112"/>
    </row>
    <row r="30" spans="1:10" ht="12.75" customHeight="1" x14ac:dyDescent="0.4">
      <c r="A30" s="89">
        <v>45360</v>
      </c>
      <c r="B30" s="9" t="s">
        <v>11</v>
      </c>
      <c r="C30" s="76" t="s">
        <v>440</v>
      </c>
      <c r="D30" s="11" t="s">
        <v>29</v>
      </c>
      <c r="E30" s="31"/>
      <c r="F30" s="31">
        <v>2301</v>
      </c>
      <c r="I30" s="112"/>
      <c r="J30" s="112"/>
    </row>
    <row r="31" spans="1:10" ht="12.75" customHeight="1" x14ac:dyDescent="0.4">
      <c r="A31" s="89">
        <v>45360</v>
      </c>
      <c r="B31" s="9" t="s">
        <v>11</v>
      </c>
      <c r="C31" s="76" t="s">
        <v>1196</v>
      </c>
      <c r="D31" s="11" t="s">
        <v>29</v>
      </c>
      <c r="E31" s="31"/>
      <c r="F31" s="31">
        <v>4200</v>
      </c>
      <c r="I31" s="112"/>
      <c r="J31" s="112"/>
    </row>
    <row r="32" spans="1:10" ht="12.75" customHeight="1" x14ac:dyDescent="0.2">
      <c r="A32" s="2"/>
      <c r="B32" s="2"/>
      <c r="C32" s="2"/>
      <c r="D32" s="11" t="s">
        <v>8</v>
      </c>
      <c r="E32" s="16">
        <f>SUM(E11:E12)</f>
        <v>954724.76999999862</v>
      </c>
      <c r="F32" s="16">
        <f>SUM(F12:F31)</f>
        <v>282344.66000000003</v>
      </c>
      <c r="I32" s="13" t="s">
        <v>1582</v>
      </c>
      <c r="J32" s="13" t="s">
        <v>1583</v>
      </c>
    </row>
    <row r="33" spans="1:12" x14ac:dyDescent="0.2">
      <c r="A33" s="17"/>
      <c r="B33" s="18"/>
      <c r="C33" s="19" t="s">
        <v>9</v>
      </c>
      <c r="D33" s="20"/>
      <c r="E33" s="21">
        <f>+E32-F32</f>
        <v>672380.10999999859</v>
      </c>
      <c r="I33" s="2">
        <v>0</v>
      </c>
      <c r="J33" s="2">
        <v>0</v>
      </c>
    </row>
    <row r="34" spans="1:12" ht="18" customHeight="1" x14ac:dyDescent="0.25">
      <c r="A34" s="36"/>
      <c r="B34" s="28"/>
      <c r="C34" s="44"/>
      <c r="D34" s="43"/>
      <c r="E34" s="38"/>
      <c r="F34" s="22"/>
      <c r="J34" s="2"/>
    </row>
    <row r="35" spans="1:12" ht="18" customHeight="1" x14ac:dyDescent="0.4">
      <c r="A35" s="213" t="s">
        <v>2104</v>
      </c>
      <c r="B35" s="213"/>
      <c r="C35" s="213"/>
      <c r="D35" s="213"/>
      <c r="E35" s="213"/>
      <c r="F35" s="213"/>
      <c r="I35" s="112"/>
      <c r="J35" s="169">
        <f>90000000-60000000</f>
        <v>30000000</v>
      </c>
      <c r="K35" s="169" t="s">
        <v>1508</v>
      </c>
    </row>
    <row r="36" spans="1:12" ht="12.75" customHeight="1" x14ac:dyDescent="0.4">
      <c r="A36" s="3" t="s">
        <v>1</v>
      </c>
      <c r="B36" s="4" t="s">
        <v>2</v>
      </c>
      <c r="C36" s="5"/>
      <c r="D36" s="6" t="s">
        <v>3</v>
      </c>
      <c r="E36" s="7" t="s">
        <v>4</v>
      </c>
      <c r="F36" s="7" t="s">
        <v>5</v>
      </c>
      <c r="I36" s="112"/>
      <c r="J36" s="169">
        <v>29398625.09</v>
      </c>
      <c r="K36" s="169" t="s">
        <v>1509</v>
      </c>
      <c r="L36" s="124"/>
    </row>
    <row r="37" spans="1:12" s="2" customFormat="1" ht="14.25" customHeight="1" x14ac:dyDescent="0.2">
      <c r="A37" s="89">
        <v>45360</v>
      </c>
      <c r="B37" s="9" t="s">
        <v>6</v>
      </c>
      <c r="C37" s="10" t="s">
        <v>7</v>
      </c>
      <c r="D37" s="11"/>
      <c r="F37" s="12">
        <v>26398625.09</v>
      </c>
      <c r="G37" s="1"/>
      <c r="H37" s="1"/>
      <c r="I37" s="130" t="s">
        <v>396</v>
      </c>
      <c r="J37" s="169">
        <f>+J35-J36</f>
        <v>601374.91000000015</v>
      </c>
      <c r="K37" s="169" t="s">
        <v>712</v>
      </c>
      <c r="L37" s="165" t="s">
        <v>1512</v>
      </c>
    </row>
    <row r="38" spans="1:12" s="2" customFormat="1" ht="14.25" customHeight="1" x14ac:dyDescent="0.2">
      <c r="A38" s="89">
        <v>45360</v>
      </c>
      <c r="B38" s="9" t="s">
        <v>11</v>
      </c>
      <c r="C38" s="76" t="s">
        <v>25</v>
      </c>
      <c r="D38" s="11" t="s">
        <v>29</v>
      </c>
      <c r="E38" s="31"/>
      <c r="F38" s="12">
        <v>900000</v>
      </c>
      <c r="G38" s="1"/>
      <c r="H38" s="1"/>
      <c r="I38" s="130"/>
      <c r="J38" s="169"/>
      <c r="K38" s="169"/>
      <c r="L38" s="165"/>
    </row>
    <row r="39" spans="1:12" s="2" customFormat="1" ht="14.25" customHeight="1" x14ac:dyDescent="0.2">
      <c r="A39" s="89">
        <v>45360</v>
      </c>
      <c r="B39" s="9" t="s">
        <v>11</v>
      </c>
      <c r="C39" s="76" t="s">
        <v>134</v>
      </c>
      <c r="D39" s="11" t="s">
        <v>29</v>
      </c>
      <c r="E39" s="31"/>
      <c r="F39" s="12">
        <v>2100000</v>
      </c>
      <c r="G39" s="1"/>
      <c r="H39" s="1"/>
      <c r="I39" s="130"/>
      <c r="J39" s="169"/>
      <c r="K39" s="169"/>
      <c r="L39" s="165"/>
    </row>
    <row r="40" spans="1:12" s="2" customFormat="1" ht="14.25" customHeight="1" x14ac:dyDescent="0.4">
      <c r="D40" s="11" t="s">
        <v>8</v>
      </c>
      <c r="E40" s="16">
        <f>SUM(E38:E38)</f>
        <v>0</v>
      </c>
      <c r="F40" s="16">
        <f>SUM(F37:F39)</f>
        <v>29398625.09</v>
      </c>
      <c r="G40" s="1"/>
      <c r="H40" s="1"/>
      <c r="J40" s="112"/>
      <c r="K40" s="153" t="s">
        <v>779</v>
      </c>
    </row>
    <row r="41" spans="1:12" s="2" customFormat="1" ht="14.25" customHeight="1" x14ac:dyDescent="0.2">
      <c r="A41" s="17"/>
      <c r="B41" s="18"/>
      <c r="C41" s="96" t="s">
        <v>9</v>
      </c>
      <c r="D41" s="20"/>
      <c r="E41" s="21">
        <f>+F40-E40</f>
        <v>29398625.09</v>
      </c>
      <c r="G41" s="1"/>
      <c r="H41" s="1"/>
      <c r="J41" s="40">
        <v>29398625.09</v>
      </c>
      <c r="K41" s="154">
        <f>J41-E41</f>
        <v>0</v>
      </c>
    </row>
    <row r="42" spans="1:12" s="2" customFormat="1" ht="14.25" customHeight="1" x14ac:dyDescent="0.2">
      <c r="A42" s="17"/>
      <c r="B42" s="28" t="s">
        <v>66</v>
      </c>
      <c r="C42" s="43" t="s">
        <v>1458</v>
      </c>
      <c r="D42" s="43"/>
      <c r="E42" s="12">
        <f>30000000+60000000</f>
        <v>90000000</v>
      </c>
      <c r="F42" s="22"/>
      <c r="G42" s="1"/>
      <c r="H42" s="1"/>
      <c r="I42" s="13" t="s">
        <v>1582</v>
      </c>
      <c r="J42" s="13" t="s">
        <v>1583</v>
      </c>
    </row>
    <row r="43" spans="1:12" s="2" customFormat="1" ht="14.25" customHeight="1" x14ac:dyDescent="0.25">
      <c r="A43" s="36"/>
      <c r="B43" s="28"/>
      <c r="C43" s="44" t="s">
        <v>1541</v>
      </c>
      <c r="D43" s="43"/>
      <c r="E43" s="7">
        <f>+E41+E42</f>
        <v>119398625.09</v>
      </c>
      <c r="F43" s="22"/>
      <c r="G43" s="1"/>
      <c r="H43" s="1"/>
      <c r="I43" s="2">
        <v>990370</v>
      </c>
      <c r="J43" s="2">
        <v>1915863</v>
      </c>
      <c r="K43" s="176">
        <f>I43-J43</f>
        <v>-925493</v>
      </c>
    </row>
    <row r="44" spans="1:12" s="2" customFormat="1" ht="14.25" customHeight="1" x14ac:dyDescent="0.25">
      <c r="A44" s="36"/>
      <c r="B44" s="28"/>
      <c r="C44" s="44" t="s">
        <v>1511</v>
      </c>
      <c r="D44" s="43"/>
      <c r="E44" s="38">
        <f>I33-J33+J37</f>
        <v>601374.91000000015</v>
      </c>
      <c r="F44" s="22"/>
      <c r="G44" s="1"/>
      <c r="H44" s="1"/>
      <c r="J44" s="130"/>
      <c r="K44" s="130"/>
    </row>
    <row r="45" spans="1:12" s="2" customFormat="1" x14ac:dyDescent="0.2">
      <c r="A45" s="24"/>
      <c r="B45" s="1"/>
      <c r="C45" s="14"/>
      <c r="D45" s="25"/>
      <c r="G45" s="1"/>
      <c r="H45" s="1"/>
      <c r="I45" s="159"/>
      <c r="J45" s="160">
        <f>100000000+175000000</f>
        <v>275000000</v>
      </c>
      <c r="K45" s="160" t="s">
        <v>1506</v>
      </c>
      <c r="L45" s="70"/>
    </row>
    <row r="46" spans="1:12" s="2" customFormat="1" ht="15" x14ac:dyDescent="0.35">
      <c r="A46" s="214" t="s">
        <v>10</v>
      </c>
      <c r="B46" s="214"/>
      <c r="C46" s="214"/>
      <c r="D46" s="214"/>
      <c r="E46" s="214"/>
      <c r="F46" s="214"/>
      <c r="G46" s="1"/>
      <c r="H46" s="1"/>
      <c r="I46" s="159"/>
      <c r="J46" s="179">
        <v>236621799.27000001</v>
      </c>
      <c r="K46" s="160" t="s">
        <v>1507</v>
      </c>
      <c r="L46" s="70" t="s">
        <v>1512</v>
      </c>
    </row>
    <row r="47" spans="1:12" s="2" customFormat="1" x14ac:dyDescent="0.2">
      <c r="A47" s="26" t="s">
        <v>1</v>
      </c>
      <c r="B47" s="27" t="s">
        <v>2</v>
      </c>
      <c r="C47" s="5"/>
      <c r="D47" s="6" t="s">
        <v>3</v>
      </c>
      <c r="E47" s="7" t="s">
        <v>4</v>
      </c>
      <c r="F47" s="7" t="s">
        <v>5</v>
      </c>
      <c r="G47" s="1"/>
      <c r="H47" s="1"/>
      <c r="I47" s="159" t="s">
        <v>1505</v>
      </c>
      <c r="J47" s="160">
        <f>+J45-J46</f>
        <v>38378200.729999989</v>
      </c>
      <c r="K47" s="160"/>
      <c r="L47" s="70"/>
    </row>
    <row r="48" spans="1:12" s="2" customFormat="1" x14ac:dyDescent="0.2">
      <c r="A48" s="89" t="s">
        <v>2197</v>
      </c>
      <c r="B48" s="128" t="s">
        <v>11</v>
      </c>
      <c r="C48" s="29" t="s">
        <v>7</v>
      </c>
      <c r="D48" s="25"/>
      <c r="E48" s="31"/>
      <c r="F48" s="13">
        <v>240294356.08999985</v>
      </c>
      <c r="G48" s="23"/>
      <c r="H48" s="23"/>
      <c r="I48" s="159"/>
      <c r="J48" s="160"/>
      <c r="K48" s="160"/>
      <c r="L48" s="70"/>
    </row>
    <row r="49" spans="1:16" s="2" customFormat="1" x14ac:dyDescent="0.2">
      <c r="A49" s="89" t="s">
        <v>2197</v>
      </c>
      <c r="B49" s="128" t="s">
        <v>6</v>
      </c>
      <c r="C49" s="181" t="s">
        <v>750</v>
      </c>
      <c r="D49" s="11" t="s">
        <v>13</v>
      </c>
      <c r="E49" s="86">
        <v>2762524</v>
      </c>
      <c r="G49" s="23"/>
      <c r="H49" s="23"/>
      <c r="I49" s="159"/>
      <c r="J49" s="160"/>
      <c r="K49" s="160"/>
      <c r="L49" s="70"/>
    </row>
    <row r="50" spans="1:16" s="2" customFormat="1" x14ac:dyDescent="0.2">
      <c r="A50" s="89" t="s">
        <v>2197</v>
      </c>
      <c r="B50" s="128" t="s">
        <v>6</v>
      </c>
      <c r="C50" s="181" t="s">
        <v>430</v>
      </c>
      <c r="D50" s="11" t="s">
        <v>13</v>
      </c>
      <c r="E50" s="86">
        <v>1369830</v>
      </c>
      <c r="G50" s="23"/>
      <c r="H50" s="23"/>
      <c r="I50" s="159"/>
      <c r="J50" s="160"/>
      <c r="K50" s="160"/>
      <c r="L50" s="70"/>
    </row>
    <row r="51" spans="1:16" s="2" customFormat="1" x14ac:dyDescent="0.2">
      <c r="A51" s="89" t="s">
        <v>2197</v>
      </c>
      <c r="B51" s="128" t="s">
        <v>6</v>
      </c>
      <c r="C51" s="181" t="s">
        <v>466</v>
      </c>
      <c r="D51" s="11" t="s">
        <v>13</v>
      </c>
      <c r="E51" s="86">
        <v>10395</v>
      </c>
      <c r="G51" s="23"/>
      <c r="H51" s="23"/>
      <c r="I51" s="159"/>
      <c r="J51" s="160"/>
      <c r="K51" s="160"/>
      <c r="L51" s="70"/>
    </row>
    <row r="52" spans="1:16" s="2" customFormat="1" x14ac:dyDescent="0.2">
      <c r="A52" s="89" t="s">
        <v>2197</v>
      </c>
      <c r="B52" s="128" t="s">
        <v>11</v>
      </c>
      <c r="C52" s="181" t="s">
        <v>64</v>
      </c>
      <c r="D52" s="11" t="s">
        <v>29</v>
      </c>
      <c r="E52" s="86"/>
      <c r="F52" s="2">
        <v>1.18</v>
      </c>
      <c r="G52" s="23"/>
      <c r="H52" s="23"/>
      <c r="I52" s="159"/>
      <c r="J52" s="160"/>
      <c r="K52" s="160"/>
      <c r="L52" s="70"/>
    </row>
    <row r="53" spans="1:16" s="2" customFormat="1" x14ac:dyDescent="0.2">
      <c r="A53" s="89" t="s">
        <v>2197</v>
      </c>
      <c r="B53" s="128" t="s">
        <v>11</v>
      </c>
      <c r="C53" s="181" t="s">
        <v>1472</v>
      </c>
      <c r="D53" s="11" t="s">
        <v>29</v>
      </c>
      <c r="E53" s="86"/>
      <c r="F53" s="2">
        <v>1395684</v>
      </c>
      <c r="G53" s="23"/>
      <c r="H53" s="23"/>
      <c r="I53" s="159"/>
      <c r="J53" s="160"/>
      <c r="K53" s="160"/>
      <c r="L53" s="70"/>
    </row>
    <row r="54" spans="1:16" s="70" customFormat="1" x14ac:dyDescent="0.2">
      <c r="A54" s="32"/>
      <c r="B54" s="33"/>
      <c r="C54" s="14"/>
      <c r="D54" s="34"/>
      <c r="E54" s="16">
        <f>SUM(E48:E53)</f>
        <v>4142749</v>
      </c>
      <c r="F54" s="16">
        <f>SUM(F48:F53)</f>
        <v>241690041.26999986</v>
      </c>
      <c r="G54" s="1"/>
      <c r="H54" s="1"/>
      <c r="I54" s="1"/>
      <c r="J54" s="38">
        <v>237547292.27000001</v>
      </c>
      <c r="K54" s="2"/>
      <c r="L54" s="92">
        <f>E55-J54</f>
        <v>0</v>
      </c>
      <c r="M54" s="2"/>
      <c r="N54" s="2"/>
      <c r="O54" s="2"/>
      <c r="P54" s="2"/>
    </row>
    <row r="55" spans="1:16" s="70" customFormat="1" x14ac:dyDescent="0.2">
      <c r="A55" s="36"/>
      <c r="B55" s="28" t="s">
        <v>11</v>
      </c>
      <c r="C55" s="19" t="s">
        <v>65</v>
      </c>
      <c r="D55" s="37"/>
      <c r="E55" s="38">
        <f>F54-E54</f>
        <v>237547292.26999986</v>
      </c>
      <c r="F55" s="22"/>
      <c r="G55" s="1"/>
      <c r="H55" s="1"/>
      <c r="I55" s="1"/>
      <c r="M55" s="2"/>
      <c r="N55" s="2"/>
      <c r="O55" s="1"/>
      <c r="P55" s="2"/>
    </row>
    <row r="56" spans="1:16" s="70" customFormat="1" x14ac:dyDescent="0.2">
      <c r="A56" s="36"/>
      <c r="B56" s="28" t="s">
        <v>66</v>
      </c>
      <c r="C56" s="19" t="s">
        <v>67</v>
      </c>
      <c r="D56" s="37"/>
      <c r="E56" s="38">
        <v>11500000</v>
      </c>
      <c r="F56" s="22"/>
      <c r="G56" s="1"/>
      <c r="H56" s="1"/>
      <c r="M56" s="2"/>
      <c r="N56" s="2"/>
      <c r="O56" s="1"/>
      <c r="P56" s="2"/>
    </row>
    <row r="57" spans="1:16" s="70" customFormat="1" x14ac:dyDescent="0.2">
      <c r="A57" s="36"/>
      <c r="B57" s="28" t="s">
        <v>66</v>
      </c>
      <c r="C57" s="43" t="s">
        <v>1457</v>
      </c>
      <c r="D57" s="43"/>
      <c r="E57" s="12">
        <f>400000000-175000000</f>
        <v>225000000</v>
      </c>
      <c r="F57" s="22"/>
      <c r="G57" s="1"/>
      <c r="H57" s="1"/>
      <c r="J57" s="45">
        <v>783.94</v>
      </c>
      <c r="K57" s="46"/>
      <c r="L57" s="46"/>
      <c r="M57" s="2"/>
      <c r="N57" s="2"/>
      <c r="O57" s="1"/>
      <c r="P57" s="2"/>
    </row>
    <row r="58" spans="1:16" s="70" customFormat="1" ht="15" x14ac:dyDescent="0.25">
      <c r="A58" s="36"/>
      <c r="B58" s="28"/>
      <c r="C58" s="44" t="s">
        <v>1541</v>
      </c>
      <c r="D58" s="43"/>
      <c r="E58" s="7">
        <f>+E57+E55+E56</f>
        <v>474047292.26999986</v>
      </c>
      <c r="F58" s="22"/>
      <c r="G58" s="1"/>
      <c r="H58" s="1"/>
      <c r="I58" s="103" t="s">
        <v>69</v>
      </c>
      <c r="J58" s="45">
        <v>-29.38</v>
      </c>
      <c r="K58" s="46"/>
      <c r="L58" s="46"/>
      <c r="M58" s="2"/>
      <c r="N58" s="2"/>
      <c r="O58" s="1"/>
      <c r="P58" s="2"/>
    </row>
    <row r="59" spans="1:16" s="70" customFormat="1" ht="15" x14ac:dyDescent="0.25">
      <c r="A59" s="24"/>
      <c r="B59" s="1"/>
      <c r="C59" s="44" t="s">
        <v>1510</v>
      </c>
      <c r="D59" s="25"/>
      <c r="E59" s="156">
        <f>+J47-E56+I43-J43</f>
        <v>25952707.729999989</v>
      </c>
      <c r="F59" s="2"/>
      <c r="G59" s="1"/>
      <c r="H59" s="1"/>
      <c r="I59" s="35">
        <v>1</v>
      </c>
      <c r="J59" s="45">
        <v>29.38</v>
      </c>
      <c r="K59" s="46">
        <f>+J60-D62</f>
        <v>0</v>
      </c>
      <c r="L59" s="2"/>
      <c r="M59" s="2"/>
      <c r="N59" s="2"/>
      <c r="O59" s="1"/>
      <c r="P59" s="2"/>
    </row>
    <row r="60" spans="1:16" s="70" customFormat="1" ht="12.75" customHeight="1" x14ac:dyDescent="0.2">
      <c r="A60" s="24"/>
      <c r="B60" s="1"/>
      <c r="C60" s="56"/>
      <c r="D60" s="56"/>
      <c r="E60" s="104"/>
      <c r="F60" s="2"/>
      <c r="G60" s="166"/>
      <c r="H60" s="166"/>
      <c r="J60" s="49">
        <f>SUM(J57:J59)</f>
        <v>783.94</v>
      </c>
      <c r="K60" s="46"/>
      <c r="L60" s="46"/>
      <c r="M60" s="124"/>
      <c r="N60" s="124"/>
      <c r="O60" s="1"/>
      <c r="P60" s="2"/>
    </row>
    <row r="61" spans="1:16" s="70" customFormat="1" ht="12.75" customHeight="1" x14ac:dyDescent="0.2">
      <c r="A61" s="24"/>
      <c r="B61" s="1"/>
      <c r="C61" s="78" t="s">
        <v>575</v>
      </c>
      <c r="D61" s="48" t="s">
        <v>576</v>
      </c>
      <c r="E61" s="104"/>
      <c r="F61" s="2"/>
      <c r="G61" s="168"/>
      <c r="H61" s="168"/>
      <c r="I61" s="167"/>
      <c r="J61" s="167"/>
      <c r="K61" s="168"/>
      <c r="L61" s="124"/>
      <c r="M61" s="124"/>
      <c r="N61" s="124"/>
      <c r="O61" s="124"/>
      <c r="P61" s="2"/>
    </row>
    <row r="62" spans="1:16" s="70" customFormat="1" ht="12.75" customHeight="1" x14ac:dyDescent="0.2">
      <c r="A62" s="24"/>
      <c r="B62" s="1"/>
      <c r="C62" s="47" t="s">
        <v>570</v>
      </c>
      <c r="D62" s="111">
        <v>783.94</v>
      </c>
      <c r="E62" s="104"/>
      <c r="F62" s="2"/>
      <c r="G62" s="168"/>
      <c r="H62" s="168"/>
      <c r="I62" s="110" t="s">
        <v>581</v>
      </c>
      <c r="J62" s="167"/>
      <c r="K62" s="168"/>
      <c r="L62" s="124"/>
      <c r="M62" s="124"/>
      <c r="N62" s="124"/>
      <c r="O62" s="124"/>
      <c r="P62" s="124"/>
    </row>
    <row r="63" spans="1:16" s="70" customFormat="1" ht="12.75" customHeight="1" x14ac:dyDescent="0.2">
      <c r="A63" s="24"/>
      <c r="B63" s="1"/>
      <c r="C63" s="47" t="s">
        <v>931</v>
      </c>
      <c r="D63" s="111">
        <v>34.950000000000003</v>
      </c>
      <c r="E63" s="104"/>
      <c r="F63" s="2"/>
      <c r="G63" s="168"/>
      <c r="H63" s="168"/>
      <c r="I63" s="110" t="s">
        <v>580</v>
      </c>
      <c r="J63" s="167"/>
      <c r="K63" s="168"/>
      <c r="L63" s="124"/>
      <c r="M63" s="124"/>
      <c r="N63" s="124"/>
      <c r="O63" s="124"/>
      <c r="P63" s="124"/>
    </row>
    <row r="64" spans="1:16" s="70" customFormat="1" ht="12.75" customHeight="1" x14ac:dyDescent="0.2">
      <c r="A64" s="24"/>
      <c r="B64" s="1"/>
      <c r="C64" s="47" t="s">
        <v>572</v>
      </c>
      <c r="D64" s="111">
        <f>+D85/100000</f>
        <v>102.41540999999999</v>
      </c>
      <c r="E64" s="104"/>
      <c r="F64" s="2"/>
      <c r="G64" s="166"/>
      <c r="H64" s="166"/>
      <c r="I64" s="90" t="s">
        <v>587</v>
      </c>
      <c r="J64" s="167"/>
      <c r="K64" s="168"/>
      <c r="L64" s="124"/>
      <c r="M64" s="124"/>
      <c r="N64" s="124"/>
      <c r="O64" s="124"/>
      <c r="P64" s="124"/>
    </row>
    <row r="65" spans="1:19" s="70" customFormat="1" ht="12.75" customHeight="1" x14ac:dyDescent="0.2">
      <c r="A65" s="24"/>
      <c r="B65" s="1"/>
      <c r="C65" s="108" t="s">
        <v>578</v>
      </c>
      <c r="D65" s="48">
        <f>SUM(D62:D64)</f>
        <v>921.30541000000005</v>
      </c>
      <c r="E65" s="104"/>
      <c r="F65" s="2"/>
      <c r="G65" s="30"/>
      <c r="H65" s="30"/>
      <c r="I65" s="2"/>
      <c r="J65" s="13"/>
      <c r="K65" s="13"/>
      <c r="L65" s="2"/>
      <c r="M65" s="2"/>
      <c r="N65" s="2"/>
      <c r="O65" s="124"/>
      <c r="P65" s="124"/>
    </row>
    <row r="66" spans="1:19" s="70" customFormat="1" ht="12.75" customHeight="1" x14ac:dyDescent="0.2">
      <c r="A66" s="24"/>
      <c r="B66" s="1"/>
      <c r="C66" s="47"/>
      <c r="D66" s="107"/>
      <c r="E66" s="104"/>
      <c r="F66" s="2"/>
      <c r="G66" s="30"/>
      <c r="H66" s="30"/>
      <c r="I66" s="2"/>
      <c r="O66" s="2"/>
      <c r="P66" s="124"/>
    </row>
    <row r="67" spans="1:19" s="70" customFormat="1" ht="12.75" customHeight="1" x14ac:dyDescent="0.2">
      <c r="A67" s="24"/>
      <c r="B67" s="1"/>
      <c r="C67" s="47" t="s">
        <v>932</v>
      </c>
      <c r="D67" s="111">
        <v>150.88999999999999</v>
      </c>
      <c r="E67" s="104"/>
      <c r="F67" s="2"/>
      <c r="G67" s="30"/>
      <c r="H67" s="30"/>
      <c r="I67" s="110" t="s">
        <v>581</v>
      </c>
      <c r="P67" s="2"/>
    </row>
    <row r="68" spans="1:19" s="70" customFormat="1" ht="12.75" customHeight="1" x14ac:dyDescent="0.2">
      <c r="A68" s="24"/>
      <c r="B68" s="1"/>
      <c r="C68" s="136" t="s">
        <v>1142</v>
      </c>
      <c r="D68" s="111">
        <v>342.86</v>
      </c>
      <c r="E68" s="104"/>
      <c r="F68" s="2"/>
      <c r="G68" s="30"/>
      <c r="H68" s="30"/>
      <c r="I68" s="110" t="s">
        <v>581</v>
      </c>
    </row>
    <row r="69" spans="1:19" s="70" customFormat="1" ht="12.75" customHeight="1" x14ac:dyDescent="0.2">
      <c r="A69" s="24"/>
      <c r="B69" s="1"/>
      <c r="C69" s="78" t="s">
        <v>579</v>
      </c>
      <c r="D69" s="109">
        <f>D67+D68</f>
        <v>493.75</v>
      </c>
      <c r="E69" s="104"/>
      <c r="F69" s="2"/>
      <c r="G69" s="30"/>
      <c r="H69" s="30"/>
      <c r="Q69" s="2"/>
      <c r="R69" s="2"/>
      <c r="S69" s="2"/>
    </row>
    <row r="70" spans="1:19" s="2" customFormat="1" x14ac:dyDescent="0.2">
      <c r="A70" s="24"/>
      <c r="B70" s="1"/>
      <c r="C70" s="105"/>
      <c r="D70" s="106"/>
      <c r="E70" s="104"/>
      <c r="G70" s="30"/>
      <c r="H70" s="30"/>
      <c r="I70" s="70"/>
      <c r="K70" s="221" t="str">
        <f>"FROM ( 01-03-2024 to "&amp;TEXT(A5,"dd-mm-yyyy")&amp;" )"</f>
        <v>FROM ( 01-03-2024 to 09-03-2024 )</v>
      </c>
      <c r="L70" s="221"/>
      <c r="O70" s="70"/>
      <c r="P70" s="70"/>
    </row>
    <row r="71" spans="1:19" s="2" customFormat="1" x14ac:dyDescent="0.2">
      <c r="A71" s="24"/>
      <c r="B71" s="1"/>
      <c r="C71" s="78" t="s">
        <v>577</v>
      </c>
      <c r="D71" s="109">
        <f>D62+D69</f>
        <v>1277.69</v>
      </c>
      <c r="E71" s="104"/>
      <c r="G71" s="30"/>
      <c r="H71" s="30"/>
      <c r="I71" s="70"/>
      <c r="J71" s="113"/>
      <c r="K71" s="113" t="s">
        <v>709</v>
      </c>
      <c r="L71" s="113" t="s">
        <v>710</v>
      </c>
      <c r="M71" s="113" t="s">
        <v>711</v>
      </c>
      <c r="N71" s="113" t="s">
        <v>712</v>
      </c>
      <c r="O71" s="70"/>
      <c r="P71" s="70"/>
    </row>
    <row r="72" spans="1:19" s="2" customFormat="1" x14ac:dyDescent="0.2">
      <c r="A72" s="24"/>
      <c r="B72" s="1"/>
      <c r="C72" s="56"/>
      <c r="D72" s="56"/>
      <c r="E72" s="104"/>
      <c r="G72" s="30"/>
      <c r="H72" s="30"/>
      <c r="I72" s="70"/>
      <c r="J72" s="113" t="s">
        <v>1860</v>
      </c>
      <c r="K72" s="115">
        <v>195.8</v>
      </c>
      <c r="L72" s="115">
        <v>0</v>
      </c>
      <c r="M72" s="115">
        <v>0</v>
      </c>
      <c r="N72" s="113">
        <f>+K72+M72-L72</f>
        <v>195.8</v>
      </c>
      <c r="O72" s="70"/>
      <c r="P72" s="70"/>
    </row>
    <row r="73" spans="1:19" s="2" customFormat="1" ht="38.25" x14ac:dyDescent="0.2">
      <c r="A73" s="24"/>
      <c r="B73" s="1"/>
      <c r="C73" s="79" t="str">
        <f>"Particulars ( 01-03-2024 to "&amp;TEXT(A5,"dd-mm-yyyy")&amp;" )"</f>
        <v>Particulars ( 01-03-2024 to 09-03-2024 )</v>
      </c>
      <c r="D73" s="79" t="s">
        <v>7</v>
      </c>
      <c r="E73" s="80" t="s">
        <v>73</v>
      </c>
      <c r="F73" s="80" t="s">
        <v>74</v>
      </c>
      <c r="G73" s="81" t="s">
        <v>75</v>
      </c>
      <c r="H73" s="80" t="s">
        <v>76</v>
      </c>
      <c r="I73" s="70"/>
      <c r="J73" s="113" t="s">
        <v>1861</v>
      </c>
      <c r="K73" s="115">
        <v>1882.6</v>
      </c>
      <c r="L73" s="115">
        <v>102.42</v>
      </c>
      <c r="M73" s="115">
        <v>342.86</v>
      </c>
      <c r="N73" s="113">
        <f>+K73+M73-L73</f>
        <v>2123.04</v>
      </c>
      <c r="O73" s="70"/>
      <c r="P73" s="70"/>
    </row>
    <row r="74" spans="1:19" s="2" customFormat="1" x14ac:dyDescent="0.2">
      <c r="A74" s="24"/>
      <c r="B74" s="1"/>
      <c r="C74" s="50" t="s">
        <v>444</v>
      </c>
      <c r="D74" s="55">
        <f>+K74</f>
        <v>477.01</v>
      </c>
      <c r="E74" s="55">
        <f>+IF(M74=0,0,M74)</f>
        <v>150.88999999999999</v>
      </c>
      <c r="F74" s="55">
        <f>+L74</f>
        <v>34.950000000000003</v>
      </c>
      <c r="G74" s="55">
        <f>+D74+E74-F74</f>
        <v>592.94999999999993</v>
      </c>
      <c r="H74" s="55">
        <f>1500-G74</f>
        <v>907.05000000000007</v>
      </c>
      <c r="I74" s="70">
        <f>+IF(M74=0,0,M74)</f>
        <v>150.88999999999999</v>
      </c>
      <c r="J74" s="113" t="s">
        <v>707</v>
      </c>
      <c r="K74" s="115">
        <v>477.01</v>
      </c>
      <c r="L74" s="115">
        <v>34.950000000000003</v>
      </c>
      <c r="M74" s="115">
        <v>150.88999999999999</v>
      </c>
      <c r="N74" s="113">
        <f>+K74+M74-L74</f>
        <v>592.94999999999993</v>
      </c>
      <c r="O74" s="70"/>
      <c r="P74" s="70"/>
    </row>
    <row r="75" spans="1:19" s="2" customFormat="1" x14ac:dyDescent="0.2">
      <c r="A75" s="24"/>
      <c r="B75" s="1"/>
      <c r="C75" s="50" t="s">
        <v>71</v>
      </c>
      <c r="D75" s="55">
        <f>+K72+K73</f>
        <v>2078.4</v>
      </c>
      <c r="E75" s="55">
        <f>+M72+M73</f>
        <v>342.86</v>
      </c>
      <c r="F75" s="55">
        <f>+L72+L73</f>
        <v>102.42</v>
      </c>
      <c r="G75" s="55">
        <f>+D75+E75-F75</f>
        <v>2318.84</v>
      </c>
      <c r="H75" s="55">
        <f>1500+700+200-G75</f>
        <v>81.159999999999854</v>
      </c>
      <c r="I75" s="70"/>
      <c r="K75" s="118">
        <f>SUM(K72:K74)</f>
        <v>2555.41</v>
      </c>
      <c r="L75" s="118">
        <f>SUM(L72:L74)</f>
        <v>137.37</v>
      </c>
      <c r="M75" s="118">
        <f>SUM(M72:M74)</f>
        <v>493.75</v>
      </c>
      <c r="N75" s="118">
        <f>SUM(N72:N74)</f>
        <v>2911.79</v>
      </c>
      <c r="O75" s="70"/>
      <c r="P75" s="70"/>
    </row>
    <row r="76" spans="1:19" s="2" customFormat="1" x14ac:dyDescent="0.2">
      <c r="A76" s="24"/>
      <c r="B76" s="1"/>
      <c r="C76" s="14"/>
      <c r="D76" s="56"/>
      <c r="E76" s="13"/>
      <c r="G76" s="30"/>
      <c r="H76" s="30"/>
      <c r="I76" s="70"/>
      <c r="J76" s="70"/>
      <c r="K76" s="70"/>
      <c r="L76" s="70"/>
      <c r="M76" s="70"/>
      <c r="N76" s="70"/>
      <c r="O76" s="70"/>
      <c r="P76" s="70"/>
    </row>
    <row r="77" spans="1:19" s="2" customFormat="1" x14ac:dyDescent="0.2">
      <c r="A77" s="215" t="s">
        <v>80</v>
      </c>
      <c r="B77" s="216"/>
      <c r="C77" s="216"/>
      <c r="D77" s="217"/>
      <c r="E77" s="69"/>
      <c r="F77" s="70"/>
      <c r="G77" s="30"/>
      <c r="H77" s="30"/>
      <c r="I77" s="70"/>
      <c r="J77" s="70"/>
      <c r="K77" s="70"/>
      <c r="L77" s="70"/>
      <c r="M77" s="70"/>
      <c r="N77" s="70"/>
      <c r="O77" s="70"/>
      <c r="P77" s="70"/>
    </row>
    <row r="78" spans="1:19" s="2" customFormat="1" x14ac:dyDescent="0.2">
      <c r="A78" s="71" t="s">
        <v>81</v>
      </c>
      <c r="B78" s="71"/>
      <c r="C78" s="72" t="s">
        <v>82</v>
      </c>
      <c r="D78" s="73" t="s">
        <v>83</v>
      </c>
      <c r="E78" s="69"/>
      <c r="F78" s="70"/>
      <c r="G78" s="30"/>
      <c r="H78" s="30"/>
      <c r="I78" s="70"/>
      <c r="J78" s="70"/>
      <c r="K78" s="70"/>
      <c r="L78" s="70"/>
      <c r="M78" s="70"/>
      <c r="N78" s="70"/>
      <c r="O78" s="70"/>
      <c r="P78" s="70"/>
    </row>
    <row r="79" spans="1:19" s="2" customFormat="1" x14ac:dyDescent="0.2">
      <c r="A79" s="87">
        <v>45352</v>
      </c>
      <c r="B79" s="120" t="s">
        <v>6</v>
      </c>
      <c r="C79" s="75" t="s">
        <v>2165</v>
      </c>
      <c r="D79" s="88">
        <v>2143144</v>
      </c>
      <c r="G79" s="30"/>
      <c r="H79" s="30"/>
      <c r="P79" s="70"/>
    </row>
    <row r="80" spans="1:19" s="2" customFormat="1" x14ac:dyDescent="0.2">
      <c r="A80" s="87">
        <v>45352</v>
      </c>
      <c r="B80" s="120" t="s">
        <v>6</v>
      </c>
      <c r="C80" s="75" t="s">
        <v>2171</v>
      </c>
      <c r="D80" s="88">
        <v>1493463</v>
      </c>
      <c r="G80" s="30"/>
      <c r="H80" s="30"/>
      <c r="P80" s="70"/>
    </row>
    <row r="81" spans="1:16" s="2" customFormat="1" x14ac:dyDescent="0.2">
      <c r="A81" s="87">
        <v>45356</v>
      </c>
      <c r="B81" s="120" t="s">
        <v>6</v>
      </c>
      <c r="C81" s="75" t="s">
        <v>1988</v>
      </c>
      <c r="D81" s="88">
        <v>3111466</v>
      </c>
      <c r="G81" s="30"/>
      <c r="H81" s="30"/>
      <c r="P81" s="70"/>
    </row>
    <row r="82" spans="1:16" s="2" customFormat="1" x14ac:dyDescent="0.2">
      <c r="A82" s="87">
        <v>45357</v>
      </c>
      <c r="B82" s="120" t="s">
        <v>6</v>
      </c>
      <c r="C82" s="75" t="s">
        <v>2171</v>
      </c>
      <c r="D82" s="88">
        <v>1393433</v>
      </c>
      <c r="G82" s="30"/>
      <c r="H82" s="30"/>
      <c r="P82" s="70"/>
    </row>
    <row r="83" spans="1:16" s="2" customFormat="1" x14ac:dyDescent="0.2">
      <c r="A83" s="87">
        <v>45356</v>
      </c>
      <c r="B83" s="120" t="s">
        <v>6</v>
      </c>
      <c r="C83" s="75" t="s">
        <v>2171</v>
      </c>
      <c r="D83" s="88">
        <v>1369091</v>
      </c>
      <c r="G83" s="30"/>
      <c r="H83" s="30"/>
      <c r="P83" s="70"/>
    </row>
    <row r="84" spans="1:16" s="2" customFormat="1" x14ac:dyDescent="0.2">
      <c r="A84" s="87">
        <v>45359</v>
      </c>
      <c r="B84" s="120" t="s">
        <v>6</v>
      </c>
      <c r="C84" s="75" t="s">
        <v>2171</v>
      </c>
      <c r="D84" s="88">
        <v>730944</v>
      </c>
      <c r="G84" s="30"/>
      <c r="H84" s="30"/>
      <c r="P84" s="70"/>
    </row>
    <row r="85" spans="1:16" s="2" customFormat="1" x14ac:dyDescent="0.2">
      <c r="A85" s="87"/>
      <c r="B85" s="74"/>
      <c r="C85" s="183" t="s">
        <v>2141</v>
      </c>
      <c r="D85" s="51">
        <f>SUM(D79:D84)</f>
        <v>10241541</v>
      </c>
      <c r="F85" s="2" t="s">
        <v>396</v>
      </c>
      <c r="G85" s="1"/>
      <c r="H85" s="1"/>
      <c r="P85" s="70"/>
    </row>
    <row r="86" spans="1:16" s="2" customFormat="1" x14ac:dyDescent="0.2">
      <c r="A86" s="24"/>
      <c r="B86" s="1"/>
      <c r="C86" s="14"/>
      <c r="D86" s="56"/>
      <c r="E86" s="13"/>
      <c r="G86" s="1"/>
      <c r="H86" s="1"/>
      <c r="I86" s="2" t="s">
        <v>396</v>
      </c>
    </row>
    <row r="87" spans="1:16" s="2" customFormat="1" x14ac:dyDescent="0.2">
      <c r="A87" s="24"/>
      <c r="B87" s="1"/>
      <c r="C87" s="218" t="s">
        <v>77</v>
      </c>
      <c r="D87" s="219"/>
      <c r="E87" s="219"/>
      <c r="F87" s="220"/>
      <c r="I87" s="2" t="s">
        <v>396</v>
      </c>
    </row>
    <row r="88" spans="1:16" s="2" customFormat="1" x14ac:dyDescent="0.2">
      <c r="A88" s="24"/>
      <c r="B88" s="1"/>
      <c r="C88" s="50"/>
      <c r="D88" s="57" t="s">
        <v>78</v>
      </c>
      <c r="E88" s="58" t="s">
        <v>79</v>
      </c>
      <c r="F88" s="57" t="s">
        <v>72</v>
      </c>
    </row>
    <row r="89" spans="1:16" s="2" customFormat="1" x14ac:dyDescent="0.2">
      <c r="A89" s="24"/>
      <c r="B89" s="1"/>
      <c r="C89" s="59" t="str">
        <f>"01-03-2024 to "&amp;TEXT(A5-2,"dd-mm-yyyy")</f>
        <v>01-03-2024 to 07-03-2024</v>
      </c>
      <c r="D89" s="60">
        <v>1034.3399999999999</v>
      </c>
      <c r="E89" s="60">
        <v>164.39</v>
      </c>
      <c r="F89" s="61">
        <f>SUM(D89:E89)</f>
        <v>1198.73</v>
      </c>
      <c r="I89" s="53"/>
    </row>
    <row r="90" spans="1:16" s="2" customFormat="1" x14ac:dyDescent="0.2">
      <c r="A90" s="24"/>
      <c r="B90" s="1"/>
      <c r="C90" s="62" t="str">
        <f>TEXT(A5-1,"dd-mm-yyyy")</f>
        <v>08-03-2024</v>
      </c>
      <c r="D90" s="60">
        <v>214.03</v>
      </c>
      <c r="E90" s="60">
        <v>47.77</v>
      </c>
      <c r="F90" s="61">
        <f>SUM(D90:E90)</f>
        <v>261.8</v>
      </c>
      <c r="G90" s="1"/>
      <c r="H90" s="1"/>
      <c r="I90" s="53"/>
    </row>
    <row r="91" spans="1:16" s="2" customFormat="1" ht="13.5" thickBot="1" x14ac:dyDescent="0.25">
      <c r="A91" s="24"/>
      <c r="B91" s="1"/>
      <c r="C91" s="63" t="str">
        <f>"01-03-2024 to "&amp;TEXT(A5-1,"dd-mm-yyyy")</f>
        <v>01-03-2024 to 08-03-2024</v>
      </c>
      <c r="D91" s="64">
        <f>SUM(D89:D90)</f>
        <v>1248.3699999999999</v>
      </c>
      <c r="E91" s="64">
        <f>SUM(E89:E90)</f>
        <v>212.16</v>
      </c>
      <c r="F91" s="64">
        <f>SUM(F89:F90)</f>
        <v>1460.53</v>
      </c>
      <c r="G91" s="1"/>
      <c r="H91" s="1"/>
      <c r="M91" s="1"/>
      <c r="N91" s="1"/>
    </row>
    <row r="92" spans="1:16" s="2" customFormat="1" ht="13.5" thickTop="1" x14ac:dyDescent="0.2">
      <c r="A92" s="24"/>
      <c r="B92" s="1"/>
      <c r="C92" s="62"/>
      <c r="D92" s="65"/>
      <c r="E92" s="66"/>
      <c r="F92" s="67"/>
      <c r="M92" s="1"/>
      <c r="N92" s="1"/>
    </row>
    <row r="93" spans="1:16" s="2" customFormat="1" x14ac:dyDescent="0.2">
      <c r="A93" s="24"/>
      <c r="B93" s="1"/>
      <c r="C93" s="62" t="str">
        <f>"01-04-2023 to " &amp;C90</f>
        <v>01-04-2023 to 08-03-2024</v>
      </c>
      <c r="D93" s="68">
        <f>+D91+41133.88</f>
        <v>42382.25</v>
      </c>
      <c r="E93" s="68">
        <f>+E91+5181.05</f>
        <v>5393.21</v>
      </c>
      <c r="F93" s="68">
        <f>+F91+46314.16</f>
        <v>47774.69</v>
      </c>
      <c r="G93" s="1"/>
      <c r="H93" s="1"/>
      <c r="M93" s="1"/>
      <c r="N93" s="1"/>
    </row>
    <row r="94" spans="1:16" s="2" customFormat="1" x14ac:dyDescent="0.2">
      <c r="A94" s="24"/>
      <c r="B94" s="1"/>
      <c r="C94" s="52"/>
      <c r="D94" s="85"/>
      <c r="E94" s="53"/>
      <c r="F94" s="53"/>
      <c r="G94" s="1"/>
      <c r="H94" s="1"/>
      <c r="M94" s="1"/>
      <c r="N94" s="1"/>
    </row>
    <row r="95" spans="1:16" s="2" customFormat="1" x14ac:dyDescent="0.2">
      <c r="A95" s="24"/>
      <c r="B95" s="1"/>
      <c r="C95" s="52"/>
      <c r="D95" s="85"/>
      <c r="E95" s="53"/>
      <c r="F95" s="53"/>
      <c r="G95" s="1"/>
      <c r="H95" s="1"/>
      <c r="M95" s="1"/>
      <c r="N95" s="1"/>
    </row>
    <row r="96" spans="1:16" s="2" customFormat="1" x14ac:dyDescent="0.2">
      <c r="A96" s="24"/>
      <c r="B96" s="1"/>
      <c r="C96" s="52"/>
      <c r="D96" s="85"/>
      <c r="E96" s="53"/>
      <c r="F96" s="53"/>
      <c r="G96" s="1"/>
      <c r="H96" s="1"/>
      <c r="M96" s="1"/>
      <c r="N96" s="1"/>
    </row>
    <row r="97" spans="1:19" s="2" customFormat="1" x14ac:dyDescent="0.2">
      <c r="A97" s="24"/>
      <c r="B97" s="1"/>
      <c r="C97" s="52"/>
      <c r="D97" s="85"/>
      <c r="E97" s="53"/>
      <c r="F97" s="53"/>
      <c r="G97" s="1"/>
      <c r="H97" s="1"/>
      <c r="M97" s="1"/>
      <c r="N97" s="1"/>
    </row>
    <row r="98" spans="1:19" s="2" customFormat="1" x14ac:dyDescent="0.2">
      <c r="A98" s="24"/>
      <c r="B98" s="1"/>
      <c r="C98" s="14"/>
      <c r="D98" s="25">
        <f>SUM(D95:D97)</f>
        <v>0</v>
      </c>
      <c r="E98" s="2">
        <f>SUM(E95:E97)</f>
        <v>0</v>
      </c>
      <c r="G98" s="1"/>
      <c r="H98" s="1"/>
      <c r="M98" s="1"/>
      <c r="N98" s="1"/>
    </row>
    <row r="99" spans="1:19" s="2" customFormat="1" x14ac:dyDescent="0.2">
      <c r="A99" s="24"/>
      <c r="B99" s="1"/>
      <c r="C99" s="14"/>
      <c r="D99" s="25"/>
      <c r="G99" s="1"/>
      <c r="H99" s="1"/>
      <c r="M99" s="1"/>
      <c r="N99" s="1"/>
    </row>
    <row r="100" spans="1:19" s="2" customFormat="1" x14ac:dyDescent="0.2">
      <c r="A100" s="24"/>
      <c r="B100" s="1"/>
      <c r="C100" s="14"/>
      <c r="D100" s="25"/>
      <c r="G100" s="1"/>
      <c r="H100" s="1"/>
      <c r="M100" s="1"/>
      <c r="N100" s="1"/>
    </row>
    <row r="101" spans="1:19" s="2" customFormat="1" x14ac:dyDescent="0.2">
      <c r="A101" s="24"/>
      <c r="B101" s="1"/>
      <c r="C101" s="14"/>
      <c r="D101" s="25"/>
      <c r="G101" s="1"/>
      <c r="H101" s="1"/>
      <c r="M101" s="1"/>
      <c r="N101" s="1"/>
    </row>
    <row r="102" spans="1:19" s="2" customFormat="1" x14ac:dyDescent="0.2">
      <c r="A102" s="24"/>
      <c r="B102" s="1"/>
      <c r="C102" s="14"/>
      <c r="D102" s="25"/>
      <c r="G102" s="1"/>
      <c r="H102" s="1"/>
      <c r="M102" s="1"/>
      <c r="N102" s="1"/>
    </row>
    <row r="103" spans="1:19" s="2" customFormat="1" x14ac:dyDescent="0.2">
      <c r="A103" s="24"/>
      <c r="B103" s="1"/>
      <c r="C103" s="14"/>
      <c r="D103" s="25"/>
      <c r="G103" s="1"/>
      <c r="H103" s="1"/>
      <c r="M103" s="1"/>
      <c r="N103" s="1"/>
    </row>
    <row r="104" spans="1:19" s="2" customFormat="1" x14ac:dyDescent="0.2">
      <c r="A104" s="24"/>
      <c r="B104" s="1"/>
      <c r="C104" s="14"/>
      <c r="D104" s="25"/>
      <c r="G104" s="1"/>
      <c r="H104" s="1"/>
      <c r="M104" s="1"/>
      <c r="N104" s="1"/>
    </row>
    <row r="105" spans="1:19" s="2" customFormat="1" x14ac:dyDescent="0.2">
      <c r="A105" s="24"/>
      <c r="B105" s="1"/>
      <c r="C105" s="14"/>
      <c r="D105" s="25"/>
      <c r="G105" s="1"/>
      <c r="H105" s="1"/>
      <c r="M105" s="1"/>
      <c r="N105" s="1"/>
      <c r="Q105" s="1"/>
      <c r="R105" s="1"/>
      <c r="S105" s="1"/>
    </row>
    <row r="106" spans="1:19" x14ac:dyDescent="0.2">
      <c r="J106" s="2"/>
      <c r="K106" s="2"/>
      <c r="L106" s="2"/>
      <c r="O106" s="2"/>
      <c r="P106" s="2"/>
      <c r="Q106" s="2"/>
      <c r="R106" s="2"/>
      <c r="S106" s="2"/>
    </row>
    <row r="107" spans="1:19" s="2" customFormat="1" x14ac:dyDescent="0.2">
      <c r="A107" s="24"/>
      <c r="B107" s="1"/>
      <c r="C107" s="14"/>
      <c r="D107" s="25"/>
      <c r="G107" s="1"/>
      <c r="H107" s="1"/>
      <c r="M107" s="1"/>
      <c r="N107" s="1"/>
      <c r="Q107" s="1"/>
      <c r="R107" s="1"/>
      <c r="S107" s="1"/>
    </row>
    <row r="108" spans="1:19" x14ac:dyDescent="0.2">
      <c r="J108" s="2"/>
      <c r="K108" s="2"/>
      <c r="L108" s="2"/>
      <c r="O108" s="2"/>
      <c r="P108" s="2"/>
    </row>
    <row r="109" spans="1:19" x14ac:dyDescent="0.2">
      <c r="J109" s="2"/>
      <c r="K109" s="2"/>
      <c r="L109" s="2"/>
      <c r="O109" s="2"/>
      <c r="P109" s="2"/>
    </row>
    <row r="110" spans="1:19" x14ac:dyDescent="0.2">
      <c r="J110" s="2"/>
      <c r="K110" s="2"/>
      <c r="L110" s="2"/>
      <c r="O110" s="2"/>
      <c r="P110" s="2"/>
    </row>
    <row r="111" spans="1:19" x14ac:dyDescent="0.2">
      <c r="J111" s="2"/>
      <c r="K111" s="2"/>
      <c r="L111" s="2"/>
      <c r="O111" s="2"/>
      <c r="P111" s="2"/>
    </row>
    <row r="112" spans="1:19" x14ac:dyDescent="0.2">
      <c r="O112" s="2"/>
      <c r="P112" s="2"/>
    </row>
    <row r="113" spans="7:16" x14ac:dyDescent="0.2">
      <c r="J113" s="2"/>
      <c r="K113" s="2"/>
      <c r="L113" s="2"/>
      <c r="M113" s="2"/>
      <c r="N113" s="2"/>
      <c r="O113" s="2"/>
      <c r="P113" s="2"/>
    </row>
    <row r="114" spans="7:16" x14ac:dyDescent="0.2">
      <c r="O114" s="2"/>
      <c r="P114" s="2"/>
    </row>
    <row r="115" spans="7:16" x14ac:dyDescent="0.2">
      <c r="G115" s="54"/>
      <c r="H115" s="54"/>
      <c r="O115" s="2"/>
      <c r="P115" s="2"/>
    </row>
    <row r="116" spans="7:16" x14ac:dyDescent="0.2">
      <c r="G116" s="54"/>
      <c r="H116" s="54"/>
      <c r="O116" s="2"/>
      <c r="P116" s="2"/>
    </row>
    <row r="117" spans="7:16" x14ac:dyDescent="0.2">
      <c r="G117" s="54"/>
      <c r="H117" s="54"/>
      <c r="O117" s="2"/>
      <c r="P117" s="2"/>
    </row>
    <row r="118" spans="7:16" x14ac:dyDescent="0.2">
      <c r="G118" s="54"/>
      <c r="H118" s="54"/>
      <c r="I118" s="2" t="s">
        <v>396</v>
      </c>
      <c r="O118" s="2"/>
      <c r="P118" s="2"/>
    </row>
    <row r="119" spans="7:16" x14ac:dyDescent="0.2">
      <c r="G119" s="54"/>
      <c r="H119" s="54"/>
      <c r="I119" s="53"/>
      <c r="J119" s="2"/>
      <c r="K119" s="2"/>
      <c r="L119" s="2"/>
      <c r="M119" s="2"/>
      <c r="N119" s="2"/>
      <c r="P119" s="2"/>
    </row>
    <row r="120" spans="7:16" x14ac:dyDescent="0.2">
      <c r="G120" s="54"/>
      <c r="H120" s="54"/>
      <c r="I120" s="53" t="s">
        <v>396</v>
      </c>
      <c r="O120" s="2"/>
      <c r="P120" s="2"/>
    </row>
    <row r="121" spans="7:16" x14ac:dyDescent="0.2">
      <c r="G121" s="54"/>
      <c r="H121" s="54"/>
      <c r="I121" s="53" t="s">
        <v>396</v>
      </c>
      <c r="K121" s="42"/>
      <c r="P121" s="2"/>
    </row>
    <row r="122" spans="7:16" x14ac:dyDescent="0.2">
      <c r="G122" s="54"/>
      <c r="H122" s="54"/>
      <c r="I122" s="53"/>
      <c r="J122" s="101"/>
      <c r="P122" s="2"/>
    </row>
    <row r="123" spans="7:16" x14ac:dyDescent="0.2">
      <c r="G123" s="54"/>
      <c r="H123" s="54"/>
      <c r="I123" s="53"/>
    </row>
    <row r="124" spans="7:16" x14ac:dyDescent="0.2">
      <c r="G124" s="54"/>
      <c r="H124" s="54"/>
      <c r="I124" s="53"/>
      <c r="P124" s="2"/>
    </row>
    <row r="125" spans="7:16" x14ac:dyDescent="0.2">
      <c r="G125" s="54"/>
      <c r="H125" s="54"/>
      <c r="I125" s="53"/>
    </row>
  </sheetData>
  <sheetProtection insertRows="0"/>
  <mergeCells count="8">
    <mergeCell ref="K70:L70"/>
    <mergeCell ref="A77:D77"/>
    <mergeCell ref="C87:F87"/>
    <mergeCell ref="A1:H1"/>
    <mergeCell ref="A3:F3"/>
    <mergeCell ref="A9:F9"/>
    <mergeCell ref="A35:F35"/>
    <mergeCell ref="A46:F46"/>
  </mergeCells>
  <conditionalFormatting sqref="H74:H75">
    <cfRule type="cellIs" dxfId="33" priority="1" operator="lessThan">
      <formula>0</formula>
    </cfRule>
  </conditionalFormatting>
  <conditionalFormatting sqref="C48">
    <cfRule type="duplicateValues" dxfId="32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1-000000000000}">
  <sheetPr codeName="Sheet570">
    <pageSetUpPr fitToPage="1"/>
  </sheetPr>
  <dimension ref="A1:S154"/>
  <sheetViews>
    <sheetView topLeftCell="A65" zoomScaleNormal="100" workbookViewId="0">
      <selection activeCell="E86" sqref="E86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6" width="15.5703125" style="2" bestFit="1" customWidth="1"/>
    <col min="7" max="7" width="12.85546875" style="1" bestFit="1" customWidth="1"/>
    <col min="8" max="8" width="12.85546875" style="1" customWidth="1"/>
    <col min="9" max="9" width="24.85546875" style="2" bestFit="1" customWidth="1"/>
    <col min="10" max="10" width="21.5703125" style="1" bestFit="1" customWidth="1"/>
    <col min="11" max="11" width="16.85546875" style="1" bestFit="1" customWidth="1"/>
    <col min="12" max="12" width="19.5703125" style="1" bestFit="1" customWidth="1"/>
    <col min="13" max="13" width="13.5703125" style="1" bestFit="1" customWidth="1"/>
    <col min="14" max="14" width="17.42578125" style="1" bestFit="1" customWidth="1"/>
    <col min="15" max="15" width="12.85546875" style="1" bestFit="1" customWidth="1"/>
    <col min="16" max="17" width="9.140625" style="1"/>
    <col min="18" max="18" width="15.5703125" style="1" bestFit="1" customWidth="1"/>
    <col min="19" max="16384" width="9.140625" style="1"/>
  </cols>
  <sheetData>
    <row r="1" spans="1:11" ht="20.25" customHeight="1" x14ac:dyDescent="0.4">
      <c r="A1" s="212" t="s">
        <v>2198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1" ht="12.75" customHeight="1" x14ac:dyDescent="0.4">
      <c r="I2" s="112"/>
      <c r="J2" s="112"/>
    </row>
    <row r="3" spans="1:11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1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1" s="2" customFormat="1" ht="14.25" customHeight="1" x14ac:dyDescent="0.4">
      <c r="A5" s="89">
        <v>45362</v>
      </c>
      <c r="B5" s="9" t="s">
        <v>6</v>
      </c>
      <c r="C5" s="10" t="s">
        <v>7</v>
      </c>
      <c r="D5" s="11"/>
      <c r="E5" s="12">
        <v>678762.84000000078</v>
      </c>
      <c r="F5" s="12"/>
      <c r="G5" s="1"/>
      <c r="H5" s="1"/>
      <c r="I5" s="112"/>
      <c r="J5" s="112"/>
    </row>
    <row r="6" spans="1:11" s="2" customFormat="1" ht="12.75" customHeight="1" x14ac:dyDescent="0.2">
      <c r="D6" s="15" t="s">
        <v>8</v>
      </c>
      <c r="E6" s="16">
        <f>SUM(E5:E5)</f>
        <v>678762.84000000078</v>
      </c>
      <c r="F6" s="16">
        <f>F5</f>
        <v>0</v>
      </c>
      <c r="G6" s="1"/>
      <c r="H6" s="1"/>
      <c r="I6" s="13" t="s">
        <v>1582</v>
      </c>
      <c r="J6" s="13" t="s">
        <v>1583</v>
      </c>
    </row>
    <row r="7" spans="1:11" s="2" customFormat="1" ht="12.75" customHeight="1" x14ac:dyDescent="0.2">
      <c r="A7" s="17"/>
      <c r="B7" s="18"/>
      <c r="C7" s="19" t="s">
        <v>9</v>
      </c>
      <c r="D7" s="20"/>
      <c r="E7" s="21">
        <f>+E6-F6</f>
        <v>678762.84000000078</v>
      </c>
      <c r="F7" s="22"/>
      <c r="G7" s="23"/>
      <c r="H7" s="23"/>
      <c r="I7" s="2">
        <v>2968457</v>
      </c>
      <c r="J7" s="2">
        <v>154698</v>
      </c>
      <c r="K7" s="176">
        <f>I7-J7</f>
        <v>2813759</v>
      </c>
    </row>
    <row r="8" spans="1:11" ht="11.25" customHeight="1" x14ac:dyDescent="0.4">
      <c r="I8" s="112"/>
      <c r="J8" s="112"/>
    </row>
    <row r="9" spans="1:11" ht="18" customHeight="1" x14ac:dyDescent="0.4">
      <c r="A9" s="213" t="s">
        <v>2103</v>
      </c>
      <c r="B9" s="213"/>
      <c r="C9" s="213"/>
      <c r="D9" s="213"/>
      <c r="E9" s="213"/>
      <c r="F9" s="213"/>
      <c r="I9" s="112"/>
      <c r="J9" s="112"/>
    </row>
    <row r="10" spans="1:11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I10" s="112"/>
      <c r="J10" s="112"/>
    </row>
    <row r="11" spans="1:11" ht="12.75" customHeight="1" x14ac:dyDescent="0.4">
      <c r="A11" s="89">
        <v>45362</v>
      </c>
      <c r="B11" s="9" t="s">
        <v>6</v>
      </c>
      <c r="C11" s="10" t="s">
        <v>7</v>
      </c>
      <c r="D11" s="11"/>
      <c r="E11" s="12">
        <v>672380.10999999859</v>
      </c>
      <c r="F11" s="1"/>
      <c r="I11" s="112"/>
      <c r="J11" s="112"/>
    </row>
    <row r="12" spans="1:11" ht="12.75" customHeight="1" x14ac:dyDescent="0.4">
      <c r="A12" s="89">
        <v>45362</v>
      </c>
      <c r="B12" s="9" t="s">
        <v>6</v>
      </c>
      <c r="C12" s="76" t="s">
        <v>375</v>
      </c>
      <c r="D12" s="11" t="s">
        <v>13</v>
      </c>
      <c r="E12" s="31">
        <v>16784</v>
      </c>
      <c r="F12" s="31"/>
      <c r="I12" s="112"/>
      <c r="J12" s="112"/>
    </row>
    <row r="13" spans="1:11" ht="12.75" customHeight="1" x14ac:dyDescent="0.4">
      <c r="A13" s="89">
        <v>45362</v>
      </c>
      <c r="B13" s="9" t="s">
        <v>6</v>
      </c>
      <c r="C13" s="76" t="s">
        <v>220</v>
      </c>
      <c r="D13" s="11" t="s">
        <v>13</v>
      </c>
      <c r="E13" s="31">
        <v>1071016</v>
      </c>
      <c r="F13" s="31"/>
      <c r="I13" s="112"/>
      <c r="J13" s="112"/>
    </row>
    <row r="14" spans="1:11" ht="12.75" customHeight="1" x14ac:dyDescent="0.4">
      <c r="A14" s="89">
        <v>45362</v>
      </c>
      <c r="B14" s="9" t="s">
        <v>6</v>
      </c>
      <c r="C14" s="76" t="s">
        <v>93</v>
      </c>
      <c r="D14" s="11" t="s">
        <v>13</v>
      </c>
      <c r="E14" s="31">
        <v>1415297</v>
      </c>
      <c r="F14" s="31"/>
      <c r="I14" s="112"/>
      <c r="J14" s="112"/>
    </row>
    <row r="15" spans="1:11" ht="12.75" customHeight="1" x14ac:dyDescent="0.4">
      <c r="A15" s="89">
        <v>45362</v>
      </c>
      <c r="B15" s="9" t="s">
        <v>11</v>
      </c>
      <c r="C15" s="76" t="s">
        <v>1919</v>
      </c>
      <c r="D15" s="11" t="s">
        <v>29</v>
      </c>
      <c r="E15" s="31"/>
      <c r="F15" s="31">
        <v>154698</v>
      </c>
      <c r="I15" s="112"/>
      <c r="J15" s="112"/>
    </row>
    <row r="16" spans="1:11" ht="12.75" customHeight="1" x14ac:dyDescent="0.2">
      <c r="A16" s="2"/>
      <c r="B16" s="2"/>
      <c r="C16" s="2"/>
      <c r="D16" s="11" t="s">
        <v>8</v>
      </c>
      <c r="E16" s="16">
        <f>SUM(E11:E14)</f>
        <v>3175477.1099999985</v>
      </c>
      <c r="F16" s="16">
        <f>SUM(F12:F15)</f>
        <v>154698</v>
      </c>
      <c r="I16" s="13" t="s">
        <v>1582</v>
      </c>
      <c r="J16" s="13" t="s">
        <v>1583</v>
      </c>
    </row>
    <row r="17" spans="1:12" x14ac:dyDescent="0.2">
      <c r="A17" s="17"/>
      <c r="B17" s="18"/>
      <c r="C17" s="19" t="s">
        <v>9</v>
      </c>
      <c r="D17" s="20"/>
      <c r="E17" s="21">
        <f>+E16-F16</f>
        <v>3020779.1099999985</v>
      </c>
      <c r="I17" s="2">
        <v>756532</v>
      </c>
      <c r="J17" s="2">
        <v>234086</v>
      </c>
    </row>
    <row r="18" spans="1:12" ht="18" customHeight="1" x14ac:dyDescent="0.25">
      <c r="A18" s="36"/>
      <c r="B18" s="28"/>
      <c r="C18" s="44"/>
      <c r="D18" s="43"/>
      <c r="E18" s="38"/>
      <c r="F18" s="22"/>
      <c r="J18" s="2"/>
    </row>
    <row r="19" spans="1:12" ht="18" customHeight="1" x14ac:dyDescent="0.4">
      <c r="A19" s="213" t="s">
        <v>2104</v>
      </c>
      <c r="B19" s="213"/>
      <c r="C19" s="213"/>
      <c r="D19" s="213"/>
      <c r="E19" s="213"/>
      <c r="F19" s="213"/>
      <c r="I19" s="112"/>
      <c r="J19" s="169">
        <f>90000000-60000000</f>
        <v>30000000</v>
      </c>
      <c r="K19" s="169" t="s">
        <v>1508</v>
      </c>
    </row>
    <row r="20" spans="1:12" ht="12.75" customHeight="1" x14ac:dyDescent="0.4">
      <c r="A20" s="3" t="s">
        <v>1</v>
      </c>
      <c r="B20" s="4" t="s">
        <v>2</v>
      </c>
      <c r="C20" s="5"/>
      <c r="D20" s="6" t="s">
        <v>3</v>
      </c>
      <c r="E20" s="7" t="s">
        <v>4</v>
      </c>
      <c r="F20" s="7" t="s">
        <v>5</v>
      </c>
      <c r="I20" s="112"/>
      <c r="J20" s="169">
        <v>29098625.09</v>
      </c>
      <c r="K20" s="169" t="s">
        <v>1509</v>
      </c>
      <c r="L20" s="124"/>
    </row>
    <row r="21" spans="1:12" s="2" customFormat="1" ht="14.25" customHeight="1" x14ac:dyDescent="0.2">
      <c r="A21" s="89">
        <v>45362</v>
      </c>
      <c r="B21" s="9" t="s">
        <v>6</v>
      </c>
      <c r="C21" s="10" t="s">
        <v>7</v>
      </c>
      <c r="D21" s="11"/>
      <c r="F21" s="12">
        <v>29398625.09</v>
      </c>
      <c r="G21" s="1"/>
      <c r="H21" s="1"/>
      <c r="I21" s="130" t="s">
        <v>396</v>
      </c>
      <c r="J21" s="169">
        <f>+J19-J20</f>
        <v>901374.91000000015</v>
      </c>
      <c r="K21" s="169" t="s">
        <v>712</v>
      </c>
      <c r="L21" s="165" t="s">
        <v>1512</v>
      </c>
    </row>
    <row r="22" spans="1:12" s="2" customFormat="1" ht="14.25" customHeight="1" x14ac:dyDescent="0.2">
      <c r="A22" s="89">
        <v>45362</v>
      </c>
      <c r="B22" s="9" t="s">
        <v>6</v>
      </c>
      <c r="C22" s="76" t="s">
        <v>763</v>
      </c>
      <c r="D22" s="11" t="s">
        <v>13</v>
      </c>
      <c r="E22" s="31">
        <v>756532</v>
      </c>
      <c r="F22" s="12"/>
      <c r="G22" s="1"/>
      <c r="H22" s="1"/>
      <c r="I22" s="130"/>
      <c r="J22" s="169"/>
      <c r="K22" s="169"/>
      <c r="L22" s="165"/>
    </row>
    <row r="23" spans="1:12" s="2" customFormat="1" ht="14.25" customHeight="1" x14ac:dyDescent="0.2">
      <c r="A23" s="89">
        <v>45362</v>
      </c>
      <c r="B23" s="9" t="s">
        <v>6</v>
      </c>
      <c r="C23" s="76" t="s">
        <v>21</v>
      </c>
      <c r="D23" s="11" t="s">
        <v>13</v>
      </c>
      <c r="E23" s="31">
        <v>300000</v>
      </c>
      <c r="F23" s="12"/>
      <c r="G23" s="1"/>
      <c r="H23" s="1"/>
      <c r="I23" s="130"/>
      <c r="J23" s="169"/>
      <c r="K23" s="169"/>
      <c r="L23" s="165"/>
    </row>
    <row r="24" spans="1:12" s="2" customFormat="1" ht="14.25" customHeight="1" x14ac:dyDescent="0.2">
      <c r="A24" s="89">
        <v>45362</v>
      </c>
      <c r="B24" s="9" t="s">
        <v>11</v>
      </c>
      <c r="C24" s="76" t="s">
        <v>2082</v>
      </c>
      <c r="D24" s="11" t="s">
        <v>29</v>
      </c>
      <c r="E24" s="31"/>
      <c r="F24" s="31">
        <v>54184</v>
      </c>
      <c r="G24" s="1"/>
      <c r="H24" s="1"/>
      <c r="I24" s="130"/>
      <c r="J24" s="169"/>
      <c r="K24" s="169"/>
      <c r="L24" s="165"/>
    </row>
    <row r="25" spans="1:12" s="2" customFormat="1" ht="14.25" customHeight="1" x14ac:dyDescent="0.2">
      <c r="A25" s="89">
        <v>45362</v>
      </c>
      <c r="B25" s="9" t="s">
        <v>11</v>
      </c>
      <c r="C25" s="76" t="s">
        <v>2199</v>
      </c>
      <c r="D25" s="11" t="s">
        <v>29</v>
      </c>
      <c r="E25" s="31"/>
      <c r="F25" s="31">
        <v>100000</v>
      </c>
      <c r="G25" s="1"/>
      <c r="H25" s="1"/>
      <c r="I25" s="130"/>
      <c r="J25" s="169"/>
      <c r="K25" s="169"/>
      <c r="L25" s="165"/>
    </row>
    <row r="26" spans="1:12" s="2" customFormat="1" ht="14.25" customHeight="1" x14ac:dyDescent="0.2">
      <c r="A26" s="89">
        <v>45362</v>
      </c>
      <c r="B26" s="9" t="s">
        <v>11</v>
      </c>
      <c r="C26" s="76" t="s">
        <v>342</v>
      </c>
      <c r="D26" s="11" t="s">
        <v>29</v>
      </c>
      <c r="E26" s="31"/>
      <c r="F26" s="31">
        <v>33333</v>
      </c>
      <c r="G26" s="1"/>
      <c r="H26" s="1"/>
      <c r="I26" s="130"/>
      <c r="J26" s="169"/>
      <c r="K26" s="169"/>
      <c r="L26" s="165"/>
    </row>
    <row r="27" spans="1:12" s="2" customFormat="1" ht="14.25" customHeight="1" x14ac:dyDescent="0.2">
      <c r="A27" s="89">
        <v>45362</v>
      </c>
      <c r="B27" s="9" t="s">
        <v>11</v>
      </c>
      <c r="C27" s="76" t="s">
        <v>223</v>
      </c>
      <c r="D27" s="11" t="s">
        <v>29</v>
      </c>
      <c r="E27" s="31"/>
      <c r="F27" s="31">
        <v>40469</v>
      </c>
      <c r="G27" s="1"/>
      <c r="H27" s="1"/>
      <c r="I27" s="130"/>
      <c r="J27" s="169"/>
      <c r="K27" s="169"/>
      <c r="L27" s="165"/>
    </row>
    <row r="28" spans="1:12" s="2" customFormat="1" ht="14.25" customHeight="1" x14ac:dyDescent="0.2">
      <c r="A28" s="89">
        <v>45362</v>
      </c>
      <c r="B28" s="9" t="s">
        <v>11</v>
      </c>
      <c r="C28" s="76" t="s">
        <v>642</v>
      </c>
      <c r="D28" s="11" t="s">
        <v>29</v>
      </c>
      <c r="E28" s="31"/>
      <c r="F28" s="31">
        <v>6100</v>
      </c>
      <c r="G28" s="1"/>
      <c r="H28" s="1"/>
      <c r="I28" s="130"/>
      <c r="J28" s="169"/>
      <c r="K28" s="169"/>
      <c r="L28" s="165"/>
    </row>
    <row r="29" spans="1:12" s="2" customFormat="1" ht="14.25" customHeight="1" x14ac:dyDescent="0.4">
      <c r="D29" s="11" t="s">
        <v>8</v>
      </c>
      <c r="E29" s="16">
        <f>SUM(E22:E23)</f>
        <v>1056532</v>
      </c>
      <c r="F29" s="16">
        <f>SUM(F21:F28)</f>
        <v>29632711.09</v>
      </c>
      <c r="G29" s="1"/>
      <c r="H29" s="1"/>
      <c r="J29" s="112"/>
      <c r="K29" s="153" t="s">
        <v>779</v>
      </c>
    </row>
    <row r="30" spans="1:12" s="2" customFormat="1" ht="14.25" customHeight="1" x14ac:dyDescent="0.2">
      <c r="A30" s="17"/>
      <c r="B30" s="18"/>
      <c r="C30" s="96" t="s">
        <v>9</v>
      </c>
      <c r="D30" s="20"/>
      <c r="E30" s="21">
        <f>+F29-E29</f>
        <v>28576179.09</v>
      </c>
      <c r="G30" s="1"/>
      <c r="H30" s="1"/>
      <c r="J30" s="40">
        <v>29398625.09</v>
      </c>
      <c r="K30" s="154">
        <f>J30-E30</f>
        <v>822446</v>
      </c>
    </row>
    <row r="31" spans="1:12" s="2" customFormat="1" ht="14.25" customHeight="1" x14ac:dyDescent="0.2">
      <c r="A31" s="17"/>
      <c r="B31" s="28" t="s">
        <v>66</v>
      </c>
      <c r="C31" s="43" t="s">
        <v>1458</v>
      </c>
      <c r="D31" s="43"/>
      <c r="E31" s="12">
        <f>30000000+60000000</f>
        <v>90000000</v>
      </c>
      <c r="F31" s="22"/>
      <c r="G31" s="1"/>
      <c r="H31" s="1"/>
      <c r="I31" s="13" t="s">
        <v>1582</v>
      </c>
      <c r="J31" s="13" t="s">
        <v>1583</v>
      </c>
    </row>
    <row r="32" spans="1:12" s="2" customFormat="1" ht="14.25" customHeight="1" x14ac:dyDescent="0.25">
      <c r="A32" s="36"/>
      <c r="B32" s="28"/>
      <c r="C32" s="44" t="s">
        <v>1541</v>
      </c>
      <c r="D32" s="43"/>
      <c r="E32" s="7">
        <f>+E30+E31</f>
        <v>118576179.09</v>
      </c>
      <c r="F32" s="22"/>
      <c r="G32" s="1"/>
      <c r="H32" s="1"/>
      <c r="I32" s="2">
        <v>4409383</v>
      </c>
      <c r="J32" s="2">
        <v>8853443</v>
      </c>
      <c r="K32" s="176">
        <f>I32-J32</f>
        <v>-4444060</v>
      </c>
    </row>
    <row r="33" spans="1:12" s="2" customFormat="1" ht="14.25" customHeight="1" x14ac:dyDescent="0.25">
      <c r="A33" s="36"/>
      <c r="B33" s="28"/>
      <c r="C33" s="44" t="s">
        <v>1511</v>
      </c>
      <c r="D33" s="43"/>
      <c r="E33" s="38">
        <f>I17-J17+J21</f>
        <v>1423820.9100000001</v>
      </c>
      <c r="F33" s="22"/>
      <c r="G33" s="1"/>
      <c r="H33" s="1"/>
      <c r="J33" s="130"/>
      <c r="K33" s="130"/>
    </row>
    <row r="34" spans="1:12" s="2" customFormat="1" x14ac:dyDescent="0.2">
      <c r="A34" s="24"/>
      <c r="B34" s="1"/>
      <c r="C34" s="14"/>
      <c r="D34" s="25"/>
      <c r="G34" s="1"/>
      <c r="H34" s="1"/>
      <c r="I34" s="159"/>
      <c r="J34" s="160">
        <f>100000000+175000000</f>
        <v>275000000</v>
      </c>
      <c r="K34" s="160" t="s">
        <v>1506</v>
      </c>
      <c r="L34" s="70"/>
    </row>
    <row r="35" spans="1:12" s="2" customFormat="1" ht="15" x14ac:dyDescent="0.35">
      <c r="A35" s="214" t="s">
        <v>10</v>
      </c>
      <c r="B35" s="214"/>
      <c r="C35" s="214"/>
      <c r="D35" s="214"/>
      <c r="E35" s="214"/>
      <c r="F35" s="214"/>
      <c r="G35" s="1"/>
      <c r="H35" s="1"/>
      <c r="I35" s="159"/>
      <c r="J35" s="179">
        <v>238337906.12</v>
      </c>
      <c r="K35" s="160" t="s">
        <v>1507</v>
      </c>
      <c r="L35" s="70" t="s">
        <v>1512</v>
      </c>
    </row>
    <row r="36" spans="1:12" s="2" customFormat="1" x14ac:dyDescent="0.2">
      <c r="A36" s="26" t="s">
        <v>1</v>
      </c>
      <c r="B36" s="27" t="s">
        <v>2</v>
      </c>
      <c r="C36" s="5"/>
      <c r="D36" s="6" t="s">
        <v>3</v>
      </c>
      <c r="E36" s="7" t="s">
        <v>4</v>
      </c>
      <c r="F36" s="7" t="s">
        <v>5</v>
      </c>
      <c r="G36" s="1"/>
      <c r="H36" s="1"/>
      <c r="I36" s="159" t="s">
        <v>1505</v>
      </c>
      <c r="J36" s="160">
        <f>+J34-J35</f>
        <v>36662093.879999995</v>
      </c>
      <c r="K36" s="160"/>
      <c r="L36" s="70"/>
    </row>
    <row r="37" spans="1:12" s="2" customFormat="1" x14ac:dyDescent="0.2">
      <c r="A37" s="89" t="s">
        <v>2200</v>
      </c>
      <c r="B37" s="128" t="s">
        <v>11</v>
      </c>
      <c r="C37" s="29" t="s">
        <v>7</v>
      </c>
      <c r="D37" s="25"/>
      <c r="E37" s="31"/>
      <c r="F37" s="13">
        <v>237547292.26999986</v>
      </c>
      <c r="G37" s="23"/>
      <c r="H37" s="23"/>
      <c r="I37" s="159"/>
      <c r="J37" s="160"/>
      <c r="K37" s="160"/>
      <c r="L37" s="70"/>
    </row>
    <row r="38" spans="1:12" s="2" customFormat="1" x14ac:dyDescent="0.2">
      <c r="A38" s="89" t="s">
        <v>2200</v>
      </c>
      <c r="B38" s="128" t="s">
        <v>6</v>
      </c>
      <c r="C38" s="181" t="s">
        <v>2081</v>
      </c>
      <c r="D38" s="11" t="s">
        <v>13</v>
      </c>
      <c r="E38" s="86">
        <v>41272</v>
      </c>
      <c r="G38" s="23"/>
      <c r="H38" s="23"/>
      <c r="I38" s="159"/>
      <c r="J38" s="160"/>
      <c r="K38" s="160"/>
      <c r="L38" s="70"/>
    </row>
    <row r="39" spans="1:12" s="2" customFormat="1" x14ac:dyDescent="0.2">
      <c r="A39" s="89" t="s">
        <v>2200</v>
      </c>
      <c r="B39" s="128" t="s">
        <v>6</v>
      </c>
      <c r="C39" s="181" t="s">
        <v>1905</v>
      </c>
      <c r="D39" s="11" t="s">
        <v>13</v>
      </c>
      <c r="E39" s="86">
        <v>200000</v>
      </c>
      <c r="G39" s="23"/>
      <c r="H39" s="23"/>
      <c r="I39" s="159"/>
      <c r="J39" s="160"/>
      <c r="K39" s="160"/>
      <c r="L39" s="70"/>
    </row>
    <row r="40" spans="1:12" s="2" customFormat="1" x14ac:dyDescent="0.2">
      <c r="A40" s="89" t="s">
        <v>2200</v>
      </c>
      <c r="B40" s="128" t="s">
        <v>6</v>
      </c>
      <c r="C40" s="181" t="s">
        <v>2072</v>
      </c>
      <c r="D40" s="11" t="s">
        <v>13</v>
      </c>
      <c r="E40" s="86">
        <v>20238</v>
      </c>
      <c r="G40" s="23"/>
      <c r="H40" s="23"/>
      <c r="I40" s="159"/>
      <c r="J40" s="160"/>
      <c r="K40" s="160"/>
      <c r="L40" s="70"/>
    </row>
    <row r="41" spans="1:12" s="2" customFormat="1" x14ac:dyDescent="0.2">
      <c r="A41" s="89" t="s">
        <v>2200</v>
      </c>
      <c r="B41" s="128" t="s">
        <v>6</v>
      </c>
      <c r="C41" s="181" t="s">
        <v>2201</v>
      </c>
      <c r="D41" s="11" t="s">
        <v>13</v>
      </c>
      <c r="E41" s="86">
        <v>809800</v>
      </c>
      <c r="G41" s="23"/>
      <c r="H41" s="23"/>
      <c r="I41" s="159"/>
      <c r="J41" s="160"/>
      <c r="K41" s="160"/>
      <c r="L41" s="70"/>
    </row>
    <row r="42" spans="1:12" s="2" customFormat="1" x14ac:dyDescent="0.2">
      <c r="A42" s="89" t="s">
        <v>2200</v>
      </c>
      <c r="B42" s="128" t="s">
        <v>6</v>
      </c>
      <c r="C42" s="181" t="s">
        <v>1446</v>
      </c>
      <c r="D42" s="11" t="s">
        <v>13</v>
      </c>
      <c r="E42" s="86">
        <v>2363</v>
      </c>
      <c r="G42" s="23"/>
      <c r="H42" s="23"/>
      <c r="I42" s="159"/>
      <c r="J42" s="160"/>
      <c r="K42" s="160"/>
      <c r="L42" s="70"/>
    </row>
    <row r="43" spans="1:12" s="2" customFormat="1" x14ac:dyDescent="0.2">
      <c r="A43" s="89" t="s">
        <v>2200</v>
      </c>
      <c r="B43" s="128" t="s">
        <v>6</v>
      </c>
      <c r="C43" s="181" t="s">
        <v>632</v>
      </c>
      <c r="D43" s="11" t="s">
        <v>13</v>
      </c>
      <c r="E43" s="86">
        <v>8820</v>
      </c>
      <c r="G43" s="23"/>
      <c r="H43" s="23"/>
      <c r="I43" s="159"/>
      <c r="J43" s="160"/>
      <c r="K43" s="160"/>
      <c r="L43" s="70"/>
    </row>
    <row r="44" spans="1:12" s="2" customFormat="1" x14ac:dyDescent="0.2">
      <c r="A44" s="89" t="s">
        <v>2200</v>
      </c>
      <c r="B44" s="128" t="s">
        <v>6</v>
      </c>
      <c r="C44" s="181" t="s">
        <v>694</v>
      </c>
      <c r="D44" s="11" t="s">
        <v>13</v>
      </c>
      <c r="E44" s="86">
        <v>1000000</v>
      </c>
      <c r="G44" s="23"/>
      <c r="H44" s="23"/>
      <c r="I44" s="159"/>
      <c r="J44" s="160"/>
      <c r="K44" s="160"/>
      <c r="L44" s="70"/>
    </row>
    <row r="45" spans="1:12" s="2" customFormat="1" x14ac:dyDescent="0.2">
      <c r="A45" s="89" t="s">
        <v>2200</v>
      </c>
      <c r="B45" s="128" t="s">
        <v>6</v>
      </c>
      <c r="C45" s="181" t="s">
        <v>538</v>
      </c>
      <c r="D45" s="11" t="s">
        <v>13</v>
      </c>
      <c r="E45" s="86">
        <v>259603</v>
      </c>
      <c r="G45" s="23"/>
      <c r="H45" s="23"/>
      <c r="I45" s="159"/>
      <c r="J45" s="160"/>
      <c r="K45" s="160"/>
      <c r="L45" s="70"/>
    </row>
    <row r="46" spans="1:12" s="2" customFormat="1" x14ac:dyDescent="0.2">
      <c r="A46" s="89" t="s">
        <v>2200</v>
      </c>
      <c r="B46" s="128" t="s">
        <v>6</v>
      </c>
      <c r="C46" s="181" t="s">
        <v>320</v>
      </c>
      <c r="D46" s="11" t="s">
        <v>13</v>
      </c>
      <c r="E46" s="86">
        <v>6298</v>
      </c>
      <c r="G46" s="23"/>
      <c r="H46" s="23"/>
      <c r="I46" s="159"/>
      <c r="J46" s="160"/>
      <c r="K46" s="160"/>
      <c r="L46" s="70"/>
    </row>
    <row r="47" spans="1:12" s="2" customFormat="1" x14ac:dyDescent="0.2">
      <c r="A47" s="89" t="s">
        <v>2200</v>
      </c>
      <c r="B47" s="128" t="s">
        <v>6</v>
      </c>
      <c r="C47" s="181" t="s">
        <v>817</v>
      </c>
      <c r="D47" s="11" t="s">
        <v>13</v>
      </c>
      <c r="E47" s="86">
        <v>1260</v>
      </c>
      <c r="G47" s="23"/>
      <c r="H47" s="23"/>
      <c r="I47" s="159"/>
      <c r="J47" s="160"/>
      <c r="K47" s="160"/>
      <c r="L47" s="70"/>
    </row>
    <row r="48" spans="1:12" s="2" customFormat="1" x14ac:dyDescent="0.2">
      <c r="A48" s="89" t="s">
        <v>2200</v>
      </c>
      <c r="B48" s="128" t="s">
        <v>6</v>
      </c>
      <c r="C48" s="181" t="s">
        <v>2202</v>
      </c>
      <c r="D48" s="11" t="s">
        <v>13</v>
      </c>
      <c r="E48" s="86">
        <v>110250</v>
      </c>
      <c r="G48" s="23"/>
      <c r="H48" s="23"/>
      <c r="I48" s="159"/>
      <c r="J48" s="160"/>
      <c r="K48" s="160"/>
      <c r="L48" s="70"/>
    </row>
    <row r="49" spans="1:12" s="2" customFormat="1" x14ac:dyDescent="0.2">
      <c r="A49" s="89" t="s">
        <v>2200</v>
      </c>
      <c r="B49" s="128" t="s">
        <v>6</v>
      </c>
      <c r="C49" s="181" t="s">
        <v>1192</v>
      </c>
      <c r="D49" s="11" t="s">
        <v>13</v>
      </c>
      <c r="E49" s="86">
        <v>156978</v>
      </c>
      <c r="G49" s="23"/>
      <c r="H49" s="23"/>
      <c r="I49" s="159"/>
      <c r="J49" s="160"/>
      <c r="K49" s="160"/>
      <c r="L49" s="70"/>
    </row>
    <row r="50" spans="1:12" s="2" customFormat="1" x14ac:dyDescent="0.2">
      <c r="A50" s="89" t="s">
        <v>2200</v>
      </c>
      <c r="B50" s="128" t="s">
        <v>6</v>
      </c>
      <c r="C50" s="181" t="s">
        <v>1497</v>
      </c>
      <c r="D50" s="11" t="s">
        <v>13</v>
      </c>
      <c r="E50" s="86">
        <v>609073</v>
      </c>
      <c r="G50" s="23"/>
      <c r="H50" s="23"/>
      <c r="I50" s="159"/>
      <c r="J50" s="160"/>
      <c r="K50" s="160"/>
      <c r="L50" s="70"/>
    </row>
    <row r="51" spans="1:12" s="2" customFormat="1" x14ac:dyDescent="0.2">
      <c r="A51" s="89" t="s">
        <v>2200</v>
      </c>
      <c r="B51" s="128" t="s">
        <v>6</v>
      </c>
      <c r="C51" s="181" t="s">
        <v>639</v>
      </c>
      <c r="D51" s="11" t="s">
        <v>13</v>
      </c>
      <c r="E51" s="86">
        <v>105525</v>
      </c>
      <c r="G51" s="23"/>
      <c r="H51" s="23"/>
      <c r="I51" s="159"/>
      <c r="J51" s="160"/>
      <c r="K51" s="160"/>
      <c r="L51" s="70"/>
    </row>
    <row r="52" spans="1:12" s="2" customFormat="1" x14ac:dyDescent="0.2">
      <c r="A52" s="89" t="s">
        <v>2200</v>
      </c>
      <c r="B52" s="128" t="s">
        <v>6</v>
      </c>
      <c r="C52" s="181" t="s">
        <v>336</v>
      </c>
      <c r="D52" s="11" t="s">
        <v>13</v>
      </c>
      <c r="E52" s="86">
        <v>294000</v>
      </c>
      <c r="G52" s="23"/>
      <c r="H52" s="23"/>
      <c r="I52" s="159"/>
      <c r="J52" s="160"/>
      <c r="K52" s="160"/>
      <c r="L52" s="70"/>
    </row>
    <row r="53" spans="1:12" s="2" customFormat="1" x14ac:dyDescent="0.2">
      <c r="A53" s="89" t="s">
        <v>2200</v>
      </c>
      <c r="B53" s="128" t="s">
        <v>6</v>
      </c>
      <c r="C53" s="181" t="s">
        <v>2203</v>
      </c>
      <c r="D53" s="11" t="s">
        <v>13</v>
      </c>
      <c r="E53" s="86">
        <v>970368</v>
      </c>
      <c r="G53" s="23"/>
      <c r="H53" s="23"/>
      <c r="I53" s="159"/>
      <c r="J53" s="160"/>
      <c r="K53" s="160"/>
      <c r="L53" s="70"/>
    </row>
    <row r="54" spans="1:12" s="2" customFormat="1" x14ac:dyDescent="0.2">
      <c r="A54" s="89" t="s">
        <v>2200</v>
      </c>
      <c r="B54" s="128" t="s">
        <v>6</v>
      </c>
      <c r="C54" s="181" t="s">
        <v>177</v>
      </c>
      <c r="D54" s="11" t="s">
        <v>13</v>
      </c>
      <c r="E54" s="86">
        <v>2383405</v>
      </c>
      <c r="G54" s="23"/>
      <c r="H54" s="23"/>
      <c r="I54" s="159"/>
      <c r="J54" s="160"/>
      <c r="K54" s="160"/>
      <c r="L54" s="70"/>
    </row>
    <row r="55" spans="1:12" s="2" customFormat="1" x14ac:dyDescent="0.2">
      <c r="A55" s="89" t="s">
        <v>2200</v>
      </c>
      <c r="B55" s="128" t="s">
        <v>6</v>
      </c>
      <c r="C55" s="181" t="s">
        <v>1954</v>
      </c>
      <c r="D55" s="11" t="s">
        <v>13</v>
      </c>
      <c r="E55" s="86">
        <v>50000</v>
      </c>
      <c r="G55" s="23"/>
      <c r="H55" s="23"/>
      <c r="I55" s="159"/>
      <c r="J55" s="160"/>
      <c r="K55" s="160"/>
      <c r="L55" s="70"/>
    </row>
    <row r="56" spans="1:12" s="2" customFormat="1" x14ac:dyDescent="0.2">
      <c r="A56" s="89" t="s">
        <v>2200</v>
      </c>
      <c r="B56" s="128" t="s">
        <v>6</v>
      </c>
      <c r="C56" s="181" t="s">
        <v>146</v>
      </c>
      <c r="D56" s="11" t="s">
        <v>13</v>
      </c>
      <c r="E56" s="86">
        <v>220878.51</v>
      </c>
      <c r="G56" s="23"/>
      <c r="H56" s="23"/>
      <c r="I56" s="159"/>
      <c r="J56" s="160"/>
      <c r="K56" s="160"/>
      <c r="L56" s="70"/>
    </row>
    <row r="57" spans="1:12" s="2" customFormat="1" x14ac:dyDescent="0.2">
      <c r="A57" s="89" t="s">
        <v>2200</v>
      </c>
      <c r="B57" s="128" t="s">
        <v>6</v>
      </c>
      <c r="C57" s="181" t="s">
        <v>487</v>
      </c>
      <c r="D57" s="11" t="s">
        <v>13</v>
      </c>
      <c r="E57" s="86">
        <v>3814077</v>
      </c>
      <c r="G57" s="23"/>
      <c r="H57" s="23"/>
      <c r="I57" s="159"/>
      <c r="J57" s="160"/>
      <c r="K57" s="160"/>
      <c r="L57" s="70"/>
    </row>
    <row r="58" spans="1:12" s="2" customFormat="1" x14ac:dyDescent="0.2">
      <c r="A58" s="89" t="s">
        <v>2200</v>
      </c>
      <c r="B58" s="128" t="s">
        <v>6</v>
      </c>
      <c r="C58" s="181" t="s">
        <v>266</v>
      </c>
      <c r="D58" s="11" t="s">
        <v>13</v>
      </c>
      <c r="E58" s="86">
        <v>300000</v>
      </c>
      <c r="G58" s="23"/>
      <c r="H58" s="23"/>
      <c r="I58" s="159"/>
      <c r="J58" s="160"/>
      <c r="K58" s="160"/>
      <c r="L58" s="70"/>
    </row>
    <row r="59" spans="1:12" s="2" customFormat="1" x14ac:dyDescent="0.2">
      <c r="A59" s="89" t="s">
        <v>2200</v>
      </c>
      <c r="B59" s="128" t="s">
        <v>6</v>
      </c>
      <c r="C59" s="181" t="s">
        <v>474</v>
      </c>
      <c r="D59" s="11" t="s">
        <v>13</v>
      </c>
      <c r="E59" s="86">
        <v>265683</v>
      </c>
      <c r="G59" s="23"/>
      <c r="H59" s="23"/>
      <c r="I59" s="159"/>
      <c r="J59" s="160"/>
      <c r="K59" s="160"/>
      <c r="L59" s="70"/>
    </row>
    <row r="60" spans="1:12" s="2" customFormat="1" x14ac:dyDescent="0.2">
      <c r="A60" s="89" t="s">
        <v>2200</v>
      </c>
      <c r="B60" s="128" t="s">
        <v>6</v>
      </c>
      <c r="C60" s="181" t="s">
        <v>120</v>
      </c>
      <c r="D60" s="11" t="s">
        <v>13</v>
      </c>
      <c r="E60" s="86">
        <v>556464</v>
      </c>
      <c r="G60" s="23"/>
      <c r="H60" s="23"/>
      <c r="I60" s="159"/>
      <c r="J60" s="160"/>
      <c r="K60" s="160"/>
      <c r="L60" s="70"/>
    </row>
    <row r="61" spans="1:12" s="2" customFormat="1" x14ac:dyDescent="0.2">
      <c r="A61" s="89" t="s">
        <v>2200</v>
      </c>
      <c r="B61" s="128" t="s">
        <v>6</v>
      </c>
      <c r="C61" s="181" t="s">
        <v>149</v>
      </c>
      <c r="D61" s="11" t="s">
        <v>13</v>
      </c>
      <c r="E61" s="86">
        <v>564656</v>
      </c>
      <c r="G61" s="23"/>
      <c r="H61" s="23"/>
      <c r="I61" s="159"/>
      <c r="J61" s="160"/>
      <c r="K61" s="160"/>
      <c r="L61" s="70"/>
    </row>
    <row r="62" spans="1:12" s="2" customFormat="1" x14ac:dyDescent="0.2">
      <c r="A62" s="89" t="s">
        <v>2200</v>
      </c>
      <c r="B62" s="128" t="s">
        <v>6</v>
      </c>
      <c r="C62" s="181" t="s">
        <v>15</v>
      </c>
      <c r="D62" s="11" t="s">
        <v>13</v>
      </c>
      <c r="E62" s="86">
        <v>661.19</v>
      </c>
      <c r="G62" s="23"/>
      <c r="H62" s="23"/>
      <c r="I62" s="159"/>
      <c r="J62" s="160"/>
      <c r="K62" s="160"/>
      <c r="L62" s="70"/>
    </row>
    <row r="63" spans="1:12" s="2" customFormat="1" x14ac:dyDescent="0.2">
      <c r="A63" s="89" t="s">
        <v>2200</v>
      </c>
      <c r="B63" s="128" t="s">
        <v>6</v>
      </c>
      <c r="C63" s="181" t="s">
        <v>16</v>
      </c>
      <c r="D63" s="11" t="s">
        <v>13</v>
      </c>
      <c r="E63" s="86">
        <v>9608</v>
      </c>
      <c r="G63" s="23"/>
      <c r="H63" s="23"/>
      <c r="I63" s="159"/>
      <c r="J63" s="160"/>
      <c r="K63" s="160"/>
      <c r="L63" s="70"/>
    </row>
    <row r="64" spans="1:12" s="2" customFormat="1" x14ac:dyDescent="0.2">
      <c r="A64" s="89" t="s">
        <v>2200</v>
      </c>
      <c r="B64" s="128" t="s">
        <v>11</v>
      </c>
      <c r="C64" s="181" t="s">
        <v>216</v>
      </c>
      <c r="D64" s="11" t="s">
        <v>29</v>
      </c>
      <c r="E64" s="86"/>
      <c r="F64" s="2">
        <v>201889</v>
      </c>
      <c r="G64" s="23"/>
      <c r="H64" s="23"/>
      <c r="I64" s="159"/>
      <c r="J64" s="160"/>
      <c r="K64" s="160"/>
      <c r="L64" s="70"/>
    </row>
    <row r="65" spans="1:16" s="2" customFormat="1" x14ac:dyDescent="0.2">
      <c r="A65" s="89" t="s">
        <v>2200</v>
      </c>
      <c r="B65" s="128" t="s">
        <v>11</v>
      </c>
      <c r="C65" s="181" t="s">
        <v>218</v>
      </c>
      <c r="D65" s="11" t="s">
        <v>29</v>
      </c>
      <c r="E65" s="86"/>
      <c r="F65" s="2">
        <v>53355</v>
      </c>
      <c r="G65" s="23"/>
      <c r="H65" s="23"/>
      <c r="I65" s="159"/>
      <c r="J65" s="160"/>
      <c r="K65" s="160"/>
      <c r="L65" s="70"/>
    </row>
    <row r="66" spans="1:16" s="2" customFormat="1" x14ac:dyDescent="0.2">
      <c r="A66" s="89" t="s">
        <v>2200</v>
      </c>
      <c r="B66" s="128" t="s">
        <v>11</v>
      </c>
      <c r="C66" s="181" t="s">
        <v>217</v>
      </c>
      <c r="D66" s="11" t="s">
        <v>29</v>
      </c>
      <c r="E66" s="86"/>
      <c r="F66" s="2">
        <v>51995</v>
      </c>
      <c r="G66" s="23"/>
      <c r="H66" s="23"/>
      <c r="I66" s="159"/>
      <c r="J66" s="160"/>
      <c r="K66" s="160"/>
      <c r="L66" s="70"/>
    </row>
    <row r="67" spans="1:16" s="2" customFormat="1" x14ac:dyDescent="0.2">
      <c r="A67" s="89" t="s">
        <v>2200</v>
      </c>
      <c r="B67" s="128" t="s">
        <v>11</v>
      </c>
      <c r="C67" s="181" t="s">
        <v>1181</v>
      </c>
      <c r="D67" s="11" t="s">
        <v>29</v>
      </c>
      <c r="E67" s="86"/>
      <c r="F67" s="2">
        <v>55480</v>
      </c>
      <c r="G67" s="23"/>
      <c r="H67" s="23"/>
      <c r="I67" s="159"/>
      <c r="J67" s="160"/>
      <c r="K67" s="160"/>
      <c r="L67" s="70"/>
    </row>
    <row r="68" spans="1:16" s="2" customFormat="1" x14ac:dyDescent="0.2">
      <c r="A68" s="89" t="s">
        <v>2200</v>
      </c>
      <c r="B68" s="128" t="s">
        <v>11</v>
      </c>
      <c r="C68" s="181" t="s">
        <v>1936</v>
      </c>
      <c r="D68" s="11" t="s">
        <v>29</v>
      </c>
      <c r="E68" s="86"/>
      <c r="F68" s="2">
        <v>5954261</v>
      </c>
      <c r="G68" s="23"/>
      <c r="H68" s="23"/>
      <c r="I68" s="159"/>
      <c r="J68" s="160"/>
      <c r="K68" s="160"/>
      <c r="L68" s="70"/>
    </row>
    <row r="69" spans="1:16" s="2" customFormat="1" x14ac:dyDescent="0.2">
      <c r="A69" s="89" t="s">
        <v>2200</v>
      </c>
      <c r="B69" s="128" t="s">
        <v>11</v>
      </c>
      <c r="C69" s="181" t="s">
        <v>1849</v>
      </c>
      <c r="D69" s="11" t="s">
        <v>29</v>
      </c>
      <c r="E69" s="86"/>
      <c r="F69" s="2">
        <v>467854</v>
      </c>
      <c r="G69" s="23"/>
      <c r="H69" s="23"/>
      <c r="I69" s="159"/>
      <c r="J69" s="160"/>
      <c r="K69" s="160"/>
      <c r="L69" s="70"/>
    </row>
    <row r="70" spans="1:16" s="2" customFormat="1" x14ac:dyDescent="0.2">
      <c r="A70" s="89" t="s">
        <v>2200</v>
      </c>
      <c r="B70" s="128" t="s">
        <v>11</v>
      </c>
      <c r="C70" s="181" t="s">
        <v>2131</v>
      </c>
      <c r="D70" s="11" t="s">
        <v>29</v>
      </c>
      <c r="E70" s="86"/>
      <c r="F70" s="2">
        <v>4877629</v>
      </c>
      <c r="G70" s="23"/>
      <c r="H70" s="23"/>
      <c r="I70" s="159"/>
      <c r="J70" s="160"/>
      <c r="K70" s="160"/>
      <c r="L70" s="70"/>
    </row>
    <row r="71" spans="1:16" s="2" customFormat="1" x14ac:dyDescent="0.2">
      <c r="A71" s="89" t="s">
        <v>2200</v>
      </c>
      <c r="B71" s="128" t="s">
        <v>11</v>
      </c>
      <c r="C71" s="181" t="s">
        <v>723</v>
      </c>
      <c r="D71" s="11" t="s">
        <v>29</v>
      </c>
      <c r="E71" s="86"/>
      <c r="F71" s="2">
        <v>3130140.02</v>
      </c>
      <c r="G71" s="23"/>
      <c r="H71" s="23"/>
      <c r="I71" s="159"/>
      <c r="J71" s="160"/>
      <c r="K71" s="160"/>
      <c r="L71" s="70"/>
    </row>
    <row r="72" spans="1:16" s="2" customFormat="1" x14ac:dyDescent="0.2">
      <c r="A72" s="89" t="s">
        <v>2200</v>
      </c>
      <c r="B72" s="128" t="s">
        <v>11</v>
      </c>
      <c r="C72" s="181" t="s">
        <v>107</v>
      </c>
      <c r="D72" s="11" t="s">
        <v>29</v>
      </c>
      <c r="E72" s="86"/>
      <c r="F72" s="2">
        <v>148357.69</v>
      </c>
      <c r="G72" s="23"/>
      <c r="H72" s="23"/>
      <c r="I72" s="159"/>
      <c r="J72" s="160"/>
      <c r="K72" s="160"/>
      <c r="L72" s="70"/>
    </row>
    <row r="73" spans="1:16" s="2" customFormat="1" x14ac:dyDescent="0.2">
      <c r="A73" s="89" t="s">
        <v>2200</v>
      </c>
      <c r="B73" s="128" t="s">
        <v>11</v>
      </c>
      <c r="C73" s="181" t="s">
        <v>1734</v>
      </c>
      <c r="D73" s="11" t="s">
        <v>29</v>
      </c>
      <c r="E73" s="86"/>
      <c r="F73" s="2">
        <v>1320024</v>
      </c>
      <c r="G73" s="23"/>
      <c r="H73" s="23"/>
      <c r="I73" s="159"/>
      <c r="J73" s="160"/>
      <c r="K73" s="160"/>
      <c r="L73" s="70"/>
    </row>
    <row r="74" spans="1:16" s="2" customFormat="1" x14ac:dyDescent="0.2">
      <c r="A74" s="89" t="s">
        <v>2200</v>
      </c>
      <c r="B74" s="128" t="s">
        <v>11</v>
      </c>
      <c r="C74" s="181" t="s">
        <v>687</v>
      </c>
      <c r="D74" s="11" t="s">
        <v>29</v>
      </c>
      <c r="E74" s="86"/>
      <c r="F74" s="2">
        <v>680108</v>
      </c>
      <c r="G74" s="23"/>
      <c r="H74" s="23"/>
      <c r="I74" s="159"/>
      <c r="J74" s="160"/>
      <c r="K74" s="160"/>
      <c r="L74" s="70"/>
    </row>
    <row r="75" spans="1:16" s="2" customFormat="1" x14ac:dyDescent="0.2">
      <c r="A75" s="89" t="s">
        <v>2200</v>
      </c>
      <c r="B75" s="128" t="s">
        <v>11</v>
      </c>
      <c r="C75" s="181" t="s">
        <v>1472</v>
      </c>
      <c r="D75" s="11" t="s">
        <v>29</v>
      </c>
      <c r="E75" s="86"/>
      <c r="F75" s="2">
        <v>1001421</v>
      </c>
      <c r="G75" s="23"/>
      <c r="H75" s="23"/>
      <c r="I75" s="159"/>
      <c r="J75" s="160"/>
      <c r="K75" s="160"/>
      <c r="L75" s="70"/>
    </row>
    <row r="76" spans="1:16" s="2" customFormat="1" x14ac:dyDescent="0.2">
      <c r="A76" s="89" t="s">
        <v>2200</v>
      </c>
      <c r="B76" s="128" t="s">
        <v>11</v>
      </c>
      <c r="C76" s="181" t="s">
        <v>490</v>
      </c>
      <c r="D76" s="11" t="s">
        <v>29</v>
      </c>
      <c r="E76" s="86"/>
      <c r="F76" s="2">
        <v>2000</v>
      </c>
      <c r="G76" s="23"/>
      <c r="H76" s="23"/>
      <c r="I76" s="159"/>
      <c r="J76" s="160"/>
      <c r="K76" s="160"/>
      <c r="L76" s="70"/>
    </row>
    <row r="77" spans="1:16" s="2" customFormat="1" x14ac:dyDescent="0.2">
      <c r="A77" s="89" t="s">
        <v>2200</v>
      </c>
      <c r="B77" s="128" t="s">
        <v>11</v>
      </c>
      <c r="C77" s="181" t="s">
        <v>1979</v>
      </c>
      <c r="D77" s="11" t="s">
        <v>29</v>
      </c>
      <c r="E77" s="86"/>
      <c r="F77" s="2">
        <v>21940.84</v>
      </c>
      <c r="G77" s="23"/>
      <c r="H77" s="23"/>
      <c r="I77" s="159"/>
      <c r="J77" s="160"/>
      <c r="K77" s="160"/>
      <c r="L77" s="70"/>
    </row>
    <row r="78" spans="1:16" s="2" customFormat="1" x14ac:dyDescent="0.2">
      <c r="A78" s="89" t="s">
        <v>2200</v>
      </c>
      <c r="B78" s="128" t="s">
        <v>11</v>
      </c>
      <c r="C78" s="181" t="s">
        <v>64</v>
      </c>
      <c r="D78" s="11" t="s">
        <v>29</v>
      </c>
      <c r="E78" s="86"/>
      <c r="F78" s="2">
        <v>29500</v>
      </c>
      <c r="G78" s="23"/>
      <c r="H78" s="23"/>
      <c r="I78" s="159"/>
      <c r="J78" s="160"/>
      <c r="K78" s="160"/>
      <c r="L78" s="70"/>
    </row>
    <row r="79" spans="1:16" s="70" customFormat="1" x14ac:dyDescent="0.2">
      <c r="A79" s="32"/>
      <c r="B79" s="33"/>
      <c r="C79" s="14"/>
      <c r="D79" s="34"/>
      <c r="E79" s="16">
        <f>SUM(E37:E78)</f>
        <v>12761280.699999999</v>
      </c>
      <c r="F79" s="16">
        <f>SUM(F37:F78)</f>
        <v>255543246.81999987</v>
      </c>
      <c r="G79" s="1"/>
      <c r="H79" s="1"/>
      <c r="I79" s="1"/>
      <c r="J79" s="38">
        <v>242781966.12</v>
      </c>
      <c r="K79" s="2"/>
      <c r="L79" s="92">
        <f>E80-J79</f>
        <v>0</v>
      </c>
      <c r="M79" s="2"/>
      <c r="N79" s="2"/>
      <c r="O79" s="2"/>
      <c r="P79" s="2"/>
    </row>
    <row r="80" spans="1:16" s="70" customFormat="1" x14ac:dyDescent="0.2">
      <c r="A80" s="36"/>
      <c r="B80" s="28" t="s">
        <v>11</v>
      </c>
      <c r="C80" s="19" t="s">
        <v>65</v>
      </c>
      <c r="D80" s="37"/>
      <c r="E80" s="38">
        <f>F79-E79</f>
        <v>242781966.11999989</v>
      </c>
      <c r="F80" s="22"/>
      <c r="G80" s="1"/>
      <c r="H80" s="1"/>
      <c r="I80" s="1"/>
      <c r="M80" s="2"/>
      <c r="N80" s="2"/>
      <c r="O80" s="1"/>
      <c r="P80" s="2"/>
    </row>
    <row r="81" spans="1:19" s="70" customFormat="1" x14ac:dyDescent="0.2">
      <c r="A81" s="36"/>
      <c r="B81" s="28" t="s">
        <v>66</v>
      </c>
      <c r="C81" s="19" t="s">
        <v>67</v>
      </c>
      <c r="D81" s="37"/>
      <c r="E81" s="38">
        <v>11500000</v>
      </c>
      <c r="F81" s="22"/>
      <c r="G81" s="1"/>
      <c r="H81" s="1"/>
      <c r="M81" s="2"/>
      <c r="N81" s="2"/>
      <c r="O81" s="1"/>
      <c r="P81" s="2"/>
    </row>
    <row r="82" spans="1:19" s="70" customFormat="1" x14ac:dyDescent="0.2">
      <c r="A82" s="36"/>
      <c r="B82" s="28" t="s">
        <v>66</v>
      </c>
      <c r="C82" s="43" t="s">
        <v>1457</v>
      </c>
      <c r="D82" s="43"/>
      <c r="E82" s="12">
        <f>400000000-175000000</f>
        <v>225000000</v>
      </c>
      <c r="F82" s="22"/>
      <c r="G82" s="1"/>
      <c r="H82" s="1"/>
      <c r="J82" s="45">
        <v>938.88</v>
      </c>
      <c r="K82" s="46"/>
      <c r="L82" s="46"/>
      <c r="M82" s="2"/>
      <c r="N82" s="2"/>
      <c r="O82" s="1"/>
      <c r="P82" s="2"/>
    </row>
    <row r="83" spans="1:19" s="70" customFormat="1" ht="15" x14ac:dyDescent="0.25">
      <c r="A83" s="36"/>
      <c r="B83" s="28"/>
      <c r="C83" s="44" t="s">
        <v>1541</v>
      </c>
      <c r="D83" s="43"/>
      <c r="E83" s="7">
        <f>+E82+E80+E81</f>
        <v>479281966.11999989</v>
      </c>
      <c r="F83" s="22"/>
      <c r="G83" s="1"/>
      <c r="H83" s="1"/>
      <c r="I83" s="103" t="s">
        <v>69</v>
      </c>
      <c r="J83" s="45">
        <v>-29.6</v>
      </c>
      <c r="K83" s="46"/>
      <c r="L83" s="46"/>
      <c r="M83" s="2"/>
      <c r="N83" s="2"/>
      <c r="O83" s="1"/>
      <c r="P83" s="2"/>
    </row>
    <row r="84" spans="1:19" s="70" customFormat="1" ht="15" x14ac:dyDescent="0.25">
      <c r="A84" s="24"/>
      <c r="B84" s="1"/>
      <c r="C84" s="44" t="s">
        <v>1510</v>
      </c>
      <c r="D84" s="25"/>
      <c r="E84" s="156">
        <f>+J36-E81+I32-J32</f>
        <v>20718033.879999995</v>
      </c>
      <c r="F84" s="2"/>
      <c r="G84" s="1"/>
      <c r="H84" s="1"/>
      <c r="I84" s="35">
        <v>1</v>
      </c>
      <c r="J84" s="45">
        <v>29.38</v>
      </c>
      <c r="K84" s="46">
        <f>+J85-D87</f>
        <v>0</v>
      </c>
      <c r="L84" s="2"/>
      <c r="M84" s="2"/>
      <c r="N84" s="2"/>
      <c r="O84" s="1"/>
      <c r="P84" s="2"/>
    </row>
    <row r="85" spans="1:19" s="70" customFormat="1" ht="12.75" customHeight="1" x14ac:dyDescent="0.2">
      <c r="A85" s="24"/>
      <c r="B85" s="1"/>
      <c r="C85" s="56"/>
      <c r="D85" s="56"/>
      <c r="E85" s="104"/>
      <c r="F85" s="2"/>
      <c r="G85" s="166"/>
      <c r="H85" s="166"/>
      <c r="J85" s="49">
        <f>SUM(J82:J84)</f>
        <v>938.66</v>
      </c>
      <c r="K85" s="46"/>
      <c r="L85" s="46"/>
      <c r="M85" s="124"/>
      <c r="N85" s="124"/>
      <c r="O85" s="1"/>
      <c r="P85" s="2"/>
    </row>
    <row r="86" spans="1:19" s="70" customFormat="1" ht="12.75" customHeight="1" x14ac:dyDescent="0.2">
      <c r="A86" s="24"/>
      <c r="B86" s="1"/>
      <c r="C86" s="78" t="s">
        <v>575</v>
      </c>
      <c r="D86" s="48" t="s">
        <v>576</v>
      </c>
      <c r="E86" s="104"/>
      <c r="F86" s="2"/>
      <c r="G86" s="168"/>
      <c r="H86" s="168"/>
      <c r="I86" s="167"/>
      <c r="J86" s="167"/>
      <c r="K86" s="168"/>
      <c r="L86" s="124"/>
      <c r="M86" s="124"/>
      <c r="N86" s="124"/>
      <c r="O86" s="124"/>
      <c r="P86" s="2"/>
    </row>
    <row r="87" spans="1:19" s="70" customFormat="1" ht="12.75" customHeight="1" x14ac:dyDescent="0.2">
      <c r="A87" s="24"/>
      <c r="B87" s="1"/>
      <c r="C87" s="47" t="s">
        <v>570</v>
      </c>
      <c r="D87" s="111">
        <v>938.66</v>
      </c>
      <c r="E87" s="104"/>
      <c r="F87" s="2"/>
      <c r="G87" s="168"/>
      <c r="H87" s="168"/>
      <c r="I87" s="110" t="s">
        <v>581</v>
      </c>
      <c r="J87" s="167"/>
      <c r="K87" s="168"/>
      <c r="L87" s="124"/>
      <c r="M87" s="124"/>
      <c r="N87" s="124"/>
      <c r="O87" s="124"/>
      <c r="P87" s="124"/>
    </row>
    <row r="88" spans="1:19" s="70" customFormat="1" ht="12.75" customHeight="1" x14ac:dyDescent="0.2">
      <c r="A88" s="24"/>
      <c r="B88" s="1"/>
      <c r="C88" s="47" t="s">
        <v>931</v>
      </c>
      <c r="D88" s="111">
        <v>34.950000000000003</v>
      </c>
      <c r="E88" s="104"/>
      <c r="F88" s="2"/>
      <c r="G88" s="168"/>
      <c r="H88" s="168"/>
      <c r="I88" s="110" t="s">
        <v>580</v>
      </c>
      <c r="J88" s="167"/>
      <c r="K88" s="168"/>
      <c r="L88" s="124"/>
      <c r="M88" s="124"/>
      <c r="N88" s="124"/>
      <c r="O88" s="124"/>
      <c r="P88" s="124"/>
    </row>
    <row r="89" spans="1:19" s="70" customFormat="1" ht="12.75" customHeight="1" x14ac:dyDescent="0.2">
      <c r="A89" s="24"/>
      <c r="B89" s="1"/>
      <c r="C89" s="47" t="s">
        <v>572</v>
      </c>
      <c r="D89" s="111">
        <f>+D114/100000</f>
        <v>130.88545999999999</v>
      </c>
      <c r="E89" s="104"/>
      <c r="F89" s="2"/>
      <c r="G89" s="166"/>
      <c r="H89" s="166"/>
      <c r="I89" s="90" t="s">
        <v>587</v>
      </c>
      <c r="J89" s="167"/>
      <c r="K89" s="168"/>
      <c r="L89" s="124"/>
      <c r="M89" s="124"/>
      <c r="N89" s="124"/>
      <c r="O89" s="124"/>
      <c r="P89" s="124"/>
    </row>
    <row r="90" spans="1:19" s="70" customFormat="1" ht="12.75" customHeight="1" x14ac:dyDescent="0.2">
      <c r="A90" s="24"/>
      <c r="B90" s="1"/>
      <c r="C90" s="108" t="s">
        <v>578</v>
      </c>
      <c r="D90" s="48">
        <f>SUM(D87:D89)</f>
        <v>1104.4954600000001</v>
      </c>
      <c r="E90" s="104"/>
      <c r="F90" s="2"/>
      <c r="G90" s="30"/>
      <c r="H90" s="30"/>
      <c r="I90" s="2"/>
      <c r="J90" s="13"/>
      <c r="K90" s="13"/>
      <c r="L90" s="2"/>
      <c r="M90" s="2"/>
      <c r="N90" s="2"/>
      <c r="O90" s="124"/>
      <c r="P90" s="124"/>
    </row>
    <row r="91" spans="1:19" s="70" customFormat="1" ht="12.75" customHeight="1" x14ac:dyDescent="0.2">
      <c r="A91" s="24"/>
      <c r="B91" s="1"/>
      <c r="C91" s="47"/>
      <c r="D91" s="107"/>
      <c r="E91" s="104"/>
      <c r="F91" s="2"/>
      <c r="G91" s="30"/>
      <c r="H91" s="30"/>
      <c r="I91" s="2"/>
      <c r="O91" s="2"/>
      <c r="P91" s="124"/>
    </row>
    <row r="92" spans="1:19" s="70" customFormat="1" ht="12.75" customHeight="1" x14ac:dyDescent="0.2">
      <c r="A92" s="24"/>
      <c r="B92" s="1"/>
      <c r="C92" s="47" t="s">
        <v>932</v>
      </c>
      <c r="D92" s="111">
        <v>150.88999999999999</v>
      </c>
      <c r="E92" s="104"/>
      <c r="F92" s="2"/>
      <c r="G92" s="30"/>
      <c r="H92" s="30"/>
      <c r="I92" s="110" t="s">
        <v>581</v>
      </c>
      <c r="P92" s="2"/>
    </row>
    <row r="93" spans="1:19" s="70" customFormat="1" ht="12.75" customHeight="1" x14ac:dyDescent="0.2">
      <c r="A93" s="24"/>
      <c r="B93" s="1"/>
      <c r="C93" s="136" t="s">
        <v>1142</v>
      </c>
      <c r="D93" s="111">
        <v>342.86</v>
      </c>
      <c r="E93" s="104"/>
      <c r="F93" s="2"/>
      <c r="G93" s="30"/>
      <c r="H93" s="30"/>
      <c r="I93" s="110" t="s">
        <v>581</v>
      </c>
    </row>
    <row r="94" spans="1:19" s="70" customFormat="1" ht="12.75" customHeight="1" x14ac:dyDescent="0.2">
      <c r="A94" s="24"/>
      <c r="B94" s="1"/>
      <c r="C94" s="78" t="s">
        <v>579</v>
      </c>
      <c r="D94" s="109">
        <f>D92+D93</f>
        <v>493.75</v>
      </c>
      <c r="E94" s="104"/>
      <c r="F94" s="2"/>
      <c r="G94" s="30"/>
      <c r="H94" s="30"/>
      <c r="Q94" s="2"/>
      <c r="R94" s="2"/>
      <c r="S94" s="2"/>
    </row>
    <row r="95" spans="1:19" s="2" customFormat="1" x14ac:dyDescent="0.2">
      <c r="A95" s="24"/>
      <c r="B95" s="1"/>
      <c r="C95" s="105"/>
      <c r="D95" s="106"/>
      <c r="E95" s="104"/>
      <c r="G95" s="30"/>
      <c r="H95" s="30"/>
      <c r="I95" s="70"/>
      <c r="K95" s="221" t="str">
        <f>"FROM ( 01-03-2024 to "&amp;TEXT(A5,"dd-mm-yyyy")&amp;" )"</f>
        <v>FROM ( 01-03-2024 to 11-03-2024 )</v>
      </c>
      <c r="L95" s="221"/>
      <c r="O95" s="70"/>
      <c r="P95" s="70"/>
    </row>
    <row r="96" spans="1:19" s="2" customFormat="1" x14ac:dyDescent="0.2">
      <c r="A96" s="24"/>
      <c r="B96" s="1"/>
      <c r="C96" s="78" t="s">
        <v>577</v>
      </c>
      <c r="D96" s="109">
        <f>D87+D94</f>
        <v>1432.4099999999999</v>
      </c>
      <c r="E96" s="104"/>
      <c r="G96" s="30"/>
      <c r="H96" s="30"/>
      <c r="I96" s="70"/>
      <c r="J96" s="113"/>
      <c r="K96" s="113" t="s">
        <v>709</v>
      </c>
      <c r="L96" s="113" t="s">
        <v>710</v>
      </c>
      <c r="M96" s="113" t="s">
        <v>711</v>
      </c>
      <c r="N96" s="113" t="s">
        <v>712</v>
      </c>
      <c r="O96" s="70"/>
      <c r="P96" s="70"/>
    </row>
    <row r="97" spans="1:16" s="2" customFormat="1" x14ac:dyDescent="0.2">
      <c r="A97" s="24"/>
      <c r="B97" s="1"/>
      <c r="C97" s="56"/>
      <c r="D97" s="56"/>
      <c r="E97" s="104"/>
      <c r="G97" s="30"/>
      <c r="H97" s="30"/>
      <c r="I97" s="70"/>
      <c r="J97" s="113" t="s">
        <v>1860</v>
      </c>
      <c r="K97" s="115">
        <v>195.8</v>
      </c>
      <c r="L97" s="115">
        <v>0</v>
      </c>
      <c r="M97" s="115">
        <v>0</v>
      </c>
      <c r="N97" s="113">
        <f>+K97+M97-L97</f>
        <v>195.8</v>
      </c>
      <c r="O97" s="70"/>
      <c r="P97" s="70"/>
    </row>
    <row r="98" spans="1:16" s="2" customFormat="1" ht="38.25" x14ac:dyDescent="0.2">
      <c r="A98" s="24"/>
      <c r="B98" s="1"/>
      <c r="C98" s="79" t="str">
        <f>"Particulars ( 01-03-2024 to "&amp;TEXT(A5,"dd-mm-yyyy")&amp;" )"</f>
        <v>Particulars ( 01-03-2024 to 11-03-2024 )</v>
      </c>
      <c r="D98" s="79" t="s">
        <v>7</v>
      </c>
      <c r="E98" s="80" t="s">
        <v>73</v>
      </c>
      <c r="F98" s="80" t="s">
        <v>74</v>
      </c>
      <c r="G98" s="81" t="s">
        <v>75</v>
      </c>
      <c r="H98" s="80" t="s">
        <v>76</v>
      </c>
      <c r="I98" s="70"/>
      <c r="J98" s="113" t="s">
        <v>1861</v>
      </c>
      <c r="K98" s="115">
        <v>1882.6</v>
      </c>
      <c r="L98" s="115">
        <v>130.88999999999999</v>
      </c>
      <c r="M98" s="115">
        <v>342.86</v>
      </c>
      <c r="N98" s="113">
        <f>+K98+M98-L98</f>
        <v>2094.5700000000002</v>
      </c>
      <c r="O98" s="70"/>
      <c r="P98" s="70"/>
    </row>
    <row r="99" spans="1:16" s="2" customFormat="1" x14ac:dyDescent="0.2">
      <c r="A99" s="24"/>
      <c r="B99" s="1"/>
      <c r="C99" s="50" t="s">
        <v>444</v>
      </c>
      <c r="D99" s="55">
        <f>+K99</f>
        <v>477.01</v>
      </c>
      <c r="E99" s="55">
        <f>+IF(M99=0,0,M99)</f>
        <v>150.88999999999999</v>
      </c>
      <c r="F99" s="55">
        <f>+L99</f>
        <v>34.950000000000003</v>
      </c>
      <c r="G99" s="55">
        <f>+D99+E99-F99</f>
        <v>592.94999999999993</v>
      </c>
      <c r="H99" s="55">
        <f>1500-G99</f>
        <v>907.05000000000007</v>
      </c>
      <c r="I99" s="70">
        <f>+IF(M99=0,0,M99)</f>
        <v>150.88999999999999</v>
      </c>
      <c r="J99" s="113" t="s">
        <v>707</v>
      </c>
      <c r="K99" s="115">
        <v>477.01</v>
      </c>
      <c r="L99" s="115">
        <v>34.950000000000003</v>
      </c>
      <c r="M99" s="115">
        <v>150.88999999999999</v>
      </c>
      <c r="N99" s="113">
        <f>+K99+M99-L99</f>
        <v>592.94999999999993</v>
      </c>
      <c r="O99" s="70"/>
      <c r="P99" s="70"/>
    </row>
    <row r="100" spans="1:16" s="2" customFormat="1" x14ac:dyDescent="0.2">
      <c r="A100" s="24"/>
      <c r="B100" s="1"/>
      <c r="C100" s="50" t="s">
        <v>71</v>
      </c>
      <c r="D100" s="55">
        <f>+K97+K98</f>
        <v>2078.4</v>
      </c>
      <c r="E100" s="55">
        <f>+M97+M98</f>
        <v>342.86</v>
      </c>
      <c r="F100" s="55">
        <f>+L97+L98</f>
        <v>130.88999999999999</v>
      </c>
      <c r="G100" s="55">
        <f>+D100+E100-F100</f>
        <v>2290.3700000000003</v>
      </c>
      <c r="H100" s="55">
        <f>1500+700+200-G100</f>
        <v>109.62999999999965</v>
      </c>
      <c r="I100" s="70"/>
      <c r="K100" s="118">
        <f>SUM(K97:K99)</f>
        <v>2555.41</v>
      </c>
      <c r="L100" s="118">
        <f>SUM(L97:L99)</f>
        <v>165.83999999999997</v>
      </c>
      <c r="M100" s="118">
        <f>SUM(M97:M99)</f>
        <v>493.75</v>
      </c>
      <c r="N100" s="118">
        <f>SUM(N97:N99)</f>
        <v>2883.32</v>
      </c>
      <c r="O100" s="70"/>
      <c r="P100" s="70"/>
    </row>
    <row r="101" spans="1:16" s="2" customFormat="1" x14ac:dyDescent="0.2">
      <c r="A101" s="24"/>
      <c r="B101" s="1"/>
      <c r="C101" s="14"/>
      <c r="D101" s="56"/>
      <c r="E101" s="13"/>
      <c r="G101" s="30"/>
      <c r="H101" s="30"/>
      <c r="I101" s="70"/>
      <c r="J101" s="70"/>
      <c r="K101" s="70"/>
      <c r="L101" s="70"/>
      <c r="M101" s="70"/>
      <c r="N101" s="70"/>
      <c r="O101" s="70"/>
      <c r="P101" s="70"/>
    </row>
    <row r="102" spans="1:16" s="2" customFormat="1" x14ac:dyDescent="0.2">
      <c r="A102" s="215" t="s">
        <v>80</v>
      </c>
      <c r="B102" s="216"/>
      <c r="C102" s="216"/>
      <c r="D102" s="217"/>
      <c r="E102" s="69"/>
      <c r="F102" s="70"/>
      <c r="G102" s="30"/>
      <c r="H102" s="30"/>
      <c r="I102" s="70"/>
      <c r="J102" s="70"/>
      <c r="K102" s="70"/>
      <c r="L102" s="70"/>
      <c r="M102" s="70"/>
      <c r="N102" s="70"/>
      <c r="O102" s="70"/>
      <c r="P102" s="70"/>
    </row>
    <row r="103" spans="1:16" s="2" customFormat="1" x14ac:dyDescent="0.2">
      <c r="A103" s="71" t="s">
        <v>81</v>
      </c>
      <c r="B103" s="71"/>
      <c r="C103" s="72" t="s">
        <v>82</v>
      </c>
      <c r="D103" s="73" t="s">
        <v>83</v>
      </c>
      <c r="E103" s="69"/>
      <c r="F103" s="70"/>
      <c r="G103" s="30"/>
      <c r="H103" s="30"/>
      <c r="I103" s="70"/>
      <c r="J103" s="70"/>
      <c r="K103" s="70"/>
      <c r="L103" s="70"/>
      <c r="M103" s="70"/>
      <c r="N103" s="70"/>
      <c r="O103" s="70"/>
      <c r="P103" s="70"/>
    </row>
    <row r="104" spans="1:16" s="2" customFormat="1" x14ac:dyDescent="0.2">
      <c r="A104" s="87">
        <v>45352</v>
      </c>
      <c r="B104" s="120" t="s">
        <v>6</v>
      </c>
      <c r="C104" s="75" t="s">
        <v>2165</v>
      </c>
      <c r="D104" s="88">
        <v>2143144</v>
      </c>
      <c r="G104" s="30"/>
      <c r="H104" s="30"/>
      <c r="P104" s="70"/>
    </row>
    <row r="105" spans="1:16" s="2" customFormat="1" x14ac:dyDescent="0.2">
      <c r="A105" s="87">
        <v>45352</v>
      </c>
      <c r="B105" s="120" t="s">
        <v>6</v>
      </c>
      <c r="C105" s="75" t="s">
        <v>2171</v>
      </c>
      <c r="D105" s="88">
        <v>1493463</v>
      </c>
      <c r="G105" s="30"/>
      <c r="H105" s="30"/>
      <c r="P105" s="70"/>
    </row>
    <row r="106" spans="1:16" s="2" customFormat="1" x14ac:dyDescent="0.2">
      <c r="A106" s="87">
        <v>45356</v>
      </c>
      <c r="B106" s="120" t="s">
        <v>6</v>
      </c>
      <c r="C106" s="75" t="s">
        <v>1988</v>
      </c>
      <c r="D106" s="88">
        <v>3111466</v>
      </c>
      <c r="G106" s="30"/>
      <c r="H106" s="30"/>
      <c r="P106" s="70"/>
    </row>
    <row r="107" spans="1:16" s="2" customFormat="1" x14ac:dyDescent="0.2">
      <c r="A107" s="87">
        <v>45357</v>
      </c>
      <c r="B107" s="120" t="s">
        <v>6</v>
      </c>
      <c r="C107" s="75" t="s">
        <v>2171</v>
      </c>
      <c r="D107" s="88">
        <v>1393433</v>
      </c>
      <c r="G107" s="30"/>
      <c r="H107" s="30"/>
      <c r="P107" s="70"/>
    </row>
    <row r="108" spans="1:16" s="2" customFormat="1" x14ac:dyDescent="0.2">
      <c r="A108" s="87">
        <v>45356</v>
      </c>
      <c r="B108" s="120" t="s">
        <v>6</v>
      </c>
      <c r="C108" s="75" t="s">
        <v>2171</v>
      </c>
      <c r="D108" s="88">
        <v>1369091</v>
      </c>
      <c r="G108" s="30"/>
      <c r="H108" s="30"/>
      <c r="P108" s="70"/>
    </row>
    <row r="109" spans="1:16" s="2" customFormat="1" x14ac:dyDescent="0.2">
      <c r="A109" s="87">
        <v>45359</v>
      </c>
      <c r="B109" s="120" t="s">
        <v>6</v>
      </c>
      <c r="C109" s="75" t="s">
        <v>2171</v>
      </c>
      <c r="D109" s="88">
        <v>730944</v>
      </c>
      <c r="G109" s="30"/>
      <c r="H109" s="30"/>
      <c r="P109" s="70"/>
    </row>
    <row r="110" spans="1:16" s="2" customFormat="1" x14ac:dyDescent="0.2">
      <c r="A110" s="87">
        <v>45359</v>
      </c>
      <c r="B110" s="120" t="s">
        <v>6</v>
      </c>
      <c r="C110" s="75" t="s">
        <v>767</v>
      </c>
      <c r="D110" s="88">
        <v>19228</v>
      </c>
      <c r="G110" s="30"/>
      <c r="H110" s="30"/>
      <c r="P110" s="70"/>
    </row>
    <row r="111" spans="1:16" s="2" customFormat="1" x14ac:dyDescent="0.2">
      <c r="A111" s="87">
        <v>45362</v>
      </c>
      <c r="B111" s="120" t="s">
        <v>6</v>
      </c>
      <c r="C111" s="75" t="s">
        <v>1806</v>
      </c>
      <c r="D111" s="88">
        <v>2568137</v>
      </c>
      <c r="G111" s="30"/>
      <c r="H111" s="30"/>
      <c r="P111" s="70"/>
    </row>
    <row r="112" spans="1:16" s="2" customFormat="1" x14ac:dyDescent="0.2">
      <c r="A112" s="87">
        <v>45362</v>
      </c>
      <c r="B112" s="120" t="s">
        <v>6</v>
      </c>
      <c r="C112" s="75" t="s">
        <v>784</v>
      </c>
      <c r="D112" s="88">
        <v>39949</v>
      </c>
      <c r="G112" s="30"/>
      <c r="H112" s="30"/>
      <c r="P112" s="70"/>
    </row>
    <row r="113" spans="1:16" s="2" customFormat="1" x14ac:dyDescent="0.2">
      <c r="A113" s="87">
        <v>45362</v>
      </c>
      <c r="B113" s="120" t="s">
        <v>6</v>
      </c>
      <c r="C113" s="75" t="s">
        <v>784</v>
      </c>
      <c r="D113" s="88">
        <v>219691</v>
      </c>
      <c r="G113" s="30"/>
      <c r="H113" s="30"/>
      <c r="P113" s="70"/>
    </row>
    <row r="114" spans="1:16" s="2" customFormat="1" x14ac:dyDescent="0.2">
      <c r="A114" s="87"/>
      <c r="B114" s="74"/>
      <c r="C114" s="183" t="s">
        <v>2141</v>
      </c>
      <c r="D114" s="51">
        <f>SUM(D104:D113)</f>
        <v>13088546</v>
      </c>
      <c r="F114" s="2" t="s">
        <v>396</v>
      </c>
      <c r="G114" s="1"/>
      <c r="H114" s="1"/>
      <c r="P114" s="70"/>
    </row>
    <row r="115" spans="1:16" s="2" customFormat="1" x14ac:dyDescent="0.2">
      <c r="A115" s="24"/>
      <c r="B115" s="1"/>
      <c r="C115" s="14"/>
      <c r="D115" s="56"/>
      <c r="E115" s="13"/>
      <c r="G115" s="1"/>
      <c r="H115" s="1"/>
      <c r="I115" s="2" t="s">
        <v>396</v>
      </c>
    </row>
    <row r="116" spans="1:16" s="2" customFormat="1" x14ac:dyDescent="0.2">
      <c r="A116" s="24"/>
      <c r="B116" s="1"/>
      <c r="C116" s="218" t="s">
        <v>77</v>
      </c>
      <c r="D116" s="219"/>
      <c r="E116" s="219"/>
      <c r="F116" s="220"/>
      <c r="I116" s="2" t="s">
        <v>396</v>
      </c>
    </row>
    <row r="117" spans="1:16" s="2" customFormat="1" x14ac:dyDescent="0.2">
      <c r="A117" s="24"/>
      <c r="B117" s="1"/>
      <c r="C117" s="50"/>
      <c r="D117" s="57" t="s">
        <v>78</v>
      </c>
      <c r="E117" s="58" t="s">
        <v>79</v>
      </c>
      <c r="F117" s="57" t="s">
        <v>72</v>
      </c>
    </row>
    <row r="118" spans="1:16" s="2" customFormat="1" x14ac:dyDescent="0.2">
      <c r="A118" s="24"/>
      <c r="B118" s="1"/>
      <c r="C118" s="59" t="str">
        <f>"01-03-2024 to "&amp;TEXT(A5-2,"dd-mm-yyyy")</f>
        <v>01-03-2024 to 09-03-2024</v>
      </c>
      <c r="D118" s="60">
        <v>1555.58</v>
      </c>
      <c r="E118" s="60">
        <v>234.27</v>
      </c>
      <c r="F118" s="61">
        <f>SUM(D118:E118)</f>
        <v>1789.85</v>
      </c>
      <c r="I118" s="53"/>
    </row>
    <row r="119" spans="1:16" s="2" customFormat="1" x14ac:dyDescent="0.2">
      <c r="A119" s="24"/>
      <c r="B119" s="1"/>
      <c r="C119" s="62" t="str">
        <f>TEXT(A5-1,"dd-mm-yyyy")</f>
        <v>10-03-2024</v>
      </c>
      <c r="D119" s="60">
        <v>0</v>
      </c>
      <c r="E119" s="60">
        <v>0</v>
      </c>
      <c r="F119" s="61">
        <f>SUM(D119:E119)</f>
        <v>0</v>
      </c>
      <c r="G119" s="1"/>
      <c r="H119" s="1"/>
      <c r="I119" s="53"/>
    </row>
    <row r="120" spans="1:16" s="2" customFormat="1" ht="13.5" thickBot="1" x14ac:dyDescent="0.25">
      <c r="A120" s="24"/>
      <c r="B120" s="1"/>
      <c r="C120" s="63" t="str">
        <f>"01-03-2024 to "&amp;TEXT(A5-1,"dd-mm-yyyy")</f>
        <v>01-03-2024 to 10-03-2024</v>
      </c>
      <c r="D120" s="64">
        <f>SUM(D118:D119)</f>
        <v>1555.58</v>
      </c>
      <c r="E120" s="64">
        <f>SUM(E118:E119)</f>
        <v>234.27</v>
      </c>
      <c r="F120" s="64">
        <f>SUM(F118:F119)</f>
        <v>1789.85</v>
      </c>
      <c r="G120" s="1"/>
      <c r="H120" s="1"/>
      <c r="M120" s="1"/>
      <c r="N120" s="1"/>
    </row>
    <row r="121" spans="1:16" s="2" customFormat="1" ht="13.5" thickTop="1" x14ac:dyDescent="0.2">
      <c r="A121" s="24"/>
      <c r="B121" s="1"/>
      <c r="C121" s="62"/>
      <c r="D121" s="65"/>
      <c r="E121" s="66"/>
      <c r="F121" s="67"/>
      <c r="M121" s="1"/>
      <c r="N121" s="1"/>
    </row>
    <row r="122" spans="1:16" s="2" customFormat="1" x14ac:dyDescent="0.2">
      <c r="A122" s="24"/>
      <c r="B122" s="1"/>
      <c r="C122" s="62" t="str">
        <f>"01-04-2023 to " &amp;C119</f>
        <v>01-04-2023 to 10-03-2024</v>
      </c>
      <c r="D122" s="68">
        <f>+D120+41133.88</f>
        <v>42689.46</v>
      </c>
      <c r="E122" s="68">
        <f>+E120+5181.05</f>
        <v>5415.3200000000006</v>
      </c>
      <c r="F122" s="68">
        <f>+F120+46314.16</f>
        <v>48104.01</v>
      </c>
      <c r="G122" s="1"/>
      <c r="H122" s="1"/>
      <c r="M122" s="1"/>
      <c r="N122" s="1"/>
    </row>
    <row r="123" spans="1:16" s="2" customFormat="1" x14ac:dyDescent="0.2">
      <c r="A123" s="24"/>
      <c r="B123" s="1"/>
      <c r="C123" s="52"/>
      <c r="D123" s="85"/>
      <c r="E123" s="53"/>
      <c r="F123" s="53"/>
      <c r="G123" s="1"/>
      <c r="H123" s="1"/>
      <c r="M123" s="1"/>
      <c r="N123" s="1"/>
    </row>
    <row r="124" spans="1:16" s="2" customFormat="1" x14ac:dyDescent="0.2">
      <c r="A124" s="24"/>
      <c r="B124" s="1"/>
      <c r="C124" s="52"/>
      <c r="D124" s="85"/>
      <c r="E124" s="53"/>
      <c r="F124" s="53"/>
      <c r="G124" s="1"/>
      <c r="H124" s="1"/>
      <c r="M124" s="1"/>
      <c r="N124" s="1"/>
    </row>
    <row r="125" spans="1:16" s="2" customFormat="1" x14ac:dyDescent="0.2">
      <c r="A125" s="24"/>
      <c r="B125" s="1"/>
      <c r="C125" s="52"/>
      <c r="D125" s="85"/>
      <c r="E125" s="53"/>
      <c r="F125" s="53"/>
      <c r="G125" s="1"/>
      <c r="H125" s="1"/>
      <c r="M125" s="1"/>
      <c r="N125" s="1"/>
    </row>
    <row r="126" spans="1:16" s="2" customFormat="1" x14ac:dyDescent="0.2">
      <c r="A126" s="24"/>
      <c r="B126" s="1"/>
      <c r="C126" s="52"/>
      <c r="D126" s="85"/>
      <c r="E126" s="53"/>
      <c r="F126" s="53"/>
      <c r="G126" s="1"/>
      <c r="H126" s="1"/>
      <c r="M126" s="1"/>
      <c r="N126" s="1"/>
    </row>
    <row r="127" spans="1:16" s="2" customFormat="1" x14ac:dyDescent="0.2">
      <c r="A127" s="24"/>
      <c r="B127" s="1"/>
      <c r="C127" s="14"/>
      <c r="D127" s="25">
        <f>SUM(D124:D126)</f>
        <v>0</v>
      </c>
      <c r="E127" s="2">
        <f>SUM(E124:E126)</f>
        <v>0</v>
      </c>
      <c r="G127" s="1"/>
      <c r="H127" s="1"/>
      <c r="M127" s="1"/>
      <c r="N127" s="1"/>
    </row>
    <row r="128" spans="1:16" s="2" customFormat="1" x14ac:dyDescent="0.2">
      <c r="A128" s="24"/>
      <c r="B128" s="1"/>
      <c r="C128" s="14"/>
      <c r="D128" s="25"/>
      <c r="G128" s="1"/>
      <c r="H128" s="1"/>
      <c r="M128" s="1"/>
      <c r="N128" s="1"/>
    </row>
    <row r="129" spans="1:19" s="2" customFormat="1" x14ac:dyDescent="0.2">
      <c r="A129" s="24"/>
      <c r="B129" s="1"/>
      <c r="C129" s="14"/>
      <c r="D129" s="25"/>
      <c r="G129" s="1"/>
      <c r="H129" s="1"/>
      <c r="M129" s="1"/>
      <c r="N129" s="1"/>
    </row>
    <row r="130" spans="1:19" s="2" customFormat="1" x14ac:dyDescent="0.2">
      <c r="A130" s="24"/>
      <c r="B130" s="1"/>
      <c r="C130" s="14"/>
      <c r="D130" s="25"/>
      <c r="G130" s="1"/>
      <c r="H130" s="1"/>
      <c r="M130" s="1"/>
      <c r="N130" s="1"/>
    </row>
    <row r="131" spans="1:19" s="2" customFormat="1" x14ac:dyDescent="0.2">
      <c r="A131" s="24"/>
      <c r="B131" s="1"/>
      <c r="C131" s="14"/>
      <c r="D131" s="25"/>
      <c r="G131" s="1"/>
      <c r="H131" s="1"/>
      <c r="M131" s="1"/>
      <c r="N131" s="1"/>
    </row>
    <row r="132" spans="1:19" s="2" customFormat="1" x14ac:dyDescent="0.2">
      <c r="A132" s="24"/>
      <c r="B132" s="1"/>
      <c r="C132" s="14"/>
      <c r="D132" s="25"/>
      <c r="G132" s="1"/>
      <c r="H132" s="1"/>
      <c r="M132" s="1"/>
      <c r="N132" s="1"/>
    </row>
    <row r="133" spans="1:19" s="2" customFormat="1" x14ac:dyDescent="0.2">
      <c r="A133" s="24"/>
      <c r="B133" s="1"/>
      <c r="C133" s="14"/>
      <c r="D133" s="25"/>
      <c r="G133" s="1"/>
      <c r="H133" s="1"/>
      <c r="M133" s="1"/>
      <c r="N133" s="1"/>
    </row>
    <row r="134" spans="1:19" s="2" customFormat="1" x14ac:dyDescent="0.2">
      <c r="A134" s="24"/>
      <c r="B134" s="1"/>
      <c r="C134" s="14"/>
      <c r="D134" s="25"/>
      <c r="G134" s="1"/>
      <c r="H134" s="1"/>
      <c r="M134" s="1"/>
      <c r="N134" s="1"/>
      <c r="Q134" s="1"/>
      <c r="R134" s="1"/>
      <c r="S134" s="1"/>
    </row>
    <row r="135" spans="1:19" x14ac:dyDescent="0.2">
      <c r="J135" s="2"/>
      <c r="K135" s="2"/>
      <c r="L135" s="2"/>
      <c r="O135" s="2"/>
      <c r="P135" s="2"/>
      <c r="Q135" s="2"/>
      <c r="R135" s="2"/>
      <c r="S135" s="2"/>
    </row>
    <row r="136" spans="1:19" s="2" customFormat="1" x14ac:dyDescent="0.2">
      <c r="A136" s="24"/>
      <c r="B136" s="1"/>
      <c r="C136" s="14"/>
      <c r="D136" s="25"/>
      <c r="G136" s="1"/>
      <c r="H136" s="1"/>
      <c r="M136" s="1"/>
      <c r="N136" s="1"/>
      <c r="Q136" s="1"/>
      <c r="R136" s="1"/>
      <c r="S136" s="1"/>
    </row>
    <row r="137" spans="1:19" x14ac:dyDescent="0.2">
      <c r="J137" s="2"/>
      <c r="K137" s="2"/>
      <c r="L137" s="2"/>
      <c r="O137" s="2"/>
      <c r="P137" s="2"/>
    </row>
    <row r="138" spans="1:19" x14ac:dyDescent="0.2">
      <c r="J138" s="2"/>
      <c r="K138" s="2"/>
      <c r="L138" s="2"/>
      <c r="O138" s="2"/>
      <c r="P138" s="2"/>
    </row>
    <row r="139" spans="1:19" x14ac:dyDescent="0.2">
      <c r="J139" s="2"/>
      <c r="K139" s="2"/>
      <c r="L139" s="2"/>
      <c r="O139" s="2"/>
      <c r="P139" s="2"/>
    </row>
    <row r="140" spans="1:19" x14ac:dyDescent="0.2">
      <c r="J140" s="2"/>
      <c r="K140" s="2"/>
      <c r="L140" s="2"/>
      <c r="O140" s="2"/>
      <c r="P140" s="2"/>
    </row>
    <row r="141" spans="1:19" x14ac:dyDescent="0.2">
      <c r="O141" s="2"/>
      <c r="P141" s="2"/>
    </row>
    <row r="142" spans="1:19" x14ac:dyDescent="0.2">
      <c r="J142" s="2"/>
      <c r="K142" s="2"/>
      <c r="L142" s="2"/>
      <c r="M142" s="2"/>
      <c r="N142" s="2"/>
      <c r="O142" s="2"/>
      <c r="P142" s="2"/>
    </row>
    <row r="143" spans="1:19" x14ac:dyDescent="0.2">
      <c r="O143" s="2"/>
      <c r="P143" s="2"/>
    </row>
    <row r="144" spans="1:19" x14ac:dyDescent="0.2">
      <c r="G144" s="54"/>
      <c r="H144" s="54"/>
      <c r="O144" s="2"/>
      <c r="P144" s="2"/>
    </row>
    <row r="145" spans="7:16" x14ac:dyDescent="0.2">
      <c r="G145" s="54"/>
      <c r="H145" s="54"/>
      <c r="O145" s="2"/>
      <c r="P145" s="2"/>
    </row>
    <row r="146" spans="7:16" x14ac:dyDescent="0.2">
      <c r="G146" s="54"/>
      <c r="H146" s="54"/>
      <c r="O146" s="2"/>
      <c r="P146" s="2"/>
    </row>
    <row r="147" spans="7:16" x14ac:dyDescent="0.2">
      <c r="G147" s="54"/>
      <c r="H147" s="54"/>
      <c r="I147" s="2" t="s">
        <v>396</v>
      </c>
      <c r="O147" s="2"/>
      <c r="P147" s="2"/>
    </row>
    <row r="148" spans="7:16" x14ac:dyDescent="0.2">
      <c r="G148" s="54"/>
      <c r="H148" s="54"/>
      <c r="I148" s="53"/>
      <c r="J148" s="2"/>
      <c r="K148" s="2"/>
      <c r="L148" s="2"/>
      <c r="M148" s="2"/>
      <c r="N148" s="2"/>
      <c r="P148" s="2"/>
    </row>
    <row r="149" spans="7:16" x14ac:dyDescent="0.2">
      <c r="G149" s="54"/>
      <c r="H149" s="54"/>
      <c r="I149" s="53" t="s">
        <v>396</v>
      </c>
      <c r="O149" s="2"/>
      <c r="P149" s="2"/>
    </row>
    <row r="150" spans="7:16" x14ac:dyDescent="0.2">
      <c r="G150" s="54"/>
      <c r="H150" s="54"/>
      <c r="I150" s="53" t="s">
        <v>396</v>
      </c>
      <c r="K150" s="42"/>
      <c r="P150" s="2"/>
    </row>
    <row r="151" spans="7:16" x14ac:dyDescent="0.2">
      <c r="G151" s="54"/>
      <c r="H151" s="54"/>
      <c r="I151" s="53"/>
      <c r="J151" s="101"/>
      <c r="P151" s="2"/>
    </row>
    <row r="152" spans="7:16" x14ac:dyDescent="0.2">
      <c r="G152" s="54"/>
      <c r="H152" s="54"/>
      <c r="I152" s="53"/>
    </row>
    <row r="153" spans="7:16" x14ac:dyDescent="0.2">
      <c r="G153" s="54"/>
      <c r="H153" s="54"/>
      <c r="I153" s="53"/>
      <c r="P153" s="2"/>
    </row>
    <row r="154" spans="7:16" x14ac:dyDescent="0.2">
      <c r="G154" s="54"/>
      <c r="H154" s="54"/>
      <c r="I154" s="53"/>
    </row>
  </sheetData>
  <sheetProtection insertRows="0"/>
  <mergeCells count="8">
    <mergeCell ref="K95:L95"/>
    <mergeCell ref="A102:D102"/>
    <mergeCell ref="C116:F116"/>
    <mergeCell ref="A1:H1"/>
    <mergeCell ref="A3:F3"/>
    <mergeCell ref="A9:F9"/>
    <mergeCell ref="A19:F19"/>
    <mergeCell ref="A35:F35"/>
  </mergeCells>
  <conditionalFormatting sqref="H99:H100">
    <cfRule type="cellIs" dxfId="31" priority="1" operator="lessThan">
      <formula>0</formula>
    </cfRule>
  </conditionalFormatting>
  <conditionalFormatting sqref="C37">
    <cfRule type="duplicateValues" dxfId="30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1-000000000000}">
  <sheetPr codeName="Sheet571">
    <pageSetUpPr fitToPage="1"/>
  </sheetPr>
  <dimension ref="A1:S134"/>
  <sheetViews>
    <sheetView topLeftCell="A40" zoomScaleNormal="100" workbookViewId="0">
      <selection activeCell="F44" sqref="F44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12.85546875" style="1" customWidth="1"/>
    <col min="9" max="9" width="24.85546875" style="2" bestFit="1" customWidth="1"/>
    <col min="10" max="10" width="21.5703125" style="1" bestFit="1" customWidth="1"/>
    <col min="11" max="11" width="16.85546875" style="1" bestFit="1" customWidth="1"/>
    <col min="12" max="12" width="19.5703125" style="1" bestFit="1" customWidth="1"/>
    <col min="13" max="13" width="13.5703125" style="1" bestFit="1" customWidth="1"/>
    <col min="14" max="14" width="17.42578125" style="1" bestFit="1" customWidth="1"/>
    <col min="15" max="15" width="12.85546875" style="1" bestFit="1" customWidth="1"/>
    <col min="16" max="17" width="9.140625" style="1"/>
    <col min="18" max="18" width="15.5703125" style="1" bestFit="1" customWidth="1"/>
    <col min="19" max="16384" width="9.140625" style="1"/>
  </cols>
  <sheetData>
    <row r="1" spans="1:11" ht="20.25" customHeight="1" x14ac:dyDescent="0.4">
      <c r="A1" s="212" t="s">
        <v>2204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1" ht="12.75" customHeight="1" x14ac:dyDescent="0.4">
      <c r="I2" s="112"/>
      <c r="J2" s="112"/>
    </row>
    <row r="3" spans="1:11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1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1" s="2" customFormat="1" ht="14.25" customHeight="1" x14ac:dyDescent="0.4">
      <c r="A5" s="89">
        <v>45363</v>
      </c>
      <c r="B5" s="9" t="s">
        <v>6</v>
      </c>
      <c r="C5" s="10" t="s">
        <v>7</v>
      </c>
      <c r="D5" s="11"/>
      <c r="E5" s="12">
        <v>678762.84000000078</v>
      </c>
      <c r="F5" s="12"/>
      <c r="G5" s="1"/>
      <c r="H5" s="1"/>
      <c r="I5" s="112"/>
      <c r="J5" s="112"/>
    </row>
    <row r="6" spans="1:11" s="2" customFormat="1" ht="12.75" customHeight="1" x14ac:dyDescent="0.2">
      <c r="D6" s="15" t="s">
        <v>8</v>
      </c>
      <c r="E6" s="16">
        <f>SUM(E5:E5)</f>
        <v>678762.84000000078</v>
      </c>
      <c r="F6" s="16">
        <f>F5</f>
        <v>0</v>
      </c>
      <c r="G6" s="1"/>
      <c r="H6" s="1"/>
      <c r="I6" s="13" t="s">
        <v>1582</v>
      </c>
      <c r="J6" s="13" t="s">
        <v>1583</v>
      </c>
    </row>
    <row r="7" spans="1:11" s="2" customFormat="1" ht="12.75" customHeight="1" x14ac:dyDescent="0.2">
      <c r="A7" s="17"/>
      <c r="B7" s="18"/>
      <c r="C7" s="19" t="s">
        <v>9</v>
      </c>
      <c r="D7" s="20"/>
      <c r="E7" s="21">
        <f>+E6-F6</f>
        <v>678762.84000000078</v>
      </c>
      <c r="F7" s="22"/>
      <c r="G7" s="23"/>
      <c r="H7" s="23"/>
      <c r="I7" s="2">
        <v>2968457</v>
      </c>
      <c r="J7" s="2">
        <v>0</v>
      </c>
      <c r="K7" s="176">
        <f>I7-J7</f>
        <v>2968457</v>
      </c>
    </row>
    <row r="8" spans="1:11" ht="11.25" customHeight="1" x14ac:dyDescent="0.4">
      <c r="I8" s="112"/>
      <c r="J8" s="112"/>
    </row>
    <row r="9" spans="1:11" ht="18" customHeight="1" x14ac:dyDescent="0.4">
      <c r="A9" s="213" t="s">
        <v>2103</v>
      </c>
      <c r="B9" s="213"/>
      <c r="C9" s="213"/>
      <c r="D9" s="213"/>
      <c r="E9" s="213"/>
      <c r="F9" s="213"/>
      <c r="I9" s="112"/>
      <c r="J9" s="112"/>
    </row>
    <row r="10" spans="1:11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I10" s="112"/>
      <c r="J10" s="112"/>
    </row>
    <row r="11" spans="1:11" ht="12.75" customHeight="1" x14ac:dyDescent="0.4">
      <c r="A11" s="89">
        <v>45363</v>
      </c>
      <c r="B11" s="9" t="s">
        <v>6</v>
      </c>
      <c r="C11" s="10" t="s">
        <v>7</v>
      </c>
      <c r="D11" s="11"/>
      <c r="E11" s="12">
        <v>3020779.1099999985</v>
      </c>
      <c r="F11" s="1"/>
      <c r="I11" s="112"/>
      <c r="J11" s="112"/>
    </row>
    <row r="12" spans="1:11" ht="12.75" customHeight="1" x14ac:dyDescent="0.4">
      <c r="A12" s="89">
        <v>45363</v>
      </c>
      <c r="B12" s="9" t="s">
        <v>6</v>
      </c>
      <c r="C12" s="76" t="s">
        <v>200</v>
      </c>
      <c r="D12" s="11" t="s">
        <v>13</v>
      </c>
      <c r="E12" s="31">
        <v>37335</v>
      </c>
      <c r="F12" s="31"/>
      <c r="I12" s="112"/>
      <c r="J12" s="112"/>
    </row>
    <row r="13" spans="1:11" ht="12.75" customHeight="1" x14ac:dyDescent="0.4">
      <c r="A13" s="89">
        <v>45363</v>
      </c>
      <c r="B13" s="9" t="s">
        <v>11</v>
      </c>
      <c r="C13" s="76" t="s">
        <v>1091</v>
      </c>
      <c r="D13" s="11" t="s">
        <v>29</v>
      </c>
      <c r="E13" s="31"/>
      <c r="F13" s="31">
        <v>1180</v>
      </c>
      <c r="I13" s="112"/>
      <c r="J13" s="112"/>
    </row>
    <row r="14" spans="1:11" ht="12.75" customHeight="1" x14ac:dyDescent="0.2">
      <c r="A14" s="2"/>
      <c r="B14" s="2"/>
      <c r="C14" s="2"/>
      <c r="D14" s="11" t="s">
        <v>8</v>
      </c>
      <c r="E14" s="16">
        <f>SUM(E11:E13)</f>
        <v>3058114.1099999985</v>
      </c>
      <c r="F14" s="16">
        <f>SUM(F12:F13)</f>
        <v>1180</v>
      </c>
      <c r="I14" s="13" t="s">
        <v>1582</v>
      </c>
      <c r="J14" s="13" t="s">
        <v>1583</v>
      </c>
    </row>
    <row r="15" spans="1:11" x14ac:dyDescent="0.2">
      <c r="A15" s="17"/>
      <c r="B15" s="18"/>
      <c r="C15" s="19" t="s">
        <v>9</v>
      </c>
      <c r="D15" s="20"/>
      <c r="E15" s="21">
        <f>+E14-F14</f>
        <v>3056934.1099999985</v>
      </c>
      <c r="I15" s="2">
        <v>3014756.12</v>
      </c>
      <c r="J15" s="2">
        <v>0</v>
      </c>
    </row>
    <row r="16" spans="1:11" ht="18" customHeight="1" x14ac:dyDescent="0.25">
      <c r="A16" s="36"/>
      <c r="B16" s="28"/>
      <c r="C16" s="44"/>
      <c r="D16" s="43"/>
      <c r="E16" s="38"/>
      <c r="F16" s="22"/>
      <c r="J16" s="2"/>
    </row>
    <row r="17" spans="1:12" ht="18" customHeight="1" x14ac:dyDescent="0.4">
      <c r="A17" s="213" t="s">
        <v>2104</v>
      </c>
      <c r="B17" s="213"/>
      <c r="C17" s="213"/>
      <c r="D17" s="213"/>
      <c r="E17" s="213"/>
      <c r="F17" s="213"/>
      <c r="I17" s="112"/>
      <c r="J17" s="169">
        <f>90000000-60000000</f>
        <v>30000000</v>
      </c>
      <c r="K17" s="169" t="s">
        <v>1508</v>
      </c>
    </row>
    <row r="18" spans="1:12" ht="12.75" customHeight="1" x14ac:dyDescent="0.4">
      <c r="A18" s="3" t="s">
        <v>1</v>
      </c>
      <c r="B18" s="4" t="s">
        <v>2</v>
      </c>
      <c r="C18" s="5"/>
      <c r="D18" s="6" t="s">
        <v>3</v>
      </c>
      <c r="E18" s="7" t="s">
        <v>4</v>
      </c>
      <c r="F18" s="7" t="s">
        <v>5</v>
      </c>
      <c r="I18" s="112"/>
      <c r="J18" s="169">
        <v>29928464.98</v>
      </c>
      <c r="K18" s="169" t="s">
        <v>1509</v>
      </c>
      <c r="L18" s="124"/>
    </row>
    <row r="19" spans="1:12" s="2" customFormat="1" ht="14.25" customHeight="1" x14ac:dyDescent="0.2">
      <c r="A19" s="89">
        <v>45363</v>
      </c>
      <c r="B19" s="9" t="s">
        <v>6</v>
      </c>
      <c r="C19" s="10" t="s">
        <v>7</v>
      </c>
      <c r="D19" s="11"/>
      <c r="F19" s="12">
        <v>28576179.09</v>
      </c>
      <c r="G19" s="1"/>
      <c r="H19" s="1"/>
      <c r="I19" s="130" t="s">
        <v>396</v>
      </c>
      <c r="J19" s="169">
        <f>+J17-J18</f>
        <v>71535.019999999553</v>
      </c>
      <c r="K19" s="169" t="s">
        <v>712</v>
      </c>
      <c r="L19" s="165" t="s">
        <v>1512</v>
      </c>
    </row>
    <row r="20" spans="1:12" s="2" customFormat="1" ht="14.25" customHeight="1" x14ac:dyDescent="0.2">
      <c r="A20" s="89">
        <v>45363</v>
      </c>
      <c r="B20" s="9" t="s">
        <v>6</v>
      </c>
      <c r="C20" s="76" t="s">
        <v>298</v>
      </c>
      <c r="D20" s="11" t="s">
        <v>13</v>
      </c>
      <c r="E20" s="31">
        <v>2258224.12</v>
      </c>
      <c r="F20" s="12"/>
      <c r="G20" s="1"/>
      <c r="H20" s="1"/>
      <c r="I20" s="130"/>
      <c r="J20" s="169"/>
      <c r="K20" s="169"/>
      <c r="L20" s="165"/>
    </row>
    <row r="21" spans="1:12" s="2" customFormat="1" ht="14.25" customHeight="1" x14ac:dyDescent="0.2">
      <c r="A21" s="89">
        <v>45363</v>
      </c>
      <c r="B21" s="9" t="s">
        <v>11</v>
      </c>
      <c r="C21" s="76" t="s">
        <v>1091</v>
      </c>
      <c r="D21" s="11" t="s">
        <v>29</v>
      </c>
      <c r="E21" s="31"/>
      <c r="F21" s="31">
        <v>17700</v>
      </c>
      <c r="G21" s="1"/>
      <c r="H21" s="1"/>
      <c r="I21" s="130"/>
      <c r="J21" s="169"/>
      <c r="K21" s="169"/>
      <c r="L21" s="165"/>
    </row>
    <row r="22" spans="1:12" s="2" customFormat="1" ht="14.25" customHeight="1" x14ac:dyDescent="0.2">
      <c r="A22" s="89">
        <v>45363</v>
      </c>
      <c r="B22" s="9" t="s">
        <v>11</v>
      </c>
      <c r="C22" s="76" t="s">
        <v>1335</v>
      </c>
      <c r="D22" s="11" t="s">
        <v>29</v>
      </c>
      <c r="E22" s="31"/>
      <c r="F22" s="31">
        <v>97807</v>
      </c>
      <c r="G22" s="1"/>
      <c r="H22" s="1"/>
      <c r="I22" s="130"/>
      <c r="J22" s="169"/>
      <c r="K22" s="169"/>
      <c r="L22" s="165"/>
    </row>
    <row r="23" spans="1:12" s="2" customFormat="1" ht="14.25" customHeight="1" x14ac:dyDescent="0.2">
      <c r="A23" s="89">
        <v>45363</v>
      </c>
      <c r="B23" s="9" t="s">
        <v>11</v>
      </c>
      <c r="C23" s="76" t="s">
        <v>719</v>
      </c>
      <c r="D23" s="11" t="s">
        <v>29</v>
      </c>
      <c r="E23" s="31"/>
      <c r="F23" s="31">
        <v>134770</v>
      </c>
      <c r="G23" s="1"/>
      <c r="H23" s="1"/>
      <c r="I23" s="130"/>
      <c r="J23" s="169"/>
      <c r="K23" s="169"/>
      <c r="L23" s="165"/>
    </row>
    <row r="24" spans="1:12" s="2" customFormat="1" ht="14.25" customHeight="1" x14ac:dyDescent="0.2">
      <c r="A24" s="89">
        <v>45363</v>
      </c>
      <c r="B24" s="9" t="s">
        <v>11</v>
      </c>
      <c r="C24" s="76" t="s">
        <v>210</v>
      </c>
      <c r="D24" s="11" t="s">
        <v>29</v>
      </c>
      <c r="E24" s="31"/>
      <c r="F24" s="31">
        <v>162250</v>
      </c>
      <c r="G24" s="1"/>
      <c r="H24" s="1"/>
      <c r="I24" s="130"/>
      <c r="J24" s="169"/>
      <c r="K24" s="169"/>
      <c r="L24" s="165"/>
    </row>
    <row r="25" spans="1:12" s="2" customFormat="1" ht="14.25" customHeight="1" x14ac:dyDescent="0.2">
      <c r="A25" s="89">
        <v>45363</v>
      </c>
      <c r="B25" s="9" t="s">
        <v>11</v>
      </c>
      <c r="C25" s="76" t="s">
        <v>1216</v>
      </c>
      <c r="D25" s="11" t="s">
        <v>29</v>
      </c>
      <c r="E25" s="31"/>
      <c r="F25" s="31">
        <v>67677.89</v>
      </c>
      <c r="G25" s="1"/>
      <c r="H25" s="1"/>
      <c r="I25" s="130"/>
      <c r="J25" s="169"/>
      <c r="K25" s="169"/>
      <c r="L25" s="165"/>
    </row>
    <row r="26" spans="1:12" s="2" customFormat="1" ht="14.25" customHeight="1" x14ac:dyDescent="0.2">
      <c r="A26" s="89">
        <v>45363</v>
      </c>
      <c r="B26" s="9" t="s">
        <v>11</v>
      </c>
      <c r="C26" s="76" t="s">
        <v>96</v>
      </c>
      <c r="D26" s="11" t="s">
        <v>29</v>
      </c>
      <c r="E26" s="31"/>
      <c r="F26" s="31">
        <v>6549</v>
      </c>
      <c r="G26" s="1"/>
      <c r="H26" s="1"/>
      <c r="I26" s="130"/>
      <c r="J26" s="169"/>
      <c r="K26" s="169"/>
      <c r="L26" s="165"/>
    </row>
    <row r="27" spans="1:12" s="2" customFormat="1" ht="14.25" customHeight="1" x14ac:dyDescent="0.2">
      <c r="A27" s="89">
        <v>45363</v>
      </c>
      <c r="B27" s="9" t="s">
        <v>11</v>
      </c>
      <c r="C27" s="76" t="s">
        <v>195</v>
      </c>
      <c r="D27" s="11" t="s">
        <v>29</v>
      </c>
      <c r="E27" s="31"/>
      <c r="F27" s="31">
        <v>9000</v>
      </c>
      <c r="G27" s="1"/>
      <c r="H27" s="1"/>
      <c r="I27" s="130"/>
      <c r="J27" s="169"/>
      <c r="K27" s="169"/>
      <c r="L27" s="165"/>
    </row>
    <row r="28" spans="1:12" s="2" customFormat="1" ht="14.25" customHeight="1" x14ac:dyDescent="0.2">
      <c r="A28" s="89">
        <v>45363</v>
      </c>
      <c r="B28" s="9" t="s">
        <v>11</v>
      </c>
      <c r="C28" s="76" t="s">
        <v>2205</v>
      </c>
      <c r="D28" s="11" t="s">
        <v>29</v>
      </c>
      <c r="E28" s="31"/>
      <c r="F28" s="31">
        <v>35000</v>
      </c>
      <c r="G28" s="1"/>
      <c r="H28" s="1"/>
      <c r="I28" s="130"/>
      <c r="J28" s="169"/>
      <c r="K28" s="169"/>
      <c r="L28" s="165"/>
    </row>
    <row r="29" spans="1:12" s="2" customFormat="1" ht="14.25" customHeight="1" x14ac:dyDescent="0.2">
      <c r="A29" s="89">
        <v>45363</v>
      </c>
      <c r="B29" s="9" t="s">
        <v>11</v>
      </c>
      <c r="C29" s="76" t="s">
        <v>62</v>
      </c>
      <c r="D29" s="11" t="s">
        <v>29</v>
      </c>
      <c r="E29" s="31"/>
      <c r="F29" s="31">
        <v>65000</v>
      </c>
      <c r="G29" s="1"/>
      <c r="H29" s="1"/>
      <c r="I29" s="130"/>
      <c r="J29" s="169"/>
      <c r="K29" s="169"/>
      <c r="L29" s="165"/>
    </row>
    <row r="30" spans="1:12" s="2" customFormat="1" ht="14.25" customHeight="1" x14ac:dyDescent="0.4">
      <c r="D30" s="11" t="s">
        <v>8</v>
      </c>
      <c r="E30" s="16">
        <f>SUM(E20:E20)</f>
        <v>2258224.12</v>
      </c>
      <c r="F30" s="16">
        <f>SUM(F19:F29)</f>
        <v>29171932.98</v>
      </c>
      <c r="G30" s="1"/>
      <c r="H30" s="1"/>
      <c r="J30" s="112"/>
      <c r="K30" s="153" t="s">
        <v>779</v>
      </c>
    </row>
    <row r="31" spans="1:12" s="2" customFormat="1" ht="14.25" customHeight="1" x14ac:dyDescent="0.2">
      <c r="A31" s="17"/>
      <c r="B31" s="18"/>
      <c r="C31" s="96" t="s">
        <v>9</v>
      </c>
      <c r="D31" s="20"/>
      <c r="E31" s="21">
        <f>+F30-E30</f>
        <v>26913708.859999999</v>
      </c>
      <c r="G31" s="1"/>
      <c r="H31" s="1"/>
      <c r="J31" s="40">
        <v>26913708.859999999</v>
      </c>
      <c r="K31" s="154">
        <f>J31-E31</f>
        <v>0</v>
      </c>
    </row>
    <row r="32" spans="1:12" s="2" customFormat="1" ht="14.25" customHeight="1" x14ac:dyDescent="0.2">
      <c r="A32" s="17"/>
      <c r="B32" s="28" t="s">
        <v>66</v>
      </c>
      <c r="C32" s="43" t="s">
        <v>1458</v>
      </c>
      <c r="D32" s="43"/>
      <c r="E32" s="12">
        <f>30000000+60000000</f>
        <v>90000000</v>
      </c>
      <c r="F32" s="22"/>
      <c r="G32" s="1"/>
      <c r="H32" s="1"/>
      <c r="I32" s="13" t="s">
        <v>1582</v>
      </c>
      <c r="J32" s="13" t="s">
        <v>1583</v>
      </c>
    </row>
    <row r="33" spans="1:12" s="2" customFormat="1" ht="14.25" customHeight="1" x14ac:dyDescent="0.25">
      <c r="A33" s="36"/>
      <c r="B33" s="28"/>
      <c r="C33" s="44" t="s">
        <v>1541</v>
      </c>
      <c r="D33" s="43"/>
      <c r="E33" s="7">
        <f>+E31+E32</f>
        <v>116913708.86</v>
      </c>
      <c r="F33" s="22"/>
      <c r="G33" s="1"/>
      <c r="H33" s="1"/>
      <c r="I33" s="2">
        <v>295260</v>
      </c>
      <c r="J33" s="2">
        <v>1957105</v>
      </c>
      <c r="K33" s="176">
        <f>I33-J33</f>
        <v>-1661845</v>
      </c>
    </row>
    <row r="34" spans="1:12" s="2" customFormat="1" ht="14.25" customHeight="1" x14ac:dyDescent="0.25">
      <c r="A34" s="36"/>
      <c r="B34" s="28"/>
      <c r="C34" s="44" t="s">
        <v>1511</v>
      </c>
      <c r="D34" s="43"/>
      <c r="E34" s="38">
        <f>I15-J15+J19</f>
        <v>3086291.1399999997</v>
      </c>
      <c r="F34" s="22"/>
      <c r="G34" s="1"/>
      <c r="H34" s="1"/>
      <c r="J34" s="130"/>
      <c r="K34" s="130"/>
    </row>
    <row r="35" spans="1:12" s="2" customFormat="1" x14ac:dyDescent="0.2">
      <c r="A35" s="24"/>
      <c r="B35" s="1"/>
      <c r="C35" s="14"/>
      <c r="D35" s="25"/>
      <c r="G35" s="1"/>
      <c r="H35" s="1"/>
      <c r="I35" s="159"/>
      <c r="J35" s="160">
        <f>100000000</f>
        <v>100000000</v>
      </c>
      <c r="K35" s="160" t="s">
        <v>1506</v>
      </c>
      <c r="L35" s="70"/>
    </row>
    <row r="36" spans="1:12" s="2" customFormat="1" ht="15" x14ac:dyDescent="0.35">
      <c r="A36" s="214" t="s">
        <v>10</v>
      </c>
      <c r="B36" s="214"/>
      <c r="C36" s="214"/>
      <c r="D36" s="214"/>
      <c r="E36" s="214"/>
      <c r="F36" s="214"/>
      <c r="G36" s="1"/>
      <c r="H36" s="1"/>
      <c r="I36" s="159"/>
      <c r="J36" s="179">
        <v>63659943.329999998</v>
      </c>
      <c r="K36" s="160" t="s">
        <v>1507</v>
      </c>
      <c r="L36" s="70" t="s">
        <v>1512</v>
      </c>
    </row>
    <row r="37" spans="1:12" s="2" customFormat="1" x14ac:dyDescent="0.2">
      <c r="A37" s="26" t="s">
        <v>1</v>
      </c>
      <c r="B37" s="27" t="s">
        <v>2</v>
      </c>
      <c r="C37" s="5"/>
      <c r="D37" s="6" t="s">
        <v>3</v>
      </c>
      <c r="E37" s="7" t="s">
        <v>4</v>
      </c>
      <c r="F37" s="7" t="s">
        <v>5</v>
      </c>
      <c r="G37" s="1"/>
      <c r="H37" s="1"/>
      <c r="I37" s="159" t="s">
        <v>1505</v>
      </c>
      <c r="J37" s="160">
        <f>+J35-J36</f>
        <v>36340056.670000002</v>
      </c>
      <c r="K37" s="160"/>
      <c r="L37" s="70"/>
    </row>
    <row r="38" spans="1:12" s="2" customFormat="1" x14ac:dyDescent="0.2">
      <c r="A38" s="89" t="s">
        <v>2206</v>
      </c>
      <c r="B38" s="128" t="s">
        <v>11</v>
      </c>
      <c r="C38" s="29" t="s">
        <v>7</v>
      </c>
      <c r="D38" s="25"/>
      <c r="E38" s="31"/>
      <c r="F38" s="13">
        <v>242781966.11999989</v>
      </c>
      <c r="G38" s="23"/>
      <c r="H38" s="23"/>
      <c r="I38" s="159"/>
      <c r="J38" s="160"/>
      <c r="K38" s="160"/>
      <c r="L38" s="70"/>
    </row>
    <row r="39" spans="1:12" s="2" customFormat="1" x14ac:dyDescent="0.2">
      <c r="A39" s="89" t="s">
        <v>2206</v>
      </c>
      <c r="B39" s="128" t="s">
        <v>6</v>
      </c>
      <c r="C39" s="181" t="s">
        <v>311</v>
      </c>
      <c r="D39" s="11" t="s">
        <v>13</v>
      </c>
      <c r="E39" s="86">
        <v>1107218</v>
      </c>
      <c r="G39" s="23"/>
      <c r="H39" s="23"/>
      <c r="I39" s="159"/>
      <c r="J39" s="160"/>
      <c r="K39" s="160"/>
      <c r="L39" s="70"/>
    </row>
    <row r="40" spans="1:12" s="2" customFormat="1" x14ac:dyDescent="0.2">
      <c r="A40" s="89" t="s">
        <v>2206</v>
      </c>
      <c r="B40" s="128" t="s">
        <v>6</v>
      </c>
      <c r="C40" s="181" t="s">
        <v>237</v>
      </c>
      <c r="D40" s="11" t="s">
        <v>13</v>
      </c>
      <c r="E40" s="86">
        <v>1107368</v>
      </c>
      <c r="G40" s="23"/>
      <c r="H40" s="23"/>
      <c r="I40" s="159"/>
      <c r="J40" s="160"/>
      <c r="K40" s="160"/>
      <c r="L40" s="70"/>
    </row>
    <row r="41" spans="1:12" s="2" customFormat="1" x14ac:dyDescent="0.2">
      <c r="A41" s="89" t="s">
        <v>2206</v>
      </c>
      <c r="B41" s="128" t="s">
        <v>6</v>
      </c>
      <c r="C41" s="181" t="s">
        <v>15</v>
      </c>
      <c r="D41" s="11" t="s">
        <v>13</v>
      </c>
      <c r="E41" s="86">
        <f>4607.13+10083.65</f>
        <v>14690.779999999999</v>
      </c>
      <c r="G41" s="23"/>
      <c r="H41" s="23"/>
      <c r="I41" s="159"/>
      <c r="J41" s="160"/>
      <c r="K41" s="160"/>
      <c r="L41" s="70"/>
    </row>
    <row r="42" spans="1:12" s="2" customFormat="1" x14ac:dyDescent="0.2">
      <c r="A42" s="89" t="s">
        <v>2206</v>
      </c>
      <c r="B42" s="128" t="s">
        <v>6</v>
      </c>
      <c r="C42" s="181" t="s">
        <v>796</v>
      </c>
      <c r="D42" s="11" t="s">
        <v>13</v>
      </c>
      <c r="E42" s="86">
        <v>830</v>
      </c>
      <c r="G42" s="23"/>
      <c r="H42" s="23"/>
      <c r="I42" s="159"/>
      <c r="J42" s="160"/>
      <c r="K42" s="160"/>
      <c r="L42" s="70"/>
    </row>
    <row r="43" spans="1:12" s="2" customFormat="1" x14ac:dyDescent="0.2">
      <c r="A43" s="89" t="s">
        <v>2206</v>
      </c>
      <c r="B43" s="128" t="s">
        <v>6</v>
      </c>
      <c r="C43" s="181" t="s">
        <v>1061</v>
      </c>
      <c r="D43" s="11" t="s">
        <v>13</v>
      </c>
      <c r="E43" s="86">
        <v>15247</v>
      </c>
      <c r="G43" s="23"/>
      <c r="H43" s="23"/>
      <c r="I43" s="159"/>
      <c r="J43" s="160"/>
      <c r="K43" s="160"/>
      <c r="L43" s="70"/>
    </row>
    <row r="44" spans="1:12" s="2" customFormat="1" x14ac:dyDescent="0.2">
      <c r="A44" s="89" t="s">
        <v>2206</v>
      </c>
      <c r="B44" s="128" t="s">
        <v>6</v>
      </c>
      <c r="C44" s="181" t="s">
        <v>1338</v>
      </c>
      <c r="D44" s="11" t="s">
        <v>13</v>
      </c>
      <c r="E44" s="86">
        <v>169756</v>
      </c>
      <c r="G44" s="23"/>
      <c r="H44" s="23"/>
      <c r="I44" s="159"/>
      <c r="J44" s="160"/>
      <c r="K44" s="160"/>
      <c r="L44" s="70"/>
    </row>
    <row r="45" spans="1:12" s="2" customFormat="1" x14ac:dyDescent="0.2">
      <c r="A45" s="89" t="s">
        <v>2206</v>
      </c>
      <c r="B45" s="128" t="s">
        <v>6</v>
      </c>
      <c r="C45" s="181" t="s">
        <v>2085</v>
      </c>
      <c r="D45" s="11" t="s">
        <v>13</v>
      </c>
      <c r="E45" s="86">
        <v>200000</v>
      </c>
      <c r="G45" s="23"/>
      <c r="H45" s="23"/>
      <c r="I45" s="159"/>
      <c r="J45" s="160"/>
      <c r="K45" s="160"/>
      <c r="L45" s="70"/>
    </row>
    <row r="46" spans="1:12" s="2" customFormat="1" x14ac:dyDescent="0.2">
      <c r="A46" s="89" t="s">
        <v>2206</v>
      </c>
      <c r="B46" s="128" t="s">
        <v>6</v>
      </c>
      <c r="C46" s="181" t="s">
        <v>1155</v>
      </c>
      <c r="D46" s="11" t="s">
        <v>13</v>
      </c>
      <c r="E46" s="86">
        <v>175000000</v>
      </c>
      <c r="G46" s="23"/>
      <c r="H46" s="23"/>
      <c r="I46" s="159"/>
      <c r="J46" s="160"/>
      <c r="K46" s="160"/>
      <c r="L46" s="70"/>
    </row>
    <row r="47" spans="1:12" s="2" customFormat="1" x14ac:dyDescent="0.2">
      <c r="A47" s="89" t="s">
        <v>2206</v>
      </c>
      <c r="B47" s="128" t="s">
        <v>6</v>
      </c>
      <c r="C47" s="181" t="s">
        <v>149</v>
      </c>
      <c r="D47" s="11" t="s">
        <v>13</v>
      </c>
      <c r="E47" s="86">
        <v>2335</v>
      </c>
      <c r="G47" s="23"/>
      <c r="H47" s="23"/>
      <c r="I47" s="159"/>
      <c r="J47" s="160"/>
      <c r="K47" s="160"/>
      <c r="L47" s="70"/>
    </row>
    <row r="48" spans="1:12" s="2" customFormat="1" x14ac:dyDescent="0.2">
      <c r="A48" s="89" t="s">
        <v>2206</v>
      </c>
      <c r="B48" s="128" t="s">
        <v>6</v>
      </c>
      <c r="C48" s="181" t="s">
        <v>1501</v>
      </c>
      <c r="D48" s="11" t="s">
        <v>13</v>
      </c>
      <c r="E48" s="86">
        <v>2422064</v>
      </c>
      <c r="G48" s="23"/>
      <c r="H48" s="23"/>
      <c r="I48" s="159"/>
      <c r="J48" s="160"/>
      <c r="K48" s="160"/>
      <c r="L48" s="70"/>
    </row>
    <row r="49" spans="1:16" s="2" customFormat="1" x14ac:dyDescent="0.2">
      <c r="A49" s="89" t="s">
        <v>2206</v>
      </c>
      <c r="B49" s="128" t="s">
        <v>6</v>
      </c>
      <c r="C49" s="181" t="s">
        <v>143</v>
      </c>
      <c r="D49" s="11" t="s">
        <v>13</v>
      </c>
      <c r="E49" s="86">
        <v>1032364</v>
      </c>
      <c r="G49" s="23"/>
      <c r="H49" s="23"/>
      <c r="I49" s="159"/>
      <c r="J49" s="160"/>
      <c r="K49" s="160"/>
      <c r="L49" s="70"/>
    </row>
    <row r="50" spans="1:16" s="2" customFormat="1" x14ac:dyDescent="0.2">
      <c r="A50" s="89" t="s">
        <v>2206</v>
      </c>
      <c r="B50" s="128" t="s">
        <v>6</v>
      </c>
      <c r="C50" s="181" t="s">
        <v>843</v>
      </c>
      <c r="D50" s="11" t="s">
        <v>13</v>
      </c>
      <c r="E50" s="86">
        <v>482861</v>
      </c>
      <c r="G50" s="23"/>
      <c r="H50" s="23"/>
      <c r="I50" s="159"/>
      <c r="J50" s="160"/>
      <c r="K50" s="160"/>
      <c r="L50" s="70"/>
    </row>
    <row r="51" spans="1:16" s="2" customFormat="1" x14ac:dyDescent="0.2">
      <c r="A51" s="89" t="s">
        <v>2206</v>
      </c>
      <c r="B51" s="128" t="s">
        <v>6</v>
      </c>
      <c r="C51" s="181" t="s">
        <v>27</v>
      </c>
      <c r="D51" s="11" t="s">
        <v>13</v>
      </c>
      <c r="E51" s="86">
        <v>80911.199999999997</v>
      </c>
      <c r="G51" s="23"/>
      <c r="H51" s="23"/>
      <c r="I51" s="159"/>
      <c r="J51" s="160"/>
      <c r="K51" s="160"/>
      <c r="L51" s="70"/>
    </row>
    <row r="52" spans="1:16" s="2" customFormat="1" x14ac:dyDescent="0.2">
      <c r="A52" s="89" t="s">
        <v>2206</v>
      </c>
      <c r="B52" s="128" t="s">
        <v>11</v>
      </c>
      <c r="C52" s="181" t="s">
        <v>1734</v>
      </c>
      <c r="D52" s="11" t="s">
        <v>29</v>
      </c>
      <c r="E52" s="86"/>
      <c r="F52" s="2">
        <v>600610</v>
      </c>
      <c r="G52" s="23"/>
      <c r="H52" s="23"/>
      <c r="I52" s="159"/>
      <c r="J52" s="160"/>
      <c r="K52" s="160"/>
      <c r="L52" s="70"/>
    </row>
    <row r="53" spans="1:16" s="2" customFormat="1" x14ac:dyDescent="0.2">
      <c r="A53" s="89" t="s">
        <v>2206</v>
      </c>
      <c r="B53" s="128" t="s">
        <v>11</v>
      </c>
      <c r="C53" s="181" t="s">
        <v>1403</v>
      </c>
      <c r="D53" s="11" t="s">
        <v>29</v>
      </c>
      <c r="E53" s="86"/>
      <c r="F53" s="2">
        <v>1308326</v>
      </c>
      <c r="G53" s="23"/>
      <c r="H53" s="23"/>
      <c r="I53" s="159"/>
      <c r="J53" s="160"/>
      <c r="K53" s="160"/>
      <c r="L53" s="70"/>
    </row>
    <row r="54" spans="1:16" s="2" customFormat="1" x14ac:dyDescent="0.2">
      <c r="A54" s="89" t="s">
        <v>2206</v>
      </c>
      <c r="B54" s="128" t="s">
        <v>11</v>
      </c>
      <c r="C54" s="181" t="s">
        <v>486</v>
      </c>
      <c r="D54" s="11" t="s">
        <v>29</v>
      </c>
      <c r="E54" s="86"/>
      <c r="F54" s="2">
        <v>200000</v>
      </c>
      <c r="G54" s="23"/>
      <c r="H54" s="23"/>
      <c r="I54" s="159"/>
      <c r="J54" s="160"/>
      <c r="K54" s="160"/>
      <c r="L54" s="70"/>
    </row>
    <row r="55" spans="1:16" s="2" customFormat="1" x14ac:dyDescent="0.2">
      <c r="A55" s="89" t="s">
        <v>2206</v>
      </c>
      <c r="B55" s="128" t="s">
        <v>11</v>
      </c>
      <c r="C55" s="181" t="s">
        <v>525</v>
      </c>
      <c r="D55" s="11" t="s">
        <v>29</v>
      </c>
      <c r="E55" s="86"/>
      <c r="F55" s="2">
        <v>1000000</v>
      </c>
      <c r="G55" s="23"/>
      <c r="H55" s="23"/>
      <c r="I55" s="159"/>
      <c r="J55" s="160"/>
      <c r="K55" s="160"/>
      <c r="L55" s="70"/>
    </row>
    <row r="56" spans="1:16" s="2" customFormat="1" x14ac:dyDescent="0.2">
      <c r="A56" s="89" t="s">
        <v>2206</v>
      </c>
      <c r="B56" s="128" t="s">
        <v>11</v>
      </c>
      <c r="C56" s="181" t="s">
        <v>1979</v>
      </c>
      <c r="D56" s="11" t="s">
        <v>29</v>
      </c>
      <c r="E56" s="86"/>
      <c r="F56" s="2">
        <v>376331.19</v>
      </c>
      <c r="G56" s="23"/>
      <c r="H56" s="23"/>
      <c r="I56" s="159"/>
      <c r="J56" s="160"/>
      <c r="K56" s="160"/>
      <c r="L56" s="70"/>
    </row>
    <row r="57" spans="1:16" s="2" customFormat="1" x14ac:dyDescent="0.2">
      <c r="A57" s="89" t="s">
        <v>2206</v>
      </c>
      <c r="B57" s="128" t="s">
        <v>11</v>
      </c>
      <c r="C57" s="181" t="s">
        <v>2207</v>
      </c>
      <c r="D57" s="11" t="s">
        <v>29</v>
      </c>
      <c r="E57" s="86"/>
      <c r="F57" s="2">
        <v>555200</v>
      </c>
      <c r="G57" s="23"/>
      <c r="H57" s="23"/>
      <c r="I57" s="159"/>
      <c r="J57" s="160"/>
      <c r="K57" s="160"/>
      <c r="L57" s="70"/>
    </row>
    <row r="58" spans="1:16" s="2" customFormat="1" x14ac:dyDescent="0.2">
      <c r="A58" s="89" t="s">
        <v>2206</v>
      </c>
      <c r="B58" s="128" t="s">
        <v>11</v>
      </c>
      <c r="C58" s="181" t="s">
        <v>2208</v>
      </c>
      <c r="D58" s="11" t="s">
        <v>29</v>
      </c>
      <c r="E58" s="86"/>
      <c r="F58" s="2">
        <v>135000</v>
      </c>
      <c r="G58" s="23"/>
      <c r="H58" s="23"/>
      <c r="I58" s="159"/>
      <c r="J58" s="160"/>
      <c r="K58" s="160"/>
      <c r="L58" s="70"/>
    </row>
    <row r="59" spans="1:16" s="70" customFormat="1" x14ac:dyDescent="0.2">
      <c r="A59" s="32"/>
      <c r="B59" s="33"/>
      <c r="C59" s="14"/>
      <c r="D59" s="34"/>
      <c r="E59" s="16">
        <f>SUM(E38:E58)</f>
        <v>181635644.97999999</v>
      </c>
      <c r="F59" s="16">
        <f>SUM(F38:F58)</f>
        <v>246957433.30999988</v>
      </c>
      <c r="G59" s="1"/>
      <c r="H59" s="1"/>
      <c r="I59" s="1"/>
      <c r="J59" s="38">
        <v>65321788.329999998</v>
      </c>
      <c r="K59" s="2"/>
      <c r="L59" s="92">
        <f>E60-J59</f>
        <v>-1.0430812835693359E-7</v>
      </c>
      <c r="M59" s="2"/>
      <c r="N59" s="2"/>
      <c r="O59" s="2"/>
      <c r="P59" s="2"/>
    </row>
    <row r="60" spans="1:16" s="70" customFormat="1" x14ac:dyDescent="0.2">
      <c r="A60" s="36"/>
      <c r="B60" s="28" t="s">
        <v>11</v>
      </c>
      <c r="C60" s="19" t="s">
        <v>65</v>
      </c>
      <c r="D60" s="37"/>
      <c r="E60" s="38">
        <f>F59-E59</f>
        <v>65321788.329999894</v>
      </c>
      <c r="F60" s="22"/>
      <c r="G60" s="1"/>
      <c r="H60" s="1"/>
      <c r="I60" s="1"/>
      <c r="M60" s="2"/>
      <c r="N60" s="2"/>
      <c r="O60" s="1"/>
      <c r="P60" s="2"/>
    </row>
    <row r="61" spans="1:16" s="70" customFormat="1" x14ac:dyDescent="0.2">
      <c r="A61" s="36"/>
      <c r="B61" s="28" t="s">
        <v>66</v>
      </c>
      <c r="C61" s="19" t="s">
        <v>67</v>
      </c>
      <c r="D61" s="37"/>
      <c r="E61" s="38">
        <v>11500000</v>
      </c>
      <c r="F61" s="22"/>
      <c r="G61" s="1"/>
      <c r="H61" s="1"/>
      <c r="M61" s="2"/>
      <c r="N61" s="2"/>
      <c r="O61" s="1"/>
      <c r="P61" s="2"/>
    </row>
    <row r="62" spans="1:16" s="70" customFormat="1" x14ac:dyDescent="0.2">
      <c r="A62" s="36"/>
      <c r="B62" s="28" t="s">
        <v>66</v>
      </c>
      <c r="C62" s="43" t="s">
        <v>1457</v>
      </c>
      <c r="D62" s="43"/>
      <c r="E62" s="12">
        <f>400000000</f>
        <v>400000000</v>
      </c>
      <c r="F62" s="22"/>
      <c r="G62" s="1"/>
      <c r="H62" s="1"/>
      <c r="J62" s="45">
        <v>1027.21</v>
      </c>
      <c r="K62" s="46"/>
      <c r="L62" s="46"/>
      <c r="M62" s="2"/>
      <c r="N62" s="2"/>
      <c r="O62" s="1"/>
      <c r="P62" s="2"/>
    </row>
    <row r="63" spans="1:16" s="70" customFormat="1" ht="15" x14ac:dyDescent="0.25">
      <c r="A63" s="36"/>
      <c r="B63" s="28"/>
      <c r="C63" s="44" t="s">
        <v>1541</v>
      </c>
      <c r="D63" s="43"/>
      <c r="E63" s="7">
        <f>+E62+E60+E61</f>
        <v>476821788.32999992</v>
      </c>
      <c r="F63" s="22"/>
      <c r="G63" s="1"/>
      <c r="H63" s="1"/>
      <c r="I63" s="103" t="s">
        <v>69</v>
      </c>
      <c r="J63" s="45">
        <v>-33.369999999999997</v>
      </c>
      <c r="K63" s="46"/>
      <c r="L63" s="46"/>
      <c r="M63" s="2"/>
      <c r="N63" s="2"/>
      <c r="O63" s="1"/>
      <c r="P63" s="2"/>
    </row>
    <row r="64" spans="1:16" s="70" customFormat="1" ht="15" x14ac:dyDescent="0.25">
      <c r="A64" s="24"/>
      <c r="B64" s="1"/>
      <c r="C64" s="44" t="s">
        <v>1510</v>
      </c>
      <c r="D64" s="25"/>
      <c r="E64" s="156">
        <f>+J37-E61+I33-J33</f>
        <v>23178211.670000002</v>
      </c>
      <c r="F64" s="2"/>
      <c r="G64" s="1"/>
      <c r="H64" s="1"/>
      <c r="I64" s="35">
        <v>1</v>
      </c>
      <c r="J64" s="45">
        <v>29.38</v>
      </c>
      <c r="K64" s="46">
        <f>+J65-D67</f>
        <v>0</v>
      </c>
      <c r="L64" s="2"/>
      <c r="M64" s="2"/>
      <c r="N64" s="2"/>
      <c r="O64" s="1"/>
      <c r="P64" s="2"/>
    </row>
    <row r="65" spans="1:19" s="70" customFormat="1" ht="12.75" customHeight="1" x14ac:dyDescent="0.2">
      <c r="A65" s="24"/>
      <c r="B65" s="1"/>
      <c r="C65" s="56"/>
      <c r="D65" s="56"/>
      <c r="E65" s="104"/>
      <c r="F65" s="2"/>
      <c r="G65" s="166"/>
      <c r="H65" s="166"/>
      <c r="J65" s="49">
        <f>SUM(J62:J64)</f>
        <v>1023.22</v>
      </c>
      <c r="K65" s="46"/>
      <c r="L65" s="46"/>
      <c r="M65" s="124"/>
      <c r="N65" s="124"/>
      <c r="O65" s="1"/>
      <c r="P65" s="2"/>
    </row>
    <row r="66" spans="1:19" s="70" customFormat="1" ht="12.75" customHeight="1" x14ac:dyDescent="0.2">
      <c r="A66" s="24"/>
      <c r="B66" s="1"/>
      <c r="C66" s="78" t="s">
        <v>575</v>
      </c>
      <c r="D66" s="48" t="s">
        <v>576</v>
      </c>
      <c r="E66" s="104"/>
      <c r="F66" s="2"/>
      <c r="G66" s="168"/>
      <c r="H66" s="168"/>
      <c r="I66" s="167"/>
      <c r="J66" s="167"/>
      <c r="K66" s="168"/>
      <c r="L66" s="124"/>
      <c r="M66" s="124"/>
      <c r="N66" s="124"/>
      <c r="O66" s="124"/>
      <c r="P66" s="2"/>
    </row>
    <row r="67" spans="1:19" s="70" customFormat="1" ht="12.75" customHeight="1" x14ac:dyDescent="0.2">
      <c r="A67" s="24"/>
      <c r="B67" s="1"/>
      <c r="C67" s="47" t="s">
        <v>570</v>
      </c>
      <c r="D67" s="111">
        <v>1023.22</v>
      </c>
      <c r="E67" s="104"/>
      <c r="F67" s="2"/>
      <c r="G67" s="168"/>
      <c r="H67" s="168"/>
      <c r="I67" s="110" t="s">
        <v>581</v>
      </c>
      <c r="J67" s="167"/>
      <c r="K67" s="168"/>
      <c r="L67" s="124"/>
      <c r="M67" s="124"/>
      <c r="N67" s="124"/>
      <c r="O67" s="124"/>
      <c r="P67" s="124"/>
    </row>
    <row r="68" spans="1:19" s="70" customFormat="1" ht="12.75" customHeight="1" x14ac:dyDescent="0.2">
      <c r="A68" s="24"/>
      <c r="B68" s="1"/>
      <c r="C68" s="47" t="s">
        <v>931</v>
      </c>
      <c r="D68" s="111">
        <v>135.16</v>
      </c>
      <c r="E68" s="104"/>
      <c r="F68" s="2"/>
      <c r="G68" s="168"/>
      <c r="H68" s="168"/>
      <c r="I68" s="110" t="s">
        <v>580</v>
      </c>
      <c r="J68" s="167"/>
      <c r="K68" s="168"/>
      <c r="L68" s="124"/>
      <c r="M68" s="124"/>
      <c r="N68" s="124"/>
      <c r="O68" s="124"/>
      <c r="P68" s="124"/>
    </row>
    <row r="69" spans="1:19" s="70" customFormat="1" ht="12.75" customHeight="1" x14ac:dyDescent="0.2">
      <c r="A69" s="24"/>
      <c r="B69" s="1"/>
      <c r="C69" s="47" t="s">
        <v>572</v>
      </c>
      <c r="D69" s="111">
        <f>+D94/100000</f>
        <v>130.88545999999999</v>
      </c>
      <c r="E69" s="104"/>
      <c r="F69" s="2"/>
      <c r="G69" s="166"/>
      <c r="H69" s="166"/>
      <c r="I69" s="90" t="s">
        <v>587</v>
      </c>
      <c r="J69" s="167"/>
      <c r="K69" s="168"/>
      <c r="L69" s="124"/>
      <c r="M69" s="124"/>
      <c r="N69" s="124"/>
      <c r="O69" s="124"/>
      <c r="P69" s="124"/>
    </row>
    <row r="70" spans="1:19" s="70" customFormat="1" ht="12.75" customHeight="1" x14ac:dyDescent="0.2">
      <c r="A70" s="24"/>
      <c r="B70" s="1"/>
      <c r="C70" s="108" t="s">
        <v>578</v>
      </c>
      <c r="D70" s="48">
        <f>SUM(D67:D69)</f>
        <v>1289.2654600000001</v>
      </c>
      <c r="E70" s="104"/>
      <c r="F70" s="2"/>
      <c r="G70" s="30"/>
      <c r="H70" s="30"/>
      <c r="I70" s="2"/>
      <c r="J70" s="13"/>
      <c r="K70" s="13"/>
      <c r="L70" s="2"/>
      <c r="M70" s="2"/>
      <c r="N70" s="2"/>
      <c r="O70" s="124"/>
      <c r="P70" s="124"/>
    </row>
    <row r="71" spans="1:19" s="70" customFormat="1" ht="12.75" customHeight="1" x14ac:dyDescent="0.2">
      <c r="A71" s="24"/>
      <c r="B71" s="1"/>
      <c r="C71" s="47"/>
      <c r="D71" s="107"/>
      <c r="E71" s="104"/>
      <c r="F71" s="2"/>
      <c r="G71" s="30"/>
      <c r="H71" s="30"/>
      <c r="I71" s="2"/>
      <c r="O71" s="2"/>
      <c r="P71" s="124"/>
    </row>
    <row r="72" spans="1:19" s="70" customFormat="1" ht="12.75" customHeight="1" x14ac:dyDescent="0.2">
      <c r="A72" s="24"/>
      <c r="B72" s="1"/>
      <c r="C72" s="47" t="s">
        <v>932</v>
      </c>
      <c r="D72" s="111">
        <v>150.88999999999999</v>
      </c>
      <c r="E72" s="104"/>
      <c r="F72" s="2"/>
      <c r="G72" s="30"/>
      <c r="H72" s="30"/>
      <c r="I72" s="110" t="s">
        <v>581</v>
      </c>
      <c r="P72" s="2"/>
    </row>
    <row r="73" spans="1:19" s="70" customFormat="1" ht="12.75" customHeight="1" x14ac:dyDescent="0.2">
      <c r="A73" s="24"/>
      <c r="B73" s="1"/>
      <c r="C73" s="136" t="s">
        <v>1142</v>
      </c>
      <c r="D73" s="111">
        <v>343.66</v>
      </c>
      <c r="E73" s="104"/>
      <c r="F73" s="2"/>
      <c r="G73" s="30"/>
      <c r="H73" s="30"/>
      <c r="I73" s="110" t="s">
        <v>581</v>
      </c>
    </row>
    <row r="74" spans="1:19" s="70" customFormat="1" ht="12.75" customHeight="1" x14ac:dyDescent="0.2">
      <c r="A74" s="24"/>
      <c r="B74" s="1"/>
      <c r="C74" s="78" t="s">
        <v>579</v>
      </c>
      <c r="D74" s="109">
        <f>D72+D73</f>
        <v>494.55</v>
      </c>
      <c r="E74" s="104"/>
      <c r="F74" s="2"/>
      <c r="G74" s="30"/>
      <c r="H74" s="30"/>
      <c r="Q74" s="2"/>
      <c r="R74" s="2"/>
      <c r="S74" s="2"/>
    </row>
    <row r="75" spans="1:19" s="2" customFormat="1" x14ac:dyDescent="0.2">
      <c r="A75" s="24"/>
      <c r="B75" s="1"/>
      <c r="C75" s="105"/>
      <c r="D75" s="106"/>
      <c r="E75" s="104"/>
      <c r="G75" s="30"/>
      <c r="H75" s="30"/>
      <c r="I75" s="70"/>
      <c r="K75" s="221" t="str">
        <f>"FROM ( 01-03-2024 to "&amp;TEXT(A5,"dd-mm-yyyy")&amp;" )"</f>
        <v>FROM ( 01-03-2024 to 12-03-2024 )</v>
      </c>
      <c r="L75" s="221"/>
      <c r="O75" s="70"/>
      <c r="P75" s="70"/>
    </row>
    <row r="76" spans="1:19" s="2" customFormat="1" x14ac:dyDescent="0.2">
      <c r="A76" s="24"/>
      <c r="B76" s="1"/>
      <c r="C76" s="78" t="s">
        <v>577</v>
      </c>
      <c r="D76" s="109">
        <f>D67+D74</f>
        <v>1517.77</v>
      </c>
      <c r="E76" s="104"/>
      <c r="G76" s="30"/>
      <c r="H76" s="30"/>
      <c r="I76" s="70"/>
      <c r="J76" s="113"/>
      <c r="K76" s="113" t="s">
        <v>709</v>
      </c>
      <c r="L76" s="113" t="s">
        <v>710</v>
      </c>
      <c r="M76" s="113" t="s">
        <v>711</v>
      </c>
      <c r="N76" s="113" t="s">
        <v>712</v>
      </c>
      <c r="O76" s="70"/>
      <c r="P76" s="70"/>
    </row>
    <row r="77" spans="1:19" s="2" customFormat="1" x14ac:dyDescent="0.2">
      <c r="A77" s="24"/>
      <c r="B77" s="1"/>
      <c r="C77" s="56"/>
      <c r="D77" s="56"/>
      <c r="E77" s="104"/>
      <c r="G77" s="30"/>
      <c r="H77" s="30"/>
      <c r="I77" s="70"/>
      <c r="J77" s="113" t="s">
        <v>1860</v>
      </c>
      <c r="K77" s="115">
        <v>195.8</v>
      </c>
      <c r="L77" s="115">
        <v>0</v>
      </c>
      <c r="M77" s="115">
        <v>0</v>
      </c>
      <c r="N77" s="113">
        <f>+K77+M77-L77</f>
        <v>195.8</v>
      </c>
      <c r="O77" s="70"/>
      <c r="P77" s="70"/>
    </row>
    <row r="78" spans="1:19" s="2" customFormat="1" ht="38.25" x14ac:dyDescent="0.2">
      <c r="A78" s="24"/>
      <c r="B78" s="1"/>
      <c r="C78" s="79" t="str">
        <f>"Particulars ( 01-03-2024 to "&amp;TEXT(A5,"dd-mm-yyyy")&amp;" )"</f>
        <v>Particulars ( 01-03-2024 to 12-03-2024 )</v>
      </c>
      <c r="D78" s="79" t="s">
        <v>7</v>
      </c>
      <c r="E78" s="80" t="s">
        <v>73</v>
      </c>
      <c r="F78" s="80" t="s">
        <v>74</v>
      </c>
      <c r="G78" s="81" t="s">
        <v>75</v>
      </c>
      <c r="H78" s="80" t="s">
        <v>76</v>
      </c>
      <c r="I78" s="70"/>
      <c r="J78" s="113" t="s">
        <v>1861</v>
      </c>
      <c r="K78" s="115">
        <v>1882.55</v>
      </c>
      <c r="L78" s="115">
        <v>130.88999999999999</v>
      </c>
      <c r="M78" s="115">
        <v>343.66</v>
      </c>
      <c r="N78" s="113">
        <f>+K78+M78-L78</f>
        <v>2095.3200000000002</v>
      </c>
      <c r="O78" s="70"/>
      <c r="P78" s="70"/>
    </row>
    <row r="79" spans="1:19" s="2" customFormat="1" x14ac:dyDescent="0.2">
      <c r="A79" s="24"/>
      <c r="B79" s="1"/>
      <c r="C79" s="50" t="s">
        <v>444</v>
      </c>
      <c r="D79" s="55">
        <f>+K79</f>
        <v>463.26</v>
      </c>
      <c r="E79" s="55">
        <f>+IF(M79=0,0,M79)</f>
        <v>150.88999999999999</v>
      </c>
      <c r="F79" s="55">
        <f>+L79</f>
        <v>135.16</v>
      </c>
      <c r="G79" s="55">
        <f>+D79+E79-F79</f>
        <v>478.99</v>
      </c>
      <c r="H79" s="55">
        <f>1500-G79</f>
        <v>1021.01</v>
      </c>
      <c r="I79" s="70">
        <f>+IF(M79=0,0,M79)</f>
        <v>150.88999999999999</v>
      </c>
      <c r="J79" s="113" t="s">
        <v>707</v>
      </c>
      <c r="K79" s="115">
        <v>463.26</v>
      </c>
      <c r="L79" s="115">
        <v>135.16</v>
      </c>
      <c r="M79" s="115">
        <v>150.88999999999999</v>
      </c>
      <c r="N79" s="113">
        <f>+K79+M79-L79</f>
        <v>478.99</v>
      </c>
      <c r="O79" s="70"/>
      <c r="P79" s="70"/>
    </row>
    <row r="80" spans="1:19" s="2" customFormat="1" x14ac:dyDescent="0.2">
      <c r="A80" s="24"/>
      <c r="B80" s="1"/>
      <c r="C80" s="50" t="s">
        <v>71</v>
      </c>
      <c r="D80" s="55">
        <f>+K77+K78</f>
        <v>2078.35</v>
      </c>
      <c r="E80" s="55">
        <f>+M77+M78</f>
        <v>343.66</v>
      </c>
      <c r="F80" s="55">
        <f>+L77+L78</f>
        <v>130.88999999999999</v>
      </c>
      <c r="G80" s="55">
        <f>+D80+E80-F80</f>
        <v>2291.12</v>
      </c>
      <c r="H80" s="55">
        <f>1500+700+200-G80</f>
        <v>108.88000000000011</v>
      </c>
      <c r="I80" s="70"/>
      <c r="K80" s="118">
        <f>SUM(K77:K79)</f>
        <v>2541.6099999999997</v>
      </c>
      <c r="L80" s="118">
        <f>SUM(L77:L79)</f>
        <v>266.04999999999995</v>
      </c>
      <c r="M80" s="118">
        <f>SUM(M77:M79)</f>
        <v>494.55</v>
      </c>
      <c r="N80" s="118">
        <f>SUM(N77:N79)</f>
        <v>2770.1100000000006</v>
      </c>
      <c r="O80" s="70"/>
      <c r="P80" s="70"/>
    </row>
    <row r="81" spans="1:16" s="2" customFormat="1" x14ac:dyDescent="0.2">
      <c r="A81" s="24"/>
      <c r="B81" s="1"/>
      <c r="C81" s="14"/>
      <c r="D81" s="56"/>
      <c r="E81" s="13"/>
      <c r="G81" s="30"/>
      <c r="H81" s="30"/>
      <c r="I81" s="70"/>
      <c r="J81" s="70"/>
      <c r="K81" s="70"/>
      <c r="L81" s="70"/>
      <c r="M81" s="70"/>
      <c r="N81" s="70"/>
      <c r="O81" s="70"/>
      <c r="P81" s="70"/>
    </row>
    <row r="82" spans="1:16" s="2" customFormat="1" x14ac:dyDescent="0.2">
      <c r="A82" s="215" t="s">
        <v>80</v>
      </c>
      <c r="B82" s="216"/>
      <c r="C82" s="216"/>
      <c r="D82" s="217"/>
      <c r="E82" s="69"/>
      <c r="F82" s="70"/>
      <c r="G82" s="30"/>
      <c r="H82" s="30"/>
      <c r="I82" s="70"/>
      <c r="J82" s="70"/>
      <c r="K82" s="70"/>
      <c r="L82" s="70"/>
      <c r="M82" s="70"/>
      <c r="N82" s="70"/>
      <c r="O82" s="70"/>
      <c r="P82" s="70"/>
    </row>
    <row r="83" spans="1:16" s="2" customFormat="1" x14ac:dyDescent="0.2">
      <c r="A83" s="71" t="s">
        <v>81</v>
      </c>
      <c r="B83" s="71"/>
      <c r="C83" s="72" t="s">
        <v>82</v>
      </c>
      <c r="D83" s="73" t="s">
        <v>83</v>
      </c>
      <c r="E83" s="69"/>
      <c r="F83" s="70"/>
      <c r="G83" s="30"/>
      <c r="H83" s="30"/>
      <c r="I83" s="70"/>
      <c r="J83" s="70"/>
      <c r="K83" s="70"/>
      <c r="L83" s="70"/>
      <c r="M83" s="70"/>
      <c r="N83" s="70"/>
      <c r="O83" s="70"/>
      <c r="P83" s="70"/>
    </row>
    <row r="84" spans="1:16" s="2" customFormat="1" x14ac:dyDescent="0.2">
      <c r="A84" s="87">
        <v>45352</v>
      </c>
      <c r="B84" s="120" t="s">
        <v>6</v>
      </c>
      <c r="C84" s="75" t="s">
        <v>2165</v>
      </c>
      <c r="D84" s="88">
        <v>2143144</v>
      </c>
      <c r="G84" s="30"/>
      <c r="H84" s="30"/>
      <c r="P84" s="70"/>
    </row>
    <row r="85" spans="1:16" s="2" customFormat="1" x14ac:dyDescent="0.2">
      <c r="A85" s="87">
        <v>45352</v>
      </c>
      <c r="B85" s="120" t="s">
        <v>6</v>
      </c>
      <c r="C85" s="75" t="s">
        <v>2171</v>
      </c>
      <c r="D85" s="88">
        <v>1493463</v>
      </c>
      <c r="G85" s="30"/>
      <c r="H85" s="30"/>
      <c r="P85" s="70"/>
    </row>
    <row r="86" spans="1:16" s="2" customFormat="1" x14ac:dyDescent="0.2">
      <c r="A86" s="87">
        <v>45356</v>
      </c>
      <c r="B86" s="120" t="s">
        <v>6</v>
      </c>
      <c r="C86" s="75" t="s">
        <v>1988</v>
      </c>
      <c r="D86" s="88">
        <v>3111466</v>
      </c>
      <c r="G86" s="30"/>
      <c r="H86" s="30"/>
      <c r="P86" s="70"/>
    </row>
    <row r="87" spans="1:16" s="2" customFormat="1" x14ac:dyDescent="0.2">
      <c r="A87" s="87">
        <v>45357</v>
      </c>
      <c r="B87" s="120" t="s">
        <v>6</v>
      </c>
      <c r="C87" s="75" t="s">
        <v>2171</v>
      </c>
      <c r="D87" s="88">
        <v>1393433</v>
      </c>
      <c r="G87" s="30"/>
      <c r="H87" s="30"/>
      <c r="P87" s="70"/>
    </row>
    <row r="88" spans="1:16" s="2" customFormat="1" x14ac:dyDescent="0.2">
      <c r="A88" s="87">
        <v>45356</v>
      </c>
      <c r="B88" s="120" t="s">
        <v>6</v>
      </c>
      <c r="C88" s="75" t="s">
        <v>2171</v>
      </c>
      <c r="D88" s="88">
        <v>1369091</v>
      </c>
      <c r="G88" s="30"/>
      <c r="H88" s="30"/>
      <c r="P88" s="70"/>
    </row>
    <row r="89" spans="1:16" s="2" customFormat="1" x14ac:dyDescent="0.2">
      <c r="A89" s="87">
        <v>45359</v>
      </c>
      <c r="B89" s="120" t="s">
        <v>6</v>
      </c>
      <c r="C89" s="75" t="s">
        <v>2171</v>
      </c>
      <c r="D89" s="88">
        <v>730944</v>
      </c>
      <c r="G89" s="30"/>
      <c r="H89" s="30"/>
      <c r="P89" s="70"/>
    </row>
    <row r="90" spans="1:16" s="2" customFormat="1" x14ac:dyDescent="0.2">
      <c r="A90" s="87">
        <v>45359</v>
      </c>
      <c r="B90" s="120" t="s">
        <v>6</v>
      </c>
      <c r="C90" s="75" t="s">
        <v>767</v>
      </c>
      <c r="D90" s="88">
        <v>19228</v>
      </c>
      <c r="G90" s="30"/>
      <c r="H90" s="30"/>
      <c r="P90" s="70"/>
    </row>
    <row r="91" spans="1:16" s="2" customFormat="1" x14ac:dyDescent="0.2">
      <c r="A91" s="87">
        <v>45362</v>
      </c>
      <c r="B91" s="120" t="s">
        <v>6</v>
      </c>
      <c r="C91" s="75" t="s">
        <v>1806</v>
      </c>
      <c r="D91" s="88">
        <v>2568137</v>
      </c>
      <c r="G91" s="30"/>
      <c r="H91" s="30"/>
      <c r="P91" s="70"/>
    </row>
    <row r="92" spans="1:16" s="2" customFormat="1" x14ac:dyDescent="0.2">
      <c r="A92" s="87">
        <v>45362</v>
      </c>
      <c r="B92" s="120" t="s">
        <v>6</v>
      </c>
      <c r="C92" s="75" t="s">
        <v>784</v>
      </c>
      <c r="D92" s="88">
        <v>39949</v>
      </c>
      <c r="G92" s="30"/>
      <c r="H92" s="30"/>
      <c r="P92" s="70"/>
    </row>
    <row r="93" spans="1:16" s="2" customFormat="1" x14ac:dyDescent="0.2">
      <c r="A93" s="87">
        <v>45362</v>
      </c>
      <c r="B93" s="120" t="s">
        <v>6</v>
      </c>
      <c r="C93" s="75" t="s">
        <v>784</v>
      </c>
      <c r="D93" s="88">
        <v>219691</v>
      </c>
      <c r="G93" s="30"/>
      <c r="H93" s="30"/>
      <c r="P93" s="70"/>
    </row>
    <row r="94" spans="1:16" s="2" customFormat="1" x14ac:dyDescent="0.2">
      <c r="A94" s="87"/>
      <c r="B94" s="74"/>
      <c r="C94" s="183" t="s">
        <v>2141</v>
      </c>
      <c r="D94" s="51">
        <f>SUM(D84:D93)</f>
        <v>13088546</v>
      </c>
      <c r="F94" s="2" t="s">
        <v>396</v>
      </c>
      <c r="G94" s="1"/>
      <c r="H94" s="1"/>
      <c r="P94" s="70"/>
    </row>
    <row r="95" spans="1:16" s="2" customFormat="1" x14ac:dyDescent="0.2">
      <c r="A95" s="24"/>
      <c r="B95" s="1"/>
      <c r="C95" s="14"/>
      <c r="D95" s="56"/>
      <c r="E95" s="13"/>
      <c r="G95" s="1"/>
      <c r="H95" s="1"/>
      <c r="I95" s="2" t="s">
        <v>396</v>
      </c>
    </row>
    <row r="96" spans="1:16" s="2" customFormat="1" x14ac:dyDescent="0.2">
      <c r="A96" s="24"/>
      <c r="B96" s="1"/>
      <c r="C96" s="218" t="s">
        <v>77</v>
      </c>
      <c r="D96" s="219"/>
      <c r="E96" s="219"/>
      <c r="F96" s="220"/>
      <c r="I96" s="2" t="s">
        <v>396</v>
      </c>
    </row>
    <row r="97" spans="1:14" s="2" customFormat="1" x14ac:dyDescent="0.2">
      <c r="A97" s="24"/>
      <c r="B97" s="1"/>
      <c r="C97" s="50"/>
      <c r="D97" s="57" t="s">
        <v>78</v>
      </c>
      <c r="E97" s="58" t="s">
        <v>79</v>
      </c>
      <c r="F97" s="57" t="s">
        <v>72</v>
      </c>
    </row>
    <row r="98" spans="1:14" s="2" customFormat="1" x14ac:dyDescent="0.2">
      <c r="A98" s="24"/>
      <c r="B98" s="1"/>
      <c r="C98" s="59" t="str">
        <f>"01-03-2024 to "&amp;TEXT(A5-2,"dd-mm-yyyy")</f>
        <v>01-03-2024 to 10-03-2024</v>
      </c>
      <c r="D98" s="60">
        <v>1555.58</v>
      </c>
      <c r="E98" s="60">
        <v>238.62</v>
      </c>
      <c r="F98" s="61">
        <f>SUM(D98:E98)</f>
        <v>1794.1999999999998</v>
      </c>
      <c r="I98" s="53"/>
    </row>
    <row r="99" spans="1:14" s="2" customFormat="1" x14ac:dyDescent="0.2">
      <c r="A99" s="24"/>
      <c r="B99" s="1"/>
      <c r="C99" s="62" t="str">
        <f>TEXT(A5-1,"dd-mm-yyyy")</f>
        <v>11-03-2024</v>
      </c>
      <c r="D99" s="60">
        <v>159.82</v>
      </c>
      <c r="E99" s="60">
        <v>33.229999999999997</v>
      </c>
      <c r="F99" s="61">
        <f>SUM(D99:E99)</f>
        <v>193.04999999999998</v>
      </c>
      <c r="G99" s="1"/>
      <c r="H99" s="1"/>
      <c r="I99" s="53"/>
    </row>
    <row r="100" spans="1:14" s="2" customFormat="1" ht="13.5" thickBot="1" x14ac:dyDescent="0.25">
      <c r="A100" s="24"/>
      <c r="B100" s="1"/>
      <c r="C100" s="63" t="str">
        <f>"01-03-2024 to "&amp;TEXT(A5-1,"dd-mm-yyyy")</f>
        <v>01-03-2024 to 11-03-2024</v>
      </c>
      <c r="D100" s="64">
        <f>SUM(D98:D99)</f>
        <v>1715.3999999999999</v>
      </c>
      <c r="E100" s="64">
        <f>SUM(E98:E99)</f>
        <v>271.85000000000002</v>
      </c>
      <c r="F100" s="64">
        <f>SUM(F98:F99)</f>
        <v>1987.2499999999998</v>
      </c>
      <c r="G100" s="1"/>
      <c r="H100" s="1"/>
      <c r="M100" s="1"/>
      <c r="N100" s="1"/>
    </row>
    <row r="101" spans="1:14" s="2" customFormat="1" ht="13.5" thickTop="1" x14ac:dyDescent="0.2">
      <c r="A101" s="24"/>
      <c r="B101" s="1"/>
      <c r="C101" s="62"/>
      <c r="D101" s="65"/>
      <c r="E101" s="66"/>
      <c r="F101" s="67"/>
      <c r="M101" s="1"/>
      <c r="N101" s="1"/>
    </row>
    <row r="102" spans="1:14" s="2" customFormat="1" x14ac:dyDescent="0.2">
      <c r="A102" s="24"/>
      <c r="B102" s="1"/>
      <c r="C102" s="62" t="str">
        <f>"01-04-2023 to " &amp;C99</f>
        <v>01-04-2023 to 11-03-2024</v>
      </c>
      <c r="D102" s="68">
        <f>+D100+41133.88</f>
        <v>42849.279999999999</v>
      </c>
      <c r="E102" s="68">
        <f>+E100+5181.05</f>
        <v>5452.9000000000005</v>
      </c>
      <c r="F102" s="68">
        <f>+F100+46314.16</f>
        <v>48301.41</v>
      </c>
      <c r="G102" s="1"/>
      <c r="H102" s="1"/>
      <c r="M102" s="1"/>
      <c r="N102" s="1"/>
    </row>
    <row r="103" spans="1:14" s="2" customFormat="1" x14ac:dyDescent="0.2">
      <c r="A103" s="24"/>
      <c r="B103" s="1"/>
      <c r="C103" s="52"/>
      <c r="D103" s="85"/>
      <c r="E103" s="53"/>
      <c r="F103" s="53"/>
      <c r="G103" s="1"/>
      <c r="H103" s="1"/>
      <c r="M103" s="1"/>
      <c r="N103" s="1"/>
    </row>
    <row r="104" spans="1:14" s="2" customFormat="1" x14ac:dyDescent="0.2">
      <c r="A104" s="24"/>
      <c r="B104" s="1"/>
      <c r="C104" s="52"/>
      <c r="D104" s="85"/>
      <c r="E104" s="53"/>
      <c r="F104" s="53"/>
      <c r="G104" s="1"/>
      <c r="H104" s="1"/>
      <c r="M104" s="1"/>
      <c r="N104" s="1"/>
    </row>
    <row r="105" spans="1:14" s="2" customFormat="1" x14ac:dyDescent="0.2">
      <c r="A105" s="24"/>
      <c r="B105" s="1"/>
      <c r="C105" s="52"/>
      <c r="D105" s="85"/>
      <c r="E105" s="53"/>
      <c r="F105" s="53"/>
      <c r="G105" s="1"/>
      <c r="H105" s="1"/>
      <c r="M105" s="1"/>
      <c r="N105" s="1"/>
    </row>
    <row r="106" spans="1:14" s="2" customFormat="1" x14ac:dyDescent="0.2">
      <c r="A106" s="24"/>
      <c r="B106" s="1"/>
      <c r="C106" s="52"/>
      <c r="D106" s="85"/>
      <c r="E106" s="53"/>
      <c r="F106" s="53"/>
      <c r="G106" s="1"/>
      <c r="H106" s="1"/>
      <c r="M106" s="1"/>
      <c r="N106" s="1"/>
    </row>
    <row r="107" spans="1:14" s="2" customFormat="1" x14ac:dyDescent="0.2">
      <c r="A107" s="24"/>
      <c r="B107" s="1"/>
      <c r="C107" s="14"/>
      <c r="D107" s="25">
        <f>SUM(D104:D106)</f>
        <v>0</v>
      </c>
      <c r="E107" s="2">
        <f>SUM(E104:E106)</f>
        <v>0</v>
      </c>
      <c r="G107" s="1"/>
      <c r="H107" s="1"/>
      <c r="M107" s="1"/>
      <c r="N107" s="1"/>
    </row>
    <row r="108" spans="1:14" s="2" customFormat="1" x14ac:dyDescent="0.2">
      <c r="A108" s="24"/>
      <c r="B108" s="1"/>
      <c r="C108" s="14"/>
      <c r="D108" s="25"/>
      <c r="G108" s="1"/>
      <c r="H108" s="1"/>
      <c r="M108" s="1"/>
      <c r="N108" s="1"/>
    </row>
    <row r="109" spans="1:14" s="2" customFormat="1" x14ac:dyDescent="0.2">
      <c r="A109" s="24"/>
      <c r="B109" s="1"/>
      <c r="C109" s="14"/>
      <c r="D109" s="25"/>
      <c r="G109" s="1"/>
      <c r="H109" s="1"/>
      <c r="M109" s="1"/>
      <c r="N109" s="1"/>
    </row>
    <row r="110" spans="1:14" s="2" customFormat="1" x14ac:dyDescent="0.2">
      <c r="A110" s="24"/>
      <c r="B110" s="1"/>
      <c r="C110" s="14"/>
      <c r="D110" s="25"/>
      <c r="G110" s="1"/>
      <c r="H110" s="1"/>
      <c r="M110" s="1"/>
      <c r="N110" s="1"/>
    </row>
    <row r="111" spans="1:14" s="2" customFormat="1" x14ac:dyDescent="0.2">
      <c r="A111" s="24"/>
      <c r="B111" s="1"/>
      <c r="C111" s="14"/>
      <c r="D111" s="25"/>
      <c r="G111" s="1"/>
      <c r="H111" s="1"/>
      <c r="M111" s="1"/>
      <c r="N111" s="1"/>
    </row>
    <row r="112" spans="1:14" s="2" customFormat="1" x14ac:dyDescent="0.2">
      <c r="A112" s="24"/>
      <c r="B112" s="1"/>
      <c r="C112" s="14"/>
      <c r="D112" s="25"/>
      <c r="G112" s="1"/>
      <c r="H112" s="1"/>
      <c r="M112" s="1"/>
      <c r="N112" s="1"/>
    </row>
    <row r="113" spans="1:19" s="2" customFormat="1" x14ac:dyDescent="0.2">
      <c r="A113" s="24"/>
      <c r="B113" s="1"/>
      <c r="C113" s="14"/>
      <c r="D113" s="25"/>
      <c r="G113" s="1"/>
      <c r="H113" s="1"/>
      <c r="M113" s="1"/>
      <c r="N113" s="1"/>
    </row>
    <row r="114" spans="1:19" s="2" customFormat="1" x14ac:dyDescent="0.2">
      <c r="A114" s="24"/>
      <c r="B114" s="1"/>
      <c r="C114" s="14"/>
      <c r="D114" s="25"/>
      <c r="G114" s="1"/>
      <c r="H114" s="1"/>
      <c r="M114" s="1"/>
      <c r="N114" s="1"/>
      <c r="Q114" s="1"/>
      <c r="R114" s="1"/>
      <c r="S114" s="1"/>
    </row>
    <row r="115" spans="1:19" x14ac:dyDescent="0.2">
      <c r="J115" s="2"/>
      <c r="K115" s="2"/>
      <c r="L115" s="2"/>
      <c r="O115" s="2"/>
      <c r="P115" s="2"/>
      <c r="Q115" s="2"/>
      <c r="R115" s="2"/>
      <c r="S115" s="2"/>
    </row>
    <row r="116" spans="1:19" s="2" customFormat="1" x14ac:dyDescent="0.2">
      <c r="A116" s="24"/>
      <c r="B116" s="1"/>
      <c r="C116" s="14"/>
      <c r="D116" s="25"/>
      <c r="G116" s="1"/>
      <c r="H116" s="1"/>
      <c r="M116" s="1"/>
      <c r="N116" s="1"/>
      <c r="Q116" s="1"/>
      <c r="R116" s="1"/>
      <c r="S116" s="1"/>
    </row>
    <row r="117" spans="1:19" x14ac:dyDescent="0.2">
      <c r="J117" s="2"/>
      <c r="K117" s="2"/>
      <c r="L117" s="2"/>
      <c r="O117" s="2"/>
      <c r="P117" s="2"/>
    </row>
    <row r="118" spans="1:19" x14ac:dyDescent="0.2">
      <c r="J118" s="2"/>
      <c r="K118" s="2"/>
      <c r="L118" s="2"/>
      <c r="O118" s="2"/>
      <c r="P118" s="2"/>
    </row>
    <row r="119" spans="1:19" x14ac:dyDescent="0.2">
      <c r="J119" s="2"/>
      <c r="K119" s="2"/>
      <c r="L119" s="2"/>
      <c r="O119" s="2"/>
      <c r="P119" s="2"/>
    </row>
    <row r="120" spans="1:19" x14ac:dyDescent="0.2">
      <c r="J120" s="2"/>
      <c r="K120" s="2"/>
      <c r="L120" s="2"/>
      <c r="O120" s="2"/>
      <c r="P120" s="2"/>
    </row>
    <row r="121" spans="1:19" x14ac:dyDescent="0.2">
      <c r="O121" s="2"/>
      <c r="P121" s="2"/>
    </row>
    <row r="122" spans="1:19" x14ac:dyDescent="0.2">
      <c r="J122" s="2"/>
      <c r="K122" s="2"/>
      <c r="L122" s="2"/>
      <c r="M122" s="2"/>
      <c r="N122" s="2"/>
      <c r="O122" s="2"/>
      <c r="P122" s="2"/>
    </row>
    <row r="123" spans="1:19" x14ac:dyDescent="0.2">
      <c r="O123" s="2"/>
      <c r="P123" s="2"/>
    </row>
    <row r="124" spans="1:19" x14ac:dyDescent="0.2">
      <c r="G124" s="54"/>
      <c r="H124" s="54"/>
      <c r="O124" s="2"/>
      <c r="P124" s="2"/>
    </row>
    <row r="125" spans="1:19" x14ac:dyDescent="0.2">
      <c r="G125" s="54"/>
      <c r="H125" s="54"/>
      <c r="O125" s="2"/>
      <c r="P125" s="2"/>
    </row>
    <row r="126" spans="1:19" x14ac:dyDescent="0.2">
      <c r="G126" s="54"/>
      <c r="H126" s="54"/>
      <c r="O126" s="2"/>
      <c r="P126" s="2"/>
    </row>
    <row r="127" spans="1:19" x14ac:dyDescent="0.2">
      <c r="G127" s="54"/>
      <c r="H127" s="54"/>
      <c r="I127" s="2" t="s">
        <v>396</v>
      </c>
      <c r="O127" s="2"/>
      <c r="P127" s="2"/>
    </row>
    <row r="128" spans="1:19" x14ac:dyDescent="0.2">
      <c r="G128" s="54"/>
      <c r="H128" s="54"/>
      <c r="I128" s="53"/>
      <c r="J128" s="2"/>
      <c r="K128" s="2"/>
      <c r="L128" s="2"/>
      <c r="M128" s="2"/>
      <c r="N128" s="2"/>
      <c r="P128" s="2"/>
    </row>
    <row r="129" spans="7:16" x14ac:dyDescent="0.2">
      <c r="G129" s="54"/>
      <c r="H129" s="54"/>
      <c r="I129" s="53" t="s">
        <v>396</v>
      </c>
      <c r="O129" s="2"/>
      <c r="P129" s="2"/>
    </row>
    <row r="130" spans="7:16" x14ac:dyDescent="0.2">
      <c r="G130" s="54"/>
      <c r="H130" s="54"/>
      <c r="I130" s="53" t="s">
        <v>396</v>
      </c>
      <c r="K130" s="42"/>
      <c r="P130" s="2"/>
    </row>
    <row r="131" spans="7:16" x14ac:dyDescent="0.2">
      <c r="G131" s="54"/>
      <c r="H131" s="54"/>
      <c r="I131" s="53"/>
      <c r="J131" s="101"/>
      <c r="P131" s="2"/>
    </row>
    <row r="132" spans="7:16" x14ac:dyDescent="0.2">
      <c r="G132" s="54"/>
      <c r="H132" s="54"/>
      <c r="I132" s="53"/>
    </row>
    <row r="133" spans="7:16" x14ac:dyDescent="0.2">
      <c r="G133" s="54"/>
      <c r="H133" s="54"/>
      <c r="I133" s="53"/>
      <c r="P133" s="2"/>
    </row>
    <row r="134" spans="7:16" x14ac:dyDescent="0.2">
      <c r="G134" s="54"/>
      <c r="H134" s="54"/>
      <c r="I134" s="53"/>
    </row>
  </sheetData>
  <sheetProtection insertRows="0"/>
  <mergeCells count="8">
    <mergeCell ref="K75:L75"/>
    <mergeCell ref="A82:D82"/>
    <mergeCell ref="C96:F96"/>
    <mergeCell ref="A1:H1"/>
    <mergeCell ref="A3:F3"/>
    <mergeCell ref="A9:F9"/>
    <mergeCell ref="A17:F17"/>
    <mergeCell ref="A36:F36"/>
  </mergeCells>
  <conditionalFormatting sqref="H79:H80">
    <cfRule type="cellIs" dxfId="29" priority="1" operator="lessThan">
      <formula>0</formula>
    </cfRule>
  </conditionalFormatting>
  <conditionalFormatting sqref="C38">
    <cfRule type="duplicateValues" dxfId="28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1-000000000000}">
  <sheetPr codeName="Sheet572">
    <pageSetUpPr fitToPage="1"/>
  </sheetPr>
  <dimension ref="A1:S156"/>
  <sheetViews>
    <sheetView topLeftCell="A51" zoomScaleNormal="100" workbookViewId="0">
      <selection activeCell="E57" sqref="E57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12.85546875" style="1" customWidth="1"/>
    <col min="9" max="9" width="24.85546875" style="2" bestFit="1" customWidth="1"/>
    <col min="10" max="10" width="21.5703125" style="1" bestFit="1" customWidth="1"/>
    <col min="11" max="11" width="16.85546875" style="1" bestFit="1" customWidth="1"/>
    <col min="12" max="12" width="19.5703125" style="1" bestFit="1" customWidth="1"/>
    <col min="13" max="13" width="13.5703125" style="1" bestFit="1" customWidth="1"/>
    <col min="14" max="14" width="17.42578125" style="1" bestFit="1" customWidth="1"/>
    <col min="15" max="15" width="12.85546875" style="1" bestFit="1" customWidth="1"/>
    <col min="16" max="17" width="9.140625" style="1"/>
    <col min="18" max="18" width="15.5703125" style="1" bestFit="1" customWidth="1"/>
    <col min="19" max="16384" width="9.140625" style="1"/>
  </cols>
  <sheetData>
    <row r="1" spans="1:11" ht="20.25" customHeight="1" x14ac:dyDescent="0.4">
      <c r="A1" s="212" t="s">
        <v>2209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1" ht="12.75" customHeight="1" x14ac:dyDescent="0.4">
      <c r="I2" s="112"/>
      <c r="J2" s="112"/>
    </row>
    <row r="3" spans="1:11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1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1" s="2" customFormat="1" ht="14.25" customHeight="1" x14ac:dyDescent="0.4">
      <c r="A5" s="89">
        <v>45364</v>
      </c>
      <c r="B5" s="9" t="s">
        <v>6</v>
      </c>
      <c r="C5" s="10" t="s">
        <v>7</v>
      </c>
      <c r="D5" s="11"/>
      <c r="E5" s="12">
        <v>678762.84000000078</v>
      </c>
      <c r="F5" s="12"/>
      <c r="G5" s="1"/>
      <c r="H5" s="1"/>
      <c r="I5" s="112"/>
      <c r="J5" s="112"/>
    </row>
    <row r="6" spans="1:11" s="2" customFormat="1" ht="14.25" customHeight="1" x14ac:dyDescent="0.4">
      <c r="A6" s="89">
        <v>45364</v>
      </c>
      <c r="B6" s="9" t="s">
        <v>11</v>
      </c>
      <c r="C6" s="10" t="s">
        <v>495</v>
      </c>
      <c r="D6" s="11" t="s">
        <v>29</v>
      </c>
      <c r="E6" s="12"/>
      <c r="F6" s="12">
        <v>5000000</v>
      </c>
      <c r="G6" s="1"/>
      <c r="H6" s="1"/>
      <c r="I6" s="112"/>
      <c r="J6" s="112"/>
    </row>
    <row r="7" spans="1:11" s="2" customFormat="1" ht="14.25" customHeight="1" x14ac:dyDescent="0.4">
      <c r="A7" s="89">
        <v>45364</v>
      </c>
      <c r="B7" s="9" t="s">
        <v>6</v>
      </c>
      <c r="C7" s="10" t="s">
        <v>2179</v>
      </c>
      <c r="D7" s="11" t="s">
        <v>13</v>
      </c>
      <c r="E7" s="12">
        <v>7500000</v>
      </c>
      <c r="F7" s="12"/>
      <c r="G7" s="1"/>
      <c r="H7" s="1"/>
      <c r="I7" s="112"/>
      <c r="J7" s="112"/>
    </row>
    <row r="8" spans="1:11" s="2" customFormat="1" ht="12.75" customHeight="1" x14ac:dyDescent="0.2">
      <c r="D8" s="15" t="s">
        <v>8</v>
      </c>
      <c r="E8" s="16">
        <f>SUM(E5:E7)</f>
        <v>8178762.8400000008</v>
      </c>
      <c r="F8" s="16">
        <f>+F6</f>
        <v>5000000</v>
      </c>
      <c r="G8" s="1"/>
      <c r="H8" s="1"/>
      <c r="I8" s="13" t="s">
        <v>1582</v>
      </c>
      <c r="J8" s="13" t="s">
        <v>1583</v>
      </c>
    </row>
    <row r="9" spans="1:11" s="2" customFormat="1" ht="12.75" customHeight="1" x14ac:dyDescent="0.2">
      <c r="A9" s="17"/>
      <c r="B9" s="18"/>
      <c r="C9" s="19" t="s">
        <v>9</v>
      </c>
      <c r="D9" s="20"/>
      <c r="E9" s="21">
        <f>+E8-F8</f>
        <v>3178762.8400000008</v>
      </c>
      <c r="F9" s="22"/>
      <c r="G9" s="23"/>
      <c r="H9" s="23"/>
      <c r="I9" s="2">
        <v>0</v>
      </c>
      <c r="J9" s="2">
        <v>0</v>
      </c>
      <c r="K9" s="176">
        <f>I9-J9</f>
        <v>0</v>
      </c>
    </row>
    <row r="10" spans="1:11" ht="11.25" customHeight="1" x14ac:dyDescent="0.4">
      <c r="I10" s="112"/>
      <c r="J10" s="112"/>
    </row>
    <row r="11" spans="1:11" ht="18" customHeight="1" x14ac:dyDescent="0.4">
      <c r="A11" s="213" t="s">
        <v>2103</v>
      </c>
      <c r="B11" s="213"/>
      <c r="C11" s="213"/>
      <c r="D11" s="213"/>
      <c r="E11" s="213"/>
      <c r="F11" s="213"/>
      <c r="I11" s="112"/>
      <c r="J11" s="112"/>
    </row>
    <row r="12" spans="1:11" ht="12.75" customHeight="1" x14ac:dyDescent="0.4">
      <c r="A12" s="3" t="s">
        <v>1</v>
      </c>
      <c r="B12" s="4" t="s">
        <v>2</v>
      </c>
      <c r="C12" s="5"/>
      <c r="D12" s="6" t="s">
        <v>3</v>
      </c>
      <c r="E12" s="7" t="s">
        <v>4</v>
      </c>
      <c r="F12" s="7" t="s">
        <v>5</v>
      </c>
      <c r="I12" s="112"/>
      <c r="J12" s="112"/>
    </row>
    <row r="13" spans="1:11" ht="12.75" customHeight="1" x14ac:dyDescent="0.4">
      <c r="A13" s="89">
        <v>45364</v>
      </c>
      <c r="B13" s="9" t="s">
        <v>6</v>
      </c>
      <c r="C13" s="10" t="s">
        <v>7</v>
      </c>
      <c r="D13" s="11"/>
      <c r="E13" s="12">
        <v>3056934.1099999985</v>
      </c>
      <c r="F13" s="1"/>
      <c r="I13" s="112"/>
      <c r="J13" s="112"/>
    </row>
    <row r="14" spans="1:11" ht="12.75" customHeight="1" x14ac:dyDescent="0.2">
      <c r="A14" s="2"/>
      <c r="B14" s="2"/>
      <c r="C14" s="2"/>
      <c r="D14" s="11" t="s">
        <v>8</v>
      </c>
      <c r="E14" s="16">
        <f>SUM(E13:E13)</f>
        <v>3056934.1099999985</v>
      </c>
      <c r="F14" s="16">
        <f>F13</f>
        <v>0</v>
      </c>
      <c r="I14" s="13" t="s">
        <v>1582</v>
      </c>
      <c r="J14" s="13" t="s">
        <v>1583</v>
      </c>
    </row>
    <row r="15" spans="1:11" x14ac:dyDescent="0.2">
      <c r="A15" s="17"/>
      <c r="B15" s="18"/>
      <c r="C15" s="19" t="s">
        <v>9</v>
      </c>
      <c r="D15" s="20"/>
      <c r="E15" s="21">
        <f>+E14-F14</f>
        <v>3056934.1099999985</v>
      </c>
      <c r="I15" s="2">
        <v>2258224.12</v>
      </c>
      <c r="J15" s="2">
        <v>0</v>
      </c>
    </row>
    <row r="16" spans="1:11" ht="18" customHeight="1" x14ac:dyDescent="0.25">
      <c r="A16" s="36"/>
      <c r="B16" s="28"/>
      <c r="C16" s="44"/>
      <c r="D16" s="43"/>
      <c r="E16" s="38"/>
      <c r="F16" s="22"/>
      <c r="J16" s="2"/>
    </row>
    <row r="17" spans="1:12" ht="18" customHeight="1" x14ac:dyDescent="0.4">
      <c r="A17" s="213" t="s">
        <v>2104</v>
      </c>
      <c r="B17" s="213"/>
      <c r="C17" s="213"/>
      <c r="D17" s="213"/>
      <c r="E17" s="213"/>
      <c r="F17" s="213"/>
      <c r="I17" s="112"/>
      <c r="J17" s="169">
        <f>90000000-60000000</f>
        <v>30000000</v>
      </c>
      <c r="K17" s="169" t="s">
        <v>1508</v>
      </c>
    </row>
    <row r="18" spans="1:12" ht="12.75" customHeight="1" x14ac:dyDescent="0.4">
      <c r="A18" s="3" t="s">
        <v>1</v>
      </c>
      <c r="B18" s="4" t="s">
        <v>2</v>
      </c>
      <c r="C18" s="5"/>
      <c r="D18" s="6" t="s">
        <v>3</v>
      </c>
      <c r="E18" s="7" t="s">
        <v>4</v>
      </c>
      <c r="F18" s="7" t="s">
        <v>5</v>
      </c>
      <c r="I18" s="112"/>
      <c r="J18" s="169">
        <v>27524007.649999999</v>
      </c>
      <c r="K18" s="169" t="s">
        <v>1509</v>
      </c>
      <c r="L18" s="124"/>
    </row>
    <row r="19" spans="1:12" s="2" customFormat="1" ht="14.25" customHeight="1" x14ac:dyDescent="0.2">
      <c r="A19" s="89">
        <v>45364</v>
      </c>
      <c r="B19" s="9" t="s">
        <v>6</v>
      </c>
      <c r="C19" s="10" t="s">
        <v>7</v>
      </c>
      <c r="D19" s="11"/>
      <c r="F19" s="12">
        <v>26913708.859999999</v>
      </c>
      <c r="G19" s="1"/>
      <c r="H19" s="1"/>
      <c r="I19" s="130" t="s">
        <v>396</v>
      </c>
      <c r="J19" s="169">
        <f>+J17-J18</f>
        <v>2475992.3500000015</v>
      </c>
      <c r="K19" s="169" t="s">
        <v>712</v>
      </c>
      <c r="L19" s="165" t="s">
        <v>1512</v>
      </c>
    </row>
    <row r="20" spans="1:12" s="2" customFormat="1" ht="14.25" customHeight="1" x14ac:dyDescent="0.2">
      <c r="A20" s="89">
        <v>45364</v>
      </c>
      <c r="B20" s="9" t="s">
        <v>6</v>
      </c>
      <c r="C20" s="76" t="s">
        <v>1002</v>
      </c>
      <c r="D20" s="11" t="s">
        <v>13</v>
      </c>
      <c r="E20" s="31">
        <v>13578.39</v>
      </c>
      <c r="F20" s="12"/>
      <c r="G20" s="1"/>
      <c r="H20" s="1"/>
      <c r="I20" s="130"/>
      <c r="J20" s="169"/>
      <c r="K20" s="169"/>
      <c r="L20" s="165"/>
    </row>
    <row r="21" spans="1:12" s="2" customFormat="1" ht="14.25" customHeight="1" x14ac:dyDescent="0.2">
      <c r="A21" s="89">
        <v>45364</v>
      </c>
      <c r="B21" s="9" t="s">
        <v>6</v>
      </c>
      <c r="C21" s="76" t="s">
        <v>2210</v>
      </c>
      <c r="D21" s="11" t="s">
        <v>13</v>
      </c>
      <c r="E21" s="31">
        <v>4001430.43</v>
      </c>
      <c r="F21" s="31"/>
      <c r="G21" s="1"/>
      <c r="H21" s="1"/>
      <c r="I21" s="130"/>
      <c r="J21" s="169"/>
      <c r="K21" s="169"/>
      <c r="L21" s="165"/>
    </row>
    <row r="22" spans="1:12" s="2" customFormat="1" ht="14.25" customHeight="1" x14ac:dyDescent="0.2">
      <c r="A22" s="89">
        <v>45364</v>
      </c>
      <c r="B22" s="9" t="s">
        <v>11</v>
      </c>
      <c r="C22" s="76" t="s">
        <v>1091</v>
      </c>
      <c r="D22" s="11" t="s">
        <v>29</v>
      </c>
      <c r="E22" s="31"/>
      <c r="F22" s="31">
        <v>2596</v>
      </c>
      <c r="G22" s="1"/>
      <c r="H22" s="1"/>
      <c r="I22" s="130"/>
      <c r="J22" s="169"/>
      <c r="K22" s="169"/>
      <c r="L22" s="165"/>
    </row>
    <row r="23" spans="1:12" s="2" customFormat="1" ht="14.25" customHeight="1" x14ac:dyDescent="0.2">
      <c r="A23" s="89">
        <v>45364</v>
      </c>
      <c r="B23" s="9" t="s">
        <v>11</v>
      </c>
      <c r="C23" s="76" t="s">
        <v>156</v>
      </c>
      <c r="D23" s="11" t="s">
        <v>29</v>
      </c>
      <c r="E23" s="31"/>
      <c r="F23" s="31">
        <v>1575.26</v>
      </c>
      <c r="G23" s="1"/>
      <c r="H23" s="1"/>
      <c r="I23" s="130"/>
      <c r="J23" s="169"/>
      <c r="K23" s="169"/>
      <c r="L23" s="165"/>
    </row>
    <row r="24" spans="1:12" s="2" customFormat="1" ht="14.25" customHeight="1" x14ac:dyDescent="0.2">
      <c r="A24" s="89">
        <v>45364</v>
      </c>
      <c r="B24" s="9" t="s">
        <v>11</v>
      </c>
      <c r="C24" s="76" t="s">
        <v>223</v>
      </c>
      <c r="D24" s="11" t="s">
        <v>29</v>
      </c>
      <c r="E24" s="31"/>
      <c r="F24" s="31">
        <v>47614</v>
      </c>
      <c r="G24" s="1"/>
      <c r="H24" s="1"/>
      <c r="I24" s="130"/>
      <c r="J24" s="169"/>
      <c r="K24" s="169"/>
      <c r="L24" s="165"/>
    </row>
    <row r="25" spans="1:12" s="2" customFormat="1" ht="14.25" customHeight="1" x14ac:dyDescent="0.2">
      <c r="A25" s="89">
        <v>45364</v>
      </c>
      <c r="B25" s="9" t="s">
        <v>11</v>
      </c>
      <c r="C25" s="76" t="s">
        <v>35</v>
      </c>
      <c r="D25" s="11" t="s">
        <v>29</v>
      </c>
      <c r="E25" s="31"/>
      <c r="F25" s="31">
        <v>49677.8</v>
      </c>
      <c r="G25" s="1"/>
      <c r="H25" s="1"/>
      <c r="I25" s="130"/>
      <c r="J25" s="169"/>
      <c r="K25" s="169"/>
      <c r="L25" s="165"/>
    </row>
    <row r="26" spans="1:12" s="2" customFormat="1" ht="14.25" customHeight="1" x14ac:dyDescent="0.2">
      <c r="A26" s="89">
        <v>45364</v>
      </c>
      <c r="B26" s="9" t="s">
        <v>11</v>
      </c>
      <c r="C26" s="76" t="s">
        <v>248</v>
      </c>
      <c r="D26" s="11" t="s">
        <v>29</v>
      </c>
      <c r="E26" s="31"/>
      <c r="F26" s="31">
        <v>125086</v>
      </c>
      <c r="G26" s="1"/>
      <c r="H26" s="1"/>
      <c r="I26" s="130"/>
      <c r="J26" s="169"/>
      <c r="K26" s="169"/>
      <c r="L26" s="165"/>
    </row>
    <row r="27" spans="1:12" s="2" customFormat="1" ht="14.25" customHeight="1" x14ac:dyDescent="0.2">
      <c r="A27" s="89">
        <v>45364</v>
      </c>
      <c r="B27" s="9" t="s">
        <v>11</v>
      </c>
      <c r="C27" s="76" t="s">
        <v>1349</v>
      </c>
      <c r="D27" s="11" t="s">
        <v>29</v>
      </c>
      <c r="E27" s="31"/>
      <c r="F27" s="31">
        <v>4408</v>
      </c>
      <c r="G27" s="1"/>
      <c r="H27" s="1"/>
      <c r="I27" s="130"/>
      <c r="J27" s="169"/>
      <c r="K27" s="169"/>
      <c r="L27" s="165"/>
    </row>
    <row r="28" spans="1:12" s="2" customFormat="1" ht="14.25" customHeight="1" x14ac:dyDescent="0.2">
      <c r="A28" s="89">
        <v>45364</v>
      </c>
      <c r="B28" s="9" t="s">
        <v>11</v>
      </c>
      <c r="C28" s="76" t="s">
        <v>532</v>
      </c>
      <c r="D28" s="11" t="s">
        <v>29</v>
      </c>
      <c r="E28" s="31"/>
      <c r="F28" s="31">
        <v>274138</v>
      </c>
      <c r="G28" s="1"/>
      <c r="H28" s="1"/>
      <c r="I28" s="130"/>
      <c r="J28" s="169"/>
      <c r="K28" s="169"/>
      <c r="L28" s="165"/>
    </row>
    <row r="29" spans="1:12" s="2" customFormat="1" ht="14.25" customHeight="1" x14ac:dyDescent="0.2">
      <c r="A29" s="89">
        <v>45364</v>
      </c>
      <c r="B29" s="9" t="s">
        <v>11</v>
      </c>
      <c r="C29" s="76" t="s">
        <v>561</v>
      </c>
      <c r="D29" s="11" t="s">
        <v>29</v>
      </c>
      <c r="E29" s="31"/>
      <c r="F29" s="31">
        <v>322273</v>
      </c>
      <c r="G29" s="1"/>
      <c r="H29" s="1"/>
      <c r="I29" s="130"/>
      <c r="J29" s="169"/>
      <c r="K29" s="169"/>
      <c r="L29" s="165"/>
    </row>
    <row r="30" spans="1:12" s="2" customFormat="1" ht="14.25" customHeight="1" x14ac:dyDescent="0.2">
      <c r="A30" s="89">
        <v>45364</v>
      </c>
      <c r="B30" s="9" t="s">
        <v>11</v>
      </c>
      <c r="C30" s="76" t="s">
        <v>658</v>
      </c>
      <c r="D30" s="11" t="s">
        <v>29</v>
      </c>
      <c r="E30" s="31"/>
      <c r="F30" s="31">
        <v>9440</v>
      </c>
      <c r="G30" s="1"/>
      <c r="H30" s="1"/>
      <c r="I30" s="130"/>
      <c r="J30" s="169"/>
      <c r="K30" s="169"/>
      <c r="L30" s="165"/>
    </row>
    <row r="31" spans="1:12" s="2" customFormat="1" ht="14.25" customHeight="1" x14ac:dyDescent="0.2">
      <c r="A31" s="89">
        <v>45364</v>
      </c>
      <c r="B31" s="9" t="s">
        <v>11</v>
      </c>
      <c r="C31" s="76" t="s">
        <v>370</v>
      </c>
      <c r="D31" s="11" t="s">
        <v>29</v>
      </c>
      <c r="E31" s="31"/>
      <c r="F31" s="31">
        <v>281677.93</v>
      </c>
      <c r="G31" s="1"/>
      <c r="H31" s="1"/>
      <c r="I31" s="130"/>
      <c r="J31" s="169"/>
      <c r="K31" s="169"/>
      <c r="L31" s="165"/>
    </row>
    <row r="32" spans="1:12" s="2" customFormat="1" ht="14.25" customHeight="1" x14ac:dyDescent="0.2">
      <c r="A32" s="89">
        <v>45364</v>
      </c>
      <c r="B32" s="9" t="s">
        <v>11</v>
      </c>
      <c r="C32" s="76" t="s">
        <v>2190</v>
      </c>
      <c r="D32" s="11" t="s">
        <v>29</v>
      </c>
      <c r="E32" s="31"/>
      <c r="F32" s="31">
        <v>102660</v>
      </c>
      <c r="G32" s="1"/>
      <c r="H32" s="1"/>
      <c r="I32" s="130"/>
      <c r="J32" s="169"/>
      <c r="K32" s="169"/>
      <c r="L32" s="165"/>
    </row>
    <row r="33" spans="1:12" s="2" customFormat="1" ht="14.25" customHeight="1" x14ac:dyDescent="0.2">
      <c r="A33" s="89">
        <v>45364</v>
      </c>
      <c r="B33" s="9" t="s">
        <v>11</v>
      </c>
      <c r="C33" s="76" t="s">
        <v>242</v>
      </c>
      <c r="D33" s="11" t="s">
        <v>29</v>
      </c>
      <c r="E33" s="31"/>
      <c r="F33" s="31">
        <v>267400</v>
      </c>
      <c r="G33" s="1"/>
      <c r="H33" s="1"/>
      <c r="I33" s="130"/>
      <c r="J33" s="169"/>
      <c r="K33" s="169"/>
      <c r="L33" s="165"/>
    </row>
    <row r="34" spans="1:12" s="2" customFormat="1" ht="14.25" customHeight="1" x14ac:dyDescent="0.2">
      <c r="A34" s="89">
        <v>45364</v>
      </c>
      <c r="B34" s="9" t="s">
        <v>11</v>
      </c>
      <c r="C34" s="76" t="s">
        <v>211</v>
      </c>
      <c r="D34" s="11" t="s">
        <v>29</v>
      </c>
      <c r="E34" s="31"/>
      <c r="F34" s="31">
        <v>58500</v>
      </c>
      <c r="G34" s="1"/>
      <c r="H34" s="1"/>
      <c r="I34" s="130"/>
      <c r="J34" s="169"/>
      <c r="K34" s="169"/>
      <c r="L34" s="165"/>
    </row>
    <row r="35" spans="1:12" s="2" customFormat="1" ht="14.25" customHeight="1" x14ac:dyDescent="0.2">
      <c r="A35" s="89">
        <v>45364</v>
      </c>
      <c r="B35" s="9" t="s">
        <v>11</v>
      </c>
      <c r="C35" s="76" t="s">
        <v>1911</v>
      </c>
      <c r="D35" s="11" t="s">
        <v>29</v>
      </c>
      <c r="E35" s="31"/>
      <c r="F35" s="31">
        <v>15705.5</v>
      </c>
      <c r="G35" s="1"/>
      <c r="H35" s="1"/>
      <c r="I35" s="130"/>
      <c r="J35" s="169"/>
      <c r="K35" s="169"/>
      <c r="L35" s="165"/>
    </row>
    <row r="36" spans="1:12" s="2" customFormat="1" ht="14.25" customHeight="1" x14ac:dyDescent="0.2">
      <c r="A36" s="89">
        <v>45364</v>
      </c>
      <c r="B36" s="9" t="s">
        <v>11</v>
      </c>
      <c r="C36" s="76" t="s">
        <v>800</v>
      </c>
      <c r="D36" s="11" t="s">
        <v>29</v>
      </c>
      <c r="E36" s="31"/>
      <c r="F36" s="31">
        <v>16654</v>
      </c>
      <c r="G36" s="1"/>
      <c r="H36" s="1"/>
      <c r="I36" s="130"/>
      <c r="J36" s="169"/>
      <c r="K36" s="169"/>
      <c r="L36" s="165"/>
    </row>
    <row r="37" spans="1:12" s="2" customFormat="1" ht="14.25" customHeight="1" x14ac:dyDescent="0.2">
      <c r="A37" s="89">
        <v>45364</v>
      </c>
      <c r="B37" s="9" t="s">
        <v>11</v>
      </c>
      <c r="C37" s="76" t="s">
        <v>124</v>
      </c>
      <c r="D37" s="11" t="s">
        <v>29</v>
      </c>
      <c r="E37" s="31"/>
      <c r="F37" s="31">
        <v>164125</v>
      </c>
      <c r="G37" s="1"/>
      <c r="H37" s="1"/>
      <c r="I37" s="130"/>
      <c r="J37" s="169"/>
      <c r="K37" s="169"/>
      <c r="L37" s="165"/>
    </row>
    <row r="38" spans="1:12" s="2" customFormat="1" ht="14.25" customHeight="1" x14ac:dyDescent="0.2">
      <c r="A38" s="89">
        <v>45364</v>
      </c>
      <c r="B38" s="9" t="s">
        <v>11</v>
      </c>
      <c r="C38" s="76" t="s">
        <v>2211</v>
      </c>
      <c r="D38" s="11" t="s">
        <v>29</v>
      </c>
      <c r="E38" s="31"/>
      <c r="F38" s="31">
        <v>18030</v>
      </c>
      <c r="G38" s="1"/>
      <c r="H38" s="1"/>
      <c r="I38" s="130"/>
      <c r="J38" s="169"/>
      <c r="K38" s="169"/>
      <c r="L38" s="165"/>
    </row>
    <row r="39" spans="1:12" s="2" customFormat="1" ht="14.25" customHeight="1" x14ac:dyDescent="0.2">
      <c r="A39" s="89">
        <v>45364</v>
      </c>
      <c r="B39" s="9" t="s">
        <v>11</v>
      </c>
      <c r="C39" s="76" t="s">
        <v>2212</v>
      </c>
      <c r="D39" s="11" t="s">
        <v>29</v>
      </c>
      <c r="E39" s="31"/>
      <c r="F39" s="31">
        <v>18370</v>
      </c>
      <c r="G39" s="1"/>
      <c r="H39" s="1"/>
      <c r="I39" s="130"/>
      <c r="J39" s="169"/>
      <c r="K39" s="169"/>
      <c r="L39" s="165"/>
    </row>
    <row r="40" spans="1:12" s="2" customFormat="1" ht="14.25" customHeight="1" x14ac:dyDescent="0.2">
      <c r="A40" s="89">
        <v>45364</v>
      </c>
      <c r="B40" s="9" t="s">
        <v>11</v>
      </c>
      <c r="C40" s="76" t="s">
        <v>210</v>
      </c>
      <c r="D40" s="11" t="s">
        <v>29</v>
      </c>
      <c r="E40" s="31"/>
      <c r="F40" s="31">
        <v>135700</v>
      </c>
      <c r="G40" s="1"/>
      <c r="H40" s="1"/>
      <c r="I40" s="130"/>
      <c r="J40" s="169"/>
      <c r="K40" s="169"/>
      <c r="L40" s="165"/>
    </row>
    <row r="41" spans="1:12" s="2" customFormat="1" ht="14.25" customHeight="1" x14ac:dyDescent="0.2">
      <c r="A41" s="89">
        <v>45364</v>
      </c>
      <c r="B41" s="9" t="s">
        <v>11</v>
      </c>
      <c r="C41" s="76" t="s">
        <v>719</v>
      </c>
      <c r="D41" s="11" t="s">
        <v>29</v>
      </c>
      <c r="E41" s="31"/>
      <c r="F41" s="31">
        <v>106270</v>
      </c>
      <c r="G41" s="1"/>
      <c r="H41" s="1"/>
      <c r="I41" s="130"/>
      <c r="J41" s="169"/>
      <c r="K41" s="169"/>
      <c r="L41" s="165"/>
    </row>
    <row r="42" spans="1:12" s="2" customFormat="1" ht="14.25" customHeight="1" x14ac:dyDescent="0.2">
      <c r="A42" s="89">
        <v>45364</v>
      </c>
      <c r="B42" s="9" t="s">
        <v>11</v>
      </c>
      <c r="C42" s="76" t="s">
        <v>171</v>
      </c>
      <c r="D42" s="11" t="s">
        <v>29</v>
      </c>
      <c r="E42" s="31"/>
      <c r="F42" s="31">
        <v>5640</v>
      </c>
      <c r="G42" s="1"/>
      <c r="H42" s="1"/>
      <c r="I42" s="130"/>
      <c r="J42" s="169"/>
      <c r="K42" s="169"/>
      <c r="L42" s="165"/>
    </row>
    <row r="43" spans="1:12" s="2" customFormat="1" ht="14.25" customHeight="1" x14ac:dyDescent="0.2">
      <c r="A43" s="89">
        <v>45364</v>
      </c>
      <c r="B43" s="9" t="s">
        <v>11</v>
      </c>
      <c r="C43" s="76" t="s">
        <v>452</v>
      </c>
      <c r="D43" s="11" t="s">
        <v>29</v>
      </c>
      <c r="E43" s="31"/>
      <c r="F43" s="31">
        <v>241543</v>
      </c>
      <c r="G43" s="1"/>
      <c r="H43" s="1"/>
      <c r="I43" s="130"/>
      <c r="J43" s="169"/>
      <c r="K43" s="169"/>
      <c r="L43" s="165"/>
    </row>
    <row r="44" spans="1:12" s="2" customFormat="1" ht="14.25" customHeight="1" x14ac:dyDescent="0.2">
      <c r="A44" s="89">
        <v>45364</v>
      </c>
      <c r="B44" s="9" t="s">
        <v>11</v>
      </c>
      <c r="C44" s="76" t="s">
        <v>747</v>
      </c>
      <c r="D44" s="11" t="s">
        <v>29</v>
      </c>
      <c r="E44" s="31"/>
      <c r="F44" s="31">
        <v>98000</v>
      </c>
      <c r="G44" s="1"/>
      <c r="H44" s="1"/>
      <c r="I44" s="130"/>
      <c r="J44" s="169"/>
      <c r="K44" s="169"/>
      <c r="L44" s="165"/>
    </row>
    <row r="45" spans="1:12" s="2" customFormat="1" ht="14.25" customHeight="1" x14ac:dyDescent="0.4">
      <c r="D45" s="11" t="s">
        <v>8</v>
      </c>
      <c r="E45" s="16">
        <f>SUM(E20:E44)</f>
        <v>4015008.8200000003</v>
      </c>
      <c r="F45" s="16">
        <f>SUM(F19:F44)</f>
        <v>29280792.350000001</v>
      </c>
      <c r="G45" s="1"/>
      <c r="H45" s="1"/>
      <c r="J45" s="112"/>
      <c r="K45" s="153" t="s">
        <v>779</v>
      </c>
    </row>
    <row r="46" spans="1:12" s="2" customFormat="1" ht="14.25" customHeight="1" x14ac:dyDescent="0.2">
      <c r="A46" s="17"/>
      <c r="B46" s="18"/>
      <c r="C46" s="96" t="s">
        <v>9</v>
      </c>
      <c r="D46" s="20"/>
      <c r="E46" s="21">
        <f>+F45-E45</f>
        <v>25265783.530000001</v>
      </c>
      <c r="G46" s="1"/>
      <c r="H46" s="1"/>
      <c r="J46" s="40">
        <v>25265783.530000001</v>
      </c>
      <c r="K46" s="154">
        <f>J46-E46</f>
        <v>0</v>
      </c>
    </row>
    <row r="47" spans="1:12" s="2" customFormat="1" ht="14.25" customHeight="1" x14ac:dyDescent="0.2">
      <c r="A47" s="17"/>
      <c r="B47" s="28" t="s">
        <v>66</v>
      </c>
      <c r="C47" s="43" t="s">
        <v>1458</v>
      </c>
      <c r="D47" s="43"/>
      <c r="E47" s="12">
        <f>30000000+60000000</f>
        <v>90000000</v>
      </c>
      <c r="F47" s="22"/>
      <c r="G47" s="1"/>
      <c r="H47" s="1"/>
      <c r="I47" s="13" t="s">
        <v>1582</v>
      </c>
      <c r="J47" s="13" t="s">
        <v>1583</v>
      </c>
    </row>
    <row r="48" spans="1:12" s="2" customFormat="1" ht="14.25" customHeight="1" x14ac:dyDescent="0.25">
      <c r="A48" s="36"/>
      <c r="B48" s="28"/>
      <c r="C48" s="44" t="s">
        <v>1541</v>
      </c>
      <c r="D48" s="43"/>
      <c r="E48" s="7">
        <f>+E46+E47</f>
        <v>115265783.53</v>
      </c>
      <c r="F48" s="22"/>
      <c r="G48" s="1"/>
      <c r="H48" s="1"/>
      <c r="I48" s="2">
        <v>362434</v>
      </c>
      <c r="J48" s="2">
        <v>523603</v>
      </c>
      <c r="K48" s="176">
        <f>I48-J48</f>
        <v>-161169</v>
      </c>
    </row>
    <row r="49" spans="1:12" s="2" customFormat="1" ht="14.25" customHeight="1" x14ac:dyDescent="0.25">
      <c r="A49" s="36"/>
      <c r="B49" s="28"/>
      <c r="C49" s="44" t="s">
        <v>1511</v>
      </c>
      <c r="D49" s="43"/>
      <c r="E49" s="38">
        <f>I15-J15+J19</f>
        <v>4734216.4700000016</v>
      </c>
      <c r="F49" s="22"/>
      <c r="G49" s="1"/>
      <c r="H49" s="1"/>
      <c r="J49" s="130"/>
      <c r="K49" s="130"/>
    </row>
    <row r="50" spans="1:12" s="2" customFormat="1" x14ac:dyDescent="0.2">
      <c r="A50" s="24"/>
      <c r="B50" s="1"/>
      <c r="C50" s="14"/>
      <c r="D50" s="25"/>
      <c r="G50" s="1"/>
      <c r="H50" s="1"/>
      <c r="I50" s="159"/>
      <c r="J50" s="160">
        <f>100000000</f>
        <v>100000000</v>
      </c>
      <c r="K50" s="160" t="s">
        <v>1506</v>
      </c>
      <c r="L50" s="70"/>
    </row>
    <row r="51" spans="1:12" s="2" customFormat="1" ht="15" x14ac:dyDescent="0.35">
      <c r="A51" s="214" t="s">
        <v>10</v>
      </c>
      <c r="B51" s="214"/>
      <c r="C51" s="214"/>
      <c r="D51" s="214"/>
      <c r="E51" s="214"/>
      <c r="F51" s="214"/>
      <c r="G51" s="1"/>
      <c r="H51" s="1"/>
      <c r="I51" s="159"/>
      <c r="J51" s="179">
        <v>65630567.630000003</v>
      </c>
      <c r="K51" s="160" t="s">
        <v>1507</v>
      </c>
      <c r="L51" s="70" t="s">
        <v>1512</v>
      </c>
    </row>
    <row r="52" spans="1:12" s="2" customFormat="1" x14ac:dyDescent="0.2">
      <c r="A52" s="26" t="s">
        <v>1</v>
      </c>
      <c r="B52" s="27" t="s">
        <v>2</v>
      </c>
      <c r="C52" s="5"/>
      <c r="D52" s="6" t="s">
        <v>3</v>
      </c>
      <c r="E52" s="7" t="s">
        <v>4</v>
      </c>
      <c r="F52" s="7" t="s">
        <v>5</v>
      </c>
      <c r="G52" s="1"/>
      <c r="H52" s="1"/>
      <c r="I52" s="159" t="s">
        <v>1505</v>
      </c>
      <c r="J52" s="160">
        <f>+J50-J51</f>
        <v>34369432.369999997</v>
      </c>
      <c r="K52" s="160"/>
      <c r="L52" s="70"/>
    </row>
    <row r="53" spans="1:12" s="2" customFormat="1" x14ac:dyDescent="0.2">
      <c r="A53" s="89" t="s">
        <v>2213</v>
      </c>
      <c r="B53" s="128" t="s">
        <v>11</v>
      </c>
      <c r="C53" s="29" t="s">
        <v>7</v>
      </c>
      <c r="D53" s="25"/>
      <c r="E53" s="31"/>
      <c r="F53" s="13">
        <v>65321788.329999894</v>
      </c>
      <c r="G53" s="23"/>
      <c r="H53" s="23"/>
      <c r="I53" s="159"/>
      <c r="J53" s="160"/>
      <c r="K53" s="160"/>
      <c r="L53" s="70"/>
    </row>
    <row r="54" spans="1:12" s="2" customFormat="1" x14ac:dyDescent="0.2">
      <c r="A54" s="89" t="s">
        <v>2213</v>
      </c>
      <c r="B54" s="128" t="s">
        <v>6</v>
      </c>
      <c r="C54" s="181" t="s">
        <v>426</v>
      </c>
      <c r="D54" s="11" t="s">
        <v>13</v>
      </c>
      <c r="E54" s="86">
        <v>1361226.69</v>
      </c>
      <c r="G54" s="23"/>
      <c r="H54" s="23"/>
      <c r="I54" s="159"/>
      <c r="J54" s="160"/>
      <c r="K54" s="160"/>
      <c r="L54" s="70"/>
    </row>
    <row r="55" spans="1:12" s="2" customFormat="1" x14ac:dyDescent="0.2">
      <c r="A55" s="89" t="s">
        <v>2213</v>
      </c>
      <c r="B55" s="128" t="s">
        <v>6</v>
      </c>
      <c r="C55" s="181" t="s">
        <v>515</v>
      </c>
      <c r="D55" s="11" t="s">
        <v>13</v>
      </c>
      <c r="E55" s="86">
        <v>1575</v>
      </c>
      <c r="G55" s="23"/>
      <c r="H55" s="23"/>
      <c r="I55" s="159"/>
      <c r="J55" s="160"/>
      <c r="K55" s="160"/>
      <c r="L55" s="70"/>
    </row>
    <row r="56" spans="1:12" s="2" customFormat="1" x14ac:dyDescent="0.2">
      <c r="A56" s="89" t="s">
        <v>2213</v>
      </c>
      <c r="B56" s="128" t="s">
        <v>6</v>
      </c>
      <c r="C56" s="181" t="s">
        <v>1632</v>
      </c>
      <c r="D56" s="11" t="s">
        <v>13</v>
      </c>
      <c r="E56" s="86">
        <v>2500</v>
      </c>
      <c r="G56" s="23"/>
      <c r="H56" s="23"/>
      <c r="I56" s="159"/>
      <c r="J56" s="160"/>
      <c r="K56" s="160"/>
      <c r="L56" s="70"/>
    </row>
    <row r="57" spans="1:12" s="2" customFormat="1" x14ac:dyDescent="0.2">
      <c r="A57" s="89" t="s">
        <v>2213</v>
      </c>
      <c r="B57" s="128" t="s">
        <v>6</v>
      </c>
      <c r="C57" s="181" t="s">
        <v>17</v>
      </c>
      <c r="D57" s="11" t="s">
        <v>13</v>
      </c>
      <c r="E57" s="86">
        <v>102802</v>
      </c>
      <c r="G57" s="23"/>
      <c r="H57" s="23"/>
      <c r="I57" s="159"/>
      <c r="J57" s="160"/>
      <c r="K57" s="160"/>
      <c r="L57" s="70"/>
    </row>
    <row r="58" spans="1:12" s="2" customFormat="1" x14ac:dyDescent="0.2">
      <c r="A58" s="89" t="s">
        <v>2213</v>
      </c>
      <c r="B58" s="128" t="s">
        <v>6</v>
      </c>
      <c r="C58" s="181" t="s">
        <v>1351</v>
      </c>
      <c r="D58" s="11" t="s">
        <v>13</v>
      </c>
      <c r="E58" s="86">
        <v>41632.43</v>
      </c>
      <c r="G58" s="23"/>
      <c r="H58" s="23"/>
      <c r="I58" s="159"/>
      <c r="J58" s="160"/>
      <c r="K58" s="160"/>
      <c r="L58" s="70"/>
    </row>
    <row r="59" spans="1:12" s="2" customFormat="1" x14ac:dyDescent="0.2">
      <c r="A59" s="89" t="s">
        <v>2213</v>
      </c>
      <c r="B59" s="128" t="s">
        <v>6</v>
      </c>
      <c r="C59" s="181" t="s">
        <v>750</v>
      </c>
      <c r="D59" s="11" t="s">
        <v>13</v>
      </c>
      <c r="E59" s="86">
        <v>1683360</v>
      </c>
      <c r="G59" s="23"/>
      <c r="H59" s="23"/>
      <c r="I59" s="159"/>
      <c r="J59" s="160"/>
      <c r="K59" s="160"/>
      <c r="L59" s="70"/>
    </row>
    <row r="60" spans="1:12" s="2" customFormat="1" x14ac:dyDescent="0.2">
      <c r="A60" s="89" t="s">
        <v>2213</v>
      </c>
      <c r="B60" s="128" t="s">
        <v>6</v>
      </c>
      <c r="C60" s="181" t="s">
        <v>656</v>
      </c>
      <c r="D60" s="11" t="s">
        <v>13</v>
      </c>
      <c r="E60" s="86">
        <v>350000</v>
      </c>
      <c r="G60" s="23"/>
      <c r="H60" s="23"/>
      <c r="I60" s="159"/>
      <c r="J60" s="160"/>
      <c r="K60" s="160"/>
      <c r="L60" s="70"/>
    </row>
    <row r="61" spans="1:12" s="2" customFormat="1" x14ac:dyDescent="0.2">
      <c r="A61" s="89" t="s">
        <v>2213</v>
      </c>
      <c r="B61" s="128" t="s">
        <v>6</v>
      </c>
      <c r="C61" s="181" t="s">
        <v>598</v>
      </c>
      <c r="D61" s="11" t="s">
        <v>13</v>
      </c>
      <c r="E61" s="86">
        <v>350000</v>
      </c>
      <c r="G61" s="23"/>
      <c r="H61" s="23"/>
      <c r="I61" s="159"/>
      <c r="J61" s="160"/>
      <c r="K61" s="160"/>
      <c r="L61" s="70"/>
    </row>
    <row r="62" spans="1:12" s="2" customFormat="1" x14ac:dyDescent="0.2">
      <c r="A62" s="89" t="s">
        <v>2213</v>
      </c>
      <c r="B62" s="128" t="s">
        <v>6</v>
      </c>
      <c r="C62" s="181" t="s">
        <v>281</v>
      </c>
      <c r="D62" s="11" t="s">
        <v>13</v>
      </c>
      <c r="E62" s="86">
        <v>12434</v>
      </c>
      <c r="G62" s="23"/>
      <c r="H62" s="23"/>
      <c r="I62" s="159"/>
      <c r="J62" s="160"/>
      <c r="K62" s="160"/>
      <c r="L62" s="70"/>
    </row>
    <row r="63" spans="1:12" s="2" customFormat="1" x14ac:dyDescent="0.2">
      <c r="A63" s="89" t="s">
        <v>2213</v>
      </c>
      <c r="B63" s="128" t="s">
        <v>6</v>
      </c>
      <c r="C63" s="181" t="s">
        <v>2214</v>
      </c>
      <c r="D63" s="11" t="s">
        <v>13</v>
      </c>
      <c r="E63" s="86">
        <v>564209</v>
      </c>
      <c r="G63" s="23"/>
      <c r="H63" s="23"/>
      <c r="I63" s="159"/>
      <c r="J63" s="160"/>
      <c r="K63" s="160"/>
      <c r="L63" s="70"/>
    </row>
    <row r="64" spans="1:12" s="2" customFormat="1" x14ac:dyDescent="0.2">
      <c r="A64" s="89" t="s">
        <v>2213</v>
      </c>
      <c r="B64" s="128" t="s">
        <v>6</v>
      </c>
      <c r="C64" s="181" t="s">
        <v>1496</v>
      </c>
      <c r="D64" s="11" t="s">
        <v>13</v>
      </c>
      <c r="E64" s="86">
        <v>2186216</v>
      </c>
      <c r="G64" s="23"/>
      <c r="H64" s="23"/>
      <c r="I64" s="159"/>
      <c r="J64" s="160"/>
      <c r="K64" s="160"/>
      <c r="L64" s="70"/>
    </row>
    <row r="65" spans="1:16" s="2" customFormat="1" x14ac:dyDescent="0.2">
      <c r="A65" s="89" t="s">
        <v>2213</v>
      </c>
      <c r="B65" s="128" t="s">
        <v>6</v>
      </c>
      <c r="C65" s="181" t="s">
        <v>1708</v>
      </c>
      <c r="D65" s="11" t="s">
        <v>13</v>
      </c>
      <c r="E65" s="86">
        <v>4720</v>
      </c>
      <c r="G65" s="23"/>
      <c r="H65" s="23"/>
      <c r="I65" s="159"/>
      <c r="J65" s="160"/>
      <c r="K65" s="160"/>
      <c r="L65" s="70"/>
    </row>
    <row r="66" spans="1:16" s="2" customFormat="1" x14ac:dyDescent="0.2">
      <c r="A66" s="89" t="s">
        <v>2213</v>
      </c>
      <c r="B66" s="128" t="s">
        <v>6</v>
      </c>
      <c r="C66" s="181" t="s">
        <v>1545</v>
      </c>
      <c r="D66" s="11" t="s">
        <v>13</v>
      </c>
      <c r="E66" s="86">
        <v>109800</v>
      </c>
      <c r="G66" s="23"/>
      <c r="H66" s="23"/>
      <c r="I66" s="159"/>
      <c r="J66" s="160"/>
      <c r="K66" s="160"/>
      <c r="L66" s="70"/>
    </row>
    <row r="67" spans="1:16" s="2" customFormat="1" x14ac:dyDescent="0.2">
      <c r="A67" s="89" t="s">
        <v>2213</v>
      </c>
      <c r="B67" s="128" t="s">
        <v>6</v>
      </c>
      <c r="C67" s="181" t="s">
        <v>2081</v>
      </c>
      <c r="D67" s="11" t="s">
        <v>13</v>
      </c>
      <c r="E67" s="86">
        <v>15000</v>
      </c>
      <c r="G67" s="23"/>
      <c r="H67" s="23"/>
      <c r="I67" s="159"/>
      <c r="J67" s="160"/>
      <c r="K67" s="160"/>
      <c r="L67" s="70"/>
    </row>
    <row r="68" spans="1:16" s="2" customFormat="1" x14ac:dyDescent="0.2">
      <c r="A68" s="89" t="s">
        <v>2213</v>
      </c>
      <c r="B68" s="128" t="s">
        <v>6</v>
      </c>
      <c r="C68" s="181" t="s">
        <v>174</v>
      </c>
      <c r="D68" s="11" t="s">
        <v>13</v>
      </c>
      <c r="E68" s="86">
        <v>6809</v>
      </c>
      <c r="G68" s="23"/>
      <c r="H68" s="23"/>
      <c r="I68" s="159"/>
      <c r="J68" s="160"/>
      <c r="K68" s="160"/>
      <c r="L68" s="70"/>
    </row>
    <row r="69" spans="1:16" s="2" customFormat="1" x14ac:dyDescent="0.2">
      <c r="A69" s="89" t="s">
        <v>2213</v>
      </c>
      <c r="B69" s="128" t="s">
        <v>6</v>
      </c>
      <c r="C69" s="181" t="s">
        <v>15</v>
      </c>
      <c r="D69" s="11" t="s">
        <v>13</v>
      </c>
      <c r="E69" s="86">
        <v>80317.440000000002</v>
      </c>
      <c r="G69" s="23"/>
      <c r="H69" s="23"/>
      <c r="I69" s="159"/>
      <c r="J69" s="160"/>
      <c r="K69" s="160"/>
      <c r="L69" s="70"/>
    </row>
    <row r="70" spans="1:16" s="2" customFormat="1" x14ac:dyDescent="0.2">
      <c r="A70" s="89" t="s">
        <v>2213</v>
      </c>
      <c r="B70" s="128" t="s">
        <v>6</v>
      </c>
      <c r="C70" s="181" t="s">
        <v>757</v>
      </c>
      <c r="D70" s="11" t="s">
        <v>13</v>
      </c>
      <c r="E70" s="86">
        <v>88332.5</v>
      </c>
      <c r="G70" s="23"/>
      <c r="H70" s="23"/>
      <c r="I70" s="159"/>
      <c r="J70" s="160"/>
      <c r="K70" s="160"/>
      <c r="L70" s="70"/>
    </row>
    <row r="71" spans="1:16" s="2" customFormat="1" x14ac:dyDescent="0.2">
      <c r="A71" s="89" t="s">
        <v>2213</v>
      </c>
      <c r="B71" s="128" t="s">
        <v>6</v>
      </c>
      <c r="C71" s="181" t="s">
        <v>765</v>
      </c>
      <c r="D71" s="11" t="s">
        <v>13</v>
      </c>
      <c r="E71" s="86">
        <v>527088.6</v>
      </c>
      <c r="G71" s="23"/>
      <c r="H71" s="23"/>
      <c r="I71" s="159"/>
      <c r="J71" s="160"/>
      <c r="K71" s="160"/>
      <c r="L71" s="70"/>
    </row>
    <row r="72" spans="1:16" s="2" customFormat="1" x14ac:dyDescent="0.2">
      <c r="A72" s="89" t="s">
        <v>2213</v>
      </c>
      <c r="B72" s="128" t="s">
        <v>6</v>
      </c>
      <c r="C72" s="181" t="s">
        <v>2215</v>
      </c>
      <c r="D72" s="11" t="s">
        <v>13</v>
      </c>
      <c r="E72" s="86">
        <v>12600</v>
      </c>
      <c r="G72" s="23"/>
      <c r="H72" s="23"/>
      <c r="I72" s="159"/>
      <c r="J72" s="160"/>
      <c r="K72" s="160"/>
      <c r="L72" s="70"/>
    </row>
    <row r="73" spans="1:16" s="2" customFormat="1" x14ac:dyDescent="0.2">
      <c r="A73" s="89" t="s">
        <v>2213</v>
      </c>
      <c r="B73" s="128" t="s">
        <v>6</v>
      </c>
      <c r="C73" s="181" t="s">
        <v>1771</v>
      </c>
      <c r="D73" s="11" t="s">
        <v>13</v>
      </c>
      <c r="E73" s="86">
        <v>14030</v>
      </c>
      <c r="G73" s="23"/>
      <c r="H73" s="23"/>
      <c r="I73" s="159"/>
      <c r="J73" s="160"/>
      <c r="K73" s="160"/>
      <c r="L73" s="70"/>
    </row>
    <row r="74" spans="1:16" s="2" customFormat="1" x14ac:dyDescent="0.2">
      <c r="A74" s="89" t="s">
        <v>2213</v>
      </c>
      <c r="B74" s="128" t="s">
        <v>11</v>
      </c>
      <c r="C74" s="181" t="s">
        <v>64</v>
      </c>
      <c r="D74" s="11" t="s">
        <v>29</v>
      </c>
      <c r="E74" s="86"/>
      <c r="F74" s="2">
        <v>9166.9599999999991</v>
      </c>
      <c r="G74" s="23"/>
      <c r="H74" s="23"/>
      <c r="I74" s="159"/>
      <c r="J74" s="160"/>
      <c r="K74" s="160"/>
      <c r="L74" s="70"/>
    </row>
    <row r="75" spans="1:16" s="2" customFormat="1" x14ac:dyDescent="0.2">
      <c r="A75" s="89" t="s">
        <v>2213</v>
      </c>
      <c r="B75" s="128" t="s">
        <v>11</v>
      </c>
      <c r="C75" s="181" t="s">
        <v>1734</v>
      </c>
      <c r="D75" s="11" t="s">
        <v>29</v>
      </c>
      <c r="E75" s="86"/>
      <c r="F75" s="2">
        <v>443239</v>
      </c>
      <c r="G75" s="23"/>
      <c r="H75" s="23"/>
      <c r="I75" s="159"/>
      <c r="J75" s="160"/>
      <c r="K75" s="160"/>
      <c r="L75" s="70"/>
    </row>
    <row r="76" spans="1:16" s="2" customFormat="1" x14ac:dyDescent="0.2">
      <c r="A76" s="89" t="s">
        <v>2213</v>
      </c>
      <c r="B76" s="128" t="s">
        <v>11</v>
      </c>
      <c r="C76" s="181" t="s">
        <v>1771</v>
      </c>
      <c r="D76" s="11" t="s">
        <v>29</v>
      </c>
      <c r="E76" s="86"/>
      <c r="F76" s="2">
        <v>32195</v>
      </c>
      <c r="G76" s="23"/>
      <c r="H76" s="23"/>
      <c r="I76" s="159"/>
      <c r="J76" s="160"/>
      <c r="K76" s="160"/>
      <c r="L76" s="70"/>
    </row>
    <row r="77" spans="1:16" s="2" customFormat="1" x14ac:dyDescent="0.2">
      <c r="A77" s="89" t="s">
        <v>2213</v>
      </c>
      <c r="B77" s="128" t="s">
        <v>11</v>
      </c>
      <c r="C77" s="181" t="s">
        <v>402</v>
      </c>
      <c r="D77" s="11" t="s">
        <v>29</v>
      </c>
      <c r="E77" s="86"/>
      <c r="F77" s="2">
        <v>7500000</v>
      </c>
      <c r="G77" s="23"/>
      <c r="H77" s="23"/>
      <c r="I77" s="159"/>
      <c r="J77" s="160"/>
      <c r="K77" s="160"/>
      <c r="L77" s="70"/>
    </row>
    <row r="78" spans="1:16" s="70" customFormat="1" x14ac:dyDescent="0.2">
      <c r="A78" s="32"/>
      <c r="B78" s="33"/>
      <c r="C78" s="14"/>
      <c r="D78" s="34"/>
      <c r="E78" s="16">
        <f>SUM(E53:E77)</f>
        <v>7514652.6600000001</v>
      </c>
      <c r="F78" s="16">
        <f>SUM(F53:F77)</f>
        <v>73306389.289999902</v>
      </c>
      <c r="G78" s="1"/>
      <c r="H78" s="1"/>
      <c r="I78" s="1"/>
      <c r="J78" s="38">
        <v>65791736.630000003</v>
      </c>
      <c r="K78" s="2"/>
      <c r="L78" s="92">
        <f>E79-J78</f>
        <v>-9.6857547760009766E-8</v>
      </c>
      <c r="M78" s="2"/>
      <c r="N78" s="2"/>
      <c r="O78" s="2"/>
      <c r="P78" s="2"/>
    </row>
    <row r="79" spans="1:16" s="70" customFormat="1" x14ac:dyDescent="0.2">
      <c r="A79" s="36"/>
      <c r="B79" s="28" t="s">
        <v>11</v>
      </c>
      <c r="C79" s="19" t="s">
        <v>65</v>
      </c>
      <c r="D79" s="37"/>
      <c r="E79" s="38">
        <f>F78-E78</f>
        <v>65791736.629999906</v>
      </c>
      <c r="F79" s="22"/>
      <c r="G79" s="1"/>
      <c r="H79" s="1"/>
      <c r="I79" s="1"/>
      <c r="M79" s="2"/>
      <c r="N79" s="2"/>
      <c r="O79" s="1"/>
      <c r="P79" s="2"/>
    </row>
    <row r="80" spans="1:16" s="70" customFormat="1" x14ac:dyDescent="0.2">
      <c r="A80" s="36"/>
      <c r="B80" s="28" t="s">
        <v>66</v>
      </c>
      <c r="C80" s="19" t="s">
        <v>67</v>
      </c>
      <c r="D80" s="37"/>
      <c r="E80" s="38">
        <v>11500000</v>
      </c>
      <c r="F80" s="22"/>
      <c r="G80" s="1"/>
      <c r="H80" s="1"/>
      <c r="M80" s="2"/>
      <c r="N80" s="2"/>
      <c r="O80" s="1"/>
      <c r="P80" s="2"/>
    </row>
    <row r="81" spans="1:19" s="70" customFormat="1" x14ac:dyDescent="0.2">
      <c r="A81" s="36"/>
      <c r="B81" s="28" t="s">
        <v>66</v>
      </c>
      <c r="C81" s="43" t="s">
        <v>1457</v>
      </c>
      <c r="D81" s="43"/>
      <c r="E81" s="12">
        <f>400000000</f>
        <v>400000000</v>
      </c>
      <c r="F81" s="22"/>
      <c r="G81" s="1"/>
      <c r="H81" s="1"/>
      <c r="J81" s="45">
        <v>1118.52</v>
      </c>
      <c r="K81" s="46"/>
      <c r="L81" s="46"/>
      <c r="M81" s="2"/>
      <c r="N81" s="2"/>
      <c r="O81" s="1"/>
      <c r="P81" s="2"/>
    </row>
    <row r="82" spans="1:19" s="70" customFormat="1" ht="15" x14ac:dyDescent="0.25">
      <c r="A82" s="36"/>
      <c r="B82" s="28"/>
      <c r="C82" s="44" t="s">
        <v>1541</v>
      </c>
      <c r="D82" s="43"/>
      <c r="E82" s="7">
        <f>+E81+E79+E80</f>
        <v>477291736.62999988</v>
      </c>
      <c r="F82" s="22"/>
      <c r="G82" s="1"/>
      <c r="H82" s="1"/>
      <c r="I82" s="103" t="s">
        <v>69</v>
      </c>
      <c r="J82" s="45">
        <v>-3.98</v>
      </c>
      <c r="K82" s="46"/>
      <c r="L82" s="46"/>
      <c r="M82" s="2"/>
      <c r="N82" s="2"/>
      <c r="O82" s="1"/>
      <c r="P82" s="2"/>
    </row>
    <row r="83" spans="1:19" s="70" customFormat="1" ht="15" x14ac:dyDescent="0.25">
      <c r="A83" s="24"/>
      <c r="B83" s="1"/>
      <c r="C83" s="44" t="s">
        <v>1510</v>
      </c>
      <c r="D83" s="25"/>
      <c r="E83" s="156">
        <f>+J52-E80+I48-J48</f>
        <v>22708263.369999997</v>
      </c>
      <c r="F83" s="2"/>
      <c r="G83" s="1"/>
      <c r="H83" s="1"/>
      <c r="I83" s="35">
        <v>1</v>
      </c>
      <c r="J83" s="45">
        <v>0</v>
      </c>
      <c r="K83" s="46">
        <f>+J84-D86</f>
        <v>0</v>
      </c>
      <c r="L83" s="2"/>
      <c r="M83" s="2"/>
      <c r="N83" s="2"/>
      <c r="O83" s="1"/>
      <c r="P83" s="2"/>
    </row>
    <row r="84" spans="1:19" s="70" customFormat="1" ht="12.75" customHeight="1" x14ac:dyDescent="0.2">
      <c r="A84" s="24"/>
      <c r="B84" s="1"/>
      <c r="C84" s="56"/>
      <c r="D84" s="56"/>
      <c r="E84" s="104"/>
      <c r="F84" s="2"/>
      <c r="G84" s="166"/>
      <c r="H84" s="166"/>
      <c r="J84" s="49">
        <f>SUM(J81:J83)</f>
        <v>1114.54</v>
      </c>
      <c r="K84" s="46"/>
      <c r="L84" s="46"/>
      <c r="M84" s="124"/>
      <c r="N84" s="124"/>
      <c r="O84" s="1"/>
      <c r="P84" s="2"/>
    </row>
    <row r="85" spans="1:19" s="70" customFormat="1" ht="12.75" customHeight="1" x14ac:dyDescent="0.2">
      <c r="A85" s="24"/>
      <c r="B85" s="1"/>
      <c r="C85" s="78" t="s">
        <v>575</v>
      </c>
      <c r="D85" s="48" t="s">
        <v>576</v>
      </c>
      <c r="E85" s="104"/>
      <c r="F85" s="2"/>
      <c r="G85" s="168"/>
      <c r="H85" s="168"/>
      <c r="I85" s="167"/>
      <c r="J85" s="167"/>
      <c r="K85" s="168"/>
      <c r="L85" s="124"/>
      <c r="M85" s="124"/>
      <c r="N85" s="124"/>
      <c r="O85" s="124"/>
      <c r="P85" s="2"/>
    </row>
    <row r="86" spans="1:19" s="70" customFormat="1" ht="12.75" customHeight="1" x14ac:dyDescent="0.2">
      <c r="A86" s="24"/>
      <c r="B86" s="1"/>
      <c r="C86" s="47" t="s">
        <v>570</v>
      </c>
      <c r="D86" s="111">
        <v>1114.54</v>
      </c>
      <c r="E86" s="104"/>
      <c r="F86" s="2"/>
      <c r="G86" s="168"/>
      <c r="H86" s="168"/>
      <c r="I86" s="110" t="s">
        <v>581</v>
      </c>
      <c r="J86" s="167"/>
      <c r="K86" s="168"/>
      <c r="L86" s="124"/>
      <c r="M86" s="124"/>
      <c r="N86" s="124"/>
      <c r="O86" s="124"/>
      <c r="P86" s="124"/>
    </row>
    <row r="87" spans="1:19" s="70" customFormat="1" ht="12.75" customHeight="1" x14ac:dyDescent="0.2">
      <c r="A87" s="24"/>
      <c r="B87" s="1"/>
      <c r="C87" s="47" t="s">
        <v>931</v>
      </c>
      <c r="D87" s="111">
        <v>135.16</v>
      </c>
      <c r="E87" s="104"/>
      <c r="F87" s="2"/>
      <c r="G87" s="168"/>
      <c r="H87" s="168"/>
      <c r="I87" s="110" t="s">
        <v>580</v>
      </c>
      <c r="J87" s="167"/>
      <c r="K87" s="168"/>
      <c r="L87" s="124"/>
      <c r="M87" s="124"/>
      <c r="N87" s="124"/>
      <c r="O87" s="124"/>
      <c r="P87" s="124"/>
    </row>
    <row r="88" spans="1:19" s="70" customFormat="1" ht="12.75" customHeight="1" x14ac:dyDescent="0.2">
      <c r="A88" s="24"/>
      <c r="B88" s="1"/>
      <c r="C88" s="47" t="s">
        <v>572</v>
      </c>
      <c r="D88" s="111">
        <f>+D116/100000</f>
        <v>153.34083000000001</v>
      </c>
      <c r="E88" s="104"/>
      <c r="F88" s="2"/>
      <c r="G88" s="166"/>
      <c r="H88" s="166"/>
      <c r="I88" s="90" t="s">
        <v>587</v>
      </c>
      <c r="J88" s="167"/>
      <c r="K88" s="168"/>
      <c r="L88" s="124"/>
      <c r="M88" s="124"/>
      <c r="N88" s="124"/>
      <c r="O88" s="124"/>
      <c r="P88" s="124"/>
    </row>
    <row r="89" spans="1:19" s="70" customFormat="1" ht="12.75" customHeight="1" x14ac:dyDescent="0.2">
      <c r="A89" s="24"/>
      <c r="B89" s="1"/>
      <c r="C89" s="108" t="s">
        <v>578</v>
      </c>
      <c r="D89" s="48">
        <f>SUM(D86:D88)</f>
        <v>1403.0408300000001</v>
      </c>
      <c r="E89" s="104"/>
      <c r="F89" s="2"/>
      <c r="G89" s="30"/>
      <c r="H89" s="30"/>
      <c r="I89" s="2"/>
      <c r="J89" s="13"/>
      <c r="K89" s="13"/>
      <c r="L89" s="2"/>
      <c r="M89" s="2"/>
      <c r="N89" s="2"/>
      <c r="O89" s="124"/>
      <c r="P89" s="124"/>
    </row>
    <row r="90" spans="1:19" s="70" customFormat="1" ht="12.75" customHeight="1" x14ac:dyDescent="0.2">
      <c r="A90" s="24"/>
      <c r="B90" s="1"/>
      <c r="C90" s="47"/>
      <c r="D90" s="107"/>
      <c r="E90" s="104"/>
      <c r="F90" s="2"/>
      <c r="G90" s="30"/>
      <c r="H90" s="30"/>
      <c r="I90" s="2"/>
      <c r="O90" s="2"/>
      <c r="P90" s="124"/>
    </row>
    <row r="91" spans="1:19" s="70" customFormat="1" ht="12.75" customHeight="1" x14ac:dyDescent="0.2">
      <c r="A91" s="24"/>
      <c r="B91" s="1"/>
      <c r="C91" s="47" t="s">
        <v>932</v>
      </c>
      <c r="D91" s="111">
        <v>150.88999999999999</v>
      </c>
      <c r="E91" s="104"/>
      <c r="F91" s="2"/>
      <c r="G91" s="30"/>
      <c r="H91" s="30"/>
      <c r="I91" s="110" t="s">
        <v>581</v>
      </c>
      <c r="P91" s="2"/>
    </row>
    <row r="92" spans="1:19" s="70" customFormat="1" ht="12.75" customHeight="1" x14ac:dyDescent="0.2">
      <c r="A92" s="24"/>
      <c r="B92" s="1"/>
      <c r="C92" s="136" t="s">
        <v>1142</v>
      </c>
      <c r="D92" s="111">
        <v>366.65</v>
      </c>
      <c r="E92" s="104"/>
      <c r="F92" s="2"/>
      <c r="G92" s="30"/>
      <c r="H92" s="30"/>
      <c r="I92" s="110" t="s">
        <v>581</v>
      </c>
    </row>
    <row r="93" spans="1:19" s="70" customFormat="1" ht="12.75" customHeight="1" x14ac:dyDescent="0.2">
      <c r="A93" s="24"/>
      <c r="B93" s="1"/>
      <c r="C93" s="78" t="s">
        <v>579</v>
      </c>
      <c r="D93" s="109">
        <f>D91+D92</f>
        <v>517.54</v>
      </c>
      <c r="E93" s="104"/>
      <c r="F93" s="2"/>
      <c r="G93" s="30"/>
      <c r="H93" s="30"/>
      <c r="Q93" s="2"/>
      <c r="R93" s="2"/>
      <c r="S93" s="2"/>
    </row>
    <row r="94" spans="1:19" s="2" customFormat="1" x14ac:dyDescent="0.2">
      <c r="A94" s="24"/>
      <c r="B94" s="1"/>
      <c r="C94" s="105"/>
      <c r="D94" s="106"/>
      <c r="E94" s="104"/>
      <c r="G94" s="30"/>
      <c r="H94" s="30"/>
      <c r="I94" s="70"/>
      <c r="K94" s="221" t="str">
        <f>"FROM ( 01-03-2024 to "&amp;TEXT(A5,"dd-mm-yyyy")&amp;" )"</f>
        <v>FROM ( 01-03-2024 to 13-03-2024 )</v>
      </c>
      <c r="L94" s="221"/>
      <c r="O94" s="70"/>
      <c r="P94" s="70"/>
    </row>
    <row r="95" spans="1:19" s="2" customFormat="1" x14ac:dyDescent="0.2">
      <c r="A95" s="24"/>
      <c r="B95" s="1"/>
      <c r="C95" s="78" t="s">
        <v>577</v>
      </c>
      <c r="D95" s="109">
        <f>D86+D93</f>
        <v>1632.08</v>
      </c>
      <c r="E95" s="104"/>
      <c r="G95" s="30"/>
      <c r="H95" s="30"/>
      <c r="I95" s="70"/>
      <c r="J95" s="113"/>
      <c r="K95" s="113" t="s">
        <v>709</v>
      </c>
      <c r="L95" s="113" t="s">
        <v>710</v>
      </c>
      <c r="M95" s="113" t="s">
        <v>711</v>
      </c>
      <c r="N95" s="113" t="s">
        <v>712</v>
      </c>
      <c r="O95" s="70"/>
      <c r="P95" s="70"/>
    </row>
    <row r="96" spans="1:19" s="2" customFormat="1" x14ac:dyDescent="0.2">
      <c r="A96" s="24"/>
      <c r="B96" s="1"/>
      <c r="C96" s="56"/>
      <c r="D96" s="56"/>
      <c r="E96" s="104"/>
      <c r="G96" s="30"/>
      <c r="H96" s="30"/>
      <c r="I96" s="70"/>
      <c r="J96" s="113" t="s">
        <v>1860</v>
      </c>
      <c r="K96" s="115">
        <v>195.8</v>
      </c>
      <c r="L96" s="115">
        <v>0</v>
      </c>
      <c r="M96" s="115">
        <v>0</v>
      </c>
      <c r="N96" s="113">
        <f>+K96+M96-L96</f>
        <v>195.8</v>
      </c>
      <c r="O96" s="70"/>
      <c r="P96" s="70"/>
    </row>
    <row r="97" spans="1:16" s="2" customFormat="1" ht="38.25" x14ac:dyDescent="0.2">
      <c r="A97" s="24"/>
      <c r="B97" s="1"/>
      <c r="C97" s="79" t="str">
        <f>"Particulars ( 01-03-2024 to "&amp;TEXT(A5,"dd-mm-yyyy")&amp;" )"</f>
        <v>Particulars ( 01-03-2024 to 13-03-2024 )</v>
      </c>
      <c r="D97" s="79" t="s">
        <v>7</v>
      </c>
      <c r="E97" s="80" t="s">
        <v>73</v>
      </c>
      <c r="F97" s="80" t="s">
        <v>74</v>
      </c>
      <c r="G97" s="81" t="s">
        <v>75</v>
      </c>
      <c r="H97" s="80" t="s">
        <v>76</v>
      </c>
      <c r="I97" s="70"/>
      <c r="J97" s="113" t="s">
        <v>1861</v>
      </c>
      <c r="K97" s="115">
        <v>1882.55</v>
      </c>
      <c r="L97" s="115">
        <v>153.34</v>
      </c>
      <c r="M97" s="115">
        <v>366.65</v>
      </c>
      <c r="N97" s="113">
        <f>+K97+M97-L97</f>
        <v>2095.8599999999997</v>
      </c>
      <c r="O97" s="70"/>
      <c r="P97" s="70"/>
    </row>
    <row r="98" spans="1:16" s="2" customFormat="1" x14ac:dyDescent="0.2">
      <c r="A98" s="24"/>
      <c r="B98" s="1"/>
      <c r="C98" s="50" t="s">
        <v>444</v>
      </c>
      <c r="D98" s="55">
        <f>+K98</f>
        <v>463.26</v>
      </c>
      <c r="E98" s="55">
        <f>+IF(M98=0,0,M98)</f>
        <v>150.88999999999999</v>
      </c>
      <c r="F98" s="55">
        <f>+L98</f>
        <v>135.16</v>
      </c>
      <c r="G98" s="55">
        <f>+D98+E98-F98</f>
        <v>478.99</v>
      </c>
      <c r="H98" s="55">
        <f>1500-G98</f>
        <v>1021.01</v>
      </c>
      <c r="I98" s="70">
        <f>+IF(M98=0,0,M98)</f>
        <v>150.88999999999999</v>
      </c>
      <c r="J98" s="113" t="s">
        <v>707</v>
      </c>
      <c r="K98" s="115">
        <v>463.26</v>
      </c>
      <c r="L98" s="115">
        <v>135.16</v>
      </c>
      <c r="M98" s="115">
        <v>150.88999999999999</v>
      </c>
      <c r="N98" s="113">
        <f>+K98+M98-L98</f>
        <v>478.99</v>
      </c>
      <c r="O98" s="70"/>
      <c r="P98" s="70"/>
    </row>
    <row r="99" spans="1:16" s="2" customFormat="1" x14ac:dyDescent="0.2">
      <c r="A99" s="24"/>
      <c r="B99" s="1"/>
      <c r="C99" s="50" t="s">
        <v>71</v>
      </c>
      <c r="D99" s="55">
        <f>+K96+K97</f>
        <v>2078.35</v>
      </c>
      <c r="E99" s="55">
        <f>+M96+M97</f>
        <v>366.65</v>
      </c>
      <c r="F99" s="55">
        <f>+L96+L97</f>
        <v>153.34</v>
      </c>
      <c r="G99" s="55">
        <f>+D99+E99-F99</f>
        <v>2291.66</v>
      </c>
      <c r="H99" s="55">
        <f>1500+700+200-G99</f>
        <v>108.34000000000015</v>
      </c>
      <c r="I99" s="70"/>
      <c r="K99" s="118">
        <f>SUM(K96:K98)</f>
        <v>2541.6099999999997</v>
      </c>
      <c r="L99" s="118">
        <f>SUM(L96:L98)</f>
        <v>288.5</v>
      </c>
      <c r="M99" s="118">
        <f>SUM(M96:M98)</f>
        <v>517.54</v>
      </c>
      <c r="N99" s="118">
        <f>SUM(N96:N98)</f>
        <v>2770.6499999999996</v>
      </c>
      <c r="O99" s="70"/>
      <c r="P99" s="70"/>
    </row>
    <row r="100" spans="1:16" s="2" customFormat="1" x14ac:dyDescent="0.2">
      <c r="A100" s="24"/>
      <c r="B100" s="1"/>
      <c r="C100" s="14"/>
      <c r="D100" s="56"/>
      <c r="E100" s="13"/>
      <c r="G100" s="30"/>
      <c r="H100" s="30"/>
      <c r="I100" s="70"/>
      <c r="J100" s="70"/>
      <c r="K100" s="70"/>
      <c r="L100" s="70"/>
      <c r="M100" s="70"/>
      <c r="N100" s="70"/>
      <c r="O100" s="70"/>
      <c r="P100" s="70"/>
    </row>
    <row r="101" spans="1:16" s="2" customFormat="1" x14ac:dyDescent="0.2">
      <c r="A101" s="215" t="s">
        <v>80</v>
      </c>
      <c r="B101" s="216"/>
      <c r="C101" s="216"/>
      <c r="D101" s="217"/>
      <c r="E101" s="69"/>
      <c r="F101" s="70"/>
      <c r="G101" s="30"/>
      <c r="H101" s="30"/>
      <c r="I101" s="70"/>
      <c r="J101" s="70"/>
      <c r="K101" s="70"/>
      <c r="L101" s="70"/>
      <c r="M101" s="70"/>
      <c r="N101" s="70"/>
      <c r="O101" s="70"/>
      <c r="P101" s="70"/>
    </row>
    <row r="102" spans="1:16" s="2" customFormat="1" x14ac:dyDescent="0.2">
      <c r="A102" s="71" t="s">
        <v>81</v>
      </c>
      <c r="B102" s="71"/>
      <c r="C102" s="72" t="s">
        <v>82</v>
      </c>
      <c r="D102" s="73" t="s">
        <v>83</v>
      </c>
      <c r="E102" s="69"/>
      <c r="F102" s="70"/>
      <c r="G102" s="30"/>
      <c r="H102" s="30"/>
      <c r="I102" s="70"/>
      <c r="J102" s="70"/>
      <c r="K102" s="70"/>
      <c r="L102" s="70"/>
      <c r="M102" s="70"/>
      <c r="N102" s="70"/>
      <c r="O102" s="70"/>
      <c r="P102" s="70"/>
    </row>
    <row r="103" spans="1:16" s="2" customFormat="1" x14ac:dyDescent="0.2">
      <c r="A103" s="87">
        <v>45352</v>
      </c>
      <c r="B103" s="120" t="s">
        <v>6</v>
      </c>
      <c r="C103" s="75" t="s">
        <v>2165</v>
      </c>
      <c r="D103" s="88">
        <v>2143144</v>
      </c>
      <c r="G103" s="30"/>
      <c r="H103" s="30"/>
      <c r="P103" s="70"/>
    </row>
    <row r="104" spans="1:16" s="2" customFormat="1" x14ac:dyDescent="0.2">
      <c r="A104" s="87">
        <v>45352</v>
      </c>
      <c r="B104" s="120" t="s">
        <v>6</v>
      </c>
      <c r="C104" s="75" t="s">
        <v>2171</v>
      </c>
      <c r="D104" s="88">
        <v>1493463</v>
      </c>
      <c r="G104" s="30"/>
      <c r="H104" s="30"/>
      <c r="P104" s="70"/>
    </row>
    <row r="105" spans="1:16" s="2" customFormat="1" x14ac:dyDescent="0.2">
      <c r="A105" s="87">
        <v>45356</v>
      </c>
      <c r="B105" s="120" t="s">
        <v>6</v>
      </c>
      <c r="C105" s="75" t="s">
        <v>1988</v>
      </c>
      <c r="D105" s="88">
        <v>3111466</v>
      </c>
      <c r="G105" s="30"/>
      <c r="H105" s="30"/>
      <c r="P105" s="70"/>
    </row>
    <row r="106" spans="1:16" s="2" customFormat="1" x14ac:dyDescent="0.2">
      <c r="A106" s="87">
        <v>45357</v>
      </c>
      <c r="B106" s="120" t="s">
        <v>6</v>
      </c>
      <c r="C106" s="75" t="s">
        <v>2171</v>
      </c>
      <c r="D106" s="88">
        <v>1393433</v>
      </c>
      <c r="G106" s="30"/>
      <c r="H106" s="30"/>
      <c r="P106" s="70"/>
    </row>
    <row r="107" spans="1:16" s="2" customFormat="1" x14ac:dyDescent="0.2">
      <c r="A107" s="87">
        <v>45356</v>
      </c>
      <c r="B107" s="120" t="s">
        <v>6</v>
      </c>
      <c r="C107" s="75" t="s">
        <v>2171</v>
      </c>
      <c r="D107" s="88">
        <v>1369091</v>
      </c>
      <c r="G107" s="30"/>
      <c r="H107" s="30"/>
      <c r="P107" s="70"/>
    </row>
    <row r="108" spans="1:16" s="2" customFormat="1" x14ac:dyDescent="0.2">
      <c r="A108" s="87">
        <v>45359</v>
      </c>
      <c r="B108" s="120" t="s">
        <v>6</v>
      </c>
      <c r="C108" s="75" t="s">
        <v>2171</v>
      </c>
      <c r="D108" s="88">
        <v>730944</v>
      </c>
      <c r="G108" s="30"/>
      <c r="H108" s="30"/>
      <c r="P108" s="70"/>
    </row>
    <row r="109" spans="1:16" s="2" customFormat="1" x14ac:dyDescent="0.2">
      <c r="A109" s="87">
        <v>45359</v>
      </c>
      <c r="B109" s="120" t="s">
        <v>6</v>
      </c>
      <c r="C109" s="75" t="s">
        <v>767</v>
      </c>
      <c r="D109" s="88">
        <v>19228</v>
      </c>
      <c r="G109" s="30"/>
      <c r="H109" s="30"/>
      <c r="P109" s="70"/>
    </row>
    <row r="110" spans="1:16" s="2" customFormat="1" x14ac:dyDescent="0.2">
      <c r="A110" s="87">
        <v>45362</v>
      </c>
      <c r="B110" s="120" t="s">
        <v>6</v>
      </c>
      <c r="C110" s="75" t="s">
        <v>1806</v>
      </c>
      <c r="D110" s="88">
        <v>2568137</v>
      </c>
      <c r="G110" s="30"/>
      <c r="H110" s="30"/>
      <c r="P110" s="70"/>
    </row>
    <row r="111" spans="1:16" s="2" customFormat="1" x14ac:dyDescent="0.2">
      <c r="A111" s="87">
        <v>45362</v>
      </c>
      <c r="B111" s="120" t="s">
        <v>6</v>
      </c>
      <c r="C111" s="75" t="s">
        <v>784</v>
      </c>
      <c r="D111" s="88">
        <v>39949</v>
      </c>
      <c r="G111" s="30"/>
      <c r="H111" s="30"/>
      <c r="P111" s="70"/>
    </row>
    <row r="112" spans="1:16" s="2" customFormat="1" x14ac:dyDescent="0.2">
      <c r="A112" s="87">
        <v>45362</v>
      </c>
      <c r="B112" s="120" t="s">
        <v>6</v>
      </c>
      <c r="C112" s="75" t="s">
        <v>784</v>
      </c>
      <c r="D112" s="88">
        <v>219691</v>
      </c>
      <c r="G112" s="30"/>
      <c r="H112" s="30"/>
      <c r="P112" s="70"/>
    </row>
    <row r="113" spans="1:16" s="2" customFormat="1" x14ac:dyDescent="0.2">
      <c r="A113" s="87">
        <v>45363</v>
      </c>
      <c r="B113" s="120" t="s">
        <v>6</v>
      </c>
      <c r="C113" s="75" t="s">
        <v>2171</v>
      </c>
      <c r="D113" s="88">
        <v>952416</v>
      </c>
      <c r="G113" s="30"/>
      <c r="H113" s="30"/>
      <c r="P113" s="70"/>
    </row>
    <row r="114" spans="1:16" s="2" customFormat="1" x14ac:dyDescent="0.2">
      <c r="A114" s="87">
        <v>45363</v>
      </c>
      <c r="B114" s="120" t="s">
        <v>6</v>
      </c>
      <c r="C114" s="75" t="s">
        <v>767</v>
      </c>
      <c r="D114" s="88">
        <v>591483</v>
      </c>
      <c r="G114" s="30"/>
      <c r="H114" s="30"/>
      <c r="P114" s="70"/>
    </row>
    <row r="115" spans="1:16" s="2" customFormat="1" x14ac:dyDescent="0.2">
      <c r="A115" s="87">
        <v>45364</v>
      </c>
      <c r="B115" s="120" t="s">
        <v>6</v>
      </c>
      <c r="C115" s="75" t="s">
        <v>784</v>
      </c>
      <c r="D115" s="88">
        <v>701638</v>
      </c>
      <c r="G115" s="30"/>
      <c r="H115" s="30"/>
      <c r="P115" s="70"/>
    </row>
    <row r="116" spans="1:16" s="2" customFormat="1" x14ac:dyDescent="0.2">
      <c r="A116" s="87"/>
      <c r="B116" s="74"/>
      <c r="C116" s="183" t="s">
        <v>2141</v>
      </c>
      <c r="D116" s="51">
        <f>SUM(D103:D115)</f>
        <v>15334083</v>
      </c>
      <c r="F116" s="2" t="s">
        <v>396</v>
      </c>
      <c r="G116" s="1"/>
      <c r="H116" s="1"/>
      <c r="P116" s="70"/>
    </row>
    <row r="117" spans="1:16" s="2" customFormat="1" x14ac:dyDescent="0.2">
      <c r="A117" s="24"/>
      <c r="B117" s="1"/>
      <c r="C117" s="14"/>
      <c r="D117" s="56"/>
      <c r="E117" s="13"/>
      <c r="G117" s="1"/>
      <c r="H117" s="1"/>
      <c r="I117" s="2" t="s">
        <v>396</v>
      </c>
    </row>
    <row r="118" spans="1:16" s="2" customFormat="1" x14ac:dyDescent="0.2">
      <c r="A118" s="24"/>
      <c r="B118" s="1"/>
      <c r="C118" s="218" t="s">
        <v>77</v>
      </c>
      <c r="D118" s="219"/>
      <c r="E118" s="219"/>
      <c r="F118" s="220"/>
      <c r="I118" s="2" t="s">
        <v>396</v>
      </c>
    </row>
    <row r="119" spans="1:16" s="2" customFormat="1" x14ac:dyDescent="0.2">
      <c r="A119" s="24"/>
      <c r="B119" s="1"/>
      <c r="C119" s="50"/>
      <c r="D119" s="57" t="s">
        <v>78</v>
      </c>
      <c r="E119" s="58" t="s">
        <v>79</v>
      </c>
      <c r="F119" s="57" t="s">
        <v>72</v>
      </c>
    </row>
    <row r="120" spans="1:16" s="2" customFormat="1" x14ac:dyDescent="0.2">
      <c r="A120" s="24"/>
      <c r="B120" s="1"/>
      <c r="C120" s="59" t="str">
        <f>"01-03-2024 to "&amp;TEXT(A5-2,"dd-mm-yyyy")</f>
        <v>01-03-2024 to 11-03-2024</v>
      </c>
      <c r="D120" s="60">
        <v>1715.39</v>
      </c>
      <c r="E120" s="60">
        <v>271.83999999999997</v>
      </c>
      <c r="F120" s="61">
        <f>SUM(D120:E120)</f>
        <v>1987.23</v>
      </c>
      <c r="I120" s="53"/>
    </row>
    <row r="121" spans="1:16" s="2" customFormat="1" x14ac:dyDescent="0.2">
      <c r="A121" s="24"/>
      <c r="B121" s="1"/>
      <c r="C121" s="62" t="str">
        <f>TEXT(A5-1,"dd-mm-yyyy")</f>
        <v>12-03-2024</v>
      </c>
      <c r="D121" s="60">
        <v>171.87</v>
      </c>
      <c r="E121" s="60">
        <v>9.7799999999999994</v>
      </c>
      <c r="F121" s="61">
        <f>SUM(D121:E121)</f>
        <v>181.65</v>
      </c>
      <c r="G121" s="1"/>
      <c r="H121" s="1"/>
      <c r="I121" s="53"/>
    </row>
    <row r="122" spans="1:16" s="2" customFormat="1" ht="13.5" thickBot="1" x14ac:dyDescent="0.25">
      <c r="A122" s="24"/>
      <c r="B122" s="1"/>
      <c r="C122" s="63" t="str">
        <f>"01-03-2024 to "&amp;TEXT(A5-1,"dd-mm-yyyy")</f>
        <v>01-03-2024 to 12-03-2024</v>
      </c>
      <c r="D122" s="64">
        <f>SUM(D120:D121)</f>
        <v>1887.2600000000002</v>
      </c>
      <c r="E122" s="64">
        <f>SUM(E120:E121)</f>
        <v>281.61999999999995</v>
      </c>
      <c r="F122" s="64">
        <f>SUM(F120:F121)</f>
        <v>2168.88</v>
      </c>
      <c r="G122" s="1"/>
      <c r="H122" s="1"/>
      <c r="M122" s="1"/>
      <c r="N122" s="1"/>
    </row>
    <row r="123" spans="1:16" s="2" customFormat="1" ht="13.5" thickTop="1" x14ac:dyDescent="0.2">
      <c r="A123" s="24"/>
      <c r="B123" s="1"/>
      <c r="C123" s="62"/>
      <c r="D123" s="65"/>
      <c r="E123" s="66"/>
      <c r="F123" s="67"/>
      <c r="M123" s="1"/>
      <c r="N123" s="1"/>
    </row>
    <row r="124" spans="1:16" s="2" customFormat="1" x14ac:dyDescent="0.2">
      <c r="A124" s="24"/>
      <c r="B124" s="1"/>
      <c r="C124" s="62" t="str">
        <f>"01-04-2023 to " &amp;C121</f>
        <v>01-04-2023 to 12-03-2024</v>
      </c>
      <c r="D124" s="68">
        <f>+D122+41133.88</f>
        <v>43021.14</v>
      </c>
      <c r="E124" s="68">
        <f>+E122+5181.05</f>
        <v>5462.67</v>
      </c>
      <c r="F124" s="68">
        <f>+F122+46314.16</f>
        <v>48483.040000000001</v>
      </c>
      <c r="G124" s="1"/>
      <c r="H124" s="1"/>
      <c r="M124" s="1"/>
      <c r="N124" s="1"/>
    </row>
    <row r="125" spans="1:16" s="2" customFormat="1" x14ac:dyDescent="0.2">
      <c r="A125" s="24"/>
      <c r="B125" s="1"/>
      <c r="C125" s="52"/>
      <c r="D125" s="85"/>
      <c r="E125" s="53"/>
      <c r="F125" s="53"/>
      <c r="G125" s="1"/>
      <c r="H125" s="1"/>
      <c r="M125" s="1"/>
      <c r="N125" s="1"/>
    </row>
    <row r="126" spans="1:16" s="2" customFormat="1" x14ac:dyDescent="0.2">
      <c r="A126" s="24"/>
      <c r="B126" s="1"/>
      <c r="C126" s="52"/>
      <c r="D126" s="85"/>
      <c r="E126" s="53"/>
      <c r="F126" s="53"/>
      <c r="G126" s="1"/>
      <c r="H126" s="1"/>
      <c r="M126" s="1"/>
      <c r="N126" s="1"/>
    </row>
    <row r="127" spans="1:16" s="2" customFormat="1" x14ac:dyDescent="0.2">
      <c r="A127" s="24"/>
      <c r="B127" s="1"/>
      <c r="C127" s="52"/>
      <c r="D127" s="85"/>
      <c r="E127" s="53"/>
      <c r="F127" s="53"/>
      <c r="G127" s="1"/>
      <c r="H127" s="1"/>
      <c r="M127" s="1"/>
      <c r="N127" s="1"/>
    </row>
    <row r="128" spans="1:16" s="2" customFormat="1" x14ac:dyDescent="0.2">
      <c r="A128" s="24"/>
      <c r="B128" s="1"/>
      <c r="C128" s="52"/>
      <c r="D128" s="85"/>
      <c r="E128" s="53"/>
      <c r="F128" s="53"/>
      <c r="G128" s="1"/>
      <c r="H128" s="1"/>
      <c r="M128" s="1"/>
      <c r="N128" s="1"/>
    </row>
    <row r="129" spans="1:19" s="2" customFormat="1" x14ac:dyDescent="0.2">
      <c r="A129" s="24"/>
      <c r="B129" s="1"/>
      <c r="C129" s="14"/>
      <c r="D129" s="25">
        <f>SUM(D126:D128)</f>
        <v>0</v>
      </c>
      <c r="E129" s="2">
        <f>SUM(E126:E128)</f>
        <v>0</v>
      </c>
      <c r="G129" s="1"/>
      <c r="H129" s="1"/>
      <c r="M129" s="1"/>
      <c r="N129" s="1"/>
    </row>
    <row r="130" spans="1:19" s="2" customFormat="1" x14ac:dyDescent="0.2">
      <c r="A130" s="24"/>
      <c r="B130" s="1"/>
      <c r="C130" s="14"/>
      <c r="D130" s="25"/>
      <c r="G130" s="1"/>
      <c r="H130" s="1"/>
      <c r="M130" s="1"/>
      <c r="N130" s="1"/>
    </row>
    <row r="131" spans="1:19" s="2" customFormat="1" x14ac:dyDescent="0.2">
      <c r="A131" s="24"/>
      <c r="B131" s="1"/>
      <c r="C131" s="14"/>
      <c r="D131" s="25"/>
      <c r="G131" s="1"/>
      <c r="H131" s="1"/>
      <c r="M131" s="1"/>
      <c r="N131" s="1"/>
    </row>
    <row r="132" spans="1:19" s="2" customFormat="1" x14ac:dyDescent="0.2">
      <c r="A132" s="24"/>
      <c r="B132" s="1"/>
      <c r="C132" s="14"/>
      <c r="D132" s="25"/>
      <c r="G132" s="1"/>
      <c r="H132" s="1"/>
      <c r="M132" s="1"/>
      <c r="N132" s="1"/>
    </row>
    <row r="133" spans="1:19" s="2" customFormat="1" x14ac:dyDescent="0.2">
      <c r="A133" s="24"/>
      <c r="B133" s="1"/>
      <c r="C133" s="14"/>
      <c r="D133" s="25"/>
      <c r="G133" s="1"/>
      <c r="H133" s="1"/>
      <c r="M133" s="1"/>
      <c r="N133" s="1"/>
    </row>
    <row r="134" spans="1:19" s="2" customFormat="1" x14ac:dyDescent="0.2">
      <c r="A134" s="24"/>
      <c r="B134" s="1"/>
      <c r="C134" s="14"/>
      <c r="D134" s="25"/>
      <c r="G134" s="1"/>
      <c r="H134" s="1"/>
      <c r="M134" s="1"/>
      <c r="N134" s="1"/>
    </row>
    <row r="135" spans="1:19" s="2" customFormat="1" x14ac:dyDescent="0.2">
      <c r="A135" s="24"/>
      <c r="B135" s="1"/>
      <c r="C135" s="14"/>
      <c r="D135" s="25"/>
      <c r="G135" s="1"/>
      <c r="H135" s="1"/>
      <c r="M135" s="1"/>
      <c r="N135" s="1"/>
    </row>
    <row r="136" spans="1:19" s="2" customFormat="1" x14ac:dyDescent="0.2">
      <c r="A136" s="24"/>
      <c r="B136" s="1"/>
      <c r="C136" s="14"/>
      <c r="D136" s="25"/>
      <c r="G136" s="1"/>
      <c r="H136" s="1"/>
      <c r="M136" s="1"/>
      <c r="N136" s="1"/>
      <c r="Q136" s="1"/>
      <c r="R136" s="1"/>
      <c r="S136" s="1"/>
    </row>
    <row r="137" spans="1:19" x14ac:dyDescent="0.2">
      <c r="J137" s="2"/>
      <c r="K137" s="2"/>
      <c r="L137" s="2"/>
      <c r="O137" s="2"/>
      <c r="P137" s="2"/>
      <c r="Q137" s="2"/>
      <c r="R137" s="2"/>
      <c r="S137" s="2"/>
    </row>
    <row r="138" spans="1:19" s="2" customFormat="1" x14ac:dyDescent="0.2">
      <c r="A138" s="24"/>
      <c r="B138" s="1"/>
      <c r="C138" s="14"/>
      <c r="D138" s="25"/>
      <c r="G138" s="1"/>
      <c r="H138" s="1"/>
      <c r="M138" s="1"/>
      <c r="N138" s="1"/>
      <c r="Q138" s="1"/>
      <c r="R138" s="1"/>
      <c r="S138" s="1"/>
    </row>
    <row r="139" spans="1:19" x14ac:dyDescent="0.2">
      <c r="J139" s="2"/>
      <c r="K139" s="2"/>
      <c r="L139" s="2"/>
      <c r="O139" s="2"/>
      <c r="P139" s="2"/>
    </row>
    <row r="140" spans="1:19" x14ac:dyDescent="0.2">
      <c r="J140" s="2"/>
      <c r="K140" s="2"/>
      <c r="L140" s="2"/>
      <c r="O140" s="2"/>
      <c r="P140" s="2"/>
    </row>
    <row r="141" spans="1:19" x14ac:dyDescent="0.2">
      <c r="J141" s="2"/>
      <c r="K141" s="2"/>
      <c r="L141" s="2"/>
      <c r="O141" s="2"/>
      <c r="P141" s="2"/>
    </row>
    <row r="142" spans="1:19" x14ac:dyDescent="0.2">
      <c r="J142" s="2"/>
      <c r="K142" s="2"/>
      <c r="L142" s="2"/>
      <c r="O142" s="2"/>
      <c r="P142" s="2"/>
    </row>
    <row r="143" spans="1:19" x14ac:dyDescent="0.2">
      <c r="O143" s="2"/>
      <c r="P143" s="2"/>
    </row>
    <row r="144" spans="1:19" x14ac:dyDescent="0.2">
      <c r="J144" s="2"/>
      <c r="K144" s="2"/>
      <c r="L144" s="2"/>
      <c r="M144" s="2"/>
      <c r="N144" s="2"/>
      <c r="O144" s="2"/>
      <c r="P144" s="2"/>
    </row>
    <row r="145" spans="7:16" x14ac:dyDescent="0.2">
      <c r="O145" s="2"/>
      <c r="P145" s="2"/>
    </row>
    <row r="146" spans="7:16" x14ac:dyDescent="0.2">
      <c r="G146" s="54"/>
      <c r="H146" s="54"/>
      <c r="O146" s="2"/>
      <c r="P146" s="2"/>
    </row>
    <row r="147" spans="7:16" x14ac:dyDescent="0.2">
      <c r="G147" s="54"/>
      <c r="H147" s="54"/>
      <c r="O147" s="2"/>
      <c r="P147" s="2"/>
    </row>
    <row r="148" spans="7:16" x14ac:dyDescent="0.2">
      <c r="G148" s="54"/>
      <c r="H148" s="54"/>
      <c r="O148" s="2"/>
      <c r="P148" s="2"/>
    </row>
    <row r="149" spans="7:16" x14ac:dyDescent="0.2">
      <c r="G149" s="54"/>
      <c r="H149" s="54"/>
      <c r="I149" s="2" t="s">
        <v>396</v>
      </c>
      <c r="O149" s="2"/>
      <c r="P149" s="2"/>
    </row>
    <row r="150" spans="7:16" x14ac:dyDescent="0.2">
      <c r="G150" s="54"/>
      <c r="H150" s="54"/>
      <c r="I150" s="53"/>
      <c r="J150" s="2"/>
      <c r="K150" s="2"/>
      <c r="L150" s="2"/>
      <c r="M150" s="2"/>
      <c r="N150" s="2"/>
      <c r="P150" s="2"/>
    </row>
    <row r="151" spans="7:16" x14ac:dyDescent="0.2">
      <c r="G151" s="54"/>
      <c r="H151" s="54"/>
      <c r="I151" s="53" t="s">
        <v>396</v>
      </c>
      <c r="O151" s="2"/>
      <c r="P151" s="2"/>
    </row>
    <row r="152" spans="7:16" x14ac:dyDescent="0.2">
      <c r="G152" s="54"/>
      <c r="H152" s="54"/>
      <c r="I152" s="53" t="s">
        <v>396</v>
      </c>
      <c r="K152" s="42"/>
      <c r="P152" s="2"/>
    </row>
    <row r="153" spans="7:16" x14ac:dyDescent="0.2">
      <c r="G153" s="54"/>
      <c r="H153" s="54"/>
      <c r="I153" s="53"/>
      <c r="J153" s="101"/>
      <c r="P153" s="2"/>
    </row>
    <row r="154" spans="7:16" x14ac:dyDescent="0.2">
      <c r="G154" s="54"/>
      <c r="H154" s="54"/>
      <c r="I154" s="53"/>
    </row>
    <row r="155" spans="7:16" x14ac:dyDescent="0.2">
      <c r="G155" s="54"/>
      <c r="H155" s="54"/>
      <c r="I155" s="53"/>
      <c r="P155" s="2"/>
    </row>
    <row r="156" spans="7:16" x14ac:dyDescent="0.2">
      <c r="G156" s="54"/>
      <c r="H156" s="54"/>
      <c r="I156" s="53"/>
    </row>
  </sheetData>
  <sheetProtection insertRows="0"/>
  <mergeCells count="8">
    <mergeCell ref="K94:L94"/>
    <mergeCell ref="A101:D101"/>
    <mergeCell ref="C118:F118"/>
    <mergeCell ref="A1:H1"/>
    <mergeCell ref="A3:F3"/>
    <mergeCell ref="A11:F11"/>
    <mergeCell ref="A17:F17"/>
    <mergeCell ref="A51:F51"/>
  </mergeCells>
  <conditionalFormatting sqref="H98:H99">
    <cfRule type="cellIs" dxfId="27" priority="1" operator="lessThan">
      <formula>0</formula>
    </cfRule>
  </conditionalFormatting>
  <conditionalFormatting sqref="C53">
    <cfRule type="duplicateValues" dxfId="26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1-000000000000}">
  <sheetPr codeName="Sheet573">
    <pageSetUpPr fitToPage="1"/>
  </sheetPr>
  <dimension ref="A1:S140"/>
  <sheetViews>
    <sheetView zoomScaleNormal="100" workbookViewId="0">
      <selection sqref="A1:H1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12.85546875" style="1" customWidth="1"/>
    <col min="9" max="9" width="24.85546875" style="2" bestFit="1" customWidth="1"/>
    <col min="10" max="10" width="21.5703125" style="1" bestFit="1" customWidth="1"/>
    <col min="11" max="11" width="16.85546875" style="1" bestFit="1" customWidth="1"/>
    <col min="12" max="12" width="19.5703125" style="1" bestFit="1" customWidth="1"/>
    <col min="13" max="13" width="13.5703125" style="1" bestFit="1" customWidth="1"/>
    <col min="14" max="14" width="17.42578125" style="1" bestFit="1" customWidth="1"/>
    <col min="15" max="15" width="12.85546875" style="1" bestFit="1" customWidth="1"/>
    <col min="16" max="17" width="9.140625" style="1"/>
    <col min="18" max="18" width="15.5703125" style="1" bestFit="1" customWidth="1"/>
    <col min="19" max="16384" width="9.140625" style="1"/>
  </cols>
  <sheetData>
    <row r="1" spans="1:11" ht="20.25" customHeight="1" x14ac:dyDescent="0.4">
      <c r="A1" s="212" t="s">
        <v>2216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1" ht="12.75" customHeight="1" x14ac:dyDescent="0.4">
      <c r="I2" s="112"/>
      <c r="J2" s="112"/>
    </row>
    <row r="3" spans="1:11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1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1" s="2" customFormat="1" ht="14.25" customHeight="1" x14ac:dyDescent="0.4">
      <c r="A5" s="89">
        <v>45365</v>
      </c>
      <c r="B5" s="9" t="s">
        <v>6</v>
      </c>
      <c r="C5" s="10" t="s">
        <v>7</v>
      </c>
      <c r="D5" s="11"/>
      <c r="E5" s="12">
        <v>3178762.8400000008</v>
      </c>
      <c r="F5" s="12"/>
      <c r="G5" s="1"/>
      <c r="H5" s="1"/>
      <c r="I5" s="112"/>
      <c r="J5" s="112"/>
    </row>
    <row r="6" spans="1:11" s="2" customFormat="1" ht="14.25" customHeight="1" x14ac:dyDescent="0.4">
      <c r="A6" s="89">
        <v>45365</v>
      </c>
      <c r="B6" s="9" t="s">
        <v>11</v>
      </c>
      <c r="C6" s="10" t="s">
        <v>495</v>
      </c>
      <c r="D6" s="11" t="s">
        <v>29</v>
      </c>
      <c r="E6" s="12"/>
      <c r="F6" s="12">
        <v>2500000</v>
      </c>
      <c r="G6" s="1"/>
      <c r="H6" s="1"/>
      <c r="I6" s="112"/>
      <c r="J6" s="112"/>
    </row>
    <row r="7" spans="1:11" s="2" customFormat="1" ht="14.25" customHeight="1" x14ac:dyDescent="0.4">
      <c r="A7" s="89">
        <v>45365</v>
      </c>
      <c r="B7" s="9" t="s">
        <v>6</v>
      </c>
      <c r="C7" s="10" t="s">
        <v>2217</v>
      </c>
      <c r="D7" s="11" t="s">
        <v>13</v>
      </c>
      <c r="E7" s="12">
        <v>850918</v>
      </c>
      <c r="F7" s="12"/>
      <c r="G7" s="1"/>
      <c r="H7" s="1"/>
      <c r="I7" s="112"/>
      <c r="J7" s="112"/>
    </row>
    <row r="8" spans="1:11" s="2" customFormat="1" ht="12.75" customHeight="1" x14ac:dyDescent="0.2">
      <c r="D8" s="15" t="s">
        <v>8</v>
      </c>
      <c r="E8" s="16">
        <f>SUM(E5:E7)</f>
        <v>4029680.8400000008</v>
      </c>
      <c r="F8" s="16">
        <f>+F6</f>
        <v>2500000</v>
      </c>
      <c r="G8" s="1"/>
      <c r="H8" s="1"/>
      <c r="I8" s="13" t="s">
        <v>1582</v>
      </c>
      <c r="J8" s="13" t="s">
        <v>1583</v>
      </c>
    </row>
    <row r="9" spans="1:11" s="2" customFormat="1" ht="12.75" customHeight="1" x14ac:dyDescent="0.2">
      <c r="A9" s="17"/>
      <c r="B9" s="18"/>
      <c r="C9" s="19" t="s">
        <v>9</v>
      </c>
      <c r="D9" s="20"/>
      <c r="E9" s="21">
        <f>+E8-F8</f>
        <v>1529680.8400000008</v>
      </c>
      <c r="F9" s="22"/>
      <c r="G9" s="23"/>
      <c r="H9" s="23"/>
      <c r="I9" s="2">
        <v>0</v>
      </c>
      <c r="J9" s="2">
        <v>0</v>
      </c>
      <c r="K9" s="176">
        <f>I9-J9</f>
        <v>0</v>
      </c>
    </row>
    <row r="10" spans="1:11" ht="11.25" customHeight="1" x14ac:dyDescent="0.4">
      <c r="I10" s="112"/>
      <c r="J10" s="112"/>
    </row>
    <row r="11" spans="1:11" ht="18" customHeight="1" x14ac:dyDescent="0.4">
      <c r="A11" s="213" t="s">
        <v>2103</v>
      </c>
      <c r="B11" s="213"/>
      <c r="C11" s="213"/>
      <c r="D11" s="213"/>
      <c r="E11" s="213"/>
      <c r="F11" s="213"/>
      <c r="I11" s="112"/>
      <c r="J11" s="112"/>
    </row>
    <row r="12" spans="1:11" ht="12.75" customHeight="1" x14ac:dyDescent="0.4">
      <c r="A12" s="3" t="s">
        <v>1</v>
      </c>
      <c r="B12" s="4" t="s">
        <v>2</v>
      </c>
      <c r="C12" s="5"/>
      <c r="D12" s="6" t="s">
        <v>3</v>
      </c>
      <c r="E12" s="7" t="s">
        <v>4</v>
      </c>
      <c r="F12" s="7" t="s">
        <v>5</v>
      </c>
      <c r="I12" s="112"/>
      <c r="J12" s="112"/>
    </row>
    <row r="13" spans="1:11" ht="12.75" customHeight="1" x14ac:dyDescent="0.4">
      <c r="A13" s="89">
        <v>45365</v>
      </c>
      <c r="B13" s="9" t="s">
        <v>6</v>
      </c>
      <c r="C13" s="10" t="s">
        <v>7</v>
      </c>
      <c r="D13" s="11"/>
      <c r="E13" s="12">
        <v>3056934.1099999985</v>
      </c>
      <c r="F13" s="1"/>
      <c r="I13" s="112"/>
      <c r="J13" s="112"/>
    </row>
    <row r="14" spans="1:11" ht="12.75" customHeight="1" x14ac:dyDescent="0.4">
      <c r="A14" s="89">
        <v>45365</v>
      </c>
      <c r="B14" s="9" t="s">
        <v>11</v>
      </c>
      <c r="C14" s="10" t="s">
        <v>134</v>
      </c>
      <c r="D14" s="11" t="s">
        <v>29</v>
      </c>
      <c r="E14" s="12"/>
      <c r="F14" s="2">
        <v>100000</v>
      </c>
      <c r="I14" s="112"/>
      <c r="J14" s="112"/>
    </row>
    <row r="15" spans="1:11" ht="12.75" customHeight="1" x14ac:dyDescent="0.2">
      <c r="A15" s="2"/>
      <c r="B15" s="2"/>
      <c r="C15" s="2"/>
      <c r="D15" s="11" t="s">
        <v>8</v>
      </c>
      <c r="E15" s="16">
        <f>SUM(E13:E13)</f>
        <v>3056934.1099999985</v>
      </c>
      <c r="F15" s="16">
        <f>F14</f>
        <v>100000</v>
      </c>
      <c r="I15" s="13" t="s">
        <v>1582</v>
      </c>
      <c r="J15" s="13" t="s">
        <v>1583</v>
      </c>
    </row>
    <row r="16" spans="1:11" x14ac:dyDescent="0.2">
      <c r="A16" s="17"/>
      <c r="B16" s="18"/>
      <c r="C16" s="19" t="s">
        <v>9</v>
      </c>
      <c r="D16" s="20"/>
      <c r="E16" s="21">
        <f>+E15-F15</f>
        <v>2956934.1099999985</v>
      </c>
      <c r="I16" s="2">
        <v>2354289.12</v>
      </c>
      <c r="J16" s="2">
        <v>0</v>
      </c>
    </row>
    <row r="17" spans="1:12" ht="18" customHeight="1" x14ac:dyDescent="0.25">
      <c r="A17" s="36"/>
      <c r="B17" s="28"/>
      <c r="C17" s="44"/>
      <c r="D17" s="43"/>
      <c r="E17" s="38"/>
      <c r="F17" s="22"/>
      <c r="J17" s="2"/>
    </row>
    <row r="18" spans="1:12" ht="18" customHeight="1" x14ac:dyDescent="0.4">
      <c r="A18" s="213" t="s">
        <v>2104</v>
      </c>
      <c r="B18" s="213"/>
      <c r="C18" s="213"/>
      <c r="D18" s="213"/>
      <c r="E18" s="213"/>
      <c r="F18" s="213"/>
      <c r="I18" s="112"/>
      <c r="J18" s="169">
        <f>90000000-60000000</f>
        <v>30000000</v>
      </c>
      <c r="K18" s="169" t="s">
        <v>1508</v>
      </c>
    </row>
    <row r="19" spans="1:12" ht="12.75" customHeight="1" x14ac:dyDescent="0.4">
      <c r="A19" s="3" t="s">
        <v>1</v>
      </c>
      <c r="B19" s="4" t="s">
        <v>2</v>
      </c>
      <c r="C19" s="5"/>
      <c r="D19" s="6" t="s">
        <v>3</v>
      </c>
      <c r="E19" s="7" t="s">
        <v>4</v>
      </c>
      <c r="F19" s="7" t="s">
        <v>5</v>
      </c>
      <c r="I19" s="112"/>
      <c r="J19" s="169">
        <v>27876799.050000001</v>
      </c>
      <c r="K19" s="169" t="s">
        <v>1509</v>
      </c>
      <c r="L19" s="124"/>
    </row>
    <row r="20" spans="1:12" s="2" customFormat="1" ht="14.25" customHeight="1" x14ac:dyDescent="0.2">
      <c r="A20" s="89">
        <v>45365</v>
      </c>
      <c r="B20" s="9" t="s">
        <v>6</v>
      </c>
      <c r="C20" s="10" t="s">
        <v>7</v>
      </c>
      <c r="D20" s="11"/>
      <c r="F20" s="12">
        <v>25265783.530000001</v>
      </c>
      <c r="G20" s="1"/>
      <c r="H20" s="1"/>
      <c r="I20" s="130" t="s">
        <v>396</v>
      </c>
      <c r="J20" s="169">
        <f>+J18-J19</f>
        <v>2123200.9499999993</v>
      </c>
      <c r="K20" s="169" t="s">
        <v>712</v>
      </c>
      <c r="L20" s="165" t="s">
        <v>1512</v>
      </c>
    </row>
    <row r="21" spans="1:12" s="2" customFormat="1" ht="14.25" customHeight="1" x14ac:dyDescent="0.2">
      <c r="A21" s="89">
        <v>45365</v>
      </c>
      <c r="B21" s="9" t="s">
        <v>6</v>
      </c>
      <c r="C21" s="76" t="s">
        <v>419</v>
      </c>
      <c r="D21" s="11" t="s">
        <v>13</v>
      </c>
      <c r="E21" s="31">
        <v>96065</v>
      </c>
      <c r="F21" s="12"/>
      <c r="G21" s="1"/>
      <c r="H21" s="1"/>
      <c r="I21" s="130"/>
      <c r="J21" s="169"/>
      <c r="K21" s="169"/>
      <c r="L21" s="165"/>
    </row>
    <row r="22" spans="1:12" s="2" customFormat="1" ht="14.25" customHeight="1" x14ac:dyDescent="0.2">
      <c r="A22" s="89">
        <v>45365</v>
      </c>
      <c r="B22" s="9" t="s">
        <v>11</v>
      </c>
      <c r="C22" s="76" t="s">
        <v>129</v>
      </c>
      <c r="D22" s="11" t="s">
        <v>13</v>
      </c>
      <c r="E22" s="31"/>
      <c r="F22" s="31">
        <v>5310</v>
      </c>
      <c r="G22" s="1"/>
      <c r="H22" s="1"/>
      <c r="I22" s="130"/>
      <c r="J22" s="169"/>
      <c r="K22" s="169"/>
      <c r="L22" s="165"/>
    </row>
    <row r="23" spans="1:12" s="2" customFormat="1" ht="14.25" customHeight="1" x14ac:dyDescent="0.2">
      <c r="A23" s="89">
        <v>45365</v>
      </c>
      <c r="B23" s="9" t="s">
        <v>11</v>
      </c>
      <c r="C23" s="76" t="s">
        <v>95</v>
      </c>
      <c r="D23" s="11" t="s">
        <v>29</v>
      </c>
      <c r="E23" s="31"/>
      <c r="F23" s="31">
        <v>29700</v>
      </c>
      <c r="G23" s="1"/>
      <c r="H23" s="1"/>
      <c r="I23" s="130"/>
      <c r="J23" s="169"/>
      <c r="K23" s="169"/>
      <c r="L23" s="165"/>
    </row>
    <row r="24" spans="1:12" s="2" customFormat="1" ht="14.25" customHeight="1" x14ac:dyDescent="0.2">
      <c r="A24" s="89">
        <v>45365</v>
      </c>
      <c r="B24" s="9" t="s">
        <v>11</v>
      </c>
      <c r="C24" s="76" t="s">
        <v>2218</v>
      </c>
      <c r="D24" s="11" t="s">
        <v>29</v>
      </c>
      <c r="E24" s="31"/>
      <c r="F24" s="31">
        <v>39801.4</v>
      </c>
      <c r="G24" s="1"/>
      <c r="H24" s="1"/>
      <c r="I24" s="130"/>
      <c r="J24" s="169"/>
      <c r="K24" s="169"/>
      <c r="L24" s="165"/>
    </row>
    <row r="25" spans="1:12" s="2" customFormat="1" ht="14.25" customHeight="1" x14ac:dyDescent="0.2">
      <c r="A25" s="89">
        <v>45365</v>
      </c>
      <c r="B25" s="9" t="s">
        <v>11</v>
      </c>
      <c r="C25" s="76" t="s">
        <v>438</v>
      </c>
      <c r="D25" s="11" t="s">
        <v>29</v>
      </c>
      <c r="E25" s="31"/>
      <c r="F25" s="31">
        <v>24102</v>
      </c>
      <c r="G25" s="1"/>
      <c r="H25" s="1"/>
      <c r="I25" s="130"/>
      <c r="J25" s="169"/>
      <c r="K25" s="169"/>
      <c r="L25" s="165"/>
    </row>
    <row r="26" spans="1:12" s="2" customFormat="1" ht="14.25" customHeight="1" x14ac:dyDescent="0.2">
      <c r="A26" s="89">
        <v>45365</v>
      </c>
      <c r="B26" s="9" t="s">
        <v>11</v>
      </c>
      <c r="C26" s="76" t="s">
        <v>1345</v>
      </c>
      <c r="D26" s="11" t="s">
        <v>29</v>
      </c>
      <c r="E26" s="31"/>
      <c r="F26" s="31">
        <v>53878</v>
      </c>
      <c r="G26" s="1"/>
      <c r="H26" s="1"/>
      <c r="I26" s="130"/>
      <c r="J26" s="169"/>
      <c r="K26" s="169"/>
      <c r="L26" s="165"/>
    </row>
    <row r="27" spans="1:12" s="2" customFormat="1" ht="14.25" customHeight="1" x14ac:dyDescent="0.2">
      <c r="A27" s="89">
        <v>45365</v>
      </c>
      <c r="B27" s="9" t="s">
        <v>11</v>
      </c>
      <c r="C27" s="76" t="s">
        <v>476</v>
      </c>
      <c r="D27" s="11" t="s">
        <v>29</v>
      </c>
      <c r="E27" s="31"/>
      <c r="F27" s="31">
        <v>200000</v>
      </c>
      <c r="G27" s="1"/>
      <c r="H27" s="1"/>
      <c r="I27" s="130"/>
      <c r="J27" s="169"/>
      <c r="K27" s="169"/>
      <c r="L27" s="165"/>
    </row>
    <row r="28" spans="1:12" s="2" customFormat="1" ht="14.25" customHeight="1" x14ac:dyDescent="0.4">
      <c r="D28" s="11" t="s">
        <v>8</v>
      </c>
      <c r="E28" s="16">
        <f>SUM(E21:E27)</f>
        <v>96065</v>
      </c>
      <c r="F28" s="16">
        <f>SUM(F20:F27)</f>
        <v>25618574.93</v>
      </c>
      <c r="G28" s="1"/>
      <c r="H28" s="1"/>
      <c r="J28" s="112"/>
      <c r="K28" s="153" t="s">
        <v>779</v>
      </c>
    </row>
    <row r="29" spans="1:12" s="2" customFormat="1" ht="14.25" customHeight="1" x14ac:dyDescent="0.2">
      <c r="A29" s="17"/>
      <c r="B29" s="18"/>
      <c r="C29" s="96" t="s">
        <v>9</v>
      </c>
      <c r="D29" s="20"/>
      <c r="E29" s="21">
        <f>+F28-E28</f>
        <v>25522509.93</v>
      </c>
      <c r="G29" s="1"/>
      <c r="H29" s="1"/>
      <c r="J29" s="40">
        <v>25522509.93</v>
      </c>
      <c r="K29" s="154">
        <f>J29-E29</f>
        <v>0</v>
      </c>
    </row>
    <row r="30" spans="1:12" s="2" customFormat="1" ht="14.25" customHeight="1" x14ac:dyDescent="0.2">
      <c r="A30" s="17"/>
      <c r="B30" s="28" t="s">
        <v>66</v>
      </c>
      <c r="C30" s="43" t="s">
        <v>1458</v>
      </c>
      <c r="D30" s="43"/>
      <c r="E30" s="12">
        <f>30000000+60000000</f>
        <v>90000000</v>
      </c>
      <c r="F30" s="22"/>
      <c r="G30" s="1"/>
      <c r="H30" s="1"/>
      <c r="I30" s="13" t="s">
        <v>1582</v>
      </c>
      <c r="J30" s="13" t="s">
        <v>1583</v>
      </c>
    </row>
    <row r="31" spans="1:12" s="2" customFormat="1" ht="14.25" customHeight="1" x14ac:dyDescent="0.25">
      <c r="A31" s="36"/>
      <c r="B31" s="28"/>
      <c r="C31" s="44" t="s">
        <v>1541</v>
      </c>
      <c r="D31" s="43"/>
      <c r="E31" s="7">
        <f>+E29+E30</f>
        <v>115522509.93000001</v>
      </c>
      <c r="F31" s="22"/>
      <c r="G31" s="1"/>
      <c r="H31" s="1"/>
      <c r="I31" s="2">
        <v>2067790</v>
      </c>
      <c r="J31" s="2">
        <v>80364</v>
      </c>
      <c r="K31" s="176">
        <f>I31-J31</f>
        <v>1987426</v>
      </c>
    </row>
    <row r="32" spans="1:12" s="2" customFormat="1" ht="14.25" customHeight="1" x14ac:dyDescent="0.25">
      <c r="A32" s="36"/>
      <c r="B32" s="28"/>
      <c r="C32" s="44" t="s">
        <v>1511</v>
      </c>
      <c r="D32" s="43"/>
      <c r="E32" s="38">
        <f>I16-J16+J20</f>
        <v>4477490.0699999994</v>
      </c>
      <c r="F32" s="22"/>
      <c r="G32" s="1"/>
      <c r="H32" s="1"/>
      <c r="J32" s="130"/>
      <c r="K32" s="130"/>
    </row>
    <row r="33" spans="1:12" s="2" customFormat="1" x14ac:dyDescent="0.2">
      <c r="A33" s="24"/>
      <c r="B33" s="1"/>
      <c r="C33" s="14"/>
      <c r="D33" s="25"/>
      <c r="G33" s="1"/>
      <c r="H33" s="1"/>
      <c r="I33" s="159"/>
      <c r="J33" s="160">
        <f>100000000</f>
        <v>100000000</v>
      </c>
      <c r="K33" s="160" t="s">
        <v>1506</v>
      </c>
      <c r="L33" s="70"/>
    </row>
    <row r="34" spans="1:12" s="2" customFormat="1" ht="15" x14ac:dyDescent="0.35">
      <c r="A34" s="214" t="s">
        <v>10</v>
      </c>
      <c r="B34" s="214"/>
      <c r="C34" s="214"/>
      <c r="D34" s="214"/>
      <c r="E34" s="214"/>
      <c r="F34" s="214"/>
      <c r="G34" s="1"/>
      <c r="H34" s="1"/>
      <c r="I34" s="159"/>
      <c r="J34" s="179">
        <v>36168042.75</v>
      </c>
      <c r="K34" s="160" t="s">
        <v>1507</v>
      </c>
      <c r="L34" s="70" t="s">
        <v>1512</v>
      </c>
    </row>
    <row r="35" spans="1:12" s="2" customFormat="1" x14ac:dyDescent="0.2">
      <c r="A35" s="26" t="s">
        <v>1</v>
      </c>
      <c r="B35" s="27" t="s">
        <v>2</v>
      </c>
      <c r="C35" s="5"/>
      <c r="D35" s="6" t="s">
        <v>3</v>
      </c>
      <c r="E35" s="7" t="s">
        <v>4</v>
      </c>
      <c r="F35" s="7" t="s">
        <v>5</v>
      </c>
      <c r="G35" s="1"/>
      <c r="H35" s="1"/>
      <c r="I35" s="159" t="s">
        <v>1505</v>
      </c>
      <c r="J35" s="160">
        <f>+J33-J34</f>
        <v>63831957.25</v>
      </c>
      <c r="K35" s="160"/>
      <c r="L35" s="70"/>
    </row>
    <row r="36" spans="1:12" s="2" customFormat="1" x14ac:dyDescent="0.2">
      <c r="A36" s="89" t="s">
        <v>2219</v>
      </c>
      <c r="B36" s="128" t="s">
        <v>11</v>
      </c>
      <c r="C36" s="29" t="s">
        <v>7</v>
      </c>
      <c r="D36" s="25"/>
      <c r="E36" s="31"/>
      <c r="F36" s="13">
        <v>65791736.629999906</v>
      </c>
      <c r="G36" s="23"/>
      <c r="H36" s="23"/>
      <c r="I36" s="159"/>
      <c r="J36" s="160"/>
      <c r="K36" s="160"/>
      <c r="L36" s="70"/>
    </row>
    <row r="37" spans="1:12" s="2" customFormat="1" x14ac:dyDescent="0.2">
      <c r="A37" s="89" t="s">
        <v>2219</v>
      </c>
      <c r="B37" s="128" t="s">
        <v>6</v>
      </c>
      <c r="C37" s="181" t="s">
        <v>2014</v>
      </c>
      <c r="D37" s="11" t="s">
        <v>13</v>
      </c>
      <c r="E37" s="86">
        <v>250000</v>
      </c>
      <c r="G37" s="23"/>
      <c r="H37" s="23"/>
      <c r="I37" s="159"/>
      <c r="J37" s="160"/>
      <c r="K37" s="160"/>
      <c r="L37" s="70"/>
    </row>
    <row r="38" spans="1:12" s="2" customFormat="1" x14ac:dyDescent="0.2">
      <c r="A38" s="89" t="s">
        <v>2219</v>
      </c>
      <c r="B38" s="128" t="s">
        <v>6</v>
      </c>
      <c r="C38" s="181" t="s">
        <v>149</v>
      </c>
      <c r="D38" s="11" t="s">
        <v>13</v>
      </c>
      <c r="E38" s="86">
        <v>97747</v>
      </c>
      <c r="G38" s="23"/>
      <c r="H38" s="23"/>
      <c r="I38" s="159"/>
      <c r="J38" s="160"/>
      <c r="K38" s="160"/>
      <c r="L38" s="70"/>
    </row>
    <row r="39" spans="1:12" s="2" customFormat="1" x14ac:dyDescent="0.2">
      <c r="A39" s="89" t="s">
        <v>2219</v>
      </c>
      <c r="B39" s="128" t="s">
        <v>6</v>
      </c>
      <c r="C39" s="181" t="s">
        <v>964</v>
      </c>
      <c r="D39" s="11" t="s">
        <v>13</v>
      </c>
      <c r="E39" s="86">
        <v>7088</v>
      </c>
      <c r="G39" s="23"/>
      <c r="H39" s="23"/>
      <c r="I39" s="159"/>
      <c r="J39" s="160"/>
      <c r="K39" s="160"/>
      <c r="L39" s="70"/>
    </row>
    <row r="40" spans="1:12" s="2" customFormat="1" x14ac:dyDescent="0.2">
      <c r="A40" s="89" t="s">
        <v>2219</v>
      </c>
      <c r="B40" s="128" t="s">
        <v>6</v>
      </c>
      <c r="C40" s="181" t="s">
        <v>257</v>
      </c>
      <c r="D40" s="11" t="s">
        <v>13</v>
      </c>
      <c r="E40" s="86">
        <v>167134.39999999999</v>
      </c>
      <c r="G40" s="23"/>
      <c r="H40" s="23"/>
      <c r="I40" s="159"/>
      <c r="J40" s="160"/>
      <c r="K40" s="160"/>
      <c r="L40" s="70"/>
    </row>
    <row r="41" spans="1:12" s="2" customFormat="1" x14ac:dyDescent="0.2">
      <c r="A41" s="89" t="s">
        <v>2219</v>
      </c>
      <c r="B41" s="128" t="s">
        <v>6</v>
      </c>
      <c r="C41" s="181" t="s">
        <v>1138</v>
      </c>
      <c r="D41" s="11" t="s">
        <v>13</v>
      </c>
      <c r="E41" s="86">
        <v>500000</v>
      </c>
      <c r="G41" s="23"/>
      <c r="H41" s="23"/>
      <c r="I41" s="159"/>
      <c r="J41" s="160"/>
      <c r="K41" s="160"/>
      <c r="L41" s="70"/>
    </row>
    <row r="42" spans="1:12" s="2" customFormat="1" x14ac:dyDescent="0.2">
      <c r="A42" s="89" t="s">
        <v>2219</v>
      </c>
      <c r="B42" s="128" t="s">
        <v>6</v>
      </c>
      <c r="C42" s="181" t="s">
        <v>785</v>
      </c>
      <c r="D42" s="11" t="s">
        <v>13</v>
      </c>
      <c r="E42" s="86">
        <v>18865310</v>
      </c>
      <c r="G42" s="23"/>
      <c r="H42" s="23"/>
      <c r="I42" s="159"/>
      <c r="J42" s="160"/>
      <c r="K42" s="160"/>
      <c r="L42" s="70"/>
    </row>
    <row r="43" spans="1:12" s="2" customFormat="1" x14ac:dyDescent="0.2">
      <c r="A43" s="89" t="s">
        <v>2219</v>
      </c>
      <c r="B43" s="128" t="s">
        <v>6</v>
      </c>
      <c r="C43" s="181" t="s">
        <v>24</v>
      </c>
      <c r="D43" s="11" t="s">
        <v>13</v>
      </c>
      <c r="E43" s="86">
        <v>115931</v>
      </c>
      <c r="G43" s="23"/>
      <c r="H43" s="23"/>
      <c r="I43" s="159"/>
      <c r="J43" s="160"/>
      <c r="K43" s="160"/>
      <c r="L43" s="70"/>
    </row>
    <row r="44" spans="1:12" s="2" customFormat="1" x14ac:dyDescent="0.2">
      <c r="A44" s="89" t="s">
        <v>2219</v>
      </c>
      <c r="B44" s="128" t="s">
        <v>6</v>
      </c>
      <c r="C44" s="181" t="s">
        <v>320</v>
      </c>
      <c r="D44" s="11" t="s">
        <v>13</v>
      </c>
      <c r="E44" s="86">
        <v>1359484</v>
      </c>
      <c r="G44" s="23"/>
      <c r="H44" s="23"/>
      <c r="I44" s="159"/>
      <c r="J44" s="160"/>
      <c r="K44" s="160"/>
      <c r="L44" s="70"/>
    </row>
    <row r="45" spans="1:12" s="2" customFormat="1" x14ac:dyDescent="0.2">
      <c r="A45" s="89" t="s">
        <v>2219</v>
      </c>
      <c r="B45" s="128" t="s">
        <v>6</v>
      </c>
      <c r="C45" s="181" t="s">
        <v>538</v>
      </c>
      <c r="D45" s="11" t="s">
        <v>13</v>
      </c>
      <c r="E45" s="86">
        <v>322457</v>
      </c>
      <c r="G45" s="23"/>
      <c r="H45" s="23"/>
      <c r="I45" s="159"/>
      <c r="J45" s="160"/>
      <c r="K45" s="160"/>
      <c r="L45" s="70"/>
    </row>
    <row r="46" spans="1:12" s="2" customFormat="1" x14ac:dyDescent="0.2">
      <c r="A46" s="89" t="s">
        <v>2219</v>
      </c>
      <c r="B46" s="128" t="s">
        <v>6</v>
      </c>
      <c r="C46" s="181" t="s">
        <v>141</v>
      </c>
      <c r="D46" s="11" t="s">
        <v>13</v>
      </c>
      <c r="E46" s="86">
        <v>2415</v>
      </c>
      <c r="G46" s="23"/>
      <c r="H46" s="23"/>
      <c r="I46" s="159"/>
      <c r="J46" s="160"/>
      <c r="K46" s="160"/>
      <c r="L46" s="70"/>
    </row>
    <row r="47" spans="1:12" s="2" customFormat="1" x14ac:dyDescent="0.2">
      <c r="A47" s="89" t="s">
        <v>2219</v>
      </c>
      <c r="B47" s="128" t="s">
        <v>6</v>
      </c>
      <c r="C47" s="181" t="s">
        <v>838</v>
      </c>
      <c r="D47" s="11" t="s">
        <v>13</v>
      </c>
      <c r="E47" s="86">
        <v>21000</v>
      </c>
      <c r="G47" s="23"/>
      <c r="H47" s="23"/>
      <c r="I47" s="159"/>
      <c r="J47" s="160"/>
      <c r="K47" s="160"/>
      <c r="L47" s="70"/>
    </row>
    <row r="48" spans="1:12" s="2" customFormat="1" x14ac:dyDescent="0.2">
      <c r="A48" s="89" t="s">
        <v>2219</v>
      </c>
      <c r="B48" s="128" t="s">
        <v>6</v>
      </c>
      <c r="C48" s="181" t="s">
        <v>146</v>
      </c>
      <c r="D48" s="11" t="s">
        <v>13</v>
      </c>
      <c r="E48" s="86">
        <v>1538259.11</v>
      </c>
      <c r="G48" s="23"/>
      <c r="H48" s="23"/>
      <c r="I48" s="159"/>
      <c r="J48" s="160"/>
      <c r="K48" s="160"/>
      <c r="L48" s="70"/>
    </row>
    <row r="49" spans="1:16" s="2" customFormat="1" x14ac:dyDescent="0.2">
      <c r="A49" s="89" t="s">
        <v>2219</v>
      </c>
      <c r="B49" s="128" t="s">
        <v>6</v>
      </c>
      <c r="C49" s="181" t="s">
        <v>1729</v>
      </c>
      <c r="D49" s="11" t="s">
        <v>13</v>
      </c>
      <c r="E49" s="86">
        <v>7005060</v>
      </c>
      <c r="G49" s="23"/>
      <c r="H49" s="23"/>
      <c r="I49" s="159"/>
      <c r="J49" s="160"/>
      <c r="K49" s="160"/>
      <c r="L49" s="70"/>
    </row>
    <row r="50" spans="1:16" s="2" customFormat="1" x14ac:dyDescent="0.2">
      <c r="A50" s="89" t="s">
        <v>2219</v>
      </c>
      <c r="B50" s="128" t="s">
        <v>6</v>
      </c>
      <c r="C50" s="181" t="s">
        <v>2091</v>
      </c>
      <c r="D50" s="11" t="s">
        <v>13</v>
      </c>
      <c r="E50" s="86">
        <v>2048</v>
      </c>
      <c r="G50" s="23"/>
      <c r="H50" s="23"/>
      <c r="I50" s="159"/>
      <c r="J50" s="160"/>
      <c r="K50" s="160"/>
      <c r="L50" s="70"/>
    </row>
    <row r="51" spans="1:16" s="2" customFormat="1" x14ac:dyDescent="0.2">
      <c r="A51" s="89" t="s">
        <v>2219</v>
      </c>
      <c r="B51" s="128" t="s">
        <v>6</v>
      </c>
      <c r="C51" s="181" t="s">
        <v>121</v>
      </c>
      <c r="D51" s="11" t="s">
        <v>13</v>
      </c>
      <c r="E51" s="86">
        <v>500000</v>
      </c>
      <c r="G51" s="23"/>
      <c r="H51" s="23"/>
      <c r="I51" s="159"/>
      <c r="J51" s="160"/>
      <c r="K51" s="160"/>
      <c r="L51" s="70"/>
    </row>
    <row r="52" spans="1:16" s="2" customFormat="1" x14ac:dyDescent="0.2">
      <c r="A52" s="89" t="s">
        <v>2219</v>
      </c>
      <c r="B52" s="128" t="s">
        <v>6</v>
      </c>
      <c r="C52" s="181" t="s">
        <v>1501</v>
      </c>
      <c r="D52" s="11" t="s">
        <v>13</v>
      </c>
      <c r="E52" s="86">
        <v>7765</v>
      </c>
      <c r="G52" s="23"/>
      <c r="H52" s="23"/>
      <c r="I52" s="159"/>
      <c r="J52" s="160"/>
      <c r="K52" s="160"/>
      <c r="L52" s="70"/>
    </row>
    <row r="53" spans="1:16" s="2" customFormat="1" x14ac:dyDescent="0.2">
      <c r="A53" s="89" t="s">
        <v>2219</v>
      </c>
      <c r="B53" s="128" t="s">
        <v>6</v>
      </c>
      <c r="C53" s="181" t="s">
        <v>1629</v>
      </c>
      <c r="D53" s="11" t="s">
        <v>13</v>
      </c>
      <c r="E53" s="86">
        <v>532575</v>
      </c>
      <c r="G53" s="23"/>
      <c r="H53" s="23"/>
      <c r="I53" s="159"/>
      <c r="J53" s="160"/>
      <c r="K53" s="160"/>
      <c r="L53" s="70"/>
    </row>
    <row r="54" spans="1:16" s="2" customFormat="1" x14ac:dyDescent="0.2">
      <c r="A54" s="89" t="s">
        <v>2219</v>
      </c>
      <c r="B54" s="128" t="s">
        <v>6</v>
      </c>
      <c r="C54" s="181" t="s">
        <v>104</v>
      </c>
      <c r="D54" s="11" t="s">
        <v>13</v>
      </c>
      <c r="E54" s="86">
        <v>13125</v>
      </c>
      <c r="G54" s="23"/>
      <c r="H54" s="23"/>
      <c r="I54" s="159"/>
      <c r="J54" s="160"/>
      <c r="K54" s="160"/>
      <c r="L54" s="70"/>
    </row>
    <row r="55" spans="1:16" s="2" customFormat="1" x14ac:dyDescent="0.2">
      <c r="A55" s="89" t="s">
        <v>2219</v>
      </c>
      <c r="B55" s="128" t="s">
        <v>6</v>
      </c>
      <c r="C55" s="181" t="s">
        <v>1351</v>
      </c>
      <c r="D55" s="11" t="s">
        <v>13</v>
      </c>
      <c r="E55" s="86">
        <v>52759.32</v>
      </c>
      <c r="G55" s="23"/>
      <c r="H55" s="23"/>
      <c r="I55" s="159"/>
      <c r="J55" s="160"/>
      <c r="K55" s="160"/>
      <c r="L55" s="70"/>
    </row>
    <row r="56" spans="1:16" s="2" customFormat="1" x14ac:dyDescent="0.2">
      <c r="A56" s="89" t="s">
        <v>2219</v>
      </c>
      <c r="B56" s="128" t="s">
        <v>6</v>
      </c>
      <c r="C56" s="181" t="s">
        <v>304</v>
      </c>
      <c r="D56" s="11" t="s">
        <v>13</v>
      </c>
      <c r="E56" s="86">
        <v>500000</v>
      </c>
      <c r="G56" s="23"/>
      <c r="H56" s="23"/>
      <c r="I56" s="159"/>
      <c r="J56" s="160"/>
      <c r="K56" s="160"/>
      <c r="L56" s="70"/>
    </row>
    <row r="57" spans="1:16" s="2" customFormat="1" x14ac:dyDescent="0.2">
      <c r="A57" s="89" t="s">
        <v>2219</v>
      </c>
      <c r="B57" s="128" t="s">
        <v>6</v>
      </c>
      <c r="C57" s="181" t="s">
        <v>2220</v>
      </c>
      <c r="D57" s="11" t="s">
        <v>13</v>
      </c>
      <c r="E57" s="86">
        <v>250165.84</v>
      </c>
      <c r="G57" s="23"/>
      <c r="H57" s="23"/>
      <c r="I57" s="159"/>
      <c r="J57" s="160"/>
      <c r="K57" s="160"/>
      <c r="L57" s="70"/>
    </row>
    <row r="58" spans="1:16" s="2" customFormat="1" x14ac:dyDescent="0.2">
      <c r="A58" s="89" t="s">
        <v>2219</v>
      </c>
      <c r="B58" s="128" t="s">
        <v>11</v>
      </c>
      <c r="C58" s="181" t="s">
        <v>64</v>
      </c>
      <c r="D58" s="11" t="s">
        <v>29</v>
      </c>
      <c r="E58" s="86"/>
      <c r="F58" s="2">
        <v>6803.2900000000009</v>
      </c>
      <c r="G58" s="23"/>
      <c r="H58" s="23"/>
      <c r="I58" s="159"/>
      <c r="J58" s="160"/>
      <c r="K58" s="160"/>
      <c r="L58" s="70"/>
    </row>
    <row r="59" spans="1:16" s="2" customFormat="1" x14ac:dyDescent="0.2">
      <c r="A59" s="89" t="s">
        <v>2219</v>
      </c>
      <c r="B59" s="128" t="s">
        <v>11</v>
      </c>
      <c r="C59" s="181" t="s">
        <v>15</v>
      </c>
      <c r="D59" s="11" t="s">
        <v>29</v>
      </c>
      <c r="E59" s="86"/>
      <c r="F59" s="2">
        <v>347935.03</v>
      </c>
      <c r="G59" s="23"/>
      <c r="H59" s="23"/>
      <c r="I59" s="159"/>
      <c r="J59" s="160"/>
      <c r="K59" s="160"/>
      <c r="L59" s="70"/>
    </row>
    <row r="60" spans="1:16" s="2" customFormat="1" x14ac:dyDescent="0.2">
      <c r="A60" s="89" t="s">
        <v>2219</v>
      </c>
      <c r="B60" s="128" t="s">
        <v>11</v>
      </c>
      <c r="C60" s="181" t="s">
        <v>1979</v>
      </c>
      <c r="D60" s="11" t="s">
        <v>29</v>
      </c>
      <c r="E60" s="86"/>
      <c r="F60" s="2">
        <v>144465.47</v>
      </c>
      <c r="G60" s="23"/>
      <c r="H60" s="23"/>
      <c r="I60" s="159"/>
      <c r="J60" s="160"/>
      <c r="K60" s="160"/>
      <c r="L60" s="70"/>
    </row>
    <row r="61" spans="1:16" s="70" customFormat="1" x14ac:dyDescent="0.2">
      <c r="A61" s="32"/>
      <c r="B61" s="33"/>
      <c r="C61" s="14"/>
      <c r="D61" s="34"/>
      <c r="E61" s="16">
        <f>SUM(E36:E60)</f>
        <v>32110323.669999998</v>
      </c>
      <c r="F61" s="16">
        <f>SUM(F36:F60)</f>
        <v>66290940.419999905</v>
      </c>
      <c r="G61" s="1"/>
      <c r="H61" s="1"/>
      <c r="I61" s="1"/>
      <c r="J61" s="38">
        <v>34180616.75</v>
      </c>
      <c r="K61" s="2"/>
      <c r="L61" s="92">
        <f>E62-J61</f>
        <v>-8.9406967163085938E-8</v>
      </c>
      <c r="M61" s="2"/>
      <c r="N61" s="2"/>
      <c r="O61" s="2"/>
      <c r="P61" s="2"/>
    </row>
    <row r="62" spans="1:16" s="70" customFormat="1" x14ac:dyDescent="0.2">
      <c r="A62" s="36"/>
      <c r="B62" s="28" t="s">
        <v>11</v>
      </c>
      <c r="C62" s="19" t="s">
        <v>65</v>
      </c>
      <c r="D62" s="37"/>
      <c r="E62" s="38">
        <f>F61-E61</f>
        <v>34180616.749999911</v>
      </c>
      <c r="F62" s="22"/>
      <c r="G62" s="1"/>
      <c r="H62" s="1"/>
      <c r="I62" s="1"/>
      <c r="M62" s="2"/>
      <c r="N62" s="2"/>
      <c r="O62" s="1"/>
      <c r="P62" s="2"/>
    </row>
    <row r="63" spans="1:16" s="70" customFormat="1" x14ac:dyDescent="0.2">
      <c r="A63" s="36"/>
      <c r="B63" s="28" t="s">
        <v>66</v>
      </c>
      <c r="C63" s="19" t="s">
        <v>67</v>
      </c>
      <c r="D63" s="37"/>
      <c r="E63" s="38">
        <v>11500000</v>
      </c>
      <c r="F63" s="22"/>
      <c r="G63" s="1"/>
      <c r="H63" s="1"/>
      <c r="M63" s="2"/>
      <c r="N63" s="2"/>
      <c r="O63" s="1"/>
      <c r="P63" s="2"/>
    </row>
    <row r="64" spans="1:16" s="70" customFormat="1" x14ac:dyDescent="0.2">
      <c r="A64" s="36"/>
      <c r="B64" s="28" t="s">
        <v>66</v>
      </c>
      <c r="C64" s="43" t="s">
        <v>1457</v>
      </c>
      <c r="D64" s="43"/>
      <c r="E64" s="12">
        <f>400000000</f>
        <v>400000000</v>
      </c>
      <c r="F64" s="22"/>
      <c r="G64" s="1"/>
      <c r="H64" s="1"/>
      <c r="J64" s="45">
        <v>1189.49</v>
      </c>
      <c r="K64" s="46"/>
      <c r="L64" s="46"/>
      <c r="M64" s="2"/>
      <c r="N64" s="2"/>
      <c r="O64" s="1"/>
      <c r="P64" s="2"/>
    </row>
    <row r="65" spans="1:19" s="70" customFormat="1" ht="15" x14ac:dyDescent="0.25">
      <c r="A65" s="36"/>
      <c r="B65" s="28"/>
      <c r="C65" s="44" t="s">
        <v>1541</v>
      </c>
      <c r="D65" s="43"/>
      <c r="E65" s="7">
        <f>+E64+E62+E63</f>
        <v>445680616.74999988</v>
      </c>
      <c r="F65" s="22"/>
      <c r="G65" s="1"/>
      <c r="H65" s="1"/>
      <c r="I65" s="103" t="s">
        <v>69</v>
      </c>
      <c r="J65" s="45">
        <v>-5.43</v>
      </c>
      <c r="K65" s="46"/>
      <c r="L65" s="46"/>
      <c r="M65" s="2"/>
      <c r="N65" s="2"/>
      <c r="O65" s="1"/>
      <c r="P65" s="2"/>
    </row>
    <row r="66" spans="1:19" s="70" customFormat="1" ht="15" x14ac:dyDescent="0.25">
      <c r="A66" s="24"/>
      <c r="B66" s="1"/>
      <c r="C66" s="44" t="s">
        <v>1510</v>
      </c>
      <c r="D66" s="25"/>
      <c r="E66" s="156">
        <f>+J35-E63+I31-J31</f>
        <v>54319383.25</v>
      </c>
      <c r="F66" s="2"/>
      <c r="G66" s="1"/>
      <c r="H66" s="1"/>
      <c r="I66" s="35">
        <v>1</v>
      </c>
      <c r="J66" s="45">
        <v>0</v>
      </c>
      <c r="K66" s="46">
        <f>+J67-D69</f>
        <v>0</v>
      </c>
      <c r="L66" s="2"/>
      <c r="M66" s="2"/>
      <c r="N66" s="2"/>
      <c r="O66" s="1"/>
      <c r="P66" s="2"/>
    </row>
    <row r="67" spans="1:19" s="70" customFormat="1" ht="12.75" customHeight="1" x14ac:dyDescent="0.2">
      <c r="A67" s="24"/>
      <c r="B67" s="1"/>
      <c r="C67" s="56"/>
      <c r="D67" s="56"/>
      <c r="E67" s="104"/>
      <c r="F67" s="2"/>
      <c r="G67" s="166"/>
      <c r="H67" s="166"/>
      <c r="J67" s="49">
        <f>SUM(J64:J66)</f>
        <v>1184.06</v>
      </c>
      <c r="K67" s="46"/>
      <c r="L67" s="46"/>
      <c r="M67" s="124"/>
      <c r="N67" s="124"/>
      <c r="O67" s="1"/>
      <c r="P67" s="2"/>
    </row>
    <row r="68" spans="1:19" s="70" customFormat="1" ht="12.75" customHeight="1" x14ac:dyDescent="0.2">
      <c r="A68" s="24"/>
      <c r="B68" s="1"/>
      <c r="C68" s="78" t="s">
        <v>575</v>
      </c>
      <c r="D68" s="48" t="s">
        <v>576</v>
      </c>
      <c r="E68" s="104"/>
      <c r="F68" s="2"/>
      <c r="G68" s="168"/>
      <c r="H68" s="168"/>
      <c r="I68" s="167"/>
      <c r="J68" s="167"/>
      <c r="K68" s="168"/>
      <c r="L68" s="124"/>
      <c r="M68" s="124"/>
      <c r="N68" s="124"/>
      <c r="O68" s="124"/>
      <c r="P68" s="2"/>
    </row>
    <row r="69" spans="1:19" s="70" customFormat="1" ht="12.75" customHeight="1" x14ac:dyDescent="0.2">
      <c r="A69" s="24"/>
      <c r="B69" s="1"/>
      <c r="C69" s="47" t="s">
        <v>570</v>
      </c>
      <c r="D69" s="111">
        <v>1184.06</v>
      </c>
      <c r="E69" s="104"/>
      <c r="F69" s="2"/>
      <c r="G69" s="168"/>
      <c r="H69" s="168"/>
      <c r="I69" s="110" t="s">
        <v>581</v>
      </c>
      <c r="J69" s="167"/>
      <c r="K69" s="168"/>
      <c r="L69" s="124"/>
      <c r="M69" s="124"/>
      <c r="N69" s="124"/>
      <c r="O69" s="124"/>
      <c r="P69" s="124"/>
    </row>
    <row r="70" spans="1:19" s="70" customFormat="1" ht="12.75" customHeight="1" x14ac:dyDescent="0.2">
      <c r="A70" s="24"/>
      <c r="B70" s="1"/>
      <c r="C70" s="47" t="s">
        <v>931</v>
      </c>
      <c r="D70" s="111">
        <v>135.16</v>
      </c>
      <c r="E70" s="104"/>
      <c r="F70" s="2"/>
      <c r="G70" s="168"/>
      <c r="H70" s="168"/>
      <c r="I70" s="110" t="s">
        <v>580</v>
      </c>
      <c r="J70" s="167"/>
      <c r="K70" s="168"/>
      <c r="L70" s="124"/>
      <c r="M70" s="124"/>
      <c r="N70" s="124"/>
      <c r="O70" s="124"/>
      <c r="P70" s="124"/>
    </row>
    <row r="71" spans="1:19" s="70" customFormat="1" ht="12.75" customHeight="1" x14ac:dyDescent="0.2">
      <c r="A71" s="24"/>
      <c r="B71" s="1"/>
      <c r="C71" s="47" t="s">
        <v>572</v>
      </c>
      <c r="D71" s="111">
        <f>+D100/100000</f>
        <v>172.21953999999999</v>
      </c>
      <c r="E71" s="104"/>
      <c r="F71" s="2"/>
      <c r="G71" s="166"/>
      <c r="H71" s="166"/>
      <c r="I71" s="90" t="s">
        <v>587</v>
      </c>
      <c r="J71" s="167"/>
      <c r="K71" s="168"/>
      <c r="L71" s="124"/>
      <c r="M71" s="124"/>
      <c r="N71" s="124"/>
      <c r="O71" s="124"/>
      <c r="P71" s="124"/>
    </row>
    <row r="72" spans="1:19" s="70" customFormat="1" ht="12.75" customHeight="1" x14ac:dyDescent="0.2">
      <c r="A72" s="24"/>
      <c r="B72" s="1"/>
      <c r="C72" s="108" t="s">
        <v>578</v>
      </c>
      <c r="D72" s="48">
        <f>SUM(D69:D71)</f>
        <v>1491.4395400000001</v>
      </c>
      <c r="E72" s="104"/>
      <c r="F72" s="2"/>
      <c r="G72" s="30"/>
      <c r="H72" s="30"/>
      <c r="I72" s="2"/>
      <c r="J72" s="13"/>
      <c r="K72" s="13"/>
      <c r="L72" s="2"/>
      <c r="M72" s="2"/>
      <c r="N72" s="2"/>
      <c r="O72" s="124"/>
      <c r="P72" s="124"/>
    </row>
    <row r="73" spans="1:19" s="70" customFormat="1" ht="12.75" customHeight="1" x14ac:dyDescent="0.2">
      <c r="A73" s="24"/>
      <c r="B73" s="1"/>
      <c r="C73" s="47"/>
      <c r="D73" s="107"/>
      <c r="E73" s="104"/>
      <c r="F73" s="2"/>
      <c r="G73" s="30"/>
      <c r="H73" s="30"/>
      <c r="I73" s="2"/>
      <c r="O73" s="2"/>
      <c r="P73" s="124"/>
    </row>
    <row r="74" spans="1:19" s="70" customFormat="1" ht="12.75" customHeight="1" x14ac:dyDescent="0.2">
      <c r="A74" s="24"/>
      <c r="B74" s="1"/>
      <c r="C74" s="47" t="s">
        <v>932</v>
      </c>
      <c r="D74" s="111">
        <v>339.54</v>
      </c>
      <c r="E74" s="104"/>
      <c r="F74" s="2"/>
      <c r="G74" s="30"/>
      <c r="H74" s="30"/>
      <c r="I74" s="110" t="s">
        <v>581</v>
      </c>
      <c r="P74" s="2"/>
    </row>
    <row r="75" spans="1:19" s="70" customFormat="1" ht="12.75" customHeight="1" x14ac:dyDescent="0.2">
      <c r="A75" s="24"/>
      <c r="B75" s="1"/>
      <c r="C75" s="136" t="s">
        <v>1142</v>
      </c>
      <c r="D75" s="111">
        <v>366.65</v>
      </c>
      <c r="E75" s="104"/>
      <c r="F75" s="2"/>
      <c r="G75" s="30"/>
      <c r="H75" s="30"/>
      <c r="I75" s="110" t="s">
        <v>581</v>
      </c>
    </row>
    <row r="76" spans="1:19" s="70" customFormat="1" ht="12.75" customHeight="1" x14ac:dyDescent="0.2">
      <c r="A76" s="24"/>
      <c r="B76" s="1"/>
      <c r="C76" s="78" t="s">
        <v>579</v>
      </c>
      <c r="D76" s="109">
        <f>D74+D75</f>
        <v>706.19</v>
      </c>
      <c r="E76" s="104"/>
      <c r="F76" s="2"/>
      <c r="G76" s="30"/>
      <c r="H76" s="30"/>
      <c r="Q76" s="2"/>
      <c r="R76" s="2"/>
      <c r="S76" s="2"/>
    </row>
    <row r="77" spans="1:19" s="2" customFormat="1" x14ac:dyDescent="0.2">
      <c r="A77" s="24"/>
      <c r="B77" s="1"/>
      <c r="C77" s="105"/>
      <c r="D77" s="106"/>
      <c r="E77" s="104"/>
      <c r="G77" s="30"/>
      <c r="H77" s="30"/>
      <c r="I77" s="70"/>
      <c r="K77" s="221" t="str">
        <f>"FROM ( 01-03-2024 to "&amp;TEXT(A5,"dd-mm-yyyy")&amp;" )"</f>
        <v>FROM ( 01-03-2024 to 14-03-2024 )</v>
      </c>
      <c r="L77" s="221"/>
      <c r="O77" s="70"/>
      <c r="P77" s="70"/>
    </row>
    <row r="78" spans="1:19" s="2" customFormat="1" x14ac:dyDescent="0.2">
      <c r="A78" s="24"/>
      <c r="B78" s="1"/>
      <c r="C78" s="78" t="s">
        <v>577</v>
      </c>
      <c r="D78" s="109">
        <f>D69+D76</f>
        <v>1890.25</v>
      </c>
      <c r="E78" s="104"/>
      <c r="G78" s="30"/>
      <c r="H78" s="30"/>
      <c r="I78" s="70"/>
      <c r="J78" s="113"/>
      <c r="K78" s="113" t="s">
        <v>709</v>
      </c>
      <c r="L78" s="113" t="s">
        <v>710</v>
      </c>
      <c r="M78" s="113" t="s">
        <v>711</v>
      </c>
      <c r="N78" s="113" t="s">
        <v>712</v>
      </c>
      <c r="O78" s="70"/>
      <c r="P78" s="70"/>
    </row>
    <row r="79" spans="1:19" s="2" customFormat="1" x14ac:dyDescent="0.2">
      <c r="A79" s="24"/>
      <c r="B79" s="1"/>
      <c r="C79" s="56"/>
      <c r="D79" s="56"/>
      <c r="E79" s="104"/>
      <c r="G79" s="30"/>
      <c r="H79" s="30"/>
      <c r="I79" s="70"/>
      <c r="J79" s="113" t="s">
        <v>1860</v>
      </c>
      <c r="K79" s="115">
        <v>195.8</v>
      </c>
      <c r="L79" s="115">
        <v>0</v>
      </c>
      <c r="M79" s="115">
        <v>0</v>
      </c>
      <c r="N79" s="113">
        <f>+K79+M79-L79</f>
        <v>195.8</v>
      </c>
      <c r="O79" s="70"/>
      <c r="P79" s="70"/>
    </row>
    <row r="80" spans="1:19" s="2" customFormat="1" ht="38.25" x14ac:dyDescent="0.2">
      <c r="A80" s="24"/>
      <c r="B80" s="1"/>
      <c r="C80" s="79" t="str">
        <f>"Particulars ( 01-03-2024 to "&amp;TEXT(A5,"dd-mm-yyyy")&amp;" )"</f>
        <v>Particulars ( 01-03-2024 to 14-03-2024 )</v>
      </c>
      <c r="D80" s="79" t="s">
        <v>7</v>
      </c>
      <c r="E80" s="80" t="s">
        <v>73</v>
      </c>
      <c r="F80" s="80" t="s">
        <v>74</v>
      </c>
      <c r="G80" s="81" t="s">
        <v>75</v>
      </c>
      <c r="H80" s="80" t="s">
        <v>76</v>
      </c>
      <c r="I80" s="70"/>
      <c r="J80" s="113" t="s">
        <v>1861</v>
      </c>
      <c r="K80" s="115">
        <v>1882.55</v>
      </c>
      <c r="L80" s="115">
        <v>172.22</v>
      </c>
      <c r="M80" s="115">
        <v>366.65</v>
      </c>
      <c r="N80" s="113">
        <f>+K80+M80-L80</f>
        <v>2076.98</v>
      </c>
      <c r="O80" s="70"/>
      <c r="P80" s="70"/>
    </row>
    <row r="81" spans="1:16" s="2" customFormat="1" x14ac:dyDescent="0.2">
      <c r="A81" s="24"/>
      <c r="B81" s="1"/>
      <c r="C81" s="50" t="s">
        <v>444</v>
      </c>
      <c r="D81" s="55">
        <f>+K81</f>
        <v>463.26</v>
      </c>
      <c r="E81" s="55">
        <f>+IF(M81=0,0,M81)</f>
        <v>339.54</v>
      </c>
      <c r="F81" s="55">
        <f>+L81</f>
        <v>135.16</v>
      </c>
      <c r="G81" s="55">
        <f>+D81+E81-F81</f>
        <v>667.64</v>
      </c>
      <c r="H81" s="55">
        <f>1500-G81</f>
        <v>832.36</v>
      </c>
      <c r="I81" s="70">
        <f>+IF(M81=0,0,M81)</f>
        <v>339.54</v>
      </c>
      <c r="J81" s="113" t="s">
        <v>707</v>
      </c>
      <c r="K81" s="115">
        <v>463.26</v>
      </c>
      <c r="L81" s="115">
        <v>135.16</v>
      </c>
      <c r="M81" s="115">
        <v>339.54</v>
      </c>
      <c r="N81" s="113">
        <f>+K81+M81-L81</f>
        <v>667.64</v>
      </c>
      <c r="O81" s="70"/>
      <c r="P81" s="70"/>
    </row>
    <row r="82" spans="1:16" s="2" customFormat="1" x14ac:dyDescent="0.2">
      <c r="A82" s="24"/>
      <c r="B82" s="1"/>
      <c r="C82" s="50" t="s">
        <v>71</v>
      </c>
      <c r="D82" s="55">
        <f>+K79+K80</f>
        <v>2078.35</v>
      </c>
      <c r="E82" s="55">
        <f>+M79+M80</f>
        <v>366.65</v>
      </c>
      <c r="F82" s="55">
        <f>+L79+L80</f>
        <v>172.22</v>
      </c>
      <c r="G82" s="55">
        <f>+D82+E82-F82</f>
        <v>2272.7800000000002</v>
      </c>
      <c r="H82" s="55">
        <f>1500+700+200-G82</f>
        <v>127.2199999999998</v>
      </c>
      <c r="I82" s="70"/>
      <c r="K82" s="118">
        <f>SUM(K79:K81)</f>
        <v>2541.6099999999997</v>
      </c>
      <c r="L82" s="118">
        <f>SUM(L79:L81)</f>
        <v>307.38</v>
      </c>
      <c r="M82" s="118">
        <f>SUM(M79:M81)</f>
        <v>706.19</v>
      </c>
      <c r="N82" s="118">
        <f>SUM(N79:N81)</f>
        <v>2940.42</v>
      </c>
      <c r="O82" s="70"/>
      <c r="P82" s="70"/>
    </row>
    <row r="83" spans="1:16" s="2" customFormat="1" x14ac:dyDescent="0.2">
      <c r="A83" s="24"/>
      <c r="B83" s="1"/>
      <c r="C83" s="14"/>
      <c r="D83" s="56"/>
      <c r="E83" s="13"/>
      <c r="G83" s="30"/>
      <c r="H83" s="30"/>
      <c r="I83" s="70"/>
      <c r="J83" s="70"/>
      <c r="K83" s="70"/>
      <c r="L83" s="70"/>
      <c r="M83" s="70"/>
      <c r="N83" s="70"/>
      <c r="O83" s="70"/>
      <c r="P83" s="70"/>
    </row>
    <row r="84" spans="1:16" s="2" customFormat="1" x14ac:dyDescent="0.2">
      <c r="A84" s="215" t="s">
        <v>80</v>
      </c>
      <c r="B84" s="216"/>
      <c r="C84" s="216"/>
      <c r="D84" s="217"/>
      <c r="E84" s="69"/>
      <c r="F84" s="70"/>
      <c r="G84" s="30"/>
      <c r="H84" s="30"/>
      <c r="I84" s="70"/>
      <c r="J84" s="70"/>
      <c r="K84" s="70"/>
      <c r="L84" s="70"/>
      <c r="M84" s="70"/>
      <c r="N84" s="70"/>
      <c r="O84" s="70"/>
      <c r="P84" s="70"/>
    </row>
    <row r="85" spans="1:16" s="2" customFormat="1" x14ac:dyDescent="0.2">
      <c r="A85" s="71" t="s">
        <v>81</v>
      </c>
      <c r="B85" s="71"/>
      <c r="C85" s="72" t="s">
        <v>82</v>
      </c>
      <c r="D85" s="73" t="s">
        <v>83</v>
      </c>
      <c r="E85" s="69"/>
      <c r="F85" s="70"/>
      <c r="G85" s="30"/>
      <c r="H85" s="30"/>
      <c r="I85" s="70"/>
      <c r="J85" s="70"/>
      <c r="K85" s="70"/>
      <c r="L85" s="70"/>
      <c r="M85" s="70"/>
      <c r="N85" s="70"/>
      <c r="O85" s="70"/>
      <c r="P85" s="70"/>
    </row>
    <row r="86" spans="1:16" s="2" customFormat="1" x14ac:dyDescent="0.2">
      <c r="A86" s="87">
        <v>45352</v>
      </c>
      <c r="B86" s="120" t="s">
        <v>6</v>
      </c>
      <c r="C86" s="75" t="s">
        <v>2165</v>
      </c>
      <c r="D86" s="88">
        <v>2143144</v>
      </c>
      <c r="G86" s="30"/>
      <c r="H86" s="30"/>
      <c r="P86" s="70"/>
    </row>
    <row r="87" spans="1:16" s="2" customFormat="1" x14ac:dyDescent="0.2">
      <c r="A87" s="87">
        <v>45352</v>
      </c>
      <c r="B87" s="120" t="s">
        <v>6</v>
      </c>
      <c r="C87" s="75" t="s">
        <v>2171</v>
      </c>
      <c r="D87" s="88">
        <v>1493463</v>
      </c>
      <c r="G87" s="30"/>
      <c r="H87" s="30"/>
      <c r="P87" s="70"/>
    </row>
    <row r="88" spans="1:16" s="2" customFormat="1" x14ac:dyDescent="0.2">
      <c r="A88" s="87">
        <v>45356</v>
      </c>
      <c r="B88" s="120" t="s">
        <v>6</v>
      </c>
      <c r="C88" s="75" t="s">
        <v>1988</v>
      </c>
      <c r="D88" s="88">
        <v>3111466</v>
      </c>
      <c r="G88" s="30"/>
      <c r="H88" s="30"/>
      <c r="P88" s="70"/>
    </row>
    <row r="89" spans="1:16" s="2" customFormat="1" x14ac:dyDescent="0.2">
      <c r="A89" s="87">
        <v>45357</v>
      </c>
      <c r="B89" s="120" t="s">
        <v>6</v>
      </c>
      <c r="C89" s="75" t="s">
        <v>2171</v>
      </c>
      <c r="D89" s="88">
        <v>1393433</v>
      </c>
      <c r="G89" s="30"/>
      <c r="H89" s="30"/>
      <c r="P89" s="70"/>
    </row>
    <row r="90" spans="1:16" s="2" customFormat="1" x14ac:dyDescent="0.2">
      <c r="A90" s="87">
        <v>45356</v>
      </c>
      <c r="B90" s="120" t="s">
        <v>6</v>
      </c>
      <c r="C90" s="75" t="s">
        <v>2171</v>
      </c>
      <c r="D90" s="88">
        <v>1369091</v>
      </c>
      <c r="G90" s="30"/>
      <c r="H90" s="30"/>
      <c r="P90" s="70"/>
    </row>
    <row r="91" spans="1:16" s="2" customFormat="1" x14ac:dyDescent="0.2">
      <c r="A91" s="87">
        <v>45359</v>
      </c>
      <c r="B91" s="120" t="s">
        <v>6</v>
      </c>
      <c r="C91" s="75" t="s">
        <v>2171</v>
      </c>
      <c r="D91" s="88">
        <v>730944</v>
      </c>
      <c r="G91" s="30"/>
      <c r="H91" s="30"/>
      <c r="P91" s="70"/>
    </row>
    <row r="92" spans="1:16" s="2" customFormat="1" x14ac:dyDescent="0.2">
      <c r="A92" s="87">
        <v>45359</v>
      </c>
      <c r="B92" s="120" t="s">
        <v>6</v>
      </c>
      <c r="C92" s="75" t="s">
        <v>767</v>
      </c>
      <c r="D92" s="88">
        <v>19228</v>
      </c>
      <c r="G92" s="30"/>
      <c r="H92" s="30"/>
      <c r="P92" s="70"/>
    </row>
    <row r="93" spans="1:16" s="2" customFormat="1" x14ac:dyDescent="0.2">
      <c r="A93" s="87">
        <v>45362</v>
      </c>
      <c r="B93" s="120" t="s">
        <v>6</v>
      </c>
      <c r="C93" s="75" t="s">
        <v>1806</v>
      </c>
      <c r="D93" s="88">
        <v>2568137</v>
      </c>
      <c r="G93" s="30"/>
      <c r="H93" s="30"/>
      <c r="P93" s="70"/>
    </row>
    <row r="94" spans="1:16" s="2" customFormat="1" x14ac:dyDescent="0.2">
      <c r="A94" s="87">
        <v>45362</v>
      </c>
      <c r="B94" s="120" t="s">
        <v>6</v>
      </c>
      <c r="C94" s="75" t="s">
        <v>784</v>
      </c>
      <c r="D94" s="88">
        <v>39949</v>
      </c>
      <c r="G94" s="30"/>
      <c r="H94" s="30"/>
      <c r="P94" s="70"/>
    </row>
    <row r="95" spans="1:16" s="2" customFormat="1" x14ac:dyDescent="0.2">
      <c r="A95" s="87">
        <v>45362</v>
      </c>
      <c r="B95" s="120" t="s">
        <v>6</v>
      </c>
      <c r="C95" s="75" t="s">
        <v>784</v>
      </c>
      <c r="D95" s="88">
        <v>219691</v>
      </c>
      <c r="G95" s="30"/>
      <c r="H95" s="30"/>
      <c r="P95" s="70"/>
    </row>
    <row r="96" spans="1:16" s="2" customFormat="1" x14ac:dyDescent="0.2">
      <c r="A96" s="87">
        <v>45363</v>
      </c>
      <c r="B96" s="120" t="s">
        <v>6</v>
      </c>
      <c r="C96" s="75" t="s">
        <v>2171</v>
      </c>
      <c r="D96" s="88">
        <v>952416</v>
      </c>
      <c r="G96" s="30"/>
      <c r="H96" s="30"/>
      <c r="P96" s="70"/>
    </row>
    <row r="97" spans="1:16" s="2" customFormat="1" x14ac:dyDescent="0.2">
      <c r="A97" s="87">
        <v>45363</v>
      </c>
      <c r="B97" s="120" t="s">
        <v>6</v>
      </c>
      <c r="C97" s="75" t="s">
        <v>767</v>
      </c>
      <c r="D97" s="88">
        <v>591483</v>
      </c>
      <c r="G97" s="30"/>
      <c r="H97" s="30"/>
      <c r="P97" s="70"/>
    </row>
    <row r="98" spans="1:16" s="2" customFormat="1" x14ac:dyDescent="0.2">
      <c r="A98" s="87">
        <v>45364</v>
      </c>
      <c r="B98" s="120" t="s">
        <v>6</v>
      </c>
      <c r="C98" s="75" t="s">
        <v>784</v>
      </c>
      <c r="D98" s="88">
        <v>701638</v>
      </c>
      <c r="G98" s="30"/>
      <c r="H98" s="30"/>
      <c r="P98" s="70"/>
    </row>
    <row r="99" spans="1:16" s="2" customFormat="1" x14ac:dyDescent="0.2">
      <c r="A99" s="87">
        <v>45364</v>
      </c>
      <c r="B99" s="120" t="s">
        <v>6</v>
      </c>
      <c r="C99" s="75" t="s">
        <v>2221</v>
      </c>
      <c r="D99" s="88">
        <v>1887871</v>
      </c>
      <c r="G99" s="30"/>
      <c r="H99" s="30"/>
      <c r="P99" s="70"/>
    </row>
    <row r="100" spans="1:16" s="2" customFormat="1" x14ac:dyDescent="0.2">
      <c r="A100" s="87"/>
      <c r="B100" s="74"/>
      <c r="C100" s="183" t="s">
        <v>2141</v>
      </c>
      <c r="D100" s="51">
        <f>SUM(D86:D99)</f>
        <v>17221954</v>
      </c>
      <c r="F100" s="2" t="s">
        <v>396</v>
      </c>
      <c r="G100" s="1"/>
      <c r="H100" s="1"/>
      <c r="P100" s="70"/>
    </row>
    <row r="101" spans="1:16" s="2" customFormat="1" x14ac:dyDescent="0.2">
      <c r="A101" s="24"/>
      <c r="B101" s="1"/>
      <c r="C101" s="14"/>
      <c r="D101" s="56"/>
      <c r="E101" s="13"/>
      <c r="G101" s="1"/>
      <c r="H101" s="1"/>
      <c r="I101" s="2" t="s">
        <v>396</v>
      </c>
    </row>
    <row r="102" spans="1:16" s="2" customFormat="1" x14ac:dyDescent="0.2">
      <c r="A102" s="24"/>
      <c r="B102" s="1"/>
      <c r="C102" s="218" t="s">
        <v>77</v>
      </c>
      <c r="D102" s="219"/>
      <c r="E102" s="219"/>
      <c r="F102" s="220"/>
      <c r="I102" s="2" t="s">
        <v>396</v>
      </c>
    </row>
    <row r="103" spans="1:16" s="2" customFormat="1" x14ac:dyDescent="0.2">
      <c r="A103" s="24"/>
      <c r="B103" s="1"/>
      <c r="C103" s="50"/>
      <c r="D103" s="57" t="s">
        <v>78</v>
      </c>
      <c r="E103" s="58" t="s">
        <v>79</v>
      </c>
      <c r="F103" s="57" t="s">
        <v>72</v>
      </c>
    </row>
    <row r="104" spans="1:16" s="2" customFormat="1" x14ac:dyDescent="0.2">
      <c r="A104" s="24"/>
      <c r="B104" s="1"/>
      <c r="C104" s="59" t="str">
        <f>"01-03-2024 to "&amp;TEXT(A5-2,"dd-mm-yyyy")</f>
        <v>01-03-2024 to 12-03-2024</v>
      </c>
      <c r="D104" s="60">
        <v>1887.27</v>
      </c>
      <c r="E104" s="60">
        <v>281.62</v>
      </c>
      <c r="F104" s="61">
        <f>SUM(D104:E104)</f>
        <v>2168.89</v>
      </c>
      <c r="I104" s="53"/>
    </row>
    <row r="105" spans="1:16" s="2" customFormat="1" x14ac:dyDescent="0.2">
      <c r="A105" s="24"/>
      <c r="B105" s="1"/>
      <c r="C105" s="62" t="str">
        <f>TEXT(A5-1,"dd-mm-yyyy")</f>
        <v>13-03-2024</v>
      </c>
      <c r="D105" s="60">
        <v>113.84</v>
      </c>
      <c r="E105" s="60">
        <v>19.3</v>
      </c>
      <c r="F105" s="61">
        <f>SUM(D105:E105)</f>
        <v>133.14000000000001</v>
      </c>
      <c r="G105" s="1"/>
      <c r="H105" s="1"/>
      <c r="I105" s="53"/>
    </row>
    <row r="106" spans="1:16" s="2" customFormat="1" ht="13.5" thickBot="1" x14ac:dyDescent="0.25">
      <c r="A106" s="24"/>
      <c r="B106" s="1"/>
      <c r="C106" s="63" t="str">
        <f>"01-03-2024 to "&amp;TEXT(A5-1,"dd-mm-yyyy")</f>
        <v>01-03-2024 to 13-03-2024</v>
      </c>
      <c r="D106" s="64">
        <f>SUM(D104:D105)</f>
        <v>2001.11</v>
      </c>
      <c r="E106" s="64">
        <f>SUM(E104:E105)</f>
        <v>300.92</v>
      </c>
      <c r="F106" s="64">
        <f>SUM(F104:F105)</f>
        <v>2302.0299999999997</v>
      </c>
      <c r="G106" s="1"/>
      <c r="H106" s="1"/>
      <c r="M106" s="1"/>
      <c r="N106" s="1"/>
    </row>
    <row r="107" spans="1:16" s="2" customFormat="1" ht="13.5" thickTop="1" x14ac:dyDescent="0.2">
      <c r="A107" s="24"/>
      <c r="B107" s="1"/>
      <c r="C107" s="62"/>
      <c r="D107" s="65"/>
      <c r="E107" s="66"/>
      <c r="F107" s="67"/>
      <c r="M107" s="1"/>
      <c r="N107" s="1"/>
    </row>
    <row r="108" spans="1:16" s="2" customFormat="1" x14ac:dyDescent="0.2">
      <c r="A108" s="24"/>
      <c r="B108" s="1"/>
      <c r="C108" s="62" t="str">
        <f>"01-04-2023 to " &amp;C105</f>
        <v>01-04-2023 to 13-03-2024</v>
      </c>
      <c r="D108" s="68">
        <f>+D106+41133.88</f>
        <v>43134.99</v>
      </c>
      <c r="E108" s="68">
        <f>+E106+5181.05</f>
        <v>5481.97</v>
      </c>
      <c r="F108" s="68">
        <f>+F106+46314.16</f>
        <v>48616.19</v>
      </c>
      <c r="G108" s="1"/>
      <c r="H108" s="1"/>
      <c r="M108" s="1"/>
      <c r="N108" s="1"/>
    </row>
    <row r="109" spans="1:16" s="2" customFormat="1" x14ac:dyDescent="0.2">
      <c r="A109" s="24"/>
      <c r="B109" s="1"/>
      <c r="C109" s="52"/>
      <c r="D109" s="85"/>
      <c r="E109" s="53"/>
      <c r="F109" s="53"/>
      <c r="G109" s="1"/>
      <c r="H109" s="1"/>
      <c r="M109" s="1"/>
      <c r="N109" s="1"/>
    </row>
    <row r="110" spans="1:16" s="2" customFormat="1" x14ac:dyDescent="0.2">
      <c r="A110" s="24"/>
      <c r="B110" s="1"/>
      <c r="C110" s="52"/>
      <c r="D110" s="85"/>
      <c r="E110" s="53"/>
      <c r="F110" s="53"/>
      <c r="G110" s="1"/>
      <c r="H110" s="1"/>
      <c r="M110" s="1"/>
      <c r="N110" s="1"/>
    </row>
    <row r="111" spans="1:16" s="2" customFormat="1" x14ac:dyDescent="0.2">
      <c r="A111" s="24"/>
      <c r="B111" s="1"/>
      <c r="C111" s="52"/>
      <c r="D111" s="85"/>
      <c r="E111" s="53"/>
      <c r="F111" s="53"/>
      <c r="G111" s="1"/>
      <c r="H111" s="1"/>
      <c r="M111" s="1"/>
      <c r="N111" s="1"/>
    </row>
    <row r="112" spans="1:16" s="2" customFormat="1" x14ac:dyDescent="0.2">
      <c r="A112" s="24"/>
      <c r="B112" s="1"/>
      <c r="C112" s="52"/>
      <c r="D112" s="85"/>
      <c r="E112" s="53"/>
      <c r="F112" s="53"/>
      <c r="G112" s="1"/>
      <c r="H112" s="1"/>
      <c r="M112" s="1"/>
      <c r="N112" s="1"/>
    </row>
    <row r="113" spans="1:19" s="2" customFormat="1" x14ac:dyDescent="0.2">
      <c r="A113" s="24"/>
      <c r="B113" s="1"/>
      <c r="C113" s="14"/>
      <c r="D113" s="25">
        <f>SUM(D110:D112)</f>
        <v>0</v>
      </c>
      <c r="E113" s="2">
        <f>SUM(E110:E112)</f>
        <v>0</v>
      </c>
      <c r="G113" s="1"/>
      <c r="H113" s="1"/>
      <c r="M113" s="1"/>
      <c r="N113" s="1"/>
    </row>
    <row r="114" spans="1:19" s="2" customFormat="1" x14ac:dyDescent="0.2">
      <c r="A114" s="24"/>
      <c r="B114" s="1"/>
      <c r="C114" s="14"/>
      <c r="D114" s="25"/>
      <c r="G114" s="1"/>
      <c r="H114" s="1"/>
      <c r="M114" s="1"/>
      <c r="N114" s="1"/>
    </row>
    <row r="115" spans="1:19" s="2" customFormat="1" x14ac:dyDescent="0.2">
      <c r="A115" s="24"/>
      <c r="B115" s="1"/>
      <c r="C115" s="14"/>
      <c r="D115" s="25"/>
      <c r="G115" s="1"/>
      <c r="H115" s="1"/>
      <c r="M115" s="1"/>
      <c r="N115" s="1"/>
    </row>
    <row r="116" spans="1:19" s="2" customFormat="1" x14ac:dyDescent="0.2">
      <c r="A116" s="24"/>
      <c r="B116" s="1"/>
      <c r="C116" s="14"/>
      <c r="D116" s="25"/>
      <c r="G116" s="1"/>
      <c r="H116" s="1"/>
      <c r="M116" s="1"/>
      <c r="N116" s="1"/>
    </row>
    <row r="117" spans="1:19" s="2" customFormat="1" x14ac:dyDescent="0.2">
      <c r="A117" s="24"/>
      <c r="B117" s="1"/>
      <c r="C117" s="14"/>
      <c r="D117" s="25"/>
      <c r="G117" s="1"/>
      <c r="H117" s="1"/>
      <c r="M117" s="1"/>
      <c r="N117" s="1"/>
    </row>
    <row r="118" spans="1:19" s="2" customFormat="1" x14ac:dyDescent="0.2">
      <c r="A118" s="24"/>
      <c r="B118" s="1"/>
      <c r="C118" s="14"/>
      <c r="D118" s="25"/>
      <c r="G118" s="1"/>
      <c r="H118" s="1"/>
      <c r="M118" s="1"/>
      <c r="N118" s="1"/>
    </row>
    <row r="119" spans="1:19" s="2" customFormat="1" x14ac:dyDescent="0.2">
      <c r="A119" s="24"/>
      <c r="B119" s="1"/>
      <c r="C119" s="14"/>
      <c r="D119" s="25"/>
      <c r="G119" s="1"/>
      <c r="H119" s="1"/>
      <c r="M119" s="1"/>
      <c r="N119" s="1"/>
    </row>
    <row r="120" spans="1:19" s="2" customFormat="1" x14ac:dyDescent="0.2">
      <c r="A120" s="24"/>
      <c r="B120" s="1"/>
      <c r="C120" s="14"/>
      <c r="D120" s="25"/>
      <c r="G120" s="1"/>
      <c r="H120" s="1"/>
      <c r="M120" s="1"/>
      <c r="N120" s="1"/>
      <c r="Q120" s="1"/>
      <c r="R120" s="1"/>
      <c r="S120" s="1"/>
    </row>
    <row r="121" spans="1:19" x14ac:dyDescent="0.2">
      <c r="J121" s="2"/>
      <c r="K121" s="2"/>
      <c r="L121" s="2"/>
      <c r="O121" s="2"/>
      <c r="P121" s="2"/>
      <c r="Q121" s="2"/>
      <c r="R121" s="2"/>
      <c r="S121" s="2"/>
    </row>
    <row r="122" spans="1:19" s="2" customFormat="1" x14ac:dyDescent="0.2">
      <c r="A122" s="24"/>
      <c r="B122" s="1"/>
      <c r="C122" s="14"/>
      <c r="D122" s="25"/>
      <c r="G122" s="1"/>
      <c r="H122" s="1"/>
      <c r="M122" s="1"/>
      <c r="N122" s="1"/>
      <c r="Q122" s="1"/>
      <c r="R122" s="1"/>
      <c r="S122" s="1"/>
    </row>
    <row r="123" spans="1:19" x14ac:dyDescent="0.2">
      <c r="J123" s="2"/>
      <c r="K123" s="2"/>
      <c r="L123" s="2"/>
      <c r="O123" s="2"/>
      <c r="P123" s="2"/>
    </row>
    <row r="124" spans="1:19" x14ac:dyDescent="0.2">
      <c r="J124" s="2"/>
      <c r="K124" s="2"/>
      <c r="L124" s="2"/>
      <c r="O124" s="2"/>
      <c r="P124" s="2"/>
    </row>
    <row r="125" spans="1:19" x14ac:dyDescent="0.2">
      <c r="J125" s="2"/>
      <c r="K125" s="2"/>
      <c r="L125" s="2"/>
      <c r="O125" s="2"/>
      <c r="P125" s="2"/>
    </row>
    <row r="126" spans="1:19" x14ac:dyDescent="0.2">
      <c r="J126" s="2"/>
      <c r="K126" s="2"/>
      <c r="L126" s="2"/>
      <c r="O126" s="2"/>
      <c r="P126" s="2"/>
    </row>
    <row r="127" spans="1:19" x14ac:dyDescent="0.2">
      <c r="O127" s="2"/>
      <c r="P127" s="2"/>
    </row>
    <row r="128" spans="1:19" x14ac:dyDescent="0.2">
      <c r="J128" s="2"/>
      <c r="K128" s="2"/>
      <c r="L128" s="2"/>
      <c r="M128" s="2"/>
      <c r="N128" s="2"/>
      <c r="O128" s="2"/>
      <c r="P128" s="2"/>
    </row>
    <row r="129" spans="7:16" x14ac:dyDescent="0.2">
      <c r="O129" s="2"/>
      <c r="P129" s="2"/>
    </row>
    <row r="130" spans="7:16" x14ac:dyDescent="0.2">
      <c r="G130" s="54"/>
      <c r="H130" s="54"/>
      <c r="O130" s="2"/>
      <c r="P130" s="2"/>
    </row>
    <row r="131" spans="7:16" x14ac:dyDescent="0.2">
      <c r="G131" s="54"/>
      <c r="H131" s="54"/>
      <c r="O131" s="2"/>
      <c r="P131" s="2"/>
    </row>
    <row r="132" spans="7:16" x14ac:dyDescent="0.2">
      <c r="G132" s="54"/>
      <c r="H132" s="54"/>
      <c r="O132" s="2"/>
      <c r="P132" s="2"/>
    </row>
    <row r="133" spans="7:16" x14ac:dyDescent="0.2">
      <c r="G133" s="54"/>
      <c r="H133" s="54"/>
      <c r="I133" s="2" t="s">
        <v>396</v>
      </c>
      <c r="O133" s="2"/>
      <c r="P133" s="2"/>
    </row>
    <row r="134" spans="7:16" x14ac:dyDescent="0.2">
      <c r="G134" s="54"/>
      <c r="H134" s="54"/>
      <c r="I134" s="53"/>
      <c r="J134" s="2"/>
      <c r="K134" s="2"/>
      <c r="L134" s="2"/>
      <c r="M134" s="2"/>
      <c r="N134" s="2"/>
      <c r="P134" s="2"/>
    </row>
    <row r="135" spans="7:16" x14ac:dyDescent="0.2">
      <c r="G135" s="54"/>
      <c r="H135" s="54"/>
      <c r="I135" s="53" t="s">
        <v>396</v>
      </c>
      <c r="O135" s="2"/>
      <c r="P135" s="2"/>
    </row>
    <row r="136" spans="7:16" x14ac:dyDescent="0.2">
      <c r="G136" s="54"/>
      <c r="H136" s="54"/>
      <c r="I136" s="53" t="s">
        <v>396</v>
      </c>
      <c r="K136" s="42"/>
      <c r="P136" s="2"/>
    </row>
    <row r="137" spans="7:16" x14ac:dyDescent="0.2">
      <c r="G137" s="54"/>
      <c r="H137" s="54"/>
      <c r="I137" s="53"/>
      <c r="J137" s="101"/>
      <c r="P137" s="2"/>
    </row>
    <row r="138" spans="7:16" x14ac:dyDescent="0.2">
      <c r="G138" s="54"/>
      <c r="H138" s="54"/>
      <c r="I138" s="53"/>
    </row>
    <row r="139" spans="7:16" x14ac:dyDescent="0.2">
      <c r="G139" s="54"/>
      <c r="H139" s="54"/>
      <c r="I139" s="53"/>
      <c r="P139" s="2"/>
    </row>
    <row r="140" spans="7:16" x14ac:dyDescent="0.2">
      <c r="G140" s="54"/>
      <c r="H140" s="54"/>
      <c r="I140" s="53"/>
    </row>
  </sheetData>
  <sheetProtection insertRows="0"/>
  <mergeCells count="8">
    <mergeCell ref="K77:L77"/>
    <mergeCell ref="A84:D84"/>
    <mergeCell ref="C102:F102"/>
    <mergeCell ref="A1:H1"/>
    <mergeCell ref="A3:F3"/>
    <mergeCell ref="A11:F11"/>
    <mergeCell ref="A18:F18"/>
    <mergeCell ref="A34:F34"/>
  </mergeCells>
  <conditionalFormatting sqref="H81:H82">
    <cfRule type="cellIs" dxfId="25" priority="1" operator="lessThan">
      <formula>0</formula>
    </cfRule>
  </conditionalFormatting>
  <conditionalFormatting sqref="C36">
    <cfRule type="duplicateValues" dxfId="24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1-000000000000}">
  <sheetPr codeName="Sheet574">
    <pageSetUpPr fitToPage="1"/>
  </sheetPr>
  <dimension ref="A1:S158"/>
  <sheetViews>
    <sheetView topLeftCell="C28" zoomScaleNormal="100" workbookViewId="0">
      <selection activeCell="J41" sqref="J41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12.85546875" style="1" customWidth="1"/>
    <col min="9" max="9" width="24.85546875" style="2" bestFit="1" customWidth="1"/>
    <col min="10" max="10" width="21.5703125" style="1" bestFit="1" customWidth="1"/>
    <col min="11" max="11" width="16.85546875" style="1" bestFit="1" customWidth="1"/>
    <col min="12" max="12" width="19.5703125" style="1" bestFit="1" customWidth="1"/>
    <col min="13" max="13" width="13.5703125" style="1" bestFit="1" customWidth="1"/>
    <col min="14" max="14" width="17.42578125" style="1" bestFit="1" customWidth="1"/>
    <col min="15" max="15" width="12.85546875" style="1" bestFit="1" customWidth="1"/>
    <col min="16" max="17" width="9.140625" style="1"/>
    <col min="18" max="18" width="15.5703125" style="1" bestFit="1" customWidth="1"/>
    <col min="19" max="16384" width="9.140625" style="1"/>
  </cols>
  <sheetData>
    <row r="1" spans="1:12" ht="20.25" customHeight="1" x14ac:dyDescent="0.4">
      <c r="A1" s="212" t="s">
        <v>2222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2" ht="12.75" customHeight="1" x14ac:dyDescent="0.4">
      <c r="I2" s="112"/>
      <c r="J2" s="112"/>
    </row>
    <row r="3" spans="1:12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2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2" s="2" customFormat="1" ht="14.25" customHeight="1" x14ac:dyDescent="0.4">
      <c r="A5" s="89">
        <v>45366</v>
      </c>
      <c r="B5" s="9" t="s">
        <v>6</v>
      </c>
      <c r="C5" s="10" t="s">
        <v>7</v>
      </c>
      <c r="D5" s="11"/>
      <c r="E5" s="12">
        <v>1529680.8400000008</v>
      </c>
      <c r="F5" s="12"/>
      <c r="G5" s="1"/>
      <c r="H5" s="1"/>
      <c r="I5" s="112"/>
      <c r="J5" s="112"/>
    </row>
    <row r="6" spans="1:12" s="2" customFormat="1" ht="12.75" customHeight="1" x14ac:dyDescent="0.2">
      <c r="D6" s="15" t="s">
        <v>8</v>
      </c>
      <c r="E6" s="16">
        <f>SUM(E5:E5)</f>
        <v>1529680.8400000008</v>
      </c>
      <c r="F6" s="16">
        <f>F5</f>
        <v>0</v>
      </c>
      <c r="G6" s="1"/>
      <c r="H6" s="1"/>
      <c r="I6" s="13" t="s">
        <v>1582</v>
      </c>
      <c r="J6" s="13" t="s">
        <v>1583</v>
      </c>
    </row>
    <row r="7" spans="1:12" s="2" customFormat="1" ht="12.75" customHeight="1" x14ac:dyDescent="0.2">
      <c r="A7" s="17"/>
      <c r="B7" s="18"/>
      <c r="C7" s="19" t="s">
        <v>9</v>
      </c>
      <c r="D7" s="20"/>
      <c r="E7" s="21">
        <f>+E6-F6</f>
        <v>1529680.8400000008</v>
      </c>
      <c r="F7" s="22"/>
      <c r="G7" s="23"/>
      <c r="H7" s="23"/>
      <c r="I7" s="2">
        <v>0</v>
      </c>
      <c r="J7" s="2">
        <v>0</v>
      </c>
      <c r="K7" s="176">
        <f>I7-J7</f>
        <v>0</v>
      </c>
    </row>
    <row r="8" spans="1:12" ht="11.25" customHeight="1" x14ac:dyDescent="0.4">
      <c r="I8" s="112"/>
      <c r="J8" s="112"/>
    </row>
    <row r="9" spans="1:12" ht="18" customHeight="1" x14ac:dyDescent="0.4">
      <c r="A9" s="213" t="s">
        <v>2103</v>
      </c>
      <c r="B9" s="213"/>
      <c r="C9" s="213"/>
      <c r="D9" s="213"/>
      <c r="E9" s="213"/>
      <c r="F9" s="213"/>
      <c r="I9" s="112"/>
      <c r="J9" s="112"/>
    </row>
    <row r="10" spans="1:12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I10" s="112"/>
      <c r="J10" s="112"/>
    </row>
    <row r="11" spans="1:12" ht="12.75" customHeight="1" x14ac:dyDescent="0.4">
      <c r="A11" s="89">
        <v>45366</v>
      </c>
      <c r="B11" s="9" t="s">
        <v>6</v>
      </c>
      <c r="C11" s="10" t="s">
        <v>7</v>
      </c>
      <c r="D11" s="11"/>
      <c r="E11" s="12">
        <v>2956934.1099999985</v>
      </c>
      <c r="F11" s="1"/>
      <c r="I11" s="112"/>
      <c r="J11" s="112"/>
    </row>
    <row r="12" spans="1:12" ht="12.75" customHeight="1" x14ac:dyDescent="0.2">
      <c r="A12" s="2"/>
      <c r="B12" s="2"/>
      <c r="C12" s="2"/>
      <c r="D12" s="11" t="s">
        <v>8</v>
      </c>
      <c r="E12" s="16">
        <f>SUM(E11:E11)</f>
        <v>2956934.1099999985</v>
      </c>
      <c r="F12" s="16">
        <f>F11</f>
        <v>0</v>
      </c>
      <c r="I12" s="13" t="s">
        <v>1582</v>
      </c>
      <c r="J12" s="13" t="s">
        <v>1583</v>
      </c>
    </row>
    <row r="13" spans="1:12" x14ac:dyDescent="0.2">
      <c r="A13" s="17"/>
      <c r="B13" s="18"/>
      <c r="C13" s="19" t="s">
        <v>9</v>
      </c>
      <c r="D13" s="20"/>
      <c r="E13" s="21">
        <f>+E12-F12</f>
        <v>2956934.1099999985</v>
      </c>
      <c r="I13" s="2">
        <v>96065</v>
      </c>
      <c r="J13" s="2">
        <v>0</v>
      </c>
    </row>
    <row r="14" spans="1:12" ht="18" customHeight="1" x14ac:dyDescent="0.25">
      <c r="A14" s="36"/>
      <c r="B14" s="28"/>
      <c r="C14" s="44"/>
      <c r="D14" s="43"/>
      <c r="E14" s="38"/>
      <c r="F14" s="22"/>
      <c r="J14" s="2"/>
    </row>
    <row r="15" spans="1:12" ht="18" customHeight="1" x14ac:dyDescent="0.4">
      <c r="A15" s="213" t="s">
        <v>2104</v>
      </c>
      <c r="B15" s="213"/>
      <c r="C15" s="213"/>
      <c r="D15" s="213"/>
      <c r="E15" s="213"/>
      <c r="F15" s="213"/>
      <c r="I15" s="112"/>
      <c r="J15" s="169">
        <f>90000000-60000000</f>
        <v>30000000</v>
      </c>
      <c r="K15" s="169" t="s">
        <v>1508</v>
      </c>
    </row>
    <row r="16" spans="1:12" ht="12.75" customHeight="1" x14ac:dyDescent="0.4">
      <c r="A16" s="3" t="s">
        <v>1</v>
      </c>
      <c r="B16" s="4" t="s">
        <v>2</v>
      </c>
      <c r="C16" s="5"/>
      <c r="D16" s="6" t="s">
        <v>3</v>
      </c>
      <c r="E16" s="7" t="s">
        <v>4</v>
      </c>
      <c r="F16" s="7" t="s">
        <v>5</v>
      </c>
      <c r="I16" s="112"/>
      <c r="J16" s="169">
        <v>26929369.93</v>
      </c>
      <c r="K16" s="169" t="s">
        <v>1509</v>
      </c>
      <c r="L16" s="124"/>
    </row>
    <row r="17" spans="1:12" s="2" customFormat="1" ht="14.25" customHeight="1" x14ac:dyDescent="0.2">
      <c r="A17" s="89">
        <v>45366</v>
      </c>
      <c r="B17" s="9" t="s">
        <v>6</v>
      </c>
      <c r="C17" s="10" t="s">
        <v>7</v>
      </c>
      <c r="D17" s="11"/>
      <c r="F17" s="12">
        <v>25522509.93</v>
      </c>
      <c r="G17" s="1"/>
      <c r="H17" s="1"/>
      <c r="I17" s="130" t="s">
        <v>396</v>
      </c>
      <c r="J17" s="169">
        <f>+J15-J16</f>
        <v>3070630.0700000003</v>
      </c>
      <c r="K17" s="169" t="s">
        <v>712</v>
      </c>
      <c r="L17" s="165" t="s">
        <v>1512</v>
      </c>
    </row>
    <row r="18" spans="1:12" s="2" customFormat="1" ht="14.25" customHeight="1" x14ac:dyDescent="0.2">
      <c r="A18" s="89">
        <v>45366</v>
      </c>
      <c r="B18" s="9" t="s">
        <v>6</v>
      </c>
      <c r="C18" s="76" t="s">
        <v>21</v>
      </c>
      <c r="D18" s="11" t="s">
        <v>13</v>
      </c>
      <c r="E18" s="31">
        <v>300000</v>
      </c>
      <c r="F18" s="12"/>
      <c r="G18" s="1"/>
      <c r="H18" s="1"/>
      <c r="I18" s="130"/>
      <c r="J18" s="169"/>
      <c r="K18" s="169"/>
      <c r="L18" s="165"/>
    </row>
    <row r="19" spans="1:12" s="2" customFormat="1" ht="14.25" customHeight="1" x14ac:dyDescent="0.2">
      <c r="A19" s="89">
        <v>45366</v>
      </c>
      <c r="B19" s="9" t="s">
        <v>11</v>
      </c>
      <c r="C19" s="76" t="s">
        <v>1461</v>
      </c>
      <c r="D19" s="11" t="s">
        <v>29</v>
      </c>
      <c r="E19" s="31"/>
      <c r="F19" s="31">
        <v>38622</v>
      </c>
      <c r="G19" s="1"/>
      <c r="H19" s="1"/>
      <c r="I19" s="130"/>
      <c r="J19" s="169"/>
      <c r="K19" s="169"/>
      <c r="L19" s="165"/>
    </row>
    <row r="20" spans="1:12" s="2" customFormat="1" ht="14.25" customHeight="1" x14ac:dyDescent="0.2">
      <c r="A20" s="89">
        <v>45366</v>
      </c>
      <c r="B20" s="9" t="s">
        <v>11</v>
      </c>
      <c r="C20" s="76" t="s">
        <v>1326</v>
      </c>
      <c r="D20" s="11" t="s">
        <v>29</v>
      </c>
      <c r="E20" s="31"/>
      <c r="F20" s="31">
        <v>11000</v>
      </c>
      <c r="G20" s="1"/>
      <c r="H20" s="1"/>
      <c r="I20" s="130"/>
      <c r="J20" s="169"/>
      <c r="K20" s="169"/>
      <c r="L20" s="165"/>
    </row>
    <row r="21" spans="1:12" s="2" customFormat="1" ht="14.25" customHeight="1" x14ac:dyDescent="0.2">
      <c r="A21" s="89">
        <v>45366</v>
      </c>
      <c r="B21" s="9" t="s">
        <v>11</v>
      </c>
      <c r="C21" s="76" t="s">
        <v>1498</v>
      </c>
      <c r="D21" s="11" t="s">
        <v>29</v>
      </c>
      <c r="E21" s="31"/>
      <c r="F21" s="31">
        <v>6000</v>
      </c>
      <c r="G21" s="1"/>
      <c r="H21" s="1"/>
      <c r="I21" s="130"/>
      <c r="J21" s="169"/>
      <c r="K21" s="169"/>
      <c r="L21" s="165"/>
    </row>
    <row r="22" spans="1:12" s="2" customFormat="1" ht="14.25" customHeight="1" x14ac:dyDescent="0.2">
      <c r="A22" s="89">
        <v>45366</v>
      </c>
      <c r="B22" s="9" t="s">
        <v>11</v>
      </c>
      <c r="C22" s="76" t="s">
        <v>34</v>
      </c>
      <c r="D22" s="11" t="s">
        <v>29</v>
      </c>
      <c r="E22" s="31"/>
      <c r="F22" s="31">
        <v>35000</v>
      </c>
      <c r="G22" s="1"/>
      <c r="H22" s="1"/>
      <c r="I22" s="130"/>
      <c r="J22" s="169"/>
      <c r="K22" s="169"/>
      <c r="L22" s="165"/>
    </row>
    <row r="23" spans="1:12" s="2" customFormat="1" ht="14.25" customHeight="1" x14ac:dyDescent="0.2">
      <c r="A23" s="89">
        <v>45366</v>
      </c>
      <c r="B23" s="9" t="s">
        <v>11</v>
      </c>
      <c r="C23" s="76" t="s">
        <v>34</v>
      </c>
      <c r="D23" s="11" t="s">
        <v>29</v>
      </c>
      <c r="E23" s="31"/>
      <c r="F23" s="31">
        <v>25000</v>
      </c>
      <c r="G23" s="1"/>
      <c r="H23" s="1"/>
      <c r="I23" s="130"/>
      <c r="J23" s="169"/>
      <c r="K23" s="169"/>
      <c r="L23" s="165"/>
    </row>
    <row r="24" spans="1:12" s="2" customFormat="1" ht="14.25" customHeight="1" x14ac:dyDescent="0.2">
      <c r="A24" s="89">
        <v>45366</v>
      </c>
      <c r="B24" s="9" t="s">
        <v>11</v>
      </c>
      <c r="C24" s="76" t="s">
        <v>302</v>
      </c>
      <c r="D24" s="11" t="s">
        <v>29</v>
      </c>
      <c r="E24" s="31"/>
      <c r="F24" s="31">
        <v>7522</v>
      </c>
      <c r="G24" s="1"/>
      <c r="H24" s="1"/>
      <c r="I24" s="130"/>
      <c r="J24" s="169"/>
      <c r="K24" s="169"/>
      <c r="L24" s="165"/>
    </row>
    <row r="25" spans="1:12" s="2" customFormat="1" ht="14.25" customHeight="1" x14ac:dyDescent="0.2">
      <c r="A25" s="89">
        <v>45366</v>
      </c>
      <c r="B25" s="9" t="s">
        <v>11</v>
      </c>
      <c r="C25" s="76" t="s">
        <v>961</v>
      </c>
      <c r="D25" s="11" t="s">
        <v>29</v>
      </c>
      <c r="E25" s="31"/>
      <c r="F25" s="31">
        <v>28710</v>
      </c>
      <c r="G25" s="1"/>
      <c r="H25" s="1"/>
      <c r="I25" s="130"/>
      <c r="J25" s="169"/>
      <c r="K25" s="169"/>
      <c r="L25" s="165"/>
    </row>
    <row r="26" spans="1:12" s="2" customFormat="1" ht="14.25" customHeight="1" x14ac:dyDescent="0.2">
      <c r="A26" s="89">
        <v>45366</v>
      </c>
      <c r="B26" s="9" t="s">
        <v>11</v>
      </c>
      <c r="C26" s="76" t="s">
        <v>2223</v>
      </c>
      <c r="D26" s="11" t="s">
        <v>29</v>
      </c>
      <c r="E26" s="31"/>
      <c r="F26" s="31">
        <v>16000</v>
      </c>
      <c r="G26" s="1"/>
      <c r="H26" s="1"/>
      <c r="I26" s="130"/>
      <c r="J26" s="169"/>
      <c r="K26" s="169"/>
      <c r="L26" s="165"/>
    </row>
    <row r="27" spans="1:12" s="2" customFormat="1" ht="14.25" customHeight="1" x14ac:dyDescent="0.2">
      <c r="A27" s="89">
        <v>45366</v>
      </c>
      <c r="B27" s="9" t="s">
        <v>11</v>
      </c>
      <c r="C27" s="76" t="s">
        <v>2095</v>
      </c>
      <c r="D27" s="11" t="s">
        <v>29</v>
      </c>
      <c r="E27" s="31"/>
      <c r="F27" s="31">
        <v>18800</v>
      </c>
      <c r="G27" s="1"/>
      <c r="H27" s="1"/>
      <c r="I27" s="130"/>
      <c r="J27" s="169"/>
      <c r="K27" s="169"/>
      <c r="L27" s="165"/>
    </row>
    <row r="28" spans="1:12" s="2" customFormat="1" ht="14.25" customHeight="1" x14ac:dyDescent="0.2">
      <c r="A28" s="89">
        <v>45366</v>
      </c>
      <c r="B28" s="9" t="s">
        <v>11</v>
      </c>
      <c r="C28" s="76" t="s">
        <v>2224</v>
      </c>
      <c r="D28" s="11" t="s">
        <v>29</v>
      </c>
      <c r="E28" s="31"/>
      <c r="F28" s="31">
        <v>39353</v>
      </c>
      <c r="G28" s="1"/>
      <c r="H28" s="1"/>
      <c r="I28" s="130"/>
      <c r="J28" s="169"/>
      <c r="K28" s="169"/>
      <c r="L28" s="165"/>
    </row>
    <row r="29" spans="1:12" s="2" customFormat="1" ht="14.25" customHeight="1" x14ac:dyDescent="0.2">
      <c r="A29" s="89">
        <v>45366</v>
      </c>
      <c r="B29" s="9" t="s">
        <v>11</v>
      </c>
      <c r="C29" s="76" t="s">
        <v>2136</v>
      </c>
      <c r="D29" s="11" t="s">
        <v>29</v>
      </c>
      <c r="E29" s="31"/>
      <c r="F29" s="31">
        <v>148500</v>
      </c>
      <c r="G29" s="1"/>
      <c r="H29" s="1"/>
      <c r="I29" s="130"/>
      <c r="J29" s="169"/>
      <c r="K29" s="169"/>
      <c r="L29" s="165"/>
    </row>
    <row r="30" spans="1:12" s="2" customFormat="1" ht="14.25" customHeight="1" x14ac:dyDescent="0.2">
      <c r="A30" s="89">
        <v>45366</v>
      </c>
      <c r="B30" s="9" t="s">
        <v>11</v>
      </c>
      <c r="C30" s="76" t="s">
        <v>63</v>
      </c>
      <c r="D30" s="11" t="s">
        <v>29</v>
      </c>
      <c r="E30" s="31"/>
      <c r="F30" s="31">
        <v>1000000</v>
      </c>
      <c r="G30" s="1"/>
      <c r="H30" s="1"/>
      <c r="I30" s="130"/>
      <c r="J30" s="169"/>
      <c r="K30" s="169"/>
      <c r="L30" s="165"/>
    </row>
    <row r="31" spans="1:12" s="2" customFormat="1" ht="14.25" customHeight="1" x14ac:dyDescent="0.2">
      <c r="A31" s="89">
        <v>45366</v>
      </c>
      <c r="B31" s="9" t="s">
        <v>11</v>
      </c>
      <c r="C31" s="76" t="s">
        <v>451</v>
      </c>
      <c r="D31" s="11" t="s">
        <v>29</v>
      </c>
      <c r="E31" s="31"/>
      <c r="F31" s="31">
        <v>13955</v>
      </c>
      <c r="G31" s="1"/>
      <c r="H31" s="1"/>
      <c r="I31" s="130"/>
      <c r="J31" s="169"/>
      <c r="K31" s="169"/>
      <c r="L31" s="165"/>
    </row>
    <row r="32" spans="1:12" s="2" customFormat="1" ht="14.25" customHeight="1" x14ac:dyDescent="0.2">
      <c r="A32" s="89">
        <v>45366</v>
      </c>
      <c r="B32" s="9" t="s">
        <v>11</v>
      </c>
      <c r="C32" s="76" t="s">
        <v>858</v>
      </c>
      <c r="D32" s="11" t="s">
        <v>29</v>
      </c>
      <c r="E32" s="31"/>
      <c r="F32" s="31">
        <v>19305</v>
      </c>
      <c r="G32" s="1"/>
      <c r="H32" s="1"/>
      <c r="I32" s="130"/>
      <c r="J32" s="169"/>
      <c r="K32" s="169"/>
      <c r="L32" s="165"/>
    </row>
    <row r="33" spans="1:12" s="2" customFormat="1" ht="14.25" customHeight="1" x14ac:dyDescent="0.2">
      <c r="A33" s="89">
        <v>45366</v>
      </c>
      <c r="B33" s="9" t="s">
        <v>11</v>
      </c>
      <c r="C33" s="76" t="s">
        <v>1734</v>
      </c>
      <c r="D33" s="11" t="s">
        <v>29</v>
      </c>
      <c r="E33" s="31"/>
      <c r="F33" s="31">
        <v>3028</v>
      </c>
      <c r="G33" s="1"/>
      <c r="H33" s="1"/>
      <c r="I33" s="130"/>
      <c r="J33" s="169"/>
      <c r="K33" s="169"/>
      <c r="L33" s="165"/>
    </row>
    <row r="34" spans="1:12" s="2" customFormat="1" ht="14.25" customHeight="1" x14ac:dyDescent="0.2">
      <c r="A34" s="89">
        <v>45366</v>
      </c>
      <c r="B34" s="9" t="s">
        <v>11</v>
      </c>
      <c r="C34" s="76" t="s">
        <v>1547</v>
      </c>
      <c r="D34" s="11" t="s">
        <v>29</v>
      </c>
      <c r="E34" s="31"/>
      <c r="F34" s="31">
        <v>200000</v>
      </c>
      <c r="G34" s="1"/>
      <c r="H34" s="1"/>
      <c r="I34" s="130"/>
      <c r="J34" s="169"/>
      <c r="K34" s="169"/>
      <c r="L34" s="165"/>
    </row>
    <row r="35" spans="1:12" s="2" customFormat="1" ht="14.25" customHeight="1" x14ac:dyDescent="0.4">
      <c r="D35" s="11" t="s">
        <v>8</v>
      </c>
      <c r="E35" s="16">
        <f>SUM(E18:E34)</f>
        <v>300000</v>
      </c>
      <c r="F35" s="16">
        <f>SUM(F17:F34)</f>
        <v>27133304.93</v>
      </c>
      <c r="G35" s="1"/>
      <c r="H35" s="1"/>
      <c r="J35" s="112"/>
      <c r="K35" s="153" t="s">
        <v>779</v>
      </c>
    </row>
    <row r="36" spans="1:12" s="2" customFormat="1" ht="14.25" customHeight="1" x14ac:dyDescent="0.2">
      <c r="A36" s="17"/>
      <c r="B36" s="18"/>
      <c r="C36" s="96" t="s">
        <v>9</v>
      </c>
      <c r="D36" s="20"/>
      <c r="E36" s="21">
        <f>+F35-E35</f>
        <v>26833304.93</v>
      </c>
      <c r="G36" s="1"/>
      <c r="H36" s="1"/>
      <c r="J36" s="40">
        <v>26833304.93</v>
      </c>
      <c r="K36" s="154">
        <f>J36-E36</f>
        <v>0</v>
      </c>
    </row>
    <row r="37" spans="1:12" s="2" customFormat="1" ht="14.25" customHeight="1" x14ac:dyDescent="0.2">
      <c r="A37" s="17"/>
      <c r="B37" s="28" t="s">
        <v>66</v>
      </c>
      <c r="C37" s="43" t="s">
        <v>1458</v>
      </c>
      <c r="D37" s="43"/>
      <c r="E37" s="12">
        <f>30000000+60000000</f>
        <v>90000000</v>
      </c>
      <c r="F37" s="22"/>
      <c r="G37" s="1"/>
      <c r="H37" s="1"/>
      <c r="I37" s="13" t="s">
        <v>1582</v>
      </c>
      <c r="J37" s="13" t="s">
        <v>1583</v>
      </c>
    </row>
    <row r="38" spans="1:12" s="2" customFormat="1" ht="14.25" customHeight="1" x14ac:dyDescent="0.25">
      <c r="A38" s="36"/>
      <c r="B38" s="28"/>
      <c r="C38" s="44" t="s">
        <v>1541</v>
      </c>
      <c r="D38" s="43"/>
      <c r="E38" s="7">
        <f>+E36+E37</f>
        <v>116833304.93000001</v>
      </c>
      <c r="F38" s="22"/>
      <c r="G38" s="1"/>
      <c r="H38" s="1"/>
      <c r="I38" s="2">
        <v>5518855</v>
      </c>
      <c r="J38" s="2">
        <v>4428756.99</v>
      </c>
      <c r="K38" s="176">
        <f>I38-J38</f>
        <v>1090098.0099999998</v>
      </c>
    </row>
    <row r="39" spans="1:12" s="2" customFormat="1" ht="14.25" customHeight="1" x14ac:dyDescent="0.25">
      <c r="A39" s="36"/>
      <c r="B39" s="28"/>
      <c r="C39" s="44" t="s">
        <v>1511</v>
      </c>
      <c r="D39" s="43"/>
      <c r="E39" s="38">
        <f>I13-J13+J17</f>
        <v>3166695.0700000003</v>
      </c>
      <c r="F39" s="22"/>
      <c r="G39" s="1"/>
      <c r="H39" s="1"/>
      <c r="J39" s="130"/>
      <c r="K39" s="130"/>
    </row>
    <row r="40" spans="1:12" s="2" customFormat="1" x14ac:dyDescent="0.2">
      <c r="A40" s="24"/>
      <c r="B40" s="1"/>
      <c r="C40" s="14"/>
      <c r="D40" s="25"/>
      <c r="G40" s="1"/>
      <c r="H40" s="1"/>
      <c r="I40" s="159"/>
      <c r="J40" s="160">
        <f>100000000</f>
        <v>100000000</v>
      </c>
      <c r="K40" s="160" t="s">
        <v>1506</v>
      </c>
      <c r="L40" s="70"/>
    </row>
    <row r="41" spans="1:12" s="2" customFormat="1" ht="15" x14ac:dyDescent="0.35">
      <c r="A41" s="214" t="s">
        <v>10</v>
      </c>
      <c r="B41" s="214"/>
      <c r="C41" s="214"/>
      <c r="D41" s="214"/>
      <c r="E41" s="214"/>
      <c r="F41" s="214"/>
      <c r="G41" s="1"/>
      <c r="H41" s="1"/>
      <c r="I41" s="159"/>
      <c r="J41" s="179">
        <v>12547370.130000001</v>
      </c>
      <c r="K41" s="160" t="s">
        <v>1507</v>
      </c>
      <c r="L41" s="70" t="s">
        <v>1512</v>
      </c>
    </row>
    <row r="42" spans="1:12" s="2" customFormat="1" x14ac:dyDescent="0.2">
      <c r="A42" s="26" t="s">
        <v>1</v>
      </c>
      <c r="B42" s="27" t="s">
        <v>2</v>
      </c>
      <c r="C42" s="5"/>
      <c r="D42" s="6" t="s">
        <v>3</v>
      </c>
      <c r="E42" s="7" t="s">
        <v>4</v>
      </c>
      <c r="F42" s="7" t="s">
        <v>5</v>
      </c>
      <c r="G42" s="1"/>
      <c r="H42" s="1"/>
      <c r="I42" s="159" t="s">
        <v>1505</v>
      </c>
      <c r="J42" s="160">
        <f>+J40-J41</f>
        <v>87452629.870000005</v>
      </c>
      <c r="K42" s="160"/>
      <c r="L42" s="70"/>
    </row>
    <row r="43" spans="1:12" s="2" customFormat="1" x14ac:dyDescent="0.2">
      <c r="A43" s="89" t="s">
        <v>2225</v>
      </c>
      <c r="B43" s="128" t="s">
        <v>11</v>
      </c>
      <c r="C43" s="29" t="s">
        <v>7</v>
      </c>
      <c r="D43" s="25"/>
      <c r="E43" s="31"/>
      <c r="F43" s="13">
        <v>34180616.749999911</v>
      </c>
      <c r="G43" s="23"/>
      <c r="H43" s="23"/>
      <c r="I43" s="159"/>
      <c r="J43" s="160"/>
      <c r="K43" s="160"/>
      <c r="L43" s="70"/>
    </row>
    <row r="44" spans="1:12" s="2" customFormat="1" x14ac:dyDescent="0.2">
      <c r="A44" s="89" t="s">
        <v>2225</v>
      </c>
      <c r="B44" s="128" t="s">
        <v>6</v>
      </c>
      <c r="C44" s="181" t="s">
        <v>120</v>
      </c>
      <c r="D44" s="11" t="s">
        <v>13</v>
      </c>
      <c r="E44" s="86">
        <v>1568982</v>
      </c>
      <c r="G44" s="23"/>
      <c r="H44" s="23"/>
      <c r="I44" s="159"/>
      <c r="J44" s="160"/>
      <c r="K44" s="160"/>
      <c r="L44" s="70"/>
    </row>
    <row r="45" spans="1:12" s="2" customFormat="1" x14ac:dyDescent="0.2">
      <c r="A45" s="89" t="s">
        <v>2225</v>
      </c>
      <c r="B45" s="128" t="s">
        <v>6</v>
      </c>
      <c r="C45" s="181" t="s">
        <v>24</v>
      </c>
      <c r="D45" s="11" t="s">
        <v>13</v>
      </c>
      <c r="E45" s="86">
        <v>3756586</v>
      </c>
      <c r="G45" s="23"/>
      <c r="H45" s="23"/>
      <c r="I45" s="159"/>
      <c r="J45" s="160"/>
      <c r="K45" s="160"/>
      <c r="L45" s="70"/>
    </row>
    <row r="46" spans="1:12" s="2" customFormat="1" x14ac:dyDescent="0.2">
      <c r="A46" s="89" t="s">
        <v>2225</v>
      </c>
      <c r="B46" s="128" t="s">
        <v>6</v>
      </c>
      <c r="C46" s="181" t="s">
        <v>1744</v>
      </c>
      <c r="D46" s="11" t="s">
        <v>13</v>
      </c>
      <c r="E46" s="86">
        <v>501316</v>
      </c>
      <c r="G46" s="23"/>
      <c r="H46" s="23"/>
      <c r="I46" s="159"/>
      <c r="J46" s="160"/>
      <c r="K46" s="160"/>
      <c r="L46" s="70"/>
    </row>
    <row r="47" spans="1:12" s="2" customFormat="1" x14ac:dyDescent="0.2">
      <c r="A47" s="89" t="s">
        <v>2225</v>
      </c>
      <c r="B47" s="128" t="s">
        <v>6</v>
      </c>
      <c r="C47" s="181" t="s">
        <v>1632</v>
      </c>
      <c r="D47" s="11" t="s">
        <v>13</v>
      </c>
      <c r="E47" s="86">
        <v>493</v>
      </c>
      <c r="G47" s="23"/>
      <c r="H47" s="23"/>
      <c r="I47" s="159"/>
      <c r="J47" s="160"/>
      <c r="K47" s="160"/>
      <c r="L47" s="70"/>
    </row>
    <row r="48" spans="1:12" s="2" customFormat="1" x14ac:dyDescent="0.2">
      <c r="A48" s="89" t="s">
        <v>2225</v>
      </c>
      <c r="B48" s="128" t="s">
        <v>6</v>
      </c>
      <c r="C48" s="181" t="s">
        <v>755</v>
      </c>
      <c r="D48" s="11" t="s">
        <v>13</v>
      </c>
      <c r="E48" s="86">
        <v>9627718.1799999997</v>
      </c>
      <c r="G48" s="23"/>
      <c r="H48" s="23"/>
      <c r="I48" s="159"/>
      <c r="J48" s="160"/>
      <c r="K48" s="160"/>
      <c r="L48" s="70"/>
    </row>
    <row r="49" spans="1:12" s="2" customFormat="1" x14ac:dyDescent="0.2">
      <c r="A49" s="89" t="s">
        <v>2225</v>
      </c>
      <c r="B49" s="128" t="s">
        <v>6</v>
      </c>
      <c r="C49" s="181" t="s">
        <v>200</v>
      </c>
      <c r="D49" s="11" t="s">
        <v>13</v>
      </c>
      <c r="E49" s="86">
        <v>186413</v>
      </c>
      <c r="G49" s="23"/>
      <c r="H49" s="23"/>
      <c r="I49" s="159"/>
      <c r="J49" s="160"/>
      <c r="K49" s="160"/>
      <c r="L49" s="70"/>
    </row>
    <row r="50" spans="1:12" s="2" customFormat="1" x14ac:dyDescent="0.2">
      <c r="A50" s="89" t="s">
        <v>2225</v>
      </c>
      <c r="B50" s="128" t="s">
        <v>6</v>
      </c>
      <c r="C50" s="181" t="s">
        <v>785</v>
      </c>
      <c r="D50" s="11" t="s">
        <v>13</v>
      </c>
      <c r="E50" s="86">
        <v>4081433</v>
      </c>
      <c r="G50" s="23"/>
      <c r="H50" s="23"/>
      <c r="I50" s="159"/>
      <c r="J50" s="160"/>
      <c r="K50" s="160"/>
      <c r="L50" s="70"/>
    </row>
    <row r="51" spans="1:12" s="2" customFormat="1" x14ac:dyDescent="0.2">
      <c r="A51" s="89" t="s">
        <v>2225</v>
      </c>
      <c r="B51" s="128" t="s">
        <v>6</v>
      </c>
      <c r="C51" s="181" t="s">
        <v>2226</v>
      </c>
      <c r="D51" s="11" t="s">
        <v>13</v>
      </c>
      <c r="E51" s="86">
        <v>734665</v>
      </c>
      <c r="G51" s="23"/>
      <c r="H51" s="23"/>
      <c r="I51" s="159"/>
      <c r="J51" s="160"/>
      <c r="K51" s="160"/>
      <c r="L51" s="70"/>
    </row>
    <row r="52" spans="1:12" s="2" customFormat="1" x14ac:dyDescent="0.2">
      <c r="A52" s="89" t="s">
        <v>2225</v>
      </c>
      <c r="B52" s="128" t="s">
        <v>6</v>
      </c>
      <c r="C52" s="181" t="s">
        <v>538</v>
      </c>
      <c r="D52" s="11" t="s">
        <v>13</v>
      </c>
      <c r="E52" s="86">
        <v>558834</v>
      </c>
      <c r="G52" s="23"/>
      <c r="H52" s="23"/>
      <c r="I52" s="159"/>
      <c r="J52" s="160"/>
      <c r="K52" s="160"/>
      <c r="L52" s="70"/>
    </row>
    <row r="53" spans="1:12" s="2" customFormat="1" x14ac:dyDescent="0.2">
      <c r="A53" s="89" t="s">
        <v>2225</v>
      </c>
      <c r="B53" s="128" t="s">
        <v>6</v>
      </c>
      <c r="C53" s="181" t="s">
        <v>326</v>
      </c>
      <c r="D53" s="11" t="s">
        <v>13</v>
      </c>
      <c r="E53" s="86">
        <v>2520000</v>
      </c>
      <c r="G53" s="23"/>
      <c r="H53" s="23"/>
      <c r="I53" s="159"/>
      <c r="J53" s="160"/>
      <c r="K53" s="160"/>
      <c r="L53" s="70"/>
    </row>
    <row r="54" spans="1:12" s="2" customFormat="1" x14ac:dyDescent="0.2">
      <c r="A54" s="89" t="s">
        <v>2225</v>
      </c>
      <c r="B54" s="128" t="s">
        <v>6</v>
      </c>
      <c r="C54" s="181" t="s">
        <v>1718</v>
      </c>
      <c r="D54" s="11" t="s">
        <v>13</v>
      </c>
      <c r="E54" s="86">
        <v>919</v>
      </c>
      <c r="G54" s="23"/>
      <c r="H54" s="23"/>
      <c r="I54" s="159"/>
      <c r="J54" s="160"/>
      <c r="K54" s="160"/>
      <c r="L54" s="70"/>
    </row>
    <row r="55" spans="1:12" s="2" customFormat="1" x14ac:dyDescent="0.2">
      <c r="A55" s="89" t="s">
        <v>2225</v>
      </c>
      <c r="B55" s="128" t="s">
        <v>6</v>
      </c>
      <c r="C55" s="181" t="s">
        <v>177</v>
      </c>
      <c r="D55" s="11" t="s">
        <v>13</v>
      </c>
      <c r="E55" s="86">
        <v>1853776</v>
      </c>
      <c r="G55" s="23"/>
      <c r="H55" s="23"/>
      <c r="I55" s="159"/>
      <c r="J55" s="160"/>
      <c r="K55" s="160"/>
      <c r="L55" s="70"/>
    </row>
    <row r="56" spans="1:12" s="2" customFormat="1" x14ac:dyDescent="0.2">
      <c r="A56" s="89" t="s">
        <v>2225</v>
      </c>
      <c r="B56" s="128" t="s">
        <v>6</v>
      </c>
      <c r="C56" s="181" t="s">
        <v>149</v>
      </c>
      <c r="D56" s="11" t="s">
        <v>13</v>
      </c>
      <c r="E56" s="86">
        <v>210</v>
      </c>
      <c r="G56" s="23"/>
      <c r="H56" s="23"/>
      <c r="I56" s="159"/>
      <c r="J56" s="160"/>
      <c r="K56" s="160"/>
      <c r="L56" s="70"/>
    </row>
    <row r="57" spans="1:12" s="2" customFormat="1" x14ac:dyDescent="0.2">
      <c r="A57" s="89" t="s">
        <v>2225</v>
      </c>
      <c r="B57" s="128" t="s">
        <v>6</v>
      </c>
      <c r="C57" s="181" t="s">
        <v>2085</v>
      </c>
      <c r="D57" s="11" t="s">
        <v>13</v>
      </c>
      <c r="E57" s="86">
        <v>300000</v>
      </c>
      <c r="G57" s="23"/>
      <c r="H57" s="23"/>
      <c r="I57" s="159"/>
      <c r="J57" s="160"/>
      <c r="K57" s="160"/>
      <c r="L57" s="70"/>
    </row>
    <row r="58" spans="1:12" s="2" customFormat="1" x14ac:dyDescent="0.2">
      <c r="A58" s="89" t="s">
        <v>2225</v>
      </c>
      <c r="B58" s="128" t="s">
        <v>6</v>
      </c>
      <c r="C58" s="181" t="s">
        <v>1959</v>
      </c>
      <c r="D58" s="11" t="s">
        <v>13</v>
      </c>
      <c r="E58" s="86">
        <v>10120</v>
      </c>
      <c r="G58" s="23"/>
      <c r="H58" s="23"/>
      <c r="I58" s="159"/>
      <c r="J58" s="160"/>
      <c r="K58" s="160"/>
      <c r="L58" s="70"/>
    </row>
    <row r="59" spans="1:12" s="2" customFormat="1" x14ac:dyDescent="0.2">
      <c r="A59" s="89" t="s">
        <v>2225</v>
      </c>
      <c r="B59" s="128" t="s">
        <v>6</v>
      </c>
      <c r="C59" s="181" t="s">
        <v>612</v>
      </c>
      <c r="D59" s="11" t="s">
        <v>13</v>
      </c>
      <c r="E59" s="86">
        <v>198188</v>
      </c>
      <c r="G59" s="23"/>
      <c r="H59" s="23"/>
      <c r="I59" s="159"/>
      <c r="J59" s="160"/>
      <c r="K59" s="160"/>
      <c r="L59" s="70"/>
    </row>
    <row r="60" spans="1:12" s="2" customFormat="1" x14ac:dyDescent="0.2">
      <c r="A60" s="89" t="s">
        <v>2225</v>
      </c>
      <c r="B60" s="128" t="s">
        <v>6</v>
      </c>
      <c r="C60" s="181" t="s">
        <v>84</v>
      </c>
      <c r="D60" s="11" t="s">
        <v>13</v>
      </c>
      <c r="E60" s="86">
        <v>5000000</v>
      </c>
      <c r="G60" s="23"/>
      <c r="H60" s="23"/>
      <c r="I60" s="159"/>
      <c r="J60" s="160"/>
      <c r="K60" s="160"/>
      <c r="L60" s="70"/>
    </row>
    <row r="61" spans="1:12" s="2" customFormat="1" x14ac:dyDescent="0.2">
      <c r="A61" s="89" t="s">
        <v>2225</v>
      </c>
      <c r="B61" s="128" t="s">
        <v>6</v>
      </c>
      <c r="C61" s="181" t="s">
        <v>304</v>
      </c>
      <c r="D61" s="11" t="s">
        <v>13</v>
      </c>
      <c r="E61" s="86">
        <v>293102</v>
      </c>
      <c r="G61" s="23"/>
      <c r="H61" s="23"/>
      <c r="I61" s="159"/>
      <c r="J61" s="160"/>
      <c r="K61" s="160"/>
      <c r="L61" s="70"/>
    </row>
    <row r="62" spans="1:12" s="2" customFormat="1" x14ac:dyDescent="0.2">
      <c r="A62" s="89" t="s">
        <v>2225</v>
      </c>
      <c r="B62" s="128" t="s">
        <v>6</v>
      </c>
      <c r="C62" s="181" t="s">
        <v>164</v>
      </c>
      <c r="D62" s="11" t="s">
        <v>13</v>
      </c>
      <c r="E62" s="86">
        <v>1000000</v>
      </c>
      <c r="G62" s="23"/>
      <c r="H62" s="23"/>
      <c r="I62" s="159"/>
      <c r="J62" s="160"/>
      <c r="K62" s="160"/>
      <c r="L62" s="70"/>
    </row>
    <row r="63" spans="1:12" s="2" customFormat="1" x14ac:dyDescent="0.2">
      <c r="A63" s="89" t="s">
        <v>2225</v>
      </c>
      <c r="B63" s="128" t="s">
        <v>6</v>
      </c>
      <c r="C63" s="181" t="s">
        <v>1733</v>
      </c>
      <c r="D63" s="11" t="s">
        <v>13</v>
      </c>
      <c r="E63" s="86">
        <v>175211</v>
      </c>
      <c r="G63" s="23"/>
      <c r="H63" s="23"/>
      <c r="I63" s="159"/>
      <c r="J63" s="160"/>
      <c r="K63" s="160"/>
      <c r="L63" s="70"/>
    </row>
    <row r="64" spans="1:12" s="2" customFormat="1" x14ac:dyDescent="0.2">
      <c r="A64" s="89" t="s">
        <v>2225</v>
      </c>
      <c r="B64" s="128" t="s">
        <v>6</v>
      </c>
      <c r="C64" s="181" t="s">
        <v>351</v>
      </c>
      <c r="D64" s="11" t="s">
        <v>13</v>
      </c>
      <c r="E64" s="86">
        <v>414976</v>
      </c>
      <c r="G64" s="23"/>
      <c r="H64" s="23"/>
      <c r="I64" s="159"/>
      <c r="J64" s="160"/>
      <c r="K64" s="160"/>
      <c r="L64" s="70"/>
    </row>
    <row r="65" spans="1:16" s="2" customFormat="1" x14ac:dyDescent="0.2">
      <c r="A65" s="89" t="s">
        <v>2225</v>
      </c>
      <c r="B65" s="128" t="s">
        <v>6</v>
      </c>
      <c r="C65" s="181" t="s">
        <v>15</v>
      </c>
      <c r="D65" s="11" t="s">
        <v>13</v>
      </c>
      <c r="E65" s="86">
        <v>6333.33</v>
      </c>
      <c r="G65" s="23"/>
      <c r="H65" s="23"/>
      <c r="I65" s="159"/>
      <c r="J65" s="160"/>
      <c r="K65" s="160"/>
      <c r="L65" s="70"/>
    </row>
    <row r="66" spans="1:16" s="2" customFormat="1" x14ac:dyDescent="0.2">
      <c r="A66" s="89" t="s">
        <v>2225</v>
      </c>
      <c r="B66" s="128" t="s">
        <v>11</v>
      </c>
      <c r="C66" s="181" t="s">
        <v>15</v>
      </c>
      <c r="D66" s="11" t="s">
        <v>29</v>
      </c>
      <c r="E66" s="86"/>
      <c r="F66" s="2">
        <v>230201.62</v>
      </c>
      <c r="G66" s="23"/>
      <c r="H66" s="23"/>
      <c r="I66" s="159"/>
      <c r="J66" s="160"/>
      <c r="K66" s="160"/>
      <c r="L66" s="70"/>
    </row>
    <row r="67" spans="1:16" s="2" customFormat="1" x14ac:dyDescent="0.2">
      <c r="A67" s="89" t="s">
        <v>2225</v>
      </c>
      <c r="B67" s="128" t="s">
        <v>11</v>
      </c>
      <c r="C67" s="181" t="s">
        <v>64</v>
      </c>
      <c r="D67" s="11" t="s">
        <v>29</v>
      </c>
      <c r="E67" s="86"/>
      <c r="F67" s="2">
        <v>3835</v>
      </c>
      <c r="G67" s="23"/>
      <c r="H67" s="23"/>
      <c r="I67" s="159"/>
      <c r="J67" s="160"/>
      <c r="K67" s="160"/>
      <c r="L67" s="70"/>
    </row>
    <row r="68" spans="1:16" s="2" customFormat="1" x14ac:dyDescent="0.2">
      <c r="A68" s="89" t="s">
        <v>2225</v>
      </c>
      <c r="B68" s="128" t="s">
        <v>11</v>
      </c>
      <c r="C68" s="181" t="s">
        <v>1849</v>
      </c>
      <c r="D68" s="11" t="s">
        <v>29</v>
      </c>
      <c r="E68" s="86"/>
      <c r="F68" s="2">
        <v>462261</v>
      </c>
      <c r="G68" s="23"/>
      <c r="H68" s="23"/>
      <c r="I68" s="159"/>
      <c r="J68" s="160"/>
      <c r="K68" s="160"/>
      <c r="L68" s="70"/>
    </row>
    <row r="69" spans="1:16" s="2" customFormat="1" x14ac:dyDescent="0.2">
      <c r="A69" s="89" t="s">
        <v>2225</v>
      </c>
      <c r="B69" s="128" t="s">
        <v>11</v>
      </c>
      <c r="C69" s="181" t="s">
        <v>2132</v>
      </c>
      <c r="D69" s="11" t="s">
        <v>29</v>
      </c>
      <c r="E69" s="86"/>
      <c r="F69" s="2">
        <v>472044</v>
      </c>
      <c r="G69" s="23"/>
      <c r="H69" s="23"/>
      <c r="I69" s="159"/>
      <c r="J69" s="160"/>
      <c r="K69" s="160"/>
      <c r="L69" s="70"/>
    </row>
    <row r="70" spans="1:16" s="2" customFormat="1" x14ac:dyDescent="0.2">
      <c r="A70" s="89" t="s">
        <v>2225</v>
      </c>
      <c r="B70" s="128" t="s">
        <v>11</v>
      </c>
      <c r="C70" s="181" t="s">
        <v>1893</v>
      </c>
      <c r="D70" s="11" t="s">
        <v>29</v>
      </c>
      <c r="E70" s="86"/>
      <c r="F70" s="2">
        <v>3414087.99</v>
      </c>
      <c r="G70" s="23"/>
      <c r="H70" s="23"/>
      <c r="I70" s="159"/>
      <c r="J70" s="160"/>
      <c r="K70" s="160"/>
      <c r="L70" s="70"/>
    </row>
    <row r="71" spans="1:16" s="2" customFormat="1" x14ac:dyDescent="0.2">
      <c r="A71" s="89" t="s">
        <v>2225</v>
      </c>
      <c r="B71" s="128" t="s">
        <v>11</v>
      </c>
      <c r="C71" s="181" t="s">
        <v>107</v>
      </c>
      <c r="D71" s="11" t="s">
        <v>29</v>
      </c>
      <c r="E71" s="86"/>
      <c r="F71" s="2">
        <v>900328.42</v>
      </c>
      <c r="G71" s="23"/>
      <c r="H71" s="23"/>
      <c r="I71" s="159"/>
      <c r="J71" s="160"/>
      <c r="K71" s="160"/>
      <c r="L71" s="70"/>
    </row>
    <row r="72" spans="1:16" s="2" customFormat="1" x14ac:dyDescent="0.2">
      <c r="A72" s="89" t="s">
        <v>2225</v>
      </c>
      <c r="B72" s="128" t="s">
        <v>11</v>
      </c>
      <c r="C72" s="181" t="s">
        <v>260</v>
      </c>
      <c r="D72" s="11" t="s">
        <v>29</v>
      </c>
      <c r="E72" s="86"/>
      <c r="F72" s="2">
        <v>2460590.96</v>
      </c>
      <c r="G72" s="23"/>
      <c r="H72" s="23"/>
      <c r="I72" s="159"/>
      <c r="J72" s="160"/>
      <c r="K72" s="160"/>
      <c r="L72" s="70"/>
    </row>
    <row r="73" spans="1:16" s="2" customFormat="1" x14ac:dyDescent="0.2">
      <c r="A73" s="89" t="s">
        <v>2225</v>
      </c>
      <c r="B73" s="128" t="s">
        <v>11</v>
      </c>
      <c r="C73" s="181" t="s">
        <v>754</v>
      </c>
      <c r="D73" s="11" t="s">
        <v>29</v>
      </c>
      <c r="E73" s="86"/>
      <c r="F73" s="2">
        <v>2022133.18</v>
      </c>
      <c r="G73" s="23"/>
      <c r="H73" s="23"/>
      <c r="I73" s="159"/>
      <c r="J73" s="160"/>
      <c r="K73" s="160"/>
      <c r="L73" s="70"/>
    </row>
    <row r="74" spans="1:16" s="2" customFormat="1" x14ac:dyDescent="0.2">
      <c r="A74" s="89" t="s">
        <v>2225</v>
      </c>
      <c r="B74" s="128" t="s">
        <v>11</v>
      </c>
      <c r="C74" s="181" t="s">
        <v>1979</v>
      </c>
      <c r="D74" s="11" t="s">
        <v>29</v>
      </c>
      <c r="E74" s="86"/>
      <c r="F74" s="2">
        <v>100448.71</v>
      </c>
      <c r="G74" s="23"/>
      <c r="H74" s="23"/>
      <c r="I74" s="159"/>
      <c r="J74" s="160"/>
      <c r="K74" s="160"/>
      <c r="L74" s="70"/>
    </row>
    <row r="75" spans="1:16" s="70" customFormat="1" x14ac:dyDescent="0.2">
      <c r="A75" s="32"/>
      <c r="B75" s="33"/>
      <c r="C75" s="14"/>
      <c r="D75" s="34"/>
      <c r="E75" s="16">
        <f>SUM(E43:E74)</f>
        <v>32789275.509999998</v>
      </c>
      <c r="F75" s="16">
        <f>SUM(F43:F74)</f>
        <v>44246547.629999913</v>
      </c>
      <c r="G75" s="1"/>
      <c r="H75" s="1"/>
      <c r="I75" s="1"/>
      <c r="J75" s="38">
        <v>11457272.119999999</v>
      </c>
      <c r="K75" s="2"/>
      <c r="L75" s="92">
        <f>E76-J75</f>
        <v>-8.3819031715393066E-8</v>
      </c>
      <c r="M75" s="2"/>
      <c r="N75" s="2"/>
      <c r="O75" s="2"/>
      <c r="P75" s="2"/>
    </row>
    <row r="76" spans="1:16" s="70" customFormat="1" x14ac:dyDescent="0.2">
      <c r="A76" s="36"/>
      <c r="B76" s="28" t="s">
        <v>11</v>
      </c>
      <c r="C76" s="19" t="s">
        <v>65</v>
      </c>
      <c r="D76" s="37"/>
      <c r="E76" s="38">
        <f>F75-E75</f>
        <v>11457272.119999915</v>
      </c>
      <c r="F76" s="22"/>
      <c r="G76" s="1"/>
      <c r="H76" s="1"/>
      <c r="I76" s="1"/>
      <c r="M76" s="2"/>
      <c r="N76" s="2"/>
      <c r="O76" s="1"/>
      <c r="P76" s="2"/>
    </row>
    <row r="77" spans="1:16" s="70" customFormat="1" x14ac:dyDescent="0.2">
      <c r="A77" s="36"/>
      <c r="B77" s="28" t="s">
        <v>66</v>
      </c>
      <c r="C77" s="19" t="s">
        <v>67</v>
      </c>
      <c r="D77" s="37"/>
      <c r="E77" s="38">
        <v>11500000</v>
      </c>
      <c r="F77" s="22"/>
      <c r="G77" s="1"/>
      <c r="H77" s="1"/>
      <c r="M77" s="2"/>
      <c r="N77" s="2"/>
      <c r="O77" s="1"/>
      <c r="P77" s="2"/>
    </row>
    <row r="78" spans="1:16" s="70" customFormat="1" x14ac:dyDescent="0.2">
      <c r="A78" s="36"/>
      <c r="B78" s="28" t="s">
        <v>66</v>
      </c>
      <c r="C78" s="43" t="s">
        <v>1457</v>
      </c>
      <c r="D78" s="43"/>
      <c r="E78" s="12">
        <f>400000000</f>
        <v>400000000</v>
      </c>
      <c r="F78" s="22"/>
      <c r="G78" s="1"/>
      <c r="H78" s="1"/>
      <c r="J78" s="45">
        <v>1383.23</v>
      </c>
      <c r="K78" s="46"/>
      <c r="L78" s="46"/>
      <c r="M78" s="2"/>
      <c r="N78" s="2"/>
      <c r="O78" s="1"/>
      <c r="P78" s="2"/>
    </row>
    <row r="79" spans="1:16" s="70" customFormat="1" ht="15" x14ac:dyDescent="0.25">
      <c r="A79" s="36"/>
      <c r="B79" s="28"/>
      <c r="C79" s="44" t="s">
        <v>1541</v>
      </c>
      <c r="D79" s="43"/>
      <c r="E79" s="7">
        <f>+E78+E76+E77</f>
        <v>422957272.11999989</v>
      </c>
      <c r="F79" s="22"/>
      <c r="G79" s="1"/>
      <c r="H79" s="1"/>
      <c r="I79" s="103" t="s">
        <v>69</v>
      </c>
      <c r="J79" s="45">
        <v>-6.43</v>
      </c>
      <c r="K79" s="46"/>
      <c r="L79" s="46"/>
      <c r="M79" s="2"/>
      <c r="N79" s="2"/>
      <c r="O79" s="1"/>
      <c r="P79" s="2"/>
    </row>
    <row r="80" spans="1:16" s="70" customFormat="1" ht="15" x14ac:dyDescent="0.25">
      <c r="A80" s="24"/>
      <c r="B80" s="1"/>
      <c r="C80" s="44" t="s">
        <v>1510</v>
      </c>
      <c r="D80" s="25"/>
      <c r="E80" s="156">
        <f>+J42-E77+I38-J38</f>
        <v>77042727.88000001</v>
      </c>
      <c r="F80" s="2"/>
      <c r="G80" s="1"/>
      <c r="H80" s="1"/>
      <c r="I80" s="35">
        <v>1</v>
      </c>
      <c r="J80" s="45">
        <v>0</v>
      </c>
      <c r="K80" s="46">
        <f>+J81-D83</f>
        <v>192.74</v>
      </c>
      <c r="L80" s="2"/>
      <c r="M80" s="2"/>
      <c r="N80" s="2"/>
      <c r="O80" s="1"/>
      <c r="P80" s="2"/>
    </row>
    <row r="81" spans="1:19" s="70" customFormat="1" ht="12.75" customHeight="1" x14ac:dyDescent="0.2">
      <c r="A81" s="24"/>
      <c r="B81" s="1"/>
      <c r="C81" s="56"/>
      <c r="D81" s="56"/>
      <c r="E81" s="104"/>
      <c r="F81" s="2"/>
      <c r="G81" s="166"/>
      <c r="H81" s="166"/>
      <c r="J81" s="49">
        <f>SUM(J78:J80)</f>
        <v>1376.8</v>
      </c>
      <c r="K81" s="46"/>
      <c r="L81" s="46"/>
      <c r="M81" s="124"/>
      <c r="N81" s="124"/>
      <c r="O81" s="1"/>
      <c r="P81" s="2"/>
    </row>
    <row r="82" spans="1:19" s="70" customFormat="1" ht="12.75" customHeight="1" x14ac:dyDescent="0.2">
      <c r="A82" s="24"/>
      <c r="B82" s="1"/>
      <c r="C82" s="78" t="s">
        <v>575</v>
      </c>
      <c r="D82" s="48" t="s">
        <v>576</v>
      </c>
      <c r="E82" s="104"/>
      <c r="F82" s="2"/>
      <c r="G82" s="168"/>
      <c r="H82" s="168"/>
      <c r="I82" s="167"/>
      <c r="J82" s="167"/>
      <c r="K82" s="168"/>
      <c r="L82" s="124"/>
      <c r="M82" s="124"/>
      <c r="N82" s="124"/>
      <c r="O82" s="124"/>
      <c r="P82" s="2"/>
    </row>
    <row r="83" spans="1:19" s="70" customFormat="1" ht="12.75" customHeight="1" x14ac:dyDescent="0.2">
      <c r="A83" s="24"/>
      <c r="B83" s="1"/>
      <c r="C83" s="47" t="s">
        <v>570</v>
      </c>
      <c r="D83" s="111">
        <v>1184.06</v>
      </c>
      <c r="E83" s="104"/>
      <c r="F83" s="2"/>
      <c r="G83" s="168"/>
      <c r="H83" s="168"/>
      <c r="I83" s="110" t="s">
        <v>581</v>
      </c>
      <c r="J83" s="167"/>
      <c r="K83" s="168"/>
      <c r="L83" s="124"/>
      <c r="M83" s="124"/>
      <c r="N83" s="124"/>
      <c r="O83" s="124"/>
      <c r="P83" s="124"/>
    </row>
    <row r="84" spans="1:19" s="70" customFormat="1" ht="12.75" customHeight="1" x14ac:dyDescent="0.2">
      <c r="A84" s="24"/>
      <c r="B84" s="1"/>
      <c r="C84" s="47" t="s">
        <v>931</v>
      </c>
      <c r="D84" s="111">
        <v>135.16</v>
      </c>
      <c r="E84" s="104"/>
      <c r="F84" s="2"/>
      <c r="G84" s="168"/>
      <c r="H84" s="168"/>
      <c r="I84" s="110" t="s">
        <v>580</v>
      </c>
      <c r="J84" s="167"/>
      <c r="K84" s="168"/>
      <c r="L84" s="124"/>
      <c r="M84" s="124"/>
      <c r="N84" s="124"/>
      <c r="O84" s="124"/>
      <c r="P84" s="124"/>
    </row>
    <row r="85" spans="1:19" s="70" customFormat="1" ht="12.75" customHeight="1" x14ac:dyDescent="0.2">
      <c r="A85" s="24"/>
      <c r="B85" s="1"/>
      <c r="C85" s="47" t="s">
        <v>572</v>
      </c>
      <c r="D85" s="111">
        <f>+D118/100000</f>
        <v>315.90059000000002</v>
      </c>
      <c r="E85" s="104"/>
      <c r="F85" s="2"/>
      <c r="G85" s="166"/>
      <c r="H85" s="166"/>
      <c r="I85" s="90" t="s">
        <v>587</v>
      </c>
      <c r="J85" s="167"/>
      <c r="K85" s="168"/>
      <c r="L85" s="124"/>
      <c r="M85" s="124"/>
      <c r="N85" s="124"/>
      <c r="O85" s="124"/>
      <c r="P85" s="124"/>
    </row>
    <row r="86" spans="1:19" s="70" customFormat="1" ht="12.75" customHeight="1" x14ac:dyDescent="0.2">
      <c r="A86" s="24"/>
      <c r="B86" s="1"/>
      <c r="C86" s="108" t="s">
        <v>578</v>
      </c>
      <c r="D86" s="48">
        <f>SUM(D83:D85)</f>
        <v>1635.12059</v>
      </c>
      <c r="E86" s="104"/>
      <c r="F86" s="2"/>
      <c r="G86" s="30"/>
      <c r="H86" s="30"/>
      <c r="I86" s="2"/>
      <c r="J86" s="13"/>
      <c r="K86" s="13"/>
      <c r="L86" s="2"/>
      <c r="M86" s="2"/>
      <c r="N86" s="2"/>
      <c r="O86" s="124"/>
      <c r="P86" s="124"/>
    </row>
    <row r="87" spans="1:19" s="70" customFormat="1" ht="12.75" customHeight="1" x14ac:dyDescent="0.2">
      <c r="A87" s="24"/>
      <c r="B87" s="1"/>
      <c r="C87" s="47"/>
      <c r="D87" s="107"/>
      <c r="E87" s="104"/>
      <c r="F87" s="2"/>
      <c r="G87" s="30"/>
      <c r="H87" s="30"/>
      <c r="I87" s="2"/>
      <c r="O87" s="2"/>
      <c r="P87" s="124"/>
    </row>
    <row r="88" spans="1:19" s="70" customFormat="1" ht="12.75" customHeight="1" x14ac:dyDescent="0.2">
      <c r="A88" s="24"/>
      <c r="B88" s="1"/>
      <c r="C88" s="47" t="s">
        <v>932</v>
      </c>
      <c r="D88" s="111">
        <v>380.41</v>
      </c>
      <c r="E88" s="104"/>
      <c r="F88" s="2"/>
      <c r="G88" s="30"/>
      <c r="H88" s="30"/>
      <c r="I88" s="110" t="s">
        <v>581</v>
      </c>
      <c r="P88" s="2"/>
    </row>
    <row r="89" spans="1:19" s="70" customFormat="1" ht="12.75" customHeight="1" x14ac:dyDescent="0.2">
      <c r="A89" s="24"/>
      <c r="B89" s="1"/>
      <c r="C89" s="136" t="s">
        <v>1142</v>
      </c>
      <c r="D89" s="111">
        <v>465.19</v>
      </c>
      <c r="E89" s="104"/>
      <c r="F89" s="2"/>
      <c r="G89" s="30"/>
      <c r="H89" s="30"/>
      <c r="I89" s="110" t="s">
        <v>581</v>
      </c>
    </row>
    <row r="90" spans="1:19" s="70" customFormat="1" ht="12.75" customHeight="1" x14ac:dyDescent="0.2">
      <c r="A90" s="24"/>
      <c r="B90" s="1"/>
      <c r="C90" s="78" t="s">
        <v>579</v>
      </c>
      <c r="D90" s="109">
        <f>D88+D89</f>
        <v>845.6</v>
      </c>
      <c r="E90" s="104"/>
      <c r="F90" s="2"/>
      <c r="G90" s="30"/>
      <c r="H90" s="30"/>
      <c r="Q90" s="2"/>
      <c r="R90" s="2"/>
      <c r="S90" s="2"/>
    </row>
    <row r="91" spans="1:19" s="2" customFormat="1" x14ac:dyDescent="0.2">
      <c r="A91" s="24"/>
      <c r="B91" s="1"/>
      <c r="C91" s="105"/>
      <c r="D91" s="106"/>
      <c r="E91" s="104"/>
      <c r="G91" s="30"/>
      <c r="H91" s="30"/>
      <c r="I91" s="70"/>
      <c r="K91" s="221" t="str">
        <f>"FROM ( 01-03-2024 to "&amp;TEXT(A5,"dd-mm-yyyy")&amp;" )"</f>
        <v>FROM ( 01-03-2024 to 15-03-2024 )</v>
      </c>
      <c r="L91" s="221"/>
      <c r="O91" s="70"/>
      <c r="P91" s="70"/>
    </row>
    <row r="92" spans="1:19" s="2" customFormat="1" x14ac:dyDescent="0.2">
      <c r="A92" s="24"/>
      <c r="B92" s="1"/>
      <c r="C92" s="78" t="s">
        <v>577</v>
      </c>
      <c r="D92" s="109">
        <f>D83+D90</f>
        <v>2029.6599999999999</v>
      </c>
      <c r="E92" s="104"/>
      <c r="G92" s="30"/>
      <c r="H92" s="30"/>
      <c r="I92" s="70"/>
      <c r="J92" s="113"/>
      <c r="K92" s="113" t="s">
        <v>709</v>
      </c>
      <c r="L92" s="113" t="s">
        <v>710</v>
      </c>
      <c r="M92" s="113" t="s">
        <v>711</v>
      </c>
      <c r="N92" s="113" t="s">
        <v>712</v>
      </c>
      <c r="O92" s="70"/>
      <c r="P92" s="70"/>
    </row>
    <row r="93" spans="1:19" s="2" customFormat="1" x14ac:dyDescent="0.2">
      <c r="A93" s="24"/>
      <c r="B93" s="1"/>
      <c r="C93" s="56"/>
      <c r="D93" s="56"/>
      <c r="E93" s="104"/>
      <c r="G93" s="30"/>
      <c r="H93" s="30"/>
      <c r="I93" s="70"/>
      <c r="J93" s="113" t="s">
        <v>1860</v>
      </c>
      <c r="K93" s="115">
        <v>195.8</v>
      </c>
      <c r="L93" s="115">
        <v>0</v>
      </c>
      <c r="M93" s="115">
        <v>0</v>
      </c>
      <c r="N93" s="113">
        <f>+K93+M93-L93</f>
        <v>195.8</v>
      </c>
      <c r="O93" s="70"/>
      <c r="P93" s="70"/>
    </row>
    <row r="94" spans="1:19" s="2" customFormat="1" ht="38.25" x14ac:dyDescent="0.2">
      <c r="A94" s="24"/>
      <c r="B94" s="1"/>
      <c r="C94" s="79" t="str">
        <f>"Particulars ( 01-03-2024 to "&amp;TEXT(A5,"dd-mm-yyyy")&amp;" )"</f>
        <v>Particulars ( 01-03-2024 to 15-03-2024 )</v>
      </c>
      <c r="D94" s="79" t="s">
        <v>7</v>
      </c>
      <c r="E94" s="80" t="s">
        <v>73</v>
      </c>
      <c r="F94" s="80" t="s">
        <v>74</v>
      </c>
      <c r="G94" s="81" t="s">
        <v>75</v>
      </c>
      <c r="H94" s="80" t="s">
        <v>76</v>
      </c>
      <c r="I94" s="70"/>
      <c r="J94" s="113" t="s">
        <v>1861</v>
      </c>
      <c r="K94" s="115">
        <v>1882.55</v>
      </c>
      <c r="L94" s="115">
        <v>315.89999999999998</v>
      </c>
      <c r="M94" s="115">
        <v>465.19</v>
      </c>
      <c r="N94" s="113">
        <f>+K94+M94-L94</f>
        <v>2031.8399999999997</v>
      </c>
      <c r="O94" s="70"/>
      <c r="P94" s="70"/>
    </row>
    <row r="95" spans="1:19" s="2" customFormat="1" x14ac:dyDescent="0.2">
      <c r="A95" s="24"/>
      <c r="B95" s="1"/>
      <c r="C95" s="50" t="s">
        <v>444</v>
      </c>
      <c r="D95" s="55">
        <f>+K95</f>
        <v>463.26</v>
      </c>
      <c r="E95" s="55">
        <f>+IF(M95=0,0,M95)</f>
        <v>380.41</v>
      </c>
      <c r="F95" s="55">
        <f>+L95</f>
        <v>135.16</v>
      </c>
      <c r="G95" s="55">
        <f>+D95+E95-F95</f>
        <v>708.5100000000001</v>
      </c>
      <c r="H95" s="55">
        <f>1500-G95</f>
        <v>791.4899999999999</v>
      </c>
      <c r="I95" s="70">
        <f>+IF(M95=0,0,M95)</f>
        <v>380.41</v>
      </c>
      <c r="J95" s="113" t="s">
        <v>707</v>
      </c>
      <c r="K95" s="115">
        <v>463.26</v>
      </c>
      <c r="L95" s="115">
        <v>135.16</v>
      </c>
      <c r="M95" s="115">
        <v>380.41</v>
      </c>
      <c r="N95" s="113">
        <f>+K95+M95-L95</f>
        <v>708.5100000000001</v>
      </c>
      <c r="O95" s="70"/>
      <c r="P95" s="70"/>
    </row>
    <row r="96" spans="1:19" s="2" customFormat="1" x14ac:dyDescent="0.2">
      <c r="A96" s="24"/>
      <c r="B96" s="1"/>
      <c r="C96" s="50" t="s">
        <v>71</v>
      </c>
      <c r="D96" s="55">
        <f>+K93+K94</f>
        <v>2078.35</v>
      </c>
      <c r="E96" s="55">
        <f>+M93+M94</f>
        <v>465.19</v>
      </c>
      <c r="F96" s="55">
        <f>+L93+L94</f>
        <v>315.89999999999998</v>
      </c>
      <c r="G96" s="55">
        <f>+D96+E96-F96</f>
        <v>2227.64</v>
      </c>
      <c r="H96" s="55">
        <f>1500+700+200-G96</f>
        <v>172.36000000000013</v>
      </c>
      <c r="I96" s="70"/>
      <c r="K96" s="118">
        <f>SUM(K93:K95)</f>
        <v>2541.6099999999997</v>
      </c>
      <c r="L96" s="118">
        <f>SUM(L93:L95)</f>
        <v>451.05999999999995</v>
      </c>
      <c r="M96" s="118">
        <f>SUM(M93:M95)</f>
        <v>845.6</v>
      </c>
      <c r="N96" s="118">
        <f>SUM(N93:N95)</f>
        <v>2936.15</v>
      </c>
      <c r="O96" s="70"/>
      <c r="P96" s="70"/>
    </row>
    <row r="97" spans="1:16" s="2" customFormat="1" x14ac:dyDescent="0.2">
      <c r="A97" s="24"/>
      <c r="B97" s="1"/>
      <c r="C97" s="14"/>
      <c r="D97" s="56"/>
      <c r="E97" s="13"/>
      <c r="G97" s="30"/>
      <c r="H97" s="30"/>
      <c r="I97" s="70"/>
      <c r="J97" s="70"/>
      <c r="K97" s="70"/>
      <c r="L97" s="70"/>
      <c r="M97" s="70"/>
      <c r="N97" s="70"/>
      <c r="O97" s="70"/>
      <c r="P97" s="70"/>
    </row>
    <row r="98" spans="1:16" s="2" customFormat="1" x14ac:dyDescent="0.2">
      <c r="A98" s="215" t="s">
        <v>80</v>
      </c>
      <c r="B98" s="216"/>
      <c r="C98" s="216"/>
      <c r="D98" s="217"/>
      <c r="E98" s="69"/>
      <c r="F98" s="70"/>
      <c r="G98" s="30"/>
      <c r="H98" s="30"/>
      <c r="I98" s="70"/>
      <c r="J98" s="70"/>
      <c r="K98" s="70"/>
      <c r="L98" s="70"/>
      <c r="M98" s="70"/>
      <c r="N98" s="70"/>
      <c r="O98" s="70"/>
      <c r="P98" s="70"/>
    </row>
    <row r="99" spans="1:16" s="2" customFormat="1" x14ac:dyDescent="0.2">
      <c r="A99" s="71" t="s">
        <v>81</v>
      </c>
      <c r="B99" s="71"/>
      <c r="C99" s="72" t="s">
        <v>82</v>
      </c>
      <c r="D99" s="73" t="s">
        <v>83</v>
      </c>
      <c r="E99" s="69"/>
      <c r="F99" s="70"/>
      <c r="G99" s="30"/>
      <c r="H99" s="30"/>
      <c r="I99" s="70"/>
      <c r="J99" s="70"/>
      <c r="K99" s="70"/>
      <c r="L99" s="70"/>
      <c r="M99" s="70"/>
      <c r="N99" s="70"/>
      <c r="O99" s="70"/>
      <c r="P99" s="70"/>
    </row>
    <row r="100" spans="1:16" s="2" customFormat="1" x14ac:dyDescent="0.2">
      <c r="A100" s="87">
        <v>45352</v>
      </c>
      <c r="B100" s="120" t="s">
        <v>6</v>
      </c>
      <c r="C100" s="75" t="s">
        <v>2165</v>
      </c>
      <c r="D100" s="88">
        <v>2143144</v>
      </c>
      <c r="G100" s="30"/>
      <c r="H100" s="30"/>
      <c r="P100" s="70"/>
    </row>
    <row r="101" spans="1:16" s="2" customFormat="1" x14ac:dyDescent="0.2">
      <c r="A101" s="87">
        <v>45352</v>
      </c>
      <c r="B101" s="120" t="s">
        <v>6</v>
      </c>
      <c r="C101" s="75" t="s">
        <v>2171</v>
      </c>
      <c r="D101" s="88">
        <v>1493463</v>
      </c>
      <c r="G101" s="30"/>
      <c r="H101" s="30"/>
      <c r="P101" s="70"/>
    </row>
    <row r="102" spans="1:16" s="2" customFormat="1" x14ac:dyDescent="0.2">
      <c r="A102" s="87">
        <v>45356</v>
      </c>
      <c r="B102" s="120" t="s">
        <v>6</v>
      </c>
      <c r="C102" s="75" t="s">
        <v>1988</v>
      </c>
      <c r="D102" s="88">
        <v>3111466</v>
      </c>
      <c r="G102" s="30"/>
      <c r="H102" s="30"/>
      <c r="P102" s="70"/>
    </row>
    <row r="103" spans="1:16" s="2" customFormat="1" x14ac:dyDescent="0.2">
      <c r="A103" s="87">
        <v>45357</v>
      </c>
      <c r="B103" s="120" t="s">
        <v>6</v>
      </c>
      <c r="C103" s="75" t="s">
        <v>2171</v>
      </c>
      <c r="D103" s="88">
        <v>1393433</v>
      </c>
      <c r="G103" s="30"/>
      <c r="H103" s="30"/>
      <c r="P103" s="70"/>
    </row>
    <row r="104" spans="1:16" s="2" customFormat="1" x14ac:dyDescent="0.2">
      <c r="A104" s="87">
        <v>45356</v>
      </c>
      <c r="B104" s="120" t="s">
        <v>6</v>
      </c>
      <c r="C104" s="75" t="s">
        <v>2171</v>
      </c>
      <c r="D104" s="88">
        <v>1369091</v>
      </c>
      <c r="G104" s="30"/>
      <c r="H104" s="30"/>
      <c r="P104" s="70"/>
    </row>
    <row r="105" spans="1:16" s="2" customFormat="1" x14ac:dyDescent="0.2">
      <c r="A105" s="87">
        <v>45359</v>
      </c>
      <c r="B105" s="120" t="s">
        <v>6</v>
      </c>
      <c r="C105" s="75" t="s">
        <v>2171</v>
      </c>
      <c r="D105" s="88">
        <v>730944</v>
      </c>
      <c r="G105" s="30"/>
      <c r="H105" s="30"/>
      <c r="P105" s="70"/>
    </row>
    <row r="106" spans="1:16" s="2" customFormat="1" x14ac:dyDescent="0.2">
      <c r="A106" s="87">
        <v>45359</v>
      </c>
      <c r="B106" s="120" t="s">
        <v>6</v>
      </c>
      <c r="C106" s="75" t="s">
        <v>767</v>
      </c>
      <c r="D106" s="88">
        <v>19228</v>
      </c>
      <c r="G106" s="30"/>
      <c r="H106" s="30"/>
      <c r="P106" s="70"/>
    </row>
    <row r="107" spans="1:16" s="2" customFormat="1" x14ac:dyDescent="0.2">
      <c r="A107" s="87">
        <v>45362</v>
      </c>
      <c r="B107" s="120" t="s">
        <v>6</v>
      </c>
      <c r="C107" s="75" t="s">
        <v>1806</v>
      </c>
      <c r="D107" s="88">
        <v>2568137</v>
      </c>
      <c r="G107" s="30"/>
      <c r="H107" s="30"/>
      <c r="P107" s="70"/>
    </row>
    <row r="108" spans="1:16" s="2" customFormat="1" x14ac:dyDescent="0.2">
      <c r="A108" s="87">
        <v>45362</v>
      </c>
      <c r="B108" s="120" t="s">
        <v>6</v>
      </c>
      <c r="C108" s="75" t="s">
        <v>784</v>
      </c>
      <c r="D108" s="88">
        <v>39949</v>
      </c>
      <c r="G108" s="30"/>
      <c r="H108" s="30"/>
      <c r="P108" s="70"/>
    </row>
    <row r="109" spans="1:16" s="2" customFormat="1" x14ac:dyDescent="0.2">
      <c r="A109" s="87">
        <v>45362</v>
      </c>
      <c r="B109" s="120" t="s">
        <v>6</v>
      </c>
      <c r="C109" s="75" t="s">
        <v>784</v>
      </c>
      <c r="D109" s="88">
        <v>219691</v>
      </c>
      <c r="G109" s="30"/>
      <c r="H109" s="30"/>
      <c r="P109" s="70"/>
    </row>
    <row r="110" spans="1:16" s="2" customFormat="1" x14ac:dyDescent="0.2">
      <c r="A110" s="87">
        <v>45363</v>
      </c>
      <c r="B110" s="120" t="s">
        <v>6</v>
      </c>
      <c r="C110" s="75" t="s">
        <v>2171</v>
      </c>
      <c r="D110" s="88">
        <v>952416</v>
      </c>
      <c r="G110" s="30"/>
      <c r="H110" s="30"/>
      <c r="P110" s="70"/>
    </row>
    <row r="111" spans="1:16" s="2" customFormat="1" x14ac:dyDescent="0.2">
      <c r="A111" s="87">
        <v>45363</v>
      </c>
      <c r="B111" s="120" t="s">
        <v>6</v>
      </c>
      <c r="C111" s="75" t="s">
        <v>767</v>
      </c>
      <c r="D111" s="88">
        <v>591483</v>
      </c>
      <c r="G111" s="30"/>
      <c r="H111" s="30"/>
      <c r="P111" s="70"/>
    </row>
    <row r="112" spans="1:16" s="2" customFormat="1" x14ac:dyDescent="0.2">
      <c r="A112" s="87">
        <v>45364</v>
      </c>
      <c r="B112" s="120" t="s">
        <v>6</v>
      </c>
      <c r="C112" s="75" t="s">
        <v>784</v>
      </c>
      <c r="D112" s="88">
        <v>701638</v>
      </c>
      <c r="G112" s="30"/>
      <c r="H112" s="30"/>
      <c r="P112" s="70"/>
    </row>
    <row r="113" spans="1:16" s="2" customFormat="1" x14ac:dyDescent="0.2">
      <c r="A113" s="87">
        <v>45364</v>
      </c>
      <c r="B113" s="120" t="s">
        <v>6</v>
      </c>
      <c r="C113" s="75" t="s">
        <v>2221</v>
      </c>
      <c r="D113" s="88">
        <v>1887871</v>
      </c>
      <c r="G113" s="30"/>
      <c r="H113" s="30"/>
      <c r="P113" s="70"/>
    </row>
    <row r="114" spans="1:16" s="2" customFormat="1" x14ac:dyDescent="0.2">
      <c r="A114" s="87">
        <v>45366</v>
      </c>
      <c r="B114" s="120" t="s">
        <v>6</v>
      </c>
      <c r="C114" s="75" t="s">
        <v>1806</v>
      </c>
      <c r="D114" s="88">
        <v>6161756</v>
      </c>
      <c r="G114" s="30"/>
      <c r="H114" s="30"/>
      <c r="P114" s="70"/>
    </row>
    <row r="115" spans="1:16" s="2" customFormat="1" x14ac:dyDescent="0.2">
      <c r="A115" s="87">
        <v>45366</v>
      </c>
      <c r="B115" s="120" t="s">
        <v>6</v>
      </c>
      <c r="C115" s="75" t="s">
        <v>1806</v>
      </c>
      <c r="D115" s="88">
        <v>7500000</v>
      </c>
      <c r="G115" s="30"/>
      <c r="H115" s="30"/>
      <c r="P115" s="70"/>
    </row>
    <row r="116" spans="1:16" s="2" customFormat="1" x14ac:dyDescent="0.2">
      <c r="A116" s="87">
        <v>45366</v>
      </c>
      <c r="B116" s="120" t="s">
        <v>6</v>
      </c>
      <c r="C116" s="75" t="s">
        <v>784</v>
      </c>
      <c r="D116" s="88">
        <v>306349</v>
      </c>
      <c r="G116" s="30"/>
      <c r="H116" s="30"/>
      <c r="P116" s="70"/>
    </row>
    <row r="117" spans="1:16" s="2" customFormat="1" x14ac:dyDescent="0.2">
      <c r="A117" s="87">
        <v>45366</v>
      </c>
      <c r="B117" s="120" t="s">
        <v>6</v>
      </c>
      <c r="C117" s="75" t="s">
        <v>784</v>
      </c>
      <c r="D117" s="88">
        <v>400000</v>
      </c>
      <c r="G117" s="30"/>
      <c r="H117" s="30"/>
      <c r="P117" s="70"/>
    </row>
    <row r="118" spans="1:16" s="2" customFormat="1" x14ac:dyDescent="0.2">
      <c r="A118" s="87"/>
      <c r="B118" s="74"/>
      <c r="C118" s="183" t="s">
        <v>2141</v>
      </c>
      <c r="D118" s="51">
        <f>SUM(D100:D117)</f>
        <v>31590059</v>
      </c>
      <c r="F118" s="2" t="s">
        <v>396</v>
      </c>
      <c r="G118" s="1"/>
      <c r="H118" s="1"/>
      <c r="P118" s="70"/>
    </row>
    <row r="119" spans="1:16" s="2" customFormat="1" x14ac:dyDescent="0.2">
      <c r="A119" s="24"/>
      <c r="B119" s="1"/>
      <c r="C119" s="14"/>
      <c r="D119" s="56"/>
      <c r="E119" s="13"/>
      <c r="G119" s="1"/>
      <c r="H119" s="1"/>
      <c r="I119" s="2" t="s">
        <v>396</v>
      </c>
    </row>
    <row r="120" spans="1:16" s="2" customFormat="1" x14ac:dyDescent="0.2">
      <c r="A120" s="24"/>
      <c r="B120" s="1"/>
      <c r="C120" s="218" t="s">
        <v>77</v>
      </c>
      <c r="D120" s="219"/>
      <c r="E120" s="219"/>
      <c r="F120" s="220"/>
      <c r="I120" s="2" t="s">
        <v>396</v>
      </c>
    </row>
    <row r="121" spans="1:16" s="2" customFormat="1" x14ac:dyDescent="0.2">
      <c r="A121" s="24"/>
      <c r="B121" s="1"/>
      <c r="C121" s="50"/>
      <c r="D121" s="57" t="s">
        <v>78</v>
      </c>
      <c r="E121" s="58" t="s">
        <v>79</v>
      </c>
      <c r="F121" s="57" t="s">
        <v>72</v>
      </c>
    </row>
    <row r="122" spans="1:16" s="2" customFormat="1" x14ac:dyDescent="0.2">
      <c r="A122" s="24"/>
      <c r="B122" s="1"/>
      <c r="C122" s="59" t="str">
        <f>"01-03-2024 to "&amp;TEXT(A5-2,"dd-mm-yyyy")</f>
        <v>01-03-2024 to 13-03-2024</v>
      </c>
      <c r="D122" s="60">
        <v>2001.11</v>
      </c>
      <c r="E122" s="60">
        <v>300.92</v>
      </c>
      <c r="F122" s="61">
        <f>SUM(D122:E122)</f>
        <v>2302.0299999999997</v>
      </c>
      <c r="I122" s="53"/>
    </row>
    <row r="123" spans="1:16" s="2" customFormat="1" x14ac:dyDescent="0.2">
      <c r="A123" s="24"/>
      <c r="B123" s="1"/>
      <c r="C123" s="62" t="str">
        <f>TEXT(A5-1,"dd-mm-yyyy")</f>
        <v>14-03-2024</v>
      </c>
      <c r="D123" s="60">
        <v>116.65</v>
      </c>
      <c r="E123" s="60">
        <v>55.83</v>
      </c>
      <c r="F123" s="61">
        <f>SUM(D123:E123)</f>
        <v>172.48000000000002</v>
      </c>
      <c r="G123" s="1"/>
      <c r="H123" s="1"/>
      <c r="I123" s="53"/>
    </row>
    <row r="124" spans="1:16" s="2" customFormat="1" ht="13.5" thickBot="1" x14ac:dyDescent="0.25">
      <c r="A124" s="24"/>
      <c r="B124" s="1"/>
      <c r="C124" s="63" t="str">
        <f>"01-03-2024 to "&amp;TEXT(A5-1,"dd-mm-yyyy")</f>
        <v>01-03-2024 to 14-03-2024</v>
      </c>
      <c r="D124" s="64">
        <f>SUM(D122:D123)</f>
        <v>2117.7599999999998</v>
      </c>
      <c r="E124" s="64">
        <f>SUM(E122:E123)</f>
        <v>356.75</v>
      </c>
      <c r="F124" s="64">
        <f>SUM(F122:F123)</f>
        <v>2474.5099999999998</v>
      </c>
      <c r="G124" s="1"/>
      <c r="H124" s="1"/>
      <c r="M124" s="1"/>
      <c r="N124" s="1"/>
    </row>
    <row r="125" spans="1:16" s="2" customFormat="1" ht="13.5" thickTop="1" x14ac:dyDescent="0.2">
      <c r="A125" s="24"/>
      <c r="B125" s="1"/>
      <c r="C125" s="62"/>
      <c r="D125" s="65"/>
      <c r="E125" s="66"/>
      <c r="F125" s="67"/>
      <c r="M125" s="1"/>
      <c r="N125" s="1"/>
    </row>
    <row r="126" spans="1:16" s="2" customFormat="1" x14ac:dyDescent="0.2">
      <c r="A126" s="24"/>
      <c r="B126" s="1"/>
      <c r="C126" s="62" t="str">
        <f>"01-04-2023 to " &amp;C123</f>
        <v>01-04-2023 to 14-03-2024</v>
      </c>
      <c r="D126" s="68">
        <f>+D124+41133.42</f>
        <v>43251.18</v>
      </c>
      <c r="E126" s="68">
        <f>+E124+5183.37</f>
        <v>5540.12</v>
      </c>
      <c r="F126" s="68">
        <f>+F124+46316.49</f>
        <v>48791</v>
      </c>
      <c r="G126" s="1"/>
      <c r="H126" s="1"/>
      <c r="M126" s="1"/>
      <c r="N126" s="1"/>
    </row>
    <row r="127" spans="1:16" s="2" customFormat="1" x14ac:dyDescent="0.2">
      <c r="A127" s="24"/>
      <c r="B127" s="1"/>
      <c r="C127" s="52"/>
      <c r="D127" s="85"/>
      <c r="E127" s="53"/>
      <c r="F127" s="53"/>
      <c r="G127" s="1"/>
      <c r="H127" s="1"/>
      <c r="M127" s="1"/>
      <c r="N127" s="1"/>
    </row>
    <row r="128" spans="1:16" s="2" customFormat="1" x14ac:dyDescent="0.2">
      <c r="A128" s="24"/>
      <c r="B128" s="1"/>
      <c r="C128" s="52"/>
      <c r="D128" s="85"/>
      <c r="E128" s="53"/>
      <c r="F128" s="53"/>
      <c r="G128" s="1"/>
      <c r="H128" s="1"/>
      <c r="M128" s="1"/>
      <c r="N128" s="1"/>
    </row>
    <row r="129" spans="1:19" s="2" customFormat="1" x14ac:dyDescent="0.2">
      <c r="A129" s="24"/>
      <c r="B129" s="1"/>
      <c r="C129" s="52"/>
      <c r="D129" s="85"/>
      <c r="E129" s="53"/>
      <c r="F129" s="53"/>
      <c r="G129" s="1"/>
      <c r="H129" s="1"/>
      <c r="M129" s="1"/>
      <c r="N129" s="1"/>
    </row>
    <row r="130" spans="1:19" s="2" customFormat="1" x14ac:dyDescent="0.2">
      <c r="A130" s="24"/>
      <c r="B130" s="1"/>
      <c r="C130" s="52"/>
      <c r="D130" s="85"/>
      <c r="E130" s="53"/>
      <c r="F130" s="53"/>
      <c r="G130" s="1"/>
      <c r="H130" s="1"/>
      <c r="M130" s="1"/>
      <c r="N130" s="1"/>
    </row>
    <row r="131" spans="1:19" s="2" customFormat="1" x14ac:dyDescent="0.2">
      <c r="A131" s="24"/>
      <c r="B131" s="1"/>
      <c r="C131" s="14"/>
      <c r="D131" s="25">
        <f>SUM(D128:D130)</f>
        <v>0</v>
      </c>
      <c r="E131" s="2">
        <f>SUM(E128:E130)</f>
        <v>0</v>
      </c>
      <c r="G131" s="1"/>
      <c r="H131" s="1"/>
      <c r="M131" s="1"/>
      <c r="N131" s="1"/>
    </row>
    <row r="132" spans="1:19" s="2" customFormat="1" x14ac:dyDescent="0.2">
      <c r="A132" s="24"/>
      <c r="B132" s="1"/>
      <c r="C132" s="14"/>
      <c r="D132" s="25"/>
      <c r="G132" s="1"/>
      <c r="H132" s="1"/>
      <c r="M132" s="1"/>
      <c r="N132" s="1"/>
    </row>
    <row r="133" spans="1:19" s="2" customFormat="1" x14ac:dyDescent="0.2">
      <c r="A133" s="24"/>
      <c r="B133" s="1"/>
      <c r="C133" s="14"/>
      <c r="D133" s="25"/>
      <c r="G133" s="1"/>
      <c r="H133" s="1"/>
      <c r="M133" s="1"/>
      <c r="N133" s="1"/>
    </row>
    <row r="134" spans="1:19" s="2" customFormat="1" x14ac:dyDescent="0.2">
      <c r="A134" s="24"/>
      <c r="B134" s="1"/>
      <c r="C134" s="14"/>
      <c r="D134" s="25"/>
      <c r="G134" s="1"/>
      <c r="H134" s="1"/>
      <c r="M134" s="1"/>
      <c r="N134" s="1"/>
    </row>
    <row r="135" spans="1:19" s="2" customFormat="1" x14ac:dyDescent="0.2">
      <c r="A135" s="24"/>
      <c r="B135" s="1"/>
      <c r="C135" s="14"/>
      <c r="D135" s="25"/>
      <c r="G135" s="1"/>
      <c r="H135" s="1"/>
      <c r="M135" s="1"/>
      <c r="N135" s="1"/>
    </row>
    <row r="136" spans="1:19" s="2" customFormat="1" x14ac:dyDescent="0.2">
      <c r="A136" s="24"/>
      <c r="B136" s="1"/>
      <c r="C136" s="14"/>
      <c r="D136" s="25"/>
      <c r="G136" s="1"/>
      <c r="H136" s="1"/>
      <c r="M136" s="1"/>
      <c r="N136" s="1"/>
    </row>
    <row r="137" spans="1:19" s="2" customFormat="1" x14ac:dyDescent="0.2">
      <c r="A137" s="24"/>
      <c r="B137" s="1"/>
      <c r="C137" s="14"/>
      <c r="D137" s="25"/>
      <c r="G137" s="1"/>
      <c r="H137" s="1"/>
      <c r="M137" s="1"/>
      <c r="N137" s="1"/>
    </row>
    <row r="138" spans="1:19" s="2" customFormat="1" x14ac:dyDescent="0.2">
      <c r="A138" s="24"/>
      <c r="B138" s="1"/>
      <c r="C138" s="14"/>
      <c r="D138" s="25"/>
      <c r="G138" s="1"/>
      <c r="H138" s="1"/>
      <c r="M138" s="1"/>
      <c r="N138" s="1"/>
      <c r="Q138" s="1"/>
      <c r="R138" s="1"/>
      <c r="S138" s="1"/>
    </row>
    <row r="139" spans="1:19" x14ac:dyDescent="0.2">
      <c r="J139" s="2"/>
      <c r="K139" s="2"/>
      <c r="L139" s="2"/>
      <c r="O139" s="2"/>
      <c r="P139" s="2"/>
      <c r="Q139" s="2"/>
      <c r="R139" s="2"/>
      <c r="S139" s="2"/>
    </row>
    <row r="140" spans="1:19" s="2" customFormat="1" x14ac:dyDescent="0.2">
      <c r="A140" s="24"/>
      <c r="B140" s="1"/>
      <c r="C140" s="14"/>
      <c r="D140" s="25"/>
      <c r="G140" s="1"/>
      <c r="H140" s="1"/>
      <c r="M140" s="1"/>
      <c r="N140" s="1"/>
      <c r="Q140" s="1"/>
      <c r="R140" s="1"/>
      <c r="S140" s="1"/>
    </row>
    <row r="141" spans="1:19" x14ac:dyDescent="0.2">
      <c r="J141" s="2"/>
      <c r="K141" s="2"/>
      <c r="L141" s="2"/>
      <c r="O141" s="2"/>
      <c r="P141" s="2"/>
    </row>
    <row r="142" spans="1:19" x14ac:dyDescent="0.2">
      <c r="J142" s="2"/>
      <c r="K142" s="2"/>
      <c r="L142" s="2"/>
      <c r="O142" s="2"/>
      <c r="P142" s="2"/>
    </row>
    <row r="143" spans="1:19" x14ac:dyDescent="0.2">
      <c r="J143" s="2"/>
      <c r="K143" s="2"/>
      <c r="L143" s="2"/>
      <c r="O143" s="2"/>
      <c r="P143" s="2"/>
    </row>
    <row r="144" spans="1:19" x14ac:dyDescent="0.2">
      <c r="J144" s="2"/>
      <c r="K144" s="2"/>
      <c r="L144" s="2"/>
      <c r="O144" s="2"/>
      <c r="P144" s="2"/>
    </row>
    <row r="145" spans="7:16" x14ac:dyDescent="0.2">
      <c r="O145" s="2"/>
      <c r="P145" s="2"/>
    </row>
    <row r="146" spans="7:16" x14ac:dyDescent="0.2">
      <c r="J146" s="2"/>
      <c r="K146" s="2"/>
      <c r="L146" s="2"/>
      <c r="M146" s="2"/>
      <c r="N146" s="2"/>
      <c r="O146" s="2"/>
      <c r="P146" s="2"/>
    </row>
    <row r="147" spans="7:16" x14ac:dyDescent="0.2">
      <c r="O147" s="2"/>
      <c r="P147" s="2"/>
    </row>
    <row r="148" spans="7:16" x14ac:dyDescent="0.2">
      <c r="G148" s="54"/>
      <c r="H148" s="54"/>
      <c r="O148" s="2"/>
      <c r="P148" s="2"/>
    </row>
    <row r="149" spans="7:16" x14ac:dyDescent="0.2">
      <c r="G149" s="54"/>
      <c r="H149" s="54"/>
      <c r="O149" s="2"/>
      <c r="P149" s="2"/>
    </row>
    <row r="150" spans="7:16" x14ac:dyDescent="0.2">
      <c r="G150" s="54"/>
      <c r="H150" s="54"/>
      <c r="O150" s="2"/>
      <c r="P150" s="2"/>
    </row>
    <row r="151" spans="7:16" x14ac:dyDescent="0.2">
      <c r="G151" s="54"/>
      <c r="H151" s="54"/>
      <c r="I151" s="2" t="s">
        <v>396</v>
      </c>
      <c r="O151" s="2"/>
      <c r="P151" s="2"/>
    </row>
    <row r="152" spans="7:16" x14ac:dyDescent="0.2">
      <c r="G152" s="54"/>
      <c r="H152" s="54"/>
      <c r="I152" s="53"/>
      <c r="J152" s="2"/>
      <c r="K152" s="2"/>
      <c r="L152" s="2"/>
      <c r="M152" s="2"/>
      <c r="N152" s="2"/>
      <c r="P152" s="2"/>
    </row>
    <row r="153" spans="7:16" x14ac:dyDescent="0.2">
      <c r="G153" s="54"/>
      <c r="H153" s="54"/>
      <c r="I153" s="53" t="s">
        <v>396</v>
      </c>
      <c r="O153" s="2"/>
      <c r="P153" s="2"/>
    </row>
    <row r="154" spans="7:16" x14ac:dyDescent="0.2">
      <c r="G154" s="54"/>
      <c r="H154" s="54"/>
      <c r="I154" s="53" t="s">
        <v>396</v>
      </c>
      <c r="K154" s="42"/>
      <c r="P154" s="2"/>
    </row>
    <row r="155" spans="7:16" x14ac:dyDescent="0.2">
      <c r="G155" s="54"/>
      <c r="H155" s="54"/>
      <c r="I155" s="53"/>
      <c r="J155" s="101"/>
      <c r="P155" s="2"/>
    </row>
    <row r="156" spans="7:16" x14ac:dyDescent="0.2">
      <c r="G156" s="54"/>
      <c r="H156" s="54"/>
      <c r="I156" s="53"/>
    </row>
    <row r="157" spans="7:16" x14ac:dyDescent="0.2">
      <c r="G157" s="54"/>
      <c r="H157" s="54"/>
      <c r="I157" s="53"/>
      <c r="P157" s="2"/>
    </row>
    <row r="158" spans="7:16" x14ac:dyDescent="0.2">
      <c r="G158" s="54"/>
      <c r="H158" s="54"/>
      <c r="I158" s="53"/>
    </row>
  </sheetData>
  <sheetProtection insertRows="0"/>
  <mergeCells count="8">
    <mergeCell ref="K91:L91"/>
    <mergeCell ref="A98:D98"/>
    <mergeCell ref="C120:F120"/>
    <mergeCell ref="A1:H1"/>
    <mergeCell ref="A3:F3"/>
    <mergeCell ref="A9:F9"/>
    <mergeCell ref="A15:F15"/>
    <mergeCell ref="A41:F41"/>
  </mergeCells>
  <conditionalFormatting sqref="H95:H96">
    <cfRule type="cellIs" dxfId="23" priority="1" operator="lessThan">
      <formula>0</formula>
    </cfRule>
  </conditionalFormatting>
  <conditionalFormatting sqref="C43">
    <cfRule type="duplicateValues" dxfId="22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1-000000000000}">
  <sheetPr codeName="Sheet575">
    <pageSetUpPr fitToPage="1"/>
  </sheetPr>
  <dimension ref="A1:S229"/>
  <sheetViews>
    <sheetView topLeftCell="A97" zoomScaleNormal="100" workbookViewId="0">
      <selection activeCell="E119" sqref="E119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12.85546875" style="1" customWidth="1"/>
    <col min="9" max="9" width="24.85546875" style="2" bestFit="1" customWidth="1"/>
    <col min="10" max="10" width="21.5703125" style="1" bestFit="1" customWidth="1"/>
    <col min="11" max="11" width="16.85546875" style="1" bestFit="1" customWidth="1"/>
    <col min="12" max="12" width="19.5703125" style="1" bestFit="1" customWidth="1"/>
    <col min="13" max="13" width="13.5703125" style="1" bestFit="1" customWidth="1"/>
    <col min="14" max="14" width="17.42578125" style="1" bestFit="1" customWidth="1"/>
    <col min="15" max="15" width="12.85546875" style="1" bestFit="1" customWidth="1"/>
    <col min="16" max="17" width="9.140625" style="1"/>
    <col min="18" max="18" width="15.5703125" style="1" bestFit="1" customWidth="1"/>
    <col min="19" max="16384" width="9.140625" style="1"/>
  </cols>
  <sheetData>
    <row r="1" spans="1:11" ht="20.25" customHeight="1" x14ac:dyDescent="0.4">
      <c r="A1" s="212" t="s">
        <v>2227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1" ht="12.75" customHeight="1" x14ac:dyDescent="0.4">
      <c r="I2" s="112"/>
      <c r="J2" s="112"/>
    </row>
    <row r="3" spans="1:11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1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1" s="2" customFormat="1" ht="14.25" customHeight="1" x14ac:dyDescent="0.4">
      <c r="A5" s="89">
        <v>45369</v>
      </c>
      <c r="B5" s="9" t="s">
        <v>6</v>
      </c>
      <c r="C5" s="10" t="s">
        <v>7</v>
      </c>
      <c r="D5" s="11"/>
      <c r="E5" s="12">
        <v>1529680.8400000008</v>
      </c>
      <c r="F5" s="12"/>
      <c r="G5" s="1"/>
      <c r="H5" s="1"/>
      <c r="I5" s="112"/>
      <c r="J5" s="112"/>
    </row>
    <row r="6" spans="1:11" s="2" customFormat="1" ht="14.25" customHeight="1" x14ac:dyDescent="0.4">
      <c r="A6" s="89">
        <v>45369</v>
      </c>
      <c r="B6" s="9" t="s">
        <v>11</v>
      </c>
      <c r="C6" s="10" t="s">
        <v>2228</v>
      </c>
      <c r="D6" s="11" t="s">
        <v>29</v>
      </c>
      <c r="E6" s="12"/>
      <c r="F6" s="12">
        <v>1000000</v>
      </c>
      <c r="G6" s="1"/>
      <c r="H6" s="1"/>
      <c r="I6" s="112"/>
      <c r="J6" s="112"/>
    </row>
    <row r="7" spans="1:11" s="2" customFormat="1" ht="12.75" customHeight="1" x14ac:dyDescent="0.2">
      <c r="D7" s="15" t="s">
        <v>8</v>
      </c>
      <c r="E7" s="16">
        <f>SUM(E5:E5)</f>
        <v>1529680.8400000008</v>
      </c>
      <c r="F7" s="16">
        <f>F6</f>
        <v>1000000</v>
      </c>
      <c r="G7" s="1"/>
      <c r="H7" s="1"/>
      <c r="I7" s="13" t="s">
        <v>1582</v>
      </c>
      <c r="J7" s="13" t="s">
        <v>1583</v>
      </c>
    </row>
    <row r="8" spans="1:11" s="2" customFormat="1" ht="12.75" customHeight="1" x14ac:dyDescent="0.2">
      <c r="A8" s="17"/>
      <c r="B8" s="18"/>
      <c r="C8" s="19" t="s">
        <v>9</v>
      </c>
      <c r="D8" s="20"/>
      <c r="E8" s="21">
        <f>+E7-F7</f>
        <v>529680.84000000078</v>
      </c>
      <c r="F8" s="22"/>
      <c r="G8" s="23"/>
      <c r="H8" s="23"/>
      <c r="I8" s="2">
        <v>2891774</v>
      </c>
      <c r="J8" s="2">
        <v>0</v>
      </c>
      <c r="K8" s="176">
        <f>I8-J8</f>
        <v>2891774</v>
      </c>
    </row>
    <row r="9" spans="1:11" ht="11.25" customHeight="1" x14ac:dyDescent="0.4">
      <c r="I9" s="112"/>
      <c r="J9" s="112"/>
    </row>
    <row r="10" spans="1:11" ht="18" customHeight="1" x14ac:dyDescent="0.4">
      <c r="A10" s="213" t="s">
        <v>2103</v>
      </c>
      <c r="B10" s="213"/>
      <c r="C10" s="213"/>
      <c r="D10" s="213"/>
      <c r="E10" s="213"/>
      <c r="F10" s="213"/>
      <c r="I10" s="112"/>
      <c r="J10" s="112"/>
    </row>
    <row r="11" spans="1:11" ht="12.75" customHeight="1" x14ac:dyDescent="0.4">
      <c r="A11" s="3" t="s">
        <v>1</v>
      </c>
      <c r="B11" s="4" t="s">
        <v>2</v>
      </c>
      <c r="C11" s="5"/>
      <c r="D11" s="6" t="s">
        <v>3</v>
      </c>
      <c r="E11" s="7" t="s">
        <v>4</v>
      </c>
      <c r="F11" s="7" t="s">
        <v>5</v>
      </c>
      <c r="I11" s="112"/>
      <c r="J11" s="112"/>
    </row>
    <row r="12" spans="1:11" ht="12.75" customHeight="1" x14ac:dyDescent="0.4">
      <c r="A12" s="89">
        <v>45369</v>
      </c>
      <c r="B12" s="9" t="s">
        <v>6</v>
      </c>
      <c r="C12" s="10" t="s">
        <v>7</v>
      </c>
      <c r="D12" s="11"/>
      <c r="E12" s="12">
        <v>2956934.1099999985</v>
      </c>
      <c r="F12" s="1"/>
      <c r="I12" s="112"/>
      <c r="J12" s="112"/>
    </row>
    <row r="13" spans="1:11" ht="12.75" customHeight="1" x14ac:dyDescent="0.4">
      <c r="A13" s="89">
        <v>45369</v>
      </c>
      <c r="B13" s="9" t="s">
        <v>6</v>
      </c>
      <c r="C13" s="10" t="s">
        <v>93</v>
      </c>
      <c r="D13" s="11" t="s">
        <v>13</v>
      </c>
      <c r="E13" s="12">
        <v>1965380</v>
      </c>
      <c r="F13" s="1"/>
      <c r="I13" s="112"/>
      <c r="J13" s="112"/>
    </row>
    <row r="14" spans="1:11" ht="12.75" customHeight="1" x14ac:dyDescent="0.4">
      <c r="A14" s="89">
        <v>45369</v>
      </c>
      <c r="B14" s="9" t="s">
        <v>6</v>
      </c>
      <c r="C14" s="10" t="s">
        <v>105</v>
      </c>
      <c r="D14" s="11" t="s">
        <v>13</v>
      </c>
      <c r="E14" s="12">
        <v>873392</v>
      </c>
      <c r="F14" s="1"/>
      <c r="I14" s="112"/>
      <c r="J14" s="112"/>
    </row>
    <row r="15" spans="1:11" ht="12.75" customHeight="1" x14ac:dyDescent="0.4">
      <c r="A15" s="89">
        <v>45369</v>
      </c>
      <c r="B15" s="9" t="s">
        <v>6</v>
      </c>
      <c r="C15" s="10" t="s">
        <v>220</v>
      </c>
      <c r="D15" s="11" t="s">
        <v>13</v>
      </c>
      <c r="E15" s="12">
        <v>172560</v>
      </c>
      <c r="F15" s="1"/>
      <c r="I15" s="112"/>
      <c r="J15" s="112"/>
    </row>
    <row r="16" spans="1:11" ht="12.75" customHeight="1" x14ac:dyDescent="0.4">
      <c r="A16" s="89">
        <v>45369</v>
      </c>
      <c r="B16" s="9" t="s">
        <v>6</v>
      </c>
      <c r="C16" s="10" t="s">
        <v>2230</v>
      </c>
      <c r="D16" s="11" t="s">
        <v>13</v>
      </c>
      <c r="E16" s="12">
        <v>1000000</v>
      </c>
      <c r="F16" s="1"/>
      <c r="I16" s="112"/>
      <c r="J16" s="112"/>
    </row>
    <row r="17" spans="1:12" ht="12.75" customHeight="1" x14ac:dyDescent="0.4">
      <c r="A17" s="89">
        <v>45369</v>
      </c>
      <c r="B17" s="9" t="s">
        <v>6</v>
      </c>
      <c r="C17" s="10" t="s">
        <v>2229</v>
      </c>
      <c r="D17" s="11" t="s">
        <v>13</v>
      </c>
      <c r="E17" s="12">
        <v>2500000</v>
      </c>
      <c r="F17" s="1"/>
      <c r="I17" s="112"/>
      <c r="J17" s="112"/>
    </row>
    <row r="18" spans="1:12" ht="12.75" customHeight="1" x14ac:dyDescent="0.4">
      <c r="A18" s="89">
        <v>45369</v>
      </c>
      <c r="B18" s="9" t="s">
        <v>6</v>
      </c>
      <c r="C18" s="10" t="s">
        <v>375</v>
      </c>
      <c r="D18" s="11" t="s">
        <v>13</v>
      </c>
      <c r="E18" s="12">
        <v>753834</v>
      </c>
      <c r="F18" s="1"/>
      <c r="I18" s="112"/>
      <c r="J18" s="112"/>
    </row>
    <row r="19" spans="1:12" ht="12.75" customHeight="1" x14ac:dyDescent="0.2">
      <c r="A19" s="2"/>
      <c r="B19" s="2"/>
      <c r="C19" s="2"/>
      <c r="D19" s="11" t="s">
        <v>8</v>
      </c>
      <c r="E19" s="16">
        <f>SUM(E12:E18)</f>
        <v>10222100.109999999</v>
      </c>
      <c r="F19" s="16">
        <f>F12</f>
        <v>0</v>
      </c>
      <c r="I19" s="13" t="s">
        <v>1582</v>
      </c>
      <c r="J19" s="13" t="s">
        <v>1583</v>
      </c>
    </row>
    <row r="20" spans="1:12" x14ac:dyDescent="0.2">
      <c r="A20" s="17"/>
      <c r="B20" s="18"/>
      <c r="C20" s="19" t="s">
        <v>9</v>
      </c>
      <c r="D20" s="20"/>
      <c r="E20" s="21">
        <f>+E19-F19</f>
        <v>10222100.109999999</v>
      </c>
      <c r="I20" s="2">
        <v>21078</v>
      </c>
      <c r="J20" s="2">
        <v>0</v>
      </c>
    </row>
    <row r="21" spans="1:12" ht="18" customHeight="1" x14ac:dyDescent="0.25">
      <c r="A21" s="36"/>
      <c r="B21" s="28"/>
      <c r="C21" s="44"/>
      <c r="D21" s="43"/>
      <c r="E21" s="38"/>
      <c r="F21" s="22"/>
      <c r="J21" s="2"/>
    </row>
    <row r="22" spans="1:12" ht="18" customHeight="1" x14ac:dyDescent="0.4">
      <c r="A22" s="213" t="s">
        <v>2104</v>
      </c>
      <c r="B22" s="213"/>
      <c r="C22" s="213"/>
      <c r="D22" s="213"/>
      <c r="E22" s="213"/>
      <c r="F22" s="213"/>
      <c r="I22" s="112"/>
      <c r="J22" s="169">
        <f>90000000-60000000</f>
        <v>30000000</v>
      </c>
      <c r="K22" s="169" t="s">
        <v>1508</v>
      </c>
    </row>
    <row r="23" spans="1:12" ht="12.75" customHeight="1" x14ac:dyDescent="0.4">
      <c r="A23" s="3" t="s">
        <v>1</v>
      </c>
      <c r="B23" s="4" t="s">
        <v>2</v>
      </c>
      <c r="C23" s="5"/>
      <c r="D23" s="6" t="s">
        <v>3</v>
      </c>
      <c r="E23" s="7" t="s">
        <v>4</v>
      </c>
      <c r="F23" s="7" t="s">
        <v>5</v>
      </c>
      <c r="I23" s="112"/>
      <c r="J23" s="169">
        <v>28973286.91</v>
      </c>
      <c r="K23" s="169" t="s">
        <v>1509</v>
      </c>
      <c r="L23" s="124"/>
    </row>
    <row r="24" spans="1:12" s="2" customFormat="1" ht="14.25" customHeight="1" x14ac:dyDescent="0.2">
      <c r="A24" s="89">
        <v>45369</v>
      </c>
      <c r="B24" s="9" t="s">
        <v>6</v>
      </c>
      <c r="C24" s="10" t="s">
        <v>7</v>
      </c>
      <c r="D24" s="11"/>
      <c r="F24" s="12">
        <v>26833304.93</v>
      </c>
      <c r="G24" s="1"/>
      <c r="H24" s="1"/>
      <c r="I24" s="130" t="s">
        <v>396</v>
      </c>
      <c r="J24" s="169">
        <f>+J22-J23</f>
        <v>1026713.0899999999</v>
      </c>
      <c r="K24" s="169" t="s">
        <v>712</v>
      </c>
      <c r="L24" s="165" t="s">
        <v>1512</v>
      </c>
    </row>
    <row r="25" spans="1:12" s="2" customFormat="1" ht="14.25" customHeight="1" x14ac:dyDescent="0.2">
      <c r="A25" s="89">
        <v>45369</v>
      </c>
      <c r="B25" s="9" t="s">
        <v>6</v>
      </c>
      <c r="C25" s="10" t="s">
        <v>1002</v>
      </c>
      <c r="D25" s="11" t="s">
        <v>13</v>
      </c>
      <c r="E25" s="2">
        <v>1686656.2499999998</v>
      </c>
      <c r="F25" s="12"/>
      <c r="G25" s="1"/>
      <c r="H25" s="1"/>
      <c r="I25" s="130"/>
      <c r="J25" s="169"/>
      <c r="K25" s="169"/>
      <c r="L25" s="165"/>
    </row>
    <row r="26" spans="1:12" s="2" customFormat="1" ht="14.25" customHeight="1" x14ac:dyDescent="0.2">
      <c r="A26" s="89">
        <v>45369</v>
      </c>
      <c r="B26" s="9" t="s">
        <v>6</v>
      </c>
      <c r="C26" s="10" t="s">
        <v>763</v>
      </c>
      <c r="D26" s="11" t="s">
        <v>13</v>
      </c>
      <c r="E26" s="2">
        <v>567489</v>
      </c>
      <c r="F26" s="12"/>
      <c r="G26" s="1"/>
      <c r="H26" s="1"/>
      <c r="I26" s="130"/>
      <c r="J26" s="169"/>
      <c r="K26" s="169"/>
      <c r="L26" s="165"/>
    </row>
    <row r="27" spans="1:12" s="2" customFormat="1" ht="14.25" customHeight="1" x14ac:dyDescent="0.2">
      <c r="A27" s="89">
        <v>45369</v>
      </c>
      <c r="B27" s="9" t="s">
        <v>6</v>
      </c>
      <c r="C27" s="10" t="s">
        <v>1647</v>
      </c>
      <c r="D27" s="11" t="s">
        <v>13</v>
      </c>
      <c r="E27" s="2">
        <v>987864</v>
      </c>
      <c r="F27" s="12"/>
      <c r="G27" s="1"/>
      <c r="H27" s="1"/>
      <c r="I27" s="130"/>
      <c r="J27" s="169"/>
      <c r="K27" s="169"/>
      <c r="L27" s="165"/>
    </row>
    <row r="28" spans="1:12" s="2" customFormat="1" ht="14.25" customHeight="1" x14ac:dyDescent="0.2">
      <c r="A28" s="89">
        <v>45369</v>
      </c>
      <c r="B28" s="9" t="s">
        <v>6</v>
      </c>
      <c r="C28" s="10" t="s">
        <v>419</v>
      </c>
      <c r="D28" s="11" t="s">
        <v>13</v>
      </c>
      <c r="E28" s="2">
        <v>21078</v>
      </c>
      <c r="F28" s="12"/>
      <c r="G28" s="1"/>
      <c r="H28" s="1"/>
      <c r="I28" s="130"/>
      <c r="J28" s="169"/>
      <c r="K28" s="169"/>
      <c r="L28" s="165"/>
    </row>
    <row r="29" spans="1:12" s="2" customFormat="1" ht="14.25" customHeight="1" x14ac:dyDescent="0.2">
      <c r="A29" s="89">
        <v>45369</v>
      </c>
      <c r="B29" s="9" t="s">
        <v>11</v>
      </c>
      <c r="C29" s="10" t="s">
        <v>1137</v>
      </c>
      <c r="D29" s="11" t="s">
        <v>29</v>
      </c>
      <c r="F29" s="12">
        <v>49546</v>
      </c>
      <c r="G29" s="1"/>
      <c r="H29" s="1"/>
      <c r="I29" s="130"/>
      <c r="J29" s="169"/>
      <c r="K29" s="169"/>
      <c r="L29" s="165"/>
    </row>
    <row r="30" spans="1:12" s="2" customFormat="1" ht="14.25" customHeight="1" x14ac:dyDescent="0.2">
      <c r="A30" s="89">
        <v>45369</v>
      </c>
      <c r="B30" s="9" t="s">
        <v>11</v>
      </c>
      <c r="C30" s="10" t="s">
        <v>156</v>
      </c>
      <c r="D30" s="11" t="s">
        <v>29</v>
      </c>
      <c r="F30" s="12">
        <v>1510.4</v>
      </c>
      <c r="G30" s="1"/>
      <c r="H30" s="1"/>
      <c r="I30" s="130"/>
      <c r="J30" s="169"/>
      <c r="K30" s="169"/>
      <c r="L30" s="165"/>
    </row>
    <row r="31" spans="1:12" s="2" customFormat="1" ht="14.25" customHeight="1" x14ac:dyDescent="0.2">
      <c r="A31" s="89">
        <v>45369</v>
      </c>
      <c r="B31" s="9" t="s">
        <v>11</v>
      </c>
      <c r="C31" s="10" t="s">
        <v>1091</v>
      </c>
      <c r="D31" s="11" t="s">
        <v>29</v>
      </c>
      <c r="F31" s="12">
        <v>9440</v>
      </c>
      <c r="G31" s="1"/>
      <c r="H31" s="1"/>
      <c r="I31" s="130"/>
      <c r="J31" s="169"/>
      <c r="K31" s="169"/>
      <c r="L31" s="165"/>
    </row>
    <row r="32" spans="1:12" s="2" customFormat="1" ht="14.25" customHeight="1" x14ac:dyDescent="0.2">
      <c r="A32" s="89">
        <v>45369</v>
      </c>
      <c r="B32" s="9" t="s">
        <v>11</v>
      </c>
      <c r="C32" s="10" t="s">
        <v>1606</v>
      </c>
      <c r="D32" s="11" t="s">
        <v>29</v>
      </c>
      <c r="F32" s="12">
        <v>1180</v>
      </c>
      <c r="G32" s="1"/>
      <c r="H32" s="1"/>
      <c r="I32" s="130"/>
      <c r="J32" s="169"/>
      <c r="K32" s="169"/>
      <c r="L32" s="165"/>
    </row>
    <row r="33" spans="1:12" s="2" customFormat="1" ht="14.25" customHeight="1" x14ac:dyDescent="0.2">
      <c r="A33" s="89">
        <v>45369</v>
      </c>
      <c r="B33" s="9" t="s">
        <v>11</v>
      </c>
      <c r="C33" s="10" t="s">
        <v>129</v>
      </c>
      <c r="D33" s="11" t="s">
        <v>29</v>
      </c>
      <c r="F33" s="12">
        <v>160400</v>
      </c>
      <c r="G33" s="1"/>
      <c r="H33" s="1"/>
      <c r="I33" s="130"/>
      <c r="J33" s="169"/>
      <c r="K33" s="169"/>
      <c r="L33" s="165"/>
    </row>
    <row r="34" spans="1:12" s="2" customFormat="1" ht="14.25" customHeight="1" x14ac:dyDescent="0.2">
      <c r="A34" s="89">
        <v>45369</v>
      </c>
      <c r="B34" s="9" t="s">
        <v>11</v>
      </c>
      <c r="C34" s="10" t="s">
        <v>363</v>
      </c>
      <c r="D34" s="11" t="s">
        <v>29</v>
      </c>
      <c r="F34" s="12">
        <v>55613</v>
      </c>
      <c r="G34" s="1"/>
      <c r="H34" s="1"/>
      <c r="I34" s="130"/>
      <c r="J34" s="169"/>
      <c r="K34" s="169"/>
      <c r="L34" s="165"/>
    </row>
    <row r="35" spans="1:12" s="2" customFormat="1" ht="14.25" customHeight="1" x14ac:dyDescent="0.2">
      <c r="A35" s="89">
        <v>45369</v>
      </c>
      <c r="B35" s="9" t="s">
        <v>11</v>
      </c>
      <c r="C35" s="10" t="s">
        <v>1025</v>
      </c>
      <c r="D35" s="11" t="s">
        <v>29</v>
      </c>
      <c r="F35" s="12">
        <v>2500000</v>
      </c>
      <c r="G35" s="1"/>
      <c r="H35" s="1"/>
      <c r="I35" s="130"/>
      <c r="J35" s="169"/>
      <c r="K35" s="169"/>
      <c r="L35" s="165"/>
    </row>
    <row r="36" spans="1:12" s="2" customFormat="1" ht="14.25" customHeight="1" x14ac:dyDescent="0.2">
      <c r="A36" s="89">
        <v>45369</v>
      </c>
      <c r="B36" s="9" t="s">
        <v>11</v>
      </c>
      <c r="C36" s="10" t="s">
        <v>2236</v>
      </c>
      <c r="D36" s="11" t="s">
        <v>29</v>
      </c>
      <c r="F36" s="12">
        <v>135365</v>
      </c>
      <c r="G36" s="1"/>
      <c r="H36" s="1"/>
      <c r="I36" s="130"/>
      <c r="J36" s="169"/>
      <c r="K36" s="169"/>
      <c r="L36" s="165"/>
    </row>
    <row r="37" spans="1:12" s="2" customFormat="1" ht="14.25" customHeight="1" x14ac:dyDescent="0.2">
      <c r="A37" s="89">
        <v>45369</v>
      </c>
      <c r="B37" s="9" t="s">
        <v>11</v>
      </c>
      <c r="C37" s="10" t="s">
        <v>118</v>
      </c>
      <c r="D37" s="11" t="s">
        <v>29</v>
      </c>
      <c r="F37" s="12">
        <v>200000</v>
      </c>
      <c r="G37" s="1"/>
      <c r="H37" s="1"/>
      <c r="I37" s="130"/>
      <c r="J37" s="169"/>
      <c r="K37" s="169"/>
      <c r="L37" s="165"/>
    </row>
    <row r="38" spans="1:12" s="2" customFormat="1" ht="14.25" customHeight="1" x14ac:dyDescent="0.2">
      <c r="A38" s="89">
        <v>45369</v>
      </c>
      <c r="B38" s="9" t="s">
        <v>11</v>
      </c>
      <c r="C38" s="10" t="s">
        <v>135</v>
      </c>
      <c r="D38" s="11" t="s">
        <v>29</v>
      </c>
      <c r="F38" s="12">
        <v>9848</v>
      </c>
      <c r="G38" s="1"/>
      <c r="H38" s="1"/>
      <c r="I38" s="130"/>
      <c r="J38" s="169"/>
      <c r="K38" s="169"/>
      <c r="L38" s="165"/>
    </row>
    <row r="39" spans="1:12" s="2" customFormat="1" ht="14.25" customHeight="1" x14ac:dyDescent="0.2">
      <c r="A39" s="89">
        <v>45369</v>
      </c>
      <c r="B39" s="9" t="s">
        <v>11</v>
      </c>
      <c r="C39" s="10" t="s">
        <v>2237</v>
      </c>
      <c r="D39" s="11" t="s">
        <v>29</v>
      </c>
      <c r="F39" s="12">
        <v>10000</v>
      </c>
      <c r="G39" s="1"/>
      <c r="H39" s="1"/>
      <c r="I39" s="130"/>
      <c r="J39" s="169"/>
      <c r="K39" s="169"/>
      <c r="L39" s="165"/>
    </row>
    <row r="40" spans="1:12" s="2" customFormat="1" ht="14.25" customHeight="1" x14ac:dyDescent="0.2">
      <c r="A40" s="89">
        <v>45369</v>
      </c>
      <c r="B40" s="9" t="s">
        <v>11</v>
      </c>
      <c r="C40" s="10" t="s">
        <v>2238</v>
      </c>
      <c r="D40" s="11" t="s">
        <v>29</v>
      </c>
      <c r="F40" s="12">
        <v>23710</v>
      </c>
      <c r="G40" s="1"/>
      <c r="H40" s="1"/>
      <c r="I40" s="130"/>
      <c r="J40" s="169"/>
      <c r="K40" s="169"/>
      <c r="L40" s="165"/>
    </row>
    <row r="41" spans="1:12" s="2" customFormat="1" ht="14.25" customHeight="1" x14ac:dyDescent="0.2">
      <c r="A41" s="89">
        <v>45369</v>
      </c>
      <c r="B41" s="9" t="s">
        <v>11</v>
      </c>
      <c r="C41" s="10" t="s">
        <v>235</v>
      </c>
      <c r="D41" s="11" t="s">
        <v>29</v>
      </c>
      <c r="F41" s="12">
        <v>6012</v>
      </c>
      <c r="G41" s="1"/>
      <c r="H41" s="1"/>
      <c r="I41" s="130"/>
      <c r="J41" s="169"/>
      <c r="K41" s="169"/>
      <c r="L41" s="165"/>
    </row>
    <row r="42" spans="1:12" s="2" customFormat="1" ht="14.25" customHeight="1" x14ac:dyDescent="0.2">
      <c r="A42" s="89">
        <v>45369</v>
      </c>
      <c r="B42" s="9" t="s">
        <v>11</v>
      </c>
      <c r="C42" s="10" t="s">
        <v>718</v>
      </c>
      <c r="D42" s="11" t="s">
        <v>29</v>
      </c>
      <c r="F42" s="12">
        <v>5499</v>
      </c>
      <c r="G42" s="1"/>
      <c r="H42" s="1"/>
      <c r="I42" s="130"/>
      <c r="J42" s="169"/>
      <c r="K42" s="169"/>
      <c r="L42" s="165"/>
    </row>
    <row r="43" spans="1:12" s="2" customFormat="1" ht="14.25" customHeight="1" x14ac:dyDescent="0.2">
      <c r="A43" s="89">
        <v>45369</v>
      </c>
      <c r="B43" s="9" t="s">
        <v>11</v>
      </c>
      <c r="C43" s="10" t="s">
        <v>345</v>
      </c>
      <c r="D43" s="11" t="s">
        <v>29</v>
      </c>
      <c r="F43" s="12">
        <v>5465</v>
      </c>
      <c r="G43" s="1"/>
      <c r="H43" s="1"/>
      <c r="I43" s="130"/>
      <c r="J43" s="169"/>
      <c r="K43" s="169"/>
      <c r="L43" s="165"/>
    </row>
    <row r="44" spans="1:12" s="2" customFormat="1" ht="14.25" customHeight="1" x14ac:dyDescent="0.2">
      <c r="A44" s="89">
        <v>45369</v>
      </c>
      <c r="B44" s="9" t="s">
        <v>11</v>
      </c>
      <c r="C44" s="10" t="s">
        <v>1837</v>
      </c>
      <c r="D44" s="11" t="s">
        <v>29</v>
      </c>
      <c r="F44" s="12">
        <v>6571</v>
      </c>
      <c r="G44" s="1"/>
      <c r="H44" s="1"/>
      <c r="I44" s="130"/>
      <c r="J44" s="169"/>
      <c r="K44" s="169"/>
      <c r="L44" s="165"/>
    </row>
    <row r="45" spans="1:12" s="2" customFormat="1" ht="14.25" customHeight="1" x14ac:dyDescent="0.2">
      <c r="A45" s="89">
        <v>45369</v>
      </c>
      <c r="B45" s="9" t="s">
        <v>11</v>
      </c>
      <c r="C45" s="10" t="s">
        <v>338</v>
      </c>
      <c r="D45" s="11" t="s">
        <v>29</v>
      </c>
      <c r="F45" s="12">
        <v>147696.24</v>
      </c>
      <c r="G45" s="1"/>
      <c r="H45" s="1"/>
      <c r="I45" s="130"/>
      <c r="J45" s="169"/>
      <c r="K45" s="169"/>
      <c r="L45" s="165"/>
    </row>
    <row r="46" spans="1:12" s="2" customFormat="1" ht="14.25" customHeight="1" x14ac:dyDescent="0.2">
      <c r="A46" s="89">
        <v>45369</v>
      </c>
      <c r="B46" s="9" t="s">
        <v>11</v>
      </c>
      <c r="C46" s="10" t="s">
        <v>2121</v>
      </c>
      <c r="D46" s="11" t="s">
        <v>29</v>
      </c>
      <c r="F46" s="12">
        <v>203700</v>
      </c>
      <c r="G46" s="1"/>
      <c r="H46" s="1"/>
      <c r="I46" s="130"/>
      <c r="J46" s="169"/>
      <c r="K46" s="169"/>
      <c r="L46" s="165"/>
    </row>
    <row r="47" spans="1:12" s="2" customFormat="1" ht="14.25" customHeight="1" x14ac:dyDescent="0.2">
      <c r="A47" s="89">
        <v>45369</v>
      </c>
      <c r="B47" s="9" t="s">
        <v>11</v>
      </c>
      <c r="C47" s="10" t="s">
        <v>1968</v>
      </c>
      <c r="D47" s="11" t="s">
        <v>29</v>
      </c>
      <c r="F47" s="12">
        <v>271700</v>
      </c>
      <c r="G47" s="1"/>
      <c r="H47" s="1"/>
      <c r="I47" s="130"/>
      <c r="J47" s="169"/>
      <c r="K47" s="169"/>
      <c r="L47" s="165"/>
    </row>
    <row r="48" spans="1:12" s="2" customFormat="1" ht="14.25" customHeight="1" x14ac:dyDescent="0.2">
      <c r="A48" s="89">
        <v>45369</v>
      </c>
      <c r="B48" s="9" t="s">
        <v>11</v>
      </c>
      <c r="C48" s="10" t="s">
        <v>1994</v>
      </c>
      <c r="D48" s="11" t="s">
        <v>29</v>
      </c>
      <c r="F48" s="12">
        <v>224807.75</v>
      </c>
      <c r="G48" s="1"/>
      <c r="H48" s="1"/>
      <c r="I48" s="130"/>
      <c r="J48" s="169"/>
      <c r="K48" s="169"/>
      <c r="L48" s="165"/>
    </row>
    <row r="49" spans="1:12" s="2" customFormat="1" ht="14.25" customHeight="1" x14ac:dyDescent="0.2">
      <c r="A49" s="89">
        <v>45369</v>
      </c>
      <c r="B49" s="9" t="s">
        <v>11</v>
      </c>
      <c r="C49" s="10" t="s">
        <v>1273</v>
      </c>
      <c r="D49" s="11" t="s">
        <v>29</v>
      </c>
      <c r="F49" s="12">
        <v>270765</v>
      </c>
      <c r="G49" s="1"/>
      <c r="H49" s="1"/>
      <c r="I49" s="130"/>
      <c r="J49" s="169"/>
      <c r="K49" s="169"/>
      <c r="L49" s="165"/>
    </row>
    <row r="50" spans="1:12" s="2" customFormat="1" ht="14.25" customHeight="1" x14ac:dyDescent="0.2">
      <c r="A50" s="89">
        <v>45369</v>
      </c>
      <c r="B50" s="9" t="s">
        <v>11</v>
      </c>
      <c r="C50" s="10" t="s">
        <v>1361</v>
      </c>
      <c r="D50" s="11" t="s">
        <v>29</v>
      </c>
      <c r="F50" s="12">
        <v>163087</v>
      </c>
      <c r="G50" s="1"/>
      <c r="H50" s="1"/>
      <c r="I50" s="130"/>
      <c r="J50" s="169"/>
      <c r="K50" s="169"/>
      <c r="L50" s="165"/>
    </row>
    <row r="51" spans="1:12" s="2" customFormat="1" ht="14.25" customHeight="1" x14ac:dyDescent="0.2">
      <c r="A51" s="89">
        <v>45369</v>
      </c>
      <c r="B51" s="9" t="s">
        <v>11</v>
      </c>
      <c r="C51" s="10" t="s">
        <v>1892</v>
      </c>
      <c r="D51" s="11" t="s">
        <v>29</v>
      </c>
      <c r="F51" s="12">
        <v>145800</v>
      </c>
      <c r="G51" s="1"/>
      <c r="H51" s="1"/>
      <c r="I51" s="130"/>
      <c r="J51" s="169"/>
      <c r="K51" s="169"/>
      <c r="L51" s="165"/>
    </row>
    <row r="52" spans="1:12" s="2" customFormat="1" ht="14.25" customHeight="1" x14ac:dyDescent="0.2">
      <c r="A52" s="89">
        <v>45369</v>
      </c>
      <c r="B52" s="9" t="s">
        <v>11</v>
      </c>
      <c r="C52" s="10" t="s">
        <v>62</v>
      </c>
      <c r="D52" s="11" t="s">
        <v>29</v>
      </c>
      <c r="F52" s="12">
        <v>40000</v>
      </c>
      <c r="G52" s="1"/>
      <c r="H52" s="1"/>
      <c r="I52" s="130"/>
      <c r="J52" s="169"/>
      <c r="K52" s="169"/>
      <c r="L52" s="165"/>
    </row>
    <row r="53" spans="1:12" s="2" customFormat="1" ht="14.25" customHeight="1" x14ac:dyDescent="0.2">
      <c r="A53" s="89">
        <v>45369</v>
      </c>
      <c r="B53" s="9" t="s">
        <v>11</v>
      </c>
      <c r="C53" s="10" t="s">
        <v>602</v>
      </c>
      <c r="D53" s="11" t="s">
        <v>29</v>
      </c>
      <c r="F53" s="12">
        <v>6057</v>
      </c>
      <c r="G53" s="1"/>
      <c r="H53" s="1"/>
      <c r="I53" s="130"/>
      <c r="J53" s="169"/>
      <c r="K53" s="169"/>
      <c r="L53" s="165"/>
    </row>
    <row r="54" spans="1:12" s="2" customFormat="1" ht="14.25" customHeight="1" x14ac:dyDescent="0.2">
      <c r="A54" s="89">
        <v>45369</v>
      </c>
      <c r="B54" s="9" t="s">
        <v>11</v>
      </c>
      <c r="C54" s="10" t="s">
        <v>1699</v>
      </c>
      <c r="D54" s="11" t="s">
        <v>29</v>
      </c>
      <c r="F54" s="12">
        <v>3066</v>
      </c>
      <c r="G54" s="1"/>
      <c r="H54" s="1"/>
      <c r="I54" s="130"/>
      <c r="J54" s="169"/>
      <c r="K54" s="169"/>
      <c r="L54" s="165"/>
    </row>
    <row r="55" spans="1:12" s="2" customFormat="1" ht="14.25" customHeight="1" x14ac:dyDescent="0.2">
      <c r="A55" s="89">
        <v>45369</v>
      </c>
      <c r="B55" s="9" t="s">
        <v>11</v>
      </c>
      <c r="C55" s="10" t="s">
        <v>532</v>
      </c>
      <c r="D55" s="11" t="s">
        <v>29</v>
      </c>
      <c r="F55" s="12">
        <v>218890</v>
      </c>
      <c r="G55" s="1"/>
      <c r="H55" s="1"/>
      <c r="I55" s="130"/>
      <c r="J55" s="169"/>
      <c r="K55" s="169"/>
      <c r="L55" s="165"/>
    </row>
    <row r="56" spans="1:12" s="2" customFormat="1" ht="14.25" customHeight="1" x14ac:dyDescent="0.2">
      <c r="A56" s="89">
        <v>45369</v>
      </c>
      <c r="B56" s="9" t="s">
        <v>11</v>
      </c>
      <c r="C56" s="10" t="s">
        <v>453</v>
      </c>
      <c r="D56" s="11" t="s">
        <v>29</v>
      </c>
      <c r="F56" s="12">
        <v>92488</v>
      </c>
      <c r="G56" s="1"/>
      <c r="H56" s="1"/>
      <c r="I56" s="130"/>
      <c r="J56" s="169"/>
      <c r="K56" s="169"/>
      <c r="L56" s="165"/>
    </row>
    <row r="57" spans="1:12" s="2" customFormat="1" ht="14.25" customHeight="1" x14ac:dyDescent="0.2">
      <c r="A57" s="89">
        <v>45369</v>
      </c>
      <c r="B57" s="9" t="s">
        <v>11</v>
      </c>
      <c r="C57" s="10" t="s">
        <v>1279</v>
      </c>
      <c r="D57" s="11" t="s">
        <v>29</v>
      </c>
      <c r="F57" s="12">
        <v>17760</v>
      </c>
      <c r="G57" s="1"/>
      <c r="H57" s="1"/>
      <c r="I57" s="130"/>
      <c r="J57" s="169"/>
      <c r="K57" s="169"/>
      <c r="L57" s="165"/>
    </row>
    <row r="58" spans="1:12" s="2" customFormat="1" ht="14.25" customHeight="1" x14ac:dyDescent="0.2">
      <c r="A58" s="89">
        <v>45369</v>
      </c>
      <c r="B58" s="9" t="s">
        <v>11</v>
      </c>
      <c r="C58" s="10" t="s">
        <v>628</v>
      </c>
      <c r="D58" s="11" t="s">
        <v>29</v>
      </c>
      <c r="F58" s="12">
        <v>18743</v>
      </c>
      <c r="G58" s="1"/>
      <c r="H58" s="1"/>
      <c r="I58" s="130"/>
      <c r="J58" s="169"/>
      <c r="K58" s="169"/>
      <c r="L58" s="165"/>
    </row>
    <row r="59" spans="1:12" s="2" customFormat="1" ht="14.25" customHeight="1" x14ac:dyDescent="0.2">
      <c r="A59" s="89">
        <v>45369</v>
      </c>
      <c r="B59" s="9" t="s">
        <v>11</v>
      </c>
      <c r="C59" s="10" t="s">
        <v>2205</v>
      </c>
      <c r="D59" s="11" t="s">
        <v>29</v>
      </c>
      <c r="F59" s="12">
        <v>1424</v>
      </c>
      <c r="G59" s="1"/>
      <c r="H59" s="1"/>
      <c r="I59" s="130"/>
      <c r="J59" s="169"/>
      <c r="K59" s="169"/>
      <c r="L59" s="165"/>
    </row>
    <row r="60" spans="1:12" s="2" customFormat="1" ht="14.25" customHeight="1" x14ac:dyDescent="0.2">
      <c r="A60" s="89">
        <v>45369</v>
      </c>
      <c r="B60" s="9" t="s">
        <v>11</v>
      </c>
      <c r="C60" s="10" t="s">
        <v>1533</v>
      </c>
      <c r="D60" s="11" t="s">
        <v>29</v>
      </c>
      <c r="F60" s="12">
        <v>201974</v>
      </c>
      <c r="G60" s="1"/>
      <c r="H60" s="1"/>
      <c r="I60" s="130"/>
      <c r="J60" s="169"/>
      <c r="K60" s="169"/>
      <c r="L60" s="165"/>
    </row>
    <row r="61" spans="1:12" s="2" customFormat="1" ht="14.25" customHeight="1" x14ac:dyDescent="0.2">
      <c r="A61" s="89">
        <v>45369</v>
      </c>
      <c r="B61" s="9" t="s">
        <v>11</v>
      </c>
      <c r="C61" s="10" t="s">
        <v>937</v>
      </c>
      <c r="D61" s="11" t="s">
        <v>29</v>
      </c>
      <c r="F61" s="12">
        <v>5158</v>
      </c>
      <c r="G61" s="1"/>
      <c r="H61" s="1"/>
      <c r="I61" s="130"/>
      <c r="J61" s="169"/>
      <c r="K61" s="169"/>
      <c r="L61" s="165"/>
    </row>
    <row r="62" spans="1:12" s="2" customFormat="1" ht="14.25" customHeight="1" x14ac:dyDescent="0.2">
      <c r="A62" s="89">
        <v>45369</v>
      </c>
      <c r="B62" s="9" t="s">
        <v>11</v>
      </c>
      <c r="C62" s="10" t="s">
        <v>2161</v>
      </c>
      <c r="D62" s="11" t="s">
        <v>29</v>
      </c>
      <c r="F62" s="12">
        <v>4000</v>
      </c>
      <c r="G62" s="1"/>
      <c r="H62" s="1"/>
      <c r="I62" s="130"/>
      <c r="J62" s="169"/>
      <c r="K62" s="169"/>
      <c r="L62" s="165"/>
    </row>
    <row r="63" spans="1:12" s="2" customFormat="1" ht="14.25" customHeight="1" x14ac:dyDescent="0.2">
      <c r="A63" s="89">
        <v>45369</v>
      </c>
      <c r="B63" s="9" t="s">
        <v>11</v>
      </c>
      <c r="C63" s="10" t="s">
        <v>195</v>
      </c>
      <c r="D63" s="11" t="s">
        <v>29</v>
      </c>
      <c r="F63" s="12">
        <v>575</v>
      </c>
      <c r="G63" s="1"/>
      <c r="H63" s="1"/>
      <c r="I63" s="130"/>
      <c r="J63" s="169"/>
      <c r="K63" s="169"/>
      <c r="L63" s="165"/>
    </row>
    <row r="64" spans="1:12" s="2" customFormat="1" ht="14.25" customHeight="1" x14ac:dyDescent="0.2">
      <c r="A64" s="89">
        <v>45369</v>
      </c>
      <c r="B64" s="9" t="s">
        <v>11</v>
      </c>
      <c r="C64" s="10" t="s">
        <v>1579</v>
      </c>
      <c r="D64" s="11" t="s">
        <v>29</v>
      </c>
      <c r="F64" s="12">
        <v>17980.84</v>
      </c>
      <c r="G64" s="1"/>
      <c r="H64" s="1"/>
      <c r="I64" s="130"/>
      <c r="J64" s="169"/>
      <c r="K64" s="169"/>
      <c r="L64" s="165"/>
    </row>
    <row r="65" spans="1:12" s="2" customFormat="1" ht="14.25" customHeight="1" x14ac:dyDescent="0.2">
      <c r="A65" s="89">
        <v>45369</v>
      </c>
      <c r="B65" s="9" t="s">
        <v>11</v>
      </c>
      <c r="C65" s="10" t="s">
        <v>2239</v>
      </c>
      <c r="D65" s="11" t="s">
        <v>29</v>
      </c>
      <c r="F65" s="12">
        <v>7400</v>
      </c>
      <c r="G65" s="1"/>
      <c r="H65" s="1"/>
      <c r="I65" s="130"/>
      <c r="J65" s="169"/>
      <c r="K65" s="169"/>
      <c r="L65" s="165"/>
    </row>
    <row r="66" spans="1:12" s="2" customFormat="1" ht="14.25" customHeight="1" x14ac:dyDescent="0.2">
      <c r="A66" s="89">
        <v>45369</v>
      </c>
      <c r="B66" s="9" t="s">
        <v>11</v>
      </c>
      <c r="C66" s="10" t="s">
        <v>2240</v>
      </c>
      <c r="D66" s="11" t="s">
        <v>29</v>
      </c>
      <c r="F66" s="12">
        <v>70000</v>
      </c>
      <c r="G66" s="1"/>
      <c r="H66" s="1"/>
      <c r="I66" s="130"/>
      <c r="J66" s="169"/>
      <c r="K66" s="169"/>
      <c r="L66" s="165"/>
    </row>
    <row r="67" spans="1:12" s="2" customFormat="1" ht="14.25" customHeight="1" x14ac:dyDescent="0.2">
      <c r="A67" s="89">
        <v>45369</v>
      </c>
      <c r="B67" s="9" t="s">
        <v>11</v>
      </c>
      <c r="C67" s="10" t="s">
        <v>370</v>
      </c>
      <c r="D67" s="11" t="s">
        <v>29</v>
      </c>
      <c r="F67" s="12">
        <v>53760</v>
      </c>
      <c r="G67" s="1"/>
      <c r="H67" s="1"/>
      <c r="I67" s="130"/>
      <c r="J67" s="169"/>
      <c r="K67" s="169"/>
      <c r="L67" s="165"/>
    </row>
    <row r="68" spans="1:12" s="2" customFormat="1" ht="14.25" customHeight="1" x14ac:dyDescent="0.2">
      <c r="A68" s="89">
        <v>45369</v>
      </c>
      <c r="B68" s="9" t="s">
        <v>11</v>
      </c>
      <c r="C68" s="10" t="s">
        <v>2241</v>
      </c>
      <c r="D68" s="11" t="s">
        <v>29</v>
      </c>
      <c r="F68" s="12">
        <v>15000</v>
      </c>
      <c r="G68" s="1"/>
      <c r="H68" s="1"/>
      <c r="I68" s="130"/>
      <c r="J68" s="169"/>
      <c r="K68" s="169"/>
      <c r="L68" s="165"/>
    </row>
    <row r="69" spans="1:12" s="2" customFormat="1" ht="14.25" customHeight="1" x14ac:dyDescent="0.4">
      <c r="D69" s="11" t="s">
        <v>8</v>
      </c>
      <c r="E69" s="16">
        <f>SUM(E25:E68)</f>
        <v>3263087.25</v>
      </c>
      <c r="F69" s="16">
        <f>SUM(F24:F68)</f>
        <v>32215296.159999996</v>
      </c>
      <c r="G69" s="1"/>
      <c r="H69" s="1"/>
      <c r="J69" s="112"/>
      <c r="K69" s="153" t="s">
        <v>779</v>
      </c>
    </row>
    <row r="70" spans="1:12" s="2" customFormat="1" ht="14.25" customHeight="1" x14ac:dyDescent="0.2">
      <c r="A70" s="17"/>
      <c r="B70" s="18"/>
      <c r="C70" s="96" t="s">
        <v>9</v>
      </c>
      <c r="D70" s="20"/>
      <c r="E70" s="21">
        <f>+F69-E69</f>
        <v>28952208.909999996</v>
      </c>
      <c r="G70" s="1"/>
      <c r="H70" s="1"/>
      <c r="J70" s="40">
        <v>28952208.91</v>
      </c>
      <c r="K70" s="154">
        <f>J70-E70</f>
        <v>0</v>
      </c>
    </row>
    <row r="71" spans="1:12" s="2" customFormat="1" ht="14.25" customHeight="1" x14ac:dyDescent="0.2">
      <c r="A71" s="17"/>
      <c r="B71" s="28" t="s">
        <v>66</v>
      </c>
      <c r="C71" s="43" t="s">
        <v>1458</v>
      </c>
      <c r="D71" s="43"/>
      <c r="E71" s="12">
        <f>30000000+60000000</f>
        <v>90000000</v>
      </c>
      <c r="F71" s="22"/>
      <c r="G71" s="1"/>
      <c r="H71" s="1"/>
      <c r="I71" s="13" t="s">
        <v>1582</v>
      </c>
      <c r="J71" s="13" t="s">
        <v>1583</v>
      </c>
    </row>
    <row r="72" spans="1:12" s="2" customFormat="1" ht="14.25" customHeight="1" x14ac:dyDescent="0.25">
      <c r="A72" s="36"/>
      <c r="B72" s="28"/>
      <c r="C72" s="44" t="s">
        <v>1541</v>
      </c>
      <c r="D72" s="43"/>
      <c r="E72" s="7">
        <f>+E70+E71</f>
        <v>118952208.91</v>
      </c>
      <c r="F72" s="22"/>
      <c r="G72" s="1"/>
      <c r="H72" s="1"/>
      <c r="I72" s="2">
        <v>1616206</v>
      </c>
      <c r="J72" s="2">
        <v>10382623.34</v>
      </c>
      <c r="K72" s="176">
        <f>I72-J72</f>
        <v>-8766417.3399999999</v>
      </c>
    </row>
    <row r="73" spans="1:12" s="2" customFormat="1" ht="14.25" customHeight="1" x14ac:dyDescent="0.25">
      <c r="A73" s="36"/>
      <c r="B73" s="28"/>
      <c r="C73" s="44" t="s">
        <v>1511</v>
      </c>
      <c r="D73" s="43"/>
      <c r="E73" s="38">
        <f>I20-J20+J24</f>
        <v>1047791.0899999999</v>
      </c>
      <c r="F73" s="22"/>
      <c r="G73" s="1"/>
      <c r="H73" s="1"/>
      <c r="J73" s="130"/>
      <c r="K73" s="130"/>
    </row>
    <row r="74" spans="1:12" s="2" customFormat="1" x14ac:dyDescent="0.2">
      <c r="A74" s="24"/>
      <c r="B74" s="1"/>
      <c r="C74" s="14"/>
      <c r="D74" s="25"/>
      <c r="G74" s="1"/>
      <c r="H74" s="1"/>
      <c r="I74" s="159"/>
      <c r="J74" s="160">
        <f>100000000</f>
        <v>100000000</v>
      </c>
      <c r="K74" s="160" t="s">
        <v>1506</v>
      </c>
      <c r="L74" s="70"/>
    </row>
    <row r="75" spans="1:12" s="2" customFormat="1" ht="15" x14ac:dyDescent="0.35">
      <c r="A75" s="214" t="s">
        <v>10</v>
      </c>
      <c r="B75" s="214"/>
      <c r="C75" s="214"/>
      <c r="D75" s="214"/>
      <c r="E75" s="214"/>
      <c r="F75" s="214"/>
      <c r="G75" s="1"/>
      <c r="H75" s="1"/>
      <c r="I75" s="159"/>
      <c r="J75" s="179">
        <v>40304394.409999996</v>
      </c>
      <c r="K75" s="160" t="s">
        <v>1507</v>
      </c>
      <c r="L75" s="70" t="s">
        <v>1512</v>
      </c>
    </row>
    <row r="76" spans="1:12" s="2" customFormat="1" x14ac:dyDescent="0.2">
      <c r="A76" s="26" t="s">
        <v>1</v>
      </c>
      <c r="B76" s="27" t="s">
        <v>2</v>
      </c>
      <c r="C76" s="5"/>
      <c r="D76" s="6" t="s">
        <v>3</v>
      </c>
      <c r="E76" s="7" t="s">
        <v>4</v>
      </c>
      <c r="F76" s="7" t="s">
        <v>5</v>
      </c>
      <c r="G76" s="1"/>
      <c r="H76" s="1"/>
      <c r="I76" s="159" t="s">
        <v>1505</v>
      </c>
      <c r="J76" s="160">
        <f>+J74+J75</f>
        <v>140304394.41</v>
      </c>
      <c r="K76" s="160"/>
      <c r="L76" s="70"/>
    </row>
    <row r="77" spans="1:12" s="2" customFormat="1" x14ac:dyDescent="0.2">
      <c r="A77" s="89" t="s">
        <v>2231</v>
      </c>
      <c r="B77" s="128" t="s">
        <v>11</v>
      </c>
      <c r="C77" s="29" t="s">
        <v>7</v>
      </c>
      <c r="D77" s="25"/>
      <c r="E77" s="31"/>
      <c r="F77" s="13">
        <v>11457272.119999915</v>
      </c>
      <c r="G77" s="23"/>
      <c r="H77" s="23"/>
      <c r="I77" s="159"/>
      <c r="J77" s="160"/>
      <c r="K77" s="160"/>
      <c r="L77" s="70"/>
    </row>
    <row r="78" spans="1:12" s="2" customFormat="1" x14ac:dyDescent="0.2">
      <c r="A78" s="89" t="s">
        <v>2231</v>
      </c>
      <c r="B78" s="128" t="s">
        <v>6</v>
      </c>
      <c r="C78" s="181" t="s">
        <v>264</v>
      </c>
      <c r="D78" s="11" t="s">
        <v>13</v>
      </c>
      <c r="E78" s="86">
        <v>2075786</v>
      </c>
      <c r="G78" s="23"/>
      <c r="H78" s="23"/>
      <c r="I78" s="159"/>
      <c r="J78" s="160"/>
      <c r="K78" s="160"/>
      <c r="L78" s="70"/>
    </row>
    <row r="79" spans="1:12" s="2" customFormat="1" x14ac:dyDescent="0.2">
      <c r="A79" s="89" t="s">
        <v>2231</v>
      </c>
      <c r="B79" s="128" t="s">
        <v>6</v>
      </c>
      <c r="C79" s="181" t="s">
        <v>1351</v>
      </c>
      <c r="D79" s="11" t="s">
        <v>13</v>
      </c>
      <c r="E79" s="86">
        <v>8760224.6300000008</v>
      </c>
      <c r="G79" s="23"/>
      <c r="H79" s="23"/>
      <c r="I79" s="159"/>
      <c r="J79" s="160"/>
      <c r="K79" s="160"/>
      <c r="L79" s="70"/>
    </row>
    <row r="80" spans="1:12" s="2" customFormat="1" x14ac:dyDescent="0.2">
      <c r="A80" s="89" t="s">
        <v>2231</v>
      </c>
      <c r="B80" s="128" t="s">
        <v>6</v>
      </c>
      <c r="C80" s="181" t="s">
        <v>474</v>
      </c>
      <c r="D80" s="11" t="s">
        <v>13</v>
      </c>
      <c r="E80" s="86">
        <v>643905</v>
      </c>
      <c r="G80" s="23"/>
      <c r="H80" s="23"/>
      <c r="I80" s="159"/>
      <c r="J80" s="160"/>
      <c r="K80" s="160"/>
      <c r="L80" s="70"/>
    </row>
    <row r="81" spans="1:12" s="2" customFormat="1" x14ac:dyDescent="0.2">
      <c r="A81" s="89" t="s">
        <v>2231</v>
      </c>
      <c r="B81" s="128" t="s">
        <v>6</v>
      </c>
      <c r="C81" s="181" t="s">
        <v>24</v>
      </c>
      <c r="D81" s="11" t="s">
        <v>13</v>
      </c>
      <c r="E81" s="86">
        <v>3517661</v>
      </c>
      <c r="G81" s="23"/>
      <c r="H81" s="23"/>
      <c r="I81" s="159"/>
      <c r="J81" s="160"/>
      <c r="K81" s="160"/>
      <c r="L81" s="70"/>
    </row>
    <row r="82" spans="1:12" s="2" customFormat="1" x14ac:dyDescent="0.2">
      <c r="A82" s="89" t="s">
        <v>2231</v>
      </c>
      <c r="B82" s="128" t="s">
        <v>6</v>
      </c>
      <c r="C82" s="181" t="s">
        <v>120</v>
      </c>
      <c r="D82" s="11" t="s">
        <v>13</v>
      </c>
      <c r="E82" s="86">
        <v>783616</v>
      </c>
      <c r="G82" s="23"/>
      <c r="H82" s="23"/>
      <c r="I82" s="159"/>
      <c r="J82" s="160"/>
      <c r="K82" s="160"/>
      <c r="L82" s="70"/>
    </row>
    <row r="83" spans="1:12" s="2" customFormat="1" x14ac:dyDescent="0.2">
      <c r="A83" s="89" t="s">
        <v>2231</v>
      </c>
      <c r="B83" s="128" t="s">
        <v>6</v>
      </c>
      <c r="C83" s="181" t="s">
        <v>761</v>
      </c>
      <c r="D83" s="11" t="s">
        <v>13</v>
      </c>
      <c r="E83" s="86">
        <v>20828</v>
      </c>
      <c r="G83" s="23"/>
      <c r="H83" s="23"/>
      <c r="I83" s="159"/>
      <c r="J83" s="160"/>
      <c r="K83" s="160"/>
      <c r="L83" s="70"/>
    </row>
    <row r="84" spans="1:12" s="2" customFormat="1" x14ac:dyDescent="0.2">
      <c r="A84" s="89" t="s">
        <v>2231</v>
      </c>
      <c r="B84" s="128" t="s">
        <v>6</v>
      </c>
      <c r="C84" s="181" t="s">
        <v>200</v>
      </c>
      <c r="D84" s="11" t="s">
        <v>13</v>
      </c>
      <c r="E84" s="86">
        <v>40374</v>
      </c>
      <c r="G84" s="23"/>
      <c r="H84" s="23"/>
      <c r="I84" s="159"/>
      <c r="J84" s="160"/>
      <c r="K84" s="160"/>
      <c r="L84" s="70"/>
    </row>
    <row r="85" spans="1:12" s="2" customFormat="1" x14ac:dyDescent="0.2">
      <c r="A85" s="89" t="s">
        <v>2231</v>
      </c>
      <c r="B85" s="128" t="s">
        <v>6</v>
      </c>
      <c r="C85" s="181" t="s">
        <v>332</v>
      </c>
      <c r="D85" s="11" t="s">
        <v>13</v>
      </c>
      <c r="E85" s="86">
        <v>669476</v>
      </c>
      <c r="G85" s="23"/>
      <c r="H85" s="23"/>
      <c r="I85" s="159"/>
      <c r="J85" s="160"/>
      <c r="K85" s="160"/>
      <c r="L85" s="70"/>
    </row>
    <row r="86" spans="1:12" s="2" customFormat="1" x14ac:dyDescent="0.2">
      <c r="A86" s="89" t="s">
        <v>2231</v>
      </c>
      <c r="B86" s="128" t="s">
        <v>6</v>
      </c>
      <c r="C86" s="181" t="s">
        <v>386</v>
      </c>
      <c r="D86" s="11" t="s">
        <v>13</v>
      </c>
      <c r="E86" s="86">
        <v>153526</v>
      </c>
      <c r="G86" s="23"/>
      <c r="H86" s="23"/>
      <c r="I86" s="159"/>
      <c r="J86" s="160"/>
      <c r="K86" s="160"/>
      <c r="L86" s="70"/>
    </row>
    <row r="87" spans="1:12" s="2" customFormat="1" x14ac:dyDescent="0.2">
      <c r="A87" s="89" t="s">
        <v>2231</v>
      </c>
      <c r="B87" s="128" t="s">
        <v>6</v>
      </c>
      <c r="C87" s="181" t="s">
        <v>1533</v>
      </c>
      <c r="D87" s="11" t="s">
        <v>13</v>
      </c>
      <c r="E87" s="86">
        <v>348990</v>
      </c>
      <c r="G87" s="23"/>
      <c r="H87" s="23"/>
      <c r="I87" s="159"/>
      <c r="J87" s="160"/>
      <c r="K87" s="160"/>
      <c r="L87" s="70"/>
    </row>
    <row r="88" spans="1:12" s="2" customFormat="1" x14ac:dyDescent="0.2">
      <c r="A88" s="89" t="s">
        <v>2231</v>
      </c>
      <c r="B88" s="128" t="s">
        <v>6</v>
      </c>
      <c r="C88" s="181" t="s">
        <v>122</v>
      </c>
      <c r="D88" s="11" t="s">
        <v>13</v>
      </c>
      <c r="E88" s="86">
        <v>160250</v>
      </c>
      <c r="G88" s="23"/>
      <c r="H88" s="23"/>
      <c r="I88" s="159"/>
      <c r="J88" s="160"/>
      <c r="K88" s="160"/>
      <c r="L88" s="70"/>
    </row>
    <row r="89" spans="1:12" s="2" customFormat="1" x14ac:dyDescent="0.2">
      <c r="A89" s="89" t="s">
        <v>2231</v>
      </c>
      <c r="B89" s="128" t="s">
        <v>6</v>
      </c>
      <c r="C89" s="181" t="s">
        <v>819</v>
      </c>
      <c r="D89" s="11" t="s">
        <v>13</v>
      </c>
      <c r="E89" s="86">
        <v>11393</v>
      </c>
      <c r="G89" s="23"/>
      <c r="H89" s="23"/>
      <c r="I89" s="159"/>
      <c r="J89" s="160"/>
      <c r="K89" s="160"/>
      <c r="L89" s="70"/>
    </row>
    <row r="90" spans="1:12" s="2" customFormat="1" x14ac:dyDescent="0.2">
      <c r="A90" s="89" t="s">
        <v>2231</v>
      </c>
      <c r="B90" s="128" t="s">
        <v>6</v>
      </c>
      <c r="C90" s="181" t="s">
        <v>2081</v>
      </c>
      <c r="D90" s="11" t="s">
        <v>13</v>
      </c>
      <c r="E90" s="86">
        <v>50000</v>
      </c>
      <c r="G90" s="23"/>
      <c r="H90" s="23"/>
      <c r="I90" s="159"/>
      <c r="J90" s="160"/>
      <c r="K90" s="160"/>
      <c r="L90" s="70"/>
    </row>
    <row r="91" spans="1:12" s="2" customFormat="1" x14ac:dyDescent="0.2">
      <c r="A91" s="89" t="s">
        <v>2231</v>
      </c>
      <c r="B91" s="128" t="s">
        <v>6</v>
      </c>
      <c r="C91" s="181" t="s">
        <v>443</v>
      </c>
      <c r="D91" s="11" t="s">
        <v>13</v>
      </c>
      <c r="E91" s="86">
        <v>15000000</v>
      </c>
      <c r="G91" s="23"/>
      <c r="H91" s="23"/>
      <c r="I91" s="159"/>
      <c r="J91" s="160"/>
      <c r="K91" s="160"/>
      <c r="L91" s="70"/>
    </row>
    <row r="92" spans="1:12" s="2" customFormat="1" x14ac:dyDescent="0.2">
      <c r="A92" s="89" t="s">
        <v>2231</v>
      </c>
      <c r="B92" s="128" t="s">
        <v>6</v>
      </c>
      <c r="C92" s="181" t="s">
        <v>299</v>
      </c>
      <c r="D92" s="11" t="s">
        <v>13</v>
      </c>
      <c r="E92" s="86">
        <v>81131</v>
      </c>
      <c r="G92" s="23"/>
      <c r="H92" s="23"/>
      <c r="I92" s="159"/>
      <c r="J92" s="160"/>
      <c r="K92" s="160"/>
      <c r="L92" s="70"/>
    </row>
    <row r="93" spans="1:12" s="2" customFormat="1" x14ac:dyDescent="0.2">
      <c r="A93" s="89" t="s">
        <v>2231</v>
      </c>
      <c r="B93" s="128" t="s">
        <v>6</v>
      </c>
      <c r="C93" s="181" t="s">
        <v>174</v>
      </c>
      <c r="D93" s="11" t="s">
        <v>13</v>
      </c>
      <c r="E93" s="86">
        <v>7035</v>
      </c>
      <c r="G93" s="23"/>
      <c r="H93" s="23"/>
      <c r="I93" s="159"/>
      <c r="J93" s="160"/>
      <c r="K93" s="160"/>
      <c r="L93" s="70"/>
    </row>
    <row r="94" spans="1:12" s="2" customFormat="1" x14ac:dyDescent="0.2">
      <c r="A94" s="89" t="s">
        <v>2231</v>
      </c>
      <c r="B94" s="128" t="s">
        <v>6</v>
      </c>
      <c r="C94" s="181" t="s">
        <v>146</v>
      </c>
      <c r="D94" s="11" t="s">
        <v>13</v>
      </c>
      <c r="E94" s="86">
        <v>6007008</v>
      </c>
      <c r="G94" s="23"/>
      <c r="H94" s="23"/>
      <c r="I94" s="159"/>
      <c r="J94" s="160"/>
      <c r="K94" s="160"/>
      <c r="L94" s="70"/>
    </row>
    <row r="95" spans="1:12" s="2" customFormat="1" x14ac:dyDescent="0.2">
      <c r="A95" s="89" t="s">
        <v>2231</v>
      </c>
      <c r="B95" s="128" t="s">
        <v>6</v>
      </c>
      <c r="C95" s="181" t="s">
        <v>317</v>
      </c>
      <c r="D95" s="11" t="s">
        <v>13</v>
      </c>
      <c r="E95" s="86">
        <v>126000</v>
      </c>
      <c r="G95" s="23"/>
      <c r="H95" s="23"/>
      <c r="I95" s="159"/>
      <c r="J95" s="160"/>
      <c r="K95" s="160"/>
      <c r="L95" s="70"/>
    </row>
    <row r="96" spans="1:12" s="2" customFormat="1" x14ac:dyDescent="0.2">
      <c r="A96" s="89" t="s">
        <v>2231</v>
      </c>
      <c r="B96" s="128" t="s">
        <v>6</v>
      </c>
      <c r="C96" s="181" t="s">
        <v>843</v>
      </c>
      <c r="D96" s="11" t="s">
        <v>13</v>
      </c>
      <c r="E96" s="86">
        <v>337001</v>
      </c>
      <c r="G96" s="23"/>
      <c r="H96" s="23"/>
      <c r="I96" s="159"/>
      <c r="J96" s="160"/>
      <c r="K96" s="160"/>
      <c r="L96" s="70"/>
    </row>
    <row r="97" spans="1:12" s="2" customFormat="1" x14ac:dyDescent="0.2">
      <c r="A97" s="89" t="s">
        <v>2231</v>
      </c>
      <c r="B97" s="128" t="s">
        <v>6</v>
      </c>
      <c r="C97" s="181" t="s">
        <v>318</v>
      </c>
      <c r="D97" s="11" t="s">
        <v>13</v>
      </c>
      <c r="E97" s="86">
        <v>815822</v>
      </c>
      <c r="G97" s="23"/>
      <c r="H97" s="23"/>
      <c r="I97" s="159"/>
      <c r="J97" s="160"/>
      <c r="K97" s="160"/>
      <c r="L97" s="70"/>
    </row>
    <row r="98" spans="1:12" s="2" customFormat="1" x14ac:dyDescent="0.2">
      <c r="A98" s="89" t="s">
        <v>2231</v>
      </c>
      <c r="B98" s="128" t="s">
        <v>6</v>
      </c>
      <c r="C98" s="181" t="s">
        <v>785</v>
      </c>
      <c r="D98" s="11" t="s">
        <v>13</v>
      </c>
      <c r="E98" s="86">
        <v>12263979</v>
      </c>
      <c r="G98" s="23"/>
      <c r="H98" s="23"/>
      <c r="I98" s="159"/>
      <c r="J98" s="160"/>
      <c r="K98" s="160"/>
      <c r="L98" s="70"/>
    </row>
    <row r="99" spans="1:12" s="2" customFormat="1" x14ac:dyDescent="0.2">
      <c r="A99" s="89" t="s">
        <v>2231</v>
      </c>
      <c r="B99" s="128" t="s">
        <v>6</v>
      </c>
      <c r="C99" s="181" t="s">
        <v>104</v>
      </c>
      <c r="D99" s="11" t="s">
        <v>13</v>
      </c>
      <c r="E99" s="86">
        <v>4200</v>
      </c>
      <c r="G99" s="23"/>
      <c r="H99" s="23"/>
      <c r="I99" s="159"/>
      <c r="J99" s="160"/>
      <c r="K99" s="160"/>
      <c r="L99" s="70"/>
    </row>
    <row r="100" spans="1:12" s="2" customFormat="1" x14ac:dyDescent="0.2">
      <c r="A100" s="89" t="s">
        <v>2231</v>
      </c>
      <c r="B100" s="128" t="s">
        <v>6</v>
      </c>
      <c r="C100" s="181" t="s">
        <v>905</v>
      </c>
      <c r="D100" s="11" t="s">
        <v>13</v>
      </c>
      <c r="E100" s="86">
        <v>3922870.5</v>
      </c>
      <c r="G100" s="23"/>
      <c r="H100" s="23"/>
      <c r="I100" s="159"/>
      <c r="J100" s="160"/>
      <c r="K100" s="160"/>
      <c r="L100" s="70"/>
    </row>
    <row r="101" spans="1:12" s="2" customFormat="1" x14ac:dyDescent="0.2">
      <c r="A101" s="89" t="s">
        <v>2231</v>
      </c>
      <c r="B101" s="128" t="s">
        <v>6</v>
      </c>
      <c r="C101" s="181" t="s">
        <v>1240</v>
      </c>
      <c r="D101" s="11" t="s">
        <v>13</v>
      </c>
      <c r="E101" s="86">
        <v>3402</v>
      </c>
      <c r="G101" s="23"/>
      <c r="H101" s="23"/>
      <c r="I101" s="159"/>
      <c r="J101" s="160"/>
      <c r="K101" s="160"/>
      <c r="L101" s="70"/>
    </row>
    <row r="102" spans="1:12" s="2" customFormat="1" x14ac:dyDescent="0.2">
      <c r="A102" s="89" t="s">
        <v>2231</v>
      </c>
      <c r="B102" s="128" t="s">
        <v>6</v>
      </c>
      <c r="C102" s="181" t="s">
        <v>1496</v>
      </c>
      <c r="D102" s="11" t="s">
        <v>13</v>
      </c>
      <c r="E102" s="86">
        <v>1193433</v>
      </c>
      <c r="G102" s="23"/>
      <c r="H102" s="23"/>
      <c r="I102" s="159"/>
      <c r="J102" s="160"/>
      <c r="K102" s="160"/>
      <c r="L102" s="70"/>
    </row>
    <row r="103" spans="1:12" s="2" customFormat="1" x14ac:dyDescent="0.2">
      <c r="A103" s="89" t="s">
        <v>2231</v>
      </c>
      <c r="B103" s="128" t="s">
        <v>6</v>
      </c>
      <c r="C103" s="181" t="s">
        <v>759</v>
      </c>
      <c r="D103" s="11" t="s">
        <v>13</v>
      </c>
      <c r="E103" s="86">
        <v>423672.2</v>
      </c>
      <c r="G103" s="23"/>
      <c r="H103" s="23"/>
      <c r="I103" s="159"/>
      <c r="J103" s="160"/>
      <c r="K103" s="160"/>
      <c r="L103" s="70"/>
    </row>
    <row r="104" spans="1:12" s="2" customFormat="1" x14ac:dyDescent="0.2">
      <c r="A104" s="89" t="s">
        <v>2231</v>
      </c>
      <c r="B104" s="128" t="s">
        <v>6</v>
      </c>
      <c r="C104" s="181" t="s">
        <v>2232</v>
      </c>
      <c r="D104" s="11" t="s">
        <v>13</v>
      </c>
      <c r="E104" s="86">
        <v>282542</v>
      </c>
      <c r="G104" s="23"/>
      <c r="H104" s="23"/>
      <c r="I104" s="159"/>
      <c r="J104" s="160"/>
      <c r="K104" s="160"/>
      <c r="L104" s="70"/>
    </row>
    <row r="105" spans="1:12" s="2" customFormat="1" x14ac:dyDescent="0.2">
      <c r="A105" s="89" t="s">
        <v>2231</v>
      </c>
      <c r="B105" s="128" t="s">
        <v>6</v>
      </c>
      <c r="C105" s="181" t="s">
        <v>2233</v>
      </c>
      <c r="D105" s="11" t="s">
        <v>13</v>
      </c>
      <c r="E105" s="86">
        <v>81642</v>
      </c>
      <c r="G105" s="23"/>
      <c r="H105" s="23"/>
      <c r="I105" s="159"/>
      <c r="J105" s="160"/>
      <c r="K105" s="160"/>
      <c r="L105" s="70"/>
    </row>
    <row r="106" spans="1:12" s="2" customFormat="1" x14ac:dyDescent="0.2">
      <c r="A106" s="89" t="s">
        <v>2231</v>
      </c>
      <c r="B106" s="128" t="s">
        <v>6</v>
      </c>
      <c r="C106" s="181" t="s">
        <v>2234</v>
      </c>
      <c r="D106" s="11" t="s">
        <v>13</v>
      </c>
      <c r="E106" s="86">
        <v>299036</v>
      </c>
      <c r="G106" s="23"/>
      <c r="H106" s="23"/>
      <c r="I106" s="159"/>
      <c r="J106" s="160"/>
      <c r="K106" s="160"/>
      <c r="L106" s="70"/>
    </row>
    <row r="107" spans="1:12" s="2" customFormat="1" x14ac:dyDescent="0.2">
      <c r="A107" s="89" t="s">
        <v>2231</v>
      </c>
      <c r="B107" s="128" t="s">
        <v>6</v>
      </c>
      <c r="C107" s="181" t="s">
        <v>556</v>
      </c>
      <c r="D107" s="11" t="s">
        <v>13</v>
      </c>
      <c r="E107" s="86">
        <v>519939</v>
      </c>
      <c r="G107" s="23"/>
      <c r="H107" s="23"/>
      <c r="I107" s="159"/>
      <c r="J107" s="160"/>
      <c r="K107" s="160"/>
      <c r="L107" s="70"/>
    </row>
    <row r="108" spans="1:12" s="2" customFormat="1" x14ac:dyDescent="0.2">
      <c r="A108" s="89" t="s">
        <v>2231</v>
      </c>
      <c r="B108" s="128" t="s">
        <v>6</v>
      </c>
      <c r="C108" s="181" t="s">
        <v>538</v>
      </c>
      <c r="D108" s="11" t="s">
        <v>13</v>
      </c>
      <c r="E108" s="86">
        <v>5875</v>
      </c>
      <c r="G108" s="23"/>
      <c r="H108" s="23"/>
      <c r="I108" s="159"/>
      <c r="J108" s="160"/>
      <c r="K108" s="160"/>
      <c r="L108" s="70"/>
    </row>
    <row r="109" spans="1:12" s="2" customFormat="1" x14ac:dyDescent="0.2">
      <c r="A109" s="89" t="s">
        <v>2231</v>
      </c>
      <c r="B109" s="128" t="s">
        <v>6</v>
      </c>
      <c r="C109" s="181" t="s">
        <v>320</v>
      </c>
      <c r="D109" s="11" t="s">
        <v>13</v>
      </c>
      <c r="E109" s="86">
        <v>419058</v>
      </c>
      <c r="G109" s="23"/>
      <c r="H109" s="23"/>
      <c r="I109" s="159"/>
      <c r="J109" s="160"/>
      <c r="K109" s="160"/>
      <c r="L109" s="70"/>
    </row>
    <row r="110" spans="1:12" s="2" customFormat="1" x14ac:dyDescent="0.2">
      <c r="A110" s="89" t="s">
        <v>2231</v>
      </c>
      <c r="B110" s="128" t="s">
        <v>6</v>
      </c>
      <c r="C110" s="181" t="s">
        <v>486</v>
      </c>
      <c r="D110" s="11" t="s">
        <v>13</v>
      </c>
      <c r="E110" s="86">
        <v>5000000</v>
      </c>
      <c r="G110" s="23"/>
      <c r="H110" s="23"/>
      <c r="I110" s="159"/>
      <c r="J110" s="160"/>
      <c r="K110" s="160"/>
      <c r="L110" s="70"/>
    </row>
    <row r="111" spans="1:12" s="2" customFormat="1" x14ac:dyDescent="0.2">
      <c r="A111" s="89" t="s">
        <v>2231</v>
      </c>
      <c r="B111" s="128" t="s">
        <v>6</v>
      </c>
      <c r="C111" s="181" t="s">
        <v>177</v>
      </c>
      <c r="D111" s="11" t="s">
        <v>13</v>
      </c>
      <c r="E111" s="86">
        <v>5141898</v>
      </c>
      <c r="G111" s="23"/>
      <c r="H111" s="23"/>
      <c r="I111" s="159"/>
      <c r="J111" s="160"/>
      <c r="K111" s="160"/>
      <c r="L111" s="70"/>
    </row>
    <row r="112" spans="1:12" s="2" customFormat="1" x14ac:dyDescent="0.2">
      <c r="A112" s="89" t="s">
        <v>2231</v>
      </c>
      <c r="B112" s="128" t="s">
        <v>6</v>
      </c>
      <c r="C112" s="181" t="s">
        <v>27</v>
      </c>
      <c r="D112" s="11" t="s">
        <v>13</v>
      </c>
      <c r="E112" s="86">
        <v>1287663.1000000001</v>
      </c>
      <c r="G112" s="23"/>
      <c r="H112" s="23"/>
      <c r="I112" s="159"/>
      <c r="J112" s="160"/>
      <c r="K112" s="160"/>
      <c r="L112" s="70"/>
    </row>
    <row r="113" spans="1:12" s="2" customFormat="1" x14ac:dyDescent="0.2">
      <c r="A113" s="89" t="s">
        <v>2231</v>
      </c>
      <c r="B113" s="128" t="s">
        <v>6</v>
      </c>
      <c r="C113" s="181" t="s">
        <v>1959</v>
      </c>
      <c r="D113" s="11" t="s">
        <v>13</v>
      </c>
      <c r="E113" s="86">
        <v>27154</v>
      </c>
      <c r="G113" s="23"/>
      <c r="H113" s="23"/>
      <c r="I113" s="159"/>
      <c r="J113" s="160"/>
      <c r="K113" s="160"/>
      <c r="L113" s="70"/>
    </row>
    <row r="114" spans="1:12" s="2" customFormat="1" x14ac:dyDescent="0.2">
      <c r="A114" s="89" t="s">
        <v>2231</v>
      </c>
      <c r="B114" s="128" t="s">
        <v>6</v>
      </c>
      <c r="C114" s="181" t="s">
        <v>19</v>
      </c>
      <c r="D114" s="11" t="s">
        <v>13</v>
      </c>
      <c r="E114" s="86">
        <v>731121</v>
      </c>
      <c r="G114" s="23"/>
      <c r="H114" s="23"/>
      <c r="I114" s="159"/>
      <c r="J114" s="160"/>
      <c r="K114" s="160"/>
      <c r="L114" s="70"/>
    </row>
    <row r="115" spans="1:12" s="2" customFormat="1" x14ac:dyDescent="0.2">
      <c r="A115" s="89" t="s">
        <v>2231</v>
      </c>
      <c r="B115" s="128" t="s">
        <v>6</v>
      </c>
      <c r="C115" s="181" t="s">
        <v>2047</v>
      </c>
      <c r="D115" s="11" t="s">
        <v>13</v>
      </c>
      <c r="E115" s="86">
        <v>81344</v>
      </c>
      <c r="G115" s="23"/>
      <c r="H115" s="23"/>
      <c r="I115" s="159"/>
      <c r="J115" s="160"/>
      <c r="K115" s="160"/>
      <c r="L115" s="70"/>
    </row>
    <row r="116" spans="1:12" s="2" customFormat="1" x14ac:dyDescent="0.2">
      <c r="A116" s="89" t="s">
        <v>2231</v>
      </c>
      <c r="B116" s="128" t="s">
        <v>6</v>
      </c>
      <c r="C116" s="181" t="s">
        <v>149</v>
      </c>
      <c r="D116" s="11" t="s">
        <v>13</v>
      </c>
      <c r="E116" s="86">
        <v>13734</v>
      </c>
      <c r="G116" s="23"/>
      <c r="H116" s="23"/>
      <c r="I116" s="159"/>
      <c r="J116" s="160"/>
      <c r="K116" s="160"/>
      <c r="L116" s="70"/>
    </row>
    <row r="117" spans="1:12" s="2" customFormat="1" x14ac:dyDescent="0.2">
      <c r="A117" s="89" t="s">
        <v>2231</v>
      </c>
      <c r="B117" s="128" t="s">
        <v>6</v>
      </c>
      <c r="C117" s="181" t="s">
        <v>389</v>
      </c>
      <c r="D117" s="11" t="s">
        <v>13</v>
      </c>
      <c r="E117" s="86">
        <v>695081.76</v>
      </c>
      <c r="G117" s="23"/>
      <c r="H117" s="23"/>
      <c r="I117" s="159"/>
      <c r="J117" s="160"/>
      <c r="K117" s="160"/>
      <c r="L117" s="70"/>
    </row>
    <row r="118" spans="1:12" s="2" customFormat="1" x14ac:dyDescent="0.2">
      <c r="A118" s="89" t="s">
        <v>2231</v>
      </c>
      <c r="B118" s="128" t="s">
        <v>6</v>
      </c>
      <c r="C118" s="181" t="s">
        <v>15</v>
      </c>
      <c r="D118" s="11" t="s">
        <v>13</v>
      </c>
      <c r="E118" s="86">
        <v>129471.5</v>
      </c>
      <c r="G118" s="23"/>
      <c r="H118" s="23"/>
      <c r="I118" s="159"/>
      <c r="J118" s="160"/>
      <c r="K118" s="160"/>
      <c r="L118" s="70"/>
    </row>
    <row r="119" spans="1:12" s="2" customFormat="1" x14ac:dyDescent="0.2">
      <c r="A119" s="89" t="s">
        <v>2231</v>
      </c>
      <c r="B119" s="128" t="s">
        <v>11</v>
      </c>
      <c r="C119" s="181" t="s">
        <v>64</v>
      </c>
      <c r="D119" s="11" t="s">
        <v>29</v>
      </c>
      <c r="E119" s="86"/>
      <c r="F119" s="2">
        <v>38847.17</v>
      </c>
      <c r="G119" s="23"/>
      <c r="H119" s="23"/>
      <c r="I119" s="159"/>
      <c r="J119" s="160"/>
      <c r="K119" s="160"/>
      <c r="L119" s="70"/>
    </row>
    <row r="120" spans="1:12" s="2" customFormat="1" x14ac:dyDescent="0.2">
      <c r="A120" s="89" t="s">
        <v>2231</v>
      </c>
      <c r="B120" s="128" t="s">
        <v>11</v>
      </c>
      <c r="C120" s="181" t="s">
        <v>15</v>
      </c>
      <c r="D120" s="11" t="s">
        <v>29</v>
      </c>
      <c r="E120" s="86"/>
      <c r="F120" s="2">
        <v>271915.93000000005</v>
      </c>
      <c r="G120" s="23"/>
      <c r="H120" s="23"/>
      <c r="I120" s="159"/>
      <c r="J120" s="160"/>
      <c r="K120" s="160"/>
      <c r="L120" s="70"/>
    </row>
    <row r="121" spans="1:12" s="2" customFormat="1" x14ac:dyDescent="0.2">
      <c r="A121" s="89" t="s">
        <v>2231</v>
      </c>
      <c r="B121" s="128" t="s">
        <v>11</v>
      </c>
      <c r="C121" s="181" t="s">
        <v>1798</v>
      </c>
      <c r="D121" s="11" t="s">
        <v>29</v>
      </c>
      <c r="E121" s="86"/>
      <c r="F121" s="2">
        <v>982997</v>
      </c>
      <c r="G121" s="23"/>
      <c r="H121" s="23"/>
      <c r="I121" s="159"/>
      <c r="J121" s="160"/>
      <c r="K121" s="160"/>
      <c r="L121" s="70"/>
    </row>
    <row r="122" spans="1:12" s="2" customFormat="1" x14ac:dyDescent="0.2">
      <c r="A122" s="89" t="s">
        <v>2231</v>
      </c>
      <c r="B122" s="128" t="s">
        <v>11</v>
      </c>
      <c r="C122" s="181" t="s">
        <v>1979</v>
      </c>
      <c r="D122" s="11" t="s">
        <v>29</v>
      </c>
      <c r="E122" s="86"/>
      <c r="F122" s="2">
        <v>146922.16</v>
      </c>
      <c r="G122" s="23"/>
      <c r="H122" s="23"/>
      <c r="I122" s="159"/>
      <c r="J122" s="160"/>
      <c r="K122" s="160"/>
      <c r="L122" s="70"/>
    </row>
    <row r="123" spans="1:12" s="2" customFormat="1" x14ac:dyDescent="0.2">
      <c r="A123" s="89" t="s">
        <v>2231</v>
      </c>
      <c r="B123" s="128" t="s">
        <v>11</v>
      </c>
      <c r="C123" s="181" t="s">
        <v>1936</v>
      </c>
      <c r="D123" s="11" t="s">
        <v>29</v>
      </c>
      <c r="E123" s="86"/>
      <c r="F123" s="2">
        <v>5556108</v>
      </c>
      <c r="G123" s="23"/>
      <c r="H123" s="23"/>
      <c r="I123" s="159"/>
      <c r="J123" s="160"/>
      <c r="K123" s="160"/>
      <c r="L123" s="70"/>
    </row>
    <row r="124" spans="1:12" s="2" customFormat="1" x14ac:dyDescent="0.2">
      <c r="A124" s="89" t="s">
        <v>2231</v>
      </c>
      <c r="B124" s="128" t="s">
        <v>11</v>
      </c>
      <c r="C124" s="181" t="s">
        <v>1472</v>
      </c>
      <c r="D124" s="11" t="s">
        <v>29</v>
      </c>
      <c r="E124" s="86"/>
      <c r="F124" s="2">
        <v>529667</v>
      </c>
      <c r="G124" s="23"/>
      <c r="H124" s="23"/>
      <c r="I124" s="159"/>
      <c r="J124" s="160"/>
      <c r="K124" s="160"/>
      <c r="L124" s="70"/>
    </row>
    <row r="125" spans="1:12" s="2" customFormat="1" x14ac:dyDescent="0.2">
      <c r="A125" s="89" t="s">
        <v>2231</v>
      </c>
      <c r="B125" s="128" t="s">
        <v>11</v>
      </c>
      <c r="C125" s="181" t="s">
        <v>1884</v>
      </c>
      <c r="D125" s="11" t="s">
        <v>29</v>
      </c>
      <c r="E125" s="86"/>
      <c r="F125" s="2">
        <v>7739911</v>
      </c>
      <c r="G125" s="23"/>
      <c r="H125" s="23"/>
      <c r="I125" s="159"/>
      <c r="J125" s="160"/>
      <c r="K125" s="160"/>
      <c r="L125" s="70"/>
    </row>
    <row r="126" spans="1:12" s="2" customFormat="1" x14ac:dyDescent="0.2">
      <c r="A126" s="89" t="s">
        <v>2231</v>
      </c>
      <c r="B126" s="128" t="s">
        <v>11</v>
      </c>
      <c r="C126" s="181" t="s">
        <v>1403</v>
      </c>
      <c r="D126" s="11" t="s">
        <v>29</v>
      </c>
      <c r="E126" s="86"/>
      <c r="F126" s="2">
        <v>1258320</v>
      </c>
      <c r="G126" s="23"/>
      <c r="H126" s="23"/>
      <c r="I126" s="159"/>
      <c r="J126" s="160"/>
      <c r="K126" s="160"/>
      <c r="L126" s="70"/>
    </row>
    <row r="127" spans="1:12" s="2" customFormat="1" x14ac:dyDescent="0.2">
      <c r="A127" s="89" t="s">
        <v>2231</v>
      </c>
      <c r="B127" s="128" t="s">
        <v>11</v>
      </c>
      <c r="C127" s="181" t="s">
        <v>1734</v>
      </c>
      <c r="D127" s="11" t="s">
        <v>29</v>
      </c>
      <c r="E127" s="86"/>
      <c r="F127" s="2">
        <v>450828</v>
      </c>
      <c r="G127" s="23"/>
      <c r="H127" s="23"/>
      <c r="I127" s="159"/>
      <c r="J127" s="160"/>
      <c r="K127" s="160"/>
      <c r="L127" s="70"/>
    </row>
    <row r="128" spans="1:12" s="2" customFormat="1" x14ac:dyDescent="0.2">
      <c r="A128" s="89" t="s">
        <v>2231</v>
      </c>
      <c r="B128" s="128" t="s">
        <v>11</v>
      </c>
      <c r="C128" s="181" t="s">
        <v>2235</v>
      </c>
      <c r="D128" s="11" t="s">
        <v>29</v>
      </c>
      <c r="E128" s="86"/>
      <c r="F128" s="2">
        <v>360904.34</v>
      </c>
      <c r="G128" s="23"/>
      <c r="H128" s="23"/>
      <c r="I128" s="159"/>
      <c r="J128" s="160"/>
      <c r="K128" s="160"/>
      <c r="L128" s="70"/>
    </row>
    <row r="129" spans="1:16" s="2" customFormat="1" x14ac:dyDescent="0.2">
      <c r="A129" s="89" t="s">
        <v>2231</v>
      </c>
      <c r="B129" s="128" t="s">
        <v>11</v>
      </c>
      <c r="C129" s="181" t="s">
        <v>269</v>
      </c>
      <c r="D129" s="11" t="s">
        <v>29</v>
      </c>
      <c r="E129" s="86"/>
      <c r="F129" s="2">
        <v>3401099</v>
      </c>
      <c r="G129" s="23"/>
      <c r="H129" s="23"/>
      <c r="I129" s="159"/>
      <c r="J129" s="160"/>
      <c r="K129" s="160"/>
      <c r="L129" s="70"/>
    </row>
    <row r="130" spans="1:16" s="2" customFormat="1" x14ac:dyDescent="0.2">
      <c r="A130" s="89" t="s">
        <v>2231</v>
      </c>
      <c r="B130" s="128" t="s">
        <v>11</v>
      </c>
      <c r="C130" s="181" t="s">
        <v>56</v>
      </c>
      <c r="D130" s="11" t="s">
        <v>29</v>
      </c>
      <c r="E130" s="86"/>
      <c r="F130" s="2">
        <v>1300527</v>
      </c>
      <c r="G130" s="23"/>
      <c r="H130" s="23"/>
      <c r="I130" s="159"/>
      <c r="J130" s="160"/>
      <c r="K130" s="160"/>
      <c r="L130" s="70"/>
    </row>
    <row r="131" spans="1:16" s="2" customFormat="1" x14ac:dyDescent="0.2">
      <c r="A131" s="89" t="s">
        <v>2231</v>
      </c>
      <c r="B131" s="128" t="s">
        <v>11</v>
      </c>
      <c r="C131" s="181" t="s">
        <v>745</v>
      </c>
      <c r="D131" s="11" t="s">
        <v>29</v>
      </c>
      <c r="E131" s="86"/>
      <c r="F131" s="2">
        <v>1430747</v>
      </c>
      <c r="G131" s="23"/>
      <c r="H131" s="23"/>
      <c r="I131" s="159"/>
      <c r="J131" s="160"/>
      <c r="K131" s="160"/>
      <c r="L131" s="70"/>
    </row>
    <row r="132" spans="1:16" s="2" customFormat="1" x14ac:dyDescent="0.2">
      <c r="A132" s="89" t="s">
        <v>2231</v>
      </c>
      <c r="B132" s="128" t="s">
        <v>11</v>
      </c>
      <c r="C132" s="181" t="s">
        <v>193</v>
      </c>
      <c r="D132" s="11" t="s">
        <v>29</v>
      </c>
      <c r="E132" s="86"/>
      <c r="F132" s="2">
        <v>2091454</v>
      </c>
      <c r="G132" s="23"/>
      <c r="H132" s="23"/>
      <c r="I132" s="159"/>
      <c r="J132" s="160"/>
      <c r="K132" s="160"/>
      <c r="L132" s="70"/>
    </row>
    <row r="133" spans="1:16" s="2" customFormat="1" x14ac:dyDescent="0.2">
      <c r="A133" s="89" t="s">
        <v>2231</v>
      </c>
      <c r="B133" s="128" t="s">
        <v>11</v>
      </c>
      <c r="C133" s="181" t="s">
        <v>2098</v>
      </c>
      <c r="D133" s="11" t="s">
        <v>29</v>
      </c>
      <c r="E133" s="86"/>
      <c r="F133" s="2">
        <v>246829.9</v>
      </c>
      <c r="G133" s="23"/>
      <c r="H133" s="23"/>
      <c r="I133" s="159"/>
      <c r="J133" s="160"/>
      <c r="K133" s="160"/>
      <c r="L133" s="70"/>
    </row>
    <row r="134" spans="1:16" s="2" customFormat="1" x14ac:dyDescent="0.2">
      <c r="A134" s="89" t="s">
        <v>2231</v>
      </c>
      <c r="B134" s="128" t="s">
        <v>11</v>
      </c>
      <c r="C134" s="181" t="s">
        <v>300</v>
      </c>
      <c r="D134" s="11" t="s">
        <v>29</v>
      </c>
      <c r="E134" s="86"/>
      <c r="F134" s="2">
        <v>232939</v>
      </c>
      <c r="G134" s="23"/>
      <c r="H134" s="23"/>
      <c r="I134" s="159"/>
      <c r="J134" s="160"/>
      <c r="K134" s="160"/>
      <c r="L134" s="70"/>
    </row>
    <row r="135" spans="1:16" s="2" customFormat="1" x14ac:dyDescent="0.2">
      <c r="A135" s="89" t="s">
        <v>2231</v>
      </c>
      <c r="B135" s="128" t="s">
        <v>11</v>
      </c>
      <c r="C135" s="181" t="s">
        <v>790</v>
      </c>
      <c r="D135" s="11" t="s">
        <v>29</v>
      </c>
      <c r="E135" s="86"/>
      <c r="F135" s="2">
        <v>864415</v>
      </c>
      <c r="G135" s="23"/>
      <c r="H135" s="23"/>
      <c r="I135" s="159"/>
      <c r="J135" s="160"/>
      <c r="K135" s="160"/>
      <c r="L135" s="70"/>
    </row>
    <row r="136" spans="1:16" s="2" customFormat="1" x14ac:dyDescent="0.2">
      <c r="A136" s="89" t="s">
        <v>2231</v>
      </c>
      <c r="B136" s="128" t="s">
        <v>11</v>
      </c>
      <c r="C136" s="181" t="s">
        <v>194</v>
      </c>
      <c r="D136" s="11" t="s">
        <v>29</v>
      </c>
      <c r="E136" s="86"/>
      <c r="F136" s="2">
        <v>1894362</v>
      </c>
      <c r="G136" s="23"/>
      <c r="H136" s="23"/>
      <c r="I136" s="159"/>
      <c r="J136" s="160"/>
      <c r="K136" s="160"/>
      <c r="L136" s="70"/>
    </row>
    <row r="137" spans="1:16" s="2" customFormat="1" x14ac:dyDescent="0.2">
      <c r="A137" s="89" t="s">
        <v>2231</v>
      </c>
      <c r="B137" s="128" t="s">
        <v>11</v>
      </c>
      <c r="C137" s="181" t="s">
        <v>2074</v>
      </c>
      <c r="D137" s="11" t="s">
        <v>29</v>
      </c>
      <c r="E137" s="86"/>
      <c r="F137" s="2">
        <v>343100</v>
      </c>
      <c r="G137" s="23"/>
      <c r="H137" s="23"/>
      <c r="I137" s="159"/>
      <c r="J137" s="160"/>
      <c r="K137" s="160"/>
      <c r="L137" s="70"/>
    </row>
    <row r="138" spans="1:16" s="70" customFormat="1" x14ac:dyDescent="0.2">
      <c r="A138" s="32"/>
      <c r="B138" s="33"/>
      <c r="C138" s="14"/>
      <c r="D138" s="34"/>
      <c r="E138" s="16">
        <f>SUM(E77:E137)</f>
        <v>72137142.690000013</v>
      </c>
      <c r="F138" s="16">
        <f>SUM(F77:F137)</f>
        <v>40599165.619999908</v>
      </c>
      <c r="G138" s="1"/>
      <c r="H138" s="1"/>
      <c r="I138" s="1"/>
      <c r="J138" s="38">
        <v>31537977.07</v>
      </c>
      <c r="K138" s="2"/>
      <c r="L138" s="92">
        <f>E139+J138</f>
        <v>-1.0430812835693359E-7</v>
      </c>
      <c r="M138" s="2"/>
      <c r="N138" s="2"/>
      <c r="O138" s="2"/>
      <c r="P138" s="2"/>
    </row>
    <row r="139" spans="1:16" s="70" customFormat="1" x14ac:dyDescent="0.2">
      <c r="A139" s="36"/>
      <c r="B139" s="28" t="s">
        <v>11</v>
      </c>
      <c r="C139" s="19" t="s">
        <v>65</v>
      </c>
      <c r="D139" s="37"/>
      <c r="E139" s="38">
        <f>F138-E138</f>
        <v>-31537977.070000105</v>
      </c>
      <c r="F139" s="22"/>
      <c r="G139" s="1"/>
      <c r="H139" s="1"/>
      <c r="I139" s="1"/>
      <c r="M139" s="2"/>
      <c r="N139" s="2"/>
      <c r="O139" s="1"/>
      <c r="P139" s="2"/>
    </row>
    <row r="140" spans="1:16" s="70" customFormat="1" x14ac:dyDescent="0.2">
      <c r="A140" s="36"/>
      <c r="B140" s="28" t="s">
        <v>66</v>
      </c>
      <c r="C140" s="19" t="s">
        <v>67</v>
      </c>
      <c r="D140" s="37"/>
      <c r="E140" s="38">
        <v>11500000</v>
      </c>
      <c r="F140" s="22"/>
      <c r="G140" s="1"/>
      <c r="H140" s="1"/>
      <c r="M140" s="2"/>
      <c r="N140" s="2"/>
      <c r="O140" s="1"/>
      <c r="P140" s="2"/>
    </row>
    <row r="141" spans="1:16" s="70" customFormat="1" x14ac:dyDescent="0.2">
      <c r="A141" s="36"/>
      <c r="B141" s="28" t="s">
        <v>66</v>
      </c>
      <c r="C141" s="43" t="s">
        <v>1457</v>
      </c>
      <c r="D141" s="43"/>
      <c r="E141" s="12">
        <f>400000000</f>
        <v>400000000</v>
      </c>
      <c r="F141" s="22"/>
      <c r="G141" s="1"/>
      <c r="H141" s="1"/>
      <c r="J141" s="45">
        <v>1794.23</v>
      </c>
      <c r="K141" s="46"/>
      <c r="L141" s="46"/>
      <c r="M141" s="2"/>
      <c r="N141" s="2"/>
      <c r="O141" s="1"/>
      <c r="P141" s="2"/>
    </row>
    <row r="142" spans="1:16" s="70" customFormat="1" ht="15" x14ac:dyDescent="0.25">
      <c r="A142" s="36"/>
      <c r="B142" s="28"/>
      <c r="C142" s="44" t="s">
        <v>1541</v>
      </c>
      <c r="D142" s="43"/>
      <c r="E142" s="7">
        <f>+E141+E139+E140</f>
        <v>379962022.92999989</v>
      </c>
      <c r="F142" s="22"/>
      <c r="G142" s="1"/>
      <c r="H142" s="1"/>
      <c r="I142" s="103" t="s">
        <v>69</v>
      </c>
      <c r="J142" s="45">
        <v>-36.590000000000003</v>
      </c>
      <c r="K142" s="46"/>
      <c r="L142" s="46"/>
      <c r="M142" s="2"/>
      <c r="N142" s="2"/>
      <c r="O142" s="1"/>
      <c r="P142" s="2"/>
    </row>
    <row r="143" spans="1:16" s="70" customFormat="1" ht="15" x14ac:dyDescent="0.25">
      <c r="A143" s="24"/>
      <c r="B143" s="1"/>
      <c r="C143" s="44" t="s">
        <v>1510</v>
      </c>
      <c r="D143" s="25"/>
      <c r="E143" s="156">
        <f>+J76-E140+I72-J72</f>
        <v>120037977.06999999</v>
      </c>
      <c r="F143" s="2"/>
      <c r="G143" s="1"/>
      <c r="H143" s="1"/>
      <c r="I143" s="35">
        <v>1</v>
      </c>
      <c r="J143" s="45">
        <v>29.38</v>
      </c>
      <c r="K143" s="46">
        <f>+J144-D146</f>
        <v>0</v>
      </c>
      <c r="L143" s="2"/>
      <c r="M143" s="2"/>
      <c r="N143" s="2"/>
      <c r="O143" s="1"/>
      <c r="P143" s="2"/>
    </row>
    <row r="144" spans="1:16" s="70" customFormat="1" ht="12.75" customHeight="1" x14ac:dyDescent="0.2">
      <c r="A144" s="24"/>
      <c r="B144" s="1"/>
      <c r="C144" s="56"/>
      <c r="D144" s="56"/>
      <c r="E144" s="104"/>
      <c r="F144" s="2"/>
      <c r="G144" s="166"/>
      <c r="H144" s="166"/>
      <c r="J144" s="49">
        <f>SUM(J141:J143)</f>
        <v>1787.0200000000002</v>
      </c>
      <c r="K144" s="46"/>
      <c r="L144" s="46"/>
      <c r="M144" s="124"/>
      <c r="N144" s="124"/>
      <c r="O144" s="1"/>
      <c r="P144" s="2"/>
    </row>
    <row r="145" spans="1:19" s="70" customFormat="1" ht="12.75" customHeight="1" x14ac:dyDescent="0.2">
      <c r="A145" s="24"/>
      <c r="B145" s="1"/>
      <c r="C145" s="78" t="s">
        <v>575</v>
      </c>
      <c r="D145" s="48" t="s">
        <v>576</v>
      </c>
      <c r="E145" s="104"/>
      <c r="F145" s="2"/>
      <c r="G145" s="168"/>
      <c r="H145" s="168"/>
      <c r="I145" s="167"/>
      <c r="J145" s="167"/>
      <c r="K145" s="168"/>
      <c r="L145" s="124"/>
      <c r="M145" s="124"/>
      <c r="N145" s="124"/>
      <c r="O145" s="124"/>
      <c r="P145" s="2"/>
    </row>
    <row r="146" spans="1:19" s="70" customFormat="1" ht="12.75" customHeight="1" x14ac:dyDescent="0.2">
      <c r="A146" s="24"/>
      <c r="B146" s="1"/>
      <c r="C146" s="47" t="s">
        <v>570</v>
      </c>
      <c r="D146" s="111">
        <v>1787.02</v>
      </c>
      <c r="E146" s="104"/>
      <c r="F146" s="2"/>
      <c r="G146" s="168"/>
      <c r="H146" s="168"/>
      <c r="I146" s="110" t="s">
        <v>581</v>
      </c>
      <c r="J146" s="167"/>
      <c r="K146" s="168"/>
      <c r="L146" s="124"/>
      <c r="M146" s="124"/>
      <c r="N146" s="124"/>
      <c r="O146" s="124"/>
      <c r="P146" s="124"/>
    </row>
    <row r="147" spans="1:19" s="70" customFormat="1" ht="12.75" customHeight="1" x14ac:dyDescent="0.2">
      <c r="A147" s="24"/>
      <c r="B147" s="1"/>
      <c r="C147" s="47" t="s">
        <v>931</v>
      </c>
      <c r="D147" s="111">
        <v>170.87</v>
      </c>
      <c r="E147" s="104"/>
      <c r="F147" s="2"/>
      <c r="G147" s="168"/>
      <c r="H147" s="168"/>
      <c r="I147" s="110" t="s">
        <v>580</v>
      </c>
      <c r="J147" s="167"/>
      <c r="K147" s="168"/>
      <c r="L147" s="124"/>
      <c r="M147" s="124"/>
      <c r="N147" s="124"/>
      <c r="O147" s="124"/>
      <c r="P147" s="124"/>
    </row>
    <row r="148" spans="1:19" s="70" customFormat="1" ht="12.75" customHeight="1" x14ac:dyDescent="0.2">
      <c r="A148" s="24"/>
      <c r="B148" s="1"/>
      <c r="C148" s="47" t="s">
        <v>572</v>
      </c>
      <c r="D148" s="111">
        <f>+D189/100000</f>
        <v>649.20952440000008</v>
      </c>
      <c r="E148" s="104"/>
      <c r="F148" s="2"/>
      <c r="G148" s="166"/>
      <c r="H148" s="166"/>
      <c r="I148" s="90" t="s">
        <v>587</v>
      </c>
      <c r="J148" s="167"/>
      <c r="K148" s="168"/>
      <c r="L148" s="124"/>
      <c r="M148" s="124"/>
      <c r="N148" s="124"/>
      <c r="O148" s="124"/>
      <c r="P148" s="124"/>
    </row>
    <row r="149" spans="1:19" s="70" customFormat="1" ht="12.75" customHeight="1" x14ac:dyDescent="0.2">
      <c r="A149" s="24"/>
      <c r="B149" s="1"/>
      <c r="C149" s="108" t="s">
        <v>578</v>
      </c>
      <c r="D149" s="48">
        <f>SUM(D146:D148)</f>
        <v>2607.0995244000001</v>
      </c>
      <c r="E149" s="104"/>
      <c r="F149" s="2"/>
      <c r="G149" s="30"/>
      <c r="H149" s="30"/>
      <c r="I149" s="2"/>
      <c r="J149" s="13"/>
      <c r="K149" s="13"/>
      <c r="L149" s="2"/>
      <c r="M149" s="2"/>
      <c r="N149" s="2"/>
      <c r="O149" s="124"/>
      <c r="P149" s="124"/>
    </row>
    <row r="150" spans="1:19" s="70" customFormat="1" ht="12.75" customHeight="1" x14ac:dyDescent="0.2">
      <c r="A150" s="24"/>
      <c r="B150" s="1"/>
      <c r="C150" s="47"/>
      <c r="D150" s="107"/>
      <c r="E150" s="104"/>
      <c r="F150" s="2"/>
      <c r="G150" s="30"/>
      <c r="H150" s="30"/>
      <c r="I150" s="2"/>
      <c r="O150" s="2"/>
      <c r="P150" s="124"/>
    </row>
    <row r="151" spans="1:19" s="70" customFormat="1" ht="12.75" customHeight="1" x14ac:dyDescent="0.2">
      <c r="A151" s="24"/>
      <c r="B151" s="1"/>
      <c r="C151" s="47" t="s">
        <v>932</v>
      </c>
      <c r="D151" s="111">
        <v>542.28</v>
      </c>
      <c r="E151" s="104"/>
      <c r="F151" s="2"/>
      <c r="G151" s="30"/>
      <c r="H151" s="30"/>
      <c r="I151" s="110" t="s">
        <v>581</v>
      </c>
      <c r="P151" s="2"/>
    </row>
    <row r="152" spans="1:19" s="70" customFormat="1" ht="12.75" customHeight="1" x14ac:dyDescent="0.2">
      <c r="A152" s="24"/>
      <c r="B152" s="1"/>
      <c r="C152" s="136" t="s">
        <v>1142</v>
      </c>
      <c r="D152" s="111">
        <v>482.31</v>
      </c>
      <c r="E152" s="104"/>
      <c r="F152" s="2"/>
      <c r="G152" s="30"/>
      <c r="H152" s="30"/>
      <c r="I152" s="110" t="s">
        <v>581</v>
      </c>
    </row>
    <row r="153" spans="1:19" s="70" customFormat="1" ht="12.75" customHeight="1" x14ac:dyDescent="0.2">
      <c r="A153" s="24"/>
      <c r="B153" s="1"/>
      <c r="C153" s="78" t="s">
        <v>579</v>
      </c>
      <c r="D153" s="109">
        <f>D151+D152</f>
        <v>1024.5899999999999</v>
      </c>
      <c r="E153" s="104"/>
      <c r="F153" s="2"/>
      <c r="G153" s="30"/>
      <c r="H153" s="30"/>
      <c r="Q153" s="2"/>
      <c r="R153" s="2"/>
      <c r="S153" s="2"/>
    </row>
    <row r="154" spans="1:19" s="2" customFormat="1" x14ac:dyDescent="0.2">
      <c r="A154" s="24"/>
      <c r="B154" s="1"/>
      <c r="C154" s="105"/>
      <c r="D154" s="106"/>
      <c r="E154" s="104"/>
      <c r="G154" s="30"/>
      <c r="H154" s="30"/>
      <c r="I154" s="70"/>
      <c r="K154" s="221" t="str">
        <f>"FROM ( 01-03-2024 to "&amp;TEXT(A5,"dd-mm-yyyy")&amp;" )"</f>
        <v>FROM ( 01-03-2024 to 18-03-2024 )</v>
      </c>
      <c r="L154" s="221"/>
      <c r="O154" s="70"/>
      <c r="P154" s="70"/>
    </row>
    <row r="155" spans="1:19" s="2" customFormat="1" x14ac:dyDescent="0.2">
      <c r="A155" s="24"/>
      <c r="B155" s="1"/>
      <c r="C155" s="78" t="s">
        <v>577</v>
      </c>
      <c r="D155" s="109">
        <f>D146+D153</f>
        <v>2811.6099999999997</v>
      </c>
      <c r="E155" s="104"/>
      <c r="G155" s="30"/>
      <c r="H155" s="30"/>
      <c r="I155" s="70"/>
      <c r="J155" s="113"/>
      <c r="K155" s="113" t="s">
        <v>709</v>
      </c>
      <c r="L155" s="113" t="s">
        <v>710</v>
      </c>
      <c r="M155" s="113" t="s">
        <v>711</v>
      </c>
      <c r="N155" s="113" t="s">
        <v>712</v>
      </c>
      <c r="O155" s="70"/>
      <c r="P155" s="70"/>
    </row>
    <row r="156" spans="1:19" s="2" customFormat="1" x14ac:dyDescent="0.2">
      <c r="A156" s="24"/>
      <c r="B156" s="1"/>
      <c r="C156" s="56"/>
      <c r="D156" s="56"/>
      <c r="E156" s="104"/>
      <c r="G156" s="30"/>
      <c r="H156" s="30"/>
      <c r="I156" s="70"/>
      <c r="J156" s="113" t="s">
        <v>1860</v>
      </c>
      <c r="K156" s="115">
        <v>195.8</v>
      </c>
      <c r="L156" s="115">
        <v>0</v>
      </c>
      <c r="M156" s="115">
        <v>0</v>
      </c>
      <c r="N156" s="113">
        <f>+K156+M156-L156</f>
        <v>195.8</v>
      </c>
      <c r="O156" s="70"/>
      <c r="P156" s="70"/>
    </row>
    <row r="157" spans="1:19" s="2" customFormat="1" ht="38.25" x14ac:dyDescent="0.2">
      <c r="A157" s="24"/>
      <c r="B157" s="1"/>
      <c r="C157" s="79" t="str">
        <f>"Particulars ( 01-03-2024 to "&amp;TEXT(A5,"dd-mm-yyyy")&amp;" )"</f>
        <v>Particulars ( 01-03-2024 to 18-03-2024 )</v>
      </c>
      <c r="D157" s="79" t="s">
        <v>7</v>
      </c>
      <c r="E157" s="80" t="s">
        <v>73</v>
      </c>
      <c r="F157" s="80" t="s">
        <v>74</v>
      </c>
      <c r="G157" s="81" t="s">
        <v>75</v>
      </c>
      <c r="H157" s="80" t="s">
        <v>76</v>
      </c>
      <c r="I157" s="70"/>
      <c r="J157" s="113" t="s">
        <v>1861</v>
      </c>
      <c r="K157" s="115">
        <v>1882.55</v>
      </c>
      <c r="L157" s="115">
        <v>649.21</v>
      </c>
      <c r="M157" s="115">
        <v>482.31</v>
      </c>
      <c r="N157" s="113">
        <f>+K157+M157-L157</f>
        <v>1715.65</v>
      </c>
      <c r="O157" s="70"/>
      <c r="P157" s="70"/>
    </row>
    <row r="158" spans="1:19" s="2" customFormat="1" x14ac:dyDescent="0.2">
      <c r="A158" s="24"/>
      <c r="B158" s="1"/>
      <c r="C158" s="50" t="s">
        <v>444</v>
      </c>
      <c r="D158" s="55">
        <f>+K158</f>
        <v>463.26</v>
      </c>
      <c r="E158" s="55">
        <f>+IF(M158=0,0,M158)</f>
        <v>542.28</v>
      </c>
      <c r="F158" s="55">
        <f>+L158</f>
        <v>170.87</v>
      </c>
      <c r="G158" s="55">
        <f>+D158+E158-F158</f>
        <v>834.67</v>
      </c>
      <c r="H158" s="55">
        <f>1500-G158</f>
        <v>665.33</v>
      </c>
      <c r="I158" s="70">
        <f>+IF(M158=0,0,M158)</f>
        <v>542.28</v>
      </c>
      <c r="J158" s="113" t="s">
        <v>707</v>
      </c>
      <c r="K158" s="115">
        <v>463.26</v>
      </c>
      <c r="L158" s="115">
        <v>170.87</v>
      </c>
      <c r="M158" s="115">
        <v>542.28</v>
      </c>
      <c r="N158" s="113">
        <f>+K158+M158-L158</f>
        <v>834.67</v>
      </c>
      <c r="O158" s="70"/>
      <c r="P158" s="70"/>
    </row>
    <row r="159" spans="1:19" s="2" customFormat="1" x14ac:dyDescent="0.2">
      <c r="A159" s="24"/>
      <c r="B159" s="1"/>
      <c r="C159" s="50" t="s">
        <v>71</v>
      </c>
      <c r="D159" s="55">
        <f>+K156+K157</f>
        <v>2078.35</v>
      </c>
      <c r="E159" s="55">
        <f>+M156+M157</f>
        <v>482.31</v>
      </c>
      <c r="F159" s="55">
        <f>+L156+L157</f>
        <v>649.21</v>
      </c>
      <c r="G159" s="55">
        <f>+D159+E159-F159</f>
        <v>1911.4499999999998</v>
      </c>
      <c r="H159" s="55">
        <f>1500+700+200-G159</f>
        <v>488.55000000000018</v>
      </c>
      <c r="I159" s="70"/>
      <c r="K159" s="118">
        <f>SUM(K156:K158)</f>
        <v>2541.6099999999997</v>
      </c>
      <c r="L159" s="118">
        <f>SUM(L156:L158)</f>
        <v>820.08</v>
      </c>
      <c r="M159" s="118">
        <f>SUM(M156:M158)</f>
        <v>1024.5899999999999</v>
      </c>
      <c r="N159" s="118">
        <f>SUM(N156:N158)</f>
        <v>2746.12</v>
      </c>
      <c r="O159" s="70"/>
      <c r="P159" s="70"/>
    </row>
    <row r="160" spans="1:19" s="2" customFormat="1" x14ac:dyDescent="0.2">
      <c r="A160" s="24"/>
      <c r="B160" s="1"/>
      <c r="C160" s="14"/>
      <c r="D160" s="56"/>
      <c r="E160" s="13"/>
      <c r="G160" s="30"/>
      <c r="H160" s="30"/>
      <c r="I160" s="70"/>
      <c r="J160" s="70"/>
      <c r="K160" s="70"/>
      <c r="L160" s="70"/>
      <c r="M160" s="70"/>
      <c r="N160" s="70"/>
      <c r="O160" s="70"/>
      <c r="P160" s="70"/>
    </row>
    <row r="161" spans="1:16" s="2" customFormat="1" x14ac:dyDescent="0.2">
      <c r="A161" s="215" t="s">
        <v>80</v>
      </c>
      <c r="B161" s="216"/>
      <c r="C161" s="216"/>
      <c r="D161" s="217"/>
      <c r="E161" s="69"/>
      <c r="F161" s="70"/>
      <c r="G161" s="30"/>
      <c r="H161" s="30"/>
      <c r="I161" s="70"/>
      <c r="J161" s="70"/>
      <c r="K161" s="70"/>
      <c r="L161" s="70"/>
      <c r="M161" s="70"/>
      <c r="N161" s="70"/>
      <c r="O161" s="70"/>
      <c r="P161" s="70"/>
    </row>
    <row r="162" spans="1:16" s="2" customFormat="1" x14ac:dyDescent="0.2">
      <c r="A162" s="71" t="s">
        <v>81</v>
      </c>
      <c r="B162" s="71"/>
      <c r="C162" s="72" t="s">
        <v>82</v>
      </c>
      <c r="D162" s="73" t="s">
        <v>83</v>
      </c>
      <c r="E162" s="69"/>
      <c r="F162" s="70"/>
      <c r="G162" s="30"/>
      <c r="H162" s="30"/>
      <c r="I162" s="70"/>
      <c r="J162" s="70"/>
      <c r="K162" s="70"/>
      <c r="L162" s="70"/>
      <c r="M162" s="70"/>
      <c r="N162" s="70"/>
      <c r="O162" s="70"/>
      <c r="P162" s="70"/>
    </row>
    <row r="163" spans="1:16" s="2" customFormat="1" x14ac:dyDescent="0.2">
      <c r="A163" s="87">
        <v>45352</v>
      </c>
      <c r="B163" s="120" t="s">
        <v>6</v>
      </c>
      <c r="C163" s="75" t="s">
        <v>594</v>
      </c>
      <c r="D163" s="88">
        <v>2143144</v>
      </c>
      <c r="G163" s="30"/>
      <c r="H163" s="30"/>
      <c r="P163" s="70"/>
    </row>
    <row r="164" spans="1:16" s="2" customFormat="1" x14ac:dyDescent="0.2">
      <c r="A164" s="87">
        <v>45352</v>
      </c>
      <c r="B164" s="120" t="s">
        <v>6</v>
      </c>
      <c r="C164" s="75" t="s">
        <v>271</v>
      </c>
      <c r="D164" s="88">
        <v>1493463</v>
      </c>
      <c r="G164" s="30"/>
      <c r="H164" s="30"/>
      <c r="P164" s="70"/>
    </row>
    <row r="165" spans="1:16" s="2" customFormat="1" x14ac:dyDescent="0.2">
      <c r="A165" s="87">
        <v>45356</v>
      </c>
      <c r="B165" s="120" t="s">
        <v>6</v>
      </c>
      <c r="C165" s="75" t="s">
        <v>84</v>
      </c>
      <c r="D165" s="88">
        <v>3111466</v>
      </c>
      <c r="G165" s="30"/>
      <c r="H165" s="30"/>
      <c r="P165" s="70"/>
    </row>
    <row r="166" spans="1:16" s="2" customFormat="1" x14ac:dyDescent="0.2">
      <c r="A166" s="87">
        <v>45356</v>
      </c>
      <c r="B166" s="120" t="s">
        <v>6</v>
      </c>
      <c r="C166" s="75" t="s">
        <v>271</v>
      </c>
      <c r="D166" s="88">
        <v>1369091</v>
      </c>
      <c r="G166" s="30"/>
      <c r="H166" s="30"/>
      <c r="P166" s="70"/>
    </row>
    <row r="167" spans="1:16" s="2" customFormat="1" x14ac:dyDescent="0.2">
      <c r="A167" s="87">
        <v>45357</v>
      </c>
      <c r="B167" s="120" t="s">
        <v>6</v>
      </c>
      <c r="C167" s="75" t="s">
        <v>271</v>
      </c>
      <c r="D167" s="88">
        <v>1393433</v>
      </c>
      <c r="G167" s="30"/>
      <c r="H167" s="30"/>
      <c r="P167" s="70"/>
    </row>
    <row r="168" spans="1:16" s="2" customFormat="1" x14ac:dyDescent="0.2">
      <c r="A168" s="87">
        <v>45359</v>
      </c>
      <c r="B168" s="120" t="s">
        <v>6</v>
      </c>
      <c r="C168" s="75" t="s">
        <v>271</v>
      </c>
      <c r="D168" s="88">
        <v>730944</v>
      </c>
      <c r="G168" s="30"/>
      <c r="H168" s="30"/>
      <c r="P168" s="70"/>
    </row>
    <row r="169" spans="1:16" s="2" customFormat="1" x14ac:dyDescent="0.2">
      <c r="A169" s="87">
        <v>45359</v>
      </c>
      <c r="B169" s="120" t="s">
        <v>6</v>
      </c>
      <c r="C169" s="75" t="s">
        <v>18</v>
      </c>
      <c r="D169" s="88">
        <v>19228</v>
      </c>
      <c r="G169" s="30"/>
      <c r="H169" s="30"/>
      <c r="P169" s="70"/>
    </row>
    <row r="170" spans="1:16" s="2" customFormat="1" x14ac:dyDescent="0.2">
      <c r="A170" s="87">
        <v>45362</v>
      </c>
      <c r="B170" s="120" t="s">
        <v>6</v>
      </c>
      <c r="C170" s="75" t="s">
        <v>1789</v>
      </c>
      <c r="D170" s="88">
        <v>2568137</v>
      </c>
      <c r="G170" s="30"/>
      <c r="H170" s="30"/>
      <c r="P170" s="70"/>
    </row>
    <row r="171" spans="1:16" s="2" customFormat="1" x14ac:dyDescent="0.2">
      <c r="A171" s="87">
        <v>45362</v>
      </c>
      <c r="B171" s="120" t="s">
        <v>6</v>
      </c>
      <c r="C171" s="75" t="s">
        <v>85</v>
      </c>
      <c r="D171" s="88">
        <v>39949</v>
      </c>
      <c r="G171" s="30"/>
      <c r="H171" s="30"/>
      <c r="P171" s="70"/>
    </row>
    <row r="172" spans="1:16" s="2" customFormat="1" x14ac:dyDescent="0.2">
      <c r="A172" s="87">
        <v>45362</v>
      </c>
      <c r="B172" s="120" t="s">
        <v>6</v>
      </c>
      <c r="C172" s="75" t="s">
        <v>85</v>
      </c>
      <c r="D172" s="88">
        <v>219691</v>
      </c>
      <c r="G172" s="30"/>
      <c r="H172" s="30"/>
      <c r="P172" s="70"/>
    </row>
    <row r="173" spans="1:16" s="2" customFormat="1" x14ac:dyDescent="0.2">
      <c r="A173" s="87">
        <v>45363</v>
      </c>
      <c r="B173" s="120" t="s">
        <v>6</v>
      </c>
      <c r="C173" s="75" t="s">
        <v>271</v>
      </c>
      <c r="D173" s="88">
        <v>952416</v>
      </c>
      <c r="G173" s="30"/>
      <c r="H173" s="30"/>
      <c r="P173" s="70"/>
    </row>
    <row r="174" spans="1:16" s="2" customFormat="1" x14ac:dyDescent="0.2">
      <c r="A174" s="87">
        <v>45363</v>
      </c>
      <c r="B174" s="120" t="s">
        <v>6</v>
      </c>
      <c r="C174" s="75" t="s">
        <v>18</v>
      </c>
      <c r="D174" s="88">
        <v>591483</v>
      </c>
      <c r="G174" s="30"/>
      <c r="H174" s="30"/>
      <c r="P174" s="70"/>
    </row>
    <row r="175" spans="1:16" s="2" customFormat="1" x14ac:dyDescent="0.2">
      <c r="A175" s="87">
        <v>45364</v>
      </c>
      <c r="B175" s="120" t="s">
        <v>6</v>
      </c>
      <c r="C175" s="75" t="s">
        <v>85</v>
      </c>
      <c r="D175" s="88">
        <v>701638</v>
      </c>
      <c r="G175" s="30"/>
      <c r="H175" s="30"/>
      <c r="P175" s="70"/>
    </row>
    <row r="176" spans="1:16" s="2" customFormat="1" x14ac:dyDescent="0.2">
      <c r="A176" s="87">
        <v>45364</v>
      </c>
      <c r="B176" s="120" t="s">
        <v>6</v>
      </c>
      <c r="C176" s="75" t="s">
        <v>86</v>
      </c>
      <c r="D176" s="88">
        <v>1887871</v>
      </c>
      <c r="G176" s="30"/>
      <c r="H176" s="30"/>
      <c r="P176" s="70"/>
    </row>
    <row r="177" spans="1:16" s="2" customFormat="1" x14ac:dyDescent="0.2">
      <c r="A177" s="87">
        <v>45366</v>
      </c>
      <c r="B177" s="120" t="s">
        <v>6</v>
      </c>
      <c r="C177" s="75" t="s">
        <v>201</v>
      </c>
      <c r="D177" s="88">
        <v>6161756</v>
      </c>
      <c r="G177" s="30"/>
      <c r="H177" s="30"/>
      <c r="P177" s="70"/>
    </row>
    <row r="178" spans="1:16" s="2" customFormat="1" x14ac:dyDescent="0.2">
      <c r="A178" s="87">
        <v>45366</v>
      </c>
      <c r="B178" s="120" t="s">
        <v>6</v>
      </c>
      <c r="C178" s="75" t="s">
        <v>1789</v>
      </c>
      <c r="D178" s="88">
        <v>7500000</v>
      </c>
      <c r="G178" s="30"/>
      <c r="H178" s="30"/>
      <c r="P178" s="70"/>
    </row>
    <row r="179" spans="1:16" s="2" customFormat="1" x14ac:dyDescent="0.2">
      <c r="A179" s="87">
        <v>45366</v>
      </c>
      <c r="B179" s="120" t="s">
        <v>6</v>
      </c>
      <c r="C179" s="75" t="s">
        <v>85</v>
      </c>
      <c r="D179" s="88">
        <v>306349</v>
      </c>
      <c r="G179" s="30"/>
      <c r="H179" s="30"/>
      <c r="P179" s="70"/>
    </row>
    <row r="180" spans="1:16" s="2" customFormat="1" x14ac:dyDescent="0.2">
      <c r="A180" s="87">
        <v>45366</v>
      </c>
      <c r="B180" s="120" t="s">
        <v>6</v>
      </c>
      <c r="C180" s="75" t="s">
        <v>85</v>
      </c>
      <c r="D180" s="88">
        <v>400000</v>
      </c>
      <c r="G180" s="30"/>
      <c r="H180" s="30"/>
      <c r="P180" s="70"/>
    </row>
    <row r="181" spans="1:16" s="2" customFormat="1" x14ac:dyDescent="0.2">
      <c r="A181" s="87">
        <v>45366</v>
      </c>
      <c r="B181" s="120" t="s">
        <v>6</v>
      </c>
      <c r="C181" s="75" t="s">
        <v>87</v>
      </c>
      <c r="D181" s="88">
        <v>4850915</v>
      </c>
      <c r="G181" s="30"/>
      <c r="H181" s="30"/>
      <c r="P181" s="70"/>
    </row>
    <row r="182" spans="1:16" s="2" customFormat="1" x14ac:dyDescent="0.2">
      <c r="A182" s="87">
        <v>45366</v>
      </c>
      <c r="B182" s="120" t="s">
        <v>6</v>
      </c>
      <c r="C182" s="75" t="s">
        <v>88</v>
      </c>
      <c r="D182" s="88">
        <v>5232207.0599999996</v>
      </c>
      <c r="G182" s="30"/>
      <c r="H182" s="30"/>
      <c r="P182" s="70"/>
    </row>
    <row r="183" spans="1:16" s="2" customFormat="1" x14ac:dyDescent="0.2">
      <c r="A183" s="87">
        <v>45366</v>
      </c>
      <c r="B183" s="120" t="s">
        <v>6</v>
      </c>
      <c r="C183" s="75" t="s">
        <v>201</v>
      </c>
      <c r="D183" s="88">
        <v>9960808.3800000008</v>
      </c>
      <c r="G183" s="30"/>
      <c r="H183" s="30"/>
      <c r="P183" s="70"/>
    </row>
    <row r="184" spans="1:16" s="2" customFormat="1" x14ac:dyDescent="0.2">
      <c r="A184" s="87">
        <v>45366</v>
      </c>
      <c r="B184" s="120" t="s">
        <v>6</v>
      </c>
      <c r="C184" s="75" t="s">
        <v>86</v>
      </c>
      <c r="D184" s="88">
        <v>7162826</v>
      </c>
      <c r="G184" s="30"/>
      <c r="H184" s="30"/>
      <c r="P184" s="70"/>
    </row>
    <row r="185" spans="1:16" s="2" customFormat="1" x14ac:dyDescent="0.2">
      <c r="A185" s="87">
        <v>45366</v>
      </c>
      <c r="B185" s="120" t="s">
        <v>6</v>
      </c>
      <c r="C185" s="75" t="s">
        <v>323</v>
      </c>
      <c r="D185" s="88">
        <v>1044131</v>
      </c>
      <c r="G185" s="30"/>
      <c r="H185" s="30"/>
      <c r="P185" s="70"/>
    </row>
    <row r="186" spans="1:16" s="2" customFormat="1" x14ac:dyDescent="0.2">
      <c r="A186" s="87">
        <v>45366</v>
      </c>
      <c r="B186" s="120" t="s">
        <v>6</v>
      </c>
      <c r="C186" s="75" t="s">
        <v>1789</v>
      </c>
      <c r="D186" s="88">
        <v>39309</v>
      </c>
      <c r="G186" s="30"/>
      <c r="H186" s="30"/>
      <c r="P186" s="70"/>
    </row>
    <row r="187" spans="1:16" s="2" customFormat="1" x14ac:dyDescent="0.2">
      <c r="A187" s="87">
        <v>45366</v>
      </c>
      <c r="B187" s="120" t="s">
        <v>6</v>
      </c>
      <c r="C187" s="75" t="s">
        <v>88</v>
      </c>
      <c r="D187" s="88">
        <v>30421</v>
      </c>
      <c r="G187" s="30"/>
      <c r="H187" s="30"/>
      <c r="P187" s="70"/>
    </row>
    <row r="188" spans="1:16" s="2" customFormat="1" x14ac:dyDescent="0.2">
      <c r="A188" s="87">
        <v>45367</v>
      </c>
      <c r="B188" s="120" t="s">
        <v>6</v>
      </c>
      <c r="C188" s="75" t="s">
        <v>594</v>
      </c>
      <c r="D188" s="88">
        <v>5010276</v>
      </c>
      <c r="G188" s="30"/>
      <c r="H188" s="30"/>
      <c r="P188" s="70"/>
    </row>
    <row r="189" spans="1:16" s="2" customFormat="1" x14ac:dyDescent="0.2">
      <c r="A189" s="87"/>
      <c r="B189" s="74"/>
      <c r="C189" s="183" t="s">
        <v>2141</v>
      </c>
      <c r="D189" s="51">
        <f>SUM(D163:D188)</f>
        <v>64920952.440000005</v>
      </c>
      <c r="F189" s="2" t="s">
        <v>396</v>
      </c>
      <c r="G189" s="1"/>
      <c r="H189" s="1"/>
      <c r="P189" s="70"/>
    </row>
    <row r="190" spans="1:16" s="2" customFormat="1" x14ac:dyDescent="0.2">
      <c r="A190" s="24"/>
      <c r="B190" s="1"/>
      <c r="C190" s="14"/>
      <c r="D190" s="56"/>
      <c r="E190" s="13"/>
      <c r="G190" s="1"/>
      <c r="H190" s="1"/>
      <c r="I190" s="2" t="s">
        <v>396</v>
      </c>
    </row>
    <row r="191" spans="1:16" s="2" customFormat="1" x14ac:dyDescent="0.2">
      <c r="A191" s="24"/>
      <c r="B191" s="1"/>
      <c r="C191" s="218" t="s">
        <v>77</v>
      </c>
      <c r="D191" s="219"/>
      <c r="E191" s="219"/>
      <c r="F191" s="220"/>
      <c r="I191" s="2" t="s">
        <v>396</v>
      </c>
    </row>
    <row r="192" spans="1:16" s="2" customFormat="1" x14ac:dyDescent="0.2">
      <c r="A192" s="24"/>
      <c r="B192" s="1"/>
      <c r="C192" s="50"/>
      <c r="D192" s="57" t="s">
        <v>78</v>
      </c>
      <c r="E192" s="58" t="s">
        <v>79</v>
      </c>
      <c r="F192" s="57" t="s">
        <v>72</v>
      </c>
    </row>
    <row r="193" spans="1:14" s="2" customFormat="1" x14ac:dyDescent="0.2">
      <c r="A193" s="24"/>
      <c r="B193" s="1"/>
      <c r="C193" s="59" t="str">
        <f>"01-03-2024 to "&amp;TEXT(A5-2,"dd-mm-yyyy")</f>
        <v>01-03-2024 to 16-03-2024</v>
      </c>
      <c r="D193" s="60">
        <v>2293.5</v>
      </c>
      <c r="E193" s="60">
        <v>416.45</v>
      </c>
      <c r="F193" s="61">
        <f>SUM(D193:E193)</f>
        <v>2709.95</v>
      </c>
      <c r="I193" s="53"/>
    </row>
    <row r="194" spans="1:14" s="2" customFormat="1" x14ac:dyDescent="0.2">
      <c r="A194" s="24"/>
      <c r="B194" s="1"/>
      <c r="C194" s="62" t="str">
        <f>TEXT(A5-1,"dd-mm-yyyy")</f>
        <v>17-03-2024</v>
      </c>
      <c r="D194" s="60">
        <v>168.19</v>
      </c>
      <c r="E194" s="60">
        <v>3.44</v>
      </c>
      <c r="F194" s="61">
        <f>SUM(D194:E194)</f>
        <v>171.63</v>
      </c>
      <c r="G194" s="1"/>
      <c r="H194" s="1"/>
      <c r="I194" s="53"/>
    </row>
    <row r="195" spans="1:14" s="2" customFormat="1" ht="13.5" thickBot="1" x14ac:dyDescent="0.25">
      <c r="A195" s="24"/>
      <c r="B195" s="1"/>
      <c r="C195" s="63" t="str">
        <f>"01-03-2024 to "&amp;TEXT(A5-1,"dd-mm-yyyy")</f>
        <v>01-03-2024 to 17-03-2024</v>
      </c>
      <c r="D195" s="64">
        <f>SUM(D193:D194)</f>
        <v>2461.69</v>
      </c>
      <c r="E195" s="64">
        <f>SUM(E193:E194)</f>
        <v>419.89</v>
      </c>
      <c r="F195" s="64">
        <f>SUM(F193:F194)</f>
        <v>2881.58</v>
      </c>
      <c r="G195" s="1"/>
      <c r="H195" s="1"/>
      <c r="M195" s="1"/>
      <c r="N195" s="1"/>
    </row>
    <row r="196" spans="1:14" s="2" customFormat="1" ht="13.5" thickTop="1" x14ac:dyDescent="0.2">
      <c r="A196" s="24"/>
      <c r="B196" s="1"/>
      <c r="C196" s="62"/>
      <c r="D196" s="65"/>
      <c r="E196" s="66"/>
      <c r="F196" s="67"/>
      <c r="M196" s="1"/>
      <c r="N196" s="1"/>
    </row>
    <row r="197" spans="1:14" s="2" customFormat="1" x14ac:dyDescent="0.2">
      <c r="A197" s="24"/>
      <c r="B197" s="1"/>
      <c r="C197" s="62" t="str">
        <f>"01-04-2023 to " &amp;C194</f>
        <v>01-04-2023 to 17-03-2024</v>
      </c>
      <c r="D197" s="68">
        <f>+D195+41133.42</f>
        <v>43595.11</v>
      </c>
      <c r="E197" s="68">
        <f>+E195+5183.37</f>
        <v>5603.26</v>
      </c>
      <c r="F197" s="68">
        <f>+F195+46316.49</f>
        <v>49198.07</v>
      </c>
      <c r="G197" s="1"/>
      <c r="H197" s="1"/>
      <c r="M197" s="1"/>
      <c r="N197" s="1"/>
    </row>
    <row r="198" spans="1:14" s="2" customFormat="1" x14ac:dyDescent="0.2">
      <c r="A198" s="24"/>
      <c r="B198" s="1"/>
      <c r="C198" s="52"/>
      <c r="D198" s="85"/>
      <c r="E198" s="53"/>
      <c r="F198" s="53"/>
      <c r="G198" s="1"/>
      <c r="H198" s="1"/>
      <c r="M198" s="1"/>
      <c r="N198" s="1"/>
    </row>
    <row r="199" spans="1:14" s="2" customFormat="1" x14ac:dyDescent="0.2">
      <c r="A199" s="24"/>
      <c r="B199" s="1"/>
      <c r="C199" s="52"/>
      <c r="D199" s="85"/>
      <c r="E199" s="53"/>
      <c r="F199" s="53"/>
      <c r="G199" s="1"/>
      <c r="H199" s="1"/>
      <c r="M199" s="1"/>
      <c r="N199" s="1"/>
    </row>
    <row r="200" spans="1:14" s="2" customFormat="1" x14ac:dyDescent="0.2">
      <c r="A200" s="24"/>
      <c r="B200" s="1"/>
      <c r="C200" s="52"/>
      <c r="D200" s="85"/>
      <c r="E200" s="53"/>
      <c r="F200" s="53"/>
      <c r="G200" s="1"/>
      <c r="H200" s="1"/>
      <c r="M200" s="1"/>
      <c r="N200" s="1"/>
    </row>
    <row r="201" spans="1:14" s="2" customFormat="1" x14ac:dyDescent="0.2">
      <c r="A201" s="24"/>
      <c r="B201" s="1"/>
      <c r="C201" s="52"/>
      <c r="D201" s="85"/>
      <c r="E201" s="53"/>
      <c r="F201" s="53"/>
      <c r="G201" s="1"/>
      <c r="H201" s="1"/>
      <c r="M201" s="1"/>
      <c r="N201" s="1"/>
    </row>
    <row r="202" spans="1:14" s="2" customFormat="1" x14ac:dyDescent="0.2">
      <c r="A202" s="24"/>
      <c r="B202" s="1"/>
      <c r="C202" s="14"/>
      <c r="D202" s="25">
        <f>SUM(D199:D201)</f>
        <v>0</v>
      </c>
      <c r="E202" s="2">
        <f>SUM(E199:E201)</f>
        <v>0</v>
      </c>
      <c r="G202" s="1"/>
      <c r="H202" s="1"/>
      <c r="M202" s="1"/>
      <c r="N202" s="1"/>
    </row>
    <row r="203" spans="1:14" s="2" customFormat="1" x14ac:dyDescent="0.2">
      <c r="A203" s="24"/>
      <c r="B203" s="1"/>
      <c r="C203" s="14"/>
      <c r="D203" s="25"/>
      <c r="G203" s="1"/>
      <c r="H203" s="1"/>
      <c r="M203" s="1"/>
      <c r="N203" s="1"/>
    </row>
    <row r="204" spans="1:14" s="2" customFormat="1" x14ac:dyDescent="0.2">
      <c r="A204" s="24"/>
      <c r="B204" s="1"/>
      <c r="C204" s="14"/>
      <c r="D204" s="25"/>
      <c r="G204" s="1"/>
      <c r="H204" s="1"/>
      <c r="M204" s="1"/>
      <c r="N204" s="1"/>
    </row>
    <row r="205" spans="1:14" s="2" customFormat="1" x14ac:dyDescent="0.2">
      <c r="A205" s="24"/>
      <c r="B205" s="1"/>
      <c r="C205" s="14"/>
      <c r="D205" s="25"/>
      <c r="G205" s="1"/>
      <c r="H205" s="1"/>
      <c r="M205" s="1"/>
      <c r="N205" s="1"/>
    </row>
    <row r="206" spans="1:14" s="2" customFormat="1" x14ac:dyDescent="0.2">
      <c r="A206" s="24"/>
      <c r="B206" s="1"/>
      <c r="C206" s="14"/>
      <c r="D206" s="25"/>
      <c r="G206" s="1"/>
      <c r="H206" s="1"/>
      <c r="M206" s="1"/>
      <c r="N206" s="1"/>
    </row>
    <row r="207" spans="1:14" s="2" customFormat="1" x14ac:dyDescent="0.2">
      <c r="A207" s="24"/>
      <c r="B207" s="1"/>
      <c r="C207" s="14"/>
      <c r="D207" s="25"/>
      <c r="G207" s="1"/>
      <c r="H207" s="1"/>
      <c r="M207" s="1"/>
      <c r="N207" s="1"/>
    </row>
    <row r="208" spans="1:14" s="2" customFormat="1" x14ac:dyDescent="0.2">
      <c r="A208" s="24"/>
      <c r="B208" s="1"/>
      <c r="C208" s="14"/>
      <c r="D208" s="25"/>
      <c r="G208" s="1"/>
      <c r="H208" s="1"/>
      <c r="M208" s="1"/>
      <c r="N208" s="1"/>
    </row>
    <row r="209" spans="1:19" s="2" customFormat="1" x14ac:dyDescent="0.2">
      <c r="A209" s="24"/>
      <c r="B209" s="1"/>
      <c r="C209" s="14"/>
      <c r="D209" s="25"/>
      <c r="G209" s="1"/>
      <c r="H209" s="1"/>
      <c r="M209" s="1"/>
      <c r="N209" s="1"/>
      <c r="Q209" s="1"/>
      <c r="R209" s="1"/>
      <c r="S209" s="1"/>
    </row>
    <row r="210" spans="1:19" x14ac:dyDescent="0.2">
      <c r="J210" s="2"/>
      <c r="K210" s="2"/>
      <c r="L210" s="2"/>
      <c r="O210" s="2"/>
      <c r="P210" s="2"/>
      <c r="Q210" s="2"/>
      <c r="R210" s="2"/>
      <c r="S210" s="2"/>
    </row>
    <row r="211" spans="1:19" s="2" customFormat="1" x14ac:dyDescent="0.2">
      <c r="A211" s="24"/>
      <c r="B211" s="1"/>
      <c r="C211" s="14"/>
      <c r="D211" s="25"/>
      <c r="G211" s="1"/>
      <c r="H211" s="1"/>
      <c r="M211" s="1"/>
      <c r="N211" s="1"/>
      <c r="Q211" s="1"/>
      <c r="R211" s="1"/>
      <c r="S211" s="1"/>
    </row>
    <row r="212" spans="1:19" x14ac:dyDescent="0.2">
      <c r="J212" s="2"/>
      <c r="K212" s="2"/>
      <c r="L212" s="2"/>
      <c r="O212" s="2"/>
      <c r="P212" s="2"/>
    </row>
    <row r="213" spans="1:19" x14ac:dyDescent="0.2">
      <c r="J213" s="2"/>
      <c r="K213" s="2"/>
      <c r="L213" s="2"/>
      <c r="O213" s="2"/>
      <c r="P213" s="2"/>
    </row>
    <row r="214" spans="1:19" x14ac:dyDescent="0.2">
      <c r="J214" s="2"/>
      <c r="K214" s="2"/>
      <c r="L214" s="2"/>
      <c r="O214" s="2"/>
      <c r="P214" s="2"/>
    </row>
    <row r="215" spans="1:19" x14ac:dyDescent="0.2">
      <c r="J215" s="2"/>
      <c r="K215" s="2"/>
      <c r="L215" s="2"/>
      <c r="O215" s="2"/>
      <c r="P215" s="2"/>
    </row>
    <row r="216" spans="1:19" x14ac:dyDescent="0.2">
      <c r="O216" s="2"/>
      <c r="P216" s="2"/>
    </row>
    <row r="217" spans="1:19" x14ac:dyDescent="0.2">
      <c r="J217" s="2"/>
      <c r="K217" s="2"/>
      <c r="L217" s="2"/>
      <c r="M217" s="2"/>
      <c r="N217" s="2"/>
      <c r="O217" s="2"/>
      <c r="P217" s="2"/>
    </row>
    <row r="218" spans="1:19" x14ac:dyDescent="0.2">
      <c r="O218" s="2"/>
      <c r="P218" s="2"/>
    </row>
    <row r="219" spans="1:19" x14ac:dyDescent="0.2">
      <c r="G219" s="54"/>
      <c r="H219" s="54"/>
      <c r="O219" s="2"/>
      <c r="P219" s="2"/>
    </row>
    <row r="220" spans="1:19" x14ac:dyDescent="0.2">
      <c r="G220" s="54"/>
      <c r="H220" s="54"/>
      <c r="O220" s="2"/>
      <c r="P220" s="2"/>
    </row>
    <row r="221" spans="1:19" x14ac:dyDescent="0.2">
      <c r="G221" s="54"/>
      <c r="H221" s="54"/>
      <c r="O221" s="2"/>
      <c r="P221" s="2"/>
    </row>
    <row r="222" spans="1:19" x14ac:dyDescent="0.2">
      <c r="G222" s="54"/>
      <c r="H222" s="54"/>
      <c r="I222" s="2" t="s">
        <v>396</v>
      </c>
      <c r="O222" s="2"/>
      <c r="P222" s="2"/>
    </row>
    <row r="223" spans="1:19" x14ac:dyDescent="0.2">
      <c r="G223" s="54"/>
      <c r="H223" s="54"/>
      <c r="I223" s="53"/>
      <c r="J223" s="2"/>
      <c r="K223" s="2"/>
      <c r="L223" s="2"/>
      <c r="M223" s="2"/>
      <c r="N223" s="2"/>
      <c r="P223" s="2"/>
    </row>
    <row r="224" spans="1:19" x14ac:dyDescent="0.2">
      <c r="G224" s="54"/>
      <c r="H224" s="54"/>
      <c r="I224" s="53" t="s">
        <v>396</v>
      </c>
      <c r="O224" s="2"/>
      <c r="P224" s="2"/>
    </row>
    <row r="225" spans="7:16" x14ac:dyDescent="0.2">
      <c r="G225" s="54"/>
      <c r="H225" s="54"/>
      <c r="I225" s="53" t="s">
        <v>396</v>
      </c>
      <c r="K225" s="42"/>
      <c r="P225" s="2"/>
    </row>
    <row r="226" spans="7:16" x14ac:dyDescent="0.2">
      <c r="G226" s="54"/>
      <c r="H226" s="54"/>
      <c r="I226" s="53"/>
      <c r="J226" s="101"/>
      <c r="P226" s="2"/>
    </row>
    <row r="227" spans="7:16" x14ac:dyDescent="0.2">
      <c r="G227" s="54"/>
      <c r="H227" s="54"/>
      <c r="I227" s="53"/>
    </row>
    <row r="228" spans="7:16" x14ac:dyDescent="0.2">
      <c r="G228" s="54"/>
      <c r="H228" s="54"/>
      <c r="I228" s="53"/>
      <c r="P228" s="2"/>
    </row>
    <row r="229" spans="7:16" x14ac:dyDescent="0.2">
      <c r="G229" s="54"/>
      <c r="H229" s="54"/>
      <c r="I229" s="53"/>
    </row>
  </sheetData>
  <sheetProtection insertRows="0"/>
  <mergeCells count="8">
    <mergeCell ref="K154:L154"/>
    <mergeCell ref="A161:D161"/>
    <mergeCell ref="C191:F191"/>
    <mergeCell ref="A1:H1"/>
    <mergeCell ref="A3:F3"/>
    <mergeCell ref="A10:F10"/>
    <mergeCell ref="A22:F22"/>
    <mergeCell ref="A75:F75"/>
  </mergeCells>
  <conditionalFormatting sqref="H158:H159">
    <cfRule type="cellIs" dxfId="21" priority="1" operator="lessThan">
      <formula>0</formula>
    </cfRule>
  </conditionalFormatting>
  <conditionalFormatting sqref="C77">
    <cfRule type="duplicateValues" dxfId="20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1-000000000000}">
  <sheetPr codeName="Sheet576">
    <pageSetUpPr fitToPage="1"/>
  </sheetPr>
  <dimension ref="A1:S179"/>
  <sheetViews>
    <sheetView topLeftCell="A33" zoomScaleNormal="100" workbookViewId="0">
      <selection activeCell="D45" sqref="D45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12.85546875" style="1" customWidth="1"/>
    <col min="9" max="9" width="24.85546875" style="2" bestFit="1" customWidth="1"/>
    <col min="10" max="10" width="21.5703125" style="1" bestFit="1" customWidth="1"/>
    <col min="11" max="11" width="16.85546875" style="1" bestFit="1" customWidth="1"/>
    <col min="12" max="12" width="19.5703125" style="1" bestFit="1" customWidth="1"/>
    <col min="13" max="13" width="13.5703125" style="1" bestFit="1" customWidth="1"/>
    <col min="14" max="14" width="17.42578125" style="1" bestFit="1" customWidth="1"/>
    <col min="15" max="15" width="12.85546875" style="1" bestFit="1" customWidth="1"/>
    <col min="16" max="17" width="9.140625" style="1"/>
    <col min="18" max="18" width="15.5703125" style="1" bestFit="1" customWidth="1"/>
    <col min="19" max="16384" width="9.140625" style="1"/>
  </cols>
  <sheetData>
    <row r="1" spans="1:11" ht="20.25" customHeight="1" x14ac:dyDescent="0.4">
      <c r="A1" s="212" t="s">
        <v>2242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1" ht="12.75" customHeight="1" x14ac:dyDescent="0.4">
      <c r="I2" s="112"/>
      <c r="J2" s="112"/>
    </row>
    <row r="3" spans="1:11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1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1" s="2" customFormat="1" ht="14.25" customHeight="1" x14ac:dyDescent="0.4">
      <c r="A5" s="89">
        <v>45370</v>
      </c>
      <c r="B5" s="9" t="s">
        <v>6</v>
      </c>
      <c r="C5" s="10" t="s">
        <v>7</v>
      </c>
      <c r="D5" s="11"/>
      <c r="E5" s="12">
        <v>529680.84000000078</v>
      </c>
      <c r="F5" s="12"/>
      <c r="G5" s="1"/>
      <c r="H5" s="1"/>
      <c r="I5" s="112"/>
      <c r="J5" s="112"/>
    </row>
    <row r="6" spans="1:11" s="2" customFormat="1" ht="14.25" customHeight="1" x14ac:dyDescent="0.4">
      <c r="A6" s="89">
        <v>45370</v>
      </c>
      <c r="B6" s="9" t="s">
        <v>6</v>
      </c>
      <c r="C6" s="10" t="s">
        <v>2247</v>
      </c>
      <c r="D6" s="11" t="s">
        <v>29</v>
      </c>
      <c r="E6" s="12"/>
      <c r="F6" s="12">
        <v>78251</v>
      </c>
      <c r="G6" s="1"/>
      <c r="H6" s="1"/>
      <c r="I6" s="112"/>
      <c r="J6" s="112"/>
    </row>
    <row r="7" spans="1:11" s="2" customFormat="1" ht="12.75" customHeight="1" x14ac:dyDescent="0.2">
      <c r="D7" s="15" t="s">
        <v>8</v>
      </c>
      <c r="E7" s="16">
        <f>SUM(E5:E5)</f>
        <v>529680.84000000078</v>
      </c>
      <c r="F7" s="16">
        <f>+F6</f>
        <v>78251</v>
      </c>
      <c r="G7" s="1"/>
      <c r="H7" s="1"/>
      <c r="I7" s="13" t="s">
        <v>1582</v>
      </c>
      <c r="J7" s="13" t="s">
        <v>1583</v>
      </c>
    </row>
    <row r="8" spans="1:11" s="2" customFormat="1" ht="12.75" customHeight="1" x14ac:dyDescent="0.2">
      <c r="A8" s="17"/>
      <c r="B8" s="18"/>
      <c r="C8" s="19" t="s">
        <v>9</v>
      </c>
      <c r="D8" s="20"/>
      <c r="E8" s="21">
        <f>+E7-F7</f>
        <v>451429.84000000078</v>
      </c>
      <c r="F8" s="22"/>
      <c r="G8" s="23"/>
      <c r="H8" s="23"/>
      <c r="I8" s="2">
        <v>2073149</v>
      </c>
      <c r="J8" s="2">
        <v>7706168.2000000002</v>
      </c>
      <c r="K8" s="176">
        <f>I8-J8</f>
        <v>-5633019.2000000002</v>
      </c>
    </row>
    <row r="9" spans="1:11" ht="11.25" customHeight="1" x14ac:dyDescent="0.4">
      <c r="I9" s="112"/>
      <c r="J9" s="112"/>
    </row>
    <row r="10" spans="1:11" ht="18" customHeight="1" x14ac:dyDescent="0.4">
      <c r="A10" s="213" t="s">
        <v>2103</v>
      </c>
      <c r="B10" s="213"/>
      <c r="C10" s="213"/>
      <c r="D10" s="213"/>
      <c r="E10" s="213"/>
      <c r="F10" s="213"/>
      <c r="I10" s="112"/>
      <c r="J10" s="112"/>
    </row>
    <row r="11" spans="1:11" ht="12.75" customHeight="1" x14ac:dyDescent="0.4">
      <c r="A11" s="3" t="s">
        <v>1</v>
      </c>
      <c r="B11" s="4" t="s">
        <v>2</v>
      </c>
      <c r="C11" s="5"/>
      <c r="D11" s="6" t="s">
        <v>3</v>
      </c>
      <c r="E11" s="7" t="s">
        <v>4</v>
      </c>
      <c r="F11" s="7" t="s">
        <v>5</v>
      </c>
      <c r="I11" s="112"/>
      <c r="J11" s="112"/>
    </row>
    <row r="12" spans="1:11" ht="12.75" customHeight="1" x14ac:dyDescent="0.4">
      <c r="A12" s="89">
        <v>45370</v>
      </c>
      <c r="B12" s="9" t="s">
        <v>6</v>
      </c>
      <c r="C12" s="10" t="s">
        <v>7</v>
      </c>
      <c r="D12" s="11"/>
      <c r="E12" s="12">
        <v>10222100.109999999</v>
      </c>
      <c r="F12" s="1"/>
      <c r="I12" s="112"/>
      <c r="J12" s="112"/>
    </row>
    <row r="13" spans="1:11" ht="12.75" customHeight="1" x14ac:dyDescent="0.4">
      <c r="A13" s="89">
        <v>45370</v>
      </c>
      <c r="B13" s="9" t="s">
        <v>6</v>
      </c>
      <c r="C13" s="10" t="s">
        <v>105</v>
      </c>
      <c r="D13" s="11" t="s">
        <v>13</v>
      </c>
      <c r="E13" s="12">
        <v>107769</v>
      </c>
      <c r="F13" s="1"/>
      <c r="I13" s="112"/>
      <c r="J13" s="112"/>
    </row>
    <row r="14" spans="1:11" s="17" customFormat="1" ht="12.75" customHeight="1" x14ac:dyDescent="0.25">
      <c r="A14" s="185">
        <v>45370</v>
      </c>
      <c r="B14" s="9" t="s">
        <v>11</v>
      </c>
      <c r="C14" s="10" t="s">
        <v>220</v>
      </c>
      <c r="D14" s="184" t="s">
        <v>258</v>
      </c>
      <c r="E14" s="10"/>
      <c r="F14" s="19">
        <v>172560</v>
      </c>
      <c r="I14" s="186"/>
      <c r="J14" s="186"/>
    </row>
    <row r="15" spans="1:11" s="24" customFormat="1" ht="12.75" customHeight="1" x14ac:dyDescent="0.4">
      <c r="A15" s="185">
        <v>45370</v>
      </c>
      <c r="B15" s="9" t="s">
        <v>11</v>
      </c>
      <c r="C15" s="10" t="s">
        <v>2143</v>
      </c>
      <c r="D15" s="11" t="s">
        <v>29</v>
      </c>
      <c r="E15" s="10"/>
      <c r="F15" s="19">
        <v>6273664.2000000002</v>
      </c>
      <c r="I15" s="187"/>
      <c r="J15" s="187"/>
    </row>
    <row r="16" spans="1:11" s="24" customFormat="1" ht="12.75" customHeight="1" x14ac:dyDescent="0.4">
      <c r="A16" s="185">
        <v>45370</v>
      </c>
      <c r="B16" s="9" t="s">
        <v>11</v>
      </c>
      <c r="C16" s="10" t="s">
        <v>1140</v>
      </c>
      <c r="D16" s="11" t="s">
        <v>29</v>
      </c>
      <c r="E16" s="10"/>
      <c r="F16" s="19">
        <v>162690</v>
      </c>
      <c r="I16" s="187"/>
      <c r="J16" s="187"/>
    </row>
    <row r="17" spans="1:12" s="24" customFormat="1" ht="12.75" customHeight="1" x14ac:dyDescent="0.4">
      <c r="A17" s="185">
        <v>45370</v>
      </c>
      <c r="B17" s="9" t="s">
        <v>11</v>
      </c>
      <c r="C17" s="10" t="s">
        <v>1124</v>
      </c>
      <c r="D17" s="11" t="s">
        <v>29</v>
      </c>
      <c r="E17" s="10"/>
      <c r="F17" s="19">
        <v>4467</v>
      </c>
      <c r="I17" s="187"/>
      <c r="J17" s="187"/>
    </row>
    <row r="18" spans="1:12" s="24" customFormat="1" ht="12.75" customHeight="1" x14ac:dyDescent="0.4">
      <c r="A18" s="185">
        <v>45370</v>
      </c>
      <c r="B18" s="9" t="s">
        <v>11</v>
      </c>
      <c r="C18" s="10" t="s">
        <v>2095</v>
      </c>
      <c r="D18" s="11" t="s">
        <v>29</v>
      </c>
      <c r="E18" s="10"/>
      <c r="F18" s="19">
        <v>13000</v>
      </c>
      <c r="I18" s="187"/>
      <c r="J18" s="187"/>
    </row>
    <row r="19" spans="1:12" s="24" customFormat="1" ht="12.75" customHeight="1" x14ac:dyDescent="0.4">
      <c r="A19" s="185">
        <v>45370</v>
      </c>
      <c r="B19" s="9" t="s">
        <v>11</v>
      </c>
      <c r="C19" s="10" t="s">
        <v>739</v>
      </c>
      <c r="D19" s="11" t="s">
        <v>29</v>
      </c>
      <c r="E19" s="10"/>
      <c r="F19" s="19">
        <v>1252347</v>
      </c>
      <c r="I19" s="187"/>
      <c r="J19" s="187"/>
    </row>
    <row r="20" spans="1:12" ht="12.75" customHeight="1" x14ac:dyDescent="0.2">
      <c r="A20" s="2"/>
      <c r="B20" s="2"/>
      <c r="C20" s="2"/>
      <c r="D20" s="11" t="s">
        <v>8</v>
      </c>
      <c r="E20" s="16">
        <f>SUM(E12:E19)</f>
        <v>10329869.109999999</v>
      </c>
      <c r="F20" s="16">
        <f>SUM(F14:F19)</f>
        <v>7878728.2000000002</v>
      </c>
      <c r="I20" s="13" t="s">
        <v>1582</v>
      </c>
      <c r="J20" s="13" t="s">
        <v>1583</v>
      </c>
    </row>
    <row r="21" spans="1:12" x14ac:dyDescent="0.2">
      <c r="A21" s="17"/>
      <c r="B21" s="18"/>
      <c r="C21" s="19" t="s">
        <v>9</v>
      </c>
      <c r="D21" s="20"/>
      <c r="E21" s="21">
        <f>+E20-F20</f>
        <v>2451140.9099999992</v>
      </c>
      <c r="I21" s="2">
        <v>0</v>
      </c>
      <c r="J21" s="2">
        <v>0</v>
      </c>
    </row>
    <row r="22" spans="1:12" ht="18" customHeight="1" x14ac:dyDescent="0.25">
      <c r="A22" s="36"/>
      <c r="B22" s="28"/>
      <c r="C22" s="44"/>
      <c r="D22" s="43"/>
      <c r="E22" s="38"/>
      <c r="F22" s="22"/>
      <c r="J22" s="2"/>
    </row>
    <row r="23" spans="1:12" ht="18" customHeight="1" x14ac:dyDescent="0.4">
      <c r="A23" s="213" t="s">
        <v>2104</v>
      </c>
      <c r="B23" s="213"/>
      <c r="C23" s="213"/>
      <c r="D23" s="213"/>
      <c r="E23" s="213"/>
      <c r="F23" s="213"/>
      <c r="I23" s="112"/>
      <c r="J23" s="169">
        <f>90000000-60000000</f>
        <v>30000000</v>
      </c>
      <c r="K23" s="169" t="s">
        <v>1508</v>
      </c>
    </row>
    <row r="24" spans="1:12" ht="12.75" customHeight="1" x14ac:dyDescent="0.4">
      <c r="A24" s="3" t="s">
        <v>1</v>
      </c>
      <c r="B24" s="4" t="s">
        <v>2</v>
      </c>
      <c r="C24" s="5"/>
      <c r="D24" s="6" t="s">
        <v>3</v>
      </c>
      <c r="E24" s="7" t="s">
        <v>4</v>
      </c>
      <c r="F24" s="7" t="s">
        <v>5</v>
      </c>
      <c r="I24" s="112"/>
      <c r="J24" s="169">
        <v>28952208.91</v>
      </c>
      <c r="K24" s="169" t="s">
        <v>1509</v>
      </c>
      <c r="L24" s="124"/>
    </row>
    <row r="25" spans="1:12" s="2" customFormat="1" ht="14.25" customHeight="1" x14ac:dyDescent="0.2">
      <c r="A25" s="89">
        <v>45370</v>
      </c>
      <c r="B25" s="9" t="s">
        <v>6</v>
      </c>
      <c r="C25" s="10" t="s">
        <v>7</v>
      </c>
      <c r="D25" s="11"/>
      <c r="F25" s="12">
        <v>28952208.909999996</v>
      </c>
      <c r="G25" s="1"/>
      <c r="H25" s="1"/>
      <c r="I25" s="130" t="s">
        <v>396</v>
      </c>
      <c r="J25" s="169">
        <f>+J23-J24</f>
        <v>1047791.0899999999</v>
      </c>
      <c r="K25" s="169" t="s">
        <v>712</v>
      </c>
      <c r="L25" s="165" t="s">
        <v>1512</v>
      </c>
    </row>
    <row r="26" spans="1:12" s="2" customFormat="1" ht="14.25" customHeight="1" x14ac:dyDescent="0.4">
      <c r="D26" s="11" t="s">
        <v>8</v>
      </c>
      <c r="E26" s="16">
        <f>E25</f>
        <v>0</v>
      </c>
      <c r="F26" s="16">
        <f>SUM(F25:F25)</f>
        <v>28952208.909999996</v>
      </c>
      <c r="G26" s="1"/>
      <c r="H26" s="1"/>
      <c r="J26" s="112"/>
      <c r="K26" s="153" t="s">
        <v>779</v>
      </c>
    </row>
    <row r="27" spans="1:12" s="2" customFormat="1" ht="14.25" customHeight="1" x14ac:dyDescent="0.2">
      <c r="A27" s="17"/>
      <c r="B27" s="18"/>
      <c r="C27" s="96" t="s">
        <v>9</v>
      </c>
      <c r="D27" s="20"/>
      <c r="E27" s="21">
        <f>+F26-E26</f>
        <v>28952208.909999996</v>
      </c>
      <c r="G27" s="1"/>
      <c r="H27" s="1"/>
      <c r="J27" s="40">
        <v>28952208.91</v>
      </c>
      <c r="K27" s="154">
        <f>J27-E27</f>
        <v>0</v>
      </c>
    </row>
    <row r="28" spans="1:12" s="2" customFormat="1" ht="14.25" customHeight="1" x14ac:dyDescent="0.2">
      <c r="A28" s="17"/>
      <c r="B28" s="28" t="s">
        <v>66</v>
      </c>
      <c r="C28" s="43" t="s">
        <v>1458</v>
      </c>
      <c r="D28" s="43"/>
      <c r="E28" s="12">
        <f>30000000+60000000</f>
        <v>90000000</v>
      </c>
      <c r="F28" s="22"/>
      <c r="G28" s="1"/>
      <c r="H28" s="1"/>
      <c r="I28" s="13" t="s">
        <v>1582</v>
      </c>
      <c r="J28" s="13" t="s">
        <v>1583</v>
      </c>
    </row>
    <row r="29" spans="1:12" s="2" customFormat="1" ht="14.25" customHeight="1" x14ac:dyDescent="0.25">
      <c r="A29" s="36"/>
      <c r="B29" s="28"/>
      <c r="C29" s="44" t="s">
        <v>1541</v>
      </c>
      <c r="D29" s="43"/>
      <c r="E29" s="7">
        <f>+E27+E28</f>
        <v>118952208.91</v>
      </c>
      <c r="F29" s="22"/>
      <c r="G29" s="1"/>
      <c r="H29" s="1"/>
      <c r="I29" s="2">
        <v>5705078</v>
      </c>
      <c r="J29" s="2">
        <v>26363711.530000001</v>
      </c>
      <c r="K29" s="176">
        <f>I29-J29</f>
        <v>-20658633.530000001</v>
      </c>
    </row>
    <row r="30" spans="1:12" s="2" customFormat="1" ht="14.25" customHeight="1" x14ac:dyDescent="0.25">
      <c r="A30" s="36"/>
      <c r="B30" s="28"/>
      <c r="C30" s="44" t="s">
        <v>1511</v>
      </c>
      <c r="D30" s="43"/>
      <c r="E30" s="38">
        <f>I21-J21+J25</f>
        <v>1047791.0899999999</v>
      </c>
      <c r="F30" s="22"/>
      <c r="G30" s="1"/>
      <c r="H30" s="1"/>
      <c r="J30" s="130"/>
      <c r="K30" s="130"/>
    </row>
    <row r="31" spans="1:12" s="2" customFormat="1" x14ac:dyDescent="0.2">
      <c r="A31" s="24"/>
      <c r="B31" s="1"/>
      <c r="C31" s="14"/>
      <c r="D31" s="25"/>
      <c r="G31" s="1"/>
      <c r="H31" s="1"/>
      <c r="I31" s="159"/>
      <c r="J31" s="160">
        <f>100000000</f>
        <v>100000000</v>
      </c>
      <c r="K31" s="160" t="s">
        <v>1506</v>
      </c>
      <c r="L31" s="70"/>
    </row>
    <row r="32" spans="1:12" s="2" customFormat="1" ht="15" x14ac:dyDescent="0.35">
      <c r="A32" s="214" t="s">
        <v>10</v>
      </c>
      <c r="B32" s="214"/>
      <c r="C32" s="214"/>
      <c r="D32" s="214"/>
      <c r="E32" s="214"/>
      <c r="F32" s="214"/>
      <c r="G32" s="1"/>
      <c r="H32" s="1"/>
      <c r="I32" s="159"/>
      <c r="J32" s="179">
        <v>48971609.030000001</v>
      </c>
      <c r="K32" s="160" t="s">
        <v>1507</v>
      </c>
      <c r="L32" s="70" t="s">
        <v>1512</v>
      </c>
    </row>
    <row r="33" spans="1:12" s="2" customFormat="1" x14ac:dyDescent="0.2">
      <c r="A33" s="26" t="s">
        <v>1</v>
      </c>
      <c r="B33" s="27" t="s">
        <v>2</v>
      </c>
      <c r="C33" s="5"/>
      <c r="D33" s="6" t="s">
        <v>3</v>
      </c>
      <c r="E33" s="7" t="s">
        <v>4</v>
      </c>
      <c r="F33" s="7" t="s">
        <v>5</v>
      </c>
      <c r="G33" s="1"/>
      <c r="H33" s="1"/>
      <c r="I33" s="159" t="s">
        <v>1505</v>
      </c>
      <c r="J33" s="160">
        <f>+J31+J32</f>
        <v>148971609.03</v>
      </c>
      <c r="K33" s="160"/>
      <c r="L33" s="70"/>
    </row>
    <row r="34" spans="1:12" s="2" customFormat="1" x14ac:dyDescent="0.2">
      <c r="A34" s="89" t="s">
        <v>2243</v>
      </c>
      <c r="B34" s="128" t="s">
        <v>11</v>
      </c>
      <c r="C34" s="29" t="s">
        <v>7</v>
      </c>
      <c r="D34" s="25"/>
      <c r="E34" s="31"/>
      <c r="F34" s="13">
        <v>-31537977.070000105</v>
      </c>
      <c r="G34" s="23"/>
      <c r="H34" s="23"/>
      <c r="I34" s="159"/>
      <c r="J34" s="160"/>
      <c r="K34" s="160"/>
      <c r="L34" s="70"/>
    </row>
    <row r="35" spans="1:12" s="2" customFormat="1" x14ac:dyDescent="0.2">
      <c r="A35" s="89" t="s">
        <v>2243</v>
      </c>
      <c r="B35" s="128" t="s">
        <v>6</v>
      </c>
      <c r="C35" s="181" t="s">
        <v>15</v>
      </c>
      <c r="D35" s="11" t="s">
        <v>13</v>
      </c>
      <c r="E35" s="86">
        <f>203698.17-27263.77</f>
        <v>176434.40000000002</v>
      </c>
      <c r="G35" s="23"/>
      <c r="H35" s="23"/>
      <c r="I35" s="159"/>
      <c r="J35" s="160"/>
      <c r="K35" s="160"/>
      <c r="L35" s="70"/>
    </row>
    <row r="36" spans="1:12" s="2" customFormat="1" x14ac:dyDescent="0.2">
      <c r="A36" s="89" t="s">
        <v>2243</v>
      </c>
      <c r="B36" s="128" t="s">
        <v>6</v>
      </c>
      <c r="C36" s="181" t="s">
        <v>24</v>
      </c>
      <c r="D36" s="11" t="s">
        <v>13</v>
      </c>
      <c r="E36" s="86">
        <v>410111</v>
      </c>
      <c r="G36" s="23"/>
      <c r="H36" s="23"/>
      <c r="I36" s="159"/>
      <c r="J36" s="160"/>
      <c r="K36" s="160"/>
      <c r="L36" s="70"/>
    </row>
    <row r="37" spans="1:12" s="2" customFormat="1" x14ac:dyDescent="0.2">
      <c r="A37" s="89" t="s">
        <v>2243</v>
      </c>
      <c r="B37" s="128" t="s">
        <v>6</v>
      </c>
      <c r="C37" s="181" t="s">
        <v>1378</v>
      </c>
      <c r="D37" s="11" t="s">
        <v>13</v>
      </c>
      <c r="E37" s="86">
        <v>247086</v>
      </c>
      <c r="G37" s="23"/>
      <c r="H37" s="23"/>
      <c r="I37" s="159"/>
      <c r="J37" s="160"/>
      <c r="K37" s="160"/>
      <c r="L37" s="70"/>
    </row>
    <row r="38" spans="1:12" s="2" customFormat="1" x14ac:dyDescent="0.2">
      <c r="A38" s="89" t="s">
        <v>2243</v>
      </c>
      <c r="B38" s="128" t="s">
        <v>6</v>
      </c>
      <c r="C38" s="181" t="s">
        <v>765</v>
      </c>
      <c r="D38" s="11" t="s">
        <v>13</v>
      </c>
      <c r="E38" s="86">
        <v>14819304.640000002</v>
      </c>
      <c r="G38" s="23"/>
      <c r="H38" s="23"/>
      <c r="I38" s="159"/>
      <c r="J38" s="160"/>
      <c r="K38" s="160"/>
      <c r="L38" s="70"/>
    </row>
    <row r="39" spans="1:12" s="2" customFormat="1" x14ac:dyDescent="0.2">
      <c r="A39" s="89" t="s">
        <v>2243</v>
      </c>
      <c r="B39" s="128" t="s">
        <v>6</v>
      </c>
      <c r="C39" s="181" t="s">
        <v>758</v>
      </c>
      <c r="D39" s="11" t="s">
        <v>13</v>
      </c>
      <c r="E39" s="86">
        <v>6741863.1999999993</v>
      </c>
      <c r="G39" s="23"/>
      <c r="H39" s="23"/>
      <c r="I39" s="159"/>
      <c r="J39" s="160"/>
      <c r="K39" s="160"/>
      <c r="L39" s="70"/>
    </row>
    <row r="40" spans="1:12" s="2" customFormat="1" x14ac:dyDescent="0.2">
      <c r="A40" s="89" t="s">
        <v>2243</v>
      </c>
      <c r="B40" s="128" t="s">
        <v>6</v>
      </c>
      <c r="C40" s="181" t="s">
        <v>773</v>
      </c>
      <c r="D40" s="11" t="s">
        <v>13</v>
      </c>
      <c r="E40" s="86">
        <v>1044131</v>
      </c>
      <c r="G40" s="23"/>
      <c r="H40" s="23"/>
      <c r="I40" s="159"/>
      <c r="J40" s="160"/>
      <c r="K40" s="160"/>
      <c r="L40" s="70"/>
    </row>
    <row r="41" spans="1:12" s="2" customFormat="1" x14ac:dyDescent="0.2">
      <c r="A41" s="89" t="s">
        <v>2243</v>
      </c>
      <c r="B41" s="128" t="s">
        <v>6</v>
      </c>
      <c r="C41" s="181" t="s">
        <v>326</v>
      </c>
      <c r="D41" s="11" t="s">
        <v>13</v>
      </c>
      <c r="E41" s="86">
        <v>2000000</v>
      </c>
      <c r="G41" s="23"/>
      <c r="H41" s="23"/>
      <c r="I41" s="159"/>
      <c r="J41" s="160"/>
      <c r="K41" s="160"/>
      <c r="L41" s="70"/>
    </row>
    <row r="42" spans="1:12" s="2" customFormat="1" x14ac:dyDescent="0.2">
      <c r="A42" s="89" t="s">
        <v>2243</v>
      </c>
      <c r="B42" s="128" t="s">
        <v>6</v>
      </c>
      <c r="C42" s="181" t="s">
        <v>1549</v>
      </c>
      <c r="D42" s="11" t="s">
        <v>13</v>
      </c>
      <c r="E42" s="86">
        <v>46386</v>
      </c>
      <c r="G42" s="23"/>
      <c r="H42" s="23"/>
      <c r="I42" s="159"/>
      <c r="J42" s="160"/>
      <c r="K42" s="160"/>
      <c r="L42" s="70"/>
    </row>
    <row r="43" spans="1:12" s="2" customFormat="1" x14ac:dyDescent="0.2">
      <c r="A43" s="89" t="s">
        <v>2243</v>
      </c>
      <c r="B43" s="128" t="s">
        <v>6</v>
      </c>
      <c r="C43" s="181" t="s">
        <v>1629</v>
      </c>
      <c r="D43" s="11" t="s">
        <v>13</v>
      </c>
      <c r="E43" s="86">
        <v>14910</v>
      </c>
      <c r="G43" s="23"/>
      <c r="H43" s="23"/>
      <c r="I43" s="159"/>
      <c r="J43" s="160"/>
      <c r="K43" s="160"/>
      <c r="L43" s="70"/>
    </row>
    <row r="44" spans="1:12" s="2" customFormat="1" x14ac:dyDescent="0.2">
      <c r="A44" s="89" t="s">
        <v>2243</v>
      </c>
      <c r="B44" s="128" t="s">
        <v>6</v>
      </c>
      <c r="C44" s="181" t="s">
        <v>325</v>
      </c>
      <c r="D44" s="11" t="s">
        <v>13</v>
      </c>
      <c r="E44" s="86">
        <v>2180</v>
      </c>
      <c r="G44" s="23"/>
      <c r="H44" s="23"/>
      <c r="I44" s="159"/>
      <c r="J44" s="160"/>
      <c r="K44" s="160"/>
      <c r="L44" s="70"/>
    </row>
    <row r="45" spans="1:12" s="2" customFormat="1" x14ac:dyDescent="0.2">
      <c r="A45" s="89" t="s">
        <v>2243</v>
      </c>
      <c r="B45" s="128" t="s">
        <v>6</v>
      </c>
      <c r="C45" s="181" t="s">
        <v>694</v>
      </c>
      <c r="D45" s="11" t="s">
        <v>13</v>
      </c>
      <c r="E45" s="86">
        <v>2000000</v>
      </c>
      <c r="G45" s="23"/>
      <c r="H45" s="23"/>
      <c r="I45" s="159"/>
      <c r="J45" s="160"/>
      <c r="K45" s="160"/>
      <c r="L45" s="70"/>
    </row>
    <row r="46" spans="1:12" s="2" customFormat="1" x14ac:dyDescent="0.2">
      <c r="A46" s="89" t="s">
        <v>2243</v>
      </c>
      <c r="B46" s="128" t="s">
        <v>6</v>
      </c>
      <c r="C46" s="181" t="s">
        <v>249</v>
      </c>
      <c r="D46" s="11" t="s">
        <v>13</v>
      </c>
      <c r="E46" s="86">
        <v>42486</v>
      </c>
      <c r="G46" s="23"/>
      <c r="H46" s="23"/>
      <c r="I46" s="159"/>
      <c r="J46" s="160"/>
      <c r="K46" s="160"/>
      <c r="L46" s="70"/>
    </row>
    <row r="47" spans="1:12" s="2" customFormat="1" x14ac:dyDescent="0.2">
      <c r="A47" s="89" t="s">
        <v>2243</v>
      </c>
      <c r="B47" s="128" t="s">
        <v>6</v>
      </c>
      <c r="C47" s="181" t="s">
        <v>149</v>
      </c>
      <c r="D47" s="11" t="s">
        <v>13</v>
      </c>
      <c r="E47" s="86">
        <v>9586</v>
      </c>
      <c r="G47" s="23"/>
      <c r="H47" s="23"/>
      <c r="I47" s="159"/>
      <c r="J47" s="160"/>
      <c r="K47" s="160"/>
      <c r="L47" s="70"/>
    </row>
    <row r="48" spans="1:12" s="2" customFormat="1" x14ac:dyDescent="0.2">
      <c r="A48" s="89" t="s">
        <v>2243</v>
      </c>
      <c r="B48" s="128" t="s">
        <v>6</v>
      </c>
      <c r="C48" s="181" t="s">
        <v>22</v>
      </c>
      <c r="D48" s="11" t="s">
        <v>13</v>
      </c>
      <c r="E48" s="86">
        <v>4914849.42</v>
      </c>
      <c r="G48" s="23"/>
      <c r="H48" s="23"/>
      <c r="I48" s="159"/>
      <c r="J48" s="160"/>
      <c r="K48" s="160"/>
      <c r="L48" s="70"/>
    </row>
    <row r="49" spans="1:12" s="2" customFormat="1" x14ac:dyDescent="0.2">
      <c r="A49" s="89" t="s">
        <v>2243</v>
      </c>
      <c r="B49" s="128" t="s">
        <v>6</v>
      </c>
      <c r="C49" s="181" t="s">
        <v>27</v>
      </c>
      <c r="D49" s="11" t="s">
        <v>13</v>
      </c>
      <c r="E49" s="86">
        <v>1010394.98</v>
      </c>
      <c r="G49" s="23"/>
      <c r="H49" s="23"/>
      <c r="I49" s="159"/>
      <c r="J49" s="160"/>
      <c r="K49" s="160"/>
      <c r="L49" s="70"/>
    </row>
    <row r="50" spans="1:12" s="2" customFormat="1" x14ac:dyDescent="0.2">
      <c r="A50" s="89" t="s">
        <v>2243</v>
      </c>
      <c r="B50" s="128" t="s">
        <v>6</v>
      </c>
      <c r="C50" s="181" t="s">
        <v>674</v>
      </c>
      <c r="D50" s="11" t="s">
        <v>13</v>
      </c>
      <c r="E50" s="86">
        <v>587</v>
      </c>
      <c r="G50" s="23"/>
      <c r="H50" s="23"/>
      <c r="I50" s="159"/>
      <c r="J50" s="160"/>
      <c r="K50" s="160"/>
      <c r="L50" s="70"/>
    </row>
    <row r="51" spans="1:12" s="2" customFormat="1" x14ac:dyDescent="0.2">
      <c r="A51" s="89" t="s">
        <v>2243</v>
      </c>
      <c r="B51" s="128" t="s">
        <v>6</v>
      </c>
      <c r="C51" s="181" t="s">
        <v>2246</v>
      </c>
      <c r="D51" s="11" t="s">
        <v>13</v>
      </c>
      <c r="E51" s="86">
        <v>190575</v>
      </c>
      <c r="G51" s="23"/>
      <c r="H51" s="23"/>
      <c r="I51" s="159"/>
      <c r="J51" s="160"/>
      <c r="K51" s="160"/>
      <c r="L51" s="70"/>
    </row>
    <row r="52" spans="1:12" s="2" customFormat="1" x14ac:dyDescent="0.2">
      <c r="A52" s="89" t="s">
        <v>2243</v>
      </c>
      <c r="B52" s="128" t="s">
        <v>6</v>
      </c>
      <c r="C52" s="181" t="s">
        <v>788</v>
      </c>
      <c r="D52" s="11" t="s">
        <v>13</v>
      </c>
      <c r="E52" s="86">
        <v>45578</v>
      </c>
      <c r="G52" s="23"/>
      <c r="H52" s="23"/>
      <c r="I52" s="159"/>
      <c r="J52" s="160"/>
      <c r="K52" s="160"/>
      <c r="L52" s="70"/>
    </row>
    <row r="53" spans="1:12" s="2" customFormat="1" x14ac:dyDescent="0.2">
      <c r="A53" s="89" t="s">
        <v>2243</v>
      </c>
      <c r="B53" s="128" t="s">
        <v>11</v>
      </c>
      <c r="C53" s="181" t="s">
        <v>960</v>
      </c>
      <c r="D53" s="11" t="s">
        <v>29</v>
      </c>
      <c r="E53" s="86"/>
      <c r="F53" s="2">
        <v>7200000</v>
      </c>
      <c r="G53" s="23"/>
      <c r="H53" s="23"/>
      <c r="I53" s="159"/>
      <c r="J53" s="160"/>
      <c r="K53" s="160"/>
      <c r="L53" s="70"/>
    </row>
    <row r="54" spans="1:12" s="2" customFormat="1" x14ac:dyDescent="0.2">
      <c r="A54" s="89" t="s">
        <v>2243</v>
      </c>
      <c r="B54" s="128" t="s">
        <v>11</v>
      </c>
      <c r="C54" s="181" t="s">
        <v>64</v>
      </c>
      <c r="D54" s="11" t="s">
        <v>29</v>
      </c>
      <c r="E54" s="86"/>
      <c r="F54" s="2">
        <v>15531.68</v>
      </c>
      <c r="G54" s="23"/>
      <c r="H54" s="23"/>
      <c r="I54" s="159"/>
      <c r="J54" s="160"/>
      <c r="K54" s="160"/>
      <c r="L54" s="70"/>
    </row>
    <row r="55" spans="1:12" s="2" customFormat="1" x14ac:dyDescent="0.2">
      <c r="A55" s="89" t="s">
        <v>2243</v>
      </c>
      <c r="B55" s="128" t="s">
        <v>11</v>
      </c>
      <c r="C55" s="181" t="s">
        <v>1798</v>
      </c>
      <c r="D55" s="11" t="s">
        <v>29</v>
      </c>
      <c r="E55" s="86"/>
      <c r="F55" s="2">
        <v>3448471</v>
      </c>
      <c r="G55" s="23"/>
      <c r="H55" s="23"/>
      <c r="I55" s="159"/>
      <c r="J55" s="160"/>
      <c r="K55" s="160"/>
      <c r="L55" s="70"/>
    </row>
    <row r="56" spans="1:12" s="2" customFormat="1" x14ac:dyDescent="0.2">
      <c r="A56" s="89" t="s">
        <v>2243</v>
      </c>
      <c r="B56" s="128" t="s">
        <v>11</v>
      </c>
      <c r="C56" s="181" t="s">
        <v>1746</v>
      </c>
      <c r="D56" s="11" t="s">
        <v>29</v>
      </c>
      <c r="E56" s="86"/>
      <c r="F56" s="2">
        <v>1533770</v>
      </c>
      <c r="G56" s="23"/>
      <c r="H56" s="23"/>
      <c r="I56" s="159"/>
      <c r="J56" s="160"/>
      <c r="K56" s="160"/>
      <c r="L56" s="70"/>
    </row>
    <row r="57" spans="1:12" s="2" customFormat="1" x14ac:dyDescent="0.2">
      <c r="A57" s="89" t="s">
        <v>2243</v>
      </c>
      <c r="B57" s="128" t="s">
        <v>11</v>
      </c>
      <c r="C57" s="181" t="s">
        <v>687</v>
      </c>
      <c r="D57" s="11" t="s">
        <v>29</v>
      </c>
      <c r="E57" s="86"/>
      <c r="F57" s="2">
        <v>383480</v>
      </c>
      <c r="G57" s="23"/>
      <c r="H57" s="23"/>
      <c r="I57" s="159"/>
      <c r="J57" s="160"/>
      <c r="K57" s="160"/>
      <c r="L57" s="70"/>
    </row>
    <row r="58" spans="1:12" s="2" customFormat="1" x14ac:dyDescent="0.2">
      <c r="A58" s="89" t="s">
        <v>2243</v>
      </c>
      <c r="B58" s="128" t="s">
        <v>11</v>
      </c>
      <c r="C58" s="181" t="s">
        <v>442</v>
      </c>
      <c r="D58" s="11" t="s">
        <v>29</v>
      </c>
      <c r="E58" s="86"/>
      <c r="F58" s="2">
        <v>1449427</v>
      </c>
      <c r="G58" s="23"/>
      <c r="H58" s="23"/>
      <c r="I58" s="159"/>
      <c r="J58" s="160"/>
      <c r="K58" s="160"/>
      <c r="L58" s="70"/>
    </row>
    <row r="59" spans="1:12" s="2" customFormat="1" x14ac:dyDescent="0.2">
      <c r="A59" s="89" t="s">
        <v>2243</v>
      </c>
      <c r="B59" s="128" t="s">
        <v>11</v>
      </c>
      <c r="C59" s="181" t="s">
        <v>109</v>
      </c>
      <c r="D59" s="11" t="s">
        <v>29</v>
      </c>
      <c r="E59" s="86"/>
      <c r="F59" s="2">
        <v>1642561.44</v>
      </c>
      <c r="G59" s="23"/>
      <c r="H59" s="23"/>
      <c r="I59" s="159"/>
      <c r="J59" s="160"/>
      <c r="K59" s="160"/>
      <c r="L59" s="70"/>
    </row>
    <row r="60" spans="1:12" s="2" customFormat="1" x14ac:dyDescent="0.2">
      <c r="A60" s="89" t="s">
        <v>2243</v>
      </c>
      <c r="B60" s="128" t="s">
        <v>11</v>
      </c>
      <c r="C60" s="181" t="s">
        <v>412</v>
      </c>
      <c r="D60" s="11" t="s">
        <v>29</v>
      </c>
      <c r="E60" s="86"/>
      <c r="F60" s="2">
        <v>2880586</v>
      </c>
      <c r="G60" s="23"/>
      <c r="H60" s="23"/>
      <c r="I60" s="159"/>
      <c r="J60" s="160"/>
      <c r="K60" s="160"/>
      <c r="L60" s="70"/>
    </row>
    <row r="61" spans="1:12" s="2" customFormat="1" x14ac:dyDescent="0.2">
      <c r="A61" s="89" t="s">
        <v>2243</v>
      </c>
      <c r="B61" s="128" t="s">
        <v>11</v>
      </c>
      <c r="C61" s="181" t="s">
        <v>199</v>
      </c>
      <c r="D61" s="11" t="s">
        <v>29</v>
      </c>
      <c r="E61" s="86"/>
      <c r="F61" s="2">
        <v>1236475</v>
      </c>
      <c r="G61" s="23"/>
      <c r="H61" s="23"/>
      <c r="I61" s="159"/>
      <c r="J61" s="160"/>
      <c r="K61" s="160"/>
      <c r="L61" s="70"/>
    </row>
    <row r="62" spans="1:12" s="2" customFormat="1" x14ac:dyDescent="0.2">
      <c r="A62" s="89" t="s">
        <v>2243</v>
      </c>
      <c r="B62" s="128" t="s">
        <v>11</v>
      </c>
      <c r="C62" s="181" t="s">
        <v>110</v>
      </c>
      <c r="D62" s="11" t="s">
        <v>29</v>
      </c>
      <c r="E62" s="86"/>
      <c r="F62" s="2">
        <v>553238.49</v>
      </c>
      <c r="G62" s="23"/>
      <c r="H62" s="23"/>
      <c r="I62" s="159"/>
      <c r="J62" s="160"/>
      <c r="K62" s="160"/>
      <c r="L62" s="70"/>
    </row>
    <row r="63" spans="1:12" s="2" customFormat="1" x14ac:dyDescent="0.2">
      <c r="A63" s="89" t="s">
        <v>2243</v>
      </c>
      <c r="B63" s="128" t="s">
        <v>11</v>
      </c>
      <c r="C63" s="181" t="s">
        <v>2244</v>
      </c>
      <c r="D63" s="11" t="s">
        <v>29</v>
      </c>
      <c r="E63" s="86"/>
      <c r="F63" s="2">
        <v>319149.59999999998</v>
      </c>
      <c r="G63" s="23"/>
      <c r="H63" s="23"/>
      <c r="I63" s="159"/>
      <c r="J63" s="160"/>
      <c r="K63" s="160"/>
      <c r="L63" s="70"/>
    </row>
    <row r="64" spans="1:12" s="2" customFormat="1" x14ac:dyDescent="0.2">
      <c r="A64" s="89" t="s">
        <v>2243</v>
      </c>
      <c r="B64" s="128" t="s">
        <v>11</v>
      </c>
      <c r="C64" s="181" t="s">
        <v>1363</v>
      </c>
      <c r="D64" s="11" t="s">
        <v>29</v>
      </c>
      <c r="E64" s="86"/>
      <c r="F64" s="2">
        <v>775011</v>
      </c>
      <c r="G64" s="23"/>
      <c r="H64" s="23"/>
      <c r="I64" s="159"/>
      <c r="J64" s="160"/>
      <c r="K64" s="160"/>
      <c r="L64" s="70"/>
    </row>
    <row r="65" spans="1:12" s="2" customFormat="1" x14ac:dyDescent="0.2">
      <c r="A65" s="89" t="s">
        <v>2243</v>
      </c>
      <c r="B65" s="128" t="s">
        <v>11</v>
      </c>
      <c r="C65" s="181" t="s">
        <v>1299</v>
      </c>
      <c r="D65" s="11" t="s">
        <v>29</v>
      </c>
      <c r="E65" s="86"/>
      <c r="F65" s="2">
        <v>273122</v>
      </c>
      <c r="G65" s="23"/>
      <c r="H65" s="23"/>
      <c r="I65" s="159"/>
      <c r="J65" s="160"/>
      <c r="K65" s="160"/>
      <c r="L65" s="70"/>
    </row>
    <row r="66" spans="1:12" s="2" customFormat="1" x14ac:dyDescent="0.2">
      <c r="A66" s="89" t="s">
        <v>2243</v>
      </c>
      <c r="B66" s="128" t="s">
        <v>11</v>
      </c>
      <c r="C66" s="181" t="s">
        <v>1131</v>
      </c>
      <c r="D66" s="11" t="s">
        <v>29</v>
      </c>
      <c r="E66" s="86"/>
      <c r="F66" s="2">
        <v>1498893</v>
      </c>
      <c r="G66" s="23"/>
      <c r="H66" s="23"/>
      <c r="I66" s="159"/>
      <c r="J66" s="160"/>
      <c r="K66" s="160"/>
      <c r="L66" s="70"/>
    </row>
    <row r="67" spans="1:12" s="2" customFormat="1" x14ac:dyDescent="0.2">
      <c r="A67" s="89" t="s">
        <v>2243</v>
      </c>
      <c r="B67" s="128" t="s">
        <v>11</v>
      </c>
      <c r="C67" s="181" t="s">
        <v>680</v>
      </c>
      <c r="D67" s="11" t="s">
        <v>29</v>
      </c>
      <c r="E67" s="86"/>
      <c r="F67" s="2">
        <v>492738</v>
      </c>
      <c r="G67" s="23"/>
      <c r="H67" s="23"/>
      <c r="I67" s="159"/>
      <c r="J67" s="160"/>
      <c r="K67" s="160"/>
      <c r="L67" s="70"/>
    </row>
    <row r="68" spans="1:12" s="2" customFormat="1" x14ac:dyDescent="0.2">
      <c r="A68" s="89" t="s">
        <v>2243</v>
      </c>
      <c r="B68" s="128" t="s">
        <v>11</v>
      </c>
      <c r="C68" s="181" t="s">
        <v>91</v>
      </c>
      <c r="D68" s="11" t="s">
        <v>29</v>
      </c>
      <c r="E68" s="86"/>
      <c r="F68" s="2">
        <v>1054074</v>
      </c>
      <c r="G68" s="23"/>
      <c r="H68" s="23"/>
      <c r="I68" s="159"/>
      <c r="J68" s="160"/>
      <c r="K68" s="160"/>
      <c r="L68" s="70"/>
    </row>
    <row r="69" spans="1:12" s="2" customFormat="1" x14ac:dyDescent="0.2">
      <c r="A69" s="89" t="s">
        <v>2243</v>
      </c>
      <c r="B69" s="128" t="s">
        <v>11</v>
      </c>
      <c r="C69" s="181" t="s">
        <v>616</v>
      </c>
      <c r="D69" s="11" t="s">
        <v>29</v>
      </c>
      <c r="E69" s="86"/>
      <c r="F69" s="2">
        <v>211600</v>
      </c>
      <c r="G69" s="23"/>
      <c r="H69" s="23"/>
      <c r="I69" s="159"/>
      <c r="J69" s="160"/>
      <c r="K69" s="160"/>
      <c r="L69" s="70"/>
    </row>
    <row r="70" spans="1:12" s="2" customFormat="1" x14ac:dyDescent="0.2">
      <c r="A70" s="89" t="s">
        <v>2243</v>
      </c>
      <c r="B70" s="128" t="s">
        <v>11</v>
      </c>
      <c r="C70" s="181" t="s">
        <v>814</v>
      </c>
      <c r="D70" s="11" t="s">
        <v>29</v>
      </c>
      <c r="E70" s="86"/>
      <c r="F70" s="2">
        <v>143640</v>
      </c>
      <c r="G70" s="23"/>
      <c r="H70" s="23"/>
      <c r="I70" s="159"/>
      <c r="J70" s="160"/>
      <c r="K70" s="160"/>
      <c r="L70" s="70"/>
    </row>
    <row r="71" spans="1:12" s="2" customFormat="1" x14ac:dyDescent="0.2">
      <c r="A71" s="89" t="s">
        <v>2243</v>
      </c>
      <c r="B71" s="128" t="s">
        <v>11</v>
      </c>
      <c r="C71" s="181" t="s">
        <v>300</v>
      </c>
      <c r="D71" s="11" t="s">
        <v>29</v>
      </c>
      <c r="E71" s="86"/>
      <c r="F71" s="2">
        <v>219753</v>
      </c>
      <c r="G71" s="23"/>
      <c r="H71" s="23"/>
      <c r="I71" s="159"/>
      <c r="J71" s="160"/>
      <c r="K71" s="160"/>
      <c r="L71" s="70"/>
    </row>
    <row r="72" spans="1:12" s="2" customFormat="1" x14ac:dyDescent="0.2">
      <c r="A72" s="89" t="s">
        <v>2243</v>
      </c>
      <c r="B72" s="128" t="s">
        <v>11</v>
      </c>
      <c r="C72" s="181" t="s">
        <v>849</v>
      </c>
      <c r="D72" s="11" t="s">
        <v>29</v>
      </c>
      <c r="E72" s="86"/>
      <c r="F72" s="2">
        <v>54950</v>
      </c>
      <c r="G72" s="23"/>
      <c r="H72" s="23"/>
      <c r="I72" s="159"/>
      <c r="J72" s="160"/>
      <c r="K72" s="160"/>
      <c r="L72" s="70"/>
    </row>
    <row r="73" spans="1:12" s="2" customFormat="1" x14ac:dyDescent="0.2">
      <c r="A73" s="89" t="s">
        <v>2243</v>
      </c>
      <c r="B73" s="128" t="s">
        <v>11</v>
      </c>
      <c r="C73" s="181" t="s">
        <v>2021</v>
      </c>
      <c r="D73" s="11" t="s">
        <v>29</v>
      </c>
      <c r="E73" s="86"/>
      <c r="F73" s="2">
        <v>203170</v>
      </c>
      <c r="G73" s="23"/>
      <c r="H73" s="23"/>
      <c r="I73" s="159"/>
      <c r="J73" s="160"/>
      <c r="K73" s="160"/>
      <c r="L73" s="70"/>
    </row>
    <row r="74" spans="1:12" s="2" customFormat="1" x14ac:dyDescent="0.2">
      <c r="A74" s="89" t="s">
        <v>2243</v>
      </c>
      <c r="B74" s="128" t="s">
        <v>11</v>
      </c>
      <c r="C74" s="181" t="s">
        <v>427</v>
      </c>
      <c r="D74" s="11" t="s">
        <v>29</v>
      </c>
      <c r="E74" s="86"/>
      <c r="F74" s="2">
        <v>8000</v>
      </c>
      <c r="G74" s="23"/>
      <c r="H74" s="23"/>
      <c r="I74" s="159"/>
      <c r="J74" s="160"/>
      <c r="K74" s="160"/>
      <c r="L74" s="70"/>
    </row>
    <row r="75" spans="1:12" s="2" customFormat="1" x14ac:dyDescent="0.2">
      <c r="A75" s="89" t="s">
        <v>2243</v>
      </c>
      <c r="B75" s="128" t="s">
        <v>11</v>
      </c>
      <c r="C75" s="181" t="s">
        <v>447</v>
      </c>
      <c r="D75" s="11" t="s">
        <v>29</v>
      </c>
      <c r="E75" s="86"/>
      <c r="F75" s="2">
        <v>613377</v>
      </c>
      <c r="G75" s="23"/>
      <c r="H75" s="23"/>
      <c r="I75" s="159"/>
      <c r="J75" s="160"/>
      <c r="K75" s="160"/>
      <c r="L75" s="70"/>
    </row>
    <row r="76" spans="1:12" s="2" customFormat="1" x14ac:dyDescent="0.2">
      <c r="A76" s="89" t="s">
        <v>2243</v>
      </c>
      <c r="B76" s="128" t="s">
        <v>11</v>
      </c>
      <c r="C76" s="181" t="s">
        <v>540</v>
      </c>
      <c r="D76" s="11" t="s">
        <v>29</v>
      </c>
      <c r="E76" s="86"/>
      <c r="F76" s="2">
        <v>14700</v>
      </c>
      <c r="G76" s="23"/>
      <c r="H76" s="23"/>
      <c r="I76" s="159"/>
      <c r="J76" s="160"/>
      <c r="K76" s="160"/>
      <c r="L76" s="70"/>
    </row>
    <row r="77" spans="1:12" s="2" customFormat="1" x14ac:dyDescent="0.2">
      <c r="A77" s="89" t="s">
        <v>2243</v>
      </c>
      <c r="B77" s="128" t="s">
        <v>11</v>
      </c>
      <c r="C77" s="181" t="s">
        <v>823</v>
      </c>
      <c r="D77" s="11" t="s">
        <v>29</v>
      </c>
      <c r="E77" s="86"/>
      <c r="F77" s="2">
        <v>28181</v>
      </c>
      <c r="G77" s="23"/>
      <c r="H77" s="23"/>
      <c r="I77" s="159"/>
      <c r="J77" s="160"/>
      <c r="K77" s="160"/>
      <c r="L77" s="70"/>
    </row>
    <row r="78" spans="1:12" s="2" customFormat="1" x14ac:dyDescent="0.2">
      <c r="A78" s="89" t="s">
        <v>2243</v>
      </c>
      <c r="B78" s="128" t="s">
        <v>11</v>
      </c>
      <c r="C78" s="181" t="s">
        <v>63</v>
      </c>
      <c r="D78" s="11" t="s">
        <v>29</v>
      </c>
      <c r="E78" s="86"/>
      <c r="F78" s="2">
        <v>6000000</v>
      </c>
      <c r="G78" s="23"/>
      <c r="H78" s="23"/>
      <c r="I78" s="159"/>
      <c r="J78" s="160"/>
      <c r="K78" s="160"/>
      <c r="L78" s="70"/>
    </row>
    <row r="79" spans="1:12" s="2" customFormat="1" x14ac:dyDescent="0.2">
      <c r="A79" s="89" t="s">
        <v>2243</v>
      </c>
      <c r="B79" s="128" t="s">
        <v>11</v>
      </c>
      <c r="C79" s="181" t="s">
        <v>2245</v>
      </c>
      <c r="D79" s="11" t="s">
        <v>29</v>
      </c>
      <c r="E79" s="86"/>
      <c r="F79" s="2">
        <v>2405214</v>
      </c>
      <c r="G79" s="23"/>
      <c r="H79" s="23"/>
      <c r="I79" s="159"/>
      <c r="J79" s="160"/>
      <c r="K79" s="160"/>
      <c r="L79" s="70"/>
    </row>
    <row r="80" spans="1:12" s="2" customFormat="1" x14ac:dyDescent="0.2">
      <c r="A80" s="89" t="s">
        <v>2243</v>
      </c>
      <c r="B80" s="128" t="s">
        <v>11</v>
      </c>
      <c r="C80" s="181" t="s">
        <v>356</v>
      </c>
      <c r="D80" s="11" t="s">
        <v>29</v>
      </c>
      <c r="E80" s="86"/>
      <c r="F80" s="2">
        <v>1282351</v>
      </c>
      <c r="G80" s="23"/>
      <c r="H80" s="23"/>
      <c r="I80" s="159"/>
      <c r="J80" s="160"/>
      <c r="K80" s="160"/>
      <c r="L80" s="70"/>
    </row>
    <row r="81" spans="1:16" s="2" customFormat="1" x14ac:dyDescent="0.2">
      <c r="A81" s="89" t="s">
        <v>2243</v>
      </c>
      <c r="B81" s="128" t="s">
        <v>11</v>
      </c>
      <c r="C81" s="181" t="s">
        <v>57</v>
      </c>
      <c r="D81" s="11" t="s">
        <v>29</v>
      </c>
      <c r="E81" s="86"/>
      <c r="F81" s="2">
        <v>1000000</v>
      </c>
      <c r="G81" s="23"/>
      <c r="H81" s="23"/>
      <c r="I81" s="159"/>
      <c r="J81" s="160"/>
      <c r="K81" s="160"/>
      <c r="L81" s="70"/>
    </row>
    <row r="82" spans="1:16" s="70" customFormat="1" x14ac:dyDescent="0.2">
      <c r="A82" s="32"/>
      <c r="B82" s="33"/>
      <c r="C82" s="14"/>
      <c r="D82" s="34"/>
      <c r="E82" s="16">
        <f>SUM(E34:E81)</f>
        <v>33716462.640000001</v>
      </c>
      <c r="F82" s="16">
        <f>SUM(F34:F81)</f>
        <v>5403487.1399998944</v>
      </c>
      <c r="G82" s="1"/>
      <c r="H82" s="1"/>
      <c r="I82" s="1"/>
      <c r="J82" s="38">
        <v>28312975.5</v>
      </c>
      <c r="K82" s="2"/>
      <c r="L82" s="92">
        <f>E83+J82</f>
        <v>-1.0430812835693359E-7</v>
      </c>
      <c r="M82" s="2"/>
      <c r="N82" s="2"/>
      <c r="O82" s="2"/>
      <c r="P82" s="2"/>
    </row>
    <row r="83" spans="1:16" s="70" customFormat="1" x14ac:dyDescent="0.2">
      <c r="A83" s="36"/>
      <c r="B83" s="28" t="s">
        <v>11</v>
      </c>
      <c r="C83" s="19" t="s">
        <v>65</v>
      </c>
      <c r="D83" s="37"/>
      <c r="E83" s="38">
        <f>F82-E82</f>
        <v>-28312975.500000104</v>
      </c>
      <c r="F83" s="22"/>
      <c r="G83" s="1"/>
      <c r="H83" s="1"/>
      <c r="I83" s="1"/>
      <c r="M83" s="2"/>
      <c r="N83" s="2"/>
      <c r="O83" s="1"/>
      <c r="P83" s="2"/>
    </row>
    <row r="84" spans="1:16" s="70" customFormat="1" x14ac:dyDescent="0.2">
      <c r="A84" s="36"/>
      <c r="B84" s="28" t="s">
        <v>66</v>
      </c>
      <c r="C84" s="19" t="s">
        <v>67</v>
      </c>
      <c r="D84" s="37"/>
      <c r="E84" s="38">
        <f>11500000-7200000</f>
        <v>4300000</v>
      </c>
      <c r="F84" s="22"/>
      <c r="G84" s="1"/>
      <c r="H84" s="1"/>
      <c r="M84" s="2"/>
      <c r="N84" s="2"/>
      <c r="O84" s="1"/>
      <c r="P84" s="2"/>
    </row>
    <row r="85" spans="1:16" s="70" customFormat="1" x14ac:dyDescent="0.2">
      <c r="A85" s="36"/>
      <c r="B85" s="28" t="s">
        <v>66</v>
      </c>
      <c r="C85" s="43" t="s">
        <v>1457</v>
      </c>
      <c r="D85" s="43"/>
      <c r="E85" s="12">
        <f>400000000</f>
        <v>400000000</v>
      </c>
      <c r="F85" s="22"/>
      <c r="G85" s="1"/>
      <c r="H85" s="1"/>
      <c r="J85" s="45">
        <v>1894.11</v>
      </c>
      <c r="K85" s="46"/>
      <c r="L85" s="46"/>
      <c r="M85" s="2"/>
      <c r="N85" s="2"/>
      <c r="O85" s="1"/>
      <c r="P85" s="2"/>
    </row>
    <row r="86" spans="1:16" s="70" customFormat="1" ht="15" x14ac:dyDescent="0.25">
      <c r="A86" s="36"/>
      <c r="B86" s="28"/>
      <c r="C86" s="44" t="s">
        <v>1541</v>
      </c>
      <c r="D86" s="43"/>
      <c r="E86" s="7">
        <f>+E85+E83+E84</f>
        <v>375987024.49999988</v>
      </c>
      <c r="F86" s="22"/>
      <c r="G86" s="1"/>
      <c r="H86" s="1"/>
      <c r="I86" s="103" t="s">
        <v>69</v>
      </c>
      <c r="J86" s="45">
        <v>-40.5</v>
      </c>
      <c r="K86" s="46"/>
      <c r="L86" s="46"/>
      <c r="M86" s="2"/>
      <c r="N86" s="2"/>
      <c r="O86" s="1"/>
      <c r="P86" s="2"/>
    </row>
    <row r="87" spans="1:16" s="70" customFormat="1" ht="15" x14ac:dyDescent="0.25">
      <c r="A87" s="24"/>
      <c r="B87" s="1"/>
      <c r="C87" s="44" t="s">
        <v>1510</v>
      </c>
      <c r="D87" s="25"/>
      <c r="E87" s="156">
        <f>+J33-E84+I29-J29</f>
        <v>124012975.5</v>
      </c>
      <c r="F87" s="2"/>
      <c r="G87" s="1"/>
      <c r="H87" s="1"/>
      <c r="I87" s="35">
        <v>1</v>
      </c>
      <c r="J87" s="45">
        <v>37.299999999999997</v>
      </c>
      <c r="K87" s="46">
        <f>+J88-D90</f>
        <v>0</v>
      </c>
      <c r="L87" s="2"/>
      <c r="M87" s="2"/>
      <c r="N87" s="2"/>
      <c r="O87" s="1"/>
      <c r="P87" s="2"/>
    </row>
    <row r="88" spans="1:16" s="70" customFormat="1" ht="12.75" customHeight="1" x14ac:dyDescent="0.2">
      <c r="A88" s="24"/>
      <c r="B88" s="1"/>
      <c r="C88" s="56"/>
      <c r="D88" s="56"/>
      <c r="E88" s="104"/>
      <c r="F88" s="2"/>
      <c r="G88" s="166"/>
      <c r="H88" s="166"/>
      <c r="J88" s="49">
        <f>SUM(J85:J87)</f>
        <v>1890.9099999999999</v>
      </c>
      <c r="K88" s="46"/>
      <c r="L88" s="46"/>
      <c r="M88" s="124"/>
      <c r="N88" s="124"/>
      <c r="O88" s="1"/>
      <c r="P88" s="2"/>
    </row>
    <row r="89" spans="1:16" s="70" customFormat="1" ht="12.75" customHeight="1" x14ac:dyDescent="0.2">
      <c r="A89" s="24"/>
      <c r="B89" s="1"/>
      <c r="C89" s="78" t="s">
        <v>575</v>
      </c>
      <c r="D89" s="48" t="s">
        <v>576</v>
      </c>
      <c r="E89" s="104"/>
      <c r="F89" s="2"/>
      <c r="G89" s="168"/>
      <c r="H89" s="168"/>
      <c r="I89" s="167"/>
      <c r="J89" s="167"/>
      <c r="K89" s="168"/>
      <c r="L89" s="124"/>
      <c r="M89" s="124"/>
      <c r="N89" s="124"/>
      <c r="O89" s="124"/>
      <c r="P89" s="2"/>
    </row>
    <row r="90" spans="1:16" s="70" customFormat="1" ht="12.75" customHeight="1" x14ac:dyDescent="0.2">
      <c r="A90" s="24"/>
      <c r="B90" s="1"/>
      <c r="C90" s="47" t="s">
        <v>570</v>
      </c>
      <c r="D90" s="111">
        <v>1890.91</v>
      </c>
      <c r="E90" s="104"/>
      <c r="F90" s="2"/>
      <c r="G90" s="168"/>
      <c r="H90" s="168"/>
      <c r="I90" s="110" t="s">
        <v>581</v>
      </c>
      <c r="J90" s="167"/>
      <c r="K90" s="168"/>
      <c r="L90" s="124"/>
      <c r="M90" s="124"/>
      <c r="N90" s="124"/>
      <c r="O90" s="124"/>
      <c r="P90" s="124"/>
    </row>
    <row r="91" spans="1:16" s="70" customFormat="1" ht="12.75" customHeight="1" x14ac:dyDescent="0.2">
      <c r="A91" s="24"/>
      <c r="B91" s="1"/>
      <c r="C91" s="47" t="s">
        <v>931</v>
      </c>
      <c r="D91" s="111">
        <v>170.87</v>
      </c>
      <c r="E91" s="104"/>
      <c r="F91" s="2"/>
      <c r="G91" s="168"/>
      <c r="H91" s="168"/>
      <c r="I91" s="110" t="s">
        <v>580</v>
      </c>
      <c r="J91" s="167"/>
      <c r="K91" s="168"/>
      <c r="L91" s="124"/>
      <c r="M91" s="124"/>
      <c r="N91" s="124"/>
      <c r="O91" s="124"/>
      <c r="P91" s="124"/>
    </row>
    <row r="92" spans="1:16" s="70" customFormat="1" ht="12.75" customHeight="1" x14ac:dyDescent="0.2">
      <c r="A92" s="24"/>
      <c r="B92" s="1"/>
      <c r="C92" s="47" t="s">
        <v>572</v>
      </c>
      <c r="D92" s="111">
        <f>+D139/100000</f>
        <v>705.65742939999996</v>
      </c>
      <c r="E92" s="104"/>
      <c r="F92" s="2"/>
      <c r="G92" s="166"/>
      <c r="H92" s="166"/>
      <c r="I92" s="90" t="s">
        <v>587</v>
      </c>
      <c r="J92" s="167"/>
      <c r="K92" s="168"/>
      <c r="L92" s="124"/>
      <c r="M92" s="124"/>
      <c r="N92" s="124"/>
      <c r="O92" s="124"/>
      <c r="P92" s="124"/>
    </row>
    <row r="93" spans="1:16" s="70" customFormat="1" ht="12.75" customHeight="1" x14ac:dyDescent="0.2">
      <c r="A93" s="24"/>
      <c r="B93" s="1"/>
      <c r="C93" s="108" t="s">
        <v>578</v>
      </c>
      <c r="D93" s="48">
        <f>SUM(D90:D92)</f>
        <v>2767.4374293999999</v>
      </c>
      <c r="E93" s="104"/>
      <c r="F93" s="2"/>
      <c r="G93" s="30"/>
      <c r="H93" s="30"/>
      <c r="I93" s="2"/>
      <c r="J93" s="13"/>
      <c r="K93" s="13"/>
      <c r="L93" s="2"/>
      <c r="M93" s="2"/>
      <c r="N93" s="2"/>
      <c r="O93" s="124"/>
      <c r="P93" s="124"/>
    </row>
    <row r="94" spans="1:16" s="70" customFormat="1" ht="12.75" customHeight="1" x14ac:dyDescent="0.2">
      <c r="A94" s="24"/>
      <c r="B94" s="1"/>
      <c r="C94" s="47"/>
      <c r="D94" s="107"/>
      <c r="E94" s="104"/>
      <c r="F94" s="2"/>
      <c r="G94" s="30"/>
      <c r="H94" s="30"/>
      <c r="I94" s="2"/>
      <c r="O94" s="2"/>
      <c r="P94" s="124"/>
    </row>
    <row r="95" spans="1:16" s="70" customFormat="1" ht="12.75" customHeight="1" x14ac:dyDescent="0.2">
      <c r="A95" s="24"/>
      <c r="B95" s="1"/>
      <c r="C95" s="47" t="s">
        <v>932</v>
      </c>
      <c r="D95" s="111">
        <v>658.66</v>
      </c>
      <c r="E95" s="104"/>
      <c r="F95" s="2"/>
      <c r="G95" s="30"/>
      <c r="H95" s="30"/>
      <c r="I95" s="110" t="s">
        <v>581</v>
      </c>
      <c r="P95" s="2"/>
    </row>
    <row r="96" spans="1:16" s="70" customFormat="1" ht="12.75" customHeight="1" x14ac:dyDescent="0.2">
      <c r="A96" s="24"/>
      <c r="B96" s="1"/>
      <c r="C96" s="136" t="s">
        <v>1142</v>
      </c>
      <c r="D96" s="111">
        <v>482.31</v>
      </c>
      <c r="E96" s="104"/>
      <c r="F96" s="2"/>
      <c r="G96" s="30"/>
      <c r="H96" s="30"/>
      <c r="I96" s="110" t="s">
        <v>581</v>
      </c>
    </row>
    <row r="97" spans="1:19" s="70" customFormat="1" ht="12.75" customHeight="1" x14ac:dyDescent="0.2">
      <c r="A97" s="24"/>
      <c r="B97" s="1"/>
      <c r="C97" s="78" t="s">
        <v>579</v>
      </c>
      <c r="D97" s="109">
        <f>D95+D96</f>
        <v>1140.97</v>
      </c>
      <c r="E97" s="104"/>
      <c r="F97" s="2"/>
      <c r="G97" s="30"/>
      <c r="H97" s="30"/>
      <c r="Q97" s="2"/>
      <c r="R97" s="2"/>
      <c r="S97" s="2"/>
    </row>
    <row r="98" spans="1:19" s="2" customFormat="1" x14ac:dyDescent="0.2">
      <c r="A98" s="24"/>
      <c r="B98" s="1"/>
      <c r="C98" s="105"/>
      <c r="D98" s="106"/>
      <c r="E98" s="104"/>
      <c r="G98" s="30"/>
      <c r="H98" s="30"/>
      <c r="I98" s="70"/>
      <c r="K98" s="221" t="str">
        <f>"FROM ( 01-03-2024 to "&amp;TEXT(A5,"dd-mm-yyyy")&amp;" )"</f>
        <v>FROM ( 01-03-2024 to 19-03-2024 )</v>
      </c>
      <c r="L98" s="221"/>
      <c r="O98" s="70"/>
      <c r="P98" s="70"/>
    </row>
    <row r="99" spans="1:19" s="2" customFormat="1" x14ac:dyDescent="0.2">
      <c r="A99" s="24"/>
      <c r="B99" s="1"/>
      <c r="C99" s="78" t="s">
        <v>577</v>
      </c>
      <c r="D99" s="109">
        <f>D90+D97</f>
        <v>3031.88</v>
      </c>
      <c r="E99" s="104"/>
      <c r="G99" s="30"/>
      <c r="H99" s="30"/>
      <c r="I99" s="70"/>
      <c r="J99" s="113"/>
      <c r="K99" s="113" t="s">
        <v>709</v>
      </c>
      <c r="L99" s="113" t="s">
        <v>710</v>
      </c>
      <c r="M99" s="113" t="s">
        <v>711</v>
      </c>
      <c r="N99" s="113" t="s">
        <v>712</v>
      </c>
      <c r="O99" s="70"/>
      <c r="P99" s="70"/>
    </row>
    <row r="100" spans="1:19" s="2" customFormat="1" x14ac:dyDescent="0.2">
      <c r="A100" s="24"/>
      <c r="B100" s="1"/>
      <c r="C100" s="56"/>
      <c r="D100" s="56"/>
      <c r="E100" s="104"/>
      <c r="G100" s="30"/>
      <c r="H100" s="30"/>
      <c r="I100" s="70"/>
      <c r="J100" s="113" t="s">
        <v>1860</v>
      </c>
      <c r="K100" s="115">
        <v>195.8</v>
      </c>
      <c r="L100" s="115">
        <v>62.74</v>
      </c>
      <c r="M100" s="115">
        <v>0</v>
      </c>
      <c r="N100" s="113">
        <f>+K100+M100-L100</f>
        <v>133.06</v>
      </c>
      <c r="O100" s="70"/>
      <c r="P100" s="70"/>
    </row>
    <row r="101" spans="1:19" s="2" customFormat="1" ht="38.25" x14ac:dyDescent="0.2">
      <c r="A101" s="24"/>
      <c r="B101" s="1"/>
      <c r="C101" s="79" t="str">
        <f>"Particulars ( 01-03-2024 to "&amp;TEXT(A5,"dd-mm-yyyy")&amp;" )"</f>
        <v>Particulars ( 01-03-2024 to 19-03-2024 )</v>
      </c>
      <c r="D101" s="79" t="s">
        <v>7</v>
      </c>
      <c r="E101" s="80" t="s">
        <v>73</v>
      </c>
      <c r="F101" s="80" t="s">
        <v>74</v>
      </c>
      <c r="G101" s="81" t="s">
        <v>75</v>
      </c>
      <c r="H101" s="80" t="s">
        <v>76</v>
      </c>
      <c r="I101" s="70"/>
      <c r="J101" s="113" t="s">
        <v>1861</v>
      </c>
      <c r="K101" s="115">
        <v>1882.55</v>
      </c>
      <c r="L101" s="115">
        <v>707.31</v>
      </c>
      <c r="M101" s="115">
        <v>723.06</v>
      </c>
      <c r="N101" s="113">
        <f>+K101+M101-L101</f>
        <v>1898.2999999999997</v>
      </c>
      <c r="O101" s="70"/>
      <c r="P101" s="70"/>
    </row>
    <row r="102" spans="1:19" s="2" customFormat="1" x14ac:dyDescent="0.2">
      <c r="A102" s="24"/>
      <c r="B102" s="1"/>
      <c r="C102" s="50" t="s">
        <v>444</v>
      </c>
      <c r="D102" s="55">
        <f>+K102</f>
        <v>463.26</v>
      </c>
      <c r="E102" s="55">
        <f>+IF(M102=0,0,M102)</f>
        <v>542.28</v>
      </c>
      <c r="F102" s="55">
        <f>+L102</f>
        <v>170.87</v>
      </c>
      <c r="G102" s="55">
        <f>+D102+E102-F102</f>
        <v>834.67</v>
      </c>
      <c r="H102" s="55">
        <f>1500-G102</f>
        <v>665.33</v>
      </c>
      <c r="I102" s="70">
        <f>+IF(M102=0,0,M102)</f>
        <v>542.28</v>
      </c>
      <c r="J102" s="113" t="s">
        <v>707</v>
      </c>
      <c r="K102" s="115">
        <v>463.26</v>
      </c>
      <c r="L102" s="115">
        <v>170.87</v>
      </c>
      <c r="M102" s="115">
        <v>542.28</v>
      </c>
      <c r="N102" s="113">
        <f>+K102+M102-L102</f>
        <v>834.67</v>
      </c>
      <c r="O102" s="70"/>
      <c r="P102" s="70"/>
    </row>
    <row r="103" spans="1:19" s="2" customFormat="1" x14ac:dyDescent="0.2">
      <c r="A103" s="24"/>
      <c r="B103" s="1"/>
      <c r="C103" s="50" t="s">
        <v>71</v>
      </c>
      <c r="D103" s="55">
        <f>+K100+K101</f>
        <v>2078.35</v>
      </c>
      <c r="E103" s="55">
        <f>+M100+M101</f>
        <v>723.06</v>
      </c>
      <c r="F103" s="55">
        <f>+L100+L101</f>
        <v>770.05</v>
      </c>
      <c r="G103" s="55">
        <f>+D103+E103-F103</f>
        <v>2031.36</v>
      </c>
      <c r="H103" s="55">
        <f>1500+700+200-G103</f>
        <v>368.6400000000001</v>
      </c>
      <c r="I103" s="70"/>
      <c r="K103" s="118">
        <f>SUM(K100:K102)</f>
        <v>2541.6099999999997</v>
      </c>
      <c r="L103" s="118">
        <f>SUM(L100:L102)</f>
        <v>940.92</v>
      </c>
      <c r="M103" s="118">
        <f>SUM(M100:M102)</f>
        <v>1265.3399999999999</v>
      </c>
      <c r="N103" s="118">
        <f>SUM(N100:N102)</f>
        <v>2866.0299999999997</v>
      </c>
      <c r="O103" s="70"/>
      <c r="P103" s="70"/>
    </row>
    <row r="104" spans="1:19" s="2" customFormat="1" x14ac:dyDescent="0.2">
      <c r="A104" s="24"/>
      <c r="B104" s="1"/>
      <c r="C104" s="14"/>
      <c r="D104" s="56"/>
      <c r="E104" s="13"/>
      <c r="G104" s="30"/>
      <c r="H104" s="30"/>
      <c r="I104" s="70"/>
      <c r="J104" s="70"/>
      <c r="K104" s="70"/>
      <c r="L104" s="70"/>
      <c r="M104" s="70"/>
      <c r="N104" s="70"/>
      <c r="O104" s="70"/>
      <c r="P104" s="70"/>
    </row>
    <row r="105" spans="1:19" s="2" customFormat="1" x14ac:dyDescent="0.2">
      <c r="A105" s="215" t="s">
        <v>80</v>
      </c>
      <c r="B105" s="216"/>
      <c r="C105" s="216"/>
      <c r="D105" s="217"/>
      <c r="E105" s="69"/>
      <c r="F105" s="70"/>
      <c r="G105" s="30"/>
      <c r="H105" s="30"/>
      <c r="I105" s="70"/>
      <c r="J105" s="70"/>
      <c r="K105" s="70"/>
      <c r="L105" s="70"/>
      <c r="M105" s="70"/>
      <c r="N105" s="70"/>
      <c r="O105" s="70"/>
      <c r="P105" s="70"/>
    </row>
    <row r="106" spans="1:19" s="2" customFormat="1" x14ac:dyDescent="0.2">
      <c r="A106" s="71" t="s">
        <v>81</v>
      </c>
      <c r="B106" s="71"/>
      <c r="C106" s="72" t="s">
        <v>82</v>
      </c>
      <c r="D106" s="73" t="s">
        <v>83</v>
      </c>
      <c r="E106" s="69"/>
      <c r="F106" s="70"/>
      <c r="G106" s="30"/>
      <c r="H106" s="30"/>
      <c r="I106" s="70"/>
      <c r="J106" s="70"/>
      <c r="K106" s="70"/>
      <c r="L106" s="70"/>
      <c r="M106" s="70"/>
      <c r="N106" s="70"/>
      <c r="O106" s="70"/>
      <c r="P106" s="70"/>
    </row>
    <row r="107" spans="1:19" s="2" customFormat="1" x14ac:dyDescent="0.2">
      <c r="A107" s="87">
        <v>45352</v>
      </c>
      <c r="B107" s="120" t="s">
        <v>6</v>
      </c>
      <c r="C107" s="75" t="s">
        <v>594</v>
      </c>
      <c r="D107" s="88">
        <v>2143144</v>
      </c>
      <c r="G107" s="30"/>
      <c r="H107" s="30"/>
      <c r="P107" s="70"/>
    </row>
    <row r="108" spans="1:19" s="2" customFormat="1" x14ac:dyDescent="0.2">
      <c r="A108" s="87">
        <v>45352</v>
      </c>
      <c r="B108" s="120" t="s">
        <v>6</v>
      </c>
      <c r="C108" s="75" t="s">
        <v>271</v>
      </c>
      <c r="D108" s="88">
        <v>1493463</v>
      </c>
      <c r="G108" s="30"/>
      <c r="H108" s="30"/>
      <c r="P108" s="70"/>
    </row>
    <row r="109" spans="1:19" s="2" customFormat="1" x14ac:dyDescent="0.2">
      <c r="A109" s="87">
        <v>45354</v>
      </c>
      <c r="B109" s="120" t="s">
        <v>6</v>
      </c>
      <c r="C109" s="75" t="s">
        <v>270</v>
      </c>
      <c r="D109" s="88">
        <v>187299</v>
      </c>
      <c r="G109" s="30"/>
      <c r="H109" s="30"/>
      <c r="P109" s="70"/>
    </row>
    <row r="110" spans="1:19" s="2" customFormat="1" x14ac:dyDescent="0.2">
      <c r="A110" s="87">
        <v>45354</v>
      </c>
      <c r="B110" s="120" t="s">
        <v>6</v>
      </c>
      <c r="C110" s="75" t="s">
        <v>270</v>
      </c>
      <c r="D110" s="88">
        <v>8628</v>
      </c>
      <c r="G110" s="30"/>
      <c r="H110" s="30"/>
      <c r="P110" s="70"/>
    </row>
    <row r="111" spans="1:19" s="2" customFormat="1" x14ac:dyDescent="0.2">
      <c r="A111" s="87">
        <v>45356</v>
      </c>
      <c r="B111" s="120" t="s">
        <v>6</v>
      </c>
      <c r="C111" s="75" t="s">
        <v>84</v>
      </c>
      <c r="D111" s="88">
        <v>3111466</v>
      </c>
      <c r="G111" s="30"/>
      <c r="H111" s="30"/>
      <c r="P111" s="70"/>
    </row>
    <row r="112" spans="1:19" s="2" customFormat="1" x14ac:dyDescent="0.2">
      <c r="A112" s="87">
        <v>45356</v>
      </c>
      <c r="B112" s="120" t="s">
        <v>6</v>
      </c>
      <c r="C112" s="75" t="s">
        <v>271</v>
      </c>
      <c r="D112" s="88">
        <v>1369091</v>
      </c>
      <c r="G112" s="30"/>
      <c r="H112" s="30"/>
      <c r="P112" s="70"/>
    </row>
    <row r="113" spans="1:16" s="2" customFormat="1" x14ac:dyDescent="0.2">
      <c r="A113" s="87">
        <v>45357</v>
      </c>
      <c r="B113" s="120" t="s">
        <v>6</v>
      </c>
      <c r="C113" s="75" t="s">
        <v>271</v>
      </c>
      <c r="D113" s="88">
        <v>1393433</v>
      </c>
      <c r="G113" s="30"/>
      <c r="H113" s="30"/>
      <c r="P113" s="70"/>
    </row>
    <row r="114" spans="1:16" s="2" customFormat="1" x14ac:dyDescent="0.2">
      <c r="A114" s="87">
        <v>45359</v>
      </c>
      <c r="B114" s="120" t="s">
        <v>6</v>
      </c>
      <c r="C114" s="75" t="s">
        <v>271</v>
      </c>
      <c r="D114" s="88">
        <v>730944</v>
      </c>
      <c r="G114" s="30"/>
      <c r="H114" s="30"/>
      <c r="P114" s="70"/>
    </row>
    <row r="115" spans="1:16" s="2" customFormat="1" x14ac:dyDescent="0.2">
      <c r="A115" s="87">
        <v>45359</v>
      </c>
      <c r="B115" s="120" t="s">
        <v>6</v>
      </c>
      <c r="C115" s="75" t="s">
        <v>18</v>
      </c>
      <c r="D115" s="88">
        <v>19228</v>
      </c>
      <c r="G115" s="30"/>
      <c r="H115" s="30"/>
      <c r="P115" s="70"/>
    </row>
    <row r="116" spans="1:16" s="2" customFormat="1" x14ac:dyDescent="0.2">
      <c r="A116" s="87">
        <v>45362</v>
      </c>
      <c r="B116" s="120" t="s">
        <v>6</v>
      </c>
      <c r="C116" s="75" t="s">
        <v>1789</v>
      </c>
      <c r="D116" s="88">
        <v>2568137</v>
      </c>
      <c r="G116" s="30"/>
      <c r="H116" s="30"/>
      <c r="P116" s="70"/>
    </row>
    <row r="117" spans="1:16" s="2" customFormat="1" x14ac:dyDescent="0.2">
      <c r="A117" s="87">
        <v>45362</v>
      </c>
      <c r="B117" s="120" t="s">
        <v>6</v>
      </c>
      <c r="C117" s="75" t="s">
        <v>85</v>
      </c>
      <c r="D117" s="88">
        <v>39949</v>
      </c>
      <c r="G117" s="30"/>
      <c r="H117" s="30"/>
      <c r="P117" s="70"/>
    </row>
    <row r="118" spans="1:16" s="2" customFormat="1" x14ac:dyDescent="0.2">
      <c r="A118" s="87">
        <v>45362</v>
      </c>
      <c r="B118" s="120" t="s">
        <v>6</v>
      </c>
      <c r="C118" s="75" t="s">
        <v>85</v>
      </c>
      <c r="D118" s="88">
        <v>219691</v>
      </c>
      <c r="G118" s="30"/>
      <c r="H118" s="30"/>
      <c r="P118" s="70"/>
    </row>
    <row r="119" spans="1:16" s="2" customFormat="1" x14ac:dyDescent="0.2">
      <c r="A119" s="87">
        <v>45363</v>
      </c>
      <c r="B119" s="120" t="s">
        <v>6</v>
      </c>
      <c r="C119" s="75" t="s">
        <v>271</v>
      </c>
      <c r="D119" s="88">
        <v>952416</v>
      </c>
      <c r="G119" s="30"/>
      <c r="H119" s="30"/>
      <c r="P119" s="70"/>
    </row>
    <row r="120" spans="1:16" s="2" customFormat="1" x14ac:dyDescent="0.2">
      <c r="A120" s="87">
        <v>45363</v>
      </c>
      <c r="B120" s="120" t="s">
        <v>6</v>
      </c>
      <c r="C120" s="75" t="s">
        <v>18</v>
      </c>
      <c r="D120" s="88">
        <v>591483</v>
      </c>
      <c r="G120" s="30"/>
      <c r="H120" s="30"/>
      <c r="P120" s="70"/>
    </row>
    <row r="121" spans="1:16" s="2" customFormat="1" x14ac:dyDescent="0.2">
      <c r="A121" s="87">
        <v>45364</v>
      </c>
      <c r="B121" s="120" t="s">
        <v>6</v>
      </c>
      <c r="C121" s="75" t="s">
        <v>85</v>
      </c>
      <c r="D121" s="88">
        <v>701638</v>
      </c>
      <c r="G121" s="30"/>
      <c r="H121" s="30"/>
      <c r="P121" s="70"/>
    </row>
    <row r="122" spans="1:16" s="2" customFormat="1" x14ac:dyDescent="0.2">
      <c r="A122" s="87">
        <v>45364</v>
      </c>
      <c r="B122" s="120" t="s">
        <v>6</v>
      </c>
      <c r="C122" s="75" t="s">
        <v>86</v>
      </c>
      <c r="D122" s="88">
        <v>1887871</v>
      </c>
      <c r="G122" s="30"/>
      <c r="H122" s="30"/>
      <c r="P122" s="70"/>
    </row>
    <row r="123" spans="1:16" s="2" customFormat="1" x14ac:dyDescent="0.2">
      <c r="A123" s="87">
        <v>45366</v>
      </c>
      <c r="B123" s="120" t="s">
        <v>6</v>
      </c>
      <c r="C123" s="75" t="s">
        <v>201</v>
      </c>
      <c r="D123" s="88">
        <v>6161756</v>
      </c>
      <c r="G123" s="30"/>
      <c r="H123" s="30"/>
      <c r="P123" s="70"/>
    </row>
    <row r="124" spans="1:16" s="2" customFormat="1" x14ac:dyDescent="0.2">
      <c r="A124" s="87">
        <v>45366</v>
      </c>
      <c r="B124" s="120" t="s">
        <v>6</v>
      </c>
      <c r="C124" s="75" t="s">
        <v>1789</v>
      </c>
      <c r="D124" s="88">
        <v>7500000</v>
      </c>
      <c r="G124" s="30"/>
      <c r="H124" s="30"/>
      <c r="P124" s="70"/>
    </row>
    <row r="125" spans="1:16" s="2" customFormat="1" x14ac:dyDescent="0.2">
      <c r="A125" s="87">
        <v>45366</v>
      </c>
      <c r="B125" s="120" t="s">
        <v>6</v>
      </c>
      <c r="C125" s="75" t="s">
        <v>85</v>
      </c>
      <c r="D125" s="88">
        <v>306349</v>
      </c>
      <c r="G125" s="30"/>
      <c r="H125" s="30"/>
      <c r="P125" s="70"/>
    </row>
    <row r="126" spans="1:16" s="2" customFormat="1" x14ac:dyDescent="0.2">
      <c r="A126" s="87">
        <v>45366</v>
      </c>
      <c r="B126" s="120" t="s">
        <v>6</v>
      </c>
      <c r="C126" s="75" t="s">
        <v>85</v>
      </c>
      <c r="D126" s="88">
        <v>400000</v>
      </c>
      <c r="G126" s="30"/>
      <c r="H126" s="30"/>
      <c r="P126" s="70"/>
    </row>
    <row r="127" spans="1:16" s="2" customFormat="1" x14ac:dyDescent="0.2">
      <c r="A127" s="87">
        <v>45366</v>
      </c>
      <c r="B127" s="120" t="s">
        <v>6</v>
      </c>
      <c r="C127" s="75" t="s">
        <v>87</v>
      </c>
      <c r="D127" s="88">
        <v>4850915</v>
      </c>
      <c r="G127" s="30"/>
      <c r="H127" s="30"/>
      <c r="P127" s="70"/>
    </row>
    <row r="128" spans="1:16" s="2" customFormat="1" x14ac:dyDescent="0.2">
      <c r="A128" s="87">
        <v>45366</v>
      </c>
      <c r="B128" s="120" t="s">
        <v>6</v>
      </c>
      <c r="C128" s="75" t="s">
        <v>88</v>
      </c>
      <c r="D128" s="88">
        <v>5232207.0599999996</v>
      </c>
      <c r="G128" s="30"/>
      <c r="H128" s="30"/>
      <c r="P128" s="70"/>
    </row>
    <row r="129" spans="1:16" s="2" customFormat="1" x14ac:dyDescent="0.2">
      <c r="A129" s="87">
        <v>45366</v>
      </c>
      <c r="B129" s="120" t="s">
        <v>6</v>
      </c>
      <c r="C129" s="75" t="s">
        <v>201</v>
      </c>
      <c r="D129" s="88">
        <v>9960808.3800000008</v>
      </c>
      <c r="G129" s="30"/>
      <c r="H129" s="30"/>
      <c r="P129" s="70"/>
    </row>
    <row r="130" spans="1:16" s="2" customFormat="1" x14ac:dyDescent="0.2">
      <c r="A130" s="87">
        <v>45366</v>
      </c>
      <c r="B130" s="120" t="s">
        <v>6</v>
      </c>
      <c r="C130" s="75" t="s">
        <v>86</v>
      </c>
      <c r="D130" s="88">
        <v>7162826</v>
      </c>
      <c r="G130" s="30"/>
      <c r="H130" s="30"/>
      <c r="P130" s="70"/>
    </row>
    <row r="131" spans="1:16" s="2" customFormat="1" x14ac:dyDescent="0.2">
      <c r="A131" s="87">
        <v>45366</v>
      </c>
      <c r="B131" s="120" t="s">
        <v>6</v>
      </c>
      <c r="C131" s="75" t="s">
        <v>323</v>
      </c>
      <c r="D131" s="88">
        <v>1044131</v>
      </c>
      <c r="G131" s="30"/>
      <c r="H131" s="30"/>
      <c r="P131" s="70"/>
    </row>
    <row r="132" spans="1:16" s="2" customFormat="1" x14ac:dyDescent="0.2">
      <c r="A132" s="87">
        <v>45366</v>
      </c>
      <c r="B132" s="120" t="s">
        <v>6</v>
      </c>
      <c r="C132" s="75" t="s">
        <v>1789</v>
      </c>
      <c r="D132" s="88">
        <v>39309</v>
      </c>
      <c r="G132" s="30"/>
      <c r="H132" s="30"/>
      <c r="P132" s="70"/>
    </row>
    <row r="133" spans="1:16" s="2" customFormat="1" x14ac:dyDescent="0.2">
      <c r="A133" s="87">
        <v>45366</v>
      </c>
      <c r="B133" s="120" t="s">
        <v>6</v>
      </c>
      <c r="C133" s="75" t="s">
        <v>88</v>
      </c>
      <c r="D133" s="88">
        <v>30421</v>
      </c>
      <c r="G133" s="30"/>
      <c r="H133" s="30"/>
      <c r="P133" s="70"/>
    </row>
    <row r="134" spans="1:16" s="2" customFormat="1" x14ac:dyDescent="0.2">
      <c r="A134" s="87">
        <v>45366</v>
      </c>
      <c r="B134" s="120" t="s">
        <v>6</v>
      </c>
      <c r="C134" s="75" t="s">
        <v>270</v>
      </c>
      <c r="D134" s="88">
        <v>76786</v>
      </c>
      <c r="G134" s="30"/>
      <c r="H134" s="30"/>
      <c r="P134" s="70"/>
    </row>
    <row r="135" spans="1:16" s="2" customFormat="1" x14ac:dyDescent="0.2">
      <c r="A135" s="87">
        <v>45366</v>
      </c>
      <c r="B135" s="120" t="s">
        <v>6</v>
      </c>
      <c r="C135" s="75" t="s">
        <v>270</v>
      </c>
      <c r="D135" s="88">
        <v>30283.5</v>
      </c>
      <c r="G135" s="30"/>
      <c r="H135" s="30"/>
      <c r="P135" s="70"/>
    </row>
    <row r="136" spans="1:16" s="2" customFormat="1" x14ac:dyDescent="0.2">
      <c r="A136" s="87">
        <v>45367</v>
      </c>
      <c r="B136" s="120" t="s">
        <v>6</v>
      </c>
      <c r="C136" s="75" t="s">
        <v>594</v>
      </c>
      <c r="D136" s="88">
        <v>5010276</v>
      </c>
      <c r="G136" s="30"/>
      <c r="H136" s="30"/>
      <c r="P136" s="70"/>
    </row>
    <row r="137" spans="1:16" s="2" customFormat="1" x14ac:dyDescent="0.2">
      <c r="A137" s="87">
        <v>45369</v>
      </c>
      <c r="B137" s="120" t="s">
        <v>6</v>
      </c>
      <c r="C137" s="75" t="s">
        <v>86</v>
      </c>
      <c r="D137" s="88">
        <v>5267306</v>
      </c>
      <c r="G137" s="30"/>
      <c r="H137" s="30"/>
      <c r="P137" s="70"/>
    </row>
    <row r="138" spans="1:16" s="2" customFormat="1" x14ac:dyDescent="0.2">
      <c r="A138" s="87">
        <v>45370</v>
      </c>
      <c r="B138" s="120" t="s">
        <v>6</v>
      </c>
      <c r="C138" s="75" t="s">
        <v>1789</v>
      </c>
      <c r="D138" s="88">
        <v>74488</v>
      </c>
      <c r="G138" s="30"/>
      <c r="H138" s="30"/>
      <c r="P138" s="70"/>
    </row>
    <row r="139" spans="1:16" s="2" customFormat="1" x14ac:dyDescent="0.2">
      <c r="A139" s="87"/>
      <c r="B139" s="74"/>
      <c r="C139" s="183" t="s">
        <v>2141</v>
      </c>
      <c r="D139" s="51">
        <f>SUM(D107:D138)</f>
        <v>70565742.939999998</v>
      </c>
      <c r="F139" s="2" t="s">
        <v>396</v>
      </c>
      <c r="G139" s="1"/>
      <c r="H139" s="1"/>
      <c r="P139" s="70"/>
    </row>
    <row r="140" spans="1:16" s="2" customFormat="1" x14ac:dyDescent="0.2">
      <c r="A140" s="24"/>
      <c r="B140" s="1"/>
      <c r="C140" s="14"/>
      <c r="D140" s="56"/>
      <c r="E140" s="13"/>
      <c r="G140" s="1"/>
      <c r="H140" s="1"/>
      <c r="I140" s="2" t="s">
        <v>396</v>
      </c>
    </row>
    <row r="141" spans="1:16" s="2" customFormat="1" x14ac:dyDescent="0.2">
      <c r="A141" s="24"/>
      <c r="B141" s="1"/>
      <c r="C141" s="218" t="s">
        <v>77</v>
      </c>
      <c r="D141" s="219"/>
      <c r="E141" s="219"/>
      <c r="F141" s="220"/>
      <c r="I141" s="2" t="s">
        <v>396</v>
      </c>
    </row>
    <row r="142" spans="1:16" s="2" customFormat="1" x14ac:dyDescent="0.2">
      <c r="A142" s="24"/>
      <c r="B142" s="1"/>
      <c r="C142" s="50"/>
      <c r="D142" s="57" t="s">
        <v>78</v>
      </c>
      <c r="E142" s="58" t="s">
        <v>79</v>
      </c>
      <c r="F142" s="57" t="s">
        <v>72</v>
      </c>
    </row>
    <row r="143" spans="1:16" s="2" customFormat="1" x14ac:dyDescent="0.2">
      <c r="A143" s="24"/>
      <c r="B143" s="1"/>
      <c r="C143" s="59" t="str">
        <f>"01-03-2024 to "&amp;TEXT(A5-2,"dd-mm-yyyy")</f>
        <v>01-03-2024 to 17-03-2024</v>
      </c>
      <c r="D143" s="60">
        <v>2461.69</v>
      </c>
      <c r="E143" s="60">
        <v>419.88</v>
      </c>
      <c r="F143" s="61">
        <f>SUM(D143:E143)</f>
        <v>2881.57</v>
      </c>
      <c r="I143" s="53"/>
    </row>
    <row r="144" spans="1:16" s="2" customFormat="1" x14ac:dyDescent="0.2">
      <c r="A144" s="24"/>
      <c r="B144" s="1"/>
      <c r="C144" s="62" t="str">
        <f>TEXT(A5-1,"dd-mm-yyyy")</f>
        <v>18-03-2024</v>
      </c>
      <c r="D144" s="60">
        <v>160.31</v>
      </c>
      <c r="E144" s="60">
        <v>27.45</v>
      </c>
      <c r="F144" s="61">
        <f>SUM(D144:E144)</f>
        <v>187.76</v>
      </c>
      <c r="G144" s="1"/>
      <c r="H144" s="1"/>
      <c r="I144" s="53"/>
    </row>
    <row r="145" spans="1:19" s="2" customFormat="1" ht="13.5" thickBot="1" x14ac:dyDescent="0.25">
      <c r="A145" s="24"/>
      <c r="B145" s="1"/>
      <c r="C145" s="63" t="str">
        <f>"01-03-2024 to "&amp;TEXT(A5-1,"dd-mm-yyyy")</f>
        <v>01-03-2024 to 18-03-2024</v>
      </c>
      <c r="D145" s="64">
        <f>SUM(D143:D144)</f>
        <v>2622</v>
      </c>
      <c r="E145" s="64">
        <f>SUM(E143:E144)</f>
        <v>447.33</v>
      </c>
      <c r="F145" s="64">
        <f>SUM(F143:F144)</f>
        <v>3069.33</v>
      </c>
      <c r="G145" s="1"/>
      <c r="H145" s="1"/>
      <c r="M145" s="1"/>
      <c r="N145" s="1"/>
    </row>
    <row r="146" spans="1:19" s="2" customFormat="1" ht="13.5" thickTop="1" x14ac:dyDescent="0.2">
      <c r="A146" s="24"/>
      <c r="B146" s="1"/>
      <c r="C146" s="62"/>
      <c r="D146" s="65"/>
      <c r="E146" s="66"/>
      <c r="F146" s="67"/>
      <c r="M146" s="1"/>
      <c r="N146" s="1"/>
    </row>
    <row r="147" spans="1:19" s="2" customFormat="1" x14ac:dyDescent="0.2">
      <c r="A147" s="24"/>
      <c r="B147" s="1"/>
      <c r="C147" s="62" t="str">
        <f>"01-04-2023 to " &amp;C144</f>
        <v>01-04-2023 to 18-03-2024</v>
      </c>
      <c r="D147" s="68">
        <f>+D145+41133.42</f>
        <v>43755.42</v>
      </c>
      <c r="E147" s="68">
        <f>+E145+5183.37</f>
        <v>5630.7</v>
      </c>
      <c r="F147" s="68">
        <f>+F145+46316.49</f>
        <v>49385.82</v>
      </c>
      <c r="G147" s="1"/>
      <c r="H147" s="1"/>
      <c r="M147" s="1"/>
      <c r="N147" s="1"/>
    </row>
    <row r="148" spans="1:19" s="2" customFormat="1" x14ac:dyDescent="0.2">
      <c r="A148" s="24"/>
      <c r="B148" s="1"/>
      <c r="C148" s="52"/>
      <c r="D148" s="85"/>
      <c r="E148" s="53"/>
      <c r="F148" s="53"/>
      <c r="G148" s="1"/>
      <c r="H148" s="1"/>
      <c r="M148" s="1"/>
      <c r="N148" s="1"/>
    </row>
    <row r="149" spans="1:19" s="2" customFormat="1" x14ac:dyDescent="0.2">
      <c r="A149" s="24"/>
      <c r="B149" s="1"/>
      <c r="C149" s="52"/>
      <c r="D149" s="85"/>
      <c r="E149" s="53"/>
      <c r="F149" s="53"/>
      <c r="G149" s="1"/>
      <c r="H149" s="1"/>
      <c r="M149" s="1"/>
      <c r="N149" s="1"/>
    </row>
    <row r="150" spans="1:19" s="2" customFormat="1" x14ac:dyDescent="0.2">
      <c r="A150" s="24"/>
      <c r="B150" s="1"/>
      <c r="C150" s="52"/>
      <c r="D150" s="85"/>
      <c r="E150" s="53"/>
      <c r="F150" s="53"/>
      <c r="G150" s="1"/>
      <c r="H150" s="1"/>
      <c r="M150" s="1"/>
      <c r="N150" s="1"/>
    </row>
    <row r="151" spans="1:19" s="2" customFormat="1" x14ac:dyDescent="0.2">
      <c r="A151" s="24"/>
      <c r="B151" s="1"/>
      <c r="C151" s="52"/>
      <c r="D151" s="85"/>
      <c r="E151" s="53"/>
      <c r="F151" s="53"/>
      <c r="G151" s="1"/>
      <c r="H151" s="1"/>
      <c r="M151" s="1"/>
      <c r="N151" s="1"/>
    </row>
    <row r="152" spans="1:19" s="2" customFormat="1" x14ac:dyDescent="0.2">
      <c r="A152" s="24"/>
      <c r="B152" s="1"/>
      <c r="C152" s="14"/>
      <c r="D152" s="25">
        <f>SUM(D149:D151)</f>
        <v>0</v>
      </c>
      <c r="E152" s="2">
        <f>SUM(E149:E151)</f>
        <v>0</v>
      </c>
      <c r="G152" s="1"/>
      <c r="H152" s="1"/>
      <c r="M152" s="1"/>
      <c r="N152" s="1"/>
    </row>
    <row r="153" spans="1:19" s="2" customFormat="1" x14ac:dyDescent="0.2">
      <c r="A153" s="24"/>
      <c r="B153" s="1"/>
      <c r="C153" s="14"/>
      <c r="D153" s="25"/>
      <c r="G153" s="1"/>
      <c r="H153" s="1"/>
      <c r="M153" s="1"/>
      <c r="N153" s="1"/>
    </row>
    <row r="154" spans="1:19" s="2" customFormat="1" x14ac:dyDescent="0.2">
      <c r="A154" s="24"/>
      <c r="B154" s="1"/>
      <c r="C154" s="14"/>
      <c r="D154" s="25"/>
      <c r="G154" s="1"/>
      <c r="H154" s="1"/>
      <c r="M154" s="1"/>
      <c r="N154" s="1"/>
    </row>
    <row r="155" spans="1:19" s="2" customFormat="1" x14ac:dyDescent="0.2">
      <c r="A155" s="24"/>
      <c r="B155" s="1"/>
      <c r="C155" s="14"/>
      <c r="D155" s="25"/>
      <c r="G155" s="1"/>
      <c r="H155" s="1"/>
      <c r="M155" s="1"/>
      <c r="N155" s="1"/>
    </row>
    <row r="156" spans="1:19" s="2" customFormat="1" x14ac:dyDescent="0.2">
      <c r="A156" s="24"/>
      <c r="B156" s="1"/>
      <c r="C156" s="14"/>
      <c r="D156" s="25"/>
      <c r="G156" s="1"/>
      <c r="H156" s="1"/>
      <c r="M156" s="1"/>
      <c r="N156" s="1"/>
    </row>
    <row r="157" spans="1:19" s="2" customFormat="1" x14ac:dyDescent="0.2">
      <c r="A157" s="24"/>
      <c r="B157" s="1"/>
      <c r="C157" s="14"/>
      <c r="D157" s="25"/>
      <c r="G157" s="1"/>
      <c r="H157" s="1"/>
      <c r="M157" s="1"/>
      <c r="N157" s="1"/>
    </row>
    <row r="158" spans="1:19" s="2" customFormat="1" x14ac:dyDescent="0.2">
      <c r="A158" s="24"/>
      <c r="B158" s="1"/>
      <c r="C158" s="14"/>
      <c r="D158" s="25"/>
      <c r="G158" s="1"/>
      <c r="H158" s="1"/>
      <c r="M158" s="1"/>
      <c r="N158" s="1"/>
    </row>
    <row r="159" spans="1:19" s="2" customFormat="1" x14ac:dyDescent="0.2">
      <c r="A159" s="24"/>
      <c r="B159" s="1"/>
      <c r="C159" s="14"/>
      <c r="D159" s="25"/>
      <c r="G159" s="1"/>
      <c r="H159" s="1"/>
      <c r="M159" s="1"/>
      <c r="N159" s="1"/>
      <c r="Q159" s="1"/>
      <c r="R159" s="1"/>
      <c r="S159" s="1"/>
    </row>
    <row r="160" spans="1:19" x14ac:dyDescent="0.2">
      <c r="J160" s="2"/>
      <c r="K160" s="2"/>
      <c r="L160" s="2"/>
      <c r="O160" s="2"/>
      <c r="P160" s="2"/>
      <c r="Q160" s="2"/>
      <c r="R160" s="2"/>
      <c r="S160" s="2"/>
    </row>
    <row r="161" spans="1:19" s="2" customFormat="1" x14ac:dyDescent="0.2">
      <c r="A161" s="24"/>
      <c r="B161" s="1"/>
      <c r="C161" s="14"/>
      <c r="D161" s="25"/>
      <c r="G161" s="1"/>
      <c r="H161" s="1"/>
      <c r="M161" s="1"/>
      <c r="N161" s="1"/>
      <c r="Q161" s="1"/>
      <c r="R161" s="1"/>
      <c r="S161" s="1"/>
    </row>
    <row r="162" spans="1:19" x14ac:dyDescent="0.2">
      <c r="J162" s="2"/>
      <c r="K162" s="2"/>
      <c r="L162" s="2"/>
      <c r="O162" s="2"/>
      <c r="P162" s="2"/>
    </row>
    <row r="163" spans="1:19" x14ac:dyDescent="0.2">
      <c r="J163" s="2"/>
      <c r="K163" s="2"/>
      <c r="L163" s="2"/>
      <c r="O163" s="2"/>
      <c r="P163" s="2"/>
    </row>
    <row r="164" spans="1:19" x14ac:dyDescent="0.2">
      <c r="J164" s="2"/>
      <c r="K164" s="2"/>
      <c r="L164" s="2"/>
      <c r="O164" s="2"/>
      <c r="P164" s="2"/>
    </row>
    <row r="165" spans="1:19" x14ac:dyDescent="0.2">
      <c r="J165" s="2"/>
      <c r="K165" s="2"/>
      <c r="L165" s="2"/>
      <c r="O165" s="2"/>
      <c r="P165" s="2"/>
    </row>
    <row r="166" spans="1:19" x14ac:dyDescent="0.2">
      <c r="O166" s="2"/>
      <c r="P166" s="2"/>
    </row>
    <row r="167" spans="1:19" x14ac:dyDescent="0.2">
      <c r="J167" s="2"/>
      <c r="K167" s="2"/>
      <c r="L167" s="2"/>
      <c r="M167" s="2"/>
      <c r="N167" s="2"/>
      <c r="O167" s="2"/>
      <c r="P167" s="2"/>
    </row>
    <row r="168" spans="1:19" x14ac:dyDescent="0.2">
      <c r="O168" s="2"/>
      <c r="P168" s="2"/>
    </row>
    <row r="169" spans="1:19" x14ac:dyDescent="0.2">
      <c r="G169" s="54"/>
      <c r="H169" s="54"/>
      <c r="O169" s="2"/>
      <c r="P169" s="2"/>
    </row>
    <row r="170" spans="1:19" x14ac:dyDescent="0.2">
      <c r="G170" s="54"/>
      <c r="H170" s="54"/>
      <c r="O170" s="2"/>
      <c r="P170" s="2"/>
    </row>
    <row r="171" spans="1:19" x14ac:dyDescent="0.2">
      <c r="G171" s="54"/>
      <c r="H171" s="54"/>
      <c r="O171" s="2"/>
      <c r="P171" s="2"/>
    </row>
    <row r="172" spans="1:19" x14ac:dyDescent="0.2">
      <c r="G172" s="54"/>
      <c r="H172" s="54"/>
      <c r="I172" s="2" t="s">
        <v>396</v>
      </c>
      <c r="O172" s="2"/>
      <c r="P172" s="2"/>
    </row>
    <row r="173" spans="1:19" x14ac:dyDescent="0.2">
      <c r="G173" s="54"/>
      <c r="H173" s="54"/>
      <c r="I173" s="53"/>
      <c r="J173" s="2"/>
      <c r="K173" s="2"/>
      <c r="L173" s="2"/>
      <c r="M173" s="2"/>
      <c r="N173" s="2"/>
      <c r="P173" s="2"/>
    </row>
    <row r="174" spans="1:19" x14ac:dyDescent="0.2">
      <c r="G174" s="54"/>
      <c r="H174" s="54"/>
      <c r="I174" s="53" t="s">
        <v>396</v>
      </c>
      <c r="O174" s="2"/>
      <c r="P174" s="2"/>
    </row>
    <row r="175" spans="1:19" x14ac:dyDescent="0.2">
      <c r="G175" s="54"/>
      <c r="H175" s="54"/>
      <c r="I175" s="53" t="s">
        <v>396</v>
      </c>
      <c r="K175" s="42"/>
      <c r="P175" s="2"/>
    </row>
    <row r="176" spans="1:19" x14ac:dyDescent="0.2">
      <c r="G176" s="54"/>
      <c r="H176" s="54"/>
      <c r="I176" s="53"/>
      <c r="J176" s="101"/>
      <c r="P176" s="2"/>
    </row>
    <row r="177" spans="7:16" x14ac:dyDescent="0.2">
      <c r="G177" s="54"/>
      <c r="H177" s="54"/>
      <c r="I177" s="53"/>
    </row>
    <row r="178" spans="7:16" x14ac:dyDescent="0.2">
      <c r="G178" s="54"/>
      <c r="H178" s="54"/>
      <c r="I178" s="53"/>
      <c r="P178" s="2"/>
    </row>
    <row r="179" spans="7:16" x14ac:dyDescent="0.2">
      <c r="G179" s="54"/>
      <c r="H179" s="54"/>
      <c r="I179" s="53"/>
    </row>
  </sheetData>
  <sheetProtection insertRows="0"/>
  <mergeCells count="8">
    <mergeCell ref="K98:L98"/>
    <mergeCell ref="A105:D105"/>
    <mergeCell ref="C141:F141"/>
    <mergeCell ref="A1:H1"/>
    <mergeCell ref="A3:F3"/>
    <mergeCell ref="A10:F10"/>
    <mergeCell ref="A23:F23"/>
    <mergeCell ref="A32:F32"/>
  </mergeCells>
  <conditionalFormatting sqref="H102:H103">
    <cfRule type="cellIs" dxfId="19" priority="1" operator="lessThan">
      <formula>0</formula>
    </cfRule>
  </conditionalFormatting>
  <conditionalFormatting sqref="C34">
    <cfRule type="duplicateValues" dxfId="18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1-000000000000}">
  <sheetPr codeName="Sheet577">
    <pageSetUpPr fitToPage="1"/>
  </sheetPr>
  <dimension ref="A1:S213"/>
  <sheetViews>
    <sheetView topLeftCell="B39" zoomScaleNormal="100" workbookViewId="0">
      <selection activeCell="I41" sqref="I41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5703125" style="2" bestFit="1" customWidth="1"/>
    <col min="7" max="7" width="12.85546875" style="1" bestFit="1" customWidth="1"/>
    <col min="8" max="8" width="12.85546875" style="1" customWidth="1"/>
    <col min="9" max="9" width="24.85546875" style="2" bestFit="1" customWidth="1"/>
    <col min="10" max="10" width="21.5703125" style="1" bestFit="1" customWidth="1"/>
    <col min="11" max="11" width="16.85546875" style="1" bestFit="1" customWidth="1"/>
    <col min="12" max="12" width="19.5703125" style="1" bestFit="1" customWidth="1"/>
    <col min="13" max="13" width="13.5703125" style="1" bestFit="1" customWidth="1"/>
    <col min="14" max="14" width="17.42578125" style="1" bestFit="1" customWidth="1"/>
    <col min="15" max="15" width="12.85546875" style="1" bestFit="1" customWidth="1"/>
    <col min="16" max="17" width="9.140625" style="1"/>
    <col min="18" max="18" width="15.5703125" style="1" bestFit="1" customWidth="1"/>
    <col min="19" max="16384" width="9.140625" style="1"/>
  </cols>
  <sheetData>
    <row r="1" spans="1:11" ht="20.25" customHeight="1" x14ac:dyDescent="0.4">
      <c r="A1" s="212" t="s">
        <v>2248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1" ht="12.75" customHeight="1" x14ac:dyDescent="0.4">
      <c r="I2" s="112"/>
      <c r="J2" s="112"/>
    </row>
    <row r="3" spans="1:11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1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1" s="2" customFormat="1" ht="14.25" customHeight="1" x14ac:dyDescent="0.4">
      <c r="A5" s="89">
        <v>45371</v>
      </c>
      <c r="B5" s="9" t="s">
        <v>6</v>
      </c>
      <c r="C5" s="10" t="s">
        <v>7</v>
      </c>
      <c r="D5" s="11"/>
      <c r="E5" s="12">
        <v>451429.84000000078</v>
      </c>
      <c r="F5" s="12"/>
      <c r="G5" s="1"/>
      <c r="H5" s="1"/>
      <c r="I5" s="112"/>
      <c r="J5" s="112"/>
    </row>
    <row r="6" spans="1:11" s="2" customFormat="1" ht="14.25" customHeight="1" x14ac:dyDescent="0.4">
      <c r="A6" s="89">
        <v>45371</v>
      </c>
      <c r="B6" s="9" t="s">
        <v>6</v>
      </c>
      <c r="C6" s="10" t="s">
        <v>2247</v>
      </c>
      <c r="D6" s="11" t="s">
        <v>29</v>
      </c>
      <c r="E6" s="12"/>
      <c r="F6" s="12">
        <v>352535</v>
      </c>
      <c r="G6" s="1"/>
      <c r="H6" s="1"/>
      <c r="I6" s="112"/>
      <c r="J6" s="112"/>
    </row>
    <row r="7" spans="1:11" s="2" customFormat="1" ht="12.75" customHeight="1" x14ac:dyDescent="0.2">
      <c r="D7" s="15" t="s">
        <v>8</v>
      </c>
      <c r="E7" s="16">
        <f>SUM(E5:E5)</f>
        <v>451429.84000000078</v>
      </c>
      <c r="F7" s="16">
        <f>+F6</f>
        <v>352535</v>
      </c>
      <c r="G7" s="1"/>
      <c r="H7" s="1"/>
      <c r="I7" s="13" t="s">
        <v>1582</v>
      </c>
      <c r="J7" s="13" t="s">
        <v>1583</v>
      </c>
    </row>
    <row r="8" spans="1:11" s="2" customFormat="1" ht="12.75" customHeight="1" x14ac:dyDescent="0.2">
      <c r="A8" s="17"/>
      <c r="B8" s="18"/>
      <c r="C8" s="19" t="s">
        <v>9</v>
      </c>
      <c r="D8" s="20"/>
      <c r="E8" s="21">
        <f>+E7-F7</f>
        <v>98894.840000000782</v>
      </c>
      <c r="F8" s="22"/>
      <c r="G8" s="23"/>
      <c r="H8" s="23"/>
      <c r="I8" s="2">
        <v>107769</v>
      </c>
      <c r="J8" s="2">
        <v>0</v>
      </c>
      <c r="K8" s="176">
        <f>I8-J8</f>
        <v>107769</v>
      </c>
    </row>
    <row r="9" spans="1:11" ht="11.25" customHeight="1" x14ac:dyDescent="0.4">
      <c r="I9" s="112"/>
      <c r="J9" s="112"/>
    </row>
    <row r="10" spans="1:11" ht="18" customHeight="1" x14ac:dyDescent="0.4">
      <c r="A10" s="213" t="s">
        <v>2103</v>
      </c>
      <c r="B10" s="213"/>
      <c r="C10" s="213"/>
      <c r="D10" s="213"/>
      <c r="E10" s="213"/>
      <c r="F10" s="213"/>
      <c r="I10" s="112"/>
      <c r="J10" s="112"/>
    </row>
    <row r="11" spans="1:11" ht="12.75" customHeight="1" x14ac:dyDescent="0.4">
      <c r="A11" s="3" t="s">
        <v>1</v>
      </c>
      <c r="B11" s="4" t="s">
        <v>2</v>
      </c>
      <c r="C11" s="5"/>
      <c r="D11" s="6" t="s">
        <v>3</v>
      </c>
      <c r="E11" s="7" t="s">
        <v>4</v>
      </c>
      <c r="F11" s="7" t="s">
        <v>5</v>
      </c>
      <c r="I11" s="112"/>
      <c r="J11" s="112"/>
    </row>
    <row r="12" spans="1:11" ht="12.75" customHeight="1" x14ac:dyDescent="0.4">
      <c r="A12" s="89">
        <v>45371</v>
      </c>
      <c r="B12" s="9" t="s">
        <v>6</v>
      </c>
      <c r="C12" s="10" t="s">
        <v>7</v>
      </c>
      <c r="D12" s="11"/>
      <c r="E12" s="12">
        <v>2451140.9099999992</v>
      </c>
      <c r="F12" s="1"/>
      <c r="I12" s="112"/>
      <c r="J12" s="112"/>
    </row>
    <row r="13" spans="1:11" s="24" customFormat="1" ht="12.75" customHeight="1" x14ac:dyDescent="0.4">
      <c r="A13" s="89">
        <v>45371</v>
      </c>
      <c r="B13" s="9" t="s">
        <v>11</v>
      </c>
      <c r="C13" s="10" t="s">
        <v>1091</v>
      </c>
      <c r="D13" s="11" t="s">
        <v>29</v>
      </c>
      <c r="E13" s="10"/>
      <c r="F13" s="19">
        <v>2360</v>
      </c>
      <c r="I13" s="187"/>
      <c r="J13" s="187"/>
    </row>
    <row r="14" spans="1:11" ht="12.75" customHeight="1" x14ac:dyDescent="0.2">
      <c r="A14" s="2"/>
      <c r="B14" s="2"/>
      <c r="C14" s="2"/>
      <c r="D14" s="11" t="s">
        <v>8</v>
      </c>
      <c r="E14" s="16">
        <f>SUM(E12:E13)</f>
        <v>2451140.9099999992</v>
      </c>
      <c r="F14" s="16">
        <f>SUM(F13:F13)</f>
        <v>2360</v>
      </c>
      <c r="I14" s="13" t="s">
        <v>1582</v>
      </c>
      <c r="J14" s="13" t="s">
        <v>1583</v>
      </c>
    </row>
    <row r="15" spans="1:11" x14ac:dyDescent="0.2">
      <c r="A15" s="17"/>
      <c r="B15" s="18"/>
      <c r="C15" s="19" t="s">
        <v>9</v>
      </c>
      <c r="D15" s="20"/>
      <c r="E15" s="21">
        <f>+E14-F14</f>
        <v>2448780.9099999992</v>
      </c>
      <c r="I15" s="2">
        <v>0</v>
      </c>
      <c r="J15" s="2">
        <v>0</v>
      </c>
    </row>
    <row r="16" spans="1:11" ht="18" customHeight="1" x14ac:dyDescent="0.25">
      <c r="A16" s="36"/>
      <c r="B16" s="28"/>
      <c r="C16" s="44"/>
      <c r="D16" s="43"/>
      <c r="E16" s="38"/>
      <c r="F16" s="22"/>
      <c r="J16" s="2"/>
    </row>
    <row r="17" spans="1:12" ht="18" customHeight="1" x14ac:dyDescent="0.4">
      <c r="A17" s="213" t="s">
        <v>2104</v>
      </c>
      <c r="B17" s="213"/>
      <c r="C17" s="213"/>
      <c r="D17" s="213"/>
      <c r="E17" s="213"/>
      <c r="F17" s="213"/>
      <c r="I17" s="112"/>
      <c r="J17" s="169">
        <f>90000000-60000000</f>
        <v>30000000</v>
      </c>
      <c r="K17" s="169" t="s">
        <v>1508</v>
      </c>
    </row>
    <row r="18" spans="1:12" ht="12.75" customHeight="1" x14ac:dyDescent="0.4">
      <c r="A18" s="3" t="s">
        <v>1</v>
      </c>
      <c r="B18" s="4" t="s">
        <v>2</v>
      </c>
      <c r="C18" s="5"/>
      <c r="D18" s="6" t="s">
        <v>3</v>
      </c>
      <c r="E18" s="7" t="s">
        <v>4</v>
      </c>
      <c r="F18" s="7" t="s">
        <v>5</v>
      </c>
      <c r="I18" s="112"/>
      <c r="J18" s="169">
        <v>26536493.629999999</v>
      </c>
      <c r="K18" s="169" t="s">
        <v>1509</v>
      </c>
      <c r="L18" s="124"/>
    </row>
    <row r="19" spans="1:12" s="2" customFormat="1" ht="14.25" customHeight="1" x14ac:dyDescent="0.2">
      <c r="A19" s="89">
        <v>45371</v>
      </c>
      <c r="B19" s="9" t="s">
        <v>6</v>
      </c>
      <c r="C19" s="10" t="s">
        <v>7</v>
      </c>
      <c r="D19" s="11"/>
      <c r="F19" s="12">
        <v>28952208.909999996</v>
      </c>
      <c r="G19" s="1"/>
      <c r="H19" s="1"/>
      <c r="I19" s="130" t="s">
        <v>396</v>
      </c>
      <c r="J19" s="169">
        <f>+J17-J18</f>
        <v>3463506.370000001</v>
      </c>
      <c r="K19" s="169" t="s">
        <v>712</v>
      </c>
      <c r="L19" s="165" t="s">
        <v>1512</v>
      </c>
    </row>
    <row r="20" spans="1:12" s="2" customFormat="1" ht="14.25" customHeight="1" x14ac:dyDescent="0.2">
      <c r="A20" s="89">
        <v>45371</v>
      </c>
      <c r="B20" s="9" t="s">
        <v>6</v>
      </c>
      <c r="C20" s="10" t="s">
        <v>1002</v>
      </c>
      <c r="D20" s="11" t="s">
        <v>13</v>
      </c>
      <c r="E20" s="2">
        <v>2907104.26</v>
      </c>
      <c r="F20" s="12"/>
      <c r="G20" s="1"/>
      <c r="H20" s="1"/>
      <c r="I20" s="130"/>
      <c r="J20" s="169"/>
      <c r="K20" s="169"/>
      <c r="L20" s="165"/>
    </row>
    <row r="21" spans="1:12" s="2" customFormat="1" ht="14.25" customHeight="1" x14ac:dyDescent="0.2">
      <c r="A21" s="89">
        <v>45371</v>
      </c>
      <c r="B21" s="9" t="s">
        <v>6</v>
      </c>
      <c r="C21" s="10" t="s">
        <v>21</v>
      </c>
      <c r="D21" s="11" t="s">
        <v>13</v>
      </c>
      <c r="E21" s="2">
        <v>300000</v>
      </c>
      <c r="F21" s="12"/>
      <c r="G21" s="1"/>
      <c r="H21" s="1"/>
      <c r="I21" s="130"/>
      <c r="J21" s="169"/>
      <c r="K21" s="169"/>
      <c r="L21" s="165"/>
    </row>
    <row r="22" spans="1:12" s="2" customFormat="1" ht="14.25" customHeight="1" x14ac:dyDescent="0.2">
      <c r="A22" s="89">
        <v>45371</v>
      </c>
      <c r="B22" s="9" t="s">
        <v>11</v>
      </c>
      <c r="C22" s="10" t="s">
        <v>1091</v>
      </c>
      <c r="D22" s="11" t="s">
        <v>29</v>
      </c>
      <c r="F22" s="12">
        <v>30680</v>
      </c>
      <c r="G22" s="1"/>
      <c r="H22" s="1"/>
      <c r="I22" s="130"/>
      <c r="J22" s="169"/>
      <c r="K22" s="169"/>
      <c r="L22" s="165"/>
    </row>
    <row r="23" spans="1:12" s="2" customFormat="1" ht="14.25" customHeight="1" x14ac:dyDescent="0.2">
      <c r="A23" s="89">
        <v>45371</v>
      </c>
      <c r="B23" s="9" t="s">
        <v>11</v>
      </c>
      <c r="C23" s="10" t="s">
        <v>156</v>
      </c>
      <c r="D23" s="11" t="s">
        <v>29</v>
      </c>
      <c r="F23" s="12">
        <v>1504.98</v>
      </c>
      <c r="G23" s="1"/>
      <c r="H23" s="1"/>
      <c r="I23" s="130"/>
      <c r="J23" s="169"/>
      <c r="K23" s="169"/>
      <c r="L23" s="165"/>
    </row>
    <row r="24" spans="1:12" s="2" customFormat="1" ht="14.25" customHeight="1" x14ac:dyDescent="0.2">
      <c r="A24" s="89">
        <v>45371</v>
      </c>
      <c r="B24" s="9" t="s">
        <v>11</v>
      </c>
      <c r="C24" s="10" t="s">
        <v>482</v>
      </c>
      <c r="D24" s="11" t="s">
        <v>29</v>
      </c>
      <c r="F24" s="12">
        <v>89156</v>
      </c>
      <c r="G24" s="1"/>
      <c r="H24" s="1"/>
      <c r="I24" s="130"/>
      <c r="J24" s="169"/>
      <c r="K24" s="169"/>
      <c r="L24" s="165"/>
    </row>
    <row r="25" spans="1:12" s="2" customFormat="1" ht="14.25" customHeight="1" x14ac:dyDescent="0.2">
      <c r="A25" s="89">
        <v>45371</v>
      </c>
      <c r="B25" s="9" t="s">
        <v>11</v>
      </c>
      <c r="C25" s="10" t="s">
        <v>1013</v>
      </c>
      <c r="D25" s="11" t="s">
        <v>29</v>
      </c>
      <c r="F25" s="12">
        <v>94459</v>
      </c>
      <c r="G25" s="1"/>
      <c r="H25" s="1"/>
      <c r="I25" s="130"/>
      <c r="J25" s="169"/>
      <c r="K25" s="169"/>
      <c r="L25" s="165"/>
    </row>
    <row r="26" spans="1:12" s="2" customFormat="1" ht="14.25" customHeight="1" x14ac:dyDescent="0.2">
      <c r="A26" s="89">
        <v>45371</v>
      </c>
      <c r="B26" s="9" t="s">
        <v>11</v>
      </c>
      <c r="C26" s="10" t="s">
        <v>2249</v>
      </c>
      <c r="D26" s="11" t="s">
        <v>29</v>
      </c>
      <c r="F26" s="12">
        <v>128025</v>
      </c>
      <c r="G26" s="1"/>
      <c r="H26" s="1"/>
      <c r="I26" s="130"/>
      <c r="J26" s="169"/>
      <c r="K26" s="169"/>
      <c r="L26" s="165"/>
    </row>
    <row r="27" spans="1:12" s="2" customFormat="1" ht="14.25" customHeight="1" x14ac:dyDescent="0.2">
      <c r="A27" s="89">
        <v>45371</v>
      </c>
      <c r="B27" s="9" t="s">
        <v>11</v>
      </c>
      <c r="C27" s="10" t="s">
        <v>2250</v>
      </c>
      <c r="D27" s="11" t="s">
        <v>29</v>
      </c>
      <c r="F27" s="12">
        <v>762</v>
      </c>
      <c r="G27" s="1"/>
      <c r="H27" s="1"/>
      <c r="I27" s="130"/>
      <c r="J27" s="169"/>
      <c r="K27" s="169"/>
      <c r="L27" s="165"/>
    </row>
    <row r="28" spans="1:12" s="2" customFormat="1" ht="14.25" customHeight="1" x14ac:dyDescent="0.2">
      <c r="A28" s="89">
        <v>45371</v>
      </c>
      <c r="B28" s="9" t="s">
        <v>11</v>
      </c>
      <c r="C28" s="10" t="s">
        <v>1703</v>
      </c>
      <c r="D28" s="11" t="s">
        <v>29</v>
      </c>
      <c r="F28" s="12">
        <v>2307</v>
      </c>
      <c r="G28" s="1"/>
      <c r="H28" s="1"/>
      <c r="I28" s="130"/>
      <c r="J28" s="169"/>
      <c r="K28" s="169"/>
      <c r="L28" s="165"/>
    </row>
    <row r="29" spans="1:12" s="2" customFormat="1" ht="14.25" customHeight="1" x14ac:dyDescent="0.2">
      <c r="A29" s="89">
        <v>45371</v>
      </c>
      <c r="B29" s="9" t="s">
        <v>11</v>
      </c>
      <c r="C29" s="10" t="s">
        <v>2251</v>
      </c>
      <c r="D29" s="11" t="s">
        <v>29</v>
      </c>
      <c r="F29" s="12">
        <v>13692</v>
      </c>
      <c r="G29" s="1"/>
      <c r="H29" s="1"/>
      <c r="I29" s="130"/>
      <c r="J29" s="169"/>
      <c r="K29" s="169"/>
      <c r="L29" s="165"/>
    </row>
    <row r="30" spans="1:12" s="2" customFormat="1" ht="14.25" customHeight="1" x14ac:dyDescent="0.2">
      <c r="A30" s="89">
        <v>45371</v>
      </c>
      <c r="B30" s="9" t="s">
        <v>11</v>
      </c>
      <c r="C30" s="10" t="s">
        <v>2145</v>
      </c>
      <c r="D30" s="11" t="s">
        <v>29</v>
      </c>
      <c r="F30" s="12">
        <v>11320</v>
      </c>
      <c r="G30" s="1"/>
      <c r="H30" s="1"/>
      <c r="I30" s="130"/>
      <c r="J30" s="169"/>
      <c r="K30" s="169"/>
      <c r="L30" s="165"/>
    </row>
    <row r="31" spans="1:12" s="2" customFormat="1" ht="14.25" customHeight="1" x14ac:dyDescent="0.2">
      <c r="A31" s="89">
        <v>45371</v>
      </c>
      <c r="B31" s="9" t="s">
        <v>11</v>
      </c>
      <c r="C31" s="10" t="s">
        <v>2252</v>
      </c>
      <c r="D31" s="11" t="s">
        <v>29</v>
      </c>
      <c r="F31" s="12">
        <v>5900</v>
      </c>
      <c r="G31" s="1"/>
      <c r="H31" s="1"/>
      <c r="I31" s="130"/>
      <c r="J31" s="169"/>
      <c r="K31" s="169"/>
      <c r="L31" s="165"/>
    </row>
    <row r="32" spans="1:12" s="2" customFormat="1" ht="14.25" customHeight="1" x14ac:dyDescent="0.2">
      <c r="A32" s="89">
        <v>45371</v>
      </c>
      <c r="B32" s="9" t="s">
        <v>11</v>
      </c>
      <c r="C32" s="10" t="s">
        <v>34</v>
      </c>
      <c r="D32" s="11" t="s">
        <v>29</v>
      </c>
      <c r="F32" s="12">
        <v>50000</v>
      </c>
      <c r="G32" s="1"/>
      <c r="H32" s="1"/>
      <c r="I32" s="130"/>
      <c r="J32" s="169"/>
      <c r="K32" s="169"/>
      <c r="L32" s="165"/>
    </row>
    <row r="33" spans="1:12" s="2" customFormat="1" ht="14.25" customHeight="1" x14ac:dyDescent="0.2">
      <c r="A33" s="89">
        <v>45371</v>
      </c>
      <c r="B33" s="9" t="s">
        <v>11</v>
      </c>
      <c r="C33" s="10" t="s">
        <v>196</v>
      </c>
      <c r="D33" s="11" t="s">
        <v>29</v>
      </c>
      <c r="F33" s="12">
        <v>78217</v>
      </c>
      <c r="G33" s="1"/>
      <c r="H33" s="1"/>
      <c r="I33" s="130"/>
      <c r="J33" s="169"/>
      <c r="K33" s="169"/>
      <c r="L33" s="165"/>
    </row>
    <row r="34" spans="1:12" s="2" customFormat="1" ht="14.25" customHeight="1" x14ac:dyDescent="0.2">
      <c r="A34" s="89">
        <v>45371</v>
      </c>
      <c r="B34" s="9" t="s">
        <v>11</v>
      </c>
      <c r="C34" s="10" t="s">
        <v>2253</v>
      </c>
      <c r="D34" s="11" t="s">
        <v>29</v>
      </c>
      <c r="F34" s="12">
        <v>178524</v>
      </c>
      <c r="G34" s="1"/>
      <c r="H34" s="1"/>
      <c r="I34" s="130"/>
      <c r="J34" s="169"/>
      <c r="K34" s="169"/>
      <c r="L34" s="165"/>
    </row>
    <row r="35" spans="1:12" s="2" customFormat="1" ht="14.25" customHeight="1" x14ac:dyDescent="0.2">
      <c r="A35" s="89">
        <v>45371</v>
      </c>
      <c r="B35" s="9" t="s">
        <v>11</v>
      </c>
      <c r="C35" s="10" t="s">
        <v>747</v>
      </c>
      <c r="D35" s="11" t="s">
        <v>29</v>
      </c>
      <c r="F35" s="12">
        <v>40612</v>
      </c>
      <c r="G35" s="1"/>
      <c r="H35" s="1"/>
      <c r="I35" s="130"/>
      <c r="J35" s="169"/>
      <c r="K35" s="169"/>
      <c r="L35" s="165"/>
    </row>
    <row r="36" spans="1:12" s="2" customFormat="1" ht="14.25" customHeight="1" x14ac:dyDescent="0.2">
      <c r="A36" s="89">
        <v>45371</v>
      </c>
      <c r="B36" s="9" t="s">
        <v>11</v>
      </c>
      <c r="C36" s="10" t="s">
        <v>1068</v>
      </c>
      <c r="D36" s="11" t="s">
        <v>29</v>
      </c>
      <c r="F36" s="12">
        <v>14829</v>
      </c>
      <c r="G36" s="1"/>
      <c r="H36" s="1"/>
      <c r="I36" s="130"/>
      <c r="J36" s="169"/>
      <c r="K36" s="169"/>
      <c r="L36" s="165"/>
    </row>
    <row r="37" spans="1:12" s="2" customFormat="1" ht="14.25" customHeight="1" x14ac:dyDescent="0.2">
      <c r="A37" s="89">
        <v>45371</v>
      </c>
      <c r="B37" s="9" t="s">
        <v>11</v>
      </c>
      <c r="C37" s="10" t="s">
        <v>15</v>
      </c>
      <c r="D37" s="11" t="s">
        <v>29</v>
      </c>
      <c r="F37" s="12">
        <v>51401</v>
      </c>
      <c r="G37" s="1"/>
      <c r="H37" s="1"/>
      <c r="I37" s="130"/>
      <c r="J37" s="169"/>
      <c r="K37" s="169"/>
      <c r="L37" s="165"/>
    </row>
    <row r="38" spans="1:12" s="2" customFormat="1" ht="14.25" customHeight="1" x14ac:dyDescent="0.4">
      <c r="A38" s="89"/>
      <c r="D38" s="11" t="s">
        <v>8</v>
      </c>
      <c r="E38" s="16">
        <f>SUM(E20:E37)</f>
        <v>3207104.26</v>
      </c>
      <c r="F38" s="16">
        <f>SUM(F19:F37)</f>
        <v>29743597.889999997</v>
      </c>
      <c r="G38" s="1"/>
      <c r="H38" s="1"/>
      <c r="J38" s="112"/>
      <c r="K38" s="153" t="s">
        <v>779</v>
      </c>
    </row>
    <row r="39" spans="1:12" s="2" customFormat="1" ht="14.25" customHeight="1" x14ac:dyDescent="0.2">
      <c r="A39" s="17"/>
      <c r="B39" s="18"/>
      <c r="C39" s="96" t="s">
        <v>9</v>
      </c>
      <c r="D39" s="20"/>
      <c r="E39" s="21">
        <f>+F38-E38</f>
        <v>26536493.629999995</v>
      </c>
      <c r="G39" s="1"/>
      <c r="H39" s="1"/>
      <c r="J39" s="40">
        <v>26536493.629999999</v>
      </c>
      <c r="K39" s="154">
        <f>J39-E39</f>
        <v>0</v>
      </c>
    </row>
    <row r="40" spans="1:12" s="2" customFormat="1" ht="14.25" customHeight="1" x14ac:dyDescent="0.2">
      <c r="A40" s="17"/>
      <c r="B40" s="28" t="s">
        <v>66</v>
      </c>
      <c r="C40" s="43" t="s">
        <v>1458</v>
      </c>
      <c r="D40" s="43"/>
      <c r="E40" s="12">
        <f>30000000+60000000</f>
        <v>90000000</v>
      </c>
      <c r="F40" s="22"/>
      <c r="G40" s="1"/>
      <c r="H40" s="1"/>
      <c r="I40" s="13" t="s">
        <v>1582</v>
      </c>
      <c r="J40" s="13" t="s">
        <v>1583</v>
      </c>
    </row>
    <row r="41" spans="1:12" s="2" customFormat="1" ht="14.25" customHeight="1" x14ac:dyDescent="0.25">
      <c r="A41" s="36"/>
      <c r="B41" s="28"/>
      <c r="C41" s="44" t="s">
        <v>1541</v>
      </c>
      <c r="D41" s="43"/>
      <c r="E41" s="7">
        <f>+E39+E40</f>
        <v>116536493.63</v>
      </c>
      <c r="F41" s="22"/>
      <c r="G41" s="1"/>
      <c r="H41" s="1"/>
      <c r="I41" s="2">
        <v>3455326</v>
      </c>
      <c r="J41" s="2">
        <v>10122341.9</v>
      </c>
      <c r="K41" s="176">
        <f>I41-J41</f>
        <v>-6667015.9000000004</v>
      </c>
    </row>
    <row r="42" spans="1:12" s="2" customFormat="1" ht="14.25" customHeight="1" x14ac:dyDescent="0.25">
      <c r="A42" s="36"/>
      <c r="B42" s="28"/>
      <c r="C42" s="44" t="s">
        <v>1511</v>
      </c>
      <c r="D42" s="43"/>
      <c r="E42" s="38">
        <f>I15-J15+J19</f>
        <v>3463506.370000001</v>
      </c>
      <c r="F42" s="22"/>
      <c r="G42" s="1"/>
      <c r="H42" s="1"/>
      <c r="J42" s="130"/>
      <c r="K42" s="130"/>
    </row>
    <row r="43" spans="1:12" s="2" customFormat="1" x14ac:dyDescent="0.2">
      <c r="A43" s="24"/>
      <c r="B43" s="1"/>
      <c r="C43" s="14"/>
      <c r="D43" s="25"/>
      <c r="G43" s="1"/>
      <c r="H43" s="1"/>
      <c r="I43" s="159"/>
      <c r="J43" s="160">
        <f>100000000</f>
        <v>100000000</v>
      </c>
      <c r="K43" s="160" t="s">
        <v>1506</v>
      </c>
      <c r="L43" s="70"/>
    </row>
    <row r="44" spans="1:12" s="2" customFormat="1" ht="15" x14ac:dyDescent="0.35">
      <c r="A44" s="214" t="s">
        <v>10</v>
      </c>
      <c r="B44" s="214"/>
      <c r="C44" s="214"/>
      <c r="D44" s="214"/>
      <c r="E44" s="214"/>
      <c r="F44" s="214"/>
      <c r="G44" s="1"/>
      <c r="H44" s="1"/>
      <c r="I44" s="159"/>
      <c r="J44" s="179">
        <v>24173037.030000001</v>
      </c>
      <c r="K44" s="160" t="s">
        <v>1507</v>
      </c>
      <c r="L44" s="70" t="s">
        <v>1512</v>
      </c>
    </row>
    <row r="45" spans="1:12" s="2" customFormat="1" x14ac:dyDescent="0.2">
      <c r="A45" s="26" t="s">
        <v>1</v>
      </c>
      <c r="B45" s="27" t="s">
        <v>2</v>
      </c>
      <c r="C45" s="5"/>
      <c r="D45" s="6" t="s">
        <v>3</v>
      </c>
      <c r="E45" s="7" t="s">
        <v>4</v>
      </c>
      <c r="F45" s="7" t="s">
        <v>5</v>
      </c>
      <c r="G45" s="1"/>
      <c r="H45" s="1"/>
      <c r="I45" s="159" t="s">
        <v>1505</v>
      </c>
      <c r="J45" s="160">
        <f>+J43+J44</f>
        <v>124173037.03</v>
      </c>
      <c r="K45" s="160"/>
      <c r="L45" s="70"/>
    </row>
    <row r="46" spans="1:12" s="2" customFormat="1" x14ac:dyDescent="0.2">
      <c r="A46" s="89" t="s">
        <v>2254</v>
      </c>
      <c r="B46" s="128" t="s">
        <v>11</v>
      </c>
      <c r="C46" s="29" t="s">
        <v>7</v>
      </c>
      <c r="D46" s="25"/>
      <c r="E46" s="31"/>
      <c r="F46" s="13">
        <v>-28312975.500000104</v>
      </c>
      <c r="G46" s="23"/>
      <c r="H46" s="23"/>
      <c r="I46" s="159"/>
      <c r="J46" s="160"/>
      <c r="K46" s="160"/>
      <c r="L46" s="70"/>
    </row>
    <row r="47" spans="1:12" s="2" customFormat="1" x14ac:dyDescent="0.2">
      <c r="A47" s="89" t="s">
        <v>2254</v>
      </c>
      <c r="B47" s="128" t="s">
        <v>6</v>
      </c>
      <c r="C47" s="181" t="s">
        <v>174</v>
      </c>
      <c r="D47" s="11" t="s">
        <v>13</v>
      </c>
      <c r="E47" s="86">
        <v>576951</v>
      </c>
      <c r="G47" s="23"/>
      <c r="H47" s="23"/>
      <c r="I47" s="159"/>
      <c r="J47" s="160"/>
      <c r="K47" s="160"/>
      <c r="L47" s="70"/>
    </row>
    <row r="48" spans="1:12" s="2" customFormat="1" x14ac:dyDescent="0.2">
      <c r="A48" s="89" t="s">
        <v>2254</v>
      </c>
      <c r="B48" s="128" t="s">
        <v>6</v>
      </c>
      <c r="C48" s="181" t="s">
        <v>311</v>
      </c>
      <c r="D48" s="11" t="s">
        <v>13</v>
      </c>
      <c r="E48" s="86">
        <v>2889270</v>
      </c>
      <c r="G48" s="23"/>
      <c r="H48" s="23"/>
      <c r="I48" s="159"/>
      <c r="J48" s="160"/>
      <c r="K48" s="160"/>
      <c r="L48" s="70"/>
    </row>
    <row r="49" spans="1:12" s="2" customFormat="1" x14ac:dyDescent="0.2">
      <c r="A49" s="89" t="s">
        <v>2254</v>
      </c>
      <c r="B49" s="128" t="s">
        <v>6</v>
      </c>
      <c r="C49" s="181" t="s">
        <v>146</v>
      </c>
      <c r="D49" s="11" t="s">
        <v>13</v>
      </c>
      <c r="E49" s="86">
        <v>2362.5</v>
      </c>
      <c r="G49" s="23"/>
      <c r="H49" s="23"/>
      <c r="I49" s="159"/>
      <c r="J49" s="160"/>
      <c r="K49" s="160"/>
      <c r="L49" s="70"/>
    </row>
    <row r="50" spans="1:12" s="2" customFormat="1" x14ac:dyDescent="0.2">
      <c r="A50" s="89" t="s">
        <v>2254</v>
      </c>
      <c r="B50" s="128" t="s">
        <v>6</v>
      </c>
      <c r="C50" s="181" t="s">
        <v>785</v>
      </c>
      <c r="D50" s="11" t="s">
        <v>13</v>
      </c>
      <c r="E50" s="86">
        <v>2933638</v>
      </c>
      <c r="G50" s="23"/>
      <c r="H50" s="23"/>
      <c r="I50" s="159"/>
      <c r="J50" s="160"/>
      <c r="K50" s="160"/>
      <c r="L50" s="70"/>
    </row>
    <row r="51" spans="1:12" s="2" customFormat="1" x14ac:dyDescent="0.2">
      <c r="A51" s="89" t="s">
        <v>2254</v>
      </c>
      <c r="B51" s="128" t="s">
        <v>6</v>
      </c>
      <c r="C51" s="181" t="s">
        <v>149</v>
      </c>
      <c r="D51" s="11" t="s">
        <v>13</v>
      </c>
      <c r="E51" s="86">
        <v>398162</v>
      </c>
      <c r="G51" s="23"/>
      <c r="H51" s="23"/>
      <c r="I51" s="159"/>
      <c r="J51" s="160"/>
      <c r="K51" s="160"/>
      <c r="L51" s="70"/>
    </row>
    <row r="52" spans="1:12" s="2" customFormat="1" x14ac:dyDescent="0.2">
      <c r="A52" s="89" t="s">
        <v>2254</v>
      </c>
      <c r="B52" s="128" t="s">
        <v>6</v>
      </c>
      <c r="C52" s="181" t="s">
        <v>325</v>
      </c>
      <c r="D52" s="11" t="s">
        <v>13</v>
      </c>
      <c r="E52" s="86">
        <v>2362</v>
      </c>
      <c r="G52" s="23"/>
      <c r="H52" s="23"/>
      <c r="I52" s="159"/>
      <c r="J52" s="160"/>
      <c r="K52" s="160"/>
      <c r="L52" s="70"/>
    </row>
    <row r="53" spans="1:12" s="2" customFormat="1" x14ac:dyDescent="0.2">
      <c r="A53" s="89" t="s">
        <v>2254</v>
      </c>
      <c r="B53" s="128" t="s">
        <v>6</v>
      </c>
      <c r="C53" s="181" t="s">
        <v>905</v>
      </c>
      <c r="D53" s="11" t="s">
        <v>13</v>
      </c>
      <c r="E53" s="86">
        <v>870201.5</v>
      </c>
      <c r="G53" s="23"/>
      <c r="H53" s="23"/>
      <c r="I53" s="159"/>
      <c r="J53" s="160"/>
      <c r="K53" s="160"/>
      <c r="L53" s="70"/>
    </row>
    <row r="54" spans="1:12" s="2" customFormat="1" x14ac:dyDescent="0.2">
      <c r="A54" s="89" t="s">
        <v>2254</v>
      </c>
      <c r="B54" s="128" t="s">
        <v>6</v>
      </c>
      <c r="C54" s="181" t="s">
        <v>1789</v>
      </c>
      <c r="D54" s="11" t="s">
        <v>13</v>
      </c>
      <c r="E54" s="86">
        <v>74488</v>
      </c>
      <c r="G54" s="23"/>
      <c r="H54" s="23"/>
      <c r="I54" s="159"/>
      <c r="J54" s="160"/>
      <c r="K54" s="160"/>
      <c r="L54" s="70"/>
    </row>
    <row r="55" spans="1:12" s="2" customFormat="1" x14ac:dyDescent="0.2">
      <c r="A55" s="89" t="s">
        <v>2254</v>
      </c>
      <c r="B55" s="128" t="s">
        <v>6</v>
      </c>
      <c r="C55" s="181" t="s">
        <v>159</v>
      </c>
      <c r="D55" s="11" t="s">
        <v>13</v>
      </c>
      <c r="E55" s="86">
        <v>1358340</v>
      </c>
      <c r="G55" s="23"/>
      <c r="H55" s="23"/>
      <c r="I55" s="159"/>
      <c r="J55" s="160"/>
      <c r="K55" s="160"/>
      <c r="L55" s="70"/>
    </row>
    <row r="56" spans="1:12" s="2" customFormat="1" x14ac:dyDescent="0.2">
      <c r="A56" s="89" t="s">
        <v>2254</v>
      </c>
      <c r="B56" s="128" t="s">
        <v>6</v>
      </c>
      <c r="C56" s="181" t="s">
        <v>27</v>
      </c>
      <c r="D56" s="11" t="s">
        <v>13</v>
      </c>
      <c r="E56" s="86">
        <v>5156225.1400000006</v>
      </c>
      <c r="G56" s="23"/>
      <c r="H56" s="23"/>
      <c r="I56" s="159"/>
      <c r="J56" s="160"/>
      <c r="K56" s="160"/>
      <c r="L56" s="70"/>
    </row>
    <row r="57" spans="1:12" s="2" customFormat="1" x14ac:dyDescent="0.2">
      <c r="A57" s="89" t="s">
        <v>2254</v>
      </c>
      <c r="B57" s="128" t="s">
        <v>6</v>
      </c>
      <c r="C57" s="181" t="s">
        <v>332</v>
      </c>
      <c r="D57" s="11" t="s">
        <v>13</v>
      </c>
      <c r="E57" s="86">
        <v>5245</v>
      </c>
      <c r="G57" s="23"/>
      <c r="H57" s="23"/>
      <c r="I57" s="159"/>
      <c r="J57" s="160"/>
      <c r="K57" s="160"/>
      <c r="L57" s="70"/>
    </row>
    <row r="58" spans="1:12" s="2" customFormat="1" x14ac:dyDescent="0.2">
      <c r="A58" s="89" t="s">
        <v>2254</v>
      </c>
      <c r="B58" s="128" t="s">
        <v>6</v>
      </c>
      <c r="C58" s="181" t="s">
        <v>607</v>
      </c>
      <c r="D58" s="11" t="s">
        <v>13</v>
      </c>
      <c r="E58" s="86">
        <v>10500</v>
      </c>
      <c r="G58" s="23"/>
      <c r="H58" s="23"/>
      <c r="I58" s="159"/>
      <c r="J58" s="160"/>
      <c r="K58" s="160"/>
      <c r="L58" s="70"/>
    </row>
    <row r="59" spans="1:12" s="2" customFormat="1" x14ac:dyDescent="0.2">
      <c r="A59" s="89" t="s">
        <v>2254</v>
      </c>
      <c r="B59" s="128" t="s">
        <v>6</v>
      </c>
      <c r="C59" s="181" t="s">
        <v>122</v>
      </c>
      <c r="D59" s="11" t="s">
        <v>13</v>
      </c>
      <c r="E59" s="86">
        <v>2642643.98</v>
      </c>
      <c r="G59" s="23"/>
      <c r="H59" s="23"/>
      <c r="I59" s="159"/>
      <c r="J59" s="160"/>
      <c r="K59" s="160"/>
      <c r="L59" s="70"/>
    </row>
    <row r="60" spans="1:12" s="2" customFormat="1" x14ac:dyDescent="0.2">
      <c r="A60" s="89" t="s">
        <v>2254</v>
      </c>
      <c r="B60" s="128" t="s">
        <v>6</v>
      </c>
      <c r="C60" s="181" t="s">
        <v>2081</v>
      </c>
      <c r="D60" s="11" t="s">
        <v>13</v>
      </c>
      <c r="E60" s="86">
        <v>15000</v>
      </c>
      <c r="G60" s="23"/>
      <c r="H60" s="23"/>
      <c r="I60" s="159"/>
      <c r="J60" s="160"/>
      <c r="K60" s="160"/>
      <c r="L60" s="70"/>
    </row>
    <row r="61" spans="1:12" s="2" customFormat="1" x14ac:dyDescent="0.2">
      <c r="A61" s="89" t="s">
        <v>2254</v>
      </c>
      <c r="B61" s="128" t="s">
        <v>6</v>
      </c>
      <c r="C61" s="181" t="s">
        <v>15</v>
      </c>
      <c r="D61" s="11" t="s">
        <v>13</v>
      </c>
      <c r="E61" s="86">
        <v>68706.94</v>
      </c>
      <c r="G61" s="23"/>
      <c r="H61" s="23"/>
      <c r="I61" s="159"/>
      <c r="J61" s="160"/>
      <c r="K61" s="160"/>
      <c r="L61" s="70"/>
    </row>
    <row r="62" spans="1:12" s="2" customFormat="1" x14ac:dyDescent="0.2">
      <c r="A62" s="89" t="s">
        <v>2254</v>
      </c>
      <c r="B62" s="128" t="s">
        <v>11</v>
      </c>
      <c r="C62" s="181" t="s">
        <v>15</v>
      </c>
      <c r="D62" s="11" t="s">
        <v>29</v>
      </c>
      <c r="E62" s="86"/>
      <c r="F62" s="2">
        <v>53431.479999999996</v>
      </c>
      <c r="G62" s="23"/>
      <c r="H62" s="23"/>
      <c r="I62" s="159"/>
      <c r="J62" s="160"/>
      <c r="K62" s="160"/>
      <c r="L62" s="70"/>
    </row>
    <row r="63" spans="1:12" s="2" customFormat="1" x14ac:dyDescent="0.2">
      <c r="A63" s="89" t="s">
        <v>2254</v>
      </c>
      <c r="B63" s="128" t="s">
        <v>11</v>
      </c>
      <c r="C63" s="181" t="s">
        <v>64</v>
      </c>
      <c r="D63" s="11" t="s">
        <v>29</v>
      </c>
      <c r="E63" s="86"/>
      <c r="F63" s="2">
        <v>17286.850000000002</v>
      </c>
      <c r="G63" s="23"/>
      <c r="H63" s="23"/>
      <c r="I63" s="159"/>
      <c r="J63" s="160"/>
      <c r="K63" s="160"/>
      <c r="L63" s="70"/>
    </row>
    <row r="64" spans="1:12" s="2" customFormat="1" x14ac:dyDescent="0.2">
      <c r="A64" s="89" t="s">
        <v>2254</v>
      </c>
      <c r="B64" s="128" t="s">
        <v>11</v>
      </c>
      <c r="C64" s="181" t="s">
        <v>1734</v>
      </c>
      <c r="D64" s="11" t="s">
        <v>29</v>
      </c>
      <c r="E64" s="86"/>
      <c r="F64" s="2">
        <v>1673429</v>
      </c>
      <c r="G64" s="23"/>
      <c r="H64" s="23"/>
      <c r="I64" s="159"/>
      <c r="J64" s="160"/>
      <c r="K64" s="160"/>
      <c r="L64" s="70"/>
    </row>
    <row r="65" spans="1:12" s="2" customFormat="1" x14ac:dyDescent="0.2">
      <c r="A65" s="89" t="s">
        <v>2254</v>
      </c>
      <c r="B65" s="128" t="s">
        <v>11</v>
      </c>
      <c r="C65" s="181" t="s">
        <v>1472</v>
      </c>
      <c r="D65" s="11" t="s">
        <v>29</v>
      </c>
      <c r="E65" s="86"/>
      <c r="F65" s="2">
        <v>345541</v>
      </c>
      <c r="G65" s="23"/>
      <c r="H65" s="23"/>
      <c r="I65" s="159"/>
      <c r="J65" s="160"/>
      <c r="K65" s="160"/>
      <c r="L65" s="70"/>
    </row>
    <row r="66" spans="1:12" s="2" customFormat="1" x14ac:dyDescent="0.2">
      <c r="A66" s="89" t="s">
        <v>2254</v>
      </c>
      <c r="B66" s="128" t="s">
        <v>11</v>
      </c>
      <c r="C66" s="181" t="s">
        <v>111</v>
      </c>
      <c r="D66" s="11" t="s">
        <v>29</v>
      </c>
      <c r="E66" s="86"/>
      <c r="F66" s="2">
        <v>1411229.5</v>
      </c>
      <c r="G66" s="23"/>
      <c r="H66" s="23"/>
      <c r="I66" s="159"/>
      <c r="J66" s="160"/>
      <c r="K66" s="160"/>
      <c r="L66" s="70"/>
    </row>
    <row r="67" spans="1:12" s="2" customFormat="1" x14ac:dyDescent="0.2">
      <c r="A67" s="89" t="s">
        <v>2254</v>
      </c>
      <c r="B67" s="128" t="s">
        <v>11</v>
      </c>
      <c r="C67" s="181" t="s">
        <v>1341</v>
      </c>
      <c r="D67" s="11" t="s">
        <v>29</v>
      </c>
      <c r="E67" s="86"/>
      <c r="F67" s="2">
        <v>56256.36</v>
      </c>
      <c r="G67" s="23"/>
      <c r="H67" s="23"/>
      <c r="I67" s="159"/>
      <c r="J67" s="160"/>
      <c r="K67" s="160"/>
      <c r="L67" s="70"/>
    </row>
    <row r="68" spans="1:12" s="2" customFormat="1" x14ac:dyDescent="0.2">
      <c r="A68" s="89" t="s">
        <v>2254</v>
      </c>
      <c r="B68" s="128" t="s">
        <v>11</v>
      </c>
      <c r="C68" s="181" t="s">
        <v>229</v>
      </c>
      <c r="D68" s="11" t="s">
        <v>29</v>
      </c>
      <c r="E68" s="86"/>
      <c r="F68" s="2">
        <v>20532</v>
      </c>
      <c r="G68" s="23"/>
      <c r="H68" s="23"/>
      <c r="I68" s="159"/>
      <c r="J68" s="160"/>
      <c r="K68" s="160"/>
      <c r="L68" s="70"/>
    </row>
    <row r="69" spans="1:12" s="2" customFormat="1" x14ac:dyDescent="0.2">
      <c r="A69" s="89" t="s">
        <v>2254</v>
      </c>
      <c r="B69" s="128" t="s">
        <v>11</v>
      </c>
      <c r="C69" s="181" t="s">
        <v>493</v>
      </c>
      <c r="D69" s="11" t="s">
        <v>29</v>
      </c>
      <c r="E69" s="86"/>
      <c r="F69" s="2">
        <v>6480</v>
      </c>
      <c r="G69" s="23"/>
      <c r="H69" s="23"/>
      <c r="I69" s="159"/>
      <c r="J69" s="160"/>
      <c r="K69" s="160"/>
      <c r="L69" s="70"/>
    </row>
    <row r="70" spans="1:12" s="2" customFormat="1" x14ac:dyDescent="0.2">
      <c r="A70" s="89" t="s">
        <v>2254</v>
      </c>
      <c r="B70" s="128" t="s">
        <v>11</v>
      </c>
      <c r="C70" s="181" t="s">
        <v>437</v>
      </c>
      <c r="D70" s="11" t="s">
        <v>29</v>
      </c>
      <c r="E70" s="86"/>
      <c r="F70" s="2">
        <v>6404</v>
      </c>
      <c r="G70" s="23"/>
      <c r="H70" s="23"/>
      <c r="I70" s="159"/>
      <c r="J70" s="160"/>
      <c r="K70" s="160"/>
      <c r="L70" s="70"/>
    </row>
    <row r="71" spans="1:12" s="2" customFormat="1" x14ac:dyDescent="0.2">
      <c r="A71" s="89" t="s">
        <v>2254</v>
      </c>
      <c r="B71" s="128" t="s">
        <v>11</v>
      </c>
      <c r="C71" s="181" t="s">
        <v>225</v>
      </c>
      <c r="D71" s="11" t="s">
        <v>29</v>
      </c>
      <c r="E71" s="86"/>
      <c r="F71" s="2">
        <v>18911</v>
      </c>
      <c r="G71" s="23"/>
      <c r="H71" s="23"/>
      <c r="I71" s="159"/>
      <c r="J71" s="160"/>
      <c r="K71" s="160"/>
      <c r="L71" s="70"/>
    </row>
    <row r="72" spans="1:12" s="2" customFormat="1" x14ac:dyDescent="0.2">
      <c r="A72" s="89" t="s">
        <v>2254</v>
      </c>
      <c r="B72" s="128" t="s">
        <v>11</v>
      </c>
      <c r="C72" s="181" t="s">
        <v>60</v>
      </c>
      <c r="D72" s="11" t="s">
        <v>29</v>
      </c>
      <c r="E72" s="86"/>
      <c r="F72" s="2">
        <v>30555</v>
      </c>
      <c r="G72" s="23"/>
      <c r="H72" s="23"/>
      <c r="I72" s="159"/>
      <c r="J72" s="160"/>
      <c r="K72" s="160"/>
      <c r="L72" s="70"/>
    </row>
    <row r="73" spans="1:12" s="2" customFormat="1" x14ac:dyDescent="0.2">
      <c r="A73" s="89" t="s">
        <v>2254</v>
      </c>
      <c r="B73" s="128" t="s">
        <v>11</v>
      </c>
      <c r="C73" s="181" t="s">
        <v>44</v>
      </c>
      <c r="D73" s="11" t="s">
        <v>29</v>
      </c>
      <c r="E73" s="86"/>
      <c r="F73" s="2">
        <v>988929</v>
      </c>
      <c r="G73" s="23"/>
      <c r="H73" s="23"/>
      <c r="I73" s="159"/>
      <c r="J73" s="160"/>
      <c r="K73" s="160"/>
      <c r="L73" s="70"/>
    </row>
    <row r="74" spans="1:12" s="2" customFormat="1" x14ac:dyDescent="0.2">
      <c r="A74" s="89" t="s">
        <v>2254</v>
      </c>
      <c r="B74" s="128" t="s">
        <v>11</v>
      </c>
      <c r="C74" s="181" t="s">
        <v>809</v>
      </c>
      <c r="D74" s="11" t="s">
        <v>29</v>
      </c>
      <c r="E74" s="86"/>
      <c r="F74" s="2">
        <v>153990</v>
      </c>
      <c r="G74" s="23"/>
      <c r="H74" s="23"/>
      <c r="I74" s="159"/>
      <c r="J74" s="160"/>
      <c r="K74" s="160"/>
      <c r="L74" s="70"/>
    </row>
    <row r="75" spans="1:12" s="2" customFormat="1" x14ac:dyDescent="0.2">
      <c r="A75" s="89" t="s">
        <v>2254</v>
      </c>
      <c r="B75" s="128" t="s">
        <v>11</v>
      </c>
      <c r="C75" s="181" t="s">
        <v>481</v>
      </c>
      <c r="D75" s="11" t="s">
        <v>29</v>
      </c>
      <c r="E75" s="86"/>
      <c r="F75" s="2">
        <v>133340</v>
      </c>
      <c r="G75" s="23"/>
      <c r="H75" s="23"/>
      <c r="I75" s="159"/>
      <c r="J75" s="160"/>
      <c r="K75" s="160"/>
      <c r="L75" s="70"/>
    </row>
    <row r="76" spans="1:12" s="2" customFormat="1" x14ac:dyDescent="0.2">
      <c r="A76" s="89" t="s">
        <v>2254</v>
      </c>
      <c r="B76" s="128" t="s">
        <v>11</v>
      </c>
      <c r="C76" s="181" t="s">
        <v>724</v>
      </c>
      <c r="D76" s="11" t="s">
        <v>29</v>
      </c>
      <c r="E76" s="86"/>
      <c r="F76" s="2">
        <v>96051</v>
      </c>
      <c r="G76" s="23"/>
      <c r="H76" s="23"/>
      <c r="I76" s="159"/>
      <c r="J76" s="160"/>
      <c r="K76" s="160"/>
      <c r="L76" s="70"/>
    </row>
    <row r="77" spans="1:12" s="2" customFormat="1" x14ac:dyDescent="0.2">
      <c r="A77" s="89" t="s">
        <v>2254</v>
      </c>
      <c r="B77" s="128" t="s">
        <v>11</v>
      </c>
      <c r="C77" s="181" t="s">
        <v>278</v>
      </c>
      <c r="D77" s="11" t="s">
        <v>29</v>
      </c>
      <c r="E77" s="86"/>
      <c r="F77" s="2">
        <v>97662</v>
      </c>
      <c r="G77" s="23"/>
      <c r="H77" s="23"/>
      <c r="I77" s="159"/>
      <c r="J77" s="160"/>
      <c r="K77" s="160"/>
      <c r="L77" s="70"/>
    </row>
    <row r="78" spans="1:12" s="2" customFormat="1" x14ac:dyDescent="0.2">
      <c r="A78" s="89" t="s">
        <v>2254</v>
      </c>
      <c r="B78" s="128" t="s">
        <v>11</v>
      </c>
      <c r="C78" s="181" t="s">
        <v>431</v>
      </c>
      <c r="D78" s="11" t="s">
        <v>29</v>
      </c>
      <c r="E78" s="86"/>
      <c r="F78" s="2">
        <v>80476</v>
      </c>
      <c r="G78" s="23"/>
      <c r="H78" s="23"/>
      <c r="I78" s="159"/>
      <c r="J78" s="160"/>
      <c r="K78" s="160"/>
      <c r="L78" s="70"/>
    </row>
    <row r="79" spans="1:12" s="2" customFormat="1" x14ac:dyDescent="0.2">
      <c r="A79" s="89" t="s">
        <v>2254</v>
      </c>
      <c r="B79" s="128" t="s">
        <v>11</v>
      </c>
      <c r="C79" s="181" t="s">
        <v>462</v>
      </c>
      <c r="D79" s="11" t="s">
        <v>29</v>
      </c>
      <c r="E79" s="86"/>
      <c r="F79" s="2">
        <v>54573.78</v>
      </c>
      <c r="G79" s="23"/>
      <c r="H79" s="23"/>
      <c r="I79" s="159"/>
      <c r="J79" s="160"/>
      <c r="K79" s="160"/>
      <c r="L79" s="70"/>
    </row>
    <row r="80" spans="1:12" s="2" customFormat="1" x14ac:dyDescent="0.2">
      <c r="A80" s="89" t="s">
        <v>2254</v>
      </c>
      <c r="B80" s="128" t="s">
        <v>11</v>
      </c>
      <c r="C80" s="181" t="s">
        <v>2005</v>
      </c>
      <c r="D80" s="11" t="s">
        <v>29</v>
      </c>
      <c r="E80" s="86"/>
      <c r="F80" s="2">
        <v>48232</v>
      </c>
      <c r="G80" s="23"/>
      <c r="H80" s="23"/>
      <c r="I80" s="159"/>
      <c r="J80" s="160"/>
      <c r="K80" s="160"/>
      <c r="L80" s="70"/>
    </row>
    <row r="81" spans="1:12" s="2" customFormat="1" x14ac:dyDescent="0.2">
      <c r="A81" s="89" t="s">
        <v>2254</v>
      </c>
      <c r="B81" s="128" t="s">
        <v>11</v>
      </c>
      <c r="C81" s="181" t="s">
        <v>226</v>
      </c>
      <c r="D81" s="11" t="s">
        <v>29</v>
      </c>
      <c r="E81" s="86"/>
      <c r="F81" s="2">
        <v>42514</v>
      </c>
      <c r="G81" s="23"/>
      <c r="H81" s="23"/>
      <c r="I81" s="159"/>
      <c r="J81" s="160"/>
      <c r="K81" s="160"/>
      <c r="L81" s="70"/>
    </row>
    <row r="82" spans="1:12" s="2" customFormat="1" x14ac:dyDescent="0.2">
      <c r="A82" s="89" t="s">
        <v>2254</v>
      </c>
      <c r="B82" s="128" t="s">
        <v>11</v>
      </c>
      <c r="C82" s="181" t="s">
        <v>36</v>
      </c>
      <c r="D82" s="11" t="s">
        <v>29</v>
      </c>
      <c r="E82" s="86"/>
      <c r="F82" s="2">
        <v>44539</v>
      </c>
      <c r="G82" s="23"/>
      <c r="H82" s="23"/>
      <c r="I82" s="159"/>
      <c r="J82" s="160"/>
      <c r="K82" s="160"/>
      <c r="L82" s="70"/>
    </row>
    <row r="83" spans="1:12" s="2" customFormat="1" x14ac:dyDescent="0.2">
      <c r="A83" s="89" t="s">
        <v>2254</v>
      </c>
      <c r="B83" s="128" t="s">
        <v>11</v>
      </c>
      <c r="C83" s="181" t="s">
        <v>1535</v>
      </c>
      <c r="D83" s="11" t="s">
        <v>29</v>
      </c>
      <c r="E83" s="86"/>
      <c r="F83" s="2">
        <v>35762</v>
      </c>
      <c r="G83" s="23"/>
      <c r="H83" s="23"/>
      <c r="I83" s="159"/>
      <c r="J83" s="160"/>
      <c r="K83" s="160"/>
      <c r="L83" s="70"/>
    </row>
    <row r="84" spans="1:12" s="2" customFormat="1" x14ac:dyDescent="0.2">
      <c r="A84" s="89" t="s">
        <v>2254</v>
      </c>
      <c r="B84" s="128" t="s">
        <v>11</v>
      </c>
      <c r="C84" s="181" t="s">
        <v>365</v>
      </c>
      <c r="D84" s="11" t="s">
        <v>29</v>
      </c>
      <c r="E84" s="86"/>
      <c r="F84" s="2">
        <v>348100</v>
      </c>
      <c r="G84" s="23"/>
      <c r="H84" s="23"/>
      <c r="I84" s="159"/>
      <c r="J84" s="160"/>
      <c r="K84" s="160"/>
      <c r="L84" s="70"/>
    </row>
    <row r="85" spans="1:12" s="2" customFormat="1" x14ac:dyDescent="0.2">
      <c r="A85" s="89" t="s">
        <v>2254</v>
      </c>
      <c r="B85" s="128" t="s">
        <v>11</v>
      </c>
      <c r="C85" s="181" t="s">
        <v>372</v>
      </c>
      <c r="D85" s="11" t="s">
        <v>29</v>
      </c>
      <c r="E85" s="86"/>
      <c r="F85" s="2">
        <v>320145</v>
      </c>
      <c r="G85" s="23"/>
      <c r="H85" s="23"/>
      <c r="I85" s="159"/>
      <c r="J85" s="160"/>
      <c r="K85" s="160"/>
      <c r="L85" s="70"/>
    </row>
    <row r="86" spans="1:12" s="2" customFormat="1" x14ac:dyDescent="0.2">
      <c r="A86" s="89" t="s">
        <v>2254</v>
      </c>
      <c r="B86" s="128" t="s">
        <v>11</v>
      </c>
      <c r="C86" s="181" t="s">
        <v>49</v>
      </c>
      <c r="D86" s="11" t="s">
        <v>29</v>
      </c>
      <c r="E86" s="86"/>
      <c r="F86" s="2">
        <v>290769</v>
      </c>
      <c r="G86" s="23"/>
      <c r="H86" s="23"/>
      <c r="I86" s="159"/>
      <c r="J86" s="160"/>
      <c r="K86" s="160"/>
      <c r="L86" s="70"/>
    </row>
    <row r="87" spans="1:12" s="2" customFormat="1" x14ac:dyDescent="0.2">
      <c r="A87" s="89" t="s">
        <v>2254</v>
      </c>
      <c r="B87" s="128" t="s">
        <v>11</v>
      </c>
      <c r="C87" s="181" t="s">
        <v>28</v>
      </c>
      <c r="D87" s="11" t="s">
        <v>29</v>
      </c>
      <c r="E87" s="86"/>
      <c r="F87" s="2">
        <v>255012.75</v>
      </c>
      <c r="G87" s="23"/>
      <c r="H87" s="23"/>
      <c r="I87" s="159"/>
      <c r="J87" s="160"/>
      <c r="K87" s="160"/>
      <c r="L87" s="70"/>
    </row>
    <row r="88" spans="1:12" s="2" customFormat="1" x14ac:dyDescent="0.2">
      <c r="A88" s="89" t="s">
        <v>2254</v>
      </c>
      <c r="B88" s="128" t="s">
        <v>11</v>
      </c>
      <c r="C88" s="181" t="s">
        <v>251</v>
      </c>
      <c r="D88" s="11" t="s">
        <v>29</v>
      </c>
      <c r="E88" s="86"/>
      <c r="F88" s="2">
        <v>250823</v>
      </c>
      <c r="G88" s="23"/>
      <c r="H88" s="23"/>
      <c r="I88" s="159"/>
      <c r="J88" s="160"/>
      <c r="K88" s="160"/>
      <c r="L88" s="70"/>
    </row>
    <row r="89" spans="1:12" s="2" customFormat="1" x14ac:dyDescent="0.2">
      <c r="A89" s="89" t="s">
        <v>2254</v>
      </c>
      <c r="B89" s="128" t="s">
        <v>11</v>
      </c>
      <c r="C89" s="181" t="s">
        <v>312</v>
      </c>
      <c r="D89" s="11" t="s">
        <v>29</v>
      </c>
      <c r="E89" s="86"/>
      <c r="F89" s="2">
        <v>691071</v>
      </c>
      <c r="G89" s="23"/>
      <c r="H89" s="23"/>
      <c r="I89" s="159"/>
      <c r="J89" s="160"/>
      <c r="K89" s="160"/>
      <c r="L89" s="70"/>
    </row>
    <row r="90" spans="1:12" s="2" customFormat="1" x14ac:dyDescent="0.2">
      <c r="A90" s="89" t="s">
        <v>2254</v>
      </c>
      <c r="B90" s="128" t="s">
        <v>11</v>
      </c>
      <c r="C90" s="181" t="s">
        <v>798</v>
      </c>
      <c r="D90" s="11" t="s">
        <v>29</v>
      </c>
      <c r="E90" s="86"/>
      <c r="F90" s="2">
        <v>466004</v>
      </c>
      <c r="G90" s="23"/>
      <c r="H90" s="23"/>
      <c r="I90" s="159"/>
      <c r="J90" s="160"/>
      <c r="K90" s="160"/>
      <c r="L90" s="70"/>
    </row>
    <row r="91" spans="1:12" s="2" customFormat="1" x14ac:dyDescent="0.2">
      <c r="A91" s="89" t="s">
        <v>2254</v>
      </c>
      <c r="B91" s="128" t="s">
        <v>11</v>
      </c>
      <c r="C91" s="181" t="s">
        <v>117</v>
      </c>
      <c r="D91" s="11" t="s">
        <v>29</v>
      </c>
      <c r="E91" s="86"/>
      <c r="F91" s="2">
        <v>358716</v>
      </c>
      <c r="G91" s="23"/>
      <c r="H91" s="23"/>
      <c r="I91" s="159"/>
      <c r="J91" s="160"/>
      <c r="K91" s="160"/>
      <c r="L91" s="70"/>
    </row>
    <row r="92" spans="1:12" s="2" customFormat="1" x14ac:dyDescent="0.2">
      <c r="A92" s="89" t="s">
        <v>2254</v>
      </c>
      <c r="B92" s="128" t="s">
        <v>11</v>
      </c>
      <c r="C92" s="181" t="s">
        <v>1628</v>
      </c>
      <c r="D92" s="11" t="s">
        <v>29</v>
      </c>
      <c r="E92" s="86"/>
      <c r="F92" s="2">
        <v>16223</v>
      </c>
      <c r="G92" s="23"/>
      <c r="H92" s="23"/>
      <c r="I92" s="159"/>
      <c r="J92" s="160"/>
      <c r="K92" s="160"/>
      <c r="L92" s="70"/>
    </row>
    <row r="93" spans="1:12" s="2" customFormat="1" x14ac:dyDescent="0.2">
      <c r="A93" s="89" t="s">
        <v>2254</v>
      </c>
      <c r="B93" s="128" t="s">
        <v>11</v>
      </c>
      <c r="C93" s="181" t="s">
        <v>1502</v>
      </c>
      <c r="D93" s="11" t="s">
        <v>29</v>
      </c>
      <c r="E93" s="86"/>
      <c r="F93" s="2">
        <v>1603661</v>
      </c>
      <c r="G93" s="23"/>
      <c r="H93" s="23"/>
      <c r="I93" s="159"/>
      <c r="J93" s="160"/>
      <c r="K93" s="160"/>
      <c r="L93" s="70"/>
    </row>
    <row r="94" spans="1:12" s="2" customFormat="1" x14ac:dyDescent="0.2">
      <c r="A94" s="89" t="s">
        <v>2254</v>
      </c>
      <c r="B94" s="128" t="s">
        <v>11</v>
      </c>
      <c r="C94" s="181" t="s">
        <v>254</v>
      </c>
      <c r="D94" s="11" t="s">
        <v>29</v>
      </c>
      <c r="E94" s="86"/>
      <c r="F94" s="2">
        <v>480595</v>
      </c>
      <c r="G94" s="23"/>
      <c r="H94" s="23"/>
      <c r="I94" s="159"/>
      <c r="J94" s="160"/>
      <c r="K94" s="160"/>
      <c r="L94" s="70"/>
    </row>
    <row r="95" spans="1:12" s="2" customFormat="1" x14ac:dyDescent="0.2">
      <c r="A95" s="89" t="s">
        <v>2254</v>
      </c>
      <c r="B95" s="128" t="s">
        <v>11</v>
      </c>
      <c r="C95" s="181" t="s">
        <v>340</v>
      </c>
      <c r="D95" s="11" t="s">
        <v>29</v>
      </c>
      <c r="E95" s="86"/>
      <c r="F95" s="2">
        <v>224010</v>
      </c>
      <c r="G95" s="23"/>
      <c r="H95" s="23"/>
      <c r="I95" s="159"/>
      <c r="J95" s="160"/>
      <c r="K95" s="160"/>
      <c r="L95" s="70"/>
    </row>
    <row r="96" spans="1:12" s="2" customFormat="1" x14ac:dyDescent="0.2">
      <c r="A96" s="89" t="s">
        <v>2254</v>
      </c>
      <c r="B96" s="128" t="s">
        <v>11</v>
      </c>
      <c r="C96" s="181" t="s">
        <v>799</v>
      </c>
      <c r="D96" s="11" t="s">
        <v>29</v>
      </c>
      <c r="E96" s="86"/>
      <c r="F96" s="2">
        <v>553766</v>
      </c>
      <c r="G96" s="23"/>
      <c r="H96" s="23"/>
      <c r="I96" s="159"/>
      <c r="J96" s="160"/>
      <c r="K96" s="160"/>
      <c r="L96" s="70"/>
    </row>
    <row r="97" spans="1:12" s="2" customFormat="1" x14ac:dyDescent="0.2">
      <c r="A97" s="89" t="s">
        <v>2254</v>
      </c>
      <c r="B97" s="128" t="s">
        <v>11</v>
      </c>
      <c r="C97" s="181" t="s">
        <v>253</v>
      </c>
      <c r="D97" s="11" t="s">
        <v>29</v>
      </c>
      <c r="E97" s="86"/>
      <c r="F97" s="2">
        <v>409460</v>
      </c>
      <c r="G97" s="23"/>
      <c r="H97" s="23"/>
      <c r="I97" s="159"/>
      <c r="J97" s="160"/>
      <c r="K97" s="160"/>
      <c r="L97" s="70"/>
    </row>
    <row r="98" spans="1:12" s="2" customFormat="1" x14ac:dyDescent="0.2">
      <c r="A98" s="89" t="s">
        <v>2254</v>
      </c>
      <c r="B98" s="128" t="s">
        <v>11</v>
      </c>
      <c r="C98" s="181" t="s">
        <v>1587</v>
      </c>
      <c r="D98" s="11" t="s">
        <v>29</v>
      </c>
      <c r="E98" s="86"/>
      <c r="F98" s="2">
        <v>204730</v>
      </c>
      <c r="G98" s="23"/>
      <c r="H98" s="23"/>
      <c r="I98" s="159"/>
      <c r="J98" s="160"/>
      <c r="K98" s="160"/>
      <c r="L98" s="70"/>
    </row>
    <row r="99" spans="1:12" s="2" customFormat="1" x14ac:dyDescent="0.2">
      <c r="A99" s="89" t="s">
        <v>2254</v>
      </c>
      <c r="B99" s="128" t="s">
        <v>11</v>
      </c>
      <c r="C99" s="181" t="s">
        <v>279</v>
      </c>
      <c r="D99" s="11" t="s">
        <v>29</v>
      </c>
      <c r="E99" s="86"/>
      <c r="F99" s="2">
        <v>2362834</v>
      </c>
      <c r="G99" s="23"/>
      <c r="H99" s="23"/>
      <c r="I99" s="159"/>
      <c r="J99" s="160"/>
      <c r="K99" s="160"/>
      <c r="L99" s="70"/>
    </row>
    <row r="100" spans="1:12" s="2" customFormat="1" x14ac:dyDescent="0.2">
      <c r="A100" s="89" t="s">
        <v>2254</v>
      </c>
      <c r="B100" s="128" t="s">
        <v>11</v>
      </c>
      <c r="C100" s="181" t="s">
        <v>1651</v>
      </c>
      <c r="D100" s="11" t="s">
        <v>29</v>
      </c>
      <c r="E100" s="86"/>
      <c r="F100" s="2">
        <v>1691592.2</v>
      </c>
      <c r="G100" s="23"/>
      <c r="H100" s="23"/>
      <c r="I100" s="159"/>
      <c r="J100" s="160"/>
      <c r="K100" s="160"/>
      <c r="L100" s="70"/>
    </row>
    <row r="101" spans="1:12" s="2" customFormat="1" x14ac:dyDescent="0.2">
      <c r="A101" s="89" t="s">
        <v>2254</v>
      </c>
      <c r="B101" s="128" t="s">
        <v>11</v>
      </c>
      <c r="C101" s="181" t="s">
        <v>308</v>
      </c>
      <c r="D101" s="11" t="s">
        <v>29</v>
      </c>
      <c r="E101" s="86"/>
      <c r="F101" s="2">
        <v>206500</v>
      </c>
      <c r="G101" s="23"/>
      <c r="H101" s="23"/>
      <c r="I101" s="159"/>
      <c r="J101" s="160"/>
      <c r="K101" s="160"/>
      <c r="L101" s="70"/>
    </row>
    <row r="102" spans="1:12" s="2" customFormat="1" x14ac:dyDescent="0.2">
      <c r="A102" s="89" t="s">
        <v>2254</v>
      </c>
      <c r="B102" s="128" t="s">
        <v>11</v>
      </c>
      <c r="C102" s="181" t="s">
        <v>2123</v>
      </c>
      <c r="D102" s="11" t="s">
        <v>29</v>
      </c>
      <c r="E102" s="86"/>
      <c r="F102" s="2">
        <v>203550</v>
      </c>
      <c r="G102" s="23"/>
      <c r="H102" s="23"/>
      <c r="I102" s="159"/>
      <c r="J102" s="160"/>
      <c r="K102" s="160"/>
      <c r="L102" s="70"/>
    </row>
    <row r="103" spans="1:12" s="2" customFormat="1" x14ac:dyDescent="0.2">
      <c r="A103" s="89" t="s">
        <v>2254</v>
      </c>
      <c r="B103" s="128" t="s">
        <v>11</v>
      </c>
      <c r="C103" s="181" t="s">
        <v>341</v>
      </c>
      <c r="D103" s="11" t="s">
        <v>29</v>
      </c>
      <c r="E103" s="86"/>
      <c r="F103" s="2">
        <v>224406</v>
      </c>
      <c r="G103" s="23"/>
      <c r="H103" s="23"/>
      <c r="I103" s="159"/>
      <c r="J103" s="160"/>
      <c r="K103" s="160"/>
      <c r="L103" s="70"/>
    </row>
    <row r="104" spans="1:12" s="2" customFormat="1" x14ac:dyDescent="0.2">
      <c r="A104" s="89" t="s">
        <v>2254</v>
      </c>
      <c r="B104" s="128" t="s">
        <v>11</v>
      </c>
      <c r="C104" s="181" t="s">
        <v>635</v>
      </c>
      <c r="D104" s="11" t="s">
        <v>29</v>
      </c>
      <c r="E104" s="86"/>
      <c r="F104" s="2">
        <v>776518</v>
      </c>
      <c r="G104" s="23"/>
      <c r="H104" s="23"/>
      <c r="I104" s="159"/>
      <c r="J104" s="160"/>
      <c r="K104" s="160"/>
      <c r="L104" s="70"/>
    </row>
    <row r="105" spans="1:12" s="2" customFormat="1" x14ac:dyDescent="0.2">
      <c r="A105" s="89" t="s">
        <v>2254</v>
      </c>
      <c r="B105" s="128" t="s">
        <v>11</v>
      </c>
      <c r="C105" s="181" t="s">
        <v>650</v>
      </c>
      <c r="D105" s="11" t="s">
        <v>29</v>
      </c>
      <c r="E105" s="86"/>
      <c r="F105" s="2">
        <v>660793</v>
      </c>
      <c r="G105" s="23"/>
      <c r="H105" s="23"/>
      <c r="I105" s="159"/>
      <c r="J105" s="160"/>
      <c r="K105" s="160"/>
      <c r="L105" s="70"/>
    </row>
    <row r="106" spans="1:12" s="2" customFormat="1" x14ac:dyDescent="0.2">
      <c r="A106" s="89" t="s">
        <v>2254</v>
      </c>
      <c r="B106" s="128" t="s">
        <v>11</v>
      </c>
      <c r="C106" s="181" t="s">
        <v>307</v>
      </c>
      <c r="D106" s="11" t="s">
        <v>29</v>
      </c>
      <c r="E106" s="86"/>
      <c r="F106" s="2">
        <v>128384</v>
      </c>
      <c r="G106" s="23"/>
      <c r="H106" s="23"/>
      <c r="I106" s="159"/>
      <c r="J106" s="160"/>
      <c r="K106" s="160"/>
      <c r="L106" s="70"/>
    </row>
    <row r="107" spans="1:12" s="2" customFormat="1" x14ac:dyDescent="0.2">
      <c r="A107" s="89" t="s">
        <v>2254</v>
      </c>
      <c r="B107" s="128" t="s">
        <v>11</v>
      </c>
      <c r="C107" s="181" t="s">
        <v>301</v>
      </c>
      <c r="D107" s="11" t="s">
        <v>29</v>
      </c>
      <c r="E107" s="86"/>
      <c r="F107" s="2">
        <v>1529027</v>
      </c>
      <c r="G107" s="23"/>
      <c r="H107" s="23"/>
      <c r="I107" s="159"/>
      <c r="J107" s="160"/>
      <c r="K107" s="160"/>
      <c r="L107" s="70"/>
    </row>
    <row r="108" spans="1:12" s="2" customFormat="1" x14ac:dyDescent="0.2">
      <c r="A108" s="89" t="s">
        <v>2254</v>
      </c>
      <c r="B108" s="128" t="s">
        <v>11</v>
      </c>
      <c r="C108" s="181" t="s">
        <v>138</v>
      </c>
      <c r="D108" s="11" t="s">
        <v>29</v>
      </c>
      <c r="E108" s="86"/>
      <c r="F108" s="2">
        <v>1745581</v>
      </c>
      <c r="G108" s="23"/>
      <c r="H108" s="23"/>
      <c r="I108" s="159"/>
      <c r="J108" s="160"/>
      <c r="K108" s="160"/>
      <c r="L108" s="70"/>
    </row>
    <row r="109" spans="1:12" s="2" customFormat="1" x14ac:dyDescent="0.2">
      <c r="A109" s="89" t="s">
        <v>2254</v>
      </c>
      <c r="B109" s="128" t="s">
        <v>11</v>
      </c>
      <c r="C109" s="181" t="s">
        <v>107</v>
      </c>
      <c r="D109" s="11" t="s">
        <v>29</v>
      </c>
      <c r="E109" s="86"/>
      <c r="F109" s="2">
        <v>205370.85</v>
      </c>
      <c r="G109" s="23"/>
      <c r="H109" s="23"/>
      <c r="I109" s="159"/>
      <c r="J109" s="160"/>
      <c r="K109" s="160"/>
      <c r="L109" s="70"/>
    </row>
    <row r="110" spans="1:12" s="2" customFormat="1" x14ac:dyDescent="0.2">
      <c r="A110" s="89" t="s">
        <v>2254</v>
      </c>
      <c r="B110" s="128" t="s">
        <v>11</v>
      </c>
      <c r="C110" s="181" t="s">
        <v>498</v>
      </c>
      <c r="D110" s="11" t="s">
        <v>29</v>
      </c>
      <c r="E110" s="86"/>
      <c r="F110" s="2">
        <v>321430.78000000003</v>
      </c>
      <c r="G110" s="23"/>
      <c r="H110" s="23"/>
      <c r="I110" s="159"/>
      <c r="J110" s="160"/>
      <c r="K110" s="160"/>
      <c r="L110" s="70"/>
    </row>
    <row r="111" spans="1:12" s="2" customFormat="1" x14ac:dyDescent="0.2">
      <c r="A111" s="89" t="s">
        <v>2254</v>
      </c>
      <c r="B111" s="128" t="s">
        <v>11</v>
      </c>
      <c r="C111" s="181" t="s">
        <v>285</v>
      </c>
      <c r="D111" s="11" t="s">
        <v>29</v>
      </c>
      <c r="E111" s="86"/>
      <c r="F111" s="2">
        <v>447844.55</v>
      </c>
      <c r="G111" s="23"/>
      <c r="H111" s="23"/>
      <c r="I111" s="159"/>
      <c r="J111" s="160"/>
      <c r="K111" s="160"/>
      <c r="L111" s="70"/>
    </row>
    <row r="112" spans="1:12" s="2" customFormat="1" x14ac:dyDescent="0.2">
      <c r="A112" s="89" t="s">
        <v>2254</v>
      </c>
      <c r="B112" s="128" t="s">
        <v>11</v>
      </c>
      <c r="C112" s="181" t="s">
        <v>2115</v>
      </c>
      <c r="D112" s="11" t="s">
        <v>29</v>
      </c>
      <c r="E112" s="86"/>
      <c r="F112" s="2">
        <v>5000000</v>
      </c>
      <c r="G112" s="23"/>
      <c r="H112" s="23"/>
      <c r="I112" s="159"/>
      <c r="J112" s="160"/>
      <c r="K112" s="160"/>
      <c r="L112" s="70"/>
    </row>
    <row r="113" spans="1:16" s="2" customFormat="1" x14ac:dyDescent="0.2">
      <c r="A113" s="89" t="s">
        <v>2254</v>
      </c>
      <c r="B113" s="128" t="s">
        <v>11</v>
      </c>
      <c r="C113" s="181" t="s">
        <v>1979</v>
      </c>
      <c r="D113" s="11" t="s">
        <v>29</v>
      </c>
      <c r="E113" s="86"/>
      <c r="F113" s="2">
        <v>284590.82</v>
      </c>
      <c r="G113" s="23"/>
      <c r="H113" s="23"/>
      <c r="I113" s="159"/>
      <c r="J113" s="160"/>
      <c r="K113" s="160"/>
      <c r="L113" s="70"/>
    </row>
    <row r="114" spans="1:16" s="2" customFormat="1" x14ac:dyDescent="0.2">
      <c r="A114" s="89" t="s">
        <v>2254</v>
      </c>
      <c r="B114" s="128" t="s">
        <v>11</v>
      </c>
      <c r="C114" s="181" t="s">
        <v>738</v>
      </c>
      <c r="D114" s="11" t="s">
        <v>29</v>
      </c>
      <c r="E114" s="86"/>
      <c r="F114" s="2">
        <v>133417.51</v>
      </c>
      <c r="G114" s="23"/>
      <c r="H114" s="23"/>
      <c r="I114" s="159"/>
      <c r="J114" s="160"/>
      <c r="K114" s="160"/>
      <c r="L114" s="70"/>
    </row>
    <row r="115" spans="1:16" s="70" customFormat="1" x14ac:dyDescent="0.2">
      <c r="A115" s="32"/>
      <c r="B115" s="33"/>
      <c r="C115" s="14"/>
      <c r="D115" s="34"/>
      <c r="E115" s="16">
        <f>SUM(E46:E114)</f>
        <v>17004096.060000002</v>
      </c>
      <c r="F115" s="16">
        <f>SUM(F46:F114)</f>
        <v>-501925.07000010274</v>
      </c>
      <c r="G115" s="1"/>
      <c r="H115" s="1"/>
      <c r="I115" s="1"/>
      <c r="J115" s="38">
        <v>17506021.129999999</v>
      </c>
      <c r="K115" s="2"/>
      <c r="L115" s="92">
        <f>E116+J115</f>
        <v>-1.0803341865539551E-7</v>
      </c>
      <c r="M115" s="2"/>
      <c r="N115" s="2"/>
      <c r="O115" s="2"/>
      <c r="P115" s="2"/>
    </row>
    <row r="116" spans="1:16" s="70" customFormat="1" x14ac:dyDescent="0.2">
      <c r="A116" s="36"/>
      <c r="B116" s="28" t="s">
        <v>11</v>
      </c>
      <c r="C116" s="19" t="s">
        <v>65</v>
      </c>
      <c r="D116" s="37"/>
      <c r="E116" s="38">
        <f>F115-E115</f>
        <v>-17506021.130000107</v>
      </c>
      <c r="F116" s="22"/>
      <c r="G116" s="1"/>
      <c r="H116" s="1"/>
      <c r="I116" s="1"/>
      <c r="M116" s="2"/>
      <c r="N116" s="2"/>
      <c r="O116" s="1"/>
      <c r="P116" s="2"/>
    </row>
    <row r="117" spans="1:16" s="70" customFormat="1" x14ac:dyDescent="0.2">
      <c r="A117" s="36"/>
      <c r="B117" s="28" t="s">
        <v>66</v>
      </c>
      <c r="C117" s="19" t="s">
        <v>67</v>
      </c>
      <c r="D117" s="37"/>
      <c r="E117" s="38">
        <f>11500000-7200000</f>
        <v>4300000</v>
      </c>
      <c r="F117" s="22"/>
      <c r="G117" s="1"/>
      <c r="H117" s="1"/>
      <c r="M117" s="2"/>
      <c r="N117" s="2"/>
      <c r="O117" s="1"/>
      <c r="P117" s="2"/>
    </row>
    <row r="118" spans="1:16" s="70" customFormat="1" x14ac:dyDescent="0.2">
      <c r="A118" s="36"/>
      <c r="B118" s="28" t="s">
        <v>66</v>
      </c>
      <c r="C118" s="43" t="s">
        <v>1457</v>
      </c>
      <c r="D118" s="43"/>
      <c r="E118" s="12">
        <f>400000000</f>
        <v>400000000</v>
      </c>
      <c r="F118" s="22"/>
      <c r="G118" s="1"/>
      <c r="H118" s="1"/>
      <c r="J118" s="45">
        <v>2005.45</v>
      </c>
      <c r="K118" s="46"/>
      <c r="L118" s="46"/>
      <c r="M118" s="2"/>
      <c r="N118" s="2"/>
      <c r="O118" s="1"/>
      <c r="P118" s="2"/>
    </row>
    <row r="119" spans="1:16" s="70" customFormat="1" ht="15" x14ac:dyDescent="0.25">
      <c r="A119" s="36"/>
      <c r="B119" s="28"/>
      <c r="C119" s="44" t="s">
        <v>1541</v>
      </c>
      <c r="D119" s="43"/>
      <c r="E119" s="7">
        <f>+E118+E116+E117</f>
        <v>386793978.86999989</v>
      </c>
      <c r="F119" s="22"/>
      <c r="G119" s="1"/>
      <c r="H119" s="1"/>
      <c r="I119" s="103" t="s">
        <v>69</v>
      </c>
      <c r="J119" s="45">
        <v>-40.5</v>
      </c>
      <c r="K119" s="46"/>
      <c r="L119" s="46"/>
      <c r="M119" s="2"/>
      <c r="N119" s="2"/>
      <c r="O119" s="1"/>
      <c r="P119" s="2"/>
    </row>
    <row r="120" spans="1:16" s="70" customFormat="1" ht="15" x14ac:dyDescent="0.25">
      <c r="A120" s="24"/>
      <c r="B120" s="1"/>
      <c r="C120" s="44" t="s">
        <v>1510</v>
      </c>
      <c r="D120" s="25"/>
      <c r="E120" s="156">
        <f>+J45-E117+I41-J41</f>
        <v>113206021.13</v>
      </c>
      <c r="F120" s="2"/>
      <c r="G120" s="1"/>
      <c r="H120" s="1"/>
      <c r="I120" s="35">
        <v>1</v>
      </c>
      <c r="J120" s="45">
        <v>37.299999999999997</v>
      </c>
      <c r="K120" s="46">
        <f>+J121-D123</f>
        <v>0</v>
      </c>
      <c r="L120" s="2"/>
      <c r="M120" s="2"/>
      <c r="N120" s="2"/>
      <c r="O120" s="1"/>
      <c r="P120" s="2"/>
    </row>
    <row r="121" spans="1:16" s="70" customFormat="1" ht="12.75" customHeight="1" x14ac:dyDescent="0.2">
      <c r="A121" s="24"/>
      <c r="B121" s="1"/>
      <c r="C121" s="56"/>
      <c r="D121" s="56"/>
      <c r="E121" s="104"/>
      <c r="F121" s="2"/>
      <c r="G121" s="166"/>
      <c r="H121" s="166"/>
      <c r="J121" s="49">
        <f>SUM(J118:J120)</f>
        <v>2002.25</v>
      </c>
      <c r="K121" s="46"/>
      <c r="L121" s="46"/>
      <c r="M121" s="124"/>
      <c r="N121" s="124"/>
      <c r="O121" s="1"/>
      <c r="P121" s="2"/>
    </row>
    <row r="122" spans="1:16" s="70" customFormat="1" ht="12.75" customHeight="1" x14ac:dyDescent="0.2">
      <c r="A122" s="24"/>
      <c r="B122" s="1"/>
      <c r="C122" s="78" t="s">
        <v>575</v>
      </c>
      <c r="D122" s="48" t="s">
        <v>576</v>
      </c>
      <c r="E122" s="104"/>
      <c r="F122" s="2"/>
      <c r="G122" s="168"/>
      <c r="H122" s="168"/>
      <c r="I122" s="167"/>
      <c r="J122" s="167"/>
      <c r="K122" s="168"/>
      <c r="L122" s="124"/>
      <c r="M122" s="124"/>
      <c r="N122" s="124"/>
      <c r="O122" s="124"/>
      <c r="P122" s="2"/>
    </row>
    <row r="123" spans="1:16" s="70" customFormat="1" ht="12.75" customHeight="1" x14ac:dyDescent="0.2">
      <c r="A123" s="24"/>
      <c r="B123" s="1"/>
      <c r="C123" s="47" t="s">
        <v>570</v>
      </c>
      <c r="D123" s="111">
        <v>2002.25</v>
      </c>
      <c r="E123" s="104"/>
      <c r="F123" s="2"/>
      <c r="G123" s="168"/>
      <c r="H123" s="168"/>
      <c r="I123" s="110" t="s">
        <v>581</v>
      </c>
      <c r="J123" s="167"/>
      <c r="K123" s="168"/>
      <c r="L123" s="124"/>
      <c r="M123" s="124"/>
      <c r="N123" s="124"/>
      <c r="O123" s="124"/>
      <c r="P123" s="124"/>
    </row>
    <row r="124" spans="1:16" s="70" customFormat="1" ht="12.75" customHeight="1" x14ac:dyDescent="0.2">
      <c r="A124" s="24"/>
      <c r="B124" s="1"/>
      <c r="C124" s="47" t="s">
        <v>931</v>
      </c>
      <c r="D124" s="111">
        <v>182.47</v>
      </c>
      <c r="E124" s="104"/>
      <c r="F124" s="2"/>
      <c r="G124" s="168"/>
      <c r="H124" s="168"/>
      <c r="I124" s="110" t="s">
        <v>580</v>
      </c>
      <c r="J124" s="167"/>
      <c r="K124" s="168"/>
      <c r="L124" s="124"/>
      <c r="M124" s="124"/>
      <c r="N124" s="124"/>
      <c r="O124" s="124"/>
      <c r="P124" s="124"/>
    </row>
    <row r="125" spans="1:16" s="70" customFormat="1" ht="12.75" customHeight="1" x14ac:dyDescent="0.2">
      <c r="A125" s="24"/>
      <c r="B125" s="1"/>
      <c r="C125" s="47" t="s">
        <v>572</v>
      </c>
      <c r="D125" s="111">
        <f>+D173/100000</f>
        <v>780.65742939999996</v>
      </c>
      <c r="E125" s="104"/>
      <c r="F125" s="2"/>
      <c r="G125" s="166"/>
      <c r="H125" s="166"/>
      <c r="I125" s="90" t="s">
        <v>587</v>
      </c>
      <c r="J125" s="167"/>
      <c r="K125" s="168"/>
      <c r="L125" s="124"/>
      <c r="M125" s="124"/>
      <c r="N125" s="124"/>
      <c r="O125" s="124"/>
      <c r="P125" s="124"/>
    </row>
    <row r="126" spans="1:16" s="70" customFormat="1" ht="12.75" customHeight="1" x14ac:dyDescent="0.2">
      <c r="A126" s="24"/>
      <c r="B126" s="1"/>
      <c r="C126" s="108" t="s">
        <v>578</v>
      </c>
      <c r="D126" s="48">
        <f>SUM(D123:D125)</f>
        <v>2965.3774293999995</v>
      </c>
      <c r="E126" s="104"/>
      <c r="F126" s="2"/>
      <c r="G126" s="30"/>
      <c r="H126" s="30"/>
      <c r="I126" s="2"/>
      <c r="J126" s="13"/>
      <c r="K126" s="13"/>
      <c r="L126" s="2"/>
      <c r="M126" s="2"/>
      <c r="N126" s="2"/>
      <c r="O126" s="124"/>
      <c r="P126" s="124"/>
    </row>
    <row r="127" spans="1:16" s="70" customFormat="1" ht="12.75" customHeight="1" x14ac:dyDescent="0.2">
      <c r="A127" s="24"/>
      <c r="B127" s="1"/>
      <c r="C127" s="47"/>
      <c r="D127" s="107"/>
      <c r="E127" s="104"/>
      <c r="F127" s="2"/>
      <c r="G127" s="30"/>
      <c r="H127" s="30"/>
      <c r="I127" s="2"/>
      <c r="O127" s="2"/>
      <c r="P127" s="124"/>
    </row>
    <row r="128" spans="1:16" s="70" customFormat="1" ht="12.75" customHeight="1" x14ac:dyDescent="0.2">
      <c r="A128" s="24"/>
      <c r="B128" s="1"/>
      <c r="C128" s="47" t="s">
        <v>932</v>
      </c>
      <c r="D128" s="111">
        <v>580.33000000000004</v>
      </c>
      <c r="E128" s="104"/>
      <c r="F128" s="2"/>
      <c r="G128" s="30"/>
      <c r="H128" s="30"/>
      <c r="I128" s="110" t="s">
        <v>581</v>
      </c>
      <c r="P128" s="2"/>
    </row>
    <row r="129" spans="1:19" s="70" customFormat="1" ht="12.75" customHeight="1" x14ac:dyDescent="0.2">
      <c r="A129" s="24"/>
      <c r="B129" s="1"/>
      <c r="C129" s="136" t="s">
        <v>1142</v>
      </c>
      <c r="D129" s="111">
        <v>711.09</v>
      </c>
      <c r="E129" s="104"/>
      <c r="F129" s="2"/>
      <c r="G129" s="30"/>
      <c r="H129" s="30"/>
      <c r="I129" s="110" t="s">
        <v>581</v>
      </c>
    </row>
    <row r="130" spans="1:19" s="70" customFormat="1" ht="12.75" customHeight="1" x14ac:dyDescent="0.2">
      <c r="A130" s="24"/>
      <c r="B130" s="1"/>
      <c r="C130" s="78" t="s">
        <v>579</v>
      </c>
      <c r="D130" s="109">
        <f>D128+D129</f>
        <v>1291.42</v>
      </c>
      <c r="E130" s="104"/>
      <c r="F130" s="2"/>
      <c r="G130" s="30"/>
      <c r="H130" s="30"/>
      <c r="Q130" s="2"/>
      <c r="R130" s="2"/>
      <c r="S130" s="2"/>
    </row>
    <row r="131" spans="1:19" s="2" customFormat="1" x14ac:dyDescent="0.2">
      <c r="A131" s="24"/>
      <c r="B131" s="1"/>
      <c r="C131" s="105"/>
      <c r="D131" s="106"/>
      <c r="E131" s="104"/>
      <c r="G131" s="30"/>
      <c r="H131" s="30"/>
      <c r="I131" s="70"/>
      <c r="K131" s="221" t="str">
        <f>"FROM ( 01-03-2024 to "&amp;TEXT(A5,"dd-mm-yyyy")&amp;" )"</f>
        <v>FROM ( 01-03-2024 to 20-03-2024 )</v>
      </c>
      <c r="L131" s="221"/>
      <c r="O131" s="70"/>
      <c r="P131" s="70"/>
    </row>
    <row r="132" spans="1:19" s="2" customFormat="1" x14ac:dyDescent="0.2">
      <c r="A132" s="24"/>
      <c r="B132" s="1"/>
      <c r="C132" s="78" t="s">
        <v>577</v>
      </c>
      <c r="D132" s="109">
        <f>D123+D130</f>
        <v>3293.67</v>
      </c>
      <c r="E132" s="104"/>
      <c r="G132" s="30"/>
      <c r="H132" s="30"/>
      <c r="I132" s="70"/>
      <c r="J132" s="113"/>
      <c r="K132" s="113" t="s">
        <v>709</v>
      </c>
      <c r="L132" s="113" t="s">
        <v>710</v>
      </c>
      <c r="M132" s="113" t="s">
        <v>711</v>
      </c>
      <c r="N132" s="113" t="s">
        <v>712</v>
      </c>
      <c r="O132" s="70"/>
      <c r="P132" s="70"/>
    </row>
    <row r="133" spans="1:19" s="2" customFormat="1" x14ac:dyDescent="0.2">
      <c r="A133" s="24"/>
      <c r="B133" s="1"/>
      <c r="C133" s="56"/>
      <c r="D133" s="56"/>
      <c r="E133" s="104"/>
      <c r="G133" s="30"/>
      <c r="H133" s="30"/>
      <c r="I133" s="70"/>
      <c r="J133" s="113" t="s">
        <v>1860</v>
      </c>
      <c r="K133" s="115">
        <v>195.8</v>
      </c>
      <c r="L133" s="115">
        <v>62.74</v>
      </c>
      <c r="M133" s="115">
        <v>0</v>
      </c>
      <c r="N133" s="113">
        <f>+K133+M133-L133</f>
        <v>133.06</v>
      </c>
      <c r="O133" s="70"/>
      <c r="P133" s="70"/>
    </row>
    <row r="134" spans="1:19" s="2" customFormat="1" ht="38.25" x14ac:dyDescent="0.2">
      <c r="A134" s="24"/>
      <c r="B134" s="1"/>
      <c r="C134" s="79" t="str">
        <f>"Particulars ( 01-03-2024 to "&amp;TEXT(A5,"dd-mm-yyyy")&amp;" )"</f>
        <v>Particulars ( 01-03-2024 to 20-03-2024 )</v>
      </c>
      <c r="D134" s="79" t="s">
        <v>7</v>
      </c>
      <c r="E134" s="80" t="s">
        <v>73</v>
      </c>
      <c r="F134" s="80" t="s">
        <v>74</v>
      </c>
      <c r="G134" s="81" t="s">
        <v>75</v>
      </c>
      <c r="H134" s="80" t="s">
        <v>76</v>
      </c>
      <c r="I134" s="70"/>
      <c r="J134" s="113" t="s">
        <v>1861</v>
      </c>
      <c r="K134" s="115">
        <v>1882.55</v>
      </c>
      <c r="L134" s="115">
        <v>782.31</v>
      </c>
      <c r="M134" s="115">
        <v>775.49</v>
      </c>
      <c r="N134" s="113">
        <f>+K134+M134-L134</f>
        <v>1875.73</v>
      </c>
      <c r="O134" s="70"/>
      <c r="P134" s="70"/>
    </row>
    <row r="135" spans="1:19" s="2" customFormat="1" x14ac:dyDescent="0.2">
      <c r="A135" s="24"/>
      <c r="B135" s="1"/>
      <c r="C135" s="50" t="s">
        <v>444</v>
      </c>
      <c r="D135" s="55">
        <f>+K135</f>
        <v>463.26</v>
      </c>
      <c r="E135" s="55">
        <f>+IF(M135=0,0,M135)</f>
        <v>580.33000000000004</v>
      </c>
      <c r="F135" s="55">
        <f>+L135</f>
        <v>182.47</v>
      </c>
      <c r="G135" s="55">
        <f>+D135+E135-F135</f>
        <v>861.12000000000012</v>
      </c>
      <c r="H135" s="55">
        <f>1500-G135</f>
        <v>638.87999999999988</v>
      </c>
      <c r="I135" s="70">
        <f>+IF(M135=0,0,M135)</f>
        <v>580.33000000000004</v>
      </c>
      <c r="J135" s="113" t="s">
        <v>707</v>
      </c>
      <c r="K135" s="115">
        <v>463.26</v>
      </c>
      <c r="L135" s="115">
        <v>182.47</v>
      </c>
      <c r="M135" s="115">
        <v>580.33000000000004</v>
      </c>
      <c r="N135" s="113">
        <f>+K135+M135-L135</f>
        <v>861.12000000000012</v>
      </c>
      <c r="O135" s="70"/>
      <c r="P135" s="70"/>
    </row>
    <row r="136" spans="1:19" s="2" customFormat="1" x14ac:dyDescent="0.2">
      <c r="A136" s="24"/>
      <c r="B136" s="1"/>
      <c r="C136" s="50" t="s">
        <v>71</v>
      </c>
      <c r="D136" s="55">
        <f>+K133+K134</f>
        <v>2078.35</v>
      </c>
      <c r="E136" s="55">
        <f>+M133+M134</f>
        <v>775.49</v>
      </c>
      <c r="F136" s="55">
        <f>+L133+L134</f>
        <v>845.05</v>
      </c>
      <c r="G136" s="55">
        <f>+D136+E136-F136</f>
        <v>2008.7900000000002</v>
      </c>
      <c r="H136" s="55">
        <f>1500+700+200-G136</f>
        <v>391.20999999999981</v>
      </c>
      <c r="I136" s="70"/>
      <c r="K136" s="118">
        <f>SUM(K133:K135)</f>
        <v>2541.6099999999997</v>
      </c>
      <c r="L136" s="118">
        <f>SUM(L133:L135)</f>
        <v>1027.52</v>
      </c>
      <c r="M136" s="118">
        <f>SUM(M133:M135)</f>
        <v>1355.8200000000002</v>
      </c>
      <c r="N136" s="118">
        <f>SUM(N133:N135)</f>
        <v>2869.91</v>
      </c>
      <c r="O136" s="70"/>
      <c r="P136" s="70"/>
    </row>
    <row r="137" spans="1:19" s="2" customFormat="1" x14ac:dyDescent="0.2">
      <c r="A137" s="24"/>
      <c r="B137" s="1"/>
      <c r="C137" s="14"/>
      <c r="D137" s="56"/>
      <c r="E137" s="13"/>
      <c r="G137" s="30"/>
      <c r="H137" s="30"/>
      <c r="I137" s="70"/>
      <c r="J137" s="70"/>
      <c r="K137" s="70"/>
      <c r="L137" s="70"/>
      <c r="M137" s="70"/>
      <c r="N137" s="70"/>
      <c r="O137" s="70"/>
      <c r="P137" s="70"/>
    </row>
    <row r="138" spans="1:19" s="2" customFormat="1" x14ac:dyDescent="0.2">
      <c r="A138" s="215" t="s">
        <v>80</v>
      </c>
      <c r="B138" s="216"/>
      <c r="C138" s="216"/>
      <c r="D138" s="217"/>
      <c r="E138" s="69"/>
      <c r="F138" s="70"/>
      <c r="G138" s="30"/>
      <c r="H138" s="30"/>
      <c r="I138" s="70"/>
      <c r="J138" s="70"/>
      <c r="K138" s="70"/>
      <c r="L138" s="70"/>
      <c r="M138" s="70"/>
      <c r="N138" s="70"/>
      <c r="O138" s="70"/>
      <c r="P138" s="70"/>
    </row>
    <row r="139" spans="1:19" s="2" customFormat="1" x14ac:dyDescent="0.2">
      <c r="A139" s="71" t="s">
        <v>81</v>
      </c>
      <c r="B139" s="71"/>
      <c r="C139" s="72" t="s">
        <v>82</v>
      </c>
      <c r="D139" s="73" t="s">
        <v>83</v>
      </c>
      <c r="E139" s="69"/>
      <c r="F139" s="70"/>
      <c r="G139" s="30"/>
      <c r="H139" s="30"/>
      <c r="I139" s="70"/>
      <c r="J139" s="70"/>
      <c r="K139" s="70"/>
      <c r="L139" s="70"/>
      <c r="M139" s="70"/>
      <c r="N139" s="70"/>
      <c r="O139" s="70"/>
      <c r="P139" s="70"/>
    </row>
    <row r="140" spans="1:19" s="2" customFormat="1" x14ac:dyDescent="0.2">
      <c r="A140" s="87">
        <v>45352</v>
      </c>
      <c r="B140" s="120" t="s">
        <v>6</v>
      </c>
      <c r="C140" s="75" t="s">
        <v>594</v>
      </c>
      <c r="D140" s="88">
        <v>2143144</v>
      </c>
      <c r="G140" s="30"/>
      <c r="H140" s="30"/>
      <c r="P140" s="70"/>
    </row>
    <row r="141" spans="1:19" s="2" customFormat="1" x14ac:dyDescent="0.2">
      <c r="A141" s="87">
        <v>45352</v>
      </c>
      <c r="B141" s="120" t="s">
        <v>6</v>
      </c>
      <c r="C141" s="75" t="s">
        <v>271</v>
      </c>
      <c r="D141" s="88">
        <v>1493463</v>
      </c>
      <c r="G141" s="30"/>
      <c r="H141" s="30"/>
      <c r="P141" s="70"/>
    </row>
    <row r="142" spans="1:19" s="2" customFormat="1" x14ac:dyDescent="0.2">
      <c r="A142" s="87">
        <v>45354</v>
      </c>
      <c r="B142" s="120" t="s">
        <v>6</v>
      </c>
      <c r="C142" s="75" t="s">
        <v>270</v>
      </c>
      <c r="D142" s="88">
        <v>187299</v>
      </c>
      <c r="G142" s="30"/>
      <c r="H142" s="30"/>
      <c r="P142" s="70"/>
    </row>
    <row r="143" spans="1:19" s="2" customFormat="1" x14ac:dyDescent="0.2">
      <c r="A143" s="87">
        <v>45354</v>
      </c>
      <c r="B143" s="120" t="s">
        <v>6</v>
      </c>
      <c r="C143" s="75" t="s">
        <v>270</v>
      </c>
      <c r="D143" s="88">
        <v>8628</v>
      </c>
      <c r="G143" s="30"/>
      <c r="H143" s="30"/>
      <c r="P143" s="70"/>
    </row>
    <row r="144" spans="1:19" s="2" customFormat="1" x14ac:dyDescent="0.2">
      <c r="A144" s="87">
        <v>45356</v>
      </c>
      <c r="B144" s="120" t="s">
        <v>6</v>
      </c>
      <c r="C144" s="75" t="s">
        <v>84</v>
      </c>
      <c r="D144" s="88">
        <v>3111466</v>
      </c>
      <c r="G144" s="30"/>
      <c r="H144" s="30"/>
      <c r="P144" s="70"/>
    </row>
    <row r="145" spans="1:16" s="2" customFormat="1" x14ac:dyDescent="0.2">
      <c r="A145" s="87">
        <v>45356</v>
      </c>
      <c r="B145" s="120" t="s">
        <v>6</v>
      </c>
      <c r="C145" s="75" t="s">
        <v>271</v>
      </c>
      <c r="D145" s="88">
        <v>1369091</v>
      </c>
      <c r="G145" s="30"/>
      <c r="H145" s="30"/>
      <c r="P145" s="70"/>
    </row>
    <row r="146" spans="1:16" s="2" customFormat="1" x14ac:dyDescent="0.2">
      <c r="A146" s="87">
        <v>45357</v>
      </c>
      <c r="B146" s="120" t="s">
        <v>6</v>
      </c>
      <c r="C146" s="75" t="s">
        <v>271</v>
      </c>
      <c r="D146" s="88">
        <v>1393433</v>
      </c>
      <c r="G146" s="30"/>
      <c r="H146" s="30"/>
      <c r="P146" s="70"/>
    </row>
    <row r="147" spans="1:16" s="2" customFormat="1" x14ac:dyDescent="0.2">
      <c r="A147" s="87">
        <v>45359</v>
      </c>
      <c r="B147" s="120" t="s">
        <v>6</v>
      </c>
      <c r="C147" s="75" t="s">
        <v>271</v>
      </c>
      <c r="D147" s="88">
        <v>730944</v>
      </c>
      <c r="G147" s="30"/>
      <c r="H147" s="30"/>
      <c r="P147" s="70"/>
    </row>
    <row r="148" spans="1:16" s="2" customFormat="1" x14ac:dyDescent="0.2">
      <c r="A148" s="87">
        <v>45359</v>
      </c>
      <c r="B148" s="120" t="s">
        <v>6</v>
      </c>
      <c r="C148" s="75" t="s">
        <v>18</v>
      </c>
      <c r="D148" s="88">
        <v>19228</v>
      </c>
      <c r="G148" s="30"/>
      <c r="H148" s="30"/>
      <c r="P148" s="70"/>
    </row>
    <row r="149" spans="1:16" s="2" customFormat="1" x14ac:dyDescent="0.2">
      <c r="A149" s="87">
        <v>45362</v>
      </c>
      <c r="B149" s="120" t="s">
        <v>6</v>
      </c>
      <c r="C149" s="75" t="s">
        <v>1789</v>
      </c>
      <c r="D149" s="88">
        <v>2568137</v>
      </c>
      <c r="G149" s="30"/>
      <c r="H149" s="30"/>
      <c r="P149" s="70"/>
    </row>
    <row r="150" spans="1:16" s="2" customFormat="1" x14ac:dyDescent="0.2">
      <c r="A150" s="87">
        <v>45362</v>
      </c>
      <c r="B150" s="120" t="s">
        <v>6</v>
      </c>
      <c r="C150" s="75" t="s">
        <v>85</v>
      </c>
      <c r="D150" s="88">
        <v>39949</v>
      </c>
      <c r="G150" s="30"/>
      <c r="H150" s="30"/>
      <c r="P150" s="70"/>
    </row>
    <row r="151" spans="1:16" s="2" customFormat="1" x14ac:dyDescent="0.2">
      <c r="A151" s="87">
        <v>45362</v>
      </c>
      <c r="B151" s="120" t="s">
        <v>6</v>
      </c>
      <c r="C151" s="75" t="s">
        <v>85</v>
      </c>
      <c r="D151" s="88">
        <v>219691</v>
      </c>
      <c r="G151" s="30"/>
      <c r="H151" s="30"/>
      <c r="P151" s="70"/>
    </row>
    <row r="152" spans="1:16" s="2" customFormat="1" x14ac:dyDescent="0.2">
      <c r="A152" s="87">
        <v>45363</v>
      </c>
      <c r="B152" s="120" t="s">
        <v>6</v>
      </c>
      <c r="C152" s="75" t="s">
        <v>271</v>
      </c>
      <c r="D152" s="88">
        <v>952416</v>
      </c>
      <c r="G152" s="30"/>
      <c r="H152" s="30"/>
      <c r="P152" s="70"/>
    </row>
    <row r="153" spans="1:16" s="2" customFormat="1" x14ac:dyDescent="0.2">
      <c r="A153" s="87">
        <v>45363</v>
      </c>
      <c r="B153" s="120" t="s">
        <v>6</v>
      </c>
      <c r="C153" s="75" t="s">
        <v>18</v>
      </c>
      <c r="D153" s="88">
        <v>591483</v>
      </c>
      <c r="G153" s="30"/>
      <c r="H153" s="30"/>
      <c r="P153" s="70"/>
    </row>
    <row r="154" spans="1:16" s="2" customFormat="1" x14ac:dyDescent="0.2">
      <c r="A154" s="87">
        <v>45364</v>
      </c>
      <c r="B154" s="120" t="s">
        <v>6</v>
      </c>
      <c r="C154" s="75" t="s">
        <v>85</v>
      </c>
      <c r="D154" s="88">
        <v>701638</v>
      </c>
      <c r="G154" s="30"/>
      <c r="H154" s="30"/>
      <c r="P154" s="70"/>
    </row>
    <row r="155" spans="1:16" s="2" customFormat="1" x14ac:dyDescent="0.2">
      <c r="A155" s="87">
        <v>45364</v>
      </c>
      <c r="B155" s="120" t="s">
        <v>6</v>
      </c>
      <c r="C155" s="75" t="s">
        <v>86</v>
      </c>
      <c r="D155" s="88">
        <v>1887871</v>
      </c>
      <c r="G155" s="30"/>
      <c r="H155" s="30"/>
      <c r="P155" s="70"/>
    </row>
    <row r="156" spans="1:16" s="2" customFormat="1" x14ac:dyDescent="0.2">
      <c r="A156" s="87">
        <v>45366</v>
      </c>
      <c r="B156" s="120" t="s">
        <v>6</v>
      </c>
      <c r="C156" s="75" t="s">
        <v>201</v>
      </c>
      <c r="D156" s="88">
        <v>6161756</v>
      </c>
      <c r="G156" s="30"/>
      <c r="H156" s="30"/>
      <c r="P156" s="70"/>
    </row>
    <row r="157" spans="1:16" s="2" customFormat="1" x14ac:dyDescent="0.2">
      <c r="A157" s="87">
        <v>45366</v>
      </c>
      <c r="B157" s="120" t="s">
        <v>6</v>
      </c>
      <c r="C157" s="75" t="s">
        <v>1789</v>
      </c>
      <c r="D157" s="88">
        <v>7500000</v>
      </c>
      <c r="G157" s="30"/>
      <c r="H157" s="30"/>
      <c r="P157" s="70"/>
    </row>
    <row r="158" spans="1:16" s="2" customFormat="1" x14ac:dyDescent="0.2">
      <c r="A158" s="87">
        <v>45366</v>
      </c>
      <c r="B158" s="120" t="s">
        <v>6</v>
      </c>
      <c r="C158" s="75" t="s">
        <v>85</v>
      </c>
      <c r="D158" s="88">
        <v>306349</v>
      </c>
      <c r="G158" s="30"/>
      <c r="H158" s="30"/>
      <c r="P158" s="70"/>
    </row>
    <row r="159" spans="1:16" s="2" customFormat="1" x14ac:dyDescent="0.2">
      <c r="A159" s="87">
        <v>45366</v>
      </c>
      <c r="B159" s="120" t="s">
        <v>6</v>
      </c>
      <c r="C159" s="75" t="s">
        <v>85</v>
      </c>
      <c r="D159" s="88">
        <v>400000</v>
      </c>
      <c r="G159" s="30"/>
      <c r="H159" s="30"/>
      <c r="P159" s="70"/>
    </row>
    <row r="160" spans="1:16" s="2" customFormat="1" x14ac:dyDescent="0.2">
      <c r="A160" s="87">
        <v>45366</v>
      </c>
      <c r="B160" s="120" t="s">
        <v>6</v>
      </c>
      <c r="C160" s="75" t="s">
        <v>87</v>
      </c>
      <c r="D160" s="88">
        <v>4850915</v>
      </c>
      <c r="G160" s="30"/>
      <c r="H160" s="30"/>
      <c r="P160" s="70"/>
    </row>
    <row r="161" spans="1:16" s="2" customFormat="1" x14ac:dyDescent="0.2">
      <c r="A161" s="87">
        <v>45366</v>
      </c>
      <c r="B161" s="120" t="s">
        <v>6</v>
      </c>
      <c r="C161" s="75" t="s">
        <v>88</v>
      </c>
      <c r="D161" s="88">
        <v>5232207.0599999996</v>
      </c>
      <c r="G161" s="30"/>
      <c r="H161" s="30"/>
      <c r="P161" s="70"/>
    </row>
    <row r="162" spans="1:16" s="2" customFormat="1" x14ac:dyDescent="0.2">
      <c r="A162" s="87">
        <v>45366</v>
      </c>
      <c r="B162" s="120" t="s">
        <v>6</v>
      </c>
      <c r="C162" s="75" t="s">
        <v>201</v>
      </c>
      <c r="D162" s="88">
        <v>9960808.3800000008</v>
      </c>
      <c r="G162" s="30"/>
      <c r="H162" s="30"/>
      <c r="P162" s="70"/>
    </row>
    <row r="163" spans="1:16" s="2" customFormat="1" x14ac:dyDescent="0.2">
      <c r="A163" s="87">
        <v>45366</v>
      </c>
      <c r="B163" s="120" t="s">
        <v>6</v>
      </c>
      <c r="C163" s="75" t="s">
        <v>86</v>
      </c>
      <c r="D163" s="88">
        <v>7162826</v>
      </c>
      <c r="G163" s="30"/>
      <c r="H163" s="30"/>
      <c r="P163" s="70"/>
    </row>
    <row r="164" spans="1:16" s="2" customFormat="1" x14ac:dyDescent="0.2">
      <c r="A164" s="87">
        <v>45366</v>
      </c>
      <c r="B164" s="120" t="s">
        <v>6</v>
      </c>
      <c r="C164" s="75" t="s">
        <v>323</v>
      </c>
      <c r="D164" s="88">
        <v>1044131</v>
      </c>
      <c r="G164" s="30"/>
      <c r="H164" s="30"/>
      <c r="P164" s="70"/>
    </row>
    <row r="165" spans="1:16" s="2" customFormat="1" x14ac:dyDescent="0.2">
      <c r="A165" s="87">
        <v>45366</v>
      </c>
      <c r="B165" s="120" t="s">
        <v>6</v>
      </c>
      <c r="C165" s="75" t="s">
        <v>1789</v>
      </c>
      <c r="D165" s="88">
        <v>39309</v>
      </c>
      <c r="G165" s="30"/>
      <c r="H165" s="30"/>
      <c r="P165" s="70"/>
    </row>
    <row r="166" spans="1:16" s="2" customFormat="1" x14ac:dyDescent="0.2">
      <c r="A166" s="87">
        <v>45366</v>
      </c>
      <c r="B166" s="120" t="s">
        <v>6</v>
      </c>
      <c r="C166" s="75" t="s">
        <v>88</v>
      </c>
      <c r="D166" s="88">
        <v>30421</v>
      </c>
      <c r="G166" s="30"/>
      <c r="H166" s="30"/>
      <c r="P166" s="70"/>
    </row>
    <row r="167" spans="1:16" s="2" customFormat="1" x14ac:dyDescent="0.2">
      <c r="A167" s="87">
        <v>45366</v>
      </c>
      <c r="B167" s="120" t="s">
        <v>6</v>
      </c>
      <c r="C167" s="75" t="s">
        <v>270</v>
      </c>
      <c r="D167" s="88">
        <v>76786</v>
      </c>
      <c r="G167" s="30"/>
      <c r="H167" s="30"/>
      <c r="P167" s="70"/>
    </row>
    <row r="168" spans="1:16" s="2" customFormat="1" x14ac:dyDescent="0.2">
      <c r="A168" s="87">
        <v>45366</v>
      </c>
      <c r="B168" s="120" t="s">
        <v>6</v>
      </c>
      <c r="C168" s="75" t="s">
        <v>270</v>
      </c>
      <c r="D168" s="88">
        <v>30283.5</v>
      </c>
      <c r="G168" s="30"/>
      <c r="H168" s="30"/>
      <c r="P168" s="70"/>
    </row>
    <row r="169" spans="1:16" s="2" customFormat="1" x14ac:dyDescent="0.2">
      <c r="A169" s="87">
        <v>45367</v>
      </c>
      <c r="B169" s="120" t="s">
        <v>6</v>
      </c>
      <c r="C169" s="75" t="s">
        <v>594</v>
      </c>
      <c r="D169" s="88">
        <v>5010276</v>
      </c>
      <c r="G169" s="30"/>
      <c r="H169" s="30"/>
      <c r="P169" s="70"/>
    </row>
    <row r="170" spans="1:16" s="2" customFormat="1" x14ac:dyDescent="0.2">
      <c r="A170" s="87">
        <v>45369</v>
      </c>
      <c r="B170" s="120" t="s">
        <v>6</v>
      </c>
      <c r="C170" s="75" t="s">
        <v>86</v>
      </c>
      <c r="D170" s="88">
        <v>5267306</v>
      </c>
      <c r="G170" s="30"/>
      <c r="H170" s="30"/>
      <c r="P170" s="70"/>
    </row>
    <row r="171" spans="1:16" s="2" customFormat="1" x14ac:dyDescent="0.2">
      <c r="A171" s="87">
        <v>45370</v>
      </c>
      <c r="B171" s="120" t="s">
        <v>6</v>
      </c>
      <c r="C171" s="75" t="s">
        <v>1789</v>
      </c>
      <c r="D171" s="88">
        <v>74488</v>
      </c>
      <c r="G171" s="30"/>
      <c r="H171" s="30"/>
      <c r="P171" s="70"/>
    </row>
    <row r="172" spans="1:16" s="2" customFormat="1" x14ac:dyDescent="0.2">
      <c r="A172" s="87">
        <v>45371</v>
      </c>
      <c r="B172" s="120" t="s">
        <v>6</v>
      </c>
      <c r="C172" s="75" t="s">
        <v>1789</v>
      </c>
      <c r="D172" s="88">
        <v>7500000</v>
      </c>
      <c r="G172" s="30"/>
      <c r="H172" s="30"/>
      <c r="P172" s="70"/>
    </row>
    <row r="173" spans="1:16" s="2" customFormat="1" x14ac:dyDescent="0.2">
      <c r="A173" s="87"/>
      <c r="B173" s="74"/>
      <c r="C173" s="183" t="s">
        <v>2141</v>
      </c>
      <c r="D173" s="51">
        <f>SUM(D140:D172)</f>
        <v>78065742.939999998</v>
      </c>
      <c r="F173" s="2" t="s">
        <v>396</v>
      </c>
      <c r="G173" s="1"/>
      <c r="H173" s="1"/>
      <c r="P173" s="70"/>
    </row>
    <row r="174" spans="1:16" s="2" customFormat="1" x14ac:dyDescent="0.2">
      <c r="A174" s="24"/>
      <c r="B174" s="1"/>
      <c r="C174" s="14"/>
      <c r="D174" s="56"/>
      <c r="E174" s="13"/>
      <c r="G174" s="1"/>
      <c r="H174" s="1"/>
      <c r="I174" s="2" t="s">
        <v>396</v>
      </c>
    </row>
    <row r="175" spans="1:16" s="2" customFormat="1" x14ac:dyDescent="0.2">
      <c r="A175" s="24"/>
      <c r="B175" s="1"/>
      <c r="C175" s="218" t="s">
        <v>77</v>
      </c>
      <c r="D175" s="219"/>
      <c r="E175" s="219"/>
      <c r="F175" s="220"/>
      <c r="I175" s="2" t="s">
        <v>396</v>
      </c>
    </row>
    <row r="176" spans="1:16" s="2" customFormat="1" x14ac:dyDescent="0.2">
      <c r="A176" s="24"/>
      <c r="B176" s="1"/>
      <c r="C176" s="50"/>
      <c r="D176" s="57" t="s">
        <v>78</v>
      </c>
      <c r="E176" s="58" t="s">
        <v>79</v>
      </c>
      <c r="F176" s="57" t="s">
        <v>72</v>
      </c>
    </row>
    <row r="177" spans="1:14" s="2" customFormat="1" x14ac:dyDescent="0.2">
      <c r="A177" s="24"/>
      <c r="B177" s="1"/>
      <c r="C177" s="59" t="str">
        <f>"01-03-2024 to "&amp;TEXT(A5-2,"dd-mm-yyyy")</f>
        <v>01-03-2024 to 18-03-2024</v>
      </c>
      <c r="D177" s="60">
        <v>2622.01</v>
      </c>
      <c r="E177" s="60">
        <v>447.33</v>
      </c>
      <c r="F177" s="61">
        <f>SUM(D177:E177)</f>
        <v>3069.34</v>
      </c>
      <c r="I177" s="53"/>
    </row>
    <row r="178" spans="1:14" s="2" customFormat="1" x14ac:dyDescent="0.2">
      <c r="A178" s="24"/>
      <c r="B178" s="1"/>
      <c r="C178" s="62" t="str">
        <f>TEXT(A5-1,"dd-mm-yyyy")</f>
        <v>19-03-2024</v>
      </c>
      <c r="D178" s="60">
        <v>435.47</v>
      </c>
      <c r="E178" s="60">
        <v>29.33</v>
      </c>
      <c r="F178" s="61">
        <f>SUM(D178:E178)</f>
        <v>464.8</v>
      </c>
      <c r="G178" s="1"/>
      <c r="H178" s="1"/>
      <c r="I178" s="53"/>
    </row>
    <row r="179" spans="1:14" s="2" customFormat="1" ht="13.5" thickBot="1" x14ac:dyDescent="0.25">
      <c r="A179" s="24"/>
      <c r="B179" s="1"/>
      <c r="C179" s="63" t="str">
        <f>"01-03-2024 to "&amp;TEXT(A5-1,"dd-mm-yyyy")</f>
        <v>01-03-2024 to 19-03-2024</v>
      </c>
      <c r="D179" s="64">
        <f>SUM(D177:D178)</f>
        <v>3057.4800000000005</v>
      </c>
      <c r="E179" s="64">
        <f>SUM(E177:E178)</f>
        <v>476.65999999999997</v>
      </c>
      <c r="F179" s="64">
        <f>SUM(F177:F178)</f>
        <v>3534.1400000000003</v>
      </c>
      <c r="G179" s="1"/>
      <c r="H179" s="1"/>
      <c r="M179" s="1"/>
      <c r="N179" s="1"/>
    </row>
    <row r="180" spans="1:14" s="2" customFormat="1" ht="13.5" thickTop="1" x14ac:dyDescent="0.2">
      <c r="A180" s="24"/>
      <c r="B180" s="1"/>
      <c r="C180" s="62"/>
      <c r="D180" s="65"/>
      <c r="E180" s="66"/>
      <c r="F180" s="67"/>
      <c r="M180" s="1"/>
      <c r="N180" s="1"/>
    </row>
    <row r="181" spans="1:14" s="2" customFormat="1" x14ac:dyDescent="0.2">
      <c r="A181" s="24"/>
      <c r="B181" s="1"/>
      <c r="C181" s="62" t="str">
        <f>"01-04-2023 to " &amp;C178</f>
        <v>01-04-2023 to 19-03-2024</v>
      </c>
      <c r="D181" s="68">
        <f>+D179+41133.42</f>
        <v>44190.9</v>
      </c>
      <c r="E181" s="68">
        <f>+E179+5183.37</f>
        <v>5660.03</v>
      </c>
      <c r="F181" s="68">
        <f>+F179+46316.49</f>
        <v>49850.63</v>
      </c>
      <c r="G181" s="1"/>
      <c r="H181" s="1"/>
      <c r="M181" s="1"/>
      <c r="N181" s="1"/>
    </row>
    <row r="182" spans="1:14" s="2" customFormat="1" x14ac:dyDescent="0.2">
      <c r="A182" s="24"/>
      <c r="B182" s="1"/>
      <c r="C182" s="52"/>
      <c r="D182" s="85"/>
      <c r="E182" s="53"/>
      <c r="F182" s="53"/>
      <c r="G182" s="1"/>
      <c r="H182" s="1"/>
      <c r="M182" s="1"/>
      <c r="N182" s="1"/>
    </row>
    <row r="183" spans="1:14" s="2" customFormat="1" x14ac:dyDescent="0.2">
      <c r="A183" s="24"/>
      <c r="B183" s="1"/>
      <c r="C183" s="52"/>
      <c r="D183" s="85"/>
      <c r="E183" s="53"/>
      <c r="F183" s="53"/>
      <c r="G183" s="1"/>
      <c r="H183" s="1"/>
      <c r="M183" s="1"/>
      <c r="N183" s="1"/>
    </row>
    <row r="184" spans="1:14" s="2" customFormat="1" x14ac:dyDescent="0.2">
      <c r="A184" s="24"/>
      <c r="B184" s="1"/>
      <c r="C184" s="52"/>
      <c r="D184" s="85"/>
      <c r="E184" s="53"/>
      <c r="F184" s="53"/>
      <c r="G184" s="1"/>
      <c r="H184" s="1"/>
      <c r="M184" s="1"/>
      <c r="N184" s="1"/>
    </row>
    <row r="185" spans="1:14" s="2" customFormat="1" x14ac:dyDescent="0.2">
      <c r="A185" s="24"/>
      <c r="B185" s="1"/>
      <c r="C185" s="52"/>
      <c r="D185" s="85"/>
      <c r="E185" s="53"/>
      <c r="F185" s="53"/>
      <c r="G185" s="1"/>
      <c r="H185" s="1"/>
      <c r="M185" s="1"/>
      <c r="N185" s="1"/>
    </row>
    <row r="186" spans="1:14" s="2" customFormat="1" x14ac:dyDescent="0.2">
      <c r="A186" s="24"/>
      <c r="B186" s="1"/>
      <c r="C186" s="14"/>
      <c r="D186" s="25">
        <f>SUM(D183:D185)</f>
        <v>0</v>
      </c>
      <c r="E186" s="2">
        <f>SUM(E183:E185)</f>
        <v>0</v>
      </c>
      <c r="G186" s="1"/>
      <c r="H186" s="1"/>
      <c r="M186" s="1"/>
      <c r="N186" s="1"/>
    </row>
    <row r="187" spans="1:14" s="2" customFormat="1" x14ac:dyDescent="0.2">
      <c r="A187" s="24"/>
      <c r="B187" s="1"/>
      <c r="C187" s="14"/>
      <c r="D187" s="25"/>
      <c r="G187" s="1"/>
      <c r="H187" s="1"/>
      <c r="M187" s="1"/>
      <c r="N187" s="1"/>
    </row>
    <row r="188" spans="1:14" s="2" customFormat="1" x14ac:dyDescent="0.2">
      <c r="A188" s="24"/>
      <c r="B188" s="1"/>
      <c r="C188" s="14"/>
      <c r="D188" s="25"/>
      <c r="G188" s="1"/>
      <c r="H188" s="1"/>
      <c r="M188" s="1"/>
      <c r="N188" s="1"/>
    </row>
    <row r="189" spans="1:14" s="2" customFormat="1" x14ac:dyDescent="0.2">
      <c r="A189" s="24"/>
      <c r="B189" s="1"/>
      <c r="C189" s="14"/>
      <c r="D189" s="25"/>
      <c r="G189" s="1"/>
      <c r="H189" s="1"/>
      <c r="M189" s="1"/>
      <c r="N189" s="1"/>
    </row>
    <row r="190" spans="1:14" s="2" customFormat="1" x14ac:dyDescent="0.2">
      <c r="A190" s="24"/>
      <c r="B190" s="1"/>
      <c r="C190" s="14"/>
      <c r="D190" s="25"/>
      <c r="G190" s="1"/>
      <c r="H190" s="1"/>
      <c r="M190" s="1"/>
      <c r="N190" s="1"/>
    </row>
    <row r="191" spans="1:14" s="2" customFormat="1" x14ac:dyDescent="0.2">
      <c r="A191" s="24"/>
      <c r="B191" s="1"/>
      <c r="C191" s="14"/>
      <c r="D191" s="25"/>
      <c r="G191" s="1"/>
      <c r="H191" s="1"/>
      <c r="M191" s="1"/>
      <c r="N191" s="1"/>
    </row>
    <row r="192" spans="1:14" s="2" customFormat="1" x14ac:dyDescent="0.2">
      <c r="A192" s="24"/>
      <c r="B192" s="1"/>
      <c r="C192" s="14"/>
      <c r="D192" s="25"/>
      <c r="G192" s="1"/>
      <c r="H192" s="1"/>
      <c r="M192" s="1"/>
      <c r="N192" s="1"/>
    </row>
    <row r="193" spans="1:19" s="2" customFormat="1" x14ac:dyDescent="0.2">
      <c r="A193" s="24"/>
      <c r="B193" s="1"/>
      <c r="C193" s="14"/>
      <c r="D193" s="25"/>
      <c r="G193" s="1"/>
      <c r="H193" s="1"/>
      <c r="M193" s="1"/>
      <c r="N193" s="1"/>
      <c r="Q193" s="1"/>
      <c r="R193" s="1"/>
      <c r="S193" s="1"/>
    </row>
    <row r="194" spans="1:19" x14ac:dyDescent="0.2">
      <c r="J194" s="2"/>
      <c r="K194" s="2"/>
      <c r="L194" s="2"/>
      <c r="O194" s="2"/>
      <c r="P194" s="2"/>
      <c r="Q194" s="2"/>
      <c r="R194" s="2"/>
      <c r="S194" s="2"/>
    </row>
    <row r="195" spans="1:19" s="2" customFormat="1" x14ac:dyDescent="0.2">
      <c r="A195" s="24"/>
      <c r="B195" s="1"/>
      <c r="C195" s="14"/>
      <c r="D195" s="25"/>
      <c r="G195" s="1"/>
      <c r="H195" s="1"/>
      <c r="M195" s="1"/>
      <c r="N195" s="1"/>
      <c r="Q195" s="1"/>
      <c r="R195" s="1"/>
      <c r="S195" s="1"/>
    </row>
    <row r="196" spans="1:19" x14ac:dyDescent="0.2">
      <c r="J196" s="2"/>
      <c r="K196" s="2"/>
      <c r="L196" s="2"/>
      <c r="O196" s="2"/>
      <c r="P196" s="2"/>
    </row>
    <row r="197" spans="1:19" x14ac:dyDescent="0.2">
      <c r="J197" s="2"/>
      <c r="K197" s="2"/>
      <c r="L197" s="2"/>
      <c r="O197" s="2"/>
      <c r="P197" s="2"/>
    </row>
    <row r="198" spans="1:19" x14ac:dyDescent="0.2">
      <c r="J198" s="2"/>
      <c r="K198" s="2"/>
      <c r="L198" s="2"/>
      <c r="O198" s="2"/>
      <c r="P198" s="2"/>
    </row>
    <row r="199" spans="1:19" x14ac:dyDescent="0.2">
      <c r="J199" s="2"/>
      <c r="K199" s="2"/>
      <c r="L199" s="2"/>
      <c r="O199" s="2"/>
      <c r="P199" s="2"/>
    </row>
    <row r="200" spans="1:19" x14ac:dyDescent="0.2">
      <c r="O200" s="2"/>
      <c r="P200" s="2"/>
    </row>
    <row r="201" spans="1:19" x14ac:dyDescent="0.2">
      <c r="J201" s="2"/>
      <c r="K201" s="2"/>
      <c r="L201" s="2"/>
      <c r="M201" s="2"/>
      <c r="N201" s="2"/>
      <c r="O201" s="2"/>
      <c r="P201" s="2"/>
    </row>
    <row r="202" spans="1:19" x14ac:dyDescent="0.2">
      <c r="O202" s="2"/>
      <c r="P202" s="2"/>
    </row>
    <row r="203" spans="1:19" x14ac:dyDescent="0.2">
      <c r="G203" s="54"/>
      <c r="H203" s="54"/>
      <c r="O203" s="2"/>
      <c r="P203" s="2"/>
    </row>
    <row r="204" spans="1:19" x14ac:dyDescent="0.2">
      <c r="G204" s="54"/>
      <c r="H204" s="54"/>
      <c r="O204" s="2"/>
      <c r="P204" s="2"/>
    </row>
    <row r="205" spans="1:19" x14ac:dyDescent="0.2">
      <c r="G205" s="54"/>
      <c r="H205" s="54"/>
      <c r="O205" s="2"/>
      <c r="P205" s="2"/>
    </row>
    <row r="206" spans="1:19" x14ac:dyDescent="0.2">
      <c r="G206" s="54"/>
      <c r="H206" s="54"/>
      <c r="I206" s="2" t="s">
        <v>396</v>
      </c>
      <c r="O206" s="2"/>
      <c r="P206" s="2"/>
    </row>
    <row r="207" spans="1:19" x14ac:dyDescent="0.2">
      <c r="G207" s="54"/>
      <c r="H207" s="54"/>
      <c r="I207" s="53"/>
      <c r="J207" s="2"/>
      <c r="K207" s="2"/>
      <c r="L207" s="2"/>
      <c r="M207" s="2"/>
      <c r="N207" s="2"/>
      <c r="P207" s="2"/>
    </row>
    <row r="208" spans="1:19" x14ac:dyDescent="0.2">
      <c r="G208" s="54"/>
      <c r="H208" s="54"/>
      <c r="I208" s="53" t="s">
        <v>396</v>
      </c>
      <c r="O208" s="2"/>
      <c r="P208" s="2"/>
    </row>
    <row r="209" spans="7:16" x14ac:dyDescent="0.2">
      <c r="G209" s="54"/>
      <c r="H209" s="54"/>
      <c r="I209" s="53" t="s">
        <v>396</v>
      </c>
      <c r="K209" s="42"/>
      <c r="P209" s="2"/>
    </row>
    <row r="210" spans="7:16" x14ac:dyDescent="0.2">
      <c r="G210" s="54"/>
      <c r="H210" s="54"/>
      <c r="I210" s="53"/>
      <c r="J210" s="101"/>
      <c r="P210" s="2"/>
    </row>
    <row r="211" spans="7:16" x14ac:dyDescent="0.2">
      <c r="G211" s="54"/>
      <c r="H211" s="54"/>
      <c r="I211" s="53"/>
    </row>
    <row r="212" spans="7:16" x14ac:dyDescent="0.2">
      <c r="G212" s="54"/>
      <c r="H212" s="54"/>
      <c r="I212" s="53"/>
      <c r="P212" s="2"/>
    </row>
    <row r="213" spans="7:16" x14ac:dyDescent="0.2">
      <c r="G213" s="54"/>
      <c r="H213" s="54"/>
      <c r="I213" s="53"/>
    </row>
  </sheetData>
  <sheetProtection insertRows="0"/>
  <mergeCells count="8">
    <mergeCell ref="K131:L131"/>
    <mergeCell ref="A138:D138"/>
    <mergeCell ref="C175:F175"/>
    <mergeCell ref="A1:H1"/>
    <mergeCell ref="A3:F3"/>
    <mergeCell ref="A10:F10"/>
    <mergeCell ref="A17:F17"/>
    <mergeCell ref="A44:F44"/>
  </mergeCells>
  <conditionalFormatting sqref="H135:H136">
    <cfRule type="cellIs" dxfId="17" priority="1" operator="lessThan">
      <formula>0</formula>
    </cfRule>
  </conditionalFormatting>
  <conditionalFormatting sqref="C46">
    <cfRule type="duplicateValues" dxfId="16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1-000000000000}">
  <sheetPr codeName="Sheet578">
    <pageSetUpPr fitToPage="1"/>
  </sheetPr>
  <dimension ref="A1:S193"/>
  <sheetViews>
    <sheetView topLeftCell="A85" zoomScaleNormal="100" workbookViewId="0">
      <selection activeCell="G94" sqref="G94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140625" style="2" bestFit="1" customWidth="1"/>
    <col min="7" max="7" width="12.85546875" style="1" bestFit="1" customWidth="1"/>
    <col min="8" max="8" width="12.85546875" style="1" customWidth="1"/>
    <col min="9" max="9" width="24.85546875" style="2" bestFit="1" customWidth="1"/>
    <col min="10" max="10" width="21.5703125" style="1" bestFit="1" customWidth="1"/>
    <col min="11" max="11" width="16.85546875" style="1" bestFit="1" customWidth="1"/>
    <col min="12" max="12" width="19.5703125" style="1" bestFit="1" customWidth="1"/>
    <col min="13" max="13" width="13.5703125" style="1" bestFit="1" customWidth="1"/>
    <col min="14" max="14" width="17.42578125" style="1" bestFit="1" customWidth="1"/>
    <col min="15" max="15" width="14.5703125" style="1" bestFit="1" customWidth="1"/>
    <col min="16" max="16" width="13.5703125" style="1" bestFit="1" customWidth="1"/>
    <col min="17" max="17" width="9.140625" style="1"/>
    <col min="18" max="18" width="15.5703125" style="1" bestFit="1" customWidth="1"/>
    <col min="19" max="16384" width="9.140625" style="1"/>
  </cols>
  <sheetData>
    <row r="1" spans="1:11" ht="20.25" customHeight="1" x14ac:dyDescent="0.4">
      <c r="A1" s="212" t="s">
        <v>2255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1" ht="12.75" customHeight="1" x14ac:dyDescent="0.4">
      <c r="I2" s="112"/>
      <c r="J2" s="112"/>
    </row>
    <row r="3" spans="1:11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1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1" s="2" customFormat="1" ht="14.25" customHeight="1" x14ac:dyDescent="0.4">
      <c r="A5" s="89">
        <v>45372</v>
      </c>
      <c r="B5" s="9" t="s">
        <v>6</v>
      </c>
      <c r="C5" s="10" t="s">
        <v>7</v>
      </c>
      <c r="D5" s="11"/>
      <c r="E5" s="12">
        <v>98894.84</v>
      </c>
      <c r="F5" s="12"/>
      <c r="G5" s="1"/>
      <c r="H5" s="1"/>
      <c r="I5" s="112"/>
      <c r="J5" s="112"/>
    </row>
    <row r="6" spans="1:11" s="2" customFormat="1" ht="12.75" customHeight="1" x14ac:dyDescent="0.2">
      <c r="D6" s="15" t="s">
        <v>8</v>
      </c>
      <c r="E6" s="16">
        <f>SUM(E5:E5)</f>
        <v>98894.84</v>
      </c>
      <c r="F6" s="16">
        <f>+F5</f>
        <v>0</v>
      </c>
      <c r="G6" s="1"/>
      <c r="H6" s="1"/>
      <c r="I6" s="13" t="s">
        <v>1582</v>
      </c>
      <c r="J6" s="13" t="s">
        <v>1583</v>
      </c>
    </row>
    <row r="7" spans="1:11" s="2" customFormat="1" ht="12.75" customHeight="1" x14ac:dyDescent="0.2">
      <c r="A7" s="17"/>
      <c r="B7" s="18"/>
      <c r="C7" s="19" t="s">
        <v>9</v>
      </c>
      <c r="D7" s="20"/>
      <c r="E7" s="21">
        <f>+E6-F6</f>
        <v>98894.84</v>
      </c>
      <c r="F7" s="22"/>
      <c r="G7" s="23"/>
      <c r="H7" s="23"/>
      <c r="I7" s="2">
        <v>0</v>
      </c>
      <c r="J7" s="2">
        <v>2209373.2999999998</v>
      </c>
      <c r="K7" s="176">
        <f>I7-J7</f>
        <v>-2209373.2999999998</v>
      </c>
    </row>
    <row r="8" spans="1:11" ht="11.25" customHeight="1" x14ac:dyDescent="0.4">
      <c r="I8" s="112"/>
      <c r="J8" s="112"/>
    </row>
    <row r="9" spans="1:11" ht="18" customHeight="1" x14ac:dyDescent="0.4">
      <c r="A9" s="213" t="s">
        <v>2103</v>
      </c>
      <c r="B9" s="213"/>
      <c r="C9" s="213"/>
      <c r="D9" s="213"/>
      <c r="E9" s="213"/>
      <c r="F9" s="213"/>
      <c r="I9" s="112"/>
      <c r="J9" s="112"/>
    </row>
    <row r="10" spans="1:11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I10" s="112"/>
      <c r="J10" s="112"/>
    </row>
    <row r="11" spans="1:11" ht="12.75" customHeight="1" x14ac:dyDescent="0.4">
      <c r="A11" s="89">
        <v>45372</v>
      </c>
      <c r="B11" s="9" t="s">
        <v>6</v>
      </c>
      <c r="C11" s="10" t="s">
        <v>7</v>
      </c>
      <c r="D11" s="11"/>
      <c r="E11" s="12">
        <v>2448780.91</v>
      </c>
      <c r="F11" s="1"/>
      <c r="I11" s="112"/>
      <c r="J11" s="112"/>
    </row>
    <row r="12" spans="1:11" ht="12.75" customHeight="1" x14ac:dyDescent="0.4">
      <c r="A12" s="89">
        <v>45372</v>
      </c>
      <c r="B12" s="9" t="s">
        <v>11</v>
      </c>
      <c r="C12" s="10" t="s">
        <v>243</v>
      </c>
      <c r="D12" s="11" t="s">
        <v>29</v>
      </c>
      <c r="E12" s="12"/>
      <c r="F12" s="86">
        <v>2356.46</v>
      </c>
      <c r="I12" s="112"/>
      <c r="J12" s="112"/>
    </row>
    <row r="13" spans="1:11" ht="12.75" customHeight="1" x14ac:dyDescent="0.4">
      <c r="A13" s="89">
        <v>45372</v>
      </c>
      <c r="B13" s="9" t="s">
        <v>11</v>
      </c>
      <c r="C13" s="10" t="s">
        <v>62</v>
      </c>
      <c r="D13" s="11" t="s">
        <v>29</v>
      </c>
      <c r="E13" s="12"/>
      <c r="F13" s="86">
        <v>124000</v>
      </c>
      <c r="I13" s="112"/>
      <c r="J13" s="112"/>
    </row>
    <row r="14" spans="1:11" ht="12.75" customHeight="1" x14ac:dyDescent="0.4">
      <c r="A14" s="89">
        <v>45372</v>
      </c>
      <c r="B14" s="9" t="s">
        <v>11</v>
      </c>
      <c r="C14" s="10" t="s">
        <v>1912</v>
      </c>
      <c r="D14" s="11" t="s">
        <v>29</v>
      </c>
      <c r="E14" s="12"/>
      <c r="F14" s="86">
        <v>58054</v>
      </c>
      <c r="I14" s="112"/>
      <c r="J14" s="112"/>
    </row>
    <row r="15" spans="1:11" ht="12.75" customHeight="1" x14ac:dyDescent="0.4">
      <c r="A15" s="89">
        <v>45372</v>
      </c>
      <c r="B15" s="9" t="s">
        <v>11</v>
      </c>
      <c r="C15" s="10" t="s">
        <v>1580</v>
      </c>
      <c r="D15" s="11" t="s">
        <v>29</v>
      </c>
      <c r="E15" s="12"/>
      <c r="F15" s="86">
        <v>76473</v>
      </c>
      <c r="I15" s="112"/>
      <c r="J15" s="112"/>
    </row>
    <row r="16" spans="1:11" ht="12.75" customHeight="1" x14ac:dyDescent="0.4">
      <c r="A16" s="89">
        <v>45372</v>
      </c>
      <c r="B16" s="9" t="s">
        <v>11</v>
      </c>
      <c r="C16" s="10" t="s">
        <v>131</v>
      </c>
      <c r="D16" s="11" t="s">
        <v>29</v>
      </c>
      <c r="E16" s="12"/>
      <c r="F16" s="86">
        <v>24391</v>
      </c>
      <c r="I16" s="112"/>
      <c r="J16" s="112"/>
    </row>
    <row r="17" spans="1:12" ht="12.75" customHeight="1" x14ac:dyDescent="0.4">
      <c r="A17" s="89">
        <v>45372</v>
      </c>
      <c r="B17" s="9" t="s">
        <v>11</v>
      </c>
      <c r="C17" s="10" t="s">
        <v>98</v>
      </c>
      <c r="D17" s="11" t="s">
        <v>29</v>
      </c>
      <c r="E17" s="12"/>
      <c r="F17" s="86">
        <v>44865</v>
      </c>
      <c r="I17" s="112"/>
      <c r="J17" s="112"/>
    </row>
    <row r="18" spans="1:12" ht="12.75" customHeight="1" x14ac:dyDescent="0.4">
      <c r="A18" s="89">
        <v>45372</v>
      </c>
      <c r="B18" s="9" t="s">
        <v>11</v>
      </c>
      <c r="C18" s="10" t="s">
        <v>1227</v>
      </c>
      <c r="D18" s="11" t="s">
        <v>29</v>
      </c>
      <c r="E18" s="12"/>
      <c r="F18" s="86">
        <v>250000</v>
      </c>
      <c r="I18" s="112"/>
      <c r="J18" s="112"/>
    </row>
    <row r="19" spans="1:12" ht="12.75" customHeight="1" x14ac:dyDescent="0.4">
      <c r="A19" s="89">
        <v>45372</v>
      </c>
      <c r="B19" s="9" t="s">
        <v>11</v>
      </c>
      <c r="C19" s="10" t="s">
        <v>600</v>
      </c>
      <c r="D19" s="11" t="s">
        <v>29</v>
      </c>
      <c r="E19" s="12"/>
      <c r="F19" s="86">
        <v>350000</v>
      </c>
      <c r="I19" s="112"/>
      <c r="J19" s="112"/>
    </row>
    <row r="20" spans="1:12" ht="12.75" customHeight="1" x14ac:dyDescent="0.4">
      <c r="A20" s="89">
        <v>45372</v>
      </c>
      <c r="B20" s="9" t="s">
        <v>11</v>
      </c>
      <c r="C20" s="10" t="s">
        <v>96</v>
      </c>
      <c r="D20" s="11" t="s">
        <v>29</v>
      </c>
      <c r="E20" s="12"/>
      <c r="F20" s="86">
        <v>7356</v>
      </c>
      <c r="I20" s="112"/>
      <c r="J20" s="112"/>
    </row>
    <row r="21" spans="1:12" ht="12.75" customHeight="1" x14ac:dyDescent="0.4">
      <c r="A21" s="89">
        <v>45372</v>
      </c>
      <c r="B21" s="9" t="s">
        <v>11</v>
      </c>
      <c r="C21" s="10" t="s">
        <v>52</v>
      </c>
      <c r="D21" s="11" t="s">
        <v>29</v>
      </c>
      <c r="E21" s="12"/>
      <c r="F21" s="86">
        <v>21800</v>
      </c>
      <c r="I21" s="112"/>
      <c r="J21" s="112"/>
    </row>
    <row r="22" spans="1:12" ht="12.75" customHeight="1" x14ac:dyDescent="0.4">
      <c r="A22" s="89">
        <v>45372</v>
      </c>
      <c r="B22" s="9" t="s">
        <v>11</v>
      </c>
      <c r="C22" s="10" t="s">
        <v>34</v>
      </c>
      <c r="D22" s="11" t="s">
        <v>29</v>
      </c>
      <c r="E22" s="12"/>
      <c r="F22" s="86">
        <v>30000</v>
      </c>
      <c r="I22" s="112"/>
      <c r="J22" s="112"/>
    </row>
    <row r="23" spans="1:12" ht="12.75" customHeight="1" x14ac:dyDescent="0.4">
      <c r="A23" s="89">
        <v>45372</v>
      </c>
      <c r="B23" s="9" t="s">
        <v>11</v>
      </c>
      <c r="C23" s="10" t="s">
        <v>494</v>
      </c>
      <c r="D23" s="11" t="s">
        <v>29</v>
      </c>
      <c r="E23" s="12"/>
      <c r="F23" s="86">
        <v>23725.84</v>
      </c>
      <c r="I23" s="112"/>
      <c r="J23" s="112"/>
    </row>
    <row r="24" spans="1:12" ht="12.75" customHeight="1" x14ac:dyDescent="0.4">
      <c r="A24" s="89">
        <v>45372</v>
      </c>
      <c r="B24" s="9" t="s">
        <v>11</v>
      </c>
      <c r="C24" s="10" t="s">
        <v>58</v>
      </c>
      <c r="D24" s="11" t="s">
        <v>29</v>
      </c>
      <c r="E24" s="12"/>
      <c r="F24" s="86">
        <v>437612</v>
      </c>
      <c r="I24" s="112"/>
      <c r="J24" s="112"/>
    </row>
    <row r="25" spans="1:12" ht="12.75" customHeight="1" x14ac:dyDescent="0.4">
      <c r="A25" s="89">
        <v>45372</v>
      </c>
      <c r="B25" s="9" t="s">
        <v>11</v>
      </c>
      <c r="C25" s="10" t="s">
        <v>416</v>
      </c>
      <c r="D25" s="11" t="s">
        <v>29</v>
      </c>
      <c r="E25" s="12"/>
      <c r="F25" s="86">
        <v>758740</v>
      </c>
      <c r="I25" s="112"/>
      <c r="J25" s="112"/>
    </row>
    <row r="26" spans="1:12" ht="12.75" customHeight="1" x14ac:dyDescent="0.4">
      <c r="A26" s="89">
        <v>45372</v>
      </c>
      <c r="B26" s="9" t="s">
        <v>11</v>
      </c>
      <c r="C26" s="10" t="s">
        <v>1091</v>
      </c>
      <c r="D26" s="11" t="s">
        <v>29</v>
      </c>
      <c r="E26" s="12"/>
      <c r="F26" s="86">
        <v>118</v>
      </c>
      <c r="I26" s="112"/>
      <c r="J26" s="112"/>
    </row>
    <row r="27" spans="1:12" ht="12.75" customHeight="1" x14ac:dyDescent="0.2">
      <c r="A27" s="2"/>
      <c r="B27" s="2"/>
      <c r="C27" s="2"/>
      <c r="D27" s="11" t="s">
        <v>8</v>
      </c>
      <c r="E27" s="16">
        <f>SUM(E11:E26)</f>
        <v>2448780.91</v>
      </c>
      <c r="F27" s="16">
        <f>SUM(F12:F26)</f>
        <v>2209491.2999999998</v>
      </c>
      <c r="I27" s="13" t="s">
        <v>1582</v>
      </c>
      <c r="J27" s="13" t="s">
        <v>1583</v>
      </c>
    </row>
    <row r="28" spans="1:12" x14ac:dyDescent="0.2">
      <c r="A28" s="17"/>
      <c r="B28" s="18"/>
      <c r="C28" s="19" t="s">
        <v>9</v>
      </c>
      <c r="D28" s="20"/>
      <c r="E28" s="21">
        <f>+E27-F27</f>
        <v>239289.61000000034</v>
      </c>
      <c r="I28" s="2">
        <v>6568</v>
      </c>
      <c r="J28" s="2">
        <v>6241303.3600000003</v>
      </c>
    </row>
    <row r="29" spans="1:12" ht="18" customHeight="1" x14ac:dyDescent="0.25">
      <c r="A29" s="36"/>
      <c r="B29" s="28"/>
      <c r="C29" s="44"/>
      <c r="D29" s="43"/>
      <c r="E29" s="38"/>
      <c r="F29" s="22"/>
      <c r="J29" s="2"/>
    </row>
    <row r="30" spans="1:12" ht="18" customHeight="1" x14ac:dyDescent="0.4">
      <c r="A30" s="213" t="s">
        <v>2104</v>
      </c>
      <c r="B30" s="213"/>
      <c r="C30" s="213"/>
      <c r="D30" s="213"/>
      <c r="E30" s="213"/>
      <c r="F30" s="213"/>
      <c r="I30" s="112"/>
      <c r="J30" s="169">
        <f>90000000-60000000</f>
        <v>30000000</v>
      </c>
      <c r="K30" s="169" t="s">
        <v>1508</v>
      </c>
    </row>
    <row r="31" spans="1:12" ht="12.75" customHeight="1" x14ac:dyDescent="0.4">
      <c r="A31" s="3" t="s">
        <v>1</v>
      </c>
      <c r="B31" s="4" t="s">
        <v>2</v>
      </c>
      <c r="C31" s="5"/>
      <c r="D31" s="6" t="s">
        <v>3</v>
      </c>
      <c r="E31" s="7" t="s">
        <v>4</v>
      </c>
      <c r="F31" s="7" t="s">
        <v>5</v>
      </c>
      <c r="I31" s="112"/>
      <c r="J31" s="169">
        <v>22936423.84</v>
      </c>
      <c r="K31" s="169" t="s">
        <v>1509</v>
      </c>
      <c r="L31" s="124"/>
    </row>
    <row r="32" spans="1:12" s="2" customFormat="1" ht="14.25" customHeight="1" x14ac:dyDescent="0.2">
      <c r="A32" s="89">
        <v>45372</v>
      </c>
      <c r="B32" s="9" t="s">
        <v>6</v>
      </c>
      <c r="C32" s="10" t="s">
        <v>7</v>
      </c>
      <c r="D32" s="11"/>
      <c r="F32" s="12">
        <v>26536493.629999995</v>
      </c>
      <c r="G32" s="1"/>
      <c r="H32" s="1"/>
      <c r="I32" s="130" t="s">
        <v>396</v>
      </c>
      <c r="J32" s="169">
        <f>+J30-J31</f>
        <v>7063576.1600000001</v>
      </c>
      <c r="K32" s="169" t="s">
        <v>712</v>
      </c>
      <c r="L32" s="165" t="s">
        <v>1512</v>
      </c>
    </row>
    <row r="33" spans="1:12" s="2" customFormat="1" ht="14.25" customHeight="1" x14ac:dyDescent="0.2">
      <c r="A33" s="89">
        <v>45372</v>
      </c>
      <c r="B33" s="9" t="s">
        <v>6</v>
      </c>
      <c r="C33" s="10" t="s">
        <v>468</v>
      </c>
      <c r="D33" s="11" t="s">
        <v>13</v>
      </c>
      <c r="E33" s="2">
        <v>6568</v>
      </c>
      <c r="F33" s="12"/>
      <c r="G33" s="1"/>
      <c r="H33" s="1"/>
      <c r="I33" s="130"/>
      <c r="J33" s="169"/>
      <c r="K33" s="169"/>
      <c r="L33" s="165"/>
    </row>
    <row r="34" spans="1:12" s="2" customFormat="1" ht="14.25" customHeight="1" x14ac:dyDescent="0.2">
      <c r="A34" s="89">
        <v>45372</v>
      </c>
      <c r="B34" s="9" t="s">
        <v>6</v>
      </c>
      <c r="C34" s="10" t="s">
        <v>2260</v>
      </c>
      <c r="D34" s="11" t="s">
        <v>13</v>
      </c>
      <c r="E34" s="2">
        <v>3610180.22</v>
      </c>
      <c r="F34" s="12"/>
      <c r="G34" s="1"/>
      <c r="H34" s="1"/>
      <c r="I34" s="130"/>
      <c r="J34" s="169"/>
      <c r="K34" s="169"/>
      <c r="L34" s="165"/>
    </row>
    <row r="35" spans="1:12" s="2" customFormat="1" ht="14.25" customHeight="1" x14ac:dyDescent="0.2">
      <c r="A35" s="89">
        <v>45372</v>
      </c>
      <c r="B35" s="9" t="s">
        <v>11</v>
      </c>
      <c r="C35" s="10" t="s">
        <v>156</v>
      </c>
      <c r="D35" s="11" t="s">
        <v>29</v>
      </c>
      <c r="F35" s="12">
        <v>2322.4300000000003</v>
      </c>
      <c r="G35" s="1"/>
      <c r="H35" s="1"/>
      <c r="I35" s="130"/>
      <c r="J35" s="169"/>
      <c r="K35" s="169"/>
      <c r="L35" s="165"/>
    </row>
    <row r="36" spans="1:12" s="2" customFormat="1" ht="14.25" customHeight="1" x14ac:dyDescent="0.2">
      <c r="A36" s="89">
        <v>45372</v>
      </c>
      <c r="B36" s="9" t="s">
        <v>11</v>
      </c>
      <c r="C36" s="10" t="s">
        <v>1091</v>
      </c>
      <c r="D36" s="11" t="s">
        <v>29</v>
      </c>
      <c r="F36" s="12">
        <v>7788</v>
      </c>
      <c r="G36" s="1"/>
      <c r="H36" s="1"/>
      <c r="I36" s="130"/>
      <c r="J36" s="169"/>
      <c r="K36" s="169"/>
      <c r="L36" s="165"/>
    </row>
    <row r="37" spans="1:12" s="2" customFormat="1" ht="14.25" customHeight="1" x14ac:dyDescent="0.2">
      <c r="A37" s="89">
        <v>45372</v>
      </c>
      <c r="B37" s="9" t="s">
        <v>11</v>
      </c>
      <c r="C37" s="10" t="s">
        <v>2008</v>
      </c>
      <c r="D37" s="11" t="s">
        <v>29</v>
      </c>
      <c r="F37" s="12">
        <v>679503</v>
      </c>
      <c r="G37" s="1"/>
      <c r="H37" s="1"/>
      <c r="I37" s="130"/>
      <c r="J37" s="169"/>
      <c r="K37" s="169"/>
      <c r="L37" s="165"/>
    </row>
    <row r="38" spans="1:12" s="2" customFormat="1" ht="14.25" customHeight="1" x14ac:dyDescent="0.2">
      <c r="A38" s="89">
        <v>45372</v>
      </c>
      <c r="B38" s="9" t="s">
        <v>11</v>
      </c>
      <c r="C38" s="10" t="s">
        <v>147</v>
      </c>
      <c r="D38" s="11" t="s">
        <v>29</v>
      </c>
      <c r="F38" s="12">
        <v>2918438</v>
      </c>
      <c r="G38" s="1"/>
      <c r="H38" s="1"/>
      <c r="I38" s="130"/>
      <c r="J38" s="169"/>
      <c r="K38" s="169"/>
      <c r="L38" s="165"/>
    </row>
    <row r="39" spans="1:12" s="2" customFormat="1" ht="14.25" customHeight="1" x14ac:dyDescent="0.2">
      <c r="A39" s="89">
        <v>45372</v>
      </c>
      <c r="B39" s="9" t="s">
        <v>11</v>
      </c>
      <c r="C39" s="10" t="s">
        <v>2256</v>
      </c>
      <c r="D39" s="11" t="s">
        <v>29</v>
      </c>
      <c r="F39" s="12">
        <v>151042.35999999999</v>
      </c>
      <c r="G39" s="1"/>
      <c r="H39" s="1"/>
      <c r="I39" s="130"/>
      <c r="J39" s="169"/>
      <c r="K39" s="169"/>
      <c r="L39" s="165"/>
    </row>
    <row r="40" spans="1:12" s="2" customFormat="1" ht="14.25" customHeight="1" x14ac:dyDescent="0.2">
      <c r="A40" s="89">
        <v>45372</v>
      </c>
      <c r="B40" s="9" t="s">
        <v>11</v>
      </c>
      <c r="C40" s="10" t="s">
        <v>95</v>
      </c>
      <c r="D40" s="11" t="s">
        <v>29</v>
      </c>
      <c r="F40" s="12">
        <v>19800</v>
      </c>
      <c r="G40" s="1"/>
      <c r="H40" s="1"/>
      <c r="I40" s="130"/>
      <c r="J40" s="169"/>
      <c r="K40" s="169"/>
      <c r="L40" s="165"/>
    </row>
    <row r="41" spans="1:12" s="2" customFormat="1" ht="14.25" customHeight="1" x14ac:dyDescent="0.2">
      <c r="A41" s="89">
        <v>45372</v>
      </c>
      <c r="B41" s="9" t="s">
        <v>11</v>
      </c>
      <c r="C41" s="10" t="s">
        <v>525</v>
      </c>
      <c r="D41" s="11" t="s">
        <v>29</v>
      </c>
      <c r="F41" s="12">
        <v>1000000</v>
      </c>
      <c r="G41" s="1"/>
      <c r="H41" s="1"/>
      <c r="I41" s="130"/>
      <c r="J41" s="169"/>
      <c r="K41" s="169"/>
      <c r="L41" s="165"/>
    </row>
    <row r="42" spans="1:12" s="2" customFormat="1" ht="14.25" customHeight="1" x14ac:dyDescent="0.2">
      <c r="A42" s="89">
        <v>45372</v>
      </c>
      <c r="B42" s="9" t="s">
        <v>11</v>
      </c>
      <c r="C42" s="10" t="s">
        <v>2257</v>
      </c>
      <c r="D42" s="11" t="s">
        <v>29</v>
      </c>
      <c r="F42" s="12">
        <v>47520</v>
      </c>
      <c r="G42" s="1"/>
      <c r="H42" s="1"/>
      <c r="I42" s="130"/>
      <c r="J42" s="169"/>
      <c r="K42" s="169"/>
      <c r="L42" s="165"/>
    </row>
    <row r="43" spans="1:12" s="2" customFormat="1" ht="14.25" customHeight="1" x14ac:dyDescent="0.2">
      <c r="A43" s="89">
        <v>45372</v>
      </c>
      <c r="B43" s="9" t="s">
        <v>11</v>
      </c>
      <c r="C43" s="10" t="s">
        <v>34</v>
      </c>
      <c r="D43" s="11" t="s">
        <v>29</v>
      </c>
      <c r="F43" s="12">
        <v>125000</v>
      </c>
      <c r="G43" s="1"/>
      <c r="H43" s="1"/>
      <c r="I43" s="130"/>
      <c r="J43" s="169"/>
      <c r="K43" s="169"/>
      <c r="L43" s="165"/>
    </row>
    <row r="44" spans="1:12" s="2" customFormat="1" ht="14.25" customHeight="1" x14ac:dyDescent="0.2">
      <c r="A44" s="89">
        <v>45372</v>
      </c>
      <c r="B44" s="9" t="s">
        <v>11</v>
      </c>
      <c r="C44" s="10" t="s">
        <v>187</v>
      </c>
      <c r="D44" s="11" t="s">
        <v>29</v>
      </c>
      <c r="F44" s="12">
        <v>200000</v>
      </c>
      <c r="G44" s="1"/>
      <c r="H44" s="1"/>
      <c r="I44" s="130"/>
      <c r="J44" s="169"/>
      <c r="K44" s="169"/>
      <c r="L44" s="165"/>
    </row>
    <row r="45" spans="1:12" s="2" customFormat="1" ht="14.25" customHeight="1" x14ac:dyDescent="0.2">
      <c r="A45" s="89">
        <v>45372</v>
      </c>
      <c r="B45" s="9" t="s">
        <v>11</v>
      </c>
      <c r="C45" s="10" t="s">
        <v>185</v>
      </c>
      <c r="D45" s="11" t="s">
        <v>29</v>
      </c>
      <c r="F45" s="12">
        <v>150000</v>
      </c>
      <c r="G45" s="1"/>
      <c r="H45" s="1"/>
      <c r="I45" s="130"/>
      <c r="J45" s="169"/>
      <c r="K45" s="169"/>
      <c r="L45" s="165"/>
    </row>
    <row r="46" spans="1:12" s="2" customFormat="1" ht="14.25" customHeight="1" x14ac:dyDescent="0.2">
      <c r="A46" s="89">
        <v>45372</v>
      </c>
      <c r="B46" s="9" t="s">
        <v>11</v>
      </c>
      <c r="C46" s="10" t="s">
        <v>190</v>
      </c>
      <c r="D46" s="11" t="s">
        <v>29</v>
      </c>
      <c r="F46" s="12">
        <v>250000</v>
      </c>
      <c r="G46" s="1"/>
      <c r="H46" s="1"/>
      <c r="I46" s="130"/>
      <c r="J46" s="169"/>
      <c r="K46" s="169"/>
      <c r="L46" s="165"/>
    </row>
    <row r="47" spans="1:12" s="2" customFormat="1" ht="14.25" customHeight="1" x14ac:dyDescent="0.2">
      <c r="A47" s="89">
        <v>45372</v>
      </c>
      <c r="B47" s="9" t="s">
        <v>11</v>
      </c>
      <c r="C47" s="10" t="s">
        <v>192</v>
      </c>
      <c r="D47" s="11" t="s">
        <v>29</v>
      </c>
      <c r="F47" s="12">
        <v>100000</v>
      </c>
      <c r="G47" s="1"/>
      <c r="H47" s="1"/>
      <c r="I47" s="130"/>
      <c r="J47" s="169"/>
      <c r="K47" s="169"/>
      <c r="L47" s="165"/>
    </row>
    <row r="48" spans="1:12" s="2" customFormat="1" ht="14.25" customHeight="1" x14ac:dyDescent="0.2">
      <c r="A48" s="89">
        <v>45372</v>
      </c>
      <c r="B48" s="9" t="s">
        <v>11</v>
      </c>
      <c r="C48" s="10" t="s">
        <v>206</v>
      </c>
      <c r="D48" s="11" t="s">
        <v>29</v>
      </c>
      <c r="F48" s="12">
        <v>100000</v>
      </c>
      <c r="G48" s="1"/>
      <c r="H48" s="1"/>
      <c r="I48" s="130"/>
      <c r="J48" s="169"/>
      <c r="K48" s="169"/>
      <c r="L48" s="165"/>
    </row>
    <row r="49" spans="1:12" s="2" customFormat="1" ht="14.25" customHeight="1" x14ac:dyDescent="0.2">
      <c r="A49" s="89">
        <v>45372</v>
      </c>
      <c r="B49" s="9" t="s">
        <v>11</v>
      </c>
      <c r="C49" s="10" t="s">
        <v>804</v>
      </c>
      <c r="D49" s="11" t="s">
        <v>29</v>
      </c>
      <c r="F49" s="12">
        <v>100000</v>
      </c>
      <c r="G49" s="1"/>
      <c r="H49" s="1"/>
      <c r="I49" s="130"/>
      <c r="J49" s="169"/>
      <c r="K49" s="169"/>
      <c r="L49" s="165"/>
    </row>
    <row r="50" spans="1:12" s="2" customFormat="1" ht="14.25" customHeight="1" x14ac:dyDescent="0.2">
      <c r="A50" s="89">
        <v>45372</v>
      </c>
      <c r="B50" s="9" t="s">
        <v>11</v>
      </c>
      <c r="C50" s="10" t="s">
        <v>186</v>
      </c>
      <c r="D50" s="11" t="s">
        <v>29</v>
      </c>
      <c r="F50" s="12">
        <v>150000</v>
      </c>
      <c r="G50" s="1"/>
      <c r="H50" s="1"/>
      <c r="I50" s="130"/>
      <c r="J50" s="169"/>
      <c r="K50" s="169"/>
      <c r="L50" s="165"/>
    </row>
    <row r="51" spans="1:12" s="2" customFormat="1" ht="14.25" customHeight="1" x14ac:dyDescent="0.2">
      <c r="A51" s="89">
        <v>45372</v>
      </c>
      <c r="B51" s="9" t="s">
        <v>11</v>
      </c>
      <c r="C51" s="10" t="s">
        <v>207</v>
      </c>
      <c r="D51" s="11" t="s">
        <v>29</v>
      </c>
      <c r="F51" s="12">
        <v>100000</v>
      </c>
      <c r="G51" s="1"/>
      <c r="H51" s="1"/>
      <c r="I51" s="130"/>
      <c r="J51" s="169"/>
      <c r="K51" s="169"/>
      <c r="L51" s="165"/>
    </row>
    <row r="52" spans="1:12" s="2" customFormat="1" ht="14.25" customHeight="1" x14ac:dyDescent="0.2">
      <c r="A52" s="89">
        <v>45372</v>
      </c>
      <c r="B52" s="9" t="s">
        <v>11</v>
      </c>
      <c r="C52" s="10" t="s">
        <v>191</v>
      </c>
      <c r="D52" s="11" t="s">
        <v>29</v>
      </c>
      <c r="F52" s="12">
        <v>100000</v>
      </c>
      <c r="G52" s="1"/>
      <c r="H52" s="1"/>
      <c r="I52" s="130"/>
      <c r="J52" s="169"/>
      <c r="K52" s="169"/>
      <c r="L52" s="165"/>
    </row>
    <row r="53" spans="1:12" s="2" customFormat="1" ht="14.25" customHeight="1" x14ac:dyDescent="0.2">
      <c r="A53" s="89">
        <v>45372</v>
      </c>
      <c r="B53" s="9" t="s">
        <v>11</v>
      </c>
      <c r="C53" s="10" t="s">
        <v>188</v>
      </c>
      <c r="D53" s="11" t="s">
        <v>29</v>
      </c>
      <c r="F53" s="12">
        <v>50000</v>
      </c>
      <c r="G53" s="1"/>
      <c r="H53" s="1"/>
      <c r="I53" s="130"/>
      <c r="J53" s="169"/>
      <c r="K53" s="169"/>
      <c r="L53" s="165"/>
    </row>
    <row r="54" spans="1:12" s="2" customFormat="1" ht="14.25" customHeight="1" x14ac:dyDescent="0.4">
      <c r="A54" s="89"/>
      <c r="D54" s="11" t="s">
        <v>8</v>
      </c>
      <c r="E54" s="16">
        <f>SUM(E33:E53)</f>
        <v>3616748.22</v>
      </c>
      <c r="F54" s="16">
        <f>SUM(F32:F53)</f>
        <v>32787907.419999994</v>
      </c>
      <c r="G54" s="1"/>
      <c r="H54" s="1"/>
      <c r="J54" s="112"/>
      <c r="K54" s="153" t="s">
        <v>779</v>
      </c>
    </row>
    <row r="55" spans="1:12" s="2" customFormat="1" ht="14.25" customHeight="1" x14ac:dyDescent="0.2">
      <c r="A55" s="17"/>
      <c r="B55" s="18"/>
      <c r="C55" s="96" t="s">
        <v>9</v>
      </c>
      <c r="D55" s="20"/>
      <c r="E55" s="21">
        <f>+F54-E54</f>
        <v>29171159.199999996</v>
      </c>
      <c r="G55" s="1"/>
      <c r="H55" s="1"/>
      <c r="J55" s="40">
        <v>29171159.199999999</v>
      </c>
      <c r="K55" s="154">
        <f>J55-E55</f>
        <v>0</v>
      </c>
    </row>
    <row r="56" spans="1:12" s="2" customFormat="1" ht="14.25" customHeight="1" x14ac:dyDescent="0.2">
      <c r="A56" s="17"/>
      <c r="B56" s="28" t="s">
        <v>66</v>
      </c>
      <c r="C56" s="43" t="s">
        <v>1458</v>
      </c>
      <c r="D56" s="43"/>
      <c r="E56" s="12">
        <f>30000000+60000000</f>
        <v>90000000</v>
      </c>
      <c r="F56" s="22"/>
      <c r="G56" s="1"/>
      <c r="H56" s="1"/>
      <c r="I56" s="13" t="s">
        <v>1582</v>
      </c>
      <c r="J56" s="13" t="s">
        <v>1583</v>
      </c>
    </row>
    <row r="57" spans="1:12" s="2" customFormat="1" ht="14.25" customHeight="1" x14ac:dyDescent="0.25">
      <c r="A57" s="36"/>
      <c r="B57" s="28"/>
      <c r="C57" s="44" t="s">
        <v>1541</v>
      </c>
      <c r="D57" s="43"/>
      <c r="E57" s="7">
        <f>+E55+E56</f>
        <v>119171159.19999999</v>
      </c>
      <c r="F57" s="22"/>
      <c r="G57" s="1"/>
      <c r="H57" s="1"/>
      <c r="I57" s="2">
        <v>2370979</v>
      </c>
      <c r="J57" s="2">
        <v>28868911.739999998</v>
      </c>
      <c r="K57" s="176">
        <f>I57-J57</f>
        <v>-26497932.739999998</v>
      </c>
    </row>
    <row r="58" spans="1:12" s="2" customFormat="1" ht="14.25" customHeight="1" x14ac:dyDescent="0.25">
      <c r="A58" s="36"/>
      <c r="B58" s="28"/>
      <c r="C58" s="44" t="s">
        <v>1511</v>
      </c>
      <c r="D58" s="43"/>
      <c r="E58" s="38">
        <f>I28-J28+J32</f>
        <v>828840.79999999981</v>
      </c>
      <c r="F58" s="22"/>
      <c r="G58" s="1"/>
      <c r="H58" s="1"/>
      <c r="J58" s="130"/>
      <c r="K58" s="130"/>
    </row>
    <row r="59" spans="1:12" s="2" customFormat="1" x14ac:dyDescent="0.2">
      <c r="A59" s="24"/>
      <c r="B59" s="1"/>
      <c r="C59" s="14"/>
      <c r="D59" s="25"/>
      <c r="G59" s="1"/>
      <c r="H59" s="1"/>
      <c r="I59" s="159"/>
      <c r="J59" s="160">
        <f>100000000</f>
        <v>100000000</v>
      </c>
      <c r="K59" s="160" t="s">
        <v>1506</v>
      </c>
      <c r="L59" s="70"/>
    </row>
    <row r="60" spans="1:12" s="2" customFormat="1" ht="15" x14ac:dyDescent="0.35">
      <c r="A60" s="214" t="s">
        <v>10</v>
      </c>
      <c r="B60" s="214"/>
      <c r="C60" s="214"/>
      <c r="D60" s="214"/>
      <c r="E60" s="214"/>
      <c r="F60" s="214"/>
      <c r="G60" s="1"/>
      <c r="H60" s="1"/>
      <c r="I60" s="159"/>
      <c r="J60" s="179">
        <v>38081826.969999999</v>
      </c>
      <c r="K60" s="160" t="s">
        <v>1507</v>
      </c>
      <c r="L60" s="70" t="s">
        <v>1512</v>
      </c>
    </row>
    <row r="61" spans="1:12" s="2" customFormat="1" x14ac:dyDescent="0.2">
      <c r="A61" s="26" t="s">
        <v>1</v>
      </c>
      <c r="B61" s="27" t="s">
        <v>2</v>
      </c>
      <c r="C61" s="5"/>
      <c r="D61" s="6" t="s">
        <v>3</v>
      </c>
      <c r="E61" s="7" t="s">
        <v>4</v>
      </c>
      <c r="F61" s="7" t="s">
        <v>5</v>
      </c>
      <c r="G61" s="1"/>
      <c r="H61" s="1"/>
      <c r="I61" s="159" t="s">
        <v>1505</v>
      </c>
      <c r="J61" s="160">
        <f>+J59+J60</f>
        <v>138081826.97</v>
      </c>
      <c r="K61" s="160"/>
      <c r="L61" s="70"/>
    </row>
    <row r="62" spans="1:12" s="2" customFormat="1" x14ac:dyDescent="0.2">
      <c r="A62" s="89" t="s">
        <v>2259</v>
      </c>
      <c r="B62" s="128" t="s">
        <v>11</v>
      </c>
      <c r="C62" s="29" t="s">
        <v>7</v>
      </c>
      <c r="D62" s="25"/>
      <c r="E62" s="31"/>
      <c r="F62" s="13">
        <v>-17506021.130000107</v>
      </c>
      <c r="G62" s="23"/>
      <c r="H62" s="23"/>
      <c r="I62" s="159"/>
      <c r="J62" s="160"/>
      <c r="K62" s="160"/>
      <c r="L62" s="70"/>
    </row>
    <row r="63" spans="1:12" s="2" customFormat="1" x14ac:dyDescent="0.2">
      <c r="A63" s="89" t="s">
        <v>2259</v>
      </c>
      <c r="B63" s="128" t="s">
        <v>6</v>
      </c>
      <c r="C63" s="181" t="s">
        <v>843</v>
      </c>
      <c r="D63" s="11" t="s">
        <v>13</v>
      </c>
      <c r="E63" s="86">
        <v>435311.96</v>
      </c>
      <c r="G63" s="23"/>
      <c r="H63" s="23"/>
      <c r="I63" s="159"/>
      <c r="J63" s="160"/>
      <c r="K63" s="160"/>
      <c r="L63" s="70"/>
    </row>
    <row r="64" spans="1:12" s="2" customFormat="1" x14ac:dyDescent="0.2">
      <c r="A64" s="89" t="s">
        <v>2259</v>
      </c>
      <c r="B64" s="128" t="s">
        <v>6</v>
      </c>
      <c r="C64" s="181" t="s">
        <v>311</v>
      </c>
      <c r="D64" s="11" t="s">
        <v>13</v>
      </c>
      <c r="E64" s="86">
        <v>116468</v>
      </c>
      <c r="G64" s="23"/>
      <c r="H64" s="23"/>
      <c r="I64" s="159"/>
      <c r="J64" s="160"/>
      <c r="K64" s="160"/>
      <c r="L64" s="70"/>
    </row>
    <row r="65" spans="1:12" s="2" customFormat="1" x14ac:dyDescent="0.2">
      <c r="A65" s="89" t="s">
        <v>2259</v>
      </c>
      <c r="B65" s="128" t="s">
        <v>6</v>
      </c>
      <c r="C65" s="181" t="s">
        <v>200</v>
      </c>
      <c r="D65" s="11" t="s">
        <v>13</v>
      </c>
      <c r="E65" s="86">
        <v>70097</v>
      </c>
      <c r="G65" s="23"/>
      <c r="H65" s="23"/>
      <c r="I65" s="159"/>
      <c r="J65" s="160"/>
      <c r="K65" s="160"/>
      <c r="L65" s="70"/>
    </row>
    <row r="66" spans="1:12" s="2" customFormat="1" x14ac:dyDescent="0.2">
      <c r="A66" s="89" t="s">
        <v>2259</v>
      </c>
      <c r="B66" s="128" t="s">
        <v>6</v>
      </c>
      <c r="C66" s="181" t="s">
        <v>1821</v>
      </c>
      <c r="D66" s="11" t="s">
        <v>13</v>
      </c>
      <c r="E66" s="86">
        <v>239400</v>
      </c>
      <c r="G66" s="23"/>
      <c r="H66" s="23"/>
      <c r="I66" s="159"/>
      <c r="J66" s="160"/>
      <c r="K66" s="160"/>
      <c r="L66" s="70"/>
    </row>
    <row r="67" spans="1:12" s="2" customFormat="1" x14ac:dyDescent="0.2">
      <c r="A67" s="89" t="s">
        <v>2259</v>
      </c>
      <c r="B67" s="128" t="s">
        <v>6</v>
      </c>
      <c r="C67" s="181" t="s">
        <v>2258</v>
      </c>
      <c r="D67" s="11" t="s">
        <v>13</v>
      </c>
      <c r="E67" s="86">
        <v>4840</v>
      </c>
      <c r="G67" s="23"/>
      <c r="H67" s="23"/>
      <c r="I67" s="159"/>
      <c r="J67" s="160"/>
      <c r="K67" s="160"/>
      <c r="L67" s="70"/>
    </row>
    <row r="68" spans="1:12" s="2" customFormat="1" x14ac:dyDescent="0.2">
      <c r="A68" s="89" t="s">
        <v>2259</v>
      </c>
      <c r="B68" s="128" t="s">
        <v>6</v>
      </c>
      <c r="C68" s="181" t="s">
        <v>247</v>
      </c>
      <c r="D68" s="11" t="s">
        <v>13</v>
      </c>
      <c r="E68" s="86">
        <v>1176000</v>
      </c>
      <c r="G68" s="23"/>
      <c r="H68" s="23"/>
      <c r="I68" s="159"/>
      <c r="J68" s="160"/>
      <c r="K68" s="160"/>
      <c r="L68" s="70"/>
    </row>
    <row r="69" spans="1:12" s="2" customFormat="1" x14ac:dyDescent="0.2">
      <c r="A69" s="89" t="s">
        <v>2259</v>
      </c>
      <c r="B69" s="128" t="s">
        <v>6</v>
      </c>
      <c r="C69" s="181" t="s">
        <v>15</v>
      </c>
      <c r="D69" s="11" t="s">
        <v>13</v>
      </c>
      <c r="E69" s="86">
        <v>2641.77</v>
      </c>
      <c r="G69" s="23"/>
      <c r="H69" s="23"/>
      <c r="I69" s="159"/>
      <c r="J69" s="160"/>
      <c r="K69" s="160"/>
      <c r="L69" s="70"/>
    </row>
    <row r="70" spans="1:12" s="2" customFormat="1" x14ac:dyDescent="0.2">
      <c r="A70" s="89" t="s">
        <v>2259</v>
      </c>
      <c r="B70" s="128" t="s">
        <v>6</v>
      </c>
      <c r="C70" s="181" t="s">
        <v>105</v>
      </c>
      <c r="D70" s="11" t="s">
        <v>13</v>
      </c>
      <c r="E70" s="86">
        <v>493500</v>
      </c>
      <c r="G70" s="23"/>
      <c r="H70" s="23"/>
      <c r="I70" s="159"/>
      <c r="J70" s="160"/>
      <c r="K70" s="160"/>
      <c r="L70" s="70"/>
    </row>
    <row r="71" spans="1:12" s="2" customFormat="1" x14ac:dyDescent="0.2">
      <c r="A71" s="89" t="s">
        <v>2259</v>
      </c>
      <c r="B71" s="128" t="s">
        <v>6</v>
      </c>
      <c r="C71" s="181" t="s">
        <v>1241</v>
      </c>
      <c r="D71" s="11" t="s">
        <v>13</v>
      </c>
      <c r="E71" s="86">
        <v>11244</v>
      </c>
      <c r="G71" s="23"/>
      <c r="H71" s="23"/>
      <c r="I71" s="159"/>
      <c r="J71" s="160"/>
      <c r="K71" s="160"/>
      <c r="L71" s="70"/>
    </row>
    <row r="72" spans="1:12" s="2" customFormat="1" x14ac:dyDescent="0.2">
      <c r="A72" s="89" t="s">
        <v>2259</v>
      </c>
      <c r="B72" s="128" t="s">
        <v>6</v>
      </c>
      <c r="C72" s="181" t="s">
        <v>817</v>
      </c>
      <c r="D72" s="11" t="s">
        <v>13</v>
      </c>
      <c r="E72" s="86">
        <v>1260</v>
      </c>
      <c r="G72" s="23"/>
      <c r="H72" s="23"/>
      <c r="I72" s="159"/>
      <c r="J72" s="160"/>
      <c r="K72" s="160"/>
      <c r="L72" s="70"/>
    </row>
    <row r="73" spans="1:12" s="2" customFormat="1" x14ac:dyDescent="0.2">
      <c r="A73" s="89" t="s">
        <v>2259</v>
      </c>
      <c r="B73" s="128" t="s">
        <v>6</v>
      </c>
      <c r="C73" s="181" t="s">
        <v>1446</v>
      </c>
      <c r="D73" s="11" t="s">
        <v>13</v>
      </c>
      <c r="E73" s="86">
        <v>12049</v>
      </c>
      <c r="G73" s="23"/>
      <c r="H73" s="23"/>
      <c r="I73" s="159"/>
      <c r="J73" s="160"/>
      <c r="K73" s="160"/>
      <c r="L73" s="70"/>
    </row>
    <row r="74" spans="1:12" s="2" customFormat="1" x14ac:dyDescent="0.2">
      <c r="A74" s="89" t="s">
        <v>2259</v>
      </c>
      <c r="B74" s="128" t="s">
        <v>6</v>
      </c>
      <c r="C74" s="181" t="s">
        <v>332</v>
      </c>
      <c r="D74" s="11" t="s">
        <v>13</v>
      </c>
      <c r="E74" s="86">
        <v>20980</v>
      </c>
      <c r="G74" s="23"/>
      <c r="H74" s="23"/>
      <c r="I74" s="159"/>
      <c r="J74" s="160"/>
      <c r="K74" s="160"/>
      <c r="L74" s="70"/>
    </row>
    <row r="75" spans="1:12" s="2" customFormat="1" x14ac:dyDescent="0.2">
      <c r="A75" s="89" t="s">
        <v>2259</v>
      </c>
      <c r="B75" s="128" t="s">
        <v>6</v>
      </c>
      <c r="C75" s="181" t="s">
        <v>694</v>
      </c>
      <c r="D75" s="11" t="s">
        <v>13</v>
      </c>
      <c r="E75" s="86">
        <v>2000000</v>
      </c>
      <c r="G75" s="23"/>
      <c r="H75" s="23"/>
      <c r="I75" s="159"/>
      <c r="J75" s="160"/>
      <c r="K75" s="160"/>
      <c r="L75" s="70"/>
    </row>
    <row r="76" spans="1:12" s="2" customFormat="1" x14ac:dyDescent="0.2">
      <c r="A76" s="89" t="s">
        <v>2259</v>
      </c>
      <c r="B76" s="128" t="s">
        <v>6</v>
      </c>
      <c r="C76" s="181" t="s">
        <v>27</v>
      </c>
      <c r="D76" s="11" t="s">
        <v>13</v>
      </c>
      <c r="E76" s="86">
        <v>14178594.939999999</v>
      </c>
      <c r="G76" s="23"/>
      <c r="H76" s="23"/>
      <c r="I76" s="159"/>
      <c r="J76" s="160"/>
      <c r="K76" s="160"/>
      <c r="L76" s="70"/>
    </row>
    <row r="77" spans="1:12" s="2" customFormat="1" x14ac:dyDescent="0.2">
      <c r="A77" s="89" t="s">
        <v>2259</v>
      </c>
      <c r="B77" s="128" t="s">
        <v>6</v>
      </c>
      <c r="C77" s="181" t="s">
        <v>389</v>
      </c>
      <c r="D77" s="11" t="s">
        <v>13</v>
      </c>
      <c r="E77" s="86">
        <v>6367691.7599999998</v>
      </c>
      <c r="G77" s="23"/>
      <c r="H77" s="23"/>
      <c r="I77" s="159"/>
      <c r="J77" s="160"/>
      <c r="K77" s="160"/>
      <c r="L77" s="70"/>
    </row>
    <row r="78" spans="1:12" s="2" customFormat="1" x14ac:dyDescent="0.2">
      <c r="A78" s="89" t="s">
        <v>2259</v>
      </c>
      <c r="B78" s="128" t="s">
        <v>6</v>
      </c>
      <c r="C78" s="181" t="s">
        <v>2186</v>
      </c>
      <c r="D78" s="11" t="s">
        <v>13</v>
      </c>
      <c r="E78" s="86">
        <v>5671</v>
      </c>
      <c r="G78" s="23"/>
      <c r="H78" s="23"/>
      <c r="I78" s="159"/>
      <c r="J78" s="160"/>
      <c r="K78" s="160"/>
      <c r="L78" s="70"/>
    </row>
    <row r="79" spans="1:12" s="2" customFormat="1" x14ac:dyDescent="0.2">
      <c r="A79" s="89" t="s">
        <v>2259</v>
      </c>
      <c r="B79" s="128" t="s">
        <v>6</v>
      </c>
      <c r="C79" s="181" t="s">
        <v>1331</v>
      </c>
      <c r="D79" s="11" t="s">
        <v>13</v>
      </c>
      <c r="E79" s="86">
        <v>95905</v>
      </c>
      <c r="G79" s="23"/>
      <c r="H79" s="23"/>
      <c r="I79" s="159"/>
      <c r="J79" s="160"/>
      <c r="K79" s="160"/>
      <c r="L79" s="70"/>
    </row>
    <row r="80" spans="1:12" s="2" customFormat="1" x14ac:dyDescent="0.2">
      <c r="A80" s="89" t="s">
        <v>2259</v>
      </c>
      <c r="B80" s="128" t="s">
        <v>6</v>
      </c>
      <c r="C80" s="181" t="s">
        <v>149</v>
      </c>
      <c r="D80" s="11" t="s">
        <v>13</v>
      </c>
      <c r="E80" s="86">
        <f>690+8303.81</f>
        <v>8993.81</v>
      </c>
      <c r="G80" s="23"/>
      <c r="H80" s="23"/>
      <c r="I80" s="159"/>
      <c r="J80" s="160"/>
      <c r="K80" s="160"/>
      <c r="L80" s="70"/>
    </row>
    <row r="81" spans="1:16" s="2" customFormat="1" x14ac:dyDescent="0.2">
      <c r="A81" s="89" t="s">
        <v>2259</v>
      </c>
      <c r="B81" s="128" t="s">
        <v>6</v>
      </c>
      <c r="C81" s="181" t="s">
        <v>598</v>
      </c>
      <c r="D81" s="11" t="s">
        <v>13</v>
      </c>
      <c r="E81" s="86">
        <v>349556</v>
      </c>
      <c r="G81" s="23"/>
      <c r="H81" s="23"/>
      <c r="I81" s="159"/>
      <c r="J81" s="160"/>
      <c r="K81" s="160"/>
      <c r="L81" s="70"/>
    </row>
    <row r="82" spans="1:16" s="2" customFormat="1" x14ac:dyDescent="0.2">
      <c r="A82" s="89" t="s">
        <v>2259</v>
      </c>
      <c r="B82" s="128" t="s">
        <v>6</v>
      </c>
      <c r="C82" s="181" t="s">
        <v>727</v>
      </c>
      <c r="D82" s="11" t="s">
        <v>13</v>
      </c>
      <c r="E82" s="86">
        <v>197663</v>
      </c>
      <c r="G82" s="23"/>
      <c r="H82" s="23"/>
      <c r="I82" s="159"/>
      <c r="J82" s="160"/>
      <c r="K82" s="160"/>
      <c r="L82" s="70"/>
    </row>
    <row r="83" spans="1:16" s="2" customFormat="1" x14ac:dyDescent="0.2">
      <c r="A83" s="89" t="s">
        <v>2259</v>
      </c>
      <c r="B83" s="128" t="s">
        <v>11</v>
      </c>
      <c r="C83" s="181" t="s">
        <v>64</v>
      </c>
      <c r="D83" s="11" t="s">
        <v>29</v>
      </c>
      <c r="E83" s="86"/>
      <c r="F83" s="2">
        <v>33224.800000000003</v>
      </c>
      <c r="G83" s="23"/>
      <c r="H83" s="23"/>
      <c r="I83" s="159"/>
      <c r="J83" s="160"/>
      <c r="K83" s="160"/>
      <c r="L83" s="70"/>
    </row>
    <row r="84" spans="1:16" s="2" customFormat="1" x14ac:dyDescent="0.2">
      <c r="A84" s="89" t="s">
        <v>2259</v>
      </c>
      <c r="B84" s="128" t="s">
        <v>11</v>
      </c>
      <c r="C84" s="181" t="s">
        <v>1798</v>
      </c>
      <c r="D84" s="11" t="s">
        <v>29</v>
      </c>
      <c r="E84" s="86"/>
      <c r="F84" s="2">
        <v>1982422</v>
      </c>
      <c r="G84" s="23"/>
      <c r="H84" s="23"/>
      <c r="I84" s="159"/>
      <c r="J84" s="160"/>
      <c r="K84" s="160"/>
      <c r="L84" s="70"/>
    </row>
    <row r="85" spans="1:16" s="2" customFormat="1" x14ac:dyDescent="0.2">
      <c r="A85" s="89" t="s">
        <v>2259</v>
      </c>
      <c r="B85" s="128" t="s">
        <v>11</v>
      </c>
      <c r="C85" s="181" t="s">
        <v>663</v>
      </c>
      <c r="D85" s="11" t="s">
        <v>29</v>
      </c>
      <c r="E85" s="86"/>
      <c r="F85" s="2">
        <v>1663200</v>
      </c>
      <c r="G85" s="23"/>
      <c r="H85" s="23"/>
      <c r="I85" s="159"/>
      <c r="J85" s="160"/>
      <c r="K85" s="160"/>
      <c r="L85" s="70"/>
    </row>
    <row r="86" spans="1:16" s="2" customFormat="1" x14ac:dyDescent="0.2">
      <c r="A86" s="89" t="s">
        <v>2259</v>
      </c>
      <c r="B86" s="128" t="s">
        <v>11</v>
      </c>
      <c r="C86" s="181" t="s">
        <v>1884</v>
      </c>
      <c r="D86" s="11" t="s">
        <v>29</v>
      </c>
      <c r="E86" s="86"/>
      <c r="F86" s="2">
        <v>7968847</v>
      </c>
      <c r="G86" s="23"/>
      <c r="H86" s="23"/>
      <c r="I86" s="159"/>
      <c r="J86" s="160"/>
      <c r="K86" s="160"/>
      <c r="L86" s="70"/>
    </row>
    <row r="87" spans="1:16" s="2" customFormat="1" x14ac:dyDescent="0.2">
      <c r="A87" s="89" t="s">
        <v>2259</v>
      </c>
      <c r="B87" s="128" t="s">
        <v>11</v>
      </c>
      <c r="C87" s="181" t="s">
        <v>687</v>
      </c>
      <c r="D87" s="11" t="s">
        <v>29</v>
      </c>
      <c r="E87" s="86"/>
      <c r="F87" s="2">
        <v>371555</v>
      </c>
      <c r="G87" s="23"/>
      <c r="H87" s="23"/>
      <c r="I87" s="159"/>
      <c r="J87" s="160"/>
      <c r="K87" s="160"/>
      <c r="L87" s="70"/>
    </row>
    <row r="88" spans="1:16" s="2" customFormat="1" x14ac:dyDescent="0.2">
      <c r="A88" s="89" t="s">
        <v>2259</v>
      </c>
      <c r="B88" s="128" t="s">
        <v>11</v>
      </c>
      <c r="C88" s="181" t="s">
        <v>2235</v>
      </c>
      <c r="D88" s="11" t="s">
        <v>29</v>
      </c>
      <c r="E88" s="86"/>
      <c r="F88" s="2">
        <v>442144.34</v>
      </c>
      <c r="G88" s="23"/>
      <c r="H88" s="23"/>
      <c r="I88" s="159"/>
      <c r="J88" s="160"/>
      <c r="K88" s="160"/>
      <c r="L88" s="70"/>
    </row>
    <row r="89" spans="1:16" s="2" customFormat="1" x14ac:dyDescent="0.2">
      <c r="A89" s="89" t="s">
        <v>2259</v>
      </c>
      <c r="B89" s="128" t="s">
        <v>11</v>
      </c>
      <c r="C89" s="181" t="s">
        <v>284</v>
      </c>
      <c r="D89" s="11" t="s">
        <v>29</v>
      </c>
      <c r="E89" s="86"/>
      <c r="F89" s="2">
        <v>373825</v>
      </c>
      <c r="G89" s="23"/>
      <c r="H89" s="23"/>
      <c r="I89" s="159"/>
      <c r="J89" s="160"/>
      <c r="K89" s="160"/>
      <c r="L89" s="70"/>
    </row>
    <row r="90" spans="1:16" s="2" customFormat="1" x14ac:dyDescent="0.2">
      <c r="A90" s="89" t="s">
        <v>2259</v>
      </c>
      <c r="B90" s="128" t="s">
        <v>11</v>
      </c>
      <c r="C90" s="181" t="s">
        <v>63</v>
      </c>
      <c r="D90" s="11" t="s">
        <v>29</v>
      </c>
      <c r="E90" s="86"/>
      <c r="F90" s="2">
        <v>5000000</v>
      </c>
      <c r="G90" s="23"/>
      <c r="H90" s="23"/>
      <c r="I90" s="159"/>
      <c r="J90" s="160"/>
      <c r="K90" s="160"/>
      <c r="L90" s="70"/>
    </row>
    <row r="91" spans="1:16" s="2" customFormat="1" x14ac:dyDescent="0.2">
      <c r="A91" s="89" t="s">
        <v>2259</v>
      </c>
      <c r="B91" s="128" t="s">
        <v>11</v>
      </c>
      <c r="C91" s="181" t="s">
        <v>1403</v>
      </c>
      <c r="D91" s="11" t="s">
        <v>29</v>
      </c>
      <c r="E91" s="86"/>
      <c r="F91" s="2">
        <v>3150870</v>
      </c>
      <c r="G91" s="23"/>
      <c r="H91" s="23"/>
      <c r="I91" s="159"/>
      <c r="J91" s="160"/>
      <c r="K91" s="160"/>
      <c r="L91" s="70"/>
    </row>
    <row r="92" spans="1:16" s="2" customFormat="1" x14ac:dyDescent="0.2">
      <c r="A92" s="89" t="s">
        <v>2259</v>
      </c>
      <c r="B92" s="128" t="s">
        <v>11</v>
      </c>
      <c r="C92" s="181" t="s">
        <v>1472</v>
      </c>
      <c r="D92" s="11" t="s">
        <v>29</v>
      </c>
      <c r="E92" s="86"/>
      <c r="F92" s="2">
        <v>1223906</v>
      </c>
      <c r="G92" s="23"/>
      <c r="H92" s="23"/>
      <c r="I92" s="159"/>
      <c r="J92" s="160"/>
      <c r="K92" s="160"/>
      <c r="L92" s="70"/>
    </row>
    <row r="93" spans="1:16" s="2" customFormat="1" x14ac:dyDescent="0.2">
      <c r="A93" s="89" t="s">
        <v>2259</v>
      </c>
      <c r="B93" s="128" t="s">
        <v>11</v>
      </c>
      <c r="C93" s="181" t="s">
        <v>57</v>
      </c>
      <c r="D93" s="11" t="s">
        <v>29</v>
      </c>
      <c r="E93" s="86"/>
      <c r="F93" s="2">
        <v>9500000</v>
      </c>
      <c r="G93" s="23"/>
      <c r="H93" s="23"/>
      <c r="I93" s="159"/>
      <c r="J93" s="160"/>
      <c r="K93" s="160"/>
      <c r="L93" s="70"/>
    </row>
    <row r="94" spans="1:16" s="70" customFormat="1" x14ac:dyDescent="0.2">
      <c r="A94" s="32"/>
      <c r="B94" s="33"/>
      <c r="C94" s="14"/>
      <c r="D94" s="34"/>
      <c r="E94" s="16">
        <f>SUM(E62:E93)</f>
        <v>25787867.239999998</v>
      </c>
      <c r="F94" s="16">
        <f>SUM(F62:F93)</f>
        <v>14203973.009999894</v>
      </c>
      <c r="G94" s="1"/>
      <c r="H94" s="1"/>
      <c r="I94" s="1"/>
      <c r="J94" s="38">
        <v>11583894.23</v>
      </c>
      <c r="K94" s="2"/>
      <c r="L94" s="92">
        <f>E95+J94</f>
        <v>-1.0430812835693359E-7</v>
      </c>
      <c r="M94" s="2"/>
      <c r="N94" s="2"/>
      <c r="O94" s="2">
        <v>10127749.119999999</v>
      </c>
      <c r="P94" s="2">
        <f>+O94-J94</f>
        <v>-1456145.1100000013</v>
      </c>
    </row>
    <row r="95" spans="1:16" s="70" customFormat="1" x14ac:dyDescent="0.2">
      <c r="A95" s="36"/>
      <c r="B95" s="28" t="s">
        <v>11</v>
      </c>
      <c r="C95" s="19" t="s">
        <v>65</v>
      </c>
      <c r="D95" s="37"/>
      <c r="E95" s="38">
        <f>F94-E94</f>
        <v>-11583894.230000105</v>
      </c>
      <c r="F95" s="22"/>
      <c r="G95" s="1"/>
      <c r="H95" s="1"/>
      <c r="I95" s="1"/>
      <c r="M95" s="2"/>
      <c r="N95" s="2"/>
      <c r="O95" s="1"/>
      <c r="P95" s="2"/>
    </row>
    <row r="96" spans="1:16" s="70" customFormat="1" x14ac:dyDescent="0.2">
      <c r="A96" s="36"/>
      <c r="B96" s="28" t="s">
        <v>66</v>
      </c>
      <c r="C96" s="19" t="s">
        <v>67</v>
      </c>
      <c r="D96" s="37"/>
      <c r="E96" s="38">
        <f>11500000-7200000</f>
        <v>4300000</v>
      </c>
      <c r="F96" s="22"/>
      <c r="G96" s="1"/>
      <c r="H96" s="1"/>
      <c r="M96" s="2"/>
      <c r="N96" s="2"/>
      <c r="O96" s="1"/>
      <c r="P96" s="2"/>
    </row>
    <row r="97" spans="1:19" s="70" customFormat="1" x14ac:dyDescent="0.2">
      <c r="A97" s="36"/>
      <c r="B97" s="28" t="s">
        <v>66</v>
      </c>
      <c r="C97" s="43" t="s">
        <v>1457</v>
      </c>
      <c r="D97" s="43"/>
      <c r="E97" s="12">
        <f>400000000</f>
        <v>400000000</v>
      </c>
      <c r="F97" s="22"/>
      <c r="G97" s="1"/>
      <c r="H97" s="1"/>
      <c r="J97" s="45">
        <v>2153.63</v>
      </c>
      <c r="K97" s="46"/>
      <c r="L97" s="46"/>
      <c r="M97" s="2"/>
      <c r="N97" s="2"/>
      <c r="O97" s="1"/>
      <c r="P97" s="2"/>
    </row>
    <row r="98" spans="1:19" s="70" customFormat="1" ht="15" x14ac:dyDescent="0.25">
      <c r="A98" s="36"/>
      <c r="B98" s="28"/>
      <c r="C98" s="44" t="s">
        <v>1541</v>
      </c>
      <c r="D98" s="43"/>
      <c r="E98" s="7">
        <f>+E97+E95+E96</f>
        <v>392716105.76999992</v>
      </c>
      <c r="F98" s="22"/>
      <c r="G98" s="1"/>
      <c r="H98" s="1"/>
      <c r="I98" s="103" t="s">
        <v>69</v>
      </c>
      <c r="J98" s="45">
        <v>-72.53</v>
      </c>
      <c r="K98" s="46"/>
      <c r="L98" s="46"/>
      <c r="M98" s="2"/>
      <c r="N98" s="2"/>
      <c r="O98" s="1"/>
      <c r="P98" s="2"/>
    </row>
    <row r="99" spans="1:19" s="70" customFormat="1" ht="15" x14ac:dyDescent="0.25">
      <c r="A99" s="24"/>
      <c r="B99" s="1"/>
      <c r="C99" s="44" t="s">
        <v>1510</v>
      </c>
      <c r="D99" s="25"/>
      <c r="E99" s="156">
        <f>+J61-E96+I57-J57</f>
        <v>107283894.23</v>
      </c>
      <c r="F99" s="2"/>
      <c r="G99" s="1"/>
      <c r="H99" s="1"/>
      <c r="I99" s="35">
        <v>1</v>
      </c>
      <c r="J99" s="45">
        <v>58.57</v>
      </c>
      <c r="K99" s="46">
        <f>+J100-D102</f>
        <v>0</v>
      </c>
      <c r="L99" s="2"/>
      <c r="M99" s="2"/>
      <c r="N99" s="2"/>
      <c r="O99" s="1"/>
      <c r="P99" s="2"/>
    </row>
    <row r="100" spans="1:19" s="70" customFormat="1" ht="12.75" customHeight="1" x14ac:dyDescent="0.2">
      <c r="A100" s="24"/>
      <c r="B100" s="1"/>
      <c r="C100" s="56"/>
      <c r="D100" s="56"/>
      <c r="E100" s="104"/>
      <c r="F100" s="2"/>
      <c r="G100" s="166"/>
      <c r="H100" s="166"/>
      <c r="J100" s="49">
        <f>SUM(J97:J99)</f>
        <v>2139.67</v>
      </c>
      <c r="K100" s="46"/>
      <c r="L100" s="46"/>
      <c r="M100" s="124"/>
      <c r="N100" s="124"/>
      <c r="O100" s="1"/>
      <c r="P100" s="2"/>
    </row>
    <row r="101" spans="1:19" s="70" customFormat="1" ht="12.75" customHeight="1" x14ac:dyDescent="0.2">
      <c r="A101" s="24"/>
      <c r="B101" s="1"/>
      <c r="C101" s="78" t="s">
        <v>575</v>
      </c>
      <c r="D101" s="48" t="s">
        <v>576</v>
      </c>
      <c r="E101" s="104"/>
      <c r="F101" s="2"/>
      <c r="G101" s="168"/>
      <c r="H101" s="168"/>
      <c r="I101" s="167"/>
      <c r="J101" s="167"/>
      <c r="K101" s="168"/>
      <c r="L101" s="124"/>
      <c r="M101" s="124"/>
      <c r="N101" s="124"/>
      <c r="O101" s="124"/>
      <c r="P101" s="2"/>
    </row>
    <row r="102" spans="1:19" s="70" customFormat="1" ht="12.75" customHeight="1" x14ac:dyDescent="0.2">
      <c r="A102" s="24"/>
      <c r="B102" s="1"/>
      <c r="C102" s="47" t="s">
        <v>570</v>
      </c>
      <c r="D102" s="111">
        <v>2139.67</v>
      </c>
      <c r="E102" s="104"/>
      <c r="F102" s="2"/>
      <c r="G102" s="168"/>
      <c r="H102" s="168"/>
      <c r="I102" s="110" t="s">
        <v>581</v>
      </c>
      <c r="J102" s="167"/>
      <c r="K102" s="168"/>
      <c r="L102" s="124"/>
      <c r="M102" s="124"/>
      <c r="N102" s="124"/>
      <c r="O102" s="124"/>
      <c r="P102" s="124"/>
    </row>
    <row r="103" spans="1:19" s="70" customFormat="1" ht="12.75" customHeight="1" x14ac:dyDescent="0.2">
      <c r="A103" s="24"/>
      <c r="B103" s="1"/>
      <c r="C103" s="47" t="s">
        <v>931</v>
      </c>
      <c r="D103" s="111">
        <v>221.96</v>
      </c>
      <c r="E103" s="104"/>
      <c r="F103" s="2"/>
      <c r="G103" s="168"/>
      <c r="H103" s="168"/>
      <c r="I103" s="110" t="s">
        <v>580</v>
      </c>
      <c r="J103" s="167"/>
      <c r="K103" s="168"/>
      <c r="L103" s="124"/>
      <c r="M103" s="124"/>
      <c r="N103" s="124"/>
      <c r="O103" s="124"/>
      <c r="P103" s="124"/>
    </row>
    <row r="104" spans="1:19" s="70" customFormat="1" ht="12.75" customHeight="1" x14ac:dyDescent="0.2">
      <c r="A104" s="24"/>
      <c r="B104" s="1"/>
      <c r="C104" s="47" t="s">
        <v>572</v>
      </c>
      <c r="D104" s="111">
        <f>+D153/100000</f>
        <v>794.02580939999996</v>
      </c>
      <c r="E104" s="104"/>
      <c r="F104" s="2"/>
      <c r="G104" s="166"/>
      <c r="H104" s="166"/>
      <c r="I104" s="90" t="s">
        <v>587</v>
      </c>
      <c r="J104" s="167"/>
      <c r="K104" s="168"/>
      <c r="L104" s="124"/>
      <c r="M104" s="124"/>
      <c r="N104" s="124"/>
      <c r="O104" s="124"/>
      <c r="P104" s="124"/>
    </row>
    <row r="105" spans="1:19" s="70" customFormat="1" ht="12.75" customHeight="1" x14ac:dyDescent="0.2">
      <c r="A105" s="24"/>
      <c r="B105" s="1"/>
      <c r="C105" s="108" t="s">
        <v>578</v>
      </c>
      <c r="D105" s="48">
        <f>SUM(D102:D104)</f>
        <v>3155.6558094000002</v>
      </c>
      <c r="E105" s="104"/>
      <c r="F105" s="2"/>
      <c r="G105" s="30"/>
      <c r="H105" s="30"/>
      <c r="I105" s="2"/>
      <c r="J105" s="13"/>
      <c r="K105" s="13"/>
      <c r="L105" s="2"/>
      <c r="M105" s="2"/>
      <c r="N105" s="2"/>
      <c r="O105" s="124"/>
      <c r="P105" s="124"/>
    </row>
    <row r="106" spans="1:19" s="70" customFormat="1" ht="12.75" customHeight="1" x14ac:dyDescent="0.2">
      <c r="A106" s="24"/>
      <c r="B106" s="1"/>
      <c r="C106" s="47"/>
      <c r="D106" s="107"/>
      <c r="E106" s="104"/>
      <c r="F106" s="2"/>
      <c r="G106" s="30"/>
      <c r="H106" s="30"/>
      <c r="I106" s="2"/>
      <c r="O106" s="2"/>
      <c r="P106" s="124"/>
    </row>
    <row r="107" spans="1:19" s="70" customFormat="1" ht="12.75" customHeight="1" x14ac:dyDescent="0.2">
      <c r="A107" s="24"/>
      <c r="B107" s="1"/>
      <c r="C107" s="47" t="s">
        <v>932</v>
      </c>
      <c r="D107" s="111">
        <v>580.33000000000004</v>
      </c>
      <c r="E107" s="104"/>
      <c r="F107" s="2"/>
      <c r="G107" s="30"/>
      <c r="H107" s="30"/>
      <c r="I107" s="110" t="s">
        <v>581</v>
      </c>
      <c r="P107" s="2"/>
    </row>
    <row r="108" spans="1:19" s="70" customFormat="1" ht="12.75" customHeight="1" x14ac:dyDescent="0.2">
      <c r="A108" s="24"/>
      <c r="B108" s="1"/>
      <c r="C108" s="136" t="s">
        <v>1142</v>
      </c>
      <c r="D108" s="111">
        <v>852.87</v>
      </c>
      <c r="E108" s="104"/>
      <c r="F108" s="2"/>
      <c r="G108" s="30"/>
      <c r="H108" s="30"/>
      <c r="I108" s="110" t="s">
        <v>581</v>
      </c>
    </row>
    <row r="109" spans="1:19" s="70" customFormat="1" ht="12.75" customHeight="1" x14ac:dyDescent="0.2">
      <c r="A109" s="24"/>
      <c r="B109" s="1"/>
      <c r="C109" s="78" t="s">
        <v>579</v>
      </c>
      <c r="D109" s="109">
        <f>D107+D108</f>
        <v>1433.2</v>
      </c>
      <c r="E109" s="104"/>
      <c r="F109" s="2"/>
      <c r="G109" s="30"/>
      <c r="H109" s="30"/>
      <c r="Q109" s="2"/>
      <c r="R109" s="2"/>
      <c r="S109" s="2"/>
    </row>
    <row r="110" spans="1:19" s="2" customFormat="1" x14ac:dyDescent="0.2">
      <c r="A110" s="24"/>
      <c r="B110" s="1"/>
      <c r="C110" s="105"/>
      <c r="D110" s="106"/>
      <c r="E110" s="104"/>
      <c r="G110" s="30"/>
      <c r="H110" s="30"/>
      <c r="I110" s="70"/>
      <c r="K110" s="221" t="str">
        <f>"FROM ( 01-03-2024 to "&amp;TEXT(A5,"dd-mm-yyyy")&amp;" )"</f>
        <v>FROM ( 01-03-2024 to 21-03-2024 )</v>
      </c>
      <c r="L110" s="221"/>
      <c r="O110" s="70"/>
      <c r="P110" s="70"/>
    </row>
    <row r="111" spans="1:19" s="2" customFormat="1" x14ac:dyDescent="0.2">
      <c r="A111" s="24"/>
      <c r="B111" s="1"/>
      <c r="C111" s="78" t="s">
        <v>577</v>
      </c>
      <c r="D111" s="109">
        <f>D102+D109</f>
        <v>3572.87</v>
      </c>
      <c r="E111" s="104"/>
      <c r="G111" s="30"/>
      <c r="H111" s="30"/>
      <c r="I111" s="70"/>
      <c r="J111" s="113"/>
      <c r="K111" s="113" t="s">
        <v>709</v>
      </c>
      <c r="L111" s="113" t="s">
        <v>710</v>
      </c>
      <c r="M111" s="113" t="s">
        <v>711</v>
      </c>
      <c r="N111" s="113" t="s">
        <v>712</v>
      </c>
      <c r="O111" s="70"/>
      <c r="P111" s="70"/>
    </row>
    <row r="112" spans="1:19" s="2" customFormat="1" x14ac:dyDescent="0.2">
      <c r="A112" s="24"/>
      <c r="B112" s="1"/>
      <c r="C112" s="56"/>
      <c r="D112" s="56"/>
      <c r="E112" s="104"/>
      <c r="G112" s="30"/>
      <c r="H112" s="30"/>
      <c r="I112" s="70"/>
      <c r="J112" s="113" t="s">
        <v>1860</v>
      </c>
      <c r="K112" s="115">
        <v>195.8</v>
      </c>
      <c r="L112" s="115">
        <v>62.74</v>
      </c>
      <c r="M112" s="115">
        <v>0</v>
      </c>
      <c r="N112" s="113">
        <f>+K112+M112-L112</f>
        <v>133.06</v>
      </c>
      <c r="O112" s="70"/>
      <c r="P112" s="70"/>
    </row>
    <row r="113" spans="1:16" s="2" customFormat="1" ht="38.25" x14ac:dyDescent="0.2">
      <c r="A113" s="24"/>
      <c r="B113" s="1"/>
      <c r="C113" s="79" t="str">
        <f>"Particulars ( 01-03-2024 to "&amp;TEXT(A5,"dd-mm-yyyy")&amp;" )"</f>
        <v>Particulars ( 01-03-2024 to 21-03-2024 )</v>
      </c>
      <c r="D113" s="79" t="s">
        <v>7</v>
      </c>
      <c r="E113" s="80" t="s">
        <v>73</v>
      </c>
      <c r="F113" s="80" t="s">
        <v>74</v>
      </c>
      <c r="G113" s="81" t="s">
        <v>75</v>
      </c>
      <c r="H113" s="80" t="s">
        <v>76</v>
      </c>
      <c r="I113" s="70"/>
      <c r="J113" s="113" t="s">
        <v>1861</v>
      </c>
      <c r="K113" s="115">
        <v>1882.55</v>
      </c>
      <c r="L113" s="115">
        <v>795.68</v>
      </c>
      <c r="M113" s="115">
        <v>917.27</v>
      </c>
      <c r="N113" s="113">
        <f>+K113+M113-L113</f>
        <v>2004.1399999999999</v>
      </c>
      <c r="O113" s="70"/>
      <c r="P113" s="70"/>
    </row>
    <row r="114" spans="1:16" s="2" customFormat="1" x14ac:dyDescent="0.2">
      <c r="A114" s="24"/>
      <c r="B114" s="1"/>
      <c r="C114" s="50" t="s">
        <v>444</v>
      </c>
      <c r="D114" s="55">
        <f>+K114</f>
        <v>463.26</v>
      </c>
      <c r="E114" s="55">
        <f>+IF(M114=0,0,M114)</f>
        <v>580.33000000000004</v>
      </c>
      <c r="F114" s="55">
        <f>+L114</f>
        <v>221.96</v>
      </c>
      <c r="G114" s="55">
        <f>+D114+E114-F114</f>
        <v>821.63000000000011</v>
      </c>
      <c r="H114" s="55">
        <f>1500-G114</f>
        <v>678.36999999999989</v>
      </c>
      <c r="I114" s="70">
        <f>+IF(M114=0,0,M114)</f>
        <v>580.33000000000004</v>
      </c>
      <c r="J114" s="113" t="s">
        <v>707</v>
      </c>
      <c r="K114" s="115">
        <v>463.26</v>
      </c>
      <c r="L114" s="115">
        <v>221.96</v>
      </c>
      <c r="M114" s="115">
        <v>580.33000000000004</v>
      </c>
      <c r="N114" s="113">
        <f>+K114+M114-L114</f>
        <v>821.63000000000011</v>
      </c>
      <c r="O114" s="70"/>
      <c r="P114" s="70"/>
    </row>
    <row r="115" spans="1:16" s="2" customFormat="1" x14ac:dyDescent="0.2">
      <c r="A115" s="24"/>
      <c r="B115" s="1"/>
      <c r="C115" s="50" t="s">
        <v>71</v>
      </c>
      <c r="D115" s="55">
        <f>+K112+K113</f>
        <v>2078.35</v>
      </c>
      <c r="E115" s="55">
        <f>+M112+M113</f>
        <v>917.27</v>
      </c>
      <c r="F115" s="55">
        <f>+L112+L113</f>
        <v>858.42</v>
      </c>
      <c r="G115" s="55">
        <f>+D115+E115-F115</f>
        <v>2137.1999999999998</v>
      </c>
      <c r="H115" s="55">
        <f>1500+700+200-G115</f>
        <v>262.80000000000018</v>
      </c>
      <c r="I115" s="70"/>
      <c r="K115" s="118">
        <f>SUM(K112:K114)</f>
        <v>2541.6099999999997</v>
      </c>
      <c r="L115" s="118">
        <f>SUM(L112:L114)</f>
        <v>1080.3799999999999</v>
      </c>
      <c r="M115" s="118">
        <f>SUM(M112:M114)</f>
        <v>1497.6</v>
      </c>
      <c r="N115" s="118">
        <f>SUM(N112:N114)</f>
        <v>2958.83</v>
      </c>
      <c r="O115" s="70"/>
      <c r="P115" s="70"/>
    </row>
    <row r="116" spans="1:16" s="2" customFormat="1" x14ac:dyDescent="0.2">
      <c r="A116" s="24"/>
      <c r="B116" s="1"/>
      <c r="C116" s="14"/>
      <c r="D116" s="56"/>
      <c r="E116" s="13"/>
      <c r="G116" s="30"/>
      <c r="H116" s="30"/>
      <c r="I116" s="70"/>
      <c r="J116" s="70"/>
      <c r="K116" s="70"/>
      <c r="L116" s="70"/>
      <c r="M116" s="70"/>
      <c r="N116" s="70"/>
      <c r="O116" s="70"/>
      <c r="P116" s="70"/>
    </row>
    <row r="117" spans="1:16" s="2" customFormat="1" x14ac:dyDescent="0.2">
      <c r="A117" s="215" t="s">
        <v>80</v>
      </c>
      <c r="B117" s="216"/>
      <c r="C117" s="216"/>
      <c r="D117" s="217"/>
      <c r="E117" s="69"/>
      <c r="F117" s="70"/>
      <c r="G117" s="30"/>
      <c r="H117" s="30"/>
      <c r="I117" s="70"/>
      <c r="J117" s="70"/>
      <c r="K117" s="70"/>
      <c r="L117" s="70"/>
      <c r="M117" s="70"/>
      <c r="N117" s="70"/>
      <c r="O117" s="70"/>
      <c r="P117" s="70"/>
    </row>
    <row r="118" spans="1:16" s="2" customFormat="1" x14ac:dyDescent="0.2">
      <c r="A118" s="71" t="s">
        <v>81</v>
      </c>
      <c r="B118" s="71"/>
      <c r="C118" s="72" t="s">
        <v>82</v>
      </c>
      <c r="D118" s="73" t="s">
        <v>83</v>
      </c>
      <c r="E118" s="69"/>
      <c r="F118" s="70"/>
      <c r="G118" s="30"/>
      <c r="H118" s="30"/>
      <c r="I118" s="70"/>
      <c r="J118" s="70"/>
      <c r="K118" s="70"/>
      <c r="L118" s="70"/>
      <c r="M118" s="70"/>
      <c r="N118" s="70"/>
      <c r="O118" s="70"/>
      <c r="P118" s="70"/>
    </row>
    <row r="119" spans="1:16" s="2" customFormat="1" x14ac:dyDescent="0.2">
      <c r="A119" s="87">
        <v>45352</v>
      </c>
      <c r="B119" s="120" t="s">
        <v>6</v>
      </c>
      <c r="C119" s="75" t="s">
        <v>594</v>
      </c>
      <c r="D119" s="88">
        <v>2143144</v>
      </c>
      <c r="G119" s="30"/>
      <c r="H119" s="30"/>
      <c r="P119" s="70"/>
    </row>
    <row r="120" spans="1:16" s="2" customFormat="1" x14ac:dyDescent="0.2">
      <c r="A120" s="87">
        <v>45352</v>
      </c>
      <c r="B120" s="120" t="s">
        <v>6</v>
      </c>
      <c r="C120" s="75" t="s">
        <v>271</v>
      </c>
      <c r="D120" s="88">
        <v>1493463</v>
      </c>
      <c r="G120" s="30"/>
      <c r="H120" s="30"/>
      <c r="P120" s="70"/>
    </row>
    <row r="121" spans="1:16" s="2" customFormat="1" x14ac:dyDescent="0.2">
      <c r="A121" s="87">
        <v>45354</v>
      </c>
      <c r="B121" s="120" t="s">
        <v>6</v>
      </c>
      <c r="C121" s="75" t="s">
        <v>270</v>
      </c>
      <c r="D121" s="88">
        <v>187299</v>
      </c>
      <c r="G121" s="30"/>
      <c r="H121" s="30"/>
      <c r="P121" s="70"/>
    </row>
    <row r="122" spans="1:16" s="2" customFormat="1" x14ac:dyDescent="0.2">
      <c r="A122" s="87">
        <v>45356</v>
      </c>
      <c r="B122" s="120" t="s">
        <v>6</v>
      </c>
      <c r="C122" s="75" t="s">
        <v>84</v>
      </c>
      <c r="D122" s="88">
        <v>3111466</v>
      </c>
      <c r="G122" s="30"/>
      <c r="H122" s="30"/>
      <c r="P122" s="70"/>
    </row>
    <row r="123" spans="1:16" s="2" customFormat="1" x14ac:dyDescent="0.2">
      <c r="A123" s="87">
        <v>45356</v>
      </c>
      <c r="B123" s="120" t="s">
        <v>6</v>
      </c>
      <c r="C123" s="75" t="s">
        <v>271</v>
      </c>
      <c r="D123" s="88">
        <v>1369091</v>
      </c>
      <c r="G123" s="30"/>
      <c r="H123" s="30"/>
      <c r="P123" s="70"/>
    </row>
    <row r="124" spans="1:16" s="2" customFormat="1" x14ac:dyDescent="0.2">
      <c r="A124" s="87">
        <v>45357</v>
      </c>
      <c r="B124" s="120" t="s">
        <v>6</v>
      </c>
      <c r="C124" s="75" t="s">
        <v>271</v>
      </c>
      <c r="D124" s="88">
        <v>1393433</v>
      </c>
      <c r="G124" s="30"/>
      <c r="H124" s="30"/>
      <c r="P124" s="70"/>
    </row>
    <row r="125" spans="1:16" s="2" customFormat="1" x14ac:dyDescent="0.2">
      <c r="A125" s="87">
        <v>45359</v>
      </c>
      <c r="B125" s="120" t="s">
        <v>6</v>
      </c>
      <c r="C125" s="75" t="s">
        <v>271</v>
      </c>
      <c r="D125" s="88">
        <v>730944</v>
      </c>
      <c r="G125" s="30"/>
      <c r="H125" s="30"/>
      <c r="P125" s="70"/>
    </row>
    <row r="126" spans="1:16" s="2" customFormat="1" x14ac:dyDescent="0.2">
      <c r="A126" s="87">
        <v>45359</v>
      </c>
      <c r="B126" s="120" t="s">
        <v>6</v>
      </c>
      <c r="C126" s="75" t="s">
        <v>18</v>
      </c>
      <c r="D126" s="88">
        <v>19228</v>
      </c>
      <c r="G126" s="30"/>
      <c r="H126" s="30"/>
      <c r="P126" s="70"/>
    </row>
    <row r="127" spans="1:16" s="2" customFormat="1" x14ac:dyDescent="0.2">
      <c r="A127" s="87">
        <v>45362</v>
      </c>
      <c r="B127" s="120" t="s">
        <v>6</v>
      </c>
      <c r="C127" s="75" t="s">
        <v>1789</v>
      </c>
      <c r="D127" s="88">
        <v>2568137</v>
      </c>
      <c r="G127" s="30"/>
      <c r="H127" s="30"/>
      <c r="P127" s="70"/>
    </row>
    <row r="128" spans="1:16" s="2" customFormat="1" x14ac:dyDescent="0.2">
      <c r="A128" s="87">
        <v>45362</v>
      </c>
      <c r="B128" s="120" t="s">
        <v>6</v>
      </c>
      <c r="C128" s="75" t="s">
        <v>85</v>
      </c>
      <c r="D128" s="88">
        <v>39949</v>
      </c>
      <c r="G128" s="30"/>
      <c r="H128" s="30"/>
      <c r="P128" s="70"/>
    </row>
    <row r="129" spans="1:16" s="2" customFormat="1" x14ac:dyDescent="0.2">
      <c r="A129" s="87">
        <v>45362</v>
      </c>
      <c r="B129" s="120" t="s">
        <v>6</v>
      </c>
      <c r="C129" s="75" t="s">
        <v>85</v>
      </c>
      <c r="D129" s="88">
        <v>219691</v>
      </c>
      <c r="G129" s="30"/>
      <c r="H129" s="30"/>
      <c r="P129" s="70"/>
    </row>
    <row r="130" spans="1:16" s="2" customFormat="1" x14ac:dyDescent="0.2">
      <c r="A130" s="87">
        <v>45363</v>
      </c>
      <c r="B130" s="120" t="s">
        <v>6</v>
      </c>
      <c r="C130" s="75" t="s">
        <v>271</v>
      </c>
      <c r="D130" s="88">
        <v>952416</v>
      </c>
      <c r="G130" s="30"/>
      <c r="H130" s="30"/>
      <c r="P130" s="70"/>
    </row>
    <row r="131" spans="1:16" s="2" customFormat="1" x14ac:dyDescent="0.2">
      <c r="A131" s="87">
        <v>45363</v>
      </c>
      <c r="B131" s="120" t="s">
        <v>6</v>
      </c>
      <c r="C131" s="75" t="s">
        <v>18</v>
      </c>
      <c r="D131" s="88">
        <v>591483</v>
      </c>
      <c r="G131" s="30"/>
      <c r="H131" s="30"/>
      <c r="P131" s="70"/>
    </row>
    <row r="132" spans="1:16" s="2" customFormat="1" x14ac:dyDescent="0.2">
      <c r="A132" s="87">
        <v>45364</v>
      </c>
      <c r="B132" s="120" t="s">
        <v>6</v>
      </c>
      <c r="C132" s="75" t="s">
        <v>85</v>
      </c>
      <c r="D132" s="88">
        <v>701638</v>
      </c>
      <c r="G132" s="30"/>
      <c r="H132" s="30"/>
      <c r="P132" s="70"/>
    </row>
    <row r="133" spans="1:16" s="2" customFormat="1" x14ac:dyDescent="0.2">
      <c r="A133" s="87">
        <v>45364</v>
      </c>
      <c r="B133" s="120" t="s">
        <v>6</v>
      </c>
      <c r="C133" s="75" t="s">
        <v>86</v>
      </c>
      <c r="D133" s="88">
        <v>1887871</v>
      </c>
      <c r="G133" s="30"/>
      <c r="H133" s="30"/>
      <c r="P133" s="70"/>
    </row>
    <row r="134" spans="1:16" s="2" customFormat="1" x14ac:dyDescent="0.2">
      <c r="A134" s="87">
        <v>45365</v>
      </c>
      <c r="B134" s="120" t="s">
        <v>6</v>
      </c>
      <c r="C134" s="75" t="s">
        <v>18</v>
      </c>
      <c r="D134" s="88">
        <v>1006330</v>
      </c>
      <c r="G134" s="30"/>
      <c r="H134" s="30"/>
      <c r="P134" s="70"/>
    </row>
    <row r="135" spans="1:16" s="2" customFormat="1" x14ac:dyDescent="0.2">
      <c r="A135" s="87">
        <v>45365</v>
      </c>
      <c r="B135" s="120" t="s">
        <v>6</v>
      </c>
      <c r="C135" s="75" t="s">
        <v>18</v>
      </c>
      <c r="D135" s="88">
        <v>5597</v>
      </c>
      <c r="G135" s="30"/>
      <c r="H135" s="30"/>
      <c r="P135" s="70"/>
    </row>
    <row r="136" spans="1:16" s="2" customFormat="1" x14ac:dyDescent="0.2">
      <c r="A136" s="87">
        <v>45366</v>
      </c>
      <c r="B136" s="120" t="s">
        <v>6</v>
      </c>
      <c r="C136" s="75" t="s">
        <v>201</v>
      </c>
      <c r="D136" s="88">
        <v>6161756</v>
      </c>
      <c r="G136" s="30"/>
      <c r="H136" s="30"/>
      <c r="P136" s="70"/>
    </row>
    <row r="137" spans="1:16" s="2" customFormat="1" x14ac:dyDescent="0.2">
      <c r="A137" s="87">
        <v>45366</v>
      </c>
      <c r="B137" s="120" t="s">
        <v>6</v>
      </c>
      <c r="C137" s="75" t="s">
        <v>1789</v>
      </c>
      <c r="D137" s="88">
        <v>7500000</v>
      </c>
      <c r="G137" s="30"/>
      <c r="H137" s="30"/>
      <c r="P137" s="70"/>
    </row>
    <row r="138" spans="1:16" s="2" customFormat="1" x14ac:dyDescent="0.2">
      <c r="A138" s="87">
        <v>45366</v>
      </c>
      <c r="B138" s="120" t="s">
        <v>6</v>
      </c>
      <c r="C138" s="75" t="s">
        <v>85</v>
      </c>
      <c r="D138" s="88">
        <v>306349</v>
      </c>
      <c r="G138" s="30"/>
      <c r="H138" s="30"/>
      <c r="P138" s="70"/>
    </row>
    <row r="139" spans="1:16" s="2" customFormat="1" x14ac:dyDescent="0.2">
      <c r="A139" s="87">
        <v>45366</v>
      </c>
      <c r="B139" s="120" t="s">
        <v>6</v>
      </c>
      <c r="C139" s="75" t="s">
        <v>85</v>
      </c>
      <c r="D139" s="88">
        <v>400000</v>
      </c>
      <c r="G139" s="30"/>
      <c r="H139" s="30"/>
      <c r="P139" s="70"/>
    </row>
    <row r="140" spans="1:16" s="2" customFormat="1" x14ac:dyDescent="0.2">
      <c r="A140" s="87">
        <v>45366</v>
      </c>
      <c r="B140" s="120" t="s">
        <v>6</v>
      </c>
      <c r="C140" s="75" t="s">
        <v>87</v>
      </c>
      <c r="D140" s="88">
        <v>4850915</v>
      </c>
      <c r="G140" s="30"/>
      <c r="H140" s="30"/>
      <c r="P140" s="70"/>
    </row>
    <row r="141" spans="1:16" s="2" customFormat="1" x14ac:dyDescent="0.2">
      <c r="A141" s="87">
        <v>45366</v>
      </c>
      <c r="B141" s="120" t="s">
        <v>6</v>
      </c>
      <c r="C141" s="75" t="s">
        <v>88</v>
      </c>
      <c r="D141" s="88">
        <v>5232207.0599999996</v>
      </c>
      <c r="G141" s="30"/>
      <c r="H141" s="30"/>
      <c r="P141" s="70"/>
    </row>
    <row r="142" spans="1:16" s="2" customFormat="1" x14ac:dyDescent="0.2">
      <c r="A142" s="87">
        <v>45366</v>
      </c>
      <c r="B142" s="120" t="s">
        <v>6</v>
      </c>
      <c r="C142" s="75" t="s">
        <v>201</v>
      </c>
      <c r="D142" s="88">
        <v>9960808.3800000008</v>
      </c>
      <c r="G142" s="30"/>
      <c r="H142" s="30"/>
      <c r="P142" s="70"/>
    </row>
    <row r="143" spans="1:16" s="2" customFormat="1" x14ac:dyDescent="0.2">
      <c r="A143" s="87">
        <v>45366</v>
      </c>
      <c r="B143" s="120" t="s">
        <v>6</v>
      </c>
      <c r="C143" s="75" t="s">
        <v>86</v>
      </c>
      <c r="D143" s="88">
        <v>7162826</v>
      </c>
      <c r="G143" s="30"/>
      <c r="H143" s="30"/>
      <c r="P143" s="70"/>
    </row>
    <row r="144" spans="1:16" s="2" customFormat="1" x14ac:dyDescent="0.2">
      <c r="A144" s="87">
        <v>45366</v>
      </c>
      <c r="B144" s="120" t="s">
        <v>6</v>
      </c>
      <c r="C144" s="75" t="s">
        <v>323</v>
      </c>
      <c r="D144" s="88">
        <v>1044131</v>
      </c>
      <c r="G144" s="30"/>
      <c r="H144" s="30"/>
      <c r="P144" s="70"/>
    </row>
    <row r="145" spans="1:16" s="2" customFormat="1" x14ac:dyDescent="0.2">
      <c r="A145" s="87">
        <v>45366</v>
      </c>
      <c r="B145" s="120" t="s">
        <v>6</v>
      </c>
      <c r="C145" s="75" t="s">
        <v>1789</v>
      </c>
      <c r="D145" s="88">
        <v>39309</v>
      </c>
      <c r="G145" s="30"/>
      <c r="H145" s="30"/>
      <c r="P145" s="70"/>
    </row>
    <row r="146" spans="1:16" s="2" customFormat="1" x14ac:dyDescent="0.2">
      <c r="A146" s="87">
        <v>45366</v>
      </c>
      <c r="B146" s="120" t="s">
        <v>6</v>
      </c>
      <c r="C146" s="75" t="s">
        <v>88</v>
      </c>
      <c r="D146" s="88">
        <v>30421</v>
      </c>
      <c r="G146" s="30"/>
      <c r="H146" s="30"/>
      <c r="P146" s="70"/>
    </row>
    <row r="147" spans="1:16" s="2" customFormat="1" x14ac:dyDescent="0.2">
      <c r="A147" s="87">
        <v>45366</v>
      </c>
      <c r="B147" s="120" t="s">
        <v>6</v>
      </c>
      <c r="C147" s="75" t="s">
        <v>270</v>
      </c>
      <c r="D147" s="88">
        <v>76786</v>
      </c>
      <c r="G147" s="30"/>
      <c r="H147" s="30"/>
      <c r="P147" s="70"/>
    </row>
    <row r="148" spans="1:16" s="2" customFormat="1" x14ac:dyDescent="0.2">
      <c r="A148" s="87">
        <v>45366</v>
      </c>
      <c r="B148" s="120" t="s">
        <v>6</v>
      </c>
      <c r="C148" s="75" t="s">
        <v>270</v>
      </c>
      <c r="D148" s="88">
        <v>30283.5</v>
      </c>
      <c r="G148" s="30"/>
      <c r="H148" s="30"/>
      <c r="P148" s="70"/>
    </row>
    <row r="149" spans="1:16" s="2" customFormat="1" x14ac:dyDescent="0.2">
      <c r="A149" s="87">
        <v>45367</v>
      </c>
      <c r="B149" s="120" t="s">
        <v>6</v>
      </c>
      <c r="C149" s="75" t="s">
        <v>594</v>
      </c>
      <c r="D149" s="88">
        <v>5010276</v>
      </c>
      <c r="G149" s="30"/>
      <c r="H149" s="30"/>
      <c r="P149" s="70"/>
    </row>
    <row r="150" spans="1:16" s="2" customFormat="1" x14ac:dyDescent="0.2">
      <c r="A150" s="87">
        <v>45369</v>
      </c>
      <c r="B150" s="120" t="s">
        <v>6</v>
      </c>
      <c r="C150" s="75" t="s">
        <v>86</v>
      </c>
      <c r="D150" s="88">
        <v>5267306</v>
      </c>
      <c r="G150" s="30"/>
      <c r="H150" s="30"/>
      <c r="P150" s="70"/>
    </row>
    <row r="151" spans="1:16" s="2" customFormat="1" x14ac:dyDescent="0.2">
      <c r="A151" s="87">
        <v>45371</v>
      </c>
      <c r="B151" s="120" t="s">
        <v>6</v>
      </c>
      <c r="C151" s="75" t="s">
        <v>1789</v>
      </c>
      <c r="D151" s="88">
        <v>7500000</v>
      </c>
      <c r="G151" s="30"/>
      <c r="H151" s="30"/>
      <c r="P151" s="70"/>
    </row>
    <row r="152" spans="1:16" s="2" customFormat="1" x14ac:dyDescent="0.2">
      <c r="A152" s="87">
        <v>45372</v>
      </c>
      <c r="B152" s="120" t="s">
        <v>6</v>
      </c>
      <c r="C152" s="75" t="s">
        <v>85</v>
      </c>
      <c r="D152" s="88">
        <v>408027</v>
      </c>
      <c r="G152" s="30"/>
      <c r="H152" s="30"/>
      <c r="P152" s="70"/>
    </row>
    <row r="153" spans="1:16" s="2" customFormat="1" x14ac:dyDescent="0.2">
      <c r="A153" s="87"/>
      <c r="B153" s="74"/>
      <c r="C153" s="183" t="s">
        <v>2141</v>
      </c>
      <c r="D153" s="51">
        <f>SUM(D119:D152)</f>
        <v>79402580.939999998</v>
      </c>
      <c r="F153" s="2" t="s">
        <v>396</v>
      </c>
      <c r="G153" s="1"/>
      <c r="H153" s="1"/>
      <c r="P153" s="70"/>
    </row>
    <row r="154" spans="1:16" s="2" customFormat="1" x14ac:dyDescent="0.2">
      <c r="A154" s="24"/>
      <c r="B154" s="1"/>
      <c r="C154" s="14"/>
      <c r="D154" s="56"/>
      <c r="E154" s="13"/>
      <c r="G154" s="1"/>
      <c r="H154" s="1"/>
      <c r="I154" s="2" t="s">
        <v>396</v>
      </c>
    </row>
    <row r="155" spans="1:16" s="2" customFormat="1" x14ac:dyDescent="0.2">
      <c r="A155" s="24"/>
      <c r="B155" s="1"/>
      <c r="C155" s="218" t="s">
        <v>77</v>
      </c>
      <c r="D155" s="219"/>
      <c r="E155" s="219"/>
      <c r="F155" s="220"/>
      <c r="I155" s="2" t="s">
        <v>396</v>
      </c>
    </row>
    <row r="156" spans="1:16" s="2" customFormat="1" x14ac:dyDescent="0.2">
      <c r="A156" s="24"/>
      <c r="B156" s="1"/>
      <c r="C156" s="50"/>
      <c r="D156" s="57" t="s">
        <v>78</v>
      </c>
      <c r="E156" s="58" t="s">
        <v>79</v>
      </c>
      <c r="F156" s="57" t="s">
        <v>72</v>
      </c>
    </row>
    <row r="157" spans="1:16" s="2" customFormat="1" x14ac:dyDescent="0.2">
      <c r="A157" s="24"/>
      <c r="B157" s="1"/>
      <c r="C157" s="59" t="str">
        <f>"01-03-2024 to "&amp;TEXT(A5-2,"dd-mm-yyyy")</f>
        <v>01-03-2024 to 19-03-2024</v>
      </c>
      <c r="D157" s="60">
        <v>3057.48</v>
      </c>
      <c r="E157" s="60">
        <v>476.41</v>
      </c>
      <c r="F157" s="61">
        <f>SUM(D157:E157)</f>
        <v>3533.89</v>
      </c>
      <c r="I157" s="53"/>
    </row>
    <row r="158" spans="1:16" s="2" customFormat="1" x14ac:dyDescent="0.2">
      <c r="A158" s="24"/>
      <c r="B158" s="1"/>
      <c r="C158" s="62" t="str">
        <f>TEXT(A5-1,"dd-mm-yyyy")</f>
        <v>20-03-2024</v>
      </c>
      <c r="D158" s="60">
        <v>283.36</v>
      </c>
      <c r="E158" s="60">
        <v>20.29</v>
      </c>
      <c r="F158" s="61">
        <f>SUM(D158:E158)</f>
        <v>303.65000000000003</v>
      </c>
      <c r="G158" s="1"/>
      <c r="H158" s="1"/>
      <c r="I158" s="53"/>
    </row>
    <row r="159" spans="1:16" s="2" customFormat="1" ht="13.5" thickBot="1" x14ac:dyDescent="0.25">
      <c r="A159" s="24"/>
      <c r="B159" s="1"/>
      <c r="C159" s="63" t="str">
        <f>"01-03-2024 to "&amp;TEXT(A5-1,"dd-mm-yyyy")</f>
        <v>01-03-2024 to 20-03-2024</v>
      </c>
      <c r="D159" s="64">
        <f>SUM(D157:D158)</f>
        <v>3340.84</v>
      </c>
      <c r="E159" s="64">
        <f>SUM(E157:E158)</f>
        <v>496.70000000000005</v>
      </c>
      <c r="F159" s="64">
        <f>SUM(F157:F158)</f>
        <v>3837.54</v>
      </c>
      <c r="G159" s="1"/>
      <c r="H159" s="1"/>
      <c r="M159" s="1"/>
      <c r="N159" s="1"/>
    </row>
    <row r="160" spans="1:16" s="2" customFormat="1" ht="13.5" thickTop="1" x14ac:dyDescent="0.2">
      <c r="A160" s="24"/>
      <c r="B160" s="1"/>
      <c r="C160" s="62"/>
      <c r="D160" s="65"/>
      <c r="E160" s="66"/>
      <c r="F160" s="67"/>
      <c r="M160" s="1"/>
      <c r="N160" s="1"/>
    </row>
    <row r="161" spans="1:19" s="2" customFormat="1" x14ac:dyDescent="0.2">
      <c r="A161" s="24"/>
      <c r="B161" s="1"/>
      <c r="C161" s="62" t="str">
        <f>"01-04-2023 to " &amp;C158</f>
        <v>01-04-2023 to 20-03-2024</v>
      </c>
      <c r="D161" s="68">
        <f>+D159+41133.42</f>
        <v>44474.259999999995</v>
      </c>
      <c r="E161" s="68">
        <f>+E159+5183.37</f>
        <v>5680.07</v>
      </c>
      <c r="F161" s="68">
        <f>+F159+46316.49</f>
        <v>50154.03</v>
      </c>
      <c r="G161" s="1"/>
      <c r="H161" s="1"/>
      <c r="M161" s="1"/>
      <c r="N161" s="1"/>
    </row>
    <row r="162" spans="1:19" s="2" customFormat="1" x14ac:dyDescent="0.2">
      <c r="A162" s="24"/>
      <c r="B162" s="1"/>
      <c r="C162" s="52"/>
      <c r="D162" s="85"/>
      <c r="E162" s="53"/>
      <c r="F162" s="53"/>
      <c r="G162" s="1"/>
      <c r="H162" s="1"/>
      <c r="M162" s="1"/>
      <c r="N162" s="1"/>
    </row>
    <row r="163" spans="1:19" s="2" customFormat="1" x14ac:dyDescent="0.2">
      <c r="A163" s="24"/>
      <c r="B163" s="1"/>
      <c r="C163" s="52"/>
      <c r="D163" s="85"/>
      <c r="E163" s="53"/>
      <c r="F163" s="53"/>
      <c r="G163" s="1"/>
      <c r="H163" s="1"/>
      <c r="M163" s="1"/>
      <c r="N163" s="1"/>
    </row>
    <row r="164" spans="1:19" s="2" customFormat="1" x14ac:dyDescent="0.2">
      <c r="A164" s="24"/>
      <c r="B164" s="1"/>
      <c r="C164" s="52"/>
      <c r="D164" s="85"/>
      <c r="E164" s="53"/>
      <c r="F164" s="53"/>
      <c r="G164" s="1"/>
      <c r="H164" s="1"/>
      <c r="M164" s="1"/>
      <c r="N164" s="1"/>
    </row>
    <row r="165" spans="1:19" s="2" customFormat="1" x14ac:dyDescent="0.2">
      <c r="A165" s="24"/>
      <c r="B165" s="1"/>
      <c r="C165" s="52"/>
      <c r="D165" s="85"/>
      <c r="E165" s="53"/>
      <c r="F165" s="53"/>
      <c r="G165" s="1"/>
      <c r="H165" s="1"/>
      <c r="M165" s="1"/>
      <c r="N165" s="1"/>
    </row>
    <row r="166" spans="1:19" s="2" customFormat="1" x14ac:dyDescent="0.2">
      <c r="A166" s="24"/>
      <c r="B166" s="1"/>
      <c r="C166" s="14"/>
      <c r="D166" s="25">
        <f>SUM(D163:D165)</f>
        <v>0</v>
      </c>
      <c r="E166" s="2">
        <f>SUM(E163:E165)</f>
        <v>0</v>
      </c>
      <c r="G166" s="1"/>
      <c r="H166" s="1"/>
      <c r="M166" s="1"/>
      <c r="N166" s="1"/>
    </row>
    <row r="167" spans="1:19" s="2" customFormat="1" x14ac:dyDescent="0.2">
      <c r="A167" s="24"/>
      <c r="B167" s="1"/>
      <c r="C167" s="14"/>
      <c r="D167" s="25"/>
      <c r="G167" s="1"/>
      <c r="H167" s="1"/>
      <c r="M167" s="1"/>
      <c r="N167" s="1"/>
    </row>
    <row r="168" spans="1:19" s="2" customFormat="1" x14ac:dyDescent="0.2">
      <c r="A168" s="24"/>
      <c r="B168" s="1"/>
      <c r="C168" s="14"/>
      <c r="D168" s="25"/>
      <c r="G168" s="1"/>
      <c r="H168" s="1"/>
      <c r="M168" s="1"/>
      <c r="N168" s="1"/>
    </row>
    <row r="169" spans="1:19" s="2" customFormat="1" x14ac:dyDescent="0.2">
      <c r="A169" s="24"/>
      <c r="B169" s="1"/>
      <c r="C169" s="14"/>
      <c r="D169" s="25"/>
      <c r="G169" s="1"/>
      <c r="H169" s="1"/>
      <c r="M169" s="1"/>
      <c r="N169" s="1"/>
    </row>
    <row r="170" spans="1:19" s="2" customFormat="1" x14ac:dyDescent="0.2">
      <c r="A170" s="24"/>
      <c r="B170" s="1"/>
      <c r="C170" s="14"/>
      <c r="D170" s="25"/>
      <c r="G170" s="1"/>
      <c r="H170" s="1"/>
      <c r="M170" s="1"/>
      <c r="N170" s="1"/>
    </row>
    <row r="171" spans="1:19" s="2" customFormat="1" x14ac:dyDescent="0.2">
      <c r="A171" s="24"/>
      <c r="B171" s="1"/>
      <c r="C171" s="14"/>
      <c r="D171" s="25"/>
      <c r="G171" s="1"/>
      <c r="H171" s="1"/>
      <c r="M171" s="1"/>
      <c r="N171" s="1"/>
    </row>
    <row r="172" spans="1:19" s="2" customFormat="1" x14ac:dyDescent="0.2">
      <c r="A172" s="24"/>
      <c r="B172" s="1"/>
      <c r="C172" s="14"/>
      <c r="D172" s="25"/>
      <c r="G172" s="1"/>
      <c r="H172" s="1"/>
      <c r="M172" s="1"/>
      <c r="N172" s="1"/>
    </row>
    <row r="173" spans="1:19" s="2" customFormat="1" x14ac:dyDescent="0.2">
      <c r="A173" s="24"/>
      <c r="B173" s="1"/>
      <c r="C173" s="14"/>
      <c r="D173" s="25"/>
      <c r="G173" s="1"/>
      <c r="H173" s="1"/>
      <c r="M173" s="1"/>
      <c r="N173" s="1"/>
      <c r="Q173" s="1"/>
      <c r="R173" s="1"/>
      <c r="S173" s="1"/>
    </row>
    <row r="174" spans="1:19" x14ac:dyDescent="0.2">
      <c r="J174" s="2"/>
      <c r="K174" s="2"/>
      <c r="L174" s="2"/>
      <c r="O174" s="2"/>
      <c r="P174" s="2"/>
      <c r="Q174" s="2"/>
      <c r="R174" s="2"/>
      <c r="S174" s="2"/>
    </row>
    <row r="175" spans="1:19" s="2" customFormat="1" x14ac:dyDescent="0.2">
      <c r="A175" s="24"/>
      <c r="B175" s="1"/>
      <c r="C175" s="14"/>
      <c r="D175" s="25"/>
      <c r="G175" s="1"/>
      <c r="H175" s="1"/>
      <c r="M175" s="1"/>
      <c r="N175" s="1"/>
      <c r="Q175" s="1"/>
      <c r="R175" s="1"/>
      <c r="S175" s="1"/>
    </row>
    <row r="176" spans="1:19" x14ac:dyDescent="0.2">
      <c r="J176" s="2"/>
      <c r="K176" s="2"/>
      <c r="L176" s="2"/>
      <c r="O176" s="2"/>
      <c r="P176" s="2"/>
    </row>
    <row r="177" spans="7:16" x14ac:dyDescent="0.2">
      <c r="J177" s="2"/>
      <c r="K177" s="2"/>
      <c r="L177" s="2"/>
      <c r="O177" s="2"/>
      <c r="P177" s="2"/>
    </row>
    <row r="178" spans="7:16" x14ac:dyDescent="0.2">
      <c r="J178" s="2"/>
      <c r="K178" s="2"/>
      <c r="L178" s="2"/>
      <c r="O178" s="2"/>
      <c r="P178" s="2"/>
    </row>
    <row r="179" spans="7:16" x14ac:dyDescent="0.2">
      <c r="J179" s="2"/>
      <c r="K179" s="2"/>
      <c r="L179" s="2"/>
      <c r="O179" s="2"/>
      <c r="P179" s="2"/>
    </row>
    <row r="180" spans="7:16" x14ac:dyDescent="0.2">
      <c r="O180" s="2"/>
      <c r="P180" s="2"/>
    </row>
    <row r="181" spans="7:16" x14ac:dyDescent="0.2">
      <c r="J181" s="2"/>
      <c r="K181" s="2"/>
      <c r="L181" s="2"/>
      <c r="M181" s="2"/>
      <c r="N181" s="2"/>
      <c r="O181" s="2"/>
      <c r="P181" s="2"/>
    </row>
    <row r="182" spans="7:16" x14ac:dyDescent="0.2">
      <c r="O182" s="2"/>
      <c r="P182" s="2"/>
    </row>
    <row r="183" spans="7:16" x14ac:dyDescent="0.2">
      <c r="G183" s="54"/>
      <c r="H183" s="54"/>
      <c r="O183" s="2"/>
      <c r="P183" s="2"/>
    </row>
    <row r="184" spans="7:16" x14ac:dyDescent="0.2">
      <c r="G184" s="54"/>
      <c r="H184" s="54"/>
      <c r="O184" s="2"/>
      <c r="P184" s="2"/>
    </row>
    <row r="185" spans="7:16" x14ac:dyDescent="0.2">
      <c r="G185" s="54"/>
      <c r="H185" s="54"/>
      <c r="O185" s="2"/>
      <c r="P185" s="2"/>
    </row>
    <row r="186" spans="7:16" x14ac:dyDescent="0.2">
      <c r="G186" s="54"/>
      <c r="H186" s="54"/>
      <c r="I186" s="2" t="s">
        <v>396</v>
      </c>
      <c r="O186" s="2"/>
      <c r="P186" s="2"/>
    </row>
    <row r="187" spans="7:16" x14ac:dyDescent="0.2">
      <c r="G187" s="54"/>
      <c r="H187" s="54"/>
      <c r="I187" s="53"/>
      <c r="J187" s="2"/>
      <c r="K187" s="2"/>
      <c r="L187" s="2"/>
      <c r="M187" s="2"/>
      <c r="N187" s="2"/>
      <c r="P187" s="2"/>
    </row>
    <row r="188" spans="7:16" x14ac:dyDescent="0.2">
      <c r="G188" s="54"/>
      <c r="H188" s="54"/>
      <c r="I188" s="53" t="s">
        <v>396</v>
      </c>
      <c r="O188" s="2"/>
      <c r="P188" s="2"/>
    </row>
    <row r="189" spans="7:16" x14ac:dyDescent="0.2">
      <c r="G189" s="54"/>
      <c r="H189" s="54"/>
      <c r="I189" s="53" t="s">
        <v>396</v>
      </c>
      <c r="K189" s="42"/>
      <c r="P189" s="2"/>
    </row>
    <row r="190" spans="7:16" x14ac:dyDescent="0.2">
      <c r="G190" s="54"/>
      <c r="H190" s="54"/>
      <c r="I190" s="53"/>
      <c r="J190" s="101"/>
      <c r="P190" s="2"/>
    </row>
    <row r="191" spans="7:16" x14ac:dyDescent="0.2">
      <c r="G191" s="54"/>
      <c r="H191" s="54"/>
      <c r="I191" s="53"/>
    </row>
    <row r="192" spans="7:16" x14ac:dyDescent="0.2">
      <c r="G192" s="54"/>
      <c r="H192" s="54"/>
      <c r="I192" s="53"/>
      <c r="P192" s="2"/>
    </row>
    <row r="193" spans="7:9" x14ac:dyDescent="0.2">
      <c r="G193" s="54"/>
      <c r="H193" s="54"/>
      <c r="I193" s="53"/>
    </row>
  </sheetData>
  <sheetProtection insertRows="0"/>
  <mergeCells count="8">
    <mergeCell ref="K110:L110"/>
    <mergeCell ref="A117:D117"/>
    <mergeCell ref="C155:F155"/>
    <mergeCell ref="A1:H1"/>
    <mergeCell ref="A3:F3"/>
    <mergeCell ref="A9:F9"/>
    <mergeCell ref="A30:F30"/>
    <mergeCell ref="A60:F60"/>
  </mergeCells>
  <conditionalFormatting sqref="H114:H115">
    <cfRule type="cellIs" dxfId="15" priority="1" operator="lessThan">
      <formula>0</formula>
    </cfRule>
  </conditionalFormatting>
  <conditionalFormatting sqref="C62">
    <cfRule type="duplicateValues" dxfId="14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1-000000000000}">
  <sheetPr codeName="Sheet579">
    <pageSetUpPr fitToPage="1"/>
  </sheetPr>
  <dimension ref="A1:S238"/>
  <sheetViews>
    <sheetView topLeftCell="A130" zoomScaleNormal="100" workbookViewId="0">
      <selection activeCell="F136" sqref="F136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140625" style="2" bestFit="1" customWidth="1"/>
    <col min="7" max="7" width="12.85546875" style="1" bestFit="1" customWidth="1"/>
    <col min="8" max="8" width="12.85546875" style="1" customWidth="1"/>
    <col min="9" max="9" width="24.85546875" style="2" bestFit="1" customWidth="1"/>
    <col min="10" max="10" width="21.5703125" style="1" bestFit="1" customWidth="1"/>
    <col min="11" max="11" width="16.85546875" style="1" bestFit="1" customWidth="1"/>
    <col min="12" max="12" width="19.5703125" style="1" bestFit="1" customWidth="1"/>
    <col min="13" max="13" width="13.5703125" style="1" bestFit="1" customWidth="1"/>
    <col min="14" max="14" width="17.42578125" style="1" bestFit="1" customWidth="1"/>
    <col min="15" max="15" width="14.5703125" style="1" bestFit="1" customWidth="1"/>
    <col min="16" max="16" width="13.5703125" style="1" bestFit="1" customWidth="1"/>
    <col min="17" max="17" width="9.140625" style="1"/>
    <col min="18" max="18" width="15.5703125" style="1" bestFit="1" customWidth="1"/>
    <col min="19" max="16384" width="9.140625" style="1"/>
  </cols>
  <sheetData>
    <row r="1" spans="1:11" ht="20.25" customHeight="1" x14ac:dyDescent="0.4">
      <c r="A1" s="212" t="s">
        <v>2261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1" ht="12.75" customHeight="1" x14ac:dyDescent="0.4">
      <c r="I2" s="112"/>
      <c r="J2" s="112"/>
    </row>
    <row r="3" spans="1:11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1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1" s="2" customFormat="1" ht="14.25" customHeight="1" x14ac:dyDescent="0.4">
      <c r="A5" s="89">
        <v>45374</v>
      </c>
      <c r="B5" s="9" t="s">
        <v>6</v>
      </c>
      <c r="C5" s="10" t="s">
        <v>7</v>
      </c>
      <c r="D5" s="11"/>
      <c r="E5" s="12">
        <v>98894.84</v>
      </c>
      <c r="F5" s="12"/>
      <c r="G5" s="1"/>
      <c r="H5" s="1"/>
      <c r="I5" s="112"/>
      <c r="J5" s="112"/>
    </row>
    <row r="6" spans="1:11" s="2" customFormat="1" ht="12.75" customHeight="1" x14ac:dyDescent="0.2">
      <c r="D6" s="15" t="s">
        <v>8</v>
      </c>
      <c r="E6" s="16">
        <f>SUM(E5:E5)</f>
        <v>98894.84</v>
      </c>
      <c r="F6" s="16">
        <f>+F5</f>
        <v>0</v>
      </c>
      <c r="G6" s="1"/>
      <c r="H6" s="1"/>
      <c r="I6" s="13" t="s">
        <v>1582</v>
      </c>
      <c r="J6" s="13" t="s">
        <v>1583</v>
      </c>
    </row>
    <row r="7" spans="1:11" s="2" customFormat="1" ht="12.75" customHeight="1" x14ac:dyDescent="0.2">
      <c r="A7" s="17"/>
      <c r="B7" s="18"/>
      <c r="C7" s="19" t="s">
        <v>9</v>
      </c>
      <c r="D7" s="20"/>
      <c r="E7" s="21">
        <f>+E6-F6</f>
        <v>98894.84</v>
      </c>
      <c r="F7" s="22"/>
      <c r="G7" s="23"/>
      <c r="H7" s="23"/>
      <c r="I7" s="2">
        <v>0</v>
      </c>
      <c r="J7" s="2">
        <v>2209373.2999999998</v>
      </c>
      <c r="K7" s="176">
        <f>I7-J7</f>
        <v>-2209373.2999999998</v>
      </c>
    </row>
    <row r="8" spans="1:11" ht="11.25" customHeight="1" x14ac:dyDescent="0.4">
      <c r="I8" s="112"/>
      <c r="J8" s="112"/>
    </row>
    <row r="9" spans="1:11" ht="18" customHeight="1" x14ac:dyDescent="0.4">
      <c r="A9" s="213" t="s">
        <v>2103</v>
      </c>
      <c r="B9" s="213"/>
      <c r="C9" s="213"/>
      <c r="D9" s="213"/>
      <c r="E9" s="213"/>
      <c r="F9" s="213"/>
      <c r="I9" s="112"/>
      <c r="J9" s="112"/>
    </row>
    <row r="10" spans="1:11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I10" s="112"/>
      <c r="J10" s="112"/>
    </row>
    <row r="11" spans="1:11" ht="12.75" customHeight="1" x14ac:dyDescent="0.4">
      <c r="A11" s="89">
        <v>45374</v>
      </c>
      <c r="B11" s="9" t="s">
        <v>6</v>
      </c>
      <c r="C11" s="10" t="s">
        <v>7</v>
      </c>
      <c r="D11" s="11"/>
      <c r="E11" s="12">
        <v>239289.61000000034</v>
      </c>
      <c r="F11" s="1"/>
      <c r="I11" s="112"/>
      <c r="J11" s="112"/>
    </row>
    <row r="12" spans="1:11" ht="15.75" customHeight="1" x14ac:dyDescent="0.4">
      <c r="A12" s="89">
        <v>45374</v>
      </c>
      <c r="B12" s="9" t="s">
        <v>6</v>
      </c>
      <c r="C12" s="10" t="s">
        <v>2143</v>
      </c>
      <c r="D12" s="11" t="s">
        <v>13</v>
      </c>
      <c r="E12" s="12">
        <v>5809884.9100000001</v>
      </c>
      <c r="F12" s="86"/>
      <c r="I12" s="112"/>
      <c r="J12" s="112"/>
    </row>
    <row r="13" spans="1:11" ht="15.75" customHeight="1" x14ac:dyDescent="0.4">
      <c r="A13" s="89">
        <v>45374</v>
      </c>
      <c r="B13" s="9" t="s">
        <v>11</v>
      </c>
      <c r="C13" s="10" t="s">
        <v>1091</v>
      </c>
      <c r="D13" s="11" t="s">
        <v>29</v>
      </c>
      <c r="E13" s="12"/>
      <c r="F13" s="86">
        <v>3540</v>
      </c>
      <c r="I13" s="112"/>
      <c r="J13" s="112"/>
    </row>
    <row r="14" spans="1:11" ht="15.75" customHeight="1" x14ac:dyDescent="0.4">
      <c r="A14" s="89">
        <v>45374</v>
      </c>
      <c r="B14" s="9" t="s">
        <v>11</v>
      </c>
      <c r="C14" s="10" t="s">
        <v>1805</v>
      </c>
      <c r="D14" s="11" t="s">
        <v>29</v>
      </c>
      <c r="E14" s="12"/>
      <c r="F14" s="86">
        <v>500000</v>
      </c>
      <c r="I14" s="112"/>
      <c r="J14" s="112"/>
    </row>
    <row r="15" spans="1:11" ht="15.75" customHeight="1" x14ac:dyDescent="0.4">
      <c r="A15" s="89">
        <v>45374</v>
      </c>
      <c r="B15" s="9" t="s">
        <v>11</v>
      </c>
      <c r="C15" s="10" t="s">
        <v>2263</v>
      </c>
      <c r="D15" s="11" t="s">
        <v>29</v>
      </c>
      <c r="E15" s="12"/>
      <c r="F15" s="86">
        <v>1109896</v>
      </c>
      <c r="I15" s="112"/>
      <c r="J15" s="112"/>
    </row>
    <row r="16" spans="1:11" ht="12.75" customHeight="1" x14ac:dyDescent="0.2">
      <c r="A16" s="2"/>
      <c r="B16" s="2"/>
      <c r="C16" s="2"/>
      <c r="D16" s="11" t="s">
        <v>8</v>
      </c>
      <c r="E16" s="16">
        <f>SUM(E11:E15)</f>
        <v>6049174.5200000005</v>
      </c>
      <c r="F16" s="16">
        <f>SUM(F12:F15)</f>
        <v>1613436</v>
      </c>
      <c r="I16" s="13" t="s">
        <v>1582</v>
      </c>
      <c r="J16" s="13" t="s">
        <v>1583</v>
      </c>
    </row>
    <row r="17" spans="1:12" x14ac:dyDescent="0.2">
      <c r="A17" s="17"/>
      <c r="B17" s="18"/>
      <c r="C17" s="19" t="s">
        <v>9</v>
      </c>
      <c r="D17" s="20"/>
      <c r="E17" s="21">
        <f>+E16-F16</f>
        <v>4435738.5200000005</v>
      </c>
      <c r="I17" s="2">
        <v>6568</v>
      </c>
      <c r="J17" s="2">
        <v>668297.59</v>
      </c>
    </row>
    <row r="18" spans="1:12" ht="18" customHeight="1" x14ac:dyDescent="0.25">
      <c r="A18" s="36"/>
      <c r="B18" s="28"/>
      <c r="C18" s="44"/>
      <c r="D18" s="43"/>
      <c r="E18" s="38"/>
      <c r="F18" s="22"/>
      <c r="J18" s="2"/>
    </row>
    <row r="19" spans="1:12" ht="18" customHeight="1" x14ac:dyDescent="0.4">
      <c r="A19" s="213" t="s">
        <v>2104</v>
      </c>
      <c r="B19" s="213"/>
      <c r="C19" s="213"/>
      <c r="D19" s="213"/>
      <c r="E19" s="213"/>
      <c r="F19" s="213"/>
      <c r="I19" s="112"/>
      <c r="J19" s="169">
        <f>90000000-60000000</f>
        <v>30000000</v>
      </c>
      <c r="K19" s="169" t="s">
        <v>1508</v>
      </c>
    </row>
    <row r="20" spans="1:12" ht="12.75" customHeight="1" x14ac:dyDescent="0.4">
      <c r="A20" s="3" t="s">
        <v>1</v>
      </c>
      <c r="B20" s="4" t="s">
        <v>2</v>
      </c>
      <c r="C20" s="5"/>
      <c r="D20" s="6" t="s">
        <v>3</v>
      </c>
      <c r="E20" s="7" t="s">
        <v>4</v>
      </c>
      <c r="F20" s="7" t="s">
        <v>5</v>
      </c>
      <c r="I20" s="112"/>
      <c r="J20" s="169">
        <v>29132823.579999998</v>
      </c>
      <c r="K20" s="169" t="s">
        <v>1509</v>
      </c>
      <c r="L20" s="124"/>
    </row>
    <row r="21" spans="1:12" s="2" customFormat="1" ht="14.25" customHeight="1" x14ac:dyDescent="0.2">
      <c r="A21" s="89">
        <v>45374</v>
      </c>
      <c r="B21" s="9" t="s">
        <v>6</v>
      </c>
      <c r="C21" s="10" t="s">
        <v>7</v>
      </c>
      <c r="D21" s="11"/>
      <c r="F21" s="12">
        <v>29171159.199999996</v>
      </c>
      <c r="G21" s="1"/>
      <c r="H21" s="1"/>
      <c r="I21" s="130" t="s">
        <v>396</v>
      </c>
      <c r="J21" s="169">
        <f>+J19-J20</f>
        <v>867176.42000000179</v>
      </c>
      <c r="K21" s="169" t="s">
        <v>712</v>
      </c>
      <c r="L21" s="165" t="s">
        <v>1512</v>
      </c>
    </row>
    <row r="22" spans="1:12" s="2" customFormat="1" ht="14.25" customHeight="1" x14ac:dyDescent="0.25">
      <c r="A22" s="89">
        <v>45374</v>
      </c>
      <c r="B22" s="9" t="s">
        <v>6</v>
      </c>
      <c r="C22" t="s">
        <v>2260</v>
      </c>
      <c r="D22" s="11" t="s">
        <v>13</v>
      </c>
      <c r="E22">
        <v>3312499.42</v>
      </c>
      <c r="F22" s="12"/>
      <c r="G22" s="1"/>
      <c r="H22" s="1"/>
      <c r="I22" s="130"/>
      <c r="J22" s="169"/>
      <c r="K22" s="169"/>
      <c r="L22" s="165"/>
    </row>
    <row r="23" spans="1:12" s="2" customFormat="1" ht="14.25" customHeight="1" x14ac:dyDescent="0.25">
      <c r="A23" s="89">
        <v>45374</v>
      </c>
      <c r="B23" s="9" t="s">
        <v>11</v>
      </c>
      <c r="C23" t="s">
        <v>1269</v>
      </c>
      <c r="D23" s="11" t="s">
        <v>29</v>
      </c>
      <c r="F23">
        <v>783472</v>
      </c>
      <c r="G23" s="1"/>
      <c r="H23" s="1"/>
      <c r="I23" s="130"/>
      <c r="J23" s="169"/>
      <c r="K23" s="169"/>
      <c r="L23" s="165"/>
    </row>
    <row r="24" spans="1:12" s="2" customFormat="1" ht="14.25" customHeight="1" x14ac:dyDescent="0.25">
      <c r="A24" s="89">
        <v>45374</v>
      </c>
      <c r="B24" s="9" t="s">
        <v>11</v>
      </c>
      <c r="C24" t="s">
        <v>2074</v>
      </c>
      <c r="D24" s="11" t="s">
        <v>29</v>
      </c>
      <c r="F24">
        <v>7670</v>
      </c>
      <c r="G24" s="1"/>
      <c r="H24" s="1"/>
      <c r="I24" s="130"/>
      <c r="J24" s="169"/>
      <c r="K24" s="169"/>
      <c r="L24" s="165"/>
    </row>
    <row r="25" spans="1:12" s="2" customFormat="1" ht="14.25" customHeight="1" x14ac:dyDescent="0.25">
      <c r="A25" s="89">
        <v>45374</v>
      </c>
      <c r="B25" s="9" t="s">
        <v>11</v>
      </c>
      <c r="C25" t="s">
        <v>2272</v>
      </c>
      <c r="D25" s="11" t="s">
        <v>29</v>
      </c>
      <c r="F25">
        <v>27200</v>
      </c>
      <c r="G25" s="1"/>
      <c r="H25" s="1"/>
      <c r="I25" s="130"/>
      <c r="J25" s="169"/>
      <c r="K25" s="169"/>
      <c r="L25" s="165"/>
    </row>
    <row r="26" spans="1:12" s="2" customFormat="1" ht="14.25" customHeight="1" x14ac:dyDescent="0.25">
      <c r="A26" s="89">
        <v>45374</v>
      </c>
      <c r="B26" s="9" t="s">
        <v>11</v>
      </c>
      <c r="C26" t="s">
        <v>34</v>
      </c>
      <c r="D26" s="11" t="s">
        <v>29</v>
      </c>
      <c r="F26">
        <v>30000</v>
      </c>
      <c r="G26" s="1"/>
      <c r="H26" s="1"/>
      <c r="I26" s="130"/>
      <c r="J26" s="169"/>
      <c r="K26" s="169"/>
      <c r="L26" s="165"/>
    </row>
    <row r="27" spans="1:12" s="2" customFormat="1" ht="14.25" customHeight="1" x14ac:dyDescent="0.25">
      <c r="A27" s="89">
        <v>45374</v>
      </c>
      <c r="B27" s="9" t="s">
        <v>11</v>
      </c>
      <c r="C27" t="s">
        <v>62</v>
      </c>
      <c r="D27" s="11" t="s">
        <v>29</v>
      </c>
      <c r="F27">
        <v>50000</v>
      </c>
      <c r="G27" s="1"/>
      <c r="H27" s="1"/>
      <c r="I27" s="130"/>
      <c r="J27" s="169"/>
      <c r="K27" s="169"/>
      <c r="L27" s="165"/>
    </row>
    <row r="28" spans="1:12" s="2" customFormat="1" ht="14.25" customHeight="1" x14ac:dyDescent="0.25">
      <c r="A28" s="89">
        <v>45374</v>
      </c>
      <c r="B28" s="9" t="s">
        <v>11</v>
      </c>
      <c r="C28" t="s">
        <v>2271</v>
      </c>
      <c r="D28" s="11" t="s">
        <v>29</v>
      </c>
      <c r="F28">
        <v>14585</v>
      </c>
      <c r="G28" s="1"/>
      <c r="H28" s="1"/>
      <c r="I28" s="130"/>
      <c r="J28" s="169"/>
      <c r="K28" s="169"/>
      <c r="L28" s="165"/>
    </row>
    <row r="29" spans="1:12" s="2" customFormat="1" ht="14.25" customHeight="1" x14ac:dyDescent="0.25">
      <c r="A29" s="89">
        <v>45374</v>
      </c>
      <c r="B29" s="9" t="s">
        <v>11</v>
      </c>
      <c r="C29" t="s">
        <v>2270</v>
      </c>
      <c r="D29" s="11" t="s">
        <v>29</v>
      </c>
      <c r="F29">
        <v>4307</v>
      </c>
      <c r="G29" s="1"/>
      <c r="H29" s="1"/>
      <c r="I29" s="130"/>
      <c r="J29" s="169"/>
      <c r="K29" s="169"/>
      <c r="L29" s="165"/>
    </row>
    <row r="30" spans="1:12" s="2" customFormat="1" ht="14.25" customHeight="1" x14ac:dyDescent="0.25">
      <c r="A30" s="89">
        <v>45374</v>
      </c>
      <c r="B30" s="9" t="s">
        <v>11</v>
      </c>
      <c r="C30" t="s">
        <v>156</v>
      </c>
      <c r="D30" s="11" t="s">
        <v>29</v>
      </c>
      <c r="F30">
        <v>2037.8</v>
      </c>
      <c r="G30" s="1"/>
      <c r="H30" s="1"/>
      <c r="I30" s="130"/>
      <c r="J30" s="169"/>
      <c r="K30" s="169"/>
      <c r="L30" s="165"/>
    </row>
    <row r="31" spans="1:12" s="2" customFormat="1" ht="14.25" customHeight="1" x14ac:dyDescent="0.25">
      <c r="A31" s="89">
        <v>45374</v>
      </c>
      <c r="B31" s="9" t="s">
        <v>11</v>
      </c>
      <c r="C31" t="s">
        <v>1091</v>
      </c>
      <c r="D31" s="11" t="s">
        <v>29</v>
      </c>
      <c r="F31">
        <v>9086</v>
      </c>
      <c r="G31" s="1"/>
      <c r="H31" s="1"/>
      <c r="I31" s="130"/>
      <c r="J31" s="169"/>
      <c r="K31" s="169"/>
      <c r="L31" s="165"/>
    </row>
    <row r="32" spans="1:12" s="2" customFormat="1" ht="14.25" customHeight="1" x14ac:dyDescent="0.25">
      <c r="A32" s="89">
        <v>45374</v>
      </c>
      <c r="B32" s="9" t="s">
        <v>11</v>
      </c>
      <c r="C32" t="s">
        <v>348</v>
      </c>
      <c r="D32" s="11" t="s">
        <v>29</v>
      </c>
      <c r="F32">
        <v>99000</v>
      </c>
      <c r="G32" s="1"/>
      <c r="H32" s="1"/>
      <c r="I32" s="130"/>
      <c r="J32" s="169"/>
      <c r="K32" s="169"/>
      <c r="L32" s="165"/>
    </row>
    <row r="33" spans="1:12" s="2" customFormat="1" ht="14.25" customHeight="1" x14ac:dyDescent="0.25">
      <c r="A33" s="89">
        <v>45374</v>
      </c>
      <c r="B33" s="9" t="s">
        <v>11</v>
      </c>
      <c r="C33" t="s">
        <v>1137</v>
      </c>
      <c r="D33" s="11" t="s">
        <v>29</v>
      </c>
      <c r="F33">
        <v>32099</v>
      </c>
      <c r="G33" s="1"/>
      <c r="H33" s="1"/>
      <c r="I33" s="130"/>
      <c r="J33" s="169"/>
      <c r="K33" s="169"/>
      <c r="L33" s="165"/>
    </row>
    <row r="34" spans="1:12" s="2" customFormat="1" ht="14.25" customHeight="1" x14ac:dyDescent="0.25">
      <c r="A34" s="89">
        <v>45374</v>
      </c>
      <c r="B34" s="9" t="s">
        <v>11</v>
      </c>
      <c r="C34" t="s">
        <v>2269</v>
      </c>
      <c r="D34" s="11" t="s">
        <v>29</v>
      </c>
      <c r="F34">
        <v>150154</v>
      </c>
      <c r="G34" s="1"/>
      <c r="H34" s="1"/>
      <c r="I34" s="130"/>
      <c r="J34" s="169"/>
      <c r="K34" s="169"/>
      <c r="L34" s="165"/>
    </row>
    <row r="35" spans="1:12" s="2" customFormat="1" ht="14.25" customHeight="1" x14ac:dyDescent="0.25">
      <c r="A35" s="89">
        <v>45374</v>
      </c>
      <c r="B35" s="9" t="s">
        <v>11</v>
      </c>
      <c r="C35" t="s">
        <v>209</v>
      </c>
      <c r="D35" s="11" t="s">
        <v>29</v>
      </c>
      <c r="F35">
        <v>50000</v>
      </c>
      <c r="G35" s="1"/>
      <c r="H35" s="1"/>
      <c r="I35" s="130"/>
      <c r="J35" s="169"/>
      <c r="K35" s="169"/>
      <c r="L35" s="165"/>
    </row>
    <row r="36" spans="1:12" s="2" customFormat="1" ht="14.25" customHeight="1" x14ac:dyDescent="0.25">
      <c r="A36" s="89">
        <v>45374</v>
      </c>
      <c r="B36" s="9" t="s">
        <v>11</v>
      </c>
      <c r="C36" t="s">
        <v>2268</v>
      </c>
      <c r="D36" s="11" t="s">
        <v>29</v>
      </c>
      <c r="F36">
        <v>116640</v>
      </c>
      <c r="G36" s="1"/>
      <c r="H36" s="1"/>
      <c r="I36" s="130"/>
      <c r="J36" s="169"/>
      <c r="K36" s="169"/>
      <c r="L36" s="165"/>
    </row>
    <row r="37" spans="1:12" s="2" customFormat="1" ht="14.25" customHeight="1" x14ac:dyDescent="0.25">
      <c r="A37" s="89">
        <v>45374</v>
      </c>
      <c r="B37" s="9" t="s">
        <v>11</v>
      </c>
      <c r="C37" t="s">
        <v>397</v>
      </c>
      <c r="D37" s="11" t="s">
        <v>29</v>
      </c>
      <c r="F37">
        <v>181267</v>
      </c>
      <c r="G37" s="1"/>
      <c r="H37" s="1"/>
      <c r="I37" s="130"/>
      <c r="J37" s="169"/>
      <c r="K37" s="169"/>
      <c r="L37" s="165"/>
    </row>
    <row r="38" spans="1:12" s="2" customFormat="1" ht="14.25" customHeight="1" x14ac:dyDescent="0.25">
      <c r="A38" s="89">
        <v>45374</v>
      </c>
      <c r="B38" s="9" t="s">
        <v>11</v>
      </c>
      <c r="C38" t="s">
        <v>1599</v>
      </c>
      <c r="D38" s="11" t="s">
        <v>29</v>
      </c>
      <c r="F38">
        <v>33394</v>
      </c>
      <c r="G38" s="1"/>
      <c r="H38" s="1"/>
      <c r="I38" s="130"/>
      <c r="J38" s="169"/>
      <c r="K38" s="169"/>
      <c r="L38" s="165"/>
    </row>
    <row r="39" spans="1:12" s="2" customFormat="1" ht="14.25" customHeight="1" x14ac:dyDescent="0.25">
      <c r="A39" s="89">
        <v>45374</v>
      </c>
      <c r="B39" s="9" t="s">
        <v>11</v>
      </c>
      <c r="C39" t="s">
        <v>2205</v>
      </c>
      <c r="D39" s="11" t="s">
        <v>29</v>
      </c>
      <c r="F39">
        <v>49724</v>
      </c>
      <c r="G39" s="1"/>
      <c r="H39" s="1"/>
      <c r="I39" s="130"/>
      <c r="J39" s="169"/>
      <c r="K39" s="169"/>
      <c r="L39" s="165"/>
    </row>
    <row r="40" spans="1:12" s="2" customFormat="1" ht="14.25" customHeight="1" x14ac:dyDescent="0.25">
      <c r="A40" s="89">
        <v>45374</v>
      </c>
      <c r="B40" s="9" t="s">
        <v>11</v>
      </c>
      <c r="C40" t="s">
        <v>610</v>
      </c>
      <c r="D40" s="11" t="s">
        <v>29</v>
      </c>
      <c r="F40">
        <v>11918</v>
      </c>
      <c r="G40" s="1"/>
      <c r="H40" s="1"/>
      <c r="I40" s="130"/>
      <c r="J40" s="169"/>
      <c r="K40" s="169"/>
      <c r="L40" s="165"/>
    </row>
    <row r="41" spans="1:12" s="2" customFormat="1" ht="14.25" customHeight="1" x14ac:dyDescent="0.25">
      <c r="A41" s="89">
        <v>45374</v>
      </c>
      <c r="B41" s="9" t="s">
        <v>11</v>
      </c>
      <c r="C41" t="s">
        <v>719</v>
      </c>
      <c r="D41" s="11" t="s">
        <v>29</v>
      </c>
      <c r="F41">
        <v>284388</v>
      </c>
      <c r="G41" s="1"/>
      <c r="H41" s="1"/>
      <c r="I41" s="130"/>
      <c r="J41" s="169"/>
      <c r="K41" s="169"/>
      <c r="L41" s="165"/>
    </row>
    <row r="42" spans="1:12" s="2" customFormat="1" ht="14.25" customHeight="1" x14ac:dyDescent="0.25">
      <c r="A42" s="89">
        <v>45374</v>
      </c>
      <c r="B42" s="9" t="s">
        <v>11</v>
      </c>
      <c r="C42" t="s">
        <v>1699</v>
      </c>
      <c r="D42" s="11" t="s">
        <v>29</v>
      </c>
      <c r="F42">
        <v>4331</v>
      </c>
      <c r="G42" s="1"/>
      <c r="H42" s="1"/>
      <c r="I42" s="130"/>
      <c r="J42" s="169"/>
      <c r="K42" s="169"/>
      <c r="L42" s="165"/>
    </row>
    <row r="43" spans="1:12" s="2" customFormat="1" ht="14.25" customHeight="1" x14ac:dyDescent="0.25">
      <c r="A43" s="89">
        <v>45374</v>
      </c>
      <c r="B43" s="9" t="s">
        <v>11</v>
      </c>
      <c r="C43" t="s">
        <v>40</v>
      </c>
      <c r="D43" s="11" t="s">
        <v>29</v>
      </c>
      <c r="F43">
        <v>80068</v>
      </c>
      <c r="G43" s="1"/>
      <c r="H43" s="1"/>
      <c r="I43" s="130"/>
      <c r="J43" s="169"/>
      <c r="K43" s="169"/>
      <c r="L43" s="165"/>
    </row>
    <row r="44" spans="1:12" s="2" customFormat="1" ht="14.25" customHeight="1" x14ac:dyDescent="0.25">
      <c r="A44" s="89">
        <v>45374</v>
      </c>
      <c r="B44" s="9" t="s">
        <v>11</v>
      </c>
      <c r="C44" t="s">
        <v>2267</v>
      </c>
      <c r="D44" s="11" t="s">
        <v>29</v>
      </c>
      <c r="F44">
        <v>131625</v>
      </c>
      <c r="G44" s="1"/>
      <c r="H44" s="1"/>
      <c r="I44" s="130"/>
      <c r="J44" s="169"/>
      <c r="K44" s="169"/>
      <c r="L44" s="165"/>
    </row>
    <row r="45" spans="1:12" s="2" customFormat="1" ht="14.25" customHeight="1" x14ac:dyDescent="0.25">
      <c r="A45" s="89">
        <v>45374</v>
      </c>
      <c r="B45" s="9" t="s">
        <v>11</v>
      </c>
      <c r="C45" t="s">
        <v>1267</v>
      </c>
      <c r="D45" s="11" t="s">
        <v>29</v>
      </c>
      <c r="F45">
        <v>2400</v>
      </c>
      <c r="G45" s="1"/>
      <c r="H45" s="1"/>
      <c r="I45" s="130"/>
      <c r="J45" s="169"/>
      <c r="K45" s="169"/>
      <c r="L45" s="165"/>
    </row>
    <row r="46" spans="1:12" s="2" customFormat="1" ht="14.25" customHeight="1" x14ac:dyDescent="0.25">
      <c r="A46" s="89">
        <v>45374</v>
      </c>
      <c r="B46" s="9" t="s">
        <v>11</v>
      </c>
      <c r="C46" t="s">
        <v>1164</v>
      </c>
      <c r="D46" s="11" t="s">
        <v>29</v>
      </c>
      <c r="F46">
        <v>99000</v>
      </c>
      <c r="G46" s="1"/>
      <c r="H46" s="1"/>
      <c r="I46" s="130"/>
      <c r="J46" s="169"/>
      <c r="K46" s="169"/>
      <c r="L46" s="165"/>
    </row>
    <row r="47" spans="1:12" s="2" customFormat="1" ht="14.25" customHeight="1" x14ac:dyDescent="0.25">
      <c r="A47" s="89">
        <v>45374</v>
      </c>
      <c r="B47" s="9" t="s">
        <v>11</v>
      </c>
      <c r="C47" t="s">
        <v>2266</v>
      </c>
      <c r="D47" s="11" t="s">
        <v>29</v>
      </c>
      <c r="F47">
        <v>7930</v>
      </c>
      <c r="G47" s="1"/>
      <c r="H47" s="1"/>
      <c r="I47" s="130"/>
      <c r="J47" s="169"/>
      <c r="K47" s="169"/>
      <c r="L47" s="165"/>
    </row>
    <row r="48" spans="1:12" s="2" customFormat="1" ht="14.25" customHeight="1" x14ac:dyDescent="0.25">
      <c r="A48" s="89">
        <v>45374</v>
      </c>
      <c r="B48" s="9" t="s">
        <v>11</v>
      </c>
      <c r="C48" t="s">
        <v>1908</v>
      </c>
      <c r="D48" s="11" t="s">
        <v>29</v>
      </c>
      <c r="F48">
        <v>411789</v>
      </c>
      <c r="G48" s="1"/>
      <c r="H48" s="1"/>
      <c r="I48" s="130"/>
      <c r="J48" s="169"/>
      <c r="K48" s="169"/>
      <c r="L48" s="165"/>
    </row>
    <row r="49" spans="1:12" s="2" customFormat="1" ht="14.25" customHeight="1" x14ac:dyDescent="0.25">
      <c r="A49" s="89">
        <v>45374</v>
      </c>
      <c r="B49" s="9" t="s">
        <v>11</v>
      </c>
      <c r="C49" t="s">
        <v>585</v>
      </c>
      <c r="D49" s="11" t="s">
        <v>29</v>
      </c>
      <c r="F49">
        <v>73383</v>
      </c>
      <c r="G49" s="1"/>
      <c r="H49" s="1"/>
      <c r="I49" s="130"/>
      <c r="J49" s="169"/>
      <c r="K49" s="169"/>
      <c r="L49" s="165"/>
    </row>
    <row r="50" spans="1:12" s="2" customFormat="1" ht="14.25" customHeight="1" x14ac:dyDescent="0.25">
      <c r="A50" s="89">
        <v>45374</v>
      </c>
      <c r="B50" s="9" t="s">
        <v>11</v>
      </c>
      <c r="C50" t="s">
        <v>41</v>
      </c>
      <c r="D50" s="11" t="s">
        <v>29</v>
      </c>
      <c r="F50">
        <v>90172</v>
      </c>
      <c r="G50" s="1"/>
      <c r="H50" s="1"/>
      <c r="I50" s="130"/>
      <c r="J50" s="169"/>
      <c r="K50" s="169"/>
      <c r="L50" s="165"/>
    </row>
    <row r="51" spans="1:12" s="2" customFormat="1" ht="14.25" customHeight="1" x14ac:dyDescent="0.25">
      <c r="A51" s="89">
        <v>45374</v>
      </c>
      <c r="B51" s="9" t="s">
        <v>11</v>
      </c>
      <c r="C51" t="s">
        <v>609</v>
      </c>
      <c r="D51" s="11" t="s">
        <v>29</v>
      </c>
      <c r="F51">
        <v>6372</v>
      </c>
      <c r="G51" s="1"/>
      <c r="H51" s="1"/>
      <c r="I51" s="130"/>
      <c r="J51" s="169"/>
      <c r="K51" s="169"/>
      <c r="L51" s="165"/>
    </row>
    <row r="52" spans="1:12" s="2" customFormat="1" ht="14.25" customHeight="1" x14ac:dyDescent="0.25">
      <c r="A52" s="89">
        <v>45374</v>
      </c>
      <c r="B52" s="9" t="s">
        <v>11</v>
      </c>
      <c r="C52" t="s">
        <v>2265</v>
      </c>
      <c r="D52" s="11" t="s">
        <v>29</v>
      </c>
      <c r="F52">
        <v>387933.59</v>
      </c>
      <c r="G52" s="1"/>
      <c r="H52" s="1"/>
      <c r="I52" s="130"/>
      <c r="J52" s="169"/>
      <c r="K52" s="169"/>
      <c r="L52" s="165"/>
    </row>
    <row r="53" spans="1:12" s="2" customFormat="1" ht="14.25" customHeight="1" x14ac:dyDescent="0.25">
      <c r="A53" s="89">
        <v>45374</v>
      </c>
      <c r="B53" s="9" t="s">
        <v>11</v>
      </c>
      <c r="C53" t="s">
        <v>222</v>
      </c>
      <c r="D53" s="11" t="s">
        <v>29</v>
      </c>
      <c r="F53">
        <v>4599</v>
      </c>
      <c r="G53" s="1"/>
      <c r="H53" s="1"/>
      <c r="I53" s="130"/>
      <c r="J53" s="169"/>
      <c r="K53" s="169"/>
      <c r="L53" s="165"/>
    </row>
    <row r="54" spans="1:12" s="2" customFormat="1" ht="14.25" customHeight="1" x14ac:dyDescent="0.25">
      <c r="A54" s="89">
        <v>45374</v>
      </c>
      <c r="B54" s="9" t="s">
        <v>11</v>
      </c>
      <c r="C54" t="s">
        <v>2264</v>
      </c>
      <c r="D54" s="11" t="s">
        <v>29</v>
      </c>
      <c r="F54">
        <v>10620</v>
      </c>
      <c r="G54" s="1"/>
      <c r="H54" s="1"/>
      <c r="I54" s="130"/>
      <c r="J54" s="169"/>
      <c r="K54" s="169"/>
      <c r="L54" s="165"/>
    </row>
    <row r="55" spans="1:12" s="2" customFormat="1" ht="14.25" customHeight="1" x14ac:dyDescent="0.25">
      <c r="A55" s="89">
        <v>45374</v>
      </c>
      <c r="B55" s="9" t="s">
        <v>11</v>
      </c>
      <c r="C55" t="s">
        <v>49</v>
      </c>
      <c r="D55" s="11" t="s">
        <v>29</v>
      </c>
      <c r="E55"/>
      <c r="F55">
        <v>493422</v>
      </c>
      <c r="G55" s="1"/>
      <c r="H55" s="1"/>
      <c r="I55" s="130"/>
      <c r="J55" s="169"/>
      <c r="K55" s="169"/>
      <c r="L55" s="165"/>
    </row>
    <row r="56" spans="1:12" s="2" customFormat="1" ht="14.25" customHeight="1" x14ac:dyDescent="0.25">
      <c r="A56" s="89">
        <v>45374</v>
      </c>
      <c r="B56" s="9" t="s">
        <v>11</v>
      </c>
      <c r="C56" t="s">
        <v>2273</v>
      </c>
      <c r="D56" s="11" t="s">
        <v>29</v>
      </c>
      <c r="E56"/>
      <c r="F56">
        <v>195307</v>
      </c>
      <c r="G56" s="1"/>
      <c r="H56" s="1"/>
      <c r="I56" s="130"/>
      <c r="J56" s="169"/>
      <c r="K56" s="169"/>
      <c r="L56" s="165"/>
    </row>
    <row r="57" spans="1:12" s="2" customFormat="1" ht="14.25" customHeight="1" x14ac:dyDescent="0.4">
      <c r="A57" s="89"/>
      <c r="D57" s="11" t="s">
        <v>8</v>
      </c>
      <c r="E57" s="16">
        <f>SUM(E22:E56)</f>
        <v>3312499.42</v>
      </c>
      <c r="F57" s="16">
        <f>SUM(F21:F56)</f>
        <v>33107052.589999996</v>
      </c>
      <c r="G57" s="1"/>
      <c r="H57" s="1"/>
      <c r="J57" s="112"/>
      <c r="K57" s="153" t="s">
        <v>779</v>
      </c>
    </row>
    <row r="58" spans="1:12" s="2" customFormat="1" ht="14.25" customHeight="1" x14ac:dyDescent="0.2">
      <c r="A58" s="17"/>
      <c r="B58" s="18"/>
      <c r="C58" s="96" t="s">
        <v>9</v>
      </c>
      <c r="D58" s="20"/>
      <c r="E58" s="21">
        <f>+F57-E57</f>
        <v>29794553.169999994</v>
      </c>
      <c r="G58" s="1"/>
      <c r="H58" s="1"/>
      <c r="J58" s="40">
        <v>29171159.199999999</v>
      </c>
      <c r="K58" s="154">
        <f>J58-E58</f>
        <v>-623393.96999999508</v>
      </c>
    </row>
    <row r="59" spans="1:12" s="2" customFormat="1" ht="14.25" customHeight="1" x14ac:dyDescent="0.2">
      <c r="A59" s="17"/>
      <c r="B59" s="28" t="s">
        <v>66</v>
      </c>
      <c r="C59" s="43" t="s">
        <v>1458</v>
      </c>
      <c r="D59" s="43"/>
      <c r="E59" s="12">
        <f>30000000+60000000</f>
        <v>90000000</v>
      </c>
      <c r="F59" s="22"/>
      <c r="G59" s="1"/>
      <c r="H59" s="1"/>
      <c r="I59" s="13" t="s">
        <v>1582</v>
      </c>
      <c r="J59" s="13" t="s">
        <v>1583</v>
      </c>
    </row>
    <row r="60" spans="1:12" s="2" customFormat="1" ht="14.25" customHeight="1" x14ac:dyDescent="0.25">
      <c r="A60" s="36"/>
      <c r="B60" s="28"/>
      <c r="C60" s="44" t="s">
        <v>1541</v>
      </c>
      <c r="D60" s="43"/>
      <c r="E60" s="7">
        <f>+E58+E59</f>
        <v>119794553.16999999</v>
      </c>
      <c r="F60" s="22"/>
      <c r="G60" s="1"/>
      <c r="H60" s="1"/>
      <c r="I60" s="2">
        <v>2918939</v>
      </c>
      <c r="J60" s="2">
        <v>8751933.3699999992</v>
      </c>
      <c r="K60" s="176">
        <f>I60-J60</f>
        <v>-5832994.3699999992</v>
      </c>
    </row>
    <row r="61" spans="1:12" s="2" customFormat="1" ht="14.25" customHeight="1" x14ac:dyDescent="0.25">
      <c r="A61" s="36"/>
      <c r="B61" s="28"/>
      <c r="C61" s="44" t="s">
        <v>1511</v>
      </c>
      <c r="D61" s="43"/>
      <c r="E61" s="38">
        <f>I17-J17+J21</f>
        <v>205446.83000000182</v>
      </c>
      <c r="F61" s="22"/>
      <c r="G61" s="1"/>
      <c r="H61" s="1"/>
      <c r="J61" s="130"/>
      <c r="K61" s="130"/>
    </row>
    <row r="62" spans="1:12" s="2" customFormat="1" x14ac:dyDescent="0.2">
      <c r="A62" s="24"/>
      <c r="B62" s="1"/>
      <c r="C62" s="14"/>
      <c r="D62" s="25"/>
      <c r="G62" s="1"/>
      <c r="H62" s="1"/>
      <c r="I62" s="159"/>
      <c r="J62" s="160">
        <f>100000000</f>
        <v>100000000</v>
      </c>
      <c r="K62" s="160" t="s">
        <v>1506</v>
      </c>
      <c r="L62" s="70"/>
    </row>
    <row r="63" spans="1:12" s="2" customFormat="1" ht="15" x14ac:dyDescent="0.35">
      <c r="A63" s="214" t="s">
        <v>10</v>
      </c>
      <c r="B63" s="214"/>
      <c r="C63" s="214"/>
      <c r="D63" s="214"/>
      <c r="E63" s="214"/>
      <c r="F63" s="214"/>
      <c r="G63" s="1"/>
      <c r="H63" s="1"/>
      <c r="I63" s="159"/>
      <c r="J63" s="179">
        <v>72447659.400000006</v>
      </c>
      <c r="K63" s="160" t="s">
        <v>1507</v>
      </c>
      <c r="L63" s="70" t="s">
        <v>1512</v>
      </c>
    </row>
    <row r="64" spans="1:12" s="2" customFormat="1" x14ac:dyDescent="0.2">
      <c r="A64" s="26" t="s">
        <v>1</v>
      </c>
      <c r="B64" s="27" t="s">
        <v>2</v>
      </c>
      <c r="C64" s="5"/>
      <c r="D64" s="6" t="s">
        <v>3</v>
      </c>
      <c r="E64" s="7" t="s">
        <v>4</v>
      </c>
      <c r="F64" s="7" t="s">
        <v>5</v>
      </c>
      <c r="G64" s="1"/>
      <c r="H64" s="1"/>
      <c r="I64" s="159" t="s">
        <v>1505</v>
      </c>
      <c r="J64" s="160">
        <f>+J62-J63</f>
        <v>27552340.599999994</v>
      </c>
      <c r="K64" s="160"/>
      <c r="L64" s="70"/>
    </row>
    <row r="65" spans="1:12" s="2" customFormat="1" x14ac:dyDescent="0.2">
      <c r="A65" s="89" t="s">
        <v>2262</v>
      </c>
      <c r="B65" s="128" t="s">
        <v>11</v>
      </c>
      <c r="C65" s="29" t="s">
        <v>7</v>
      </c>
      <c r="D65" s="25"/>
      <c r="E65" s="31"/>
      <c r="F65" s="13">
        <v>-11583894.230000105</v>
      </c>
      <c r="G65" s="23"/>
      <c r="H65" s="23"/>
      <c r="I65" s="159"/>
      <c r="J65" s="160"/>
      <c r="K65" s="160"/>
      <c r="L65" s="70"/>
    </row>
    <row r="66" spans="1:12" s="2" customFormat="1" ht="15" x14ac:dyDescent="0.25">
      <c r="A66" s="89" t="s">
        <v>2262</v>
      </c>
      <c r="B66" s="128" t="s">
        <v>6</v>
      </c>
      <c r="C66" t="s">
        <v>1477</v>
      </c>
      <c r="D66" s="11" t="s">
        <v>13</v>
      </c>
      <c r="E66" s="39">
        <v>49245</v>
      </c>
      <c r="F66"/>
      <c r="G66" s="23"/>
      <c r="H66" s="23"/>
      <c r="I66" s="159"/>
      <c r="J66" s="160"/>
      <c r="K66" s="160"/>
      <c r="L66" s="70"/>
    </row>
    <row r="67" spans="1:12" s="2" customFormat="1" ht="15" x14ac:dyDescent="0.25">
      <c r="A67" s="89" t="s">
        <v>2262</v>
      </c>
      <c r="B67" s="128" t="s">
        <v>6</v>
      </c>
      <c r="C67" t="s">
        <v>2085</v>
      </c>
      <c r="D67" s="11" t="s">
        <v>13</v>
      </c>
      <c r="E67" s="39">
        <v>300000</v>
      </c>
      <c r="F67"/>
      <c r="G67" s="197"/>
      <c r="H67" s="23"/>
      <c r="I67" s="159"/>
      <c r="J67" s="160"/>
      <c r="K67" s="160"/>
      <c r="L67" s="70"/>
    </row>
    <row r="68" spans="1:12" s="2" customFormat="1" ht="15" x14ac:dyDescent="0.25">
      <c r="A68" s="89" t="s">
        <v>2262</v>
      </c>
      <c r="B68" s="128" t="s">
        <v>6</v>
      </c>
      <c r="C68" t="s">
        <v>750</v>
      </c>
      <c r="D68" s="11" t="s">
        <v>13</v>
      </c>
      <c r="E68" s="39">
        <v>1203166</v>
      </c>
      <c r="F68"/>
      <c r="G68" s="23"/>
      <c r="H68" s="23"/>
      <c r="I68" s="159"/>
      <c r="J68" s="160"/>
      <c r="K68" s="160"/>
      <c r="L68" s="70"/>
    </row>
    <row r="69" spans="1:12" s="2" customFormat="1" ht="15" x14ac:dyDescent="0.25">
      <c r="A69" s="89" t="s">
        <v>2262</v>
      </c>
      <c r="B69" s="128" t="s">
        <v>6</v>
      </c>
      <c r="C69" t="s">
        <v>164</v>
      </c>
      <c r="D69" s="11" t="s">
        <v>13</v>
      </c>
      <c r="E69" s="39">
        <v>800000</v>
      </c>
      <c r="F69"/>
      <c r="G69" s="23"/>
      <c r="H69" s="23"/>
      <c r="I69" s="159"/>
      <c r="J69" s="160"/>
      <c r="K69" s="160"/>
      <c r="L69" s="70"/>
    </row>
    <row r="70" spans="1:12" s="2" customFormat="1" ht="15" x14ac:dyDescent="0.25">
      <c r="A70" s="89" t="s">
        <v>2262</v>
      </c>
      <c r="B70" s="128" t="s">
        <v>6</v>
      </c>
      <c r="C70" t="s">
        <v>149</v>
      </c>
      <c r="D70" s="11" t="s">
        <v>29</v>
      </c>
      <c r="E70" s="39">
        <v>4259</v>
      </c>
      <c r="F70"/>
      <c r="G70" s="23"/>
      <c r="H70" s="23"/>
      <c r="I70" s="159"/>
      <c r="J70" s="160"/>
      <c r="K70" s="160"/>
      <c r="L70" s="70"/>
    </row>
    <row r="71" spans="1:12" s="2" customFormat="1" ht="15" x14ac:dyDescent="0.25">
      <c r="A71" s="89" t="s">
        <v>2262</v>
      </c>
      <c r="B71" s="128" t="s">
        <v>6</v>
      </c>
      <c r="C71" t="s">
        <v>1814</v>
      </c>
      <c r="D71" s="11" t="s">
        <v>29</v>
      </c>
      <c r="E71" s="39">
        <v>20247.64</v>
      </c>
      <c r="F71"/>
      <c r="G71" s="23"/>
      <c r="H71" s="23"/>
      <c r="I71" s="159"/>
      <c r="J71" s="160"/>
      <c r="K71" s="160"/>
      <c r="L71" s="70"/>
    </row>
    <row r="72" spans="1:12" s="2" customFormat="1" ht="15" x14ac:dyDescent="0.25">
      <c r="A72" s="89" t="s">
        <v>2262</v>
      </c>
      <c r="B72" s="128" t="s">
        <v>6</v>
      </c>
      <c r="C72" t="s">
        <v>418</v>
      </c>
      <c r="D72" s="11" t="s">
        <v>29</v>
      </c>
      <c r="E72" s="39">
        <v>22464</v>
      </c>
      <c r="F72"/>
      <c r="G72" s="23"/>
      <c r="H72" s="23"/>
      <c r="I72" s="159"/>
      <c r="J72" s="160"/>
      <c r="K72" s="160"/>
      <c r="L72" s="70"/>
    </row>
    <row r="73" spans="1:12" s="2" customFormat="1" ht="15" x14ac:dyDescent="0.25">
      <c r="A73" s="89" t="s">
        <v>2262</v>
      </c>
      <c r="B73" s="128" t="s">
        <v>6</v>
      </c>
      <c r="C73" t="s">
        <v>332</v>
      </c>
      <c r="D73" s="11" t="s">
        <v>13</v>
      </c>
      <c r="E73" s="39">
        <v>1299834</v>
      </c>
      <c r="F73"/>
      <c r="G73" s="23"/>
      <c r="H73" s="23"/>
      <c r="I73" s="159"/>
      <c r="J73" s="160"/>
      <c r="K73" s="160"/>
      <c r="L73" s="70"/>
    </row>
    <row r="74" spans="1:12" s="2" customFormat="1" ht="15" x14ac:dyDescent="0.25">
      <c r="A74" s="89" t="s">
        <v>2262</v>
      </c>
      <c r="B74" s="128" t="s">
        <v>6</v>
      </c>
      <c r="C74" t="s">
        <v>656</v>
      </c>
      <c r="D74" s="11" t="s">
        <v>13</v>
      </c>
      <c r="E74" s="39">
        <v>351238</v>
      </c>
      <c r="F74"/>
      <c r="G74" s="23"/>
      <c r="H74" s="23"/>
      <c r="I74" s="159"/>
      <c r="J74" s="160"/>
      <c r="K74" s="160"/>
      <c r="L74" s="70"/>
    </row>
    <row r="75" spans="1:12" s="2" customFormat="1" ht="15" x14ac:dyDescent="0.25">
      <c r="A75" s="89" t="s">
        <v>2262</v>
      </c>
      <c r="B75" s="128" t="s">
        <v>6</v>
      </c>
      <c r="C75" t="s">
        <v>905</v>
      </c>
      <c r="D75" s="11" t="s">
        <v>13</v>
      </c>
      <c r="E75" s="39">
        <v>3366891.5</v>
      </c>
      <c r="F75"/>
      <c r="G75" s="23"/>
      <c r="H75" s="23"/>
      <c r="I75" s="159"/>
      <c r="J75" s="160"/>
      <c r="K75" s="160"/>
      <c r="L75" s="70"/>
    </row>
    <row r="76" spans="1:12" s="2" customFormat="1" ht="15" x14ac:dyDescent="0.25">
      <c r="A76" s="89" t="s">
        <v>2262</v>
      </c>
      <c r="B76" s="128" t="s">
        <v>6</v>
      </c>
      <c r="C76" t="s">
        <v>785</v>
      </c>
      <c r="D76" s="11" t="s">
        <v>13</v>
      </c>
      <c r="E76" s="39">
        <v>6722846</v>
      </c>
      <c r="F76"/>
      <c r="G76" s="23"/>
      <c r="H76" s="23"/>
      <c r="I76" s="159"/>
      <c r="J76" s="160"/>
      <c r="K76" s="160"/>
      <c r="L76" s="70"/>
    </row>
    <row r="77" spans="1:12" s="2" customFormat="1" ht="15" x14ac:dyDescent="0.25">
      <c r="A77" s="89" t="s">
        <v>2262</v>
      </c>
      <c r="B77" s="128" t="s">
        <v>6</v>
      </c>
      <c r="C77" t="s">
        <v>389</v>
      </c>
      <c r="D77" s="11" t="s">
        <v>13</v>
      </c>
      <c r="E77" s="39">
        <v>8165127.9299999997</v>
      </c>
      <c r="F77"/>
      <c r="G77" s="23"/>
      <c r="H77" s="23"/>
      <c r="I77" s="159"/>
      <c r="J77" s="160"/>
      <c r="K77" s="160"/>
      <c r="L77" s="70"/>
    </row>
    <row r="78" spans="1:12" s="2" customFormat="1" ht="15" x14ac:dyDescent="0.25">
      <c r="A78" s="89" t="s">
        <v>2262</v>
      </c>
      <c r="B78" s="128" t="s">
        <v>6</v>
      </c>
      <c r="C78" t="s">
        <v>487</v>
      </c>
      <c r="D78" s="11" t="s">
        <v>13</v>
      </c>
      <c r="E78" s="39">
        <v>7506316</v>
      </c>
      <c r="F78"/>
      <c r="G78" s="23"/>
      <c r="H78" s="23"/>
      <c r="I78" s="159"/>
      <c r="J78" s="160"/>
      <c r="K78" s="160"/>
      <c r="L78" s="70"/>
    </row>
    <row r="79" spans="1:12" s="2" customFormat="1" ht="15" x14ac:dyDescent="0.25">
      <c r="A79" s="89" t="s">
        <v>2262</v>
      </c>
      <c r="B79" s="128" t="s">
        <v>6</v>
      </c>
      <c r="C79" t="s">
        <v>1786</v>
      </c>
      <c r="D79" s="11" t="s">
        <v>13</v>
      </c>
      <c r="E79" s="39">
        <v>1229564</v>
      </c>
      <c r="F79"/>
      <c r="G79" s="23"/>
      <c r="H79" s="23"/>
      <c r="I79" s="159"/>
      <c r="J79" s="160"/>
      <c r="K79" s="160"/>
      <c r="L79" s="70"/>
    </row>
    <row r="80" spans="1:12" s="2" customFormat="1" ht="15" x14ac:dyDescent="0.25">
      <c r="A80" s="89" t="s">
        <v>2262</v>
      </c>
      <c r="B80" s="128" t="s">
        <v>6</v>
      </c>
      <c r="C80" t="s">
        <v>310</v>
      </c>
      <c r="D80" s="11" t="s">
        <v>13</v>
      </c>
      <c r="E80" s="39">
        <v>54233</v>
      </c>
      <c r="F80"/>
      <c r="G80" s="23"/>
      <c r="H80" s="23"/>
      <c r="I80" s="159"/>
      <c r="J80" s="160"/>
      <c r="K80" s="160"/>
      <c r="L80" s="70"/>
    </row>
    <row r="81" spans="1:12" s="2" customFormat="1" ht="15" x14ac:dyDescent="0.25">
      <c r="A81" s="89" t="s">
        <v>2262</v>
      </c>
      <c r="B81" s="128" t="s">
        <v>6</v>
      </c>
      <c r="C81" t="s">
        <v>146</v>
      </c>
      <c r="D81" s="11" t="s">
        <v>13</v>
      </c>
      <c r="E81" s="39">
        <v>1784601.7999999998</v>
      </c>
      <c r="F81"/>
      <c r="G81" s="23"/>
      <c r="H81" s="23"/>
      <c r="I81" s="159"/>
      <c r="J81" s="160"/>
      <c r="K81" s="160"/>
      <c r="L81" s="70"/>
    </row>
    <row r="82" spans="1:12" s="2" customFormat="1" ht="15" x14ac:dyDescent="0.25">
      <c r="A82" s="89" t="s">
        <v>2262</v>
      </c>
      <c r="B82" s="128" t="s">
        <v>6</v>
      </c>
      <c r="C82" t="s">
        <v>24</v>
      </c>
      <c r="D82" s="11" t="s">
        <v>13</v>
      </c>
      <c r="E82" s="39">
        <v>1397115</v>
      </c>
      <c r="F82"/>
      <c r="G82" s="23"/>
      <c r="H82" s="23"/>
      <c r="I82" s="159"/>
      <c r="J82" s="160"/>
      <c r="K82" s="160"/>
      <c r="L82" s="70"/>
    </row>
    <row r="83" spans="1:12" s="2" customFormat="1" ht="15" x14ac:dyDescent="0.25">
      <c r="A83" s="89" t="s">
        <v>2262</v>
      </c>
      <c r="B83" s="128" t="s">
        <v>6</v>
      </c>
      <c r="C83" t="s">
        <v>120</v>
      </c>
      <c r="D83" s="11" t="s">
        <v>13</v>
      </c>
      <c r="E83" s="39">
        <v>30673</v>
      </c>
      <c r="F83"/>
      <c r="G83" s="23"/>
      <c r="H83" s="23"/>
      <c r="I83" s="159"/>
      <c r="J83" s="160"/>
      <c r="K83" s="160"/>
      <c r="L83" s="70"/>
    </row>
    <row r="84" spans="1:12" s="2" customFormat="1" ht="15" x14ac:dyDescent="0.25">
      <c r="A84" s="89" t="s">
        <v>2262</v>
      </c>
      <c r="B84" s="128" t="s">
        <v>6</v>
      </c>
      <c r="C84" t="s">
        <v>19</v>
      </c>
      <c r="D84" s="11" t="s">
        <v>13</v>
      </c>
      <c r="E84" s="39">
        <v>11329</v>
      </c>
      <c r="F84"/>
      <c r="G84" s="23"/>
      <c r="H84" s="23"/>
      <c r="I84" s="159"/>
      <c r="J84" s="160"/>
      <c r="K84" s="160"/>
      <c r="L84" s="70"/>
    </row>
    <row r="85" spans="1:12" s="2" customFormat="1" ht="15" x14ac:dyDescent="0.25">
      <c r="A85" s="89" t="s">
        <v>2262</v>
      </c>
      <c r="B85" s="128" t="s">
        <v>6</v>
      </c>
      <c r="C85" t="s">
        <v>461</v>
      </c>
      <c r="D85" s="11" t="s">
        <v>13</v>
      </c>
      <c r="E85" s="39">
        <v>1305</v>
      </c>
      <c r="F85"/>
      <c r="G85" s="23"/>
      <c r="H85" s="23"/>
      <c r="I85" s="159"/>
      <c r="J85" s="160"/>
      <c r="K85" s="160"/>
      <c r="L85" s="70"/>
    </row>
    <row r="86" spans="1:12" s="2" customFormat="1" ht="15" x14ac:dyDescent="0.25">
      <c r="A86" s="89" t="s">
        <v>2262</v>
      </c>
      <c r="B86" s="128" t="s">
        <v>6</v>
      </c>
      <c r="C86" t="s">
        <v>1627</v>
      </c>
      <c r="D86" s="11" t="s">
        <v>13</v>
      </c>
      <c r="E86" s="39">
        <v>7790056.6500000004</v>
      </c>
      <c r="F86"/>
      <c r="G86" s="23"/>
      <c r="H86" s="23"/>
      <c r="I86" s="159"/>
      <c r="J86" s="160"/>
      <c r="K86" s="160"/>
      <c r="L86" s="70"/>
    </row>
    <row r="87" spans="1:12" s="2" customFormat="1" ht="15" x14ac:dyDescent="0.25">
      <c r="A87" s="89" t="s">
        <v>2262</v>
      </c>
      <c r="B87" s="128" t="s">
        <v>6</v>
      </c>
      <c r="C87" t="s">
        <v>761</v>
      </c>
      <c r="D87" s="11" t="s">
        <v>13</v>
      </c>
      <c r="E87" s="39">
        <v>562428</v>
      </c>
      <c r="F87"/>
      <c r="G87" s="23"/>
      <c r="H87" s="23"/>
      <c r="I87" s="159"/>
      <c r="J87" s="160"/>
      <c r="K87" s="160"/>
      <c r="L87" s="70"/>
    </row>
    <row r="88" spans="1:12" s="2" customFormat="1" ht="15" x14ac:dyDescent="0.25">
      <c r="A88" s="89" t="s">
        <v>2262</v>
      </c>
      <c r="B88" s="128" t="s">
        <v>6</v>
      </c>
      <c r="C88" t="s">
        <v>244</v>
      </c>
      <c r="D88" s="11" t="s">
        <v>13</v>
      </c>
      <c r="E88" s="39">
        <v>533610</v>
      </c>
      <c r="F88"/>
      <c r="G88" s="23"/>
      <c r="H88" s="23"/>
      <c r="I88" s="159"/>
      <c r="J88" s="160"/>
      <c r="K88" s="160"/>
      <c r="L88" s="70"/>
    </row>
    <row r="89" spans="1:12" s="2" customFormat="1" ht="15" x14ac:dyDescent="0.25">
      <c r="A89" s="89" t="s">
        <v>2262</v>
      </c>
      <c r="B89" s="128" t="s">
        <v>11</v>
      </c>
      <c r="C89" t="s">
        <v>342</v>
      </c>
      <c r="D89" s="11" t="s">
        <v>29</v>
      </c>
      <c r="E89"/>
      <c r="F89" s="39">
        <v>4699.7</v>
      </c>
      <c r="G89" s="23"/>
      <c r="H89" s="23"/>
      <c r="I89" s="159"/>
      <c r="J89" s="160"/>
      <c r="K89" s="160"/>
      <c r="L89" s="70"/>
    </row>
    <row r="90" spans="1:12" s="2" customFormat="1" ht="15" x14ac:dyDescent="0.25">
      <c r="A90" s="89" t="s">
        <v>2262</v>
      </c>
      <c r="B90" s="128" t="s">
        <v>11</v>
      </c>
      <c r="C90" t="s">
        <v>1797</v>
      </c>
      <c r="D90" s="11" t="s">
        <v>29</v>
      </c>
      <c r="E90"/>
      <c r="F90" s="39">
        <v>100000000</v>
      </c>
      <c r="G90" s="23"/>
      <c r="H90" s="23"/>
      <c r="I90" s="159"/>
      <c r="J90" s="160"/>
      <c r="K90" s="160"/>
      <c r="L90" s="70"/>
    </row>
    <row r="91" spans="1:12" s="2" customFormat="1" ht="15" x14ac:dyDescent="0.25">
      <c r="A91" s="89" t="s">
        <v>2262</v>
      </c>
      <c r="B91" s="128" t="s">
        <v>11</v>
      </c>
      <c r="C91" t="s">
        <v>349</v>
      </c>
      <c r="D91" s="11" t="s">
        <v>29</v>
      </c>
      <c r="E91"/>
      <c r="F91" s="39">
        <v>6955</v>
      </c>
      <c r="G91" s="23"/>
      <c r="H91" s="23"/>
      <c r="I91" s="159"/>
      <c r="J91" s="160"/>
      <c r="K91" s="160"/>
      <c r="L91" s="70"/>
    </row>
    <row r="92" spans="1:12" s="2" customFormat="1" ht="15" x14ac:dyDescent="0.25">
      <c r="A92" s="89" t="s">
        <v>2262</v>
      </c>
      <c r="B92" s="128" t="s">
        <v>11</v>
      </c>
      <c r="C92" t="s">
        <v>42</v>
      </c>
      <c r="D92" s="11" t="s">
        <v>29</v>
      </c>
      <c r="E92"/>
      <c r="F92" s="39">
        <v>24335</v>
      </c>
      <c r="G92" s="23"/>
      <c r="H92" s="23"/>
      <c r="I92" s="159"/>
      <c r="J92" s="160"/>
      <c r="K92" s="160"/>
      <c r="L92" s="70"/>
    </row>
    <row r="93" spans="1:12" s="2" customFormat="1" ht="15" x14ac:dyDescent="0.25">
      <c r="A93" s="89" t="s">
        <v>2262</v>
      </c>
      <c r="B93" s="128" t="s">
        <v>11</v>
      </c>
      <c r="C93" t="s">
        <v>268</v>
      </c>
      <c r="D93" s="11" t="s">
        <v>29</v>
      </c>
      <c r="E93"/>
      <c r="F93" s="39">
        <v>44840</v>
      </c>
      <c r="G93" s="23"/>
      <c r="H93" s="23"/>
      <c r="I93" s="159"/>
      <c r="J93" s="160"/>
      <c r="K93" s="160"/>
      <c r="L93" s="70"/>
    </row>
    <row r="94" spans="1:12" s="2" customFormat="1" ht="15" x14ac:dyDescent="0.25">
      <c r="A94" s="89" t="s">
        <v>2262</v>
      </c>
      <c r="B94" s="128" t="s">
        <v>11</v>
      </c>
      <c r="C94" t="s">
        <v>2065</v>
      </c>
      <c r="D94" s="11" t="s">
        <v>29</v>
      </c>
      <c r="E94"/>
      <c r="F94" s="39">
        <v>147500</v>
      </c>
      <c r="G94" s="23"/>
      <c r="H94" s="23"/>
      <c r="I94" s="159"/>
      <c r="J94" s="160"/>
      <c r="K94" s="160"/>
      <c r="L94" s="70"/>
    </row>
    <row r="95" spans="1:12" s="2" customFormat="1" ht="15" x14ac:dyDescent="0.25">
      <c r="A95" s="89" t="s">
        <v>2262</v>
      </c>
      <c r="B95" s="128" t="s">
        <v>11</v>
      </c>
      <c r="C95" t="s">
        <v>43</v>
      </c>
      <c r="D95" s="11" t="s">
        <v>29</v>
      </c>
      <c r="E95"/>
      <c r="F95" s="39">
        <v>17121.8</v>
      </c>
      <c r="G95" s="23"/>
      <c r="H95" s="23"/>
      <c r="I95" s="159"/>
      <c r="J95" s="160"/>
      <c r="K95" s="160"/>
      <c r="L95" s="70"/>
    </row>
    <row r="96" spans="1:12" s="2" customFormat="1" ht="15" x14ac:dyDescent="0.25">
      <c r="A96" s="89" t="s">
        <v>2262</v>
      </c>
      <c r="B96" s="128" t="s">
        <v>11</v>
      </c>
      <c r="C96" t="s">
        <v>525</v>
      </c>
      <c r="D96" s="11" t="s">
        <v>29</v>
      </c>
      <c r="E96"/>
      <c r="F96" s="39">
        <v>1000000</v>
      </c>
      <c r="G96" s="23"/>
      <c r="H96" s="23"/>
      <c r="I96" s="159"/>
      <c r="J96" s="160"/>
      <c r="K96" s="160"/>
      <c r="L96" s="70"/>
    </row>
    <row r="97" spans="1:12" s="2" customFormat="1" ht="15" x14ac:dyDescent="0.25">
      <c r="A97" s="89" t="s">
        <v>2262</v>
      </c>
      <c r="B97" s="128" t="s">
        <v>11</v>
      </c>
      <c r="C97" t="s">
        <v>370</v>
      </c>
      <c r="D97" s="11" t="s">
        <v>29</v>
      </c>
      <c r="E97"/>
      <c r="F97" s="39">
        <v>4940</v>
      </c>
      <c r="G97" s="23"/>
      <c r="H97" s="23"/>
      <c r="I97" s="159"/>
      <c r="J97" s="160"/>
      <c r="K97" s="160"/>
      <c r="L97" s="70"/>
    </row>
    <row r="98" spans="1:12" s="2" customFormat="1" ht="15" x14ac:dyDescent="0.25">
      <c r="A98" s="89" t="s">
        <v>2262</v>
      </c>
      <c r="B98" s="128" t="s">
        <v>11</v>
      </c>
      <c r="C98" t="s">
        <v>242</v>
      </c>
      <c r="D98" s="11" t="s">
        <v>29</v>
      </c>
      <c r="E98"/>
      <c r="F98" s="39">
        <v>45304</v>
      </c>
      <c r="G98" s="23"/>
      <c r="H98" s="23"/>
      <c r="I98" s="159"/>
      <c r="J98" s="160"/>
      <c r="K98" s="160"/>
      <c r="L98" s="70"/>
    </row>
    <row r="99" spans="1:12" s="2" customFormat="1" ht="15" x14ac:dyDescent="0.25">
      <c r="A99" s="89" t="s">
        <v>2262</v>
      </c>
      <c r="B99" s="128" t="s">
        <v>11</v>
      </c>
      <c r="C99" t="s">
        <v>156</v>
      </c>
      <c r="D99" s="11" t="s">
        <v>29</v>
      </c>
      <c r="E99"/>
      <c r="F99" s="39">
        <v>14</v>
      </c>
      <c r="G99" s="23"/>
      <c r="H99" s="23"/>
      <c r="I99" s="159"/>
      <c r="J99" s="160"/>
      <c r="K99" s="160"/>
      <c r="L99" s="70"/>
    </row>
    <row r="100" spans="1:12" s="2" customFormat="1" ht="15" x14ac:dyDescent="0.25">
      <c r="A100" s="89" t="s">
        <v>2262</v>
      </c>
      <c r="B100" s="128" t="s">
        <v>11</v>
      </c>
      <c r="C100" t="s">
        <v>64</v>
      </c>
      <c r="D100" s="11" t="s">
        <v>29</v>
      </c>
      <c r="E100"/>
      <c r="F100" s="39">
        <v>35582.050000000003</v>
      </c>
      <c r="G100" s="23"/>
      <c r="H100" s="23"/>
      <c r="I100" s="159"/>
      <c r="J100" s="160"/>
      <c r="K100" s="160"/>
      <c r="L100" s="70"/>
    </row>
    <row r="101" spans="1:12" s="2" customFormat="1" ht="15" x14ac:dyDescent="0.25">
      <c r="A101" s="89" t="s">
        <v>2262</v>
      </c>
      <c r="B101" s="128" t="s">
        <v>11</v>
      </c>
      <c r="C101" t="s">
        <v>102</v>
      </c>
      <c r="D101" s="11" t="s">
        <v>29</v>
      </c>
      <c r="E101"/>
      <c r="F101" s="39">
        <v>576639.34</v>
      </c>
      <c r="G101" s="23"/>
      <c r="H101" s="23"/>
      <c r="I101" s="159"/>
      <c r="J101" s="160"/>
      <c r="K101" s="160"/>
      <c r="L101" s="70"/>
    </row>
    <row r="102" spans="1:12" s="2" customFormat="1" ht="15" x14ac:dyDescent="0.25">
      <c r="A102" s="89" t="s">
        <v>2262</v>
      </c>
      <c r="B102" s="128" t="s">
        <v>11</v>
      </c>
      <c r="C102" t="s">
        <v>118</v>
      </c>
      <c r="D102" s="11" t="s">
        <v>29</v>
      </c>
      <c r="E102"/>
      <c r="F102" s="39">
        <v>400000</v>
      </c>
      <c r="G102" s="23"/>
      <c r="H102" s="23"/>
      <c r="I102" s="159"/>
      <c r="J102" s="160"/>
      <c r="K102" s="160"/>
      <c r="L102" s="70"/>
    </row>
    <row r="103" spans="1:12" s="2" customFormat="1" ht="15" x14ac:dyDescent="0.25">
      <c r="A103" s="89" t="s">
        <v>2262</v>
      </c>
      <c r="B103" s="128" t="s">
        <v>11</v>
      </c>
      <c r="C103" t="s">
        <v>438</v>
      </c>
      <c r="D103" s="11" t="s">
        <v>29</v>
      </c>
      <c r="E103"/>
      <c r="F103" s="39">
        <v>43790</v>
      </c>
      <c r="G103" s="23"/>
      <c r="H103" s="23"/>
      <c r="I103" s="159"/>
      <c r="J103" s="160"/>
      <c r="K103" s="160"/>
      <c r="L103" s="70"/>
    </row>
    <row r="104" spans="1:12" s="2" customFormat="1" ht="15" x14ac:dyDescent="0.25">
      <c r="A104" s="89" t="s">
        <v>2262</v>
      </c>
      <c r="B104" s="128" t="s">
        <v>11</v>
      </c>
      <c r="C104" t="s">
        <v>57</v>
      </c>
      <c r="D104" s="11" t="s">
        <v>29</v>
      </c>
      <c r="E104"/>
      <c r="F104" s="39">
        <v>4500000</v>
      </c>
      <c r="G104" s="23"/>
      <c r="H104" s="23"/>
      <c r="I104" s="159"/>
      <c r="J104" s="160"/>
      <c r="K104" s="160"/>
      <c r="L104" s="70"/>
    </row>
    <row r="105" spans="1:12" s="2" customFormat="1" ht="15" x14ac:dyDescent="0.25">
      <c r="A105" s="89" t="s">
        <v>2262</v>
      </c>
      <c r="B105" s="128" t="s">
        <v>11</v>
      </c>
      <c r="C105" t="s">
        <v>61</v>
      </c>
      <c r="D105" s="11" t="s">
        <v>29</v>
      </c>
      <c r="E105"/>
      <c r="F105" s="39">
        <v>75732.399999999994</v>
      </c>
      <c r="G105" s="23"/>
      <c r="H105" s="23"/>
      <c r="I105" s="159"/>
      <c r="J105" s="160"/>
      <c r="K105" s="160"/>
      <c r="L105" s="70"/>
    </row>
    <row r="106" spans="1:12" s="2" customFormat="1" ht="15" x14ac:dyDescent="0.25">
      <c r="A106" s="89" t="s">
        <v>2262</v>
      </c>
      <c r="B106" s="128" t="s">
        <v>11</v>
      </c>
      <c r="C106" t="s">
        <v>293</v>
      </c>
      <c r="D106" s="11" t="s">
        <v>29</v>
      </c>
      <c r="E106"/>
      <c r="F106" s="39">
        <v>31640</v>
      </c>
      <c r="G106" s="23"/>
      <c r="H106" s="23"/>
      <c r="I106" s="159"/>
      <c r="J106" s="160"/>
      <c r="K106" s="160"/>
      <c r="L106" s="70"/>
    </row>
    <row r="107" spans="1:12" s="2" customFormat="1" ht="15" x14ac:dyDescent="0.25">
      <c r="A107" s="89" t="s">
        <v>2262</v>
      </c>
      <c r="B107" s="128" t="s">
        <v>11</v>
      </c>
      <c r="C107" t="s">
        <v>224</v>
      </c>
      <c r="D107" s="11" t="s">
        <v>29</v>
      </c>
      <c r="E107"/>
      <c r="F107" s="39">
        <v>25508</v>
      </c>
      <c r="G107" s="23"/>
      <c r="H107" s="23"/>
      <c r="I107" s="159"/>
      <c r="J107" s="160"/>
      <c r="K107" s="160"/>
      <c r="L107" s="70"/>
    </row>
    <row r="108" spans="1:12" s="2" customFormat="1" ht="15" x14ac:dyDescent="0.25">
      <c r="A108" s="89" t="s">
        <v>2262</v>
      </c>
      <c r="B108" s="128" t="s">
        <v>11</v>
      </c>
      <c r="C108" t="s">
        <v>63</v>
      </c>
      <c r="D108" s="11" t="s">
        <v>29</v>
      </c>
      <c r="E108"/>
      <c r="F108" s="39">
        <v>8500000</v>
      </c>
      <c r="G108" s="23"/>
      <c r="H108" s="23"/>
      <c r="I108" s="159"/>
      <c r="J108" s="160"/>
      <c r="K108" s="160"/>
      <c r="L108" s="70"/>
    </row>
    <row r="109" spans="1:12" s="2" customFormat="1" ht="15" x14ac:dyDescent="0.25">
      <c r="A109" s="89" t="s">
        <v>2262</v>
      </c>
      <c r="B109" s="128" t="s">
        <v>11</v>
      </c>
      <c r="C109" t="s">
        <v>347</v>
      </c>
      <c r="D109" s="11" t="s">
        <v>29</v>
      </c>
      <c r="E109"/>
      <c r="F109" s="39">
        <v>21952</v>
      </c>
      <c r="G109" s="23"/>
      <c r="H109" s="23"/>
      <c r="I109" s="159"/>
      <c r="J109" s="160"/>
      <c r="K109" s="160"/>
      <c r="L109" s="70"/>
    </row>
    <row r="110" spans="1:12" s="2" customFormat="1" ht="15" x14ac:dyDescent="0.25">
      <c r="A110" s="89" t="s">
        <v>2262</v>
      </c>
      <c r="B110" s="128" t="s">
        <v>11</v>
      </c>
      <c r="C110" t="s">
        <v>84</v>
      </c>
      <c r="D110" s="11" t="s">
        <v>29</v>
      </c>
      <c r="E110"/>
      <c r="F110" s="39">
        <v>5000000</v>
      </c>
      <c r="G110" s="23"/>
      <c r="H110" s="23"/>
      <c r="I110" s="159"/>
      <c r="J110" s="160"/>
      <c r="K110" s="160"/>
      <c r="L110" s="70"/>
    </row>
    <row r="111" spans="1:12" s="2" customFormat="1" ht="15" x14ac:dyDescent="0.25">
      <c r="A111" s="89" t="s">
        <v>2262</v>
      </c>
      <c r="B111" s="128" t="s">
        <v>11</v>
      </c>
      <c r="C111" t="s">
        <v>792</v>
      </c>
      <c r="D111" s="11" t="s">
        <v>29</v>
      </c>
      <c r="E111"/>
      <c r="F111" s="39">
        <v>179061</v>
      </c>
      <c r="G111" s="23"/>
      <c r="H111" s="23"/>
      <c r="I111" s="159"/>
      <c r="J111" s="160"/>
      <c r="K111" s="160"/>
      <c r="L111" s="70"/>
    </row>
    <row r="112" spans="1:12" s="2" customFormat="1" ht="15" x14ac:dyDescent="0.25">
      <c r="A112" s="89" t="s">
        <v>2262</v>
      </c>
      <c r="B112" s="128" t="s">
        <v>11</v>
      </c>
      <c r="C112" t="s">
        <v>439</v>
      </c>
      <c r="D112" s="11" t="s">
        <v>29</v>
      </c>
      <c r="E112"/>
      <c r="F112" s="39">
        <v>1829</v>
      </c>
      <c r="G112" s="23"/>
      <c r="H112" s="23"/>
      <c r="I112" s="159"/>
      <c r="J112" s="160"/>
      <c r="K112" s="160"/>
      <c r="L112" s="70"/>
    </row>
    <row r="113" spans="1:12" s="2" customFormat="1" ht="15" x14ac:dyDescent="0.25">
      <c r="A113" s="89" t="s">
        <v>2262</v>
      </c>
      <c r="B113" s="128" t="s">
        <v>11</v>
      </c>
      <c r="C113" t="s">
        <v>46</v>
      </c>
      <c r="D113" s="11" t="s">
        <v>29</v>
      </c>
      <c r="E113"/>
      <c r="F113" s="39">
        <v>140045</v>
      </c>
      <c r="G113" s="23"/>
      <c r="H113" s="23"/>
      <c r="I113" s="159"/>
      <c r="J113" s="160"/>
      <c r="K113" s="160"/>
      <c r="L113" s="70"/>
    </row>
    <row r="114" spans="1:12" s="2" customFormat="1" ht="15" x14ac:dyDescent="0.25">
      <c r="A114" s="89" t="s">
        <v>2262</v>
      </c>
      <c r="B114" s="128" t="s">
        <v>11</v>
      </c>
      <c r="C114" t="s">
        <v>1798</v>
      </c>
      <c r="D114" s="11" t="s">
        <v>29</v>
      </c>
      <c r="E114"/>
      <c r="F114" s="39">
        <v>3016302</v>
      </c>
      <c r="G114" s="23"/>
      <c r="H114" s="23"/>
      <c r="I114" s="159"/>
      <c r="J114" s="160"/>
      <c r="K114" s="160"/>
      <c r="L114" s="70"/>
    </row>
    <row r="115" spans="1:12" s="2" customFormat="1" ht="15" x14ac:dyDescent="0.25">
      <c r="A115" s="89" t="s">
        <v>2262</v>
      </c>
      <c r="B115" s="128" t="s">
        <v>11</v>
      </c>
      <c r="C115" t="s">
        <v>1472</v>
      </c>
      <c r="D115" s="11" t="s">
        <v>29</v>
      </c>
      <c r="E115"/>
      <c r="F115" s="39">
        <v>977928</v>
      </c>
      <c r="G115" s="23"/>
      <c r="H115" s="23"/>
      <c r="I115" s="159"/>
      <c r="J115" s="160"/>
      <c r="K115" s="160"/>
      <c r="L115" s="70"/>
    </row>
    <row r="116" spans="1:12" s="2" customFormat="1" ht="15" x14ac:dyDescent="0.25">
      <c r="A116" s="89" t="s">
        <v>2262</v>
      </c>
      <c r="B116" s="128" t="s">
        <v>11</v>
      </c>
      <c r="C116" t="s">
        <v>37</v>
      </c>
      <c r="D116" s="11" t="s">
        <v>29</v>
      </c>
      <c r="E116"/>
      <c r="F116" s="39">
        <v>5428</v>
      </c>
      <c r="G116" s="23"/>
      <c r="H116" s="23"/>
      <c r="I116" s="159"/>
      <c r="J116" s="160"/>
      <c r="K116" s="160"/>
      <c r="L116" s="70"/>
    </row>
    <row r="117" spans="1:12" s="2" customFormat="1" ht="15" x14ac:dyDescent="0.25">
      <c r="A117" s="89" t="s">
        <v>2262</v>
      </c>
      <c r="B117" s="128" t="s">
        <v>11</v>
      </c>
      <c r="C117" t="s">
        <v>476</v>
      </c>
      <c r="D117" s="11" t="s">
        <v>29</v>
      </c>
      <c r="E117"/>
      <c r="F117" s="39">
        <v>43778</v>
      </c>
      <c r="G117" s="23"/>
      <c r="H117" s="23"/>
      <c r="I117" s="159"/>
      <c r="J117" s="160"/>
      <c r="K117" s="160"/>
      <c r="L117" s="70"/>
    </row>
    <row r="118" spans="1:12" s="2" customFormat="1" ht="15" x14ac:dyDescent="0.25">
      <c r="A118" s="89" t="s">
        <v>2262</v>
      </c>
      <c r="B118" s="128" t="s">
        <v>11</v>
      </c>
      <c r="C118" t="s">
        <v>409</v>
      </c>
      <c r="D118" s="11" t="s">
        <v>29</v>
      </c>
      <c r="E118"/>
      <c r="F118" s="39">
        <v>9298</v>
      </c>
      <c r="G118" s="23"/>
      <c r="H118" s="23"/>
      <c r="I118" s="159"/>
      <c r="J118" s="160"/>
      <c r="K118" s="160"/>
      <c r="L118" s="70"/>
    </row>
    <row r="119" spans="1:12" s="2" customFormat="1" ht="15" x14ac:dyDescent="0.25">
      <c r="A119" s="89" t="s">
        <v>2262</v>
      </c>
      <c r="B119" s="128" t="s">
        <v>11</v>
      </c>
      <c r="C119" t="s">
        <v>493</v>
      </c>
      <c r="D119" s="11" t="s">
        <v>29</v>
      </c>
      <c r="E119"/>
      <c r="F119" s="39">
        <v>6480</v>
      </c>
      <c r="G119" s="23"/>
      <c r="H119" s="23"/>
      <c r="I119" s="159"/>
      <c r="J119" s="160"/>
      <c r="K119" s="160"/>
      <c r="L119" s="70"/>
    </row>
    <row r="120" spans="1:12" s="2" customFormat="1" ht="15" x14ac:dyDescent="0.25">
      <c r="A120" s="89" t="s">
        <v>2262</v>
      </c>
      <c r="B120" s="128" t="s">
        <v>11</v>
      </c>
      <c r="C120" t="s">
        <v>437</v>
      </c>
      <c r="D120" s="11" t="s">
        <v>29</v>
      </c>
      <c r="E120"/>
      <c r="F120" s="39">
        <v>3500</v>
      </c>
      <c r="G120" s="23"/>
      <c r="H120" s="23"/>
      <c r="I120" s="159"/>
      <c r="J120" s="160"/>
      <c r="K120" s="160"/>
      <c r="L120" s="70"/>
    </row>
    <row r="121" spans="1:12" s="2" customFormat="1" ht="15" x14ac:dyDescent="0.25">
      <c r="A121" s="89" t="s">
        <v>2262</v>
      </c>
      <c r="B121" s="128" t="s">
        <v>11</v>
      </c>
      <c r="C121" t="s">
        <v>116</v>
      </c>
      <c r="D121" s="11" t="s">
        <v>29</v>
      </c>
      <c r="E121"/>
      <c r="F121" s="39">
        <v>125288</v>
      </c>
      <c r="G121" s="23"/>
      <c r="H121" s="23"/>
      <c r="I121" s="159"/>
      <c r="J121" s="160"/>
      <c r="K121" s="160"/>
      <c r="L121" s="70"/>
    </row>
    <row r="122" spans="1:12" s="2" customFormat="1" ht="15" x14ac:dyDescent="0.25">
      <c r="A122" s="89" t="s">
        <v>2262</v>
      </c>
      <c r="B122" s="128" t="s">
        <v>11</v>
      </c>
      <c r="C122" t="s">
        <v>228</v>
      </c>
      <c r="D122" s="11" t="s">
        <v>29</v>
      </c>
      <c r="E122"/>
      <c r="F122" s="39">
        <v>71149</v>
      </c>
      <c r="G122" s="23"/>
      <c r="H122" s="23"/>
      <c r="I122" s="159"/>
      <c r="J122" s="160"/>
      <c r="K122" s="160"/>
      <c r="L122" s="70"/>
    </row>
    <row r="123" spans="1:12" s="2" customFormat="1" ht="15" x14ac:dyDescent="0.25">
      <c r="A123" s="89" t="s">
        <v>2262</v>
      </c>
      <c r="B123" s="128" t="s">
        <v>11</v>
      </c>
      <c r="C123" t="s">
        <v>290</v>
      </c>
      <c r="D123" s="11" t="s">
        <v>29</v>
      </c>
      <c r="E123"/>
      <c r="F123" s="39">
        <v>10197</v>
      </c>
      <c r="G123" s="23"/>
      <c r="H123" s="23"/>
      <c r="I123" s="159"/>
      <c r="J123" s="160"/>
      <c r="K123" s="160"/>
      <c r="L123" s="70"/>
    </row>
    <row r="124" spans="1:12" s="2" customFormat="1" ht="15" x14ac:dyDescent="0.25">
      <c r="A124" s="89" t="s">
        <v>2262</v>
      </c>
      <c r="B124" s="128" t="s">
        <v>11</v>
      </c>
      <c r="C124" t="s">
        <v>38</v>
      </c>
      <c r="D124" s="11" t="s">
        <v>29</v>
      </c>
      <c r="E124"/>
      <c r="F124" s="39">
        <v>14157</v>
      </c>
      <c r="G124" s="23"/>
      <c r="H124" s="23"/>
      <c r="I124" s="159"/>
      <c r="J124" s="160"/>
      <c r="K124" s="160"/>
      <c r="L124" s="70"/>
    </row>
    <row r="125" spans="1:12" s="2" customFormat="1" ht="15" x14ac:dyDescent="0.25">
      <c r="A125" s="89" t="s">
        <v>2262</v>
      </c>
      <c r="B125" s="128" t="s">
        <v>11</v>
      </c>
      <c r="C125" t="s">
        <v>415</v>
      </c>
      <c r="D125" s="11" t="s">
        <v>29</v>
      </c>
      <c r="E125"/>
      <c r="F125" s="39">
        <v>9251</v>
      </c>
      <c r="G125" s="23"/>
      <c r="H125" s="23"/>
      <c r="I125" s="159"/>
      <c r="J125" s="160"/>
      <c r="K125" s="160"/>
      <c r="L125" s="70"/>
    </row>
    <row r="126" spans="1:12" s="2" customFormat="1" ht="15" x14ac:dyDescent="0.25">
      <c r="A126" s="89" t="s">
        <v>2262</v>
      </c>
      <c r="B126" s="128" t="s">
        <v>11</v>
      </c>
      <c r="C126" t="s">
        <v>127</v>
      </c>
      <c r="D126" s="11" t="s">
        <v>29</v>
      </c>
      <c r="E126"/>
      <c r="F126" s="39">
        <v>1004739</v>
      </c>
      <c r="G126" s="23"/>
      <c r="H126" s="23"/>
      <c r="I126" s="159"/>
      <c r="J126" s="160"/>
      <c r="K126" s="160"/>
      <c r="L126" s="70"/>
    </row>
    <row r="127" spans="1:12" s="2" customFormat="1" ht="15" x14ac:dyDescent="0.25">
      <c r="A127" s="89" t="s">
        <v>2262</v>
      </c>
      <c r="B127" s="128" t="s">
        <v>11</v>
      </c>
      <c r="C127" t="s">
        <v>60</v>
      </c>
      <c r="D127" s="11" t="s">
        <v>29</v>
      </c>
      <c r="E127"/>
      <c r="F127" s="39">
        <v>2340</v>
      </c>
      <c r="G127" s="23"/>
      <c r="H127" s="23"/>
      <c r="I127" s="159"/>
      <c r="J127" s="160"/>
      <c r="K127" s="160"/>
      <c r="L127" s="70"/>
    </row>
    <row r="128" spans="1:12" s="2" customFormat="1" ht="15" x14ac:dyDescent="0.25">
      <c r="A128" s="89" t="s">
        <v>2262</v>
      </c>
      <c r="B128" s="128" t="s">
        <v>11</v>
      </c>
      <c r="C128" t="s">
        <v>787</v>
      </c>
      <c r="D128" s="11" t="s">
        <v>29</v>
      </c>
      <c r="E128"/>
      <c r="F128" s="39">
        <v>4602</v>
      </c>
      <c r="G128" s="23"/>
      <c r="H128" s="23"/>
      <c r="I128" s="159"/>
      <c r="J128" s="160"/>
      <c r="K128" s="160"/>
      <c r="L128" s="70"/>
    </row>
    <row r="129" spans="1:16" s="2" customFormat="1" ht="15" x14ac:dyDescent="0.25">
      <c r="A129" s="89" t="s">
        <v>2262</v>
      </c>
      <c r="B129" s="128" t="s">
        <v>11</v>
      </c>
      <c r="C129" t="s">
        <v>111</v>
      </c>
      <c r="D129" s="11" t="s">
        <v>29</v>
      </c>
      <c r="E129"/>
      <c r="F129" s="39">
        <v>2173932.25</v>
      </c>
      <c r="G129" s="23"/>
      <c r="H129" s="23"/>
      <c r="I129" s="159"/>
      <c r="J129" s="160"/>
      <c r="K129" s="160"/>
      <c r="L129" s="70"/>
    </row>
    <row r="130" spans="1:16" s="2" customFormat="1" ht="15" x14ac:dyDescent="0.25">
      <c r="A130" s="89" t="s">
        <v>2262</v>
      </c>
      <c r="B130" s="128" t="s">
        <v>11</v>
      </c>
      <c r="C130" t="s">
        <v>1865</v>
      </c>
      <c r="D130" s="11" t="s">
        <v>29</v>
      </c>
      <c r="E130"/>
      <c r="F130" s="39">
        <v>186959.44</v>
      </c>
      <c r="G130" s="23"/>
      <c r="H130" s="23"/>
      <c r="I130" s="159"/>
      <c r="J130" s="160"/>
      <c r="K130" s="160"/>
      <c r="L130" s="70"/>
    </row>
    <row r="131" spans="1:16" s="2" customFormat="1" ht="15" x14ac:dyDescent="0.25">
      <c r="A131" s="89" t="s">
        <v>2262</v>
      </c>
      <c r="B131" s="128" t="s">
        <v>11</v>
      </c>
      <c r="C131" t="s">
        <v>427</v>
      </c>
      <c r="D131" s="11" t="s">
        <v>29</v>
      </c>
      <c r="E131"/>
      <c r="F131" s="39">
        <v>153095.01999999999</v>
      </c>
      <c r="G131" s="23"/>
      <c r="H131" s="23"/>
      <c r="I131" s="159"/>
      <c r="J131" s="160"/>
      <c r="K131" s="160"/>
      <c r="L131" s="70"/>
    </row>
    <row r="132" spans="1:16" s="2" customFormat="1" ht="15" x14ac:dyDescent="0.25">
      <c r="A132" s="89" t="s">
        <v>2262</v>
      </c>
      <c r="B132" s="128" t="s">
        <v>11</v>
      </c>
      <c r="C132" t="s">
        <v>604</v>
      </c>
      <c r="D132" s="11" t="s">
        <v>29</v>
      </c>
      <c r="E132"/>
      <c r="F132" s="39">
        <v>201591.2</v>
      </c>
      <c r="G132" s="23"/>
      <c r="H132" s="23"/>
      <c r="I132" s="159"/>
      <c r="J132" s="160"/>
      <c r="K132" s="160"/>
      <c r="L132" s="70"/>
    </row>
    <row r="133" spans="1:16" s="2" customFormat="1" ht="15" x14ac:dyDescent="0.25">
      <c r="A133" s="89" t="s">
        <v>2262</v>
      </c>
      <c r="B133" s="128" t="s">
        <v>11</v>
      </c>
      <c r="C133" t="s">
        <v>306</v>
      </c>
      <c r="D133" s="11" t="s">
        <v>29</v>
      </c>
      <c r="E133"/>
      <c r="F133" s="39">
        <v>2419006</v>
      </c>
      <c r="G133" s="23"/>
      <c r="H133" s="23"/>
      <c r="I133" s="159"/>
      <c r="J133" s="160"/>
      <c r="K133" s="160"/>
      <c r="L133" s="70"/>
    </row>
    <row r="134" spans="1:16" s="2" customFormat="1" ht="15" x14ac:dyDescent="0.25">
      <c r="A134" s="89" t="s">
        <v>2262</v>
      </c>
      <c r="B134" s="128" t="s">
        <v>11</v>
      </c>
      <c r="C134" t="s">
        <v>15</v>
      </c>
      <c r="D134" s="11" t="s">
        <v>29</v>
      </c>
      <c r="E134"/>
      <c r="F134" s="39">
        <v>150294.32</v>
      </c>
      <c r="G134" s="23"/>
      <c r="H134" s="23"/>
      <c r="I134" s="159"/>
      <c r="J134" s="160"/>
      <c r="K134" s="160"/>
      <c r="L134" s="70"/>
    </row>
    <row r="135" spans="1:16" s="2" customFormat="1" ht="15" x14ac:dyDescent="0.25">
      <c r="A135" s="89" t="s">
        <v>2262</v>
      </c>
      <c r="B135" s="128" t="s">
        <v>11</v>
      </c>
      <c r="C135" t="s">
        <v>1403</v>
      </c>
      <c r="D135" s="11" t="s">
        <v>29</v>
      </c>
      <c r="E135"/>
      <c r="F135" s="39">
        <v>1214871</v>
      </c>
      <c r="G135" s="23"/>
      <c r="H135" s="23"/>
      <c r="I135" s="159"/>
      <c r="J135" s="160"/>
      <c r="K135" s="160"/>
      <c r="L135" s="70"/>
    </row>
    <row r="136" spans="1:16" s="2" customFormat="1" ht="15" x14ac:dyDescent="0.25">
      <c r="A136" s="89" t="s">
        <v>2262</v>
      </c>
      <c r="B136" s="128" t="s">
        <v>11</v>
      </c>
      <c r="C136" t="s">
        <v>123</v>
      </c>
      <c r="D136" s="11" t="s">
        <v>29</v>
      </c>
      <c r="E136"/>
      <c r="F136" s="39">
        <v>439424</v>
      </c>
      <c r="G136" s="23"/>
      <c r="H136" s="23"/>
      <c r="I136" s="159"/>
      <c r="J136" s="160"/>
      <c r="K136" s="160"/>
      <c r="L136" s="70"/>
    </row>
    <row r="137" spans="1:16" s="70" customFormat="1" x14ac:dyDescent="0.2">
      <c r="A137" s="32"/>
      <c r="B137" s="33"/>
      <c r="C137" s="14"/>
      <c r="D137" s="34"/>
      <c r="E137" s="16">
        <f>SUM(E65:E136)</f>
        <v>43206550.520000003</v>
      </c>
      <c r="F137" s="16">
        <f>SUM(F65:F136)</f>
        <v>121487204.28999989</v>
      </c>
      <c r="G137" s="1"/>
      <c r="H137" s="1"/>
      <c r="I137" s="1"/>
      <c r="J137" s="38">
        <v>78280653.769999996</v>
      </c>
      <c r="K137" s="2"/>
      <c r="L137" s="92">
        <f>+J137-E138</f>
        <v>0</v>
      </c>
      <c r="M137" s="2"/>
      <c r="N137" s="2"/>
      <c r="O137" s="2">
        <v>10127749.119999999</v>
      </c>
      <c r="P137" s="2">
        <f>+O137-J137</f>
        <v>-68152904.649999991</v>
      </c>
    </row>
    <row r="138" spans="1:16" s="70" customFormat="1" x14ac:dyDescent="0.2">
      <c r="A138" s="36"/>
      <c r="B138" s="28" t="s">
        <v>11</v>
      </c>
      <c r="C138" s="19" t="s">
        <v>65</v>
      </c>
      <c r="D138" s="37"/>
      <c r="E138" s="38">
        <f>F137-E137</f>
        <v>78280653.769999892</v>
      </c>
      <c r="F138" s="22"/>
      <c r="G138" s="1"/>
      <c r="H138" s="1"/>
      <c r="I138" s="1"/>
      <c r="M138" s="2"/>
      <c r="N138" s="2"/>
      <c r="O138" s="1"/>
      <c r="P138" s="2"/>
    </row>
    <row r="139" spans="1:16" s="70" customFormat="1" x14ac:dyDescent="0.2">
      <c r="A139" s="36"/>
      <c r="B139" s="28" t="s">
        <v>66</v>
      </c>
      <c r="C139" s="19" t="s">
        <v>67</v>
      </c>
      <c r="D139" s="37"/>
      <c r="E139" s="38">
        <f>11500000-7200000</f>
        <v>4300000</v>
      </c>
      <c r="F139" s="22"/>
      <c r="G139" s="1"/>
      <c r="H139" s="1"/>
      <c r="M139" s="2"/>
      <c r="N139" s="2"/>
      <c r="O139" s="1"/>
      <c r="P139" s="2"/>
    </row>
    <row r="140" spans="1:16" s="70" customFormat="1" x14ac:dyDescent="0.2">
      <c r="A140" s="36"/>
      <c r="B140" s="28" t="s">
        <v>66</v>
      </c>
      <c r="C140" s="43" t="s">
        <v>1457</v>
      </c>
      <c r="D140" s="43"/>
      <c r="E140" s="12">
        <f>400000000</f>
        <v>400000000</v>
      </c>
      <c r="F140" s="22"/>
      <c r="G140" s="1"/>
      <c r="H140" s="1"/>
      <c r="J140" s="45">
        <v>2506.17</v>
      </c>
      <c r="K140" s="46"/>
      <c r="L140" s="46"/>
      <c r="M140" s="2"/>
      <c r="N140" s="2"/>
      <c r="O140" s="1"/>
      <c r="P140" s="2"/>
    </row>
    <row r="141" spans="1:16" s="70" customFormat="1" ht="15" x14ac:dyDescent="0.25">
      <c r="A141" s="36"/>
      <c r="B141" s="28"/>
      <c r="C141" s="44" t="s">
        <v>1541</v>
      </c>
      <c r="D141" s="43"/>
      <c r="E141" s="7">
        <f>+E140+E138+E139</f>
        <v>482580653.76999986</v>
      </c>
      <c r="F141" s="22"/>
      <c r="G141" s="1"/>
      <c r="H141" s="1"/>
      <c r="I141" s="103" t="s">
        <v>69</v>
      </c>
      <c r="J141" s="45">
        <v>-120.08</v>
      </c>
      <c r="K141" s="46"/>
      <c r="L141" s="46"/>
      <c r="M141" s="2"/>
      <c r="N141" s="2"/>
      <c r="O141" s="1"/>
      <c r="P141" s="2"/>
    </row>
    <row r="142" spans="1:16" s="70" customFormat="1" ht="15" x14ac:dyDescent="0.25">
      <c r="A142" s="24"/>
      <c r="B142" s="1"/>
      <c r="C142" s="44" t="s">
        <v>1510</v>
      </c>
      <c r="D142" s="25"/>
      <c r="E142" s="156">
        <f>+J64-E139+I60-J60</f>
        <v>17419346.229999997</v>
      </c>
      <c r="F142" s="2"/>
      <c r="G142" s="1"/>
      <c r="H142" s="1"/>
      <c r="I142" s="35">
        <v>1</v>
      </c>
      <c r="J142" s="45">
        <v>108.57</v>
      </c>
      <c r="K142" s="46">
        <f>+J143-D145</f>
        <v>0</v>
      </c>
      <c r="L142" s="2"/>
      <c r="M142" s="2"/>
      <c r="N142" s="2"/>
      <c r="O142" s="1"/>
      <c r="P142" s="2"/>
    </row>
    <row r="143" spans="1:16" s="70" customFormat="1" ht="12.75" customHeight="1" x14ac:dyDescent="0.2">
      <c r="A143" s="24"/>
      <c r="B143" s="1"/>
      <c r="C143" s="56"/>
      <c r="D143" s="56"/>
      <c r="E143" s="104"/>
      <c r="F143" s="2"/>
      <c r="G143" s="166"/>
      <c r="H143" s="166"/>
      <c r="J143" s="49">
        <f>SUM(J140:J142)</f>
        <v>2494.6600000000003</v>
      </c>
      <c r="K143" s="46"/>
      <c r="L143" s="46"/>
      <c r="M143" s="124"/>
      <c r="N143" s="124"/>
      <c r="O143" s="1"/>
      <c r="P143" s="2"/>
    </row>
    <row r="144" spans="1:16" s="70" customFormat="1" ht="12.75" customHeight="1" x14ac:dyDescent="0.2">
      <c r="A144" s="24"/>
      <c r="B144" s="1"/>
      <c r="C144" s="78" t="s">
        <v>575</v>
      </c>
      <c r="D144" s="48" t="s">
        <v>576</v>
      </c>
      <c r="E144" s="104"/>
      <c r="F144" s="2"/>
      <c r="G144" s="168"/>
      <c r="H144" s="168"/>
      <c r="I144" s="167"/>
      <c r="J144" s="167"/>
      <c r="K144" s="168"/>
      <c r="L144" s="124"/>
      <c r="M144" s="124"/>
      <c r="N144" s="124"/>
      <c r="O144" s="124"/>
      <c r="P144" s="2"/>
    </row>
    <row r="145" spans="1:19" s="70" customFormat="1" ht="12.75" customHeight="1" x14ac:dyDescent="0.2">
      <c r="A145" s="24"/>
      <c r="B145" s="1"/>
      <c r="C145" s="47" t="s">
        <v>570</v>
      </c>
      <c r="D145" s="111">
        <v>2494.66</v>
      </c>
      <c r="E145" s="104"/>
      <c r="F145" s="2"/>
      <c r="G145" s="168"/>
      <c r="H145" s="168"/>
      <c r="I145" s="110" t="s">
        <v>581</v>
      </c>
      <c r="J145" s="167"/>
      <c r="K145" s="168"/>
      <c r="L145" s="124"/>
      <c r="M145" s="124"/>
      <c r="N145" s="124"/>
      <c r="O145" s="124"/>
      <c r="P145" s="124"/>
    </row>
    <row r="146" spans="1:19" s="70" customFormat="1" ht="12.75" customHeight="1" x14ac:dyDescent="0.2">
      <c r="A146" s="24"/>
      <c r="B146" s="1"/>
      <c r="C146" s="47" t="s">
        <v>931</v>
      </c>
      <c r="D146" s="111">
        <v>221.96</v>
      </c>
      <c r="E146" s="104"/>
      <c r="F146" s="2"/>
      <c r="G146" s="168"/>
      <c r="H146" s="168"/>
      <c r="I146" s="110" t="s">
        <v>580</v>
      </c>
      <c r="J146" s="167"/>
      <c r="K146" s="168"/>
      <c r="L146" s="124"/>
      <c r="M146" s="124"/>
      <c r="N146" s="124"/>
      <c r="O146" s="124"/>
      <c r="P146" s="124"/>
    </row>
    <row r="147" spans="1:19" s="70" customFormat="1" ht="12.75" customHeight="1" x14ac:dyDescent="0.2">
      <c r="A147" s="24"/>
      <c r="B147" s="1"/>
      <c r="C147" s="47" t="s">
        <v>572</v>
      </c>
      <c r="D147" s="111">
        <f>+D198/100000</f>
        <v>856.05746939999995</v>
      </c>
      <c r="E147" s="104"/>
      <c r="F147" s="2"/>
      <c r="G147" s="166"/>
      <c r="H147" s="166"/>
      <c r="I147" s="90" t="s">
        <v>587</v>
      </c>
      <c r="J147" s="167"/>
      <c r="K147" s="168"/>
      <c r="L147" s="124"/>
      <c r="M147" s="124"/>
      <c r="N147" s="124"/>
      <c r="O147" s="124"/>
      <c r="P147" s="124"/>
    </row>
    <row r="148" spans="1:19" s="70" customFormat="1" ht="12.75" customHeight="1" x14ac:dyDescent="0.2">
      <c r="A148" s="24"/>
      <c r="B148" s="1"/>
      <c r="C148" s="108" t="s">
        <v>578</v>
      </c>
      <c r="D148" s="48">
        <f>SUM(D145:D147)</f>
        <v>3572.6774693999996</v>
      </c>
      <c r="E148" s="104"/>
      <c r="F148" s="2"/>
      <c r="G148" s="30"/>
      <c r="H148" s="30"/>
      <c r="I148" s="2"/>
      <c r="J148" s="13"/>
      <c r="K148" s="13"/>
      <c r="L148" s="2"/>
      <c r="M148" s="2"/>
      <c r="N148" s="2"/>
      <c r="O148" s="124"/>
      <c r="P148" s="124"/>
    </row>
    <row r="149" spans="1:19" s="70" customFormat="1" ht="12.75" customHeight="1" x14ac:dyDescent="0.2">
      <c r="A149" s="24"/>
      <c r="B149" s="1"/>
      <c r="C149" s="47"/>
      <c r="D149" s="107"/>
      <c r="E149" s="104"/>
      <c r="F149" s="2"/>
      <c r="G149" s="30"/>
      <c r="H149" s="30"/>
      <c r="I149" s="2"/>
      <c r="O149" s="2"/>
      <c r="P149" s="124"/>
    </row>
    <row r="150" spans="1:19" s="70" customFormat="1" ht="12.75" customHeight="1" x14ac:dyDescent="0.2">
      <c r="A150" s="24"/>
      <c r="B150" s="1"/>
      <c r="C150" s="47" t="s">
        <v>932</v>
      </c>
      <c r="D150" s="111">
        <v>681.24</v>
      </c>
      <c r="E150" s="104"/>
      <c r="F150" s="2"/>
      <c r="G150" s="30"/>
      <c r="H150" s="30"/>
      <c r="I150" s="110" t="s">
        <v>581</v>
      </c>
      <c r="P150" s="2"/>
    </row>
    <row r="151" spans="1:19" s="70" customFormat="1" ht="12.75" customHeight="1" x14ac:dyDescent="0.2">
      <c r="A151" s="24"/>
      <c r="B151" s="1"/>
      <c r="C151" s="136" t="s">
        <v>1142</v>
      </c>
      <c r="D151" s="111">
        <v>927.49</v>
      </c>
      <c r="E151" s="104"/>
      <c r="F151" s="2"/>
      <c r="G151" s="30"/>
      <c r="H151" s="30"/>
      <c r="I151" s="110" t="s">
        <v>581</v>
      </c>
    </row>
    <row r="152" spans="1:19" s="70" customFormat="1" ht="12.75" customHeight="1" x14ac:dyDescent="0.2">
      <c r="A152" s="24"/>
      <c r="B152" s="1"/>
      <c r="C152" s="78" t="s">
        <v>579</v>
      </c>
      <c r="D152" s="109">
        <f>D150+D151</f>
        <v>1608.73</v>
      </c>
      <c r="E152" s="104"/>
      <c r="F152" s="2"/>
      <c r="G152" s="30"/>
      <c r="H152" s="30"/>
      <c r="Q152" s="2"/>
      <c r="R152" s="2"/>
      <c r="S152" s="2"/>
    </row>
    <row r="153" spans="1:19" s="2" customFormat="1" x14ac:dyDescent="0.2">
      <c r="A153" s="24"/>
      <c r="B153" s="1"/>
      <c r="C153" s="105"/>
      <c r="D153" s="106"/>
      <c r="E153" s="104"/>
      <c r="G153" s="30"/>
      <c r="H153" s="30"/>
      <c r="I153" s="70"/>
      <c r="K153" s="221" t="str">
        <f>"FROM ( 01-03-2024 to "&amp;TEXT(A5,"dd-mm-yyyy")&amp;" )"</f>
        <v>FROM ( 01-03-2024 to 23-03-2024 )</v>
      </c>
      <c r="L153" s="221"/>
      <c r="O153" s="70"/>
      <c r="P153" s="70"/>
    </row>
    <row r="154" spans="1:19" s="2" customFormat="1" x14ac:dyDescent="0.2">
      <c r="A154" s="24"/>
      <c r="B154" s="1"/>
      <c r="C154" s="78" t="s">
        <v>577</v>
      </c>
      <c r="D154" s="109">
        <f>D145+D152</f>
        <v>4103.3899999999994</v>
      </c>
      <c r="E154" s="104"/>
      <c r="G154" s="30"/>
      <c r="H154" s="30"/>
      <c r="I154" s="70"/>
      <c r="J154" s="113"/>
      <c r="K154" s="113" t="s">
        <v>709</v>
      </c>
      <c r="L154" s="113" t="s">
        <v>710</v>
      </c>
      <c r="M154" s="113" t="s">
        <v>711</v>
      </c>
      <c r="N154" s="113" t="s">
        <v>712</v>
      </c>
      <c r="O154" s="70"/>
      <c r="P154" s="70"/>
    </row>
    <row r="155" spans="1:19" s="2" customFormat="1" x14ac:dyDescent="0.2">
      <c r="A155" s="24"/>
      <c r="B155" s="1"/>
      <c r="C155" s="56"/>
      <c r="D155" s="56"/>
      <c r="E155" s="104"/>
      <c r="G155" s="30"/>
      <c r="H155" s="30"/>
      <c r="I155" s="70"/>
      <c r="J155" s="113" t="s">
        <v>1860</v>
      </c>
      <c r="K155" s="115">
        <v>195.8</v>
      </c>
      <c r="L155" s="115">
        <v>62.74</v>
      </c>
      <c r="M155" s="115">
        <v>59.4</v>
      </c>
      <c r="N155" s="113">
        <f>+K155+M155-L155</f>
        <v>192.46</v>
      </c>
      <c r="O155" s="70"/>
      <c r="P155" s="70"/>
    </row>
    <row r="156" spans="1:19" s="2" customFormat="1" ht="38.25" x14ac:dyDescent="0.2">
      <c r="A156" s="24"/>
      <c r="B156" s="1"/>
      <c r="C156" s="79" t="str">
        <f>"Particulars ( 01-03-2024 to "&amp;TEXT(A5,"dd-mm-yyyy")&amp;" )"</f>
        <v>Particulars ( 01-03-2024 to 23-03-2024 )</v>
      </c>
      <c r="D156" s="79" t="s">
        <v>7</v>
      </c>
      <c r="E156" s="80" t="s">
        <v>73</v>
      </c>
      <c r="F156" s="80" t="s">
        <v>74</v>
      </c>
      <c r="G156" s="81" t="s">
        <v>75</v>
      </c>
      <c r="H156" s="80" t="s">
        <v>76</v>
      </c>
      <c r="I156" s="70"/>
      <c r="J156" s="113" t="s">
        <v>1861</v>
      </c>
      <c r="K156" s="115">
        <v>1882.55</v>
      </c>
      <c r="L156" s="115">
        <v>857.71</v>
      </c>
      <c r="M156" s="115">
        <v>932.49</v>
      </c>
      <c r="N156" s="113">
        <f>+K156+M156-L156</f>
        <v>1957.33</v>
      </c>
      <c r="O156" s="70"/>
      <c r="P156" s="70"/>
    </row>
    <row r="157" spans="1:19" s="2" customFormat="1" x14ac:dyDescent="0.2">
      <c r="A157" s="24"/>
      <c r="B157" s="1"/>
      <c r="C157" s="50" t="s">
        <v>444</v>
      </c>
      <c r="D157" s="55">
        <f>+K157</f>
        <v>463.26</v>
      </c>
      <c r="E157" s="55">
        <f>+IF(M157=0,0,M157)</f>
        <v>681.24</v>
      </c>
      <c r="F157" s="55">
        <f>+L157</f>
        <v>221.96</v>
      </c>
      <c r="G157" s="55">
        <f>+D157+E157-F157</f>
        <v>922.54</v>
      </c>
      <c r="H157" s="55">
        <f>1500-G157</f>
        <v>577.46</v>
      </c>
      <c r="I157" s="70">
        <f>+IF(M157=0,0,M157)</f>
        <v>681.24</v>
      </c>
      <c r="J157" s="113" t="s">
        <v>707</v>
      </c>
      <c r="K157" s="115">
        <v>463.26</v>
      </c>
      <c r="L157" s="115">
        <v>221.96</v>
      </c>
      <c r="M157" s="115">
        <v>681.24</v>
      </c>
      <c r="N157" s="113">
        <f>+K157+M157-L157</f>
        <v>922.54</v>
      </c>
      <c r="O157" s="70"/>
      <c r="P157" s="70"/>
    </row>
    <row r="158" spans="1:19" s="2" customFormat="1" x14ac:dyDescent="0.2">
      <c r="A158" s="24"/>
      <c r="B158" s="1"/>
      <c r="C158" s="50" t="s">
        <v>71</v>
      </c>
      <c r="D158" s="55">
        <f>+K155+K156</f>
        <v>2078.35</v>
      </c>
      <c r="E158" s="55">
        <f>+M155+M156</f>
        <v>991.89</v>
      </c>
      <c r="F158" s="55">
        <f>+L155+L156</f>
        <v>920.45</v>
      </c>
      <c r="G158" s="55">
        <f>+D158+E158-F158</f>
        <v>2149.79</v>
      </c>
      <c r="H158" s="55">
        <f>1500+700+200-G158</f>
        <v>250.21000000000004</v>
      </c>
      <c r="I158" s="70"/>
      <c r="K158" s="118">
        <f>SUM(K155:K157)</f>
        <v>2541.6099999999997</v>
      </c>
      <c r="L158" s="118">
        <f>SUM(L155:L157)</f>
        <v>1142.4100000000001</v>
      </c>
      <c r="M158" s="118">
        <f>SUM(M155:M157)</f>
        <v>1673.13</v>
      </c>
      <c r="N158" s="118">
        <f>SUM(N155:N157)</f>
        <v>3072.33</v>
      </c>
      <c r="O158" s="70"/>
      <c r="P158" s="70"/>
    </row>
    <row r="159" spans="1:19" s="2" customFormat="1" x14ac:dyDescent="0.2">
      <c r="A159" s="24"/>
      <c r="B159" s="1"/>
      <c r="C159" s="14"/>
      <c r="D159" s="56"/>
      <c r="E159" s="13"/>
      <c r="G159" s="30"/>
      <c r="H159" s="30"/>
      <c r="I159" s="70"/>
      <c r="J159" s="70"/>
      <c r="K159" s="70"/>
      <c r="L159" s="70"/>
      <c r="M159" s="70"/>
      <c r="N159" s="70"/>
      <c r="O159" s="70"/>
      <c r="P159" s="70"/>
    </row>
    <row r="160" spans="1:19" s="2" customFormat="1" x14ac:dyDescent="0.2">
      <c r="A160" s="215" t="s">
        <v>80</v>
      </c>
      <c r="B160" s="216"/>
      <c r="C160" s="216"/>
      <c r="D160" s="217"/>
      <c r="E160" s="69"/>
      <c r="F160" s="70"/>
      <c r="G160" s="30"/>
      <c r="H160" s="30"/>
      <c r="I160" s="70"/>
      <c r="J160" s="70"/>
      <c r="K160" s="70"/>
      <c r="L160" s="70"/>
      <c r="M160" s="70"/>
      <c r="N160" s="70"/>
      <c r="O160" s="70"/>
      <c r="P160" s="70"/>
    </row>
    <row r="161" spans="1:16" s="2" customFormat="1" x14ac:dyDescent="0.2">
      <c r="A161" s="71" t="s">
        <v>81</v>
      </c>
      <c r="B161" s="71"/>
      <c r="C161" s="72" t="s">
        <v>82</v>
      </c>
      <c r="D161" s="73" t="s">
        <v>83</v>
      </c>
      <c r="E161" s="69"/>
      <c r="F161" s="70"/>
      <c r="G161" s="30"/>
      <c r="H161" s="30"/>
      <c r="I161" s="70"/>
      <c r="J161" s="70"/>
      <c r="K161" s="70"/>
      <c r="L161" s="70"/>
      <c r="M161" s="70"/>
      <c r="N161" s="70"/>
      <c r="O161" s="70"/>
      <c r="P161" s="70"/>
    </row>
    <row r="162" spans="1:16" s="2" customFormat="1" x14ac:dyDescent="0.2">
      <c r="A162" s="87">
        <v>45352</v>
      </c>
      <c r="B162" s="120" t="s">
        <v>6</v>
      </c>
      <c r="C162" s="75" t="s">
        <v>594</v>
      </c>
      <c r="D162" s="88">
        <v>2143144</v>
      </c>
      <c r="G162" s="30"/>
      <c r="H162" s="30"/>
      <c r="P162" s="70"/>
    </row>
    <row r="163" spans="1:16" s="2" customFormat="1" x14ac:dyDescent="0.2">
      <c r="A163" s="87">
        <v>45352</v>
      </c>
      <c r="B163" s="120" t="s">
        <v>6</v>
      </c>
      <c r="C163" s="75" t="s">
        <v>271</v>
      </c>
      <c r="D163" s="88">
        <v>1493463</v>
      </c>
      <c r="G163" s="30"/>
      <c r="H163" s="30"/>
      <c r="P163" s="70"/>
    </row>
    <row r="164" spans="1:16" s="2" customFormat="1" x14ac:dyDescent="0.2">
      <c r="A164" s="87">
        <v>45354</v>
      </c>
      <c r="B164" s="120" t="s">
        <v>6</v>
      </c>
      <c r="C164" s="75" t="s">
        <v>270</v>
      </c>
      <c r="D164" s="88">
        <v>187299</v>
      </c>
      <c r="G164" s="30"/>
      <c r="H164" s="30"/>
      <c r="P164" s="70"/>
    </row>
    <row r="165" spans="1:16" s="2" customFormat="1" x14ac:dyDescent="0.2">
      <c r="A165" s="87">
        <v>45356</v>
      </c>
      <c r="B165" s="120" t="s">
        <v>6</v>
      </c>
      <c r="C165" s="75" t="s">
        <v>84</v>
      </c>
      <c r="D165" s="88">
        <v>3111466</v>
      </c>
      <c r="G165" s="30"/>
      <c r="H165" s="30"/>
      <c r="P165" s="70"/>
    </row>
    <row r="166" spans="1:16" s="2" customFormat="1" x14ac:dyDescent="0.2">
      <c r="A166" s="87">
        <v>45356</v>
      </c>
      <c r="B166" s="120" t="s">
        <v>6</v>
      </c>
      <c r="C166" s="75" t="s">
        <v>271</v>
      </c>
      <c r="D166" s="88">
        <v>1369091</v>
      </c>
      <c r="G166" s="30"/>
      <c r="H166" s="30"/>
      <c r="P166" s="70"/>
    </row>
    <row r="167" spans="1:16" s="2" customFormat="1" x14ac:dyDescent="0.2">
      <c r="A167" s="87">
        <v>45357</v>
      </c>
      <c r="B167" s="120" t="s">
        <v>6</v>
      </c>
      <c r="C167" s="75" t="s">
        <v>271</v>
      </c>
      <c r="D167" s="88">
        <v>1393433</v>
      </c>
      <c r="G167" s="30"/>
      <c r="H167" s="30"/>
      <c r="P167" s="70"/>
    </row>
    <row r="168" spans="1:16" s="2" customFormat="1" x14ac:dyDescent="0.2">
      <c r="A168" s="87">
        <v>45359</v>
      </c>
      <c r="B168" s="120" t="s">
        <v>6</v>
      </c>
      <c r="C168" s="75" t="s">
        <v>271</v>
      </c>
      <c r="D168" s="88">
        <v>730944</v>
      </c>
      <c r="G168" s="30"/>
      <c r="H168" s="30"/>
      <c r="P168" s="70"/>
    </row>
    <row r="169" spans="1:16" s="2" customFormat="1" x14ac:dyDescent="0.2">
      <c r="A169" s="87">
        <v>45359</v>
      </c>
      <c r="B169" s="120" t="s">
        <v>6</v>
      </c>
      <c r="C169" s="75" t="s">
        <v>18</v>
      </c>
      <c r="D169" s="88">
        <v>19228</v>
      </c>
      <c r="G169" s="30"/>
      <c r="H169" s="30"/>
      <c r="P169" s="70"/>
    </row>
    <row r="170" spans="1:16" s="2" customFormat="1" x14ac:dyDescent="0.2">
      <c r="A170" s="87">
        <v>45362</v>
      </c>
      <c r="B170" s="120" t="s">
        <v>6</v>
      </c>
      <c r="C170" s="75" t="s">
        <v>1789</v>
      </c>
      <c r="D170" s="88">
        <v>2568137</v>
      </c>
      <c r="G170" s="30"/>
      <c r="H170" s="30"/>
      <c r="P170" s="70"/>
    </row>
    <row r="171" spans="1:16" s="2" customFormat="1" x14ac:dyDescent="0.2">
      <c r="A171" s="87">
        <v>45362</v>
      </c>
      <c r="B171" s="120" t="s">
        <v>6</v>
      </c>
      <c r="C171" s="75" t="s">
        <v>85</v>
      </c>
      <c r="D171" s="88">
        <v>39949</v>
      </c>
      <c r="G171" s="30"/>
      <c r="H171" s="30"/>
      <c r="P171" s="70"/>
    </row>
    <row r="172" spans="1:16" s="2" customFormat="1" x14ac:dyDescent="0.2">
      <c r="A172" s="87">
        <v>45362</v>
      </c>
      <c r="B172" s="120" t="s">
        <v>6</v>
      </c>
      <c r="C172" s="75" t="s">
        <v>85</v>
      </c>
      <c r="D172" s="88">
        <v>219691</v>
      </c>
      <c r="G172" s="30"/>
      <c r="H172" s="30"/>
      <c r="P172" s="70"/>
    </row>
    <row r="173" spans="1:16" s="2" customFormat="1" x14ac:dyDescent="0.2">
      <c r="A173" s="87">
        <v>45363</v>
      </c>
      <c r="B173" s="120" t="s">
        <v>6</v>
      </c>
      <c r="C173" s="75" t="s">
        <v>271</v>
      </c>
      <c r="D173" s="88">
        <v>952416</v>
      </c>
      <c r="G173" s="30"/>
      <c r="H173" s="30"/>
      <c r="P173" s="70"/>
    </row>
    <row r="174" spans="1:16" s="2" customFormat="1" x14ac:dyDescent="0.2">
      <c r="A174" s="87">
        <v>45363</v>
      </c>
      <c r="B174" s="120" t="s">
        <v>6</v>
      </c>
      <c r="C174" s="75" t="s">
        <v>18</v>
      </c>
      <c r="D174" s="88">
        <v>591483</v>
      </c>
      <c r="G174" s="30"/>
      <c r="H174" s="30"/>
      <c r="P174" s="70"/>
    </row>
    <row r="175" spans="1:16" s="2" customFormat="1" x14ac:dyDescent="0.2">
      <c r="A175" s="87">
        <v>45364</v>
      </c>
      <c r="B175" s="120" t="s">
        <v>6</v>
      </c>
      <c r="C175" s="75" t="s">
        <v>85</v>
      </c>
      <c r="D175" s="88">
        <v>701638</v>
      </c>
      <c r="G175" s="30"/>
      <c r="H175" s="30"/>
      <c r="P175" s="70"/>
    </row>
    <row r="176" spans="1:16" s="2" customFormat="1" x14ac:dyDescent="0.2">
      <c r="A176" s="87">
        <v>45364</v>
      </c>
      <c r="B176" s="120" t="s">
        <v>6</v>
      </c>
      <c r="C176" s="75" t="s">
        <v>86</v>
      </c>
      <c r="D176" s="88">
        <v>1887871</v>
      </c>
      <c r="G176" s="30"/>
      <c r="H176" s="30"/>
      <c r="P176" s="70"/>
    </row>
    <row r="177" spans="1:16" s="2" customFormat="1" x14ac:dyDescent="0.2">
      <c r="A177" s="87">
        <v>45365</v>
      </c>
      <c r="B177" s="120" t="s">
        <v>6</v>
      </c>
      <c r="C177" s="75" t="s">
        <v>18</v>
      </c>
      <c r="D177" s="88">
        <v>1006330</v>
      </c>
      <c r="G177" s="30"/>
      <c r="H177" s="30"/>
      <c r="P177" s="70"/>
    </row>
    <row r="178" spans="1:16" s="2" customFormat="1" x14ac:dyDescent="0.2">
      <c r="A178" s="87">
        <v>45365</v>
      </c>
      <c r="B178" s="120" t="s">
        <v>6</v>
      </c>
      <c r="C178" s="75" t="s">
        <v>18</v>
      </c>
      <c r="D178" s="88">
        <v>5597</v>
      </c>
      <c r="G178" s="30"/>
      <c r="H178" s="30"/>
      <c r="P178" s="70"/>
    </row>
    <row r="179" spans="1:16" s="2" customFormat="1" x14ac:dyDescent="0.2">
      <c r="A179" s="87">
        <v>45366</v>
      </c>
      <c r="B179" s="120" t="s">
        <v>6</v>
      </c>
      <c r="C179" s="75" t="s">
        <v>201</v>
      </c>
      <c r="D179" s="88">
        <v>6161756</v>
      </c>
      <c r="G179" s="30"/>
      <c r="H179" s="30"/>
      <c r="P179" s="70"/>
    </row>
    <row r="180" spans="1:16" s="2" customFormat="1" x14ac:dyDescent="0.2">
      <c r="A180" s="87">
        <v>45366</v>
      </c>
      <c r="B180" s="120" t="s">
        <v>6</v>
      </c>
      <c r="C180" s="75" t="s">
        <v>1789</v>
      </c>
      <c r="D180" s="88">
        <v>7500000</v>
      </c>
      <c r="G180" s="30"/>
      <c r="H180" s="30"/>
      <c r="P180" s="70"/>
    </row>
    <row r="181" spans="1:16" s="2" customFormat="1" x14ac:dyDescent="0.2">
      <c r="A181" s="87">
        <v>45366</v>
      </c>
      <c r="B181" s="120" t="s">
        <v>6</v>
      </c>
      <c r="C181" s="75" t="s">
        <v>85</v>
      </c>
      <c r="D181" s="88">
        <v>306349</v>
      </c>
      <c r="G181" s="30"/>
      <c r="H181" s="30"/>
      <c r="P181" s="70"/>
    </row>
    <row r="182" spans="1:16" s="2" customFormat="1" x14ac:dyDescent="0.2">
      <c r="A182" s="87">
        <v>45366</v>
      </c>
      <c r="B182" s="120" t="s">
        <v>6</v>
      </c>
      <c r="C182" s="75" t="s">
        <v>85</v>
      </c>
      <c r="D182" s="88">
        <v>400000</v>
      </c>
      <c r="G182" s="30"/>
      <c r="H182" s="30"/>
      <c r="P182" s="70"/>
    </row>
    <row r="183" spans="1:16" s="2" customFormat="1" x14ac:dyDescent="0.2">
      <c r="A183" s="87">
        <v>45366</v>
      </c>
      <c r="B183" s="120" t="s">
        <v>6</v>
      </c>
      <c r="C183" s="75" t="s">
        <v>87</v>
      </c>
      <c r="D183" s="88">
        <v>4850915</v>
      </c>
      <c r="G183" s="30"/>
      <c r="H183" s="30"/>
      <c r="P183" s="70"/>
    </row>
    <row r="184" spans="1:16" s="2" customFormat="1" x14ac:dyDescent="0.2">
      <c r="A184" s="87">
        <v>45366</v>
      </c>
      <c r="B184" s="120" t="s">
        <v>6</v>
      </c>
      <c r="C184" s="75" t="s">
        <v>88</v>
      </c>
      <c r="D184" s="88">
        <v>5232207.0599999996</v>
      </c>
      <c r="G184" s="30"/>
      <c r="H184" s="30"/>
      <c r="P184" s="70"/>
    </row>
    <row r="185" spans="1:16" s="2" customFormat="1" x14ac:dyDescent="0.2">
      <c r="A185" s="87">
        <v>45366</v>
      </c>
      <c r="B185" s="120" t="s">
        <v>6</v>
      </c>
      <c r="C185" s="75" t="s">
        <v>201</v>
      </c>
      <c r="D185" s="88">
        <v>9960808.3800000008</v>
      </c>
      <c r="G185" s="30"/>
      <c r="H185" s="30"/>
      <c r="P185" s="70"/>
    </row>
    <row r="186" spans="1:16" s="2" customFormat="1" x14ac:dyDescent="0.2">
      <c r="A186" s="87">
        <v>45366</v>
      </c>
      <c r="B186" s="120" t="s">
        <v>6</v>
      </c>
      <c r="C186" s="75" t="s">
        <v>86</v>
      </c>
      <c r="D186" s="88">
        <v>7162826</v>
      </c>
      <c r="G186" s="30"/>
      <c r="H186" s="30"/>
      <c r="P186" s="70"/>
    </row>
    <row r="187" spans="1:16" s="2" customFormat="1" x14ac:dyDescent="0.2">
      <c r="A187" s="87">
        <v>45366</v>
      </c>
      <c r="B187" s="120" t="s">
        <v>6</v>
      </c>
      <c r="C187" s="75" t="s">
        <v>323</v>
      </c>
      <c r="D187" s="88">
        <v>1044131</v>
      </c>
      <c r="G187" s="30"/>
      <c r="H187" s="30"/>
      <c r="P187" s="70"/>
    </row>
    <row r="188" spans="1:16" s="2" customFormat="1" x14ac:dyDescent="0.2">
      <c r="A188" s="87">
        <v>45366</v>
      </c>
      <c r="B188" s="120" t="s">
        <v>6</v>
      </c>
      <c r="C188" s="75" t="s">
        <v>1789</v>
      </c>
      <c r="D188" s="88">
        <v>39309</v>
      </c>
      <c r="G188" s="30"/>
      <c r="H188" s="30"/>
      <c r="P188" s="70"/>
    </row>
    <row r="189" spans="1:16" s="2" customFormat="1" x14ac:dyDescent="0.2">
      <c r="A189" s="87">
        <v>45366</v>
      </c>
      <c r="B189" s="120" t="s">
        <v>6</v>
      </c>
      <c r="C189" s="75" t="s">
        <v>88</v>
      </c>
      <c r="D189" s="88">
        <v>30421</v>
      </c>
      <c r="G189" s="30"/>
      <c r="H189" s="30"/>
      <c r="P189" s="70"/>
    </row>
    <row r="190" spans="1:16" s="2" customFormat="1" x14ac:dyDescent="0.2">
      <c r="A190" s="87">
        <v>45366</v>
      </c>
      <c r="B190" s="120" t="s">
        <v>6</v>
      </c>
      <c r="C190" s="75" t="s">
        <v>270</v>
      </c>
      <c r="D190" s="88">
        <v>76786</v>
      </c>
      <c r="G190" s="30"/>
      <c r="H190" s="30"/>
      <c r="P190" s="70"/>
    </row>
    <row r="191" spans="1:16" s="2" customFormat="1" x14ac:dyDescent="0.2">
      <c r="A191" s="87">
        <v>45366</v>
      </c>
      <c r="B191" s="120" t="s">
        <v>6</v>
      </c>
      <c r="C191" s="75" t="s">
        <v>270</v>
      </c>
      <c r="D191" s="88">
        <v>30283.5</v>
      </c>
      <c r="G191" s="30"/>
      <c r="H191" s="30"/>
      <c r="P191" s="70"/>
    </row>
    <row r="192" spans="1:16" s="2" customFormat="1" x14ac:dyDescent="0.2">
      <c r="A192" s="87">
        <v>45367</v>
      </c>
      <c r="B192" s="120" t="s">
        <v>6</v>
      </c>
      <c r="C192" s="75" t="s">
        <v>594</v>
      </c>
      <c r="D192" s="88">
        <v>5010276</v>
      </c>
      <c r="G192" s="30"/>
      <c r="H192" s="30"/>
      <c r="P192" s="70"/>
    </row>
    <row r="193" spans="1:16" s="2" customFormat="1" x14ac:dyDescent="0.2">
      <c r="A193" s="87">
        <v>45369</v>
      </c>
      <c r="B193" s="120" t="s">
        <v>6</v>
      </c>
      <c r="C193" s="75" t="s">
        <v>86</v>
      </c>
      <c r="D193" s="88">
        <v>5267306</v>
      </c>
      <c r="G193" s="30"/>
      <c r="H193" s="30"/>
      <c r="P193" s="70"/>
    </row>
    <row r="194" spans="1:16" s="2" customFormat="1" x14ac:dyDescent="0.2">
      <c r="A194" s="87">
        <v>45371</v>
      </c>
      <c r="B194" s="120" t="s">
        <v>6</v>
      </c>
      <c r="C194" s="75" t="s">
        <v>1789</v>
      </c>
      <c r="D194" s="88">
        <v>7500000</v>
      </c>
      <c r="G194" s="30"/>
      <c r="H194" s="30"/>
      <c r="P194" s="70"/>
    </row>
    <row r="195" spans="1:16" s="2" customFormat="1" x14ac:dyDescent="0.2">
      <c r="A195" s="87">
        <v>45371</v>
      </c>
      <c r="B195" s="120" t="s">
        <v>6</v>
      </c>
      <c r="C195" s="75" t="s">
        <v>271</v>
      </c>
      <c r="D195" s="88">
        <v>1203166</v>
      </c>
      <c r="G195" s="30"/>
      <c r="H195" s="30"/>
      <c r="P195" s="70"/>
    </row>
    <row r="196" spans="1:16" s="2" customFormat="1" x14ac:dyDescent="0.2">
      <c r="A196" s="87">
        <v>45372</v>
      </c>
      <c r="B196" s="120" t="s">
        <v>6</v>
      </c>
      <c r="C196" s="75" t="s">
        <v>85</v>
      </c>
      <c r="D196" s="88">
        <v>408027</v>
      </c>
      <c r="G196" s="30"/>
      <c r="H196" s="30"/>
      <c r="P196" s="70"/>
    </row>
    <row r="197" spans="1:16" s="2" customFormat="1" x14ac:dyDescent="0.2">
      <c r="A197" s="87">
        <v>45373</v>
      </c>
      <c r="B197" s="120" t="s">
        <v>6</v>
      </c>
      <c r="C197" s="75" t="s">
        <v>84</v>
      </c>
      <c r="D197" s="88">
        <v>5000000</v>
      </c>
      <c r="G197" s="30"/>
      <c r="H197" s="30"/>
      <c r="P197" s="70"/>
    </row>
    <row r="198" spans="1:16" s="2" customFormat="1" x14ac:dyDescent="0.2">
      <c r="A198" s="87"/>
      <c r="B198" s="74"/>
      <c r="C198" s="183" t="s">
        <v>2141</v>
      </c>
      <c r="D198" s="51">
        <f>SUM(D162:D197)</f>
        <v>85605746.939999998</v>
      </c>
      <c r="F198" s="2" t="s">
        <v>396</v>
      </c>
      <c r="G198" s="1"/>
      <c r="H198" s="1"/>
      <c r="P198" s="70"/>
    </row>
    <row r="199" spans="1:16" s="2" customFormat="1" x14ac:dyDescent="0.2">
      <c r="A199" s="24"/>
      <c r="B199" s="1"/>
      <c r="C199" s="14"/>
      <c r="D199" s="56"/>
      <c r="E199" s="13"/>
      <c r="G199" s="1"/>
      <c r="H199" s="1"/>
      <c r="I199" s="2" t="s">
        <v>396</v>
      </c>
    </row>
    <row r="200" spans="1:16" s="2" customFormat="1" x14ac:dyDescent="0.2">
      <c r="A200" s="24"/>
      <c r="B200" s="1"/>
      <c r="C200" s="218" t="s">
        <v>77</v>
      </c>
      <c r="D200" s="219"/>
      <c r="E200" s="219"/>
      <c r="F200" s="220"/>
      <c r="I200" s="2" t="s">
        <v>396</v>
      </c>
    </row>
    <row r="201" spans="1:16" s="2" customFormat="1" x14ac:dyDescent="0.2">
      <c r="A201" s="24"/>
      <c r="B201" s="1"/>
      <c r="C201" s="50"/>
      <c r="D201" s="57" t="s">
        <v>78</v>
      </c>
      <c r="E201" s="58" t="s">
        <v>79</v>
      </c>
      <c r="F201" s="57" t="s">
        <v>72</v>
      </c>
    </row>
    <row r="202" spans="1:16" s="2" customFormat="1" x14ac:dyDescent="0.2">
      <c r="A202" s="24"/>
      <c r="B202" s="1"/>
      <c r="C202" s="59" t="str">
        <f>"01-03-2024 to "&amp;TEXT(A5-2,"dd-mm-yyyy")</f>
        <v>01-03-2024 to 21-03-2024</v>
      </c>
      <c r="D202" s="60">
        <v>3432.82</v>
      </c>
      <c r="E202" s="60">
        <v>524.77</v>
      </c>
      <c r="F202" s="61">
        <f>SUM(D202:E202)</f>
        <v>3957.59</v>
      </c>
      <c r="I202" s="53"/>
    </row>
    <row r="203" spans="1:16" s="2" customFormat="1" x14ac:dyDescent="0.2">
      <c r="A203" s="24"/>
      <c r="B203" s="1"/>
      <c r="C203" s="62" t="str">
        <f>TEXT(A5-1,"dd-mm-yyyy")</f>
        <v>22-03-2024</v>
      </c>
      <c r="D203" s="60">
        <v>267.95</v>
      </c>
      <c r="E203" s="60">
        <v>18.21</v>
      </c>
      <c r="F203" s="61">
        <f>SUM(D203:E203)</f>
        <v>286.15999999999997</v>
      </c>
      <c r="G203" s="1"/>
      <c r="H203" s="1"/>
      <c r="I203" s="53"/>
    </row>
    <row r="204" spans="1:16" s="2" customFormat="1" ht="13.5" thickBot="1" x14ac:dyDescent="0.25">
      <c r="A204" s="24"/>
      <c r="B204" s="1"/>
      <c r="C204" s="63" t="str">
        <f>"01-03-2024 to "&amp;TEXT(A5-1,"dd-mm-yyyy")</f>
        <v>01-03-2024 to 22-03-2024</v>
      </c>
      <c r="D204" s="64">
        <f>SUM(D202:D203)</f>
        <v>3700.77</v>
      </c>
      <c r="E204" s="64">
        <f>SUM(E202:E203)</f>
        <v>542.98</v>
      </c>
      <c r="F204" s="64">
        <f>SUM(F202:F203)</f>
        <v>4243.75</v>
      </c>
      <c r="G204" s="1"/>
      <c r="H204" s="1"/>
      <c r="M204" s="1"/>
      <c r="N204" s="1"/>
    </row>
    <row r="205" spans="1:16" s="2" customFormat="1" ht="13.5" thickTop="1" x14ac:dyDescent="0.2">
      <c r="A205" s="24"/>
      <c r="B205" s="1"/>
      <c r="C205" s="62"/>
      <c r="D205" s="65"/>
      <c r="E205" s="66"/>
      <c r="F205" s="67"/>
      <c r="M205" s="1"/>
      <c r="N205" s="1"/>
    </row>
    <row r="206" spans="1:16" s="2" customFormat="1" x14ac:dyDescent="0.2">
      <c r="A206" s="24"/>
      <c r="B206" s="1"/>
      <c r="C206" s="62" t="str">
        <f>"01-04-2023 to " &amp;C203</f>
        <v>01-04-2023 to 22-03-2024</v>
      </c>
      <c r="D206" s="68">
        <f>+D204+41133.42</f>
        <v>44834.189999999995</v>
      </c>
      <c r="E206" s="68">
        <f>+E204+5183.37</f>
        <v>5726.35</v>
      </c>
      <c r="F206" s="68">
        <f>+F204+46316.49</f>
        <v>50560.24</v>
      </c>
      <c r="G206" s="1"/>
      <c r="H206" s="1"/>
      <c r="M206" s="1"/>
      <c r="N206" s="1"/>
    </row>
    <row r="207" spans="1:16" s="2" customFormat="1" x14ac:dyDescent="0.2">
      <c r="A207" s="24"/>
      <c r="B207" s="1"/>
      <c r="C207" s="52"/>
      <c r="D207" s="85"/>
      <c r="E207" s="53"/>
      <c r="F207" s="53"/>
      <c r="G207" s="1"/>
      <c r="H207" s="1"/>
      <c r="M207" s="1"/>
      <c r="N207" s="1"/>
    </row>
    <row r="208" spans="1:16" s="2" customFormat="1" x14ac:dyDescent="0.2">
      <c r="A208" s="24"/>
      <c r="B208" s="1"/>
      <c r="C208" s="52"/>
      <c r="D208" s="85"/>
      <c r="E208" s="53"/>
      <c r="F208" s="53"/>
      <c r="G208" s="1"/>
      <c r="H208" s="1"/>
      <c r="M208" s="1"/>
      <c r="N208" s="1"/>
    </row>
    <row r="209" spans="1:19" s="2" customFormat="1" x14ac:dyDescent="0.2">
      <c r="A209" s="24"/>
      <c r="B209" s="1"/>
      <c r="C209" s="52"/>
      <c r="D209" s="85"/>
      <c r="E209" s="53"/>
      <c r="F209" s="53"/>
      <c r="G209" s="1"/>
      <c r="H209" s="1"/>
      <c r="M209" s="1"/>
      <c r="N209" s="1"/>
    </row>
    <row r="210" spans="1:19" s="2" customFormat="1" x14ac:dyDescent="0.2">
      <c r="A210" s="24"/>
      <c r="B210" s="1"/>
      <c r="C210" s="52"/>
      <c r="D210" s="85"/>
      <c r="E210" s="53"/>
      <c r="F210" s="53"/>
      <c r="G210" s="1"/>
      <c r="H210" s="1"/>
      <c r="M210" s="1"/>
      <c r="N210" s="1"/>
    </row>
    <row r="211" spans="1:19" s="2" customFormat="1" x14ac:dyDescent="0.2">
      <c r="A211" s="24"/>
      <c r="B211" s="1"/>
      <c r="C211" s="14"/>
      <c r="D211" s="25">
        <f>SUM(D208:D210)</f>
        <v>0</v>
      </c>
      <c r="E211" s="2">
        <f>SUM(E208:E210)</f>
        <v>0</v>
      </c>
      <c r="G211" s="1"/>
      <c r="H211" s="1"/>
      <c r="M211" s="1"/>
      <c r="N211" s="1"/>
    </row>
    <row r="212" spans="1:19" s="2" customFormat="1" x14ac:dyDescent="0.2">
      <c r="A212" s="24"/>
      <c r="B212" s="1"/>
      <c r="C212" s="14"/>
      <c r="D212" s="25"/>
      <c r="G212" s="1"/>
      <c r="H212" s="1"/>
      <c r="M212" s="1"/>
      <c r="N212" s="1"/>
    </row>
    <row r="213" spans="1:19" s="2" customFormat="1" x14ac:dyDescent="0.2">
      <c r="A213" s="24"/>
      <c r="B213" s="1"/>
      <c r="C213" s="14"/>
      <c r="D213" s="25"/>
      <c r="G213" s="1"/>
      <c r="H213" s="1"/>
      <c r="M213" s="1"/>
      <c r="N213" s="1"/>
    </row>
    <row r="214" spans="1:19" s="2" customFormat="1" x14ac:dyDescent="0.2">
      <c r="A214" s="24"/>
      <c r="B214" s="1"/>
      <c r="C214" s="14"/>
      <c r="D214" s="25"/>
      <c r="G214" s="1"/>
      <c r="H214" s="1"/>
      <c r="M214" s="1"/>
      <c r="N214" s="1"/>
    </row>
    <row r="215" spans="1:19" s="2" customFormat="1" x14ac:dyDescent="0.2">
      <c r="A215" s="24"/>
      <c r="B215" s="1"/>
      <c r="C215" s="14"/>
      <c r="D215" s="25"/>
      <c r="G215" s="1"/>
      <c r="H215" s="1"/>
      <c r="M215" s="1"/>
      <c r="N215" s="1"/>
    </row>
    <row r="216" spans="1:19" s="2" customFormat="1" x14ac:dyDescent="0.2">
      <c r="A216" s="24"/>
      <c r="B216" s="1"/>
      <c r="C216" s="14"/>
      <c r="D216" s="25"/>
      <c r="G216" s="1"/>
      <c r="H216" s="1"/>
      <c r="M216" s="1"/>
      <c r="N216" s="1"/>
    </row>
    <row r="217" spans="1:19" s="2" customFormat="1" x14ac:dyDescent="0.2">
      <c r="A217" s="24"/>
      <c r="B217" s="1"/>
      <c r="C217" s="14"/>
      <c r="D217" s="25"/>
      <c r="G217" s="1"/>
      <c r="H217" s="1"/>
      <c r="M217" s="1"/>
      <c r="N217" s="1"/>
    </row>
    <row r="218" spans="1:19" s="2" customFormat="1" x14ac:dyDescent="0.2">
      <c r="A218" s="24"/>
      <c r="B218" s="1"/>
      <c r="C218" s="14"/>
      <c r="D218" s="25"/>
      <c r="G218" s="1"/>
      <c r="H218" s="1"/>
      <c r="M218" s="1"/>
      <c r="N218" s="1"/>
      <c r="Q218" s="1"/>
      <c r="R218" s="1"/>
      <c r="S218" s="1"/>
    </row>
    <row r="219" spans="1:19" x14ac:dyDescent="0.2">
      <c r="J219" s="2"/>
      <c r="K219" s="2"/>
      <c r="L219" s="2"/>
      <c r="O219" s="2"/>
      <c r="P219" s="2"/>
      <c r="Q219" s="2"/>
      <c r="R219" s="2"/>
      <c r="S219" s="2"/>
    </row>
    <row r="220" spans="1:19" s="2" customFormat="1" x14ac:dyDescent="0.2">
      <c r="A220" s="24"/>
      <c r="B220" s="1"/>
      <c r="C220" s="14"/>
      <c r="D220" s="25"/>
      <c r="G220" s="1"/>
      <c r="H220" s="1"/>
      <c r="M220" s="1"/>
      <c r="N220" s="1"/>
      <c r="Q220" s="1"/>
      <c r="R220" s="1"/>
      <c r="S220" s="1"/>
    </row>
    <row r="221" spans="1:19" x14ac:dyDescent="0.2">
      <c r="J221" s="2"/>
      <c r="K221" s="2"/>
      <c r="L221" s="2"/>
      <c r="O221" s="2"/>
      <c r="P221" s="2"/>
    </row>
    <row r="222" spans="1:19" x14ac:dyDescent="0.2">
      <c r="J222" s="2"/>
      <c r="K222" s="2"/>
      <c r="L222" s="2"/>
      <c r="O222" s="2"/>
      <c r="P222" s="2"/>
    </row>
    <row r="223" spans="1:19" x14ac:dyDescent="0.2">
      <c r="J223" s="2"/>
      <c r="K223" s="2"/>
      <c r="L223" s="2"/>
      <c r="O223" s="2"/>
      <c r="P223" s="2"/>
    </row>
    <row r="224" spans="1:19" x14ac:dyDescent="0.2">
      <c r="J224" s="2"/>
      <c r="K224" s="2"/>
      <c r="L224" s="2"/>
      <c r="O224" s="2"/>
      <c r="P224" s="2"/>
    </row>
    <row r="225" spans="7:16" x14ac:dyDescent="0.2">
      <c r="O225" s="2"/>
      <c r="P225" s="2"/>
    </row>
    <row r="226" spans="7:16" x14ac:dyDescent="0.2">
      <c r="J226" s="2"/>
      <c r="K226" s="2"/>
      <c r="L226" s="2"/>
      <c r="M226" s="2"/>
      <c r="N226" s="2"/>
      <c r="O226" s="2"/>
      <c r="P226" s="2"/>
    </row>
    <row r="227" spans="7:16" x14ac:dyDescent="0.2">
      <c r="O227" s="2"/>
      <c r="P227" s="2"/>
    </row>
    <row r="228" spans="7:16" x14ac:dyDescent="0.2">
      <c r="G228" s="54"/>
      <c r="H228" s="54"/>
      <c r="O228" s="2"/>
      <c r="P228" s="2"/>
    </row>
    <row r="229" spans="7:16" x14ac:dyDescent="0.2">
      <c r="G229" s="54"/>
      <c r="H229" s="54"/>
      <c r="O229" s="2"/>
      <c r="P229" s="2"/>
    </row>
    <row r="230" spans="7:16" x14ac:dyDescent="0.2">
      <c r="G230" s="54"/>
      <c r="H230" s="54"/>
      <c r="O230" s="2"/>
      <c r="P230" s="2"/>
    </row>
    <row r="231" spans="7:16" x14ac:dyDescent="0.2">
      <c r="G231" s="54"/>
      <c r="H231" s="54"/>
      <c r="I231" s="2" t="s">
        <v>396</v>
      </c>
      <c r="O231" s="2"/>
      <c r="P231" s="2"/>
    </row>
    <row r="232" spans="7:16" x14ac:dyDescent="0.2">
      <c r="G232" s="54"/>
      <c r="H232" s="54"/>
      <c r="I232" s="53"/>
      <c r="J232" s="2"/>
      <c r="K232" s="2"/>
      <c r="L232" s="2"/>
      <c r="M232" s="2"/>
      <c r="N232" s="2"/>
      <c r="P232" s="2"/>
    </row>
    <row r="233" spans="7:16" x14ac:dyDescent="0.2">
      <c r="G233" s="54"/>
      <c r="H233" s="54"/>
      <c r="I233" s="53" t="s">
        <v>396</v>
      </c>
      <c r="O233" s="2"/>
      <c r="P233" s="2"/>
    </row>
    <row r="234" spans="7:16" x14ac:dyDescent="0.2">
      <c r="G234" s="54"/>
      <c r="H234" s="54"/>
      <c r="I234" s="53" t="s">
        <v>396</v>
      </c>
      <c r="K234" s="42"/>
      <c r="P234" s="2"/>
    </row>
    <row r="235" spans="7:16" x14ac:dyDescent="0.2">
      <c r="G235" s="54"/>
      <c r="H235" s="54"/>
      <c r="I235" s="53"/>
      <c r="J235" s="101"/>
      <c r="P235" s="2"/>
    </row>
    <row r="236" spans="7:16" x14ac:dyDescent="0.2">
      <c r="G236" s="54"/>
      <c r="H236" s="54"/>
      <c r="I236" s="53"/>
    </row>
    <row r="237" spans="7:16" x14ac:dyDescent="0.2">
      <c r="G237" s="54"/>
      <c r="H237" s="54"/>
      <c r="I237" s="53"/>
      <c r="P237" s="2"/>
    </row>
    <row r="238" spans="7:16" x14ac:dyDescent="0.2">
      <c r="G238" s="54"/>
      <c r="H238" s="54"/>
      <c r="I238" s="53"/>
    </row>
  </sheetData>
  <sheetProtection insertRows="0"/>
  <mergeCells count="8">
    <mergeCell ref="K153:L153"/>
    <mergeCell ref="A160:D160"/>
    <mergeCell ref="C200:F200"/>
    <mergeCell ref="A1:H1"/>
    <mergeCell ref="A3:F3"/>
    <mergeCell ref="A9:F9"/>
    <mergeCell ref="A19:F19"/>
    <mergeCell ref="A63:F63"/>
  </mergeCells>
  <conditionalFormatting sqref="H157:H158">
    <cfRule type="cellIs" dxfId="13" priority="1" operator="lessThan">
      <formula>0</formula>
    </cfRule>
  </conditionalFormatting>
  <conditionalFormatting sqref="C65">
    <cfRule type="duplicateValues" dxfId="12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1-000000000000}">
  <sheetPr codeName="Sheet580">
    <pageSetUpPr fitToPage="1"/>
  </sheetPr>
  <dimension ref="A1:S157"/>
  <sheetViews>
    <sheetView topLeftCell="A19" zoomScaleNormal="100" workbookViewId="0">
      <selection activeCell="E40" sqref="E40"/>
    </sheetView>
  </sheetViews>
  <sheetFormatPr defaultColWidth="9.140625" defaultRowHeight="12.75" x14ac:dyDescent="0.2"/>
  <cols>
    <col min="1" max="1" width="10.140625" style="24" bestFit="1" customWidth="1"/>
    <col min="2" max="2" width="4.28515625" style="1" customWidth="1"/>
    <col min="3" max="3" width="50.5703125" style="14" bestFit="1" customWidth="1"/>
    <col min="4" max="4" width="19.7109375" style="25" bestFit="1" customWidth="1"/>
    <col min="5" max="5" width="16.140625" style="2" bestFit="1" customWidth="1"/>
    <col min="6" max="6" width="15.140625" style="2" bestFit="1" customWidth="1"/>
    <col min="7" max="7" width="12.85546875" style="1" bestFit="1" customWidth="1"/>
    <col min="8" max="8" width="12.85546875" style="1" customWidth="1"/>
    <col min="9" max="9" width="24.85546875" style="2" bestFit="1" customWidth="1"/>
    <col min="10" max="10" width="21.5703125" style="1" bestFit="1" customWidth="1"/>
    <col min="11" max="11" width="16.85546875" style="1" bestFit="1" customWidth="1"/>
    <col min="12" max="12" width="19.5703125" style="1" bestFit="1" customWidth="1"/>
    <col min="13" max="13" width="13.5703125" style="1" bestFit="1" customWidth="1"/>
    <col min="14" max="14" width="17.42578125" style="1" bestFit="1" customWidth="1"/>
    <col min="15" max="15" width="14.5703125" style="1" bestFit="1" customWidth="1"/>
    <col min="16" max="16" width="13.5703125" style="1" bestFit="1" customWidth="1"/>
    <col min="17" max="17" width="9.140625" style="1"/>
    <col min="18" max="18" width="15.5703125" style="1" bestFit="1" customWidth="1"/>
    <col min="19" max="16384" width="9.140625" style="1"/>
  </cols>
  <sheetData>
    <row r="1" spans="1:11" ht="20.25" customHeight="1" x14ac:dyDescent="0.4">
      <c r="A1" s="212" t="s">
        <v>2274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1" ht="12.75" customHeight="1" x14ac:dyDescent="0.4">
      <c r="I2" s="112"/>
      <c r="J2" s="112"/>
    </row>
    <row r="3" spans="1:11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1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1" s="2" customFormat="1" ht="14.25" customHeight="1" x14ac:dyDescent="0.4">
      <c r="A5" s="89">
        <v>45377</v>
      </c>
      <c r="B5" s="9" t="s">
        <v>6</v>
      </c>
      <c r="C5" s="10" t="s">
        <v>7</v>
      </c>
      <c r="D5" s="11"/>
      <c r="E5" s="12">
        <v>98894.84</v>
      </c>
      <c r="F5" s="12"/>
      <c r="G5" s="1"/>
      <c r="H5" s="1"/>
      <c r="I5" s="112"/>
      <c r="J5" s="112"/>
    </row>
    <row r="6" spans="1:11" s="2" customFormat="1" ht="12.75" customHeight="1" x14ac:dyDescent="0.2">
      <c r="D6" s="15" t="s">
        <v>8</v>
      </c>
      <c r="E6" s="16">
        <f>SUM(E5:E5)</f>
        <v>98894.84</v>
      </c>
      <c r="F6" s="16">
        <f>+F5</f>
        <v>0</v>
      </c>
      <c r="G6" s="1"/>
      <c r="H6" s="1"/>
      <c r="I6" s="13" t="s">
        <v>1582</v>
      </c>
      <c r="J6" s="13" t="s">
        <v>1583</v>
      </c>
    </row>
    <row r="7" spans="1:11" s="2" customFormat="1" ht="12.75" customHeight="1" x14ac:dyDescent="0.2">
      <c r="A7" s="17"/>
      <c r="B7" s="18"/>
      <c r="C7" s="19" t="s">
        <v>9</v>
      </c>
      <c r="D7" s="20"/>
      <c r="E7" s="21">
        <f>+E6-F6</f>
        <v>98894.84</v>
      </c>
      <c r="F7" s="22"/>
      <c r="G7" s="23"/>
      <c r="H7" s="23"/>
      <c r="I7" s="2">
        <v>0</v>
      </c>
      <c r="J7" s="2">
        <v>2209373.2999999998</v>
      </c>
      <c r="K7" s="176">
        <f>I7-J7</f>
        <v>-2209373.2999999998</v>
      </c>
    </row>
    <row r="8" spans="1:11" ht="11.25" customHeight="1" x14ac:dyDescent="0.4">
      <c r="I8" s="112"/>
      <c r="J8" s="112"/>
    </row>
    <row r="9" spans="1:11" ht="18" customHeight="1" x14ac:dyDescent="0.4">
      <c r="A9" s="213" t="s">
        <v>2103</v>
      </c>
      <c r="B9" s="213"/>
      <c r="C9" s="213"/>
      <c r="D9" s="213"/>
      <c r="E9" s="213"/>
      <c r="F9" s="213"/>
      <c r="I9" s="112"/>
      <c r="J9" s="112"/>
    </row>
    <row r="10" spans="1:11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I10" s="112"/>
      <c r="J10" s="112"/>
    </row>
    <row r="11" spans="1:11" ht="12.75" customHeight="1" x14ac:dyDescent="0.4">
      <c r="A11" s="89">
        <v>45377</v>
      </c>
      <c r="B11" s="9" t="s">
        <v>6</v>
      </c>
      <c r="C11" s="10" t="s">
        <v>7</v>
      </c>
      <c r="D11" s="11"/>
      <c r="E11" s="12">
        <v>4435738.5200000005</v>
      </c>
      <c r="F11" s="1"/>
      <c r="I11" s="112"/>
      <c r="J11" s="112"/>
    </row>
    <row r="12" spans="1:11" ht="15.75" customHeight="1" x14ac:dyDescent="0.4">
      <c r="A12" s="89">
        <v>45377</v>
      </c>
      <c r="B12" s="9" t="s">
        <v>6</v>
      </c>
      <c r="C12" s="10" t="s">
        <v>105</v>
      </c>
      <c r="D12" s="11" t="s">
        <v>13</v>
      </c>
      <c r="E12" s="12">
        <v>5819</v>
      </c>
      <c r="F12" s="86"/>
      <c r="I12" s="112"/>
      <c r="J12" s="112"/>
    </row>
    <row r="13" spans="1:11" ht="15.75" customHeight="1" x14ac:dyDescent="0.4">
      <c r="A13" s="89">
        <v>45377</v>
      </c>
      <c r="B13" s="9" t="s">
        <v>6</v>
      </c>
      <c r="C13" s="10" t="s">
        <v>220</v>
      </c>
      <c r="D13" s="11" t="s">
        <v>13</v>
      </c>
      <c r="E13" s="12">
        <v>4260213</v>
      </c>
      <c r="F13" s="86"/>
      <c r="I13" s="112"/>
      <c r="J13" s="112"/>
    </row>
    <row r="14" spans="1:11" ht="15.75" customHeight="1" x14ac:dyDescent="0.4">
      <c r="A14" s="89">
        <v>45377</v>
      </c>
      <c r="B14" s="9" t="s">
        <v>11</v>
      </c>
      <c r="C14" s="10" t="s">
        <v>2275</v>
      </c>
      <c r="D14" s="11" t="s">
        <v>29</v>
      </c>
      <c r="E14" s="12"/>
      <c r="F14" s="86">
        <v>4300236.9000000004</v>
      </c>
      <c r="I14" s="112"/>
      <c r="J14" s="112"/>
    </row>
    <row r="15" spans="1:11" ht="15.75" customHeight="1" x14ac:dyDescent="0.4">
      <c r="A15" s="89">
        <v>45377</v>
      </c>
      <c r="B15" s="9" t="s">
        <v>11</v>
      </c>
      <c r="C15" s="10" t="s">
        <v>1091</v>
      </c>
      <c r="D15" s="11" t="s">
        <v>29</v>
      </c>
      <c r="E15" s="12"/>
      <c r="F15" s="86">
        <f>3540-2360</f>
        <v>1180</v>
      </c>
      <c r="I15" s="112"/>
      <c r="J15" s="112"/>
    </row>
    <row r="16" spans="1:11" ht="12.75" customHeight="1" x14ac:dyDescent="0.2">
      <c r="A16" s="2"/>
      <c r="B16" s="2"/>
      <c r="C16" s="2"/>
      <c r="D16" s="11" t="s">
        <v>8</v>
      </c>
      <c r="E16" s="16">
        <f>SUM(E11:E15)</f>
        <v>8701770.5199999996</v>
      </c>
      <c r="F16" s="16">
        <f>SUM(F12:F15)</f>
        <v>4301416.9000000004</v>
      </c>
      <c r="I16" s="13" t="s">
        <v>1582</v>
      </c>
      <c r="J16" s="13" t="s">
        <v>1583</v>
      </c>
    </row>
    <row r="17" spans="1:12" x14ac:dyDescent="0.2">
      <c r="A17" s="17"/>
      <c r="B17" s="18"/>
      <c r="C17" s="19" t="s">
        <v>9</v>
      </c>
      <c r="D17" s="20"/>
      <c r="E17" s="21">
        <f>+E16-F16</f>
        <v>4400353.6199999992</v>
      </c>
      <c r="I17" s="2">
        <v>0</v>
      </c>
      <c r="J17" s="2">
        <v>0</v>
      </c>
    </row>
    <row r="18" spans="1:12" ht="18" customHeight="1" x14ac:dyDescent="0.25">
      <c r="A18" s="36"/>
      <c r="B18" s="28"/>
      <c r="C18" s="44"/>
      <c r="D18" s="43"/>
      <c r="E18" s="38"/>
      <c r="F18" s="22"/>
      <c r="J18" s="2"/>
    </row>
    <row r="19" spans="1:12" ht="18" customHeight="1" x14ac:dyDescent="0.4">
      <c r="A19" s="213" t="s">
        <v>2104</v>
      </c>
      <c r="B19" s="213"/>
      <c r="C19" s="213"/>
      <c r="D19" s="213"/>
      <c r="E19" s="213"/>
      <c r="F19" s="213"/>
      <c r="I19" s="112"/>
      <c r="J19" s="169">
        <f>90000000-60000000</f>
        <v>30000000</v>
      </c>
      <c r="K19" s="169" t="s">
        <v>1508</v>
      </c>
    </row>
    <row r="20" spans="1:12" ht="12.75" customHeight="1" x14ac:dyDescent="0.4">
      <c r="A20" s="3" t="s">
        <v>1</v>
      </c>
      <c r="B20" s="4" t="s">
        <v>2</v>
      </c>
      <c r="C20" s="5"/>
      <c r="D20" s="6" t="s">
        <v>3</v>
      </c>
      <c r="E20" s="7" t="s">
        <v>4</v>
      </c>
      <c r="F20" s="7" t="s">
        <v>5</v>
      </c>
      <c r="I20" s="112"/>
      <c r="J20" s="169">
        <v>29794553.170000002</v>
      </c>
      <c r="K20" s="169" t="s">
        <v>1509</v>
      </c>
      <c r="L20" s="124"/>
    </row>
    <row r="21" spans="1:12" s="2" customFormat="1" ht="14.25" customHeight="1" x14ac:dyDescent="0.2">
      <c r="A21" s="89">
        <v>45377</v>
      </c>
      <c r="B21" s="9" t="s">
        <v>6</v>
      </c>
      <c r="C21" s="10" t="s">
        <v>7</v>
      </c>
      <c r="D21" s="11"/>
      <c r="F21" s="12">
        <v>29794553.169999994</v>
      </c>
      <c r="G21" s="1"/>
      <c r="H21" s="1"/>
      <c r="I21" s="130" t="s">
        <v>396</v>
      </c>
      <c r="J21" s="169">
        <f>+J19-J20</f>
        <v>205446.82999999821</v>
      </c>
      <c r="K21" s="169" t="s">
        <v>712</v>
      </c>
      <c r="L21" s="165" t="s">
        <v>1512</v>
      </c>
    </row>
    <row r="22" spans="1:12" s="2" customFormat="1" ht="14.25" customHeight="1" x14ac:dyDescent="0.4">
      <c r="A22" s="89"/>
      <c r="D22" s="11" t="s">
        <v>8</v>
      </c>
      <c r="E22" s="16">
        <f>E21</f>
        <v>0</v>
      </c>
      <c r="F22" s="16">
        <f>SUM(F21:F21)</f>
        <v>29794553.169999994</v>
      </c>
      <c r="G22" s="1"/>
      <c r="H22" s="1"/>
      <c r="J22" s="112"/>
      <c r="K22" s="153" t="s">
        <v>779</v>
      </c>
    </row>
    <row r="23" spans="1:12" s="2" customFormat="1" ht="14.25" customHeight="1" x14ac:dyDescent="0.2">
      <c r="A23" s="17"/>
      <c r="B23" s="18"/>
      <c r="C23" s="96" t="s">
        <v>9</v>
      </c>
      <c r="D23" s="20"/>
      <c r="E23" s="21">
        <f>+F22-E22</f>
        <v>29794553.169999994</v>
      </c>
      <c r="G23" s="1"/>
      <c r="H23" s="1"/>
      <c r="J23" s="40">
        <v>29171159.199999999</v>
      </c>
      <c r="K23" s="154">
        <f>J23-E23</f>
        <v>-623393.96999999508</v>
      </c>
    </row>
    <row r="24" spans="1:12" s="2" customFormat="1" ht="14.25" customHeight="1" x14ac:dyDescent="0.2">
      <c r="A24" s="17"/>
      <c r="B24" s="28" t="s">
        <v>66</v>
      </c>
      <c r="C24" s="43" t="s">
        <v>1458</v>
      </c>
      <c r="D24" s="43"/>
      <c r="E24" s="12">
        <f>30000000+60000000</f>
        <v>90000000</v>
      </c>
      <c r="F24" s="22"/>
      <c r="G24" s="1"/>
      <c r="H24" s="1"/>
      <c r="I24" s="13" t="s">
        <v>1582</v>
      </c>
      <c r="J24" s="13" t="s">
        <v>1583</v>
      </c>
    </row>
    <row r="25" spans="1:12" s="2" customFormat="1" ht="14.25" customHeight="1" x14ac:dyDescent="0.25">
      <c r="A25" s="36"/>
      <c r="B25" s="28"/>
      <c r="C25" s="44" t="s">
        <v>1541</v>
      </c>
      <c r="D25" s="43"/>
      <c r="E25" s="7">
        <f>+E23+E24</f>
        <v>119794553.16999999</v>
      </c>
      <c r="F25" s="22"/>
      <c r="G25" s="1"/>
      <c r="H25" s="1"/>
      <c r="I25" s="2">
        <v>631743</v>
      </c>
      <c r="J25" s="2">
        <v>14416671.210000001</v>
      </c>
      <c r="K25" s="176">
        <f>I25-J25</f>
        <v>-13784928.210000001</v>
      </c>
    </row>
    <row r="26" spans="1:12" s="2" customFormat="1" ht="14.25" customHeight="1" x14ac:dyDescent="0.25">
      <c r="A26" s="36"/>
      <c r="B26" s="28"/>
      <c r="C26" s="44" t="s">
        <v>1511</v>
      </c>
      <c r="D26" s="43"/>
      <c r="E26" s="38">
        <f>I17-J17+J21</f>
        <v>205446.82999999821</v>
      </c>
      <c r="F26" s="22"/>
      <c r="G26" s="1"/>
      <c r="H26" s="1"/>
      <c r="J26" s="130"/>
      <c r="K26" s="130"/>
    </row>
    <row r="27" spans="1:12" s="2" customFormat="1" x14ac:dyDescent="0.2">
      <c r="A27" s="24"/>
      <c r="B27" s="1"/>
      <c r="C27" s="14"/>
      <c r="D27" s="25"/>
      <c r="G27" s="1"/>
      <c r="H27" s="1"/>
      <c r="I27" s="159"/>
      <c r="J27" s="160">
        <f>100000000</f>
        <v>100000000</v>
      </c>
      <c r="K27" s="160" t="s">
        <v>1506</v>
      </c>
      <c r="L27" s="70"/>
    </row>
    <row r="28" spans="1:12" s="2" customFormat="1" ht="15" x14ac:dyDescent="0.35">
      <c r="A28" s="214" t="s">
        <v>10</v>
      </c>
      <c r="B28" s="214"/>
      <c r="C28" s="214"/>
      <c r="D28" s="214"/>
      <c r="E28" s="214"/>
      <c r="F28" s="214"/>
      <c r="G28" s="1"/>
      <c r="H28" s="1"/>
      <c r="I28" s="159"/>
      <c r="J28" s="179">
        <v>75982199.920000002</v>
      </c>
      <c r="K28" s="160" t="s">
        <v>1507</v>
      </c>
      <c r="L28" s="70" t="s">
        <v>1512</v>
      </c>
    </row>
    <row r="29" spans="1:12" s="2" customFormat="1" x14ac:dyDescent="0.2">
      <c r="A29" s="26" t="s">
        <v>1</v>
      </c>
      <c r="B29" s="27" t="s">
        <v>2</v>
      </c>
      <c r="C29" s="5"/>
      <c r="D29" s="6" t="s">
        <v>3</v>
      </c>
      <c r="E29" s="7" t="s">
        <v>4</v>
      </c>
      <c r="F29" s="7" t="s">
        <v>5</v>
      </c>
      <c r="G29" s="1"/>
      <c r="H29" s="1"/>
      <c r="I29" s="159" t="s">
        <v>1505</v>
      </c>
      <c r="J29" s="160">
        <f>+J27-J28</f>
        <v>24017800.079999998</v>
      </c>
      <c r="K29" s="160"/>
      <c r="L29" s="70"/>
    </row>
    <row r="30" spans="1:12" s="2" customFormat="1" x14ac:dyDescent="0.2">
      <c r="A30" s="89" t="s">
        <v>2276</v>
      </c>
      <c r="B30" s="128" t="s">
        <v>11</v>
      </c>
      <c r="C30" s="29" t="s">
        <v>7</v>
      </c>
      <c r="D30" s="25"/>
      <c r="E30" s="31"/>
      <c r="F30" s="13">
        <v>78280653.769999892</v>
      </c>
      <c r="G30" s="23"/>
      <c r="H30" s="23"/>
      <c r="I30" s="159"/>
      <c r="J30" s="160"/>
      <c r="K30" s="160"/>
      <c r="L30" s="70"/>
    </row>
    <row r="31" spans="1:12" s="2" customFormat="1" ht="15" x14ac:dyDescent="0.25">
      <c r="A31" s="89" t="s">
        <v>2276</v>
      </c>
      <c r="B31" s="128" t="s">
        <v>6</v>
      </c>
      <c r="C31" t="s">
        <v>173</v>
      </c>
      <c r="D31" s="11" t="s">
        <v>13</v>
      </c>
      <c r="E31" s="39">
        <v>28194</v>
      </c>
      <c r="F31" s="39"/>
      <c r="G31" s="23"/>
      <c r="H31" s="23"/>
      <c r="I31" s="159"/>
      <c r="J31" s="160"/>
      <c r="K31" s="160"/>
      <c r="L31" s="70"/>
    </row>
    <row r="32" spans="1:12" s="2" customFormat="1" ht="15" x14ac:dyDescent="0.25">
      <c r="A32" s="89" t="s">
        <v>2276</v>
      </c>
      <c r="B32" s="128" t="s">
        <v>6</v>
      </c>
      <c r="C32" t="s">
        <v>244</v>
      </c>
      <c r="D32" s="11" t="s">
        <v>13</v>
      </c>
      <c r="E32" s="39">
        <v>503861</v>
      </c>
      <c r="F32" s="39"/>
      <c r="G32" s="197"/>
      <c r="H32" s="23"/>
      <c r="I32" s="159"/>
      <c r="J32" s="160"/>
      <c r="K32" s="160"/>
      <c r="L32" s="70"/>
    </row>
    <row r="33" spans="1:12" s="2" customFormat="1" ht="15" x14ac:dyDescent="0.25">
      <c r="A33" s="89" t="s">
        <v>2276</v>
      </c>
      <c r="B33" s="128" t="s">
        <v>6</v>
      </c>
      <c r="C33" t="s">
        <v>817</v>
      </c>
      <c r="D33" s="11" t="s">
        <v>13</v>
      </c>
      <c r="E33" s="39">
        <v>3360</v>
      </c>
      <c r="F33" s="39"/>
      <c r="G33" s="23"/>
      <c r="H33" s="23"/>
      <c r="I33" s="159"/>
      <c r="J33" s="160"/>
      <c r="K33" s="160"/>
      <c r="L33" s="70"/>
    </row>
    <row r="34" spans="1:12" s="2" customFormat="1" ht="15" x14ac:dyDescent="0.25">
      <c r="A34" s="89" t="s">
        <v>2276</v>
      </c>
      <c r="B34" s="128" t="s">
        <v>6</v>
      </c>
      <c r="C34" t="s">
        <v>133</v>
      </c>
      <c r="D34" s="11" t="s">
        <v>13</v>
      </c>
      <c r="E34" s="39">
        <v>124522</v>
      </c>
      <c r="F34" s="39"/>
      <c r="G34" s="23"/>
      <c r="H34" s="23"/>
      <c r="I34" s="159"/>
      <c r="J34" s="160"/>
      <c r="K34" s="160"/>
      <c r="L34" s="70"/>
    </row>
    <row r="35" spans="1:12" s="2" customFormat="1" ht="15" x14ac:dyDescent="0.25">
      <c r="A35" s="89" t="s">
        <v>2276</v>
      </c>
      <c r="B35" s="128" t="s">
        <v>6</v>
      </c>
      <c r="C35" t="s">
        <v>240</v>
      </c>
      <c r="D35" s="11" t="s">
        <v>13</v>
      </c>
      <c r="E35" s="39">
        <v>194917</v>
      </c>
      <c r="F35" s="39"/>
      <c r="G35" s="23"/>
      <c r="H35" s="23"/>
      <c r="I35" s="159"/>
      <c r="J35" s="160"/>
      <c r="K35" s="160"/>
      <c r="L35" s="70"/>
    </row>
    <row r="36" spans="1:12" s="2" customFormat="1" ht="15" x14ac:dyDescent="0.25">
      <c r="A36" s="89" t="s">
        <v>2276</v>
      </c>
      <c r="B36" s="128" t="s">
        <v>6</v>
      </c>
      <c r="C36" t="s">
        <v>177</v>
      </c>
      <c r="D36" s="11" t="s">
        <v>13</v>
      </c>
      <c r="E36" s="39">
        <v>2952392</v>
      </c>
      <c r="F36" s="39"/>
      <c r="G36" s="23"/>
      <c r="H36" s="23"/>
      <c r="I36" s="159"/>
      <c r="J36" s="160"/>
      <c r="K36" s="160"/>
      <c r="L36" s="70"/>
    </row>
    <row r="37" spans="1:12" s="2" customFormat="1" ht="15" x14ac:dyDescent="0.25">
      <c r="A37" s="89" t="s">
        <v>2276</v>
      </c>
      <c r="B37" s="128" t="s">
        <v>6</v>
      </c>
      <c r="C37" t="s">
        <v>149</v>
      </c>
      <c r="D37" s="11" t="s">
        <v>13</v>
      </c>
      <c r="E37" s="39">
        <v>733513</v>
      </c>
      <c r="F37" s="39"/>
      <c r="G37" s="23"/>
      <c r="H37" s="23"/>
      <c r="I37" s="159"/>
      <c r="J37" s="160"/>
      <c r="K37" s="160"/>
      <c r="L37" s="70"/>
    </row>
    <row r="38" spans="1:12" s="2" customFormat="1" ht="15" x14ac:dyDescent="0.25">
      <c r="A38" s="89" t="s">
        <v>2276</v>
      </c>
      <c r="B38" s="128" t="s">
        <v>6</v>
      </c>
      <c r="C38" t="s">
        <v>122</v>
      </c>
      <c r="D38" s="11" t="s">
        <v>13</v>
      </c>
      <c r="E38" s="39">
        <v>7490</v>
      </c>
      <c r="F38" s="39"/>
      <c r="G38" s="23"/>
      <c r="H38" s="23"/>
      <c r="I38" s="159"/>
      <c r="J38" s="160"/>
      <c r="K38" s="160"/>
      <c r="L38" s="70"/>
    </row>
    <row r="39" spans="1:12" s="2" customFormat="1" ht="15" x14ac:dyDescent="0.25">
      <c r="A39" s="89" t="s">
        <v>2276</v>
      </c>
      <c r="B39" s="128" t="s">
        <v>6</v>
      </c>
      <c r="C39" t="s">
        <v>200</v>
      </c>
      <c r="D39" s="11" t="s">
        <v>13</v>
      </c>
      <c r="E39" s="39">
        <v>284730</v>
      </c>
      <c r="F39" s="39"/>
      <c r="G39" s="23"/>
      <c r="H39" s="23"/>
      <c r="I39" s="159"/>
      <c r="J39" s="160"/>
      <c r="K39" s="160"/>
      <c r="L39" s="70"/>
    </row>
    <row r="40" spans="1:12" s="2" customFormat="1" ht="15" x14ac:dyDescent="0.25">
      <c r="A40" s="89" t="s">
        <v>2276</v>
      </c>
      <c r="B40" s="128" t="s">
        <v>6</v>
      </c>
      <c r="C40" t="s">
        <v>311</v>
      </c>
      <c r="D40" s="11" t="s">
        <v>13</v>
      </c>
      <c r="E40" s="39">
        <v>952074</v>
      </c>
      <c r="F40" s="39"/>
      <c r="G40" s="23"/>
      <c r="H40" s="23"/>
      <c r="I40" s="159"/>
      <c r="J40" s="160"/>
      <c r="K40" s="160"/>
      <c r="L40" s="70"/>
    </row>
    <row r="41" spans="1:12" s="2" customFormat="1" ht="15" x14ac:dyDescent="0.25">
      <c r="A41" s="89" t="s">
        <v>2276</v>
      </c>
      <c r="B41" s="128" t="s">
        <v>11</v>
      </c>
      <c r="C41" t="s">
        <v>64</v>
      </c>
      <c r="D41" s="11" t="s">
        <v>29</v>
      </c>
      <c r="E41" s="39"/>
      <c r="F41" s="39">
        <v>5640.4</v>
      </c>
      <c r="G41" s="23"/>
      <c r="H41" s="23"/>
      <c r="I41" s="159"/>
      <c r="J41" s="160"/>
      <c r="K41" s="160"/>
      <c r="L41" s="70"/>
    </row>
    <row r="42" spans="1:12" s="2" customFormat="1" ht="15" x14ac:dyDescent="0.25">
      <c r="A42" s="89" t="s">
        <v>2276</v>
      </c>
      <c r="B42" s="128" t="s">
        <v>11</v>
      </c>
      <c r="C42" t="s">
        <v>1734</v>
      </c>
      <c r="D42" s="11" t="s">
        <v>29</v>
      </c>
      <c r="E42" s="39"/>
      <c r="F42" s="39">
        <v>1074934</v>
      </c>
      <c r="G42" s="23"/>
      <c r="H42" s="23"/>
      <c r="I42" s="159"/>
      <c r="J42" s="160"/>
      <c r="K42" s="160"/>
      <c r="L42" s="70"/>
    </row>
    <row r="43" spans="1:12" s="2" customFormat="1" ht="15" x14ac:dyDescent="0.25">
      <c r="A43" s="89" t="s">
        <v>2276</v>
      </c>
      <c r="B43" s="128" t="s">
        <v>11</v>
      </c>
      <c r="C43" t="s">
        <v>1472</v>
      </c>
      <c r="D43" s="11" t="s">
        <v>29</v>
      </c>
      <c r="E43" s="39"/>
      <c r="F43" s="39">
        <v>699620</v>
      </c>
      <c r="G43" s="23"/>
      <c r="H43" s="23"/>
      <c r="I43" s="159"/>
      <c r="J43" s="160"/>
      <c r="K43" s="160"/>
      <c r="L43" s="70"/>
    </row>
    <row r="44" spans="1:12" s="2" customFormat="1" ht="15" x14ac:dyDescent="0.25">
      <c r="A44" s="89" t="s">
        <v>2276</v>
      </c>
      <c r="B44" s="128" t="s">
        <v>11</v>
      </c>
      <c r="C44" t="s">
        <v>111</v>
      </c>
      <c r="D44" s="11" t="s">
        <v>29</v>
      </c>
      <c r="E44" s="39"/>
      <c r="F44" s="39">
        <v>1888995.96</v>
      </c>
      <c r="G44" s="23"/>
      <c r="H44" s="23"/>
      <c r="I44" s="159"/>
      <c r="J44" s="160"/>
      <c r="K44" s="160"/>
      <c r="L44" s="70"/>
    </row>
    <row r="45" spans="1:12" s="2" customFormat="1" ht="15" x14ac:dyDescent="0.25">
      <c r="A45" s="89" t="s">
        <v>2276</v>
      </c>
      <c r="B45" s="128" t="s">
        <v>11</v>
      </c>
      <c r="C45" t="s">
        <v>284</v>
      </c>
      <c r="D45" s="11" t="s">
        <v>29</v>
      </c>
      <c r="E45" s="39"/>
      <c r="F45" s="39">
        <v>1057518</v>
      </c>
      <c r="G45" s="23"/>
      <c r="H45" s="23"/>
      <c r="I45" s="159"/>
      <c r="J45" s="160"/>
      <c r="K45" s="160"/>
      <c r="L45" s="70"/>
    </row>
    <row r="46" spans="1:12" s="2" customFormat="1" ht="15" x14ac:dyDescent="0.25">
      <c r="A46" s="89" t="s">
        <v>2276</v>
      </c>
      <c r="B46" s="128" t="s">
        <v>11</v>
      </c>
      <c r="C46" t="s">
        <v>107</v>
      </c>
      <c r="D46" s="11" t="s">
        <v>29</v>
      </c>
      <c r="E46" s="39"/>
      <c r="F46" s="39">
        <v>600199.84</v>
      </c>
      <c r="G46" s="23"/>
      <c r="H46" s="23"/>
      <c r="I46" s="159"/>
      <c r="J46" s="160"/>
      <c r="K46" s="160"/>
      <c r="L46" s="70"/>
    </row>
    <row r="47" spans="1:12" s="2" customFormat="1" ht="15" x14ac:dyDescent="0.25">
      <c r="A47" s="89" t="s">
        <v>2276</v>
      </c>
      <c r="B47" s="128" t="s">
        <v>11</v>
      </c>
      <c r="C47" t="s">
        <v>558</v>
      </c>
      <c r="D47" s="11" t="s">
        <v>29</v>
      </c>
      <c r="E47" s="39"/>
      <c r="F47" s="39">
        <v>1777331.16</v>
      </c>
      <c r="G47" s="23"/>
      <c r="H47" s="23"/>
      <c r="I47" s="159"/>
      <c r="J47" s="160"/>
      <c r="K47" s="160"/>
      <c r="L47" s="70"/>
    </row>
    <row r="48" spans="1:12" s="2" customFormat="1" ht="15" x14ac:dyDescent="0.25">
      <c r="A48" s="89" t="s">
        <v>2276</v>
      </c>
      <c r="B48" s="128" t="s">
        <v>11</v>
      </c>
      <c r="C48" t="s">
        <v>598</v>
      </c>
      <c r="D48" s="11" t="s">
        <v>29</v>
      </c>
      <c r="E48" s="39"/>
      <c r="F48" s="39">
        <v>349556</v>
      </c>
      <c r="G48" s="23"/>
      <c r="H48" s="23"/>
      <c r="I48" s="159"/>
      <c r="J48" s="160"/>
      <c r="K48" s="160"/>
      <c r="L48" s="70"/>
    </row>
    <row r="49" spans="1:16" s="2" customFormat="1" ht="15" x14ac:dyDescent="0.25">
      <c r="A49" s="89" t="s">
        <v>2276</v>
      </c>
      <c r="B49" s="128" t="s">
        <v>11</v>
      </c>
      <c r="C49" t="s">
        <v>1884</v>
      </c>
      <c r="D49" s="11" t="s">
        <v>29</v>
      </c>
      <c r="E49" s="39"/>
      <c r="F49" s="39">
        <v>9255232</v>
      </c>
      <c r="G49" s="23"/>
      <c r="H49" s="23"/>
      <c r="I49" s="159"/>
      <c r="J49" s="160"/>
      <c r="K49" s="160"/>
      <c r="L49" s="70"/>
    </row>
    <row r="50" spans="1:16" s="2" customFormat="1" ht="15" x14ac:dyDescent="0.25">
      <c r="A50" s="89" t="s">
        <v>2276</v>
      </c>
      <c r="B50" s="128" t="s">
        <v>11</v>
      </c>
      <c r="C50" t="s">
        <v>2174</v>
      </c>
      <c r="D50" s="11" t="s">
        <v>29</v>
      </c>
      <c r="E50" s="39"/>
      <c r="F50" s="39">
        <v>562500</v>
      </c>
      <c r="G50" s="23"/>
      <c r="H50" s="23"/>
      <c r="I50" s="159"/>
      <c r="J50" s="160"/>
      <c r="K50" s="160"/>
      <c r="L50" s="70"/>
    </row>
    <row r="51" spans="1:16" s="70" customFormat="1" x14ac:dyDescent="0.2">
      <c r="A51" s="32"/>
      <c r="B51" s="33"/>
      <c r="C51" s="14"/>
      <c r="D51" s="34"/>
      <c r="E51" s="16">
        <f>SUM(E30:E50)</f>
        <v>5785053</v>
      </c>
      <c r="F51" s="16">
        <f>SUM(F30:F50)</f>
        <v>95552181.129999891</v>
      </c>
      <c r="G51" s="1"/>
      <c r="H51" s="1"/>
      <c r="I51" s="1"/>
      <c r="J51" s="38">
        <v>89767128.129999995</v>
      </c>
      <c r="K51" s="2"/>
      <c r="L51" s="92">
        <f>+J51-E52</f>
        <v>0</v>
      </c>
      <c r="M51" s="2"/>
      <c r="N51" s="2"/>
      <c r="O51" s="2">
        <v>10127749.119999999</v>
      </c>
      <c r="P51" s="2">
        <f>+O51-J51</f>
        <v>-79639379.00999999</v>
      </c>
    </row>
    <row r="52" spans="1:16" s="70" customFormat="1" x14ac:dyDescent="0.2">
      <c r="A52" s="36"/>
      <c r="B52" s="28" t="s">
        <v>11</v>
      </c>
      <c r="C52" s="19" t="s">
        <v>65</v>
      </c>
      <c r="D52" s="37"/>
      <c r="E52" s="38">
        <f>F51-E51</f>
        <v>89767128.129999891</v>
      </c>
      <c r="F52" s="22"/>
      <c r="G52" s="1"/>
      <c r="H52" s="1"/>
      <c r="I52" s="1"/>
      <c r="M52" s="2"/>
      <c r="N52" s="2"/>
      <c r="O52" s="1"/>
      <c r="P52" s="2"/>
    </row>
    <row r="53" spans="1:16" s="70" customFormat="1" x14ac:dyDescent="0.2">
      <c r="A53" s="36"/>
      <c r="B53" s="28" t="s">
        <v>66</v>
      </c>
      <c r="C53" s="19" t="s">
        <v>67</v>
      </c>
      <c r="D53" s="37"/>
      <c r="E53" s="38">
        <f>11500000-7200000</f>
        <v>4300000</v>
      </c>
      <c r="F53" s="22"/>
      <c r="G53" s="1"/>
      <c r="H53" s="1"/>
      <c r="M53" s="2"/>
      <c r="N53" s="2"/>
      <c r="O53" s="1"/>
      <c r="P53" s="2"/>
    </row>
    <row r="54" spans="1:16" s="70" customFormat="1" x14ac:dyDescent="0.2">
      <c r="A54" s="36"/>
      <c r="B54" s="28" t="s">
        <v>66</v>
      </c>
      <c r="C54" s="43" t="s">
        <v>1457</v>
      </c>
      <c r="D54" s="43"/>
      <c r="E54" s="12">
        <f>400000000</f>
        <v>400000000</v>
      </c>
      <c r="F54" s="22"/>
      <c r="G54" s="1"/>
      <c r="H54" s="1"/>
      <c r="J54" s="45">
        <v>2599.34</v>
      </c>
      <c r="K54" s="46"/>
      <c r="L54" s="46"/>
      <c r="M54" s="2"/>
      <c r="N54" s="2"/>
      <c r="O54" s="1"/>
      <c r="P54" s="2"/>
    </row>
    <row r="55" spans="1:16" s="70" customFormat="1" ht="15" x14ac:dyDescent="0.25">
      <c r="A55" s="36"/>
      <c r="B55" s="28"/>
      <c r="C55" s="44" t="s">
        <v>1541</v>
      </c>
      <c r="D55" s="43"/>
      <c r="E55" s="7">
        <f>+E54+E52+E53</f>
        <v>494067128.12999988</v>
      </c>
      <c r="F55" s="22"/>
      <c r="G55" s="1"/>
      <c r="H55" s="1"/>
      <c r="I55" s="103" t="s">
        <v>69</v>
      </c>
      <c r="J55" s="45">
        <v>-123.58</v>
      </c>
      <c r="K55" s="46"/>
      <c r="L55" s="46"/>
      <c r="M55" s="2"/>
      <c r="N55" s="2"/>
      <c r="O55" s="1"/>
      <c r="P55" s="2"/>
    </row>
    <row r="56" spans="1:16" s="70" customFormat="1" ht="15" x14ac:dyDescent="0.25">
      <c r="A56" s="24"/>
      <c r="B56" s="1"/>
      <c r="C56" s="44" t="s">
        <v>1510</v>
      </c>
      <c r="D56" s="25"/>
      <c r="E56" s="156">
        <f>+J29-E53+I25-J25</f>
        <v>5932871.8699999973</v>
      </c>
      <c r="F56" s="2"/>
      <c r="G56" s="1"/>
      <c r="H56" s="1"/>
      <c r="I56" s="35">
        <v>1</v>
      </c>
      <c r="J56" s="45">
        <v>108.57</v>
      </c>
      <c r="K56" s="46">
        <f>+J57-D59</f>
        <v>0</v>
      </c>
      <c r="L56" s="2"/>
      <c r="M56" s="2"/>
      <c r="N56" s="2"/>
      <c r="O56" s="1"/>
      <c r="P56" s="2"/>
    </row>
    <row r="57" spans="1:16" s="70" customFormat="1" ht="12.75" customHeight="1" x14ac:dyDescent="0.2">
      <c r="A57" s="24"/>
      <c r="B57" s="1"/>
      <c r="C57" s="56"/>
      <c r="D57" s="56"/>
      <c r="E57" s="104"/>
      <c r="F57" s="2"/>
      <c r="G57" s="166"/>
      <c r="H57" s="166"/>
      <c r="J57" s="49">
        <f>SUM(J54:J56)</f>
        <v>2584.3300000000004</v>
      </c>
      <c r="K57" s="46"/>
      <c r="L57" s="46"/>
      <c r="M57" s="124"/>
      <c r="N57" s="124"/>
      <c r="O57" s="1"/>
      <c r="P57" s="2"/>
    </row>
    <row r="58" spans="1:16" s="70" customFormat="1" ht="12.75" customHeight="1" x14ac:dyDescent="0.2">
      <c r="A58" s="24"/>
      <c r="B58" s="1"/>
      <c r="C58" s="78" t="s">
        <v>575</v>
      </c>
      <c r="D58" s="48" t="s">
        <v>576</v>
      </c>
      <c r="E58" s="104"/>
      <c r="F58" s="2"/>
      <c r="G58" s="168"/>
      <c r="H58" s="168"/>
      <c r="I58" s="167"/>
      <c r="J58" s="167"/>
      <c r="K58" s="168"/>
      <c r="L58" s="124"/>
      <c r="M58" s="124"/>
      <c r="N58" s="124"/>
      <c r="O58" s="124"/>
      <c r="P58" s="2"/>
    </row>
    <row r="59" spans="1:16" s="70" customFormat="1" ht="12.75" customHeight="1" x14ac:dyDescent="0.2">
      <c r="A59" s="24"/>
      <c r="B59" s="1"/>
      <c r="C59" s="47" t="s">
        <v>570</v>
      </c>
      <c r="D59" s="111">
        <v>2584.33</v>
      </c>
      <c r="E59" s="104"/>
      <c r="F59" s="2"/>
      <c r="G59" s="168"/>
      <c r="H59" s="168"/>
      <c r="I59" s="110" t="s">
        <v>581</v>
      </c>
      <c r="J59" s="167"/>
      <c r="K59" s="168"/>
      <c r="L59" s="124"/>
      <c r="M59" s="124"/>
      <c r="N59" s="124"/>
      <c r="O59" s="124"/>
      <c r="P59" s="124"/>
    </row>
    <row r="60" spans="1:16" s="70" customFormat="1" ht="12.75" customHeight="1" x14ac:dyDescent="0.2">
      <c r="A60" s="24"/>
      <c r="B60" s="1"/>
      <c r="C60" s="47" t="s">
        <v>931</v>
      </c>
      <c r="D60" s="111">
        <v>221.96</v>
      </c>
      <c r="E60" s="104"/>
      <c r="F60" s="2"/>
      <c r="G60" s="168"/>
      <c r="H60" s="168"/>
      <c r="I60" s="110" t="s">
        <v>580</v>
      </c>
      <c r="J60" s="167"/>
      <c r="K60" s="168"/>
      <c r="L60" s="124"/>
      <c r="M60" s="124"/>
      <c r="N60" s="124"/>
      <c r="O60" s="124"/>
      <c r="P60" s="124"/>
    </row>
    <row r="61" spans="1:16" s="70" customFormat="1" ht="12.75" customHeight="1" x14ac:dyDescent="0.2">
      <c r="A61" s="24"/>
      <c r="B61" s="1"/>
      <c r="C61" s="47" t="s">
        <v>572</v>
      </c>
      <c r="D61" s="111">
        <f>+D117/100000</f>
        <v>941.79380939999999</v>
      </c>
      <c r="E61" s="104"/>
      <c r="F61" s="2"/>
      <c r="G61" s="166"/>
      <c r="H61" s="166"/>
      <c r="I61" s="90" t="s">
        <v>587</v>
      </c>
      <c r="J61" s="167"/>
      <c r="K61" s="168"/>
      <c r="L61" s="124"/>
      <c r="M61" s="124"/>
      <c r="N61" s="124"/>
      <c r="O61" s="124"/>
      <c r="P61" s="124"/>
    </row>
    <row r="62" spans="1:16" s="70" customFormat="1" ht="12.75" customHeight="1" x14ac:dyDescent="0.2">
      <c r="A62" s="24"/>
      <c r="B62" s="1"/>
      <c r="C62" s="108" t="s">
        <v>578</v>
      </c>
      <c r="D62" s="48">
        <f>SUM(D59:D61)</f>
        <v>3748.0838094000001</v>
      </c>
      <c r="E62" s="104"/>
      <c r="F62" s="2"/>
      <c r="G62" s="30"/>
      <c r="H62" s="30"/>
      <c r="I62" s="2"/>
      <c r="J62" s="13"/>
      <c r="K62" s="13"/>
      <c r="L62" s="2"/>
      <c r="M62" s="2"/>
      <c r="N62" s="2"/>
      <c r="O62" s="124"/>
      <c r="P62" s="124"/>
    </row>
    <row r="63" spans="1:16" s="70" customFormat="1" ht="12.75" customHeight="1" x14ac:dyDescent="0.2">
      <c r="A63" s="24"/>
      <c r="B63" s="1"/>
      <c r="C63" s="47"/>
      <c r="D63" s="107"/>
      <c r="E63" s="104"/>
      <c r="F63" s="2"/>
      <c r="G63" s="30"/>
      <c r="H63" s="30"/>
      <c r="I63" s="2"/>
      <c r="O63" s="2"/>
      <c r="P63" s="124"/>
    </row>
    <row r="64" spans="1:16" s="70" customFormat="1" ht="12.75" customHeight="1" x14ac:dyDescent="0.2">
      <c r="A64" s="24"/>
      <c r="B64" s="1"/>
      <c r="C64" s="47" t="s">
        <v>932</v>
      </c>
      <c r="D64" s="111">
        <v>681.24</v>
      </c>
      <c r="E64" s="104"/>
      <c r="F64" s="2"/>
      <c r="G64" s="30"/>
      <c r="H64" s="30"/>
      <c r="I64" s="110" t="s">
        <v>581</v>
      </c>
      <c r="P64" s="2"/>
    </row>
    <row r="65" spans="1:19" s="70" customFormat="1" ht="12.75" customHeight="1" x14ac:dyDescent="0.2">
      <c r="A65" s="24"/>
      <c r="B65" s="1"/>
      <c r="C65" s="136" t="s">
        <v>1142</v>
      </c>
      <c r="D65" s="111">
        <v>884.49</v>
      </c>
      <c r="E65" s="104"/>
      <c r="F65" s="2"/>
      <c r="G65" s="30"/>
      <c r="H65" s="30"/>
      <c r="I65" s="110" t="s">
        <v>581</v>
      </c>
    </row>
    <row r="66" spans="1:19" s="70" customFormat="1" ht="12.75" customHeight="1" x14ac:dyDescent="0.2">
      <c r="A66" s="24"/>
      <c r="B66" s="1"/>
      <c r="C66" s="78" t="s">
        <v>579</v>
      </c>
      <c r="D66" s="109">
        <f>D64+D65</f>
        <v>1565.73</v>
      </c>
      <c r="E66" s="104"/>
      <c r="F66" s="2"/>
      <c r="G66" s="30"/>
      <c r="H66" s="30"/>
      <c r="Q66" s="2"/>
      <c r="R66" s="2"/>
      <c r="S66" s="2"/>
    </row>
    <row r="67" spans="1:19" s="2" customFormat="1" x14ac:dyDescent="0.2">
      <c r="A67" s="24"/>
      <c r="B67" s="1"/>
      <c r="C67" s="105"/>
      <c r="D67" s="106"/>
      <c r="E67" s="104"/>
      <c r="G67" s="30"/>
      <c r="H67" s="30"/>
      <c r="I67" s="70"/>
      <c r="K67" s="221" t="str">
        <f>"FROM ( 01-03-2024 to "&amp;TEXT(A5,"dd-mm-yyyy")&amp;" )"</f>
        <v>FROM ( 01-03-2024 to 26-03-2024 )</v>
      </c>
      <c r="L67" s="221"/>
      <c r="O67" s="70"/>
      <c r="P67" s="70"/>
    </row>
    <row r="68" spans="1:19" s="2" customFormat="1" x14ac:dyDescent="0.2">
      <c r="A68" s="24"/>
      <c r="B68" s="1"/>
      <c r="C68" s="78" t="s">
        <v>577</v>
      </c>
      <c r="D68" s="109">
        <f>D59+D66</f>
        <v>4150.0599999999995</v>
      </c>
      <c r="E68" s="104"/>
      <c r="G68" s="30"/>
      <c r="H68" s="30"/>
      <c r="I68" s="70"/>
      <c r="J68" s="113"/>
      <c r="K68" s="113" t="s">
        <v>709</v>
      </c>
      <c r="L68" s="113" t="s">
        <v>710</v>
      </c>
      <c r="M68" s="113" t="s">
        <v>711</v>
      </c>
      <c r="N68" s="113" t="s">
        <v>712</v>
      </c>
      <c r="O68" s="70"/>
      <c r="P68" s="70"/>
    </row>
    <row r="69" spans="1:19" s="2" customFormat="1" x14ac:dyDescent="0.2">
      <c r="A69" s="24"/>
      <c r="B69" s="1"/>
      <c r="C69" s="56"/>
      <c r="D69" s="56"/>
      <c r="E69" s="104"/>
      <c r="G69" s="30"/>
      <c r="H69" s="30"/>
      <c r="I69" s="70"/>
      <c r="J69" s="113" t="s">
        <v>1860</v>
      </c>
      <c r="K69" s="115">
        <v>195.8</v>
      </c>
      <c r="L69" s="115">
        <v>105.74</v>
      </c>
      <c r="M69" s="115">
        <v>59.4</v>
      </c>
      <c r="N69" s="113">
        <f>+K69+M69-L69</f>
        <v>149.46000000000004</v>
      </c>
      <c r="O69" s="70"/>
      <c r="P69" s="70"/>
    </row>
    <row r="70" spans="1:19" s="2" customFormat="1" ht="38.25" x14ac:dyDescent="0.2">
      <c r="A70" s="24"/>
      <c r="B70" s="1"/>
      <c r="C70" s="79" t="str">
        <f>"Particulars ( 01-03-2024 to "&amp;TEXT(A5,"dd-mm-yyyy")&amp;" )"</f>
        <v>Particulars ( 01-03-2024 to 26-03-2024 )</v>
      </c>
      <c r="D70" s="79" t="s">
        <v>7</v>
      </c>
      <c r="E70" s="80" t="s">
        <v>73</v>
      </c>
      <c r="F70" s="80" t="s">
        <v>74</v>
      </c>
      <c r="G70" s="81" t="s">
        <v>75</v>
      </c>
      <c r="H70" s="80" t="s">
        <v>76</v>
      </c>
      <c r="I70" s="70"/>
      <c r="J70" s="113" t="s">
        <v>1861</v>
      </c>
      <c r="K70" s="115">
        <v>1882.55</v>
      </c>
      <c r="L70" s="115">
        <v>943.45</v>
      </c>
      <c r="M70" s="115">
        <v>932.49</v>
      </c>
      <c r="N70" s="113">
        <f>+K70+M70-L70</f>
        <v>1871.59</v>
      </c>
      <c r="O70" s="70"/>
      <c r="P70" s="70"/>
    </row>
    <row r="71" spans="1:19" s="2" customFormat="1" x14ac:dyDescent="0.2">
      <c r="A71" s="24"/>
      <c r="B71" s="1"/>
      <c r="C71" s="50" t="s">
        <v>444</v>
      </c>
      <c r="D71" s="55">
        <f>+K71</f>
        <v>463.26</v>
      </c>
      <c r="E71" s="55">
        <f>+IF(M71=0,0,M71)</f>
        <v>681.24</v>
      </c>
      <c r="F71" s="55">
        <f>+L71</f>
        <v>221.96</v>
      </c>
      <c r="G71" s="55">
        <f>+D71+E71-F71</f>
        <v>922.54</v>
      </c>
      <c r="H71" s="55">
        <f>1500-G71</f>
        <v>577.46</v>
      </c>
      <c r="I71" s="70">
        <f>+IF(M71=0,0,M71)</f>
        <v>681.24</v>
      </c>
      <c r="J71" s="113" t="s">
        <v>707</v>
      </c>
      <c r="K71" s="115">
        <v>463.26</v>
      </c>
      <c r="L71" s="115">
        <v>221.96</v>
      </c>
      <c r="M71" s="115">
        <v>681.24</v>
      </c>
      <c r="N71" s="113">
        <f>+K71+M71-L71</f>
        <v>922.54</v>
      </c>
      <c r="O71" s="70"/>
      <c r="P71" s="70"/>
    </row>
    <row r="72" spans="1:19" s="2" customFormat="1" x14ac:dyDescent="0.2">
      <c r="A72" s="24"/>
      <c r="B72" s="1"/>
      <c r="C72" s="50" t="s">
        <v>71</v>
      </c>
      <c r="D72" s="55">
        <f>+K69+K70</f>
        <v>2078.35</v>
      </c>
      <c r="E72" s="55">
        <f>+M69+M70</f>
        <v>991.89</v>
      </c>
      <c r="F72" s="55">
        <f>+L69+L70</f>
        <v>1049.19</v>
      </c>
      <c r="G72" s="55">
        <f>+D72+E72-F72</f>
        <v>2021.0499999999997</v>
      </c>
      <c r="H72" s="55">
        <f>1500+700+200-G72</f>
        <v>378.95000000000027</v>
      </c>
      <c r="I72" s="70"/>
      <c r="K72" s="118">
        <f>SUM(K69:K71)</f>
        <v>2541.6099999999997</v>
      </c>
      <c r="L72" s="118">
        <f>SUM(L69:L71)</f>
        <v>1271.1500000000001</v>
      </c>
      <c r="M72" s="118">
        <f>SUM(M69:M71)</f>
        <v>1673.13</v>
      </c>
      <c r="N72" s="118">
        <f>SUM(N69:N71)</f>
        <v>2943.59</v>
      </c>
      <c r="O72" s="70"/>
      <c r="P72" s="70"/>
    </row>
    <row r="73" spans="1:19" s="2" customFormat="1" x14ac:dyDescent="0.2">
      <c r="A73" s="24"/>
      <c r="B73" s="1"/>
      <c r="C73" s="14"/>
      <c r="D73" s="56"/>
      <c r="E73" s="13"/>
      <c r="G73" s="30"/>
      <c r="H73" s="30"/>
      <c r="I73" s="70"/>
      <c r="J73" s="70"/>
      <c r="K73" s="70"/>
      <c r="L73" s="70"/>
      <c r="M73" s="70"/>
      <c r="N73" s="70"/>
      <c r="O73" s="70"/>
      <c r="P73" s="70"/>
    </row>
    <row r="74" spans="1:19" s="2" customFormat="1" x14ac:dyDescent="0.2">
      <c r="A74" s="215" t="s">
        <v>80</v>
      </c>
      <c r="B74" s="216"/>
      <c r="C74" s="216"/>
      <c r="D74" s="217"/>
      <c r="E74" s="69"/>
      <c r="F74" s="70"/>
      <c r="G74" s="30"/>
      <c r="H74" s="30"/>
      <c r="I74" s="70"/>
      <c r="J74" s="70"/>
      <c r="K74" s="70"/>
      <c r="L74" s="70"/>
      <c r="M74" s="70"/>
      <c r="N74" s="70"/>
      <c r="O74" s="70"/>
      <c r="P74" s="70"/>
    </row>
    <row r="75" spans="1:19" s="2" customFormat="1" x14ac:dyDescent="0.2">
      <c r="A75" s="71" t="s">
        <v>81</v>
      </c>
      <c r="B75" s="71"/>
      <c r="C75" s="72" t="s">
        <v>82</v>
      </c>
      <c r="D75" s="73" t="s">
        <v>83</v>
      </c>
      <c r="E75" s="69"/>
      <c r="F75" s="70"/>
      <c r="G75" s="30"/>
      <c r="H75" s="30"/>
      <c r="I75" s="70"/>
      <c r="J75" s="70"/>
      <c r="K75" s="70"/>
      <c r="L75" s="70"/>
      <c r="M75" s="70"/>
      <c r="N75" s="70"/>
      <c r="O75" s="70"/>
      <c r="P75" s="70"/>
    </row>
    <row r="76" spans="1:19" s="2" customFormat="1" x14ac:dyDescent="0.2">
      <c r="A76" s="87">
        <v>45352</v>
      </c>
      <c r="B76" s="120" t="s">
        <v>6</v>
      </c>
      <c r="C76" s="75" t="s">
        <v>594</v>
      </c>
      <c r="D76" s="88">
        <v>2143144</v>
      </c>
      <c r="G76" s="30"/>
      <c r="H76" s="30"/>
      <c r="P76" s="70"/>
    </row>
    <row r="77" spans="1:19" s="2" customFormat="1" x14ac:dyDescent="0.2">
      <c r="A77" s="87">
        <v>45352</v>
      </c>
      <c r="B77" s="120" t="s">
        <v>6</v>
      </c>
      <c r="C77" s="75" t="s">
        <v>271</v>
      </c>
      <c r="D77" s="88">
        <v>1493463</v>
      </c>
      <c r="G77" s="30"/>
      <c r="H77" s="30"/>
      <c r="P77" s="70"/>
    </row>
    <row r="78" spans="1:19" s="2" customFormat="1" x14ac:dyDescent="0.2">
      <c r="A78" s="87">
        <v>45354</v>
      </c>
      <c r="B78" s="120" t="s">
        <v>6</v>
      </c>
      <c r="C78" s="75" t="s">
        <v>270</v>
      </c>
      <c r="D78" s="88">
        <v>187299</v>
      </c>
      <c r="G78" s="30"/>
      <c r="H78" s="30"/>
      <c r="P78" s="70"/>
    </row>
    <row r="79" spans="1:19" s="2" customFormat="1" x14ac:dyDescent="0.2">
      <c r="A79" s="87">
        <v>45356</v>
      </c>
      <c r="B79" s="120" t="s">
        <v>6</v>
      </c>
      <c r="C79" s="75" t="s">
        <v>84</v>
      </c>
      <c r="D79" s="88">
        <v>3111466</v>
      </c>
      <c r="G79" s="30"/>
      <c r="H79" s="30"/>
      <c r="P79" s="70"/>
    </row>
    <row r="80" spans="1:19" s="2" customFormat="1" x14ac:dyDescent="0.2">
      <c r="A80" s="87">
        <v>45356</v>
      </c>
      <c r="B80" s="120" t="s">
        <v>6</v>
      </c>
      <c r="C80" s="75" t="s">
        <v>271</v>
      </c>
      <c r="D80" s="88">
        <v>1369091</v>
      </c>
      <c r="G80" s="30"/>
      <c r="H80" s="30"/>
      <c r="P80" s="70"/>
    </row>
    <row r="81" spans="1:16" s="2" customFormat="1" x14ac:dyDescent="0.2">
      <c r="A81" s="87">
        <v>45357</v>
      </c>
      <c r="B81" s="120" t="s">
        <v>6</v>
      </c>
      <c r="C81" s="75" t="s">
        <v>271</v>
      </c>
      <c r="D81" s="88">
        <v>1393433</v>
      </c>
      <c r="G81" s="30"/>
      <c r="H81" s="30"/>
      <c r="P81" s="70"/>
    </row>
    <row r="82" spans="1:16" s="2" customFormat="1" x14ac:dyDescent="0.2">
      <c r="A82" s="87">
        <v>45359</v>
      </c>
      <c r="B82" s="120" t="s">
        <v>6</v>
      </c>
      <c r="C82" s="75" t="s">
        <v>271</v>
      </c>
      <c r="D82" s="88">
        <v>730944</v>
      </c>
      <c r="G82" s="30"/>
      <c r="H82" s="30"/>
      <c r="P82" s="70"/>
    </row>
    <row r="83" spans="1:16" s="2" customFormat="1" x14ac:dyDescent="0.2">
      <c r="A83" s="87">
        <v>45359</v>
      </c>
      <c r="B83" s="120" t="s">
        <v>6</v>
      </c>
      <c r="C83" s="75" t="s">
        <v>18</v>
      </c>
      <c r="D83" s="88">
        <v>19228</v>
      </c>
      <c r="G83" s="30"/>
      <c r="H83" s="30"/>
      <c r="P83" s="70"/>
    </row>
    <row r="84" spans="1:16" s="2" customFormat="1" x14ac:dyDescent="0.2">
      <c r="A84" s="87">
        <v>45362</v>
      </c>
      <c r="B84" s="120" t="s">
        <v>6</v>
      </c>
      <c r="C84" s="75" t="s">
        <v>1789</v>
      </c>
      <c r="D84" s="88">
        <v>2568137</v>
      </c>
      <c r="G84" s="30"/>
      <c r="H84" s="30"/>
      <c r="P84" s="70"/>
    </row>
    <row r="85" spans="1:16" s="2" customFormat="1" x14ac:dyDescent="0.2">
      <c r="A85" s="87">
        <v>45362</v>
      </c>
      <c r="B85" s="120" t="s">
        <v>6</v>
      </c>
      <c r="C85" s="75" t="s">
        <v>85</v>
      </c>
      <c r="D85" s="88">
        <v>39949</v>
      </c>
      <c r="G85" s="30"/>
      <c r="H85" s="30"/>
      <c r="P85" s="70"/>
    </row>
    <row r="86" spans="1:16" s="2" customFormat="1" x14ac:dyDescent="0.2">
      <c r="A86" s="87">
        <v>45362</v>
      </c>
      <c r="B86" s="120" t="s">
        <v>6</v>
      </c>
      <c r="C86" s="75" t="s">
        <v>85</v>
      </c>
      <c r="D86" s="88">
        <v>219691</v>
      </c>
      <c r="G86" s="30"/>
      <c r="H86" s="30"/>
      <c r="P86" s="70"/>
    </row>
    <row r="87" spans="1:16" s="2" customFormat="1" x14ac:dyDescent="0.2">
      <c r="A87" s="87">
        <v>45363</v>
      </c>
      <c r="B87" s="120" t="s">
        <v>6</v>
      </c>
      <c r="C87" s="75" t="s">
        <v>271</v>
      </c>
      <c r="D87" s="88">
        <v>952416</v>
      </c>
      <c r="G87" s="30"/>
      <c r="H87" s="30"/>
      <c r="P87" s="70"/>
    </row>
    <row r="88" spans="1:16" s="2" customFormat="1" x14ac:dyDescent="0.2">
      <c r="A88" s="87">
        <v>45363</v>
      </c>
      <c r="B88" s="120" t="s">
        <v>6</v>
      </c>
      <c r="C88" s="75" t="s">
        <v>18</v>
      </c>
      <c r="D88" s="88">
        <v>591483</v>
      </c>
      <c r="G88" s="30"/>
      <c r="H88" s="30"/>
      <c r="P88" s="70"/>
    </row>
    <row r="89" spans="1:16" s="2" customFormat="1" x14ac:dyDescent="0.2">
      <c r="A89" s="87">
        <v>45364</v>
      </c>
      <c r="B89" s="120" t="s">
        <v>6</v>
      </c>
      <c r="C89" s="75" t="s">
        <v>85</v>
      </c>
      <c r="D89" s="88">
        <v>701638</v>
      </c>
      <c r="G89" s="30"/>
      <c r="H89" s="30"/>
      <c r="P89" s="70"/>
    </row>
    <row r="90" spans="1:16" s="2" customFormat="1" x14ac:dyDescent="0.2">
      <c r="A90" s="87">
        <v>45364</v>
      </c>
      <c r="B90" s="120" t="s">
        <v>6</v>
      </c>
      <c r="C90" s="75" t="s">
        <v>86</v>
      </c>
      <c r="D90" s="88">
        <v>1887871</v>
      </c>
      <c r="G90" s="30"/>
      <c r="H90" s="30"/>
      <c r="P90" s="70"/>
    </row>
    <row r="91" spans="1:16" s="2" customFormat="1" x14ac:dyDescent="0.2">
      <c r="A91" s="87">
        <v>45365</v>
      </c>
      <c r="B91" s="120" t="s">
        <v>6</v>
      </c>
      <c r="C91" s="75" t="s">
        <v>18</v>
      </c>
      <c r="D91" s="88">
        <v>1006330</v>
      </c>
      <c r="G91" s="30"/>
      <c r="H91" s="30"/>
      <c r="P91" s="70"/>
    </row>
    <row r="92" spans="1:16" s="2" customFormat="1" x14ac:dyDescent="0.2">
      <c r="A92" s="87">
        <v>45365</v>
      </c>
      <c r="B92" s="120" t="s">
        <v>6</v>
      </c>
      <c r="C92" s="75" t="s">
        <v>18</v>
      </c>
      <c r="D92" s="88">
        <v>5597</v>
      </c>
      <c r="G92" s="30"/>
      <c r="H92" s="30"/>
      <c r="P92" s="70"/>
    </row>
    <row r="93" spans="1:16" s="2" customFormat="1" x14ac:dyDescent="0.2">
      <c r="A93" s="87">
        <v>45366</v>
      </c>
      <c r="B93" s="120" t="s">
        <v>6</v>
      </c>
      <c r="C93" s="75" t="s">
        <v>201</v>
      </c>
      <c r="D93" s="88">
        <v>6161756</v>
      </c>
      <c r="G93" s="30"/>
      <c r="H93" s="30"/>
      <c r="P93" s="70"/>
    </row>
    <row r="94" spans="1:16" s="2" customFormat="1" x14ac:dyDescent="0.2">
      <c r="A94" s="87">
        <v>45366</v>
      </c>
      <c r="B94" s="120" t="s">
        <v>6</v>
      </c>
      <c r="C94" s="75" t="s">
        <v>1789</v>
      </c>
      <c r="D94" s="88">
        <v>7500000</v>
      </c>
      <c r="G94" s="30"/>
      <c r="H94" s="30"/>
      <c r="P94" s="70"/>
    </row>
    <row r="95" spans="1:16" s="2" customFormat="1" x14ac:dyDescent="0.2">
      <c r="A95" s="87">
        <v>45366</v>
      </c>
      <c r="B95" s="120" t="s">
        <v>6</v>
      </c>
      <c r="C95" s="75" t="s">
        <v>85</v>
      </c>
      <c r="D95" s="88">
        <v>306349</v>
      </c>
      <c r="G95" s="30"/>
      <c r="H95" s="30"/>
      <c r="P95" s="70"/>
    </row>
    <row r="96" spans="1:16" s="2" customFormat="1" x14ac:dyDescent="0.2">
      <c r="A96" s="87">
        <v>45366</v>
      </c>
      <c r="B96" s="120" t="s">
        <v>6</v>
      </c>
      <c r="C96" s="75" t="s">
        <v>85</v>
      </c>
      <c r="D96" s="88">
        <v>400000</v>
      </c>
      <c r="G96" s="30"/>
      <c r="H96" s="30"/>
      <c r="P96" s="70"/>
    </row>
    <row r="97" spans="1:16" s="2" customFormat="1" x14ac:dyDescent="0.2">
      <c r="A97" s="87">
        <v>45366</v>
      </c>
      <c r="B97" s="120" t="s">
        <v>6</v>
      </c>
      <c r="C97" s="75" t="s">
        <v>87</v>
      </c>
      <c r="D97" s="88">
        <v>4850915</v>
      </c>
      <c r="G97" s="30"/>
      <c r="H97" s="30"/>
      <c r="P97" s="70"/>
    </row>
    <row r="98" spans="1:16" s="2" customFormat="1" x14ac:dyDescent="0.2">
      <c r="A98" s="87">
        <v>45366</v>
      </c>
      <c r="B98" s="120" t="s">
        <v>6</v>
      </c>
      <c r="C98" s="75" t="s">
        <v>88</v>
      </c>
      <c r="D98" s="88">
        <v>5232207.0599999996</v>
      </c>
      <c r="G98" s="30"/>
      <c r="H98" s="30"/>
      <c r="P98" s="70"/>
    </row>
    <row r="99" spans="1:16" s="2" customFormat="1" x14ac:dyDescent="0.2">
      <c r="A99" s="87">
        <v>45366</v>
      </c>
      <c r="B99" s="120" t="s">
        <v>6</v>
      </c>
      <c r="C99" s="75" t="s">
        <v>201</v>
      </c>
      <c r="D99" s="88">
        <v>9960808.3800000008</v>
      </c>
      <c r="G99" s="30"/>
      <c r="H99" s="30"/>
      <c r="P99" s="70"/>
    </row>
    <row r="100" spans="1:16" s="2" customFormat="1" x14ac:dyDescent="0.2">
      <c r="A100" s="87">
        <v>45366</v>
      </c>
      <c r="B100" s="120" t="s">
        <v>6</v>
      </c>
      <c r="C100" s="75" t="s">
        <v>86</v>
      </c>
      <c r="D100" s="88">
        <v>7162826</v>
      </c>
      <c r="G100" s="30"/>
      <c r="H100" s="30"/>
      <c r="P100" s="70"/>
    </row>
    <row r="101" spans="1:16" s="2" customFormat="1" x14ac:dyDescent="0.2">
      <c r="A101" s="87">
        <v>45366</v>
      </c>
      <c r="B101" s="120" t="s">
        <v>6</v>
      </c>
      <c r="C101" s="75" t="s">
        <v>323</v>
      </c>
      <c r="D101" s="88">
        <v>1044131</v>
      </c>
      <c r="G101" s="30"/>
      <c r="H101" s="30"/>
      <c r="P101" s="70"/>
    </row>
    <row r="102" spans="1:16" s="2" customFormat="1" x14ac:dyDescent="0.2">
      <c r="A102" s="87">
        <v>45366</v>
      </c>
      <c r="B102" s="120" t="s">
        <v>6</v>
      </c>
      <c r="C102" s="75" t="s">
        <v>1789</v>
      </c>
      <c r="D102" s="88">
        <v>39309</v>
      </c>
      <c r="G102" s="30"/>
      <c r="H102" s="30"/>
      <c r="P102" s="70"/>
    </row>
    <row r="103" spans="1:16" s="2" customFormat="1" x14ac:dyDescent="0.2">
      <c r="A103" s="87">
        <v>45366</v>
      </c>
      <c r="B103" s="120" t="s">
        <v>6</v>
      </c>
      <c r="C103" s="75" t="s">
        <v>88</v>
      </c>
      <c r="D103" s="88">
        <v>30421</v>
      </c>
      <c r="G103" s="30"/>
      <c r="H103" s="30"/>
      <c r="P103" s="70"/>
    </row>
    <row r="104" spans="1:16" s="2" customFormat="1" x14ac:dyDescent="0.2">
      <c r="A104" s="87">
        <v>45366</v>
      </c>
      <c r="B104" s="120" t="s">
        <v>6</v>
      </c>
      <c r="C104" s="75" t="s">
        <v>270</v>
      </c>
      <c r="D104" s="88">
        <v>76786</v>
      </c>
      <c r="G104" s="30"/>
      <c r="H104" s="30"/>
      <c r="P104" s="70"/>
    </row>
    <row r="105" spans="1:16" s="2" customFormat="1" x14ac:dyDescent="0.2">
      <c r="A105" s="87">
        <v>45366</v>
      </c>
      <c r="B105" s="120" t="s">
        <v>6</v>
      </c>
      <c r="C105" s="75" t="s">
        <v>270</v>
      </c>
      <c r="D105" s="88">
        <v>30283.5</v>
      </c>
      <c r="G105" s="30"/>
      <c r="H105" s="30"/>
      <c r="P105" s="70"/>
    </row>
    <row r="106" spans="1:16" s="2" customFormat="1" x14ac:dyDescent="0.2">
      <c r="A106" s="87">
        <v>45367</v>
      </c>
      <c r="B106" s="120" t="s">
        <v>6</v>
      </c>
      <c r="C106" s="75" t="s">
        <v>594</v>
      </c>
      <c r="D106" s="88">
        <v>5010276</v>
      </c>
      <c r="G106" s="30"/>
      <c r="H106" s="30"/>
      <c r="P106" s="70"/>
    </row>
    <row r="107" spans="1:16" s="2" customFormat="1" x14ac:dyDescent="0.2">
      <c r="A107" s="87">
        <v>45369</v>
      </c>
      <c r="B107" s="120" t="s">
        <v>6</v>
      </c>
      <c r="C107" s="75" t="s">
        <v>86</v>
      </c>
      <c r="D107" s="88">
        <v>5267306</v>
      </c>
      <c r="G107" s="30"/>
      <c r="H107" s="30"/>
      <c r="P107" s="70"/>
    </row>
    <row r="108" spans="1:16" s="2" customFormat="1" x14ac:dyDescent="0.2">
      <c r="A108" s="87">
        <v>45371</v>
      </c>
      <c r="B108" s="120" t="s">
        <v>6</v>
      </c>
      <c r="C108" s="75" t="s">
        <v>1789</v>
      </c>
      <c r="D108" s="88">
        <v>7500000</v>
      </c>
      <c r="G108" s="30"/>
      <c r="H108" s="30"/>
      <c r="P108" s="70"/>
    </row>
    <row r="109" spans="1:16" s="2" customFormat="1" x14ac:dyDescent="0.2">
      <c r="A109" s="87">
        <v>45371</v>
      </c>
      <c r="B109" s="120" t="s">
        <v>6</v>
      </c>
      <c r="C109" s="75" t="s">
        <v>271</v>
      </c>
      <c r="D109" s="88">
        <v>1203166</v>
      </c>
      <c r="G109" s="30"/>
      <c r="H109" s="30"/>
      <c r="P109" s="70"/>
    </row>
    <row r="110" spans="1:16" s="2" customFormat="1" x14ac:dyDescent="0.2">
      <c r="A110" s="87">
        <v>45372</v>
      </c>
      <c r="B110" s="120" t="s">
        <v>6</v>
      </c>
      <c r="C110" s="75" t="s">
        <v>85</v>
      </c>
      <c r="D110" s="88">
        <v>408027</v>
      </c>
      <c r="G110" s="30"/>
      <c r="H110" s="30"/>
      <c r="P110" s="70"/>
    </row>
    <row r="111" spans="1:16" s="2" customFormat="1" x14ac:dyDescent="0.2">
      <c r="A111" s="87">
        <v>45373</v>
      </c>
      <c r="B111" s="120" t="s">
        <v>6</v>
      </c>
      <c r="C111" s="75" t="s">
        <v>84</v>
      </c>
      <c r="D111" s="88">
        <v>5000000</v>
      </c>
      <c r="G111" s="30"/>
      <c r="H111" s="30"/>
      <c r="P111" s="70"/>
    </row>
    <row r="112" spans="1:16" s="2" customFormat="1" x14ac:dyDescent="0.2">
      <c r="A112" s="87">
        <v>45373</v>
      </c>
      <c r="B112" s="120" t="s">
        <v>6</v>
      </c>
      <c r="C112" s="75" t="s">
        <v>270</v>
      </c>
      <c r="D112" s="88">
        <v>121900</v>
      </c>
      <c r="G112" s="30"/>
      <c r="H112" s="30"/>
      <c r="P112" s="70"/>
    </row>
    <row r="113" spans="1:16" s="2" customFormat="1" x14ac:dyDescent="0.2">
      <c r="A113" s="87">
        <v>45377</v>
      </c>
      <c r="B113" s="120" t="s">
        <v>6</v>
      </c>
      <c r="C113" s="75" t="s">
        <v>85</v>
      </c>
      <c r="D113" s="88">
        <v>132254</v>
      </c>
      <c r="G113" s="30"/>
      <c r="H113" s="30"/>
      <c r="P113" s="70"/>
    </row>
    <row r="114" spans="1:16" s="2" customFormat="1" x14ac:dyDescent="0.2">
      <c r="A114" s="87">
        <v>45377</v>
      </c>
      <c r="B114" s="120" t="s">
        <v>6</v>
      </c>
      <c r="C114" s="75" t="s">
        <v>201</v>
      </c>
      <c r="D114" s="88">
        <v>4334854</v>
      </c>
      <c r="G114" s="30"/>
      <c r="H114" s="30"/>
      <c r="P114" s="70"/>
    </row>
    <row r="115" spans="1:16" s="2" customFormat="1" x14ac:dyDescent="0.2">
      <c r="A115" s="87">
        <v>45377</v>
      </c>
      <c r="B115" s="120" t="s">
        <v>6</v>
      </c>
      <c r="C115" s="75" t="s">
        <v>1789</v>
      </c>
      <c r="D115" s="88">
        <v>1744249</v>
      </c>
      <c r="G115" s="30"/>
      <c r="H115" s="30"/>
      <c r="P115" s="70"/>
    </row>
    <row r="116" spans="1:16" s="2" customFormat="1" x14ac:dyDescent="0.2">
      <c r="A116" s="87">
        <v>45377</v>
      </c>
      <c r="B116" s="120" t="s">
        <v>6</v>
      </c>
      <c r="C116" s="75" t="s">
        <v>87</v>
      </c>
      <c r="D116" s="88">
        <v>2240377</v>
      </c>
      <c r="G116" s="30"/>
      <c r="H116" s="30"/>
      <c r="P116" s="70"/>
    </row>
    <row r="117" spans="1:16" s="2" customFormat="1" x14ac:dyDescent="0.2">
      <c r="A117" s="87"/>
      <c r="B117" s="74"/>
      <c r="C117" s="183" t="s">
        <v>2141</v>
      </c>
      <c r="D117" s="51">
        <f>SUM(D76:D116)</f>
        <v>94179380.939999998</v>
      </c>
      <c r="F117" s="2" t="s">
        <v>396</v>
      </c>
      <c r="G117" s="1"/>
      <c r="H117" s="1"/>
      <c r="P117" s="70"/>
    </row>
    <row r="118" spans="1:16" s="2" customFormat="1" x14ac:dyDescent="0.2">
      <c r="A118" s="24"/>
      <c r="B118" s="1"/>
      <c r="C118" s="14"/>
      <c r="D118" s="56"/>
      <c r="E118" s="13"/>
      <c r="G118" s="1"/>
      <c r="H118" s="1"/>
      <c r="I118" s="2" t="s">
        <v>396</v>
      </c>
    </row>
    <row r="119" spans="1:16" s="2" customFormat="1" x14ac:dyDescent="0.2">
      <c r="A119" s="24"/>
      <c r="B119" s="1"/>
      <c r="C119" s="218" t="s">
        <v>77</v>
      </c>
      <c r="D119" s="219"/>
      <c r="E119" s="219"/>
      <c r="F119" s="220"/>
      <c r="I119" s="2" t="s">
        <v>396</v>
      </c>
    </row>
    <row r="120" spans="1:16" s="2" customFormat="1" x14ac:dyDescent="0.2">
      <c r="A120" s="24"/>
      <c r="B120" s="1"/>
      <c r="C120" s="50"/>
      <c r="D120" s="57" t="s">
        <v>78</v>
      </c>
      <c r="E120" s="58" t="s">
        <v>79</v>
      </c>
      <c r="F120" s="57" t="s">
        <v>72</v>
      </c>
    </row>
    <row r="121" spans="1:16" s="2" customFormat="1" x14ac:dyDescent="0.2">
      <c r="A121" s="24"/>
      <c r="B121" s="1"/>
      <c r="C121" s="59" t="str">
        <f>"01-03-2024 to "&amp;TEXT(A5-2,"dd-mm-yyyy")</f>
        <v>01-03-2024 to 24-03-2024</v>
      </c>
      <c r="D121" s="60">
        <v>4053.98</v>
      </c>
      <c r="E121" s="60">
        <v>553.26</v>
      </c>
      <c r="F121" s="61">
        <f>SUM(D121:E121)</f>
        <v>4607.24</v>
      </c>
      <c r="I121" s="53"/>
    </row>
    <row r="122" spans="1:16" s="2" customFormat="1" x14ac:dyDescent="0.2">
      <c r="A122" s="24"/>
      <c r="B122" s="1"/>
      <c r="C122" s="62" t="str">
        <f>TEXT(A5-1,"dd-mm-yyyy")</f>
        <v>25-03-2024</v>
      </c>
      <c r="D122" s="60">
        <v>0</v>
      </c>
      <c r="E122" s="60">
        <v>0</v>
      </c>
      <c r="F122" s="61">
        <f>SUM(D122:E122)</f>
        <v>0</v>
      </c>
      <c r="G122" s="1"/>
      <c r="H122" s="1"/>
      <c r="I122" s="53"/>
    </row>
    <row r="123" spans="1:16" s="2" customFormat="1" ht="13.5" thickBot="1" x14ac:dyDescent="0.25">
      <c r="A123" s="24"/>
      <c r="B123" s="1"/>
      <c r="C123" s="63" t="str">
        <f>"01-03-2024 to "&amp;TEXT(A5-1,"dd-mm-yyyy")</f>
        <v>01-03-2024 to 25-03-2024</v>
      </c>
      <c r="D123" s="64">
        <f>SUM(D121:D122)</f>
        <v>4053.98</v>
      </c>
      <c r="E123" s="64">
        <f>SUM(E121:E122)</f>
        <v>553.26</v>
      </c>
      <c r="F123" s="64">
        <f>SUM(F121:F122)</f>
        <v>4607.24</v>
      </c>
      <c r="G123" s="1"/>
      <c r="H123" s="1"/>
      <c r="M123" s="1"/>
      <c r="N123" s="1"/>
    </row>
    <row r="124" spans="1:16" s="2" customFormat="1" ht="13.5" thickTop="1" x14ac:dyDescent="0.2">
      <c r="A124" s="24"/>
      <c r="B124" s="1"/>
      <c r="C124" s="62"/>
      <c r="D124" s="65"/>
      <c r="E124" s="66"/>
      <c r="F124" s="67"/>
      <c r="M124" s="1"/>
      <c r="N124" s="1"/>
    </row>
    <row r="125" spans="1:16" s="2" customFormat="1" x14ac:dyDescent="0.2">
      <c r="A125" s="24"/>
      <c r="B125" s="1"/>
      <c r="C125" s="62" t="str">
        <f>"01-04-2023 to " &amp;C122</f>
        <v>01-04-2023 to 25-03-2024</v>
      </c>
      <c r="D125" s="68">
        <f>+D123+41133.42</f>
        <v>45187.4</v>
      </c>
      <c r="E125" s="68">
        <f>+E123+5183.37</f>
        <v>5736.63</v>
      </c>
      <c r="F125" s="68">
        <f>+F123+46316.49</f>
        <v>50923.729999999996</v>
      </c>
      <c r="G125" s="1"/>
      <c r="H125" s="1"/>
      <c r="M125" s="1"/>
      <c r="N125" s="1"/>
    </row>
    <row r="126" spans="1:16" s="2" customFormat="1" x14ac:dyDescent="0.2">
      <c r="A126" s="24"/>
      <c r="B126" s="1"/>
      <c r="C126" s="52"/>
      <c r="D126" s="85"/>
      <c r="E126" s="53"/>
      <c r="F126" s="53"/>
      <c r="G126" s="1"/>
      <c r="H126" s="1"/>
      <c r="M126" s="1"/>
      <c r="N126" s="1"/>
    </row>
    <row r="127" spans="1:16" s="2" customFormat="1" x14ac:dyDescent="0.2">
      <c r="A127" s="24"/>
      <c r="B127" s="1"/>
      <c r="C127" s="52"/>
      <c r="D127" s="85"/>
      <c r="E127" s="53"/>
      <c r="F127" s="53"/>
      <c r="G127" s="1"/>
      <c r="H127" s="1"/>
      <c r="M127" s="1"/>
      <c r="N127" s="1"/>
    </row>
    <row r="128" spans="1:16" s="2" customFormat="1" x14ac:dyDescent="0.2">
      <c r="A128" s="24"/>
      <c r="B128" s="1"/>
      <c r="C128" s="52"/>
      <c r="D128" s="85"/>
      <c r="E128" s="53"/>
      <c r="F128" s="53"/>
      <c r="G128" s="1"/>
      <c r="H128" s="1"/>
      <c r="M128" s="1"/>
      <c r="N128" s="1"/>
    </row>
    <row r="129" spans="1:19" s="2" customFormat="1" x14ac:dyDescent="0.2">
      <c r="A129" s="24"/>
      <c r="B129" s="1"/>
      <c r="C129" s="52"/>
      <c r="D129" s="85"/>
      <c r="E129" s="53"/>
      <c r="F129" s="53"/>
      <c r="G129" s="1"/>
      <c r="H129" s="1"/>
      <c r="M129" s="1"/>
      <c r="N129" s="1"/>
    </row>
    <row r="130" spans="1:19" s="2" customFormat="1" x14ac:dyDescent="0.2">
      <c r="A130" s="24"/>
      <c r="B130" s="1"/>
      <c r="C130" s="14"/>
      <c r="D130" s="25">
        <f>SUM(D127:D129)</f>
        <v>0</v>
      </c>
      <c r="E130" s="2">
        <f>SUM(E127:E129)</f>
        <v>0</v>
      </c>
      <c r="G130" s="1"/>
      <c r="H130" s="1"/>
      <c r="M130" s="1"/>
      <c r="N130" s="1"/>
    </row>
    <row r="131" spans="1:19" s="2" customFormat="1" x14ac:dyDescent="0.2">
      <c r="A131" s="24"/>
      <c r="B131" s="1"/>
      <c r="C131" s="14"/>
      <c r="D131" s="25"/>
      <c r="G131" s="1"/>
      <c r="H131" s="1"/>
      <c r="M131" s="1"/>
      <c r="N131" s="1"/>
    </row>
    <row r="132" spans="1:19" s="2" customFormat="1" x14ac:dyDescent="0.2">
      <c r="A132" s="24"/>
      <c r="B132" s="1"/>
      <c r="C132" s="14"/>
      <c r="D132" s="25"/>
      <c r="G132" s="1"/>
      <c r="H132" s="1"/>
      <c r="M132" s="1"/>
      <c r="N132" s="1"/>
    </row>
    <row r="133" spans="1:19" s="2" customFormat="1" x14ac:dyDescent="0.2">
      <c r="A133" s="24"/>
      <c r="B133" s="1"/>
      <c r="C133" s="14"/>
      <c r="D133" s="25"/>
      <c r="G133" s="1"/>
      <c r="H133" s="1"/>
      <c r="M133" s="1"/>
      <c r="N133" s="1"/>
    </row>
    <row r="134" spans="1:19" s="2" customFormat="1" x14ac:dyDescent="0.2">
      <c r="A134" s="24"/>
      <c r="B134" s="1"/>
      <c r="C134" s="14"/>
      <c r="D134" s="25"/>
      <c r="G134" s="1"/>
      <c r="H134" s="1"/>
      <c r="M134" s="1"/>
      <c r="N134" s="1"/>
    </row>
    <row r="135" spans="1:19" s="2" customFormat="1" x14ac:dyDescent="0.2">
      <c r="A135" s="24"/>
      <c r="B135" s="1"/>
      <c r="C135" s="14"/>
      <c r="D135" s="25"/>
      <c r="G135" s="1"/>
      <c r="H135" s="1"/>
      <c r="M135" s="1"/>
      <c r="N135" s="1"/>
    </row>
    <row r="136" spans="1:19" s="2" customFormat="1" x14ac:dyDescent="0.2">
      <c r="A136" s="24"/>
      <c r="B136" s="1"/>
      <c r="C136" s="14"/>
      <c r="D136" s="25"/>
      <c r="G136" s="1"/>
      <c r="H136" s="1"/>
      <c r="M136" s="1"/>
      <c r="N136" s="1"/>
    </row>
    <row r="137" spans="1:19" s="2" customFormat="1" x14ac:dyDescent="0.2">
      <c r="A137" s="24"/>
      <c r="B137" s="1"/>
      <c r="C137" s="14"/>
      <c r="D137" s="25"/>
      <c r="G137" s="1"/>
      <c r="H137" s="1"/>
      <c r="M137" s="1"/>
      <c r="N137" s="1"/>
      <c r="Q137" s="1"/>
      <c r="R137" s="1"/>
      <c r="S137" s="1"/>
    </row>
    <row r="138" spans="1:19" x14ac:dyDescent="0.2">
      <c r="J138" s="2"/>
      <c r="K138" s="2"/>
      <c r="L138" s="2"/>
      <c r="O138" s="2"/>
      <c r="P138" s="2"/>
      <c r="Q138" s="2"/>
      <c r="R138" s="2"/>
      <c r="S138" s="2"/>
    </row>
    <row r="139" spans="1:19" s="2" customFormat="1" x14ac:dyDescent="0.2">
      <c r="A139" s="24"/>
      <c r="B139" s="1"/>
      <c r="C139" s="14"/>
      <c r="D139" s="25"/>
      <c r="G139" s="1"/>
      <c r="H139" s="1"/>
      <c r="M139" s="1"/>
      <c r="N139" s="1"/>
      <c r="Q139" s="1"/>
      <c r="R139" s="1"/>
      <c r="S139" s="1"/>
    </row>
    <row r="140" spans="1:19" x14ac:dyDescent="0.2">
      <c r="J140" s="2"/>
      <c r="K140" s="2"/>
      <c r="L140" s="2"/>
      <c r="O140" s="2"/>
      <c r="P140" s="2"/>
    </row>
    <row r="141" spans="1:19" x14ac:dyDescent="0.2">
      <c r="J141" s="2"/>
      <c r="K141" s="2"/>
      <c r="L141" s="2"/>
      <c r="O141" s="2"/>
      <c r="P141" s="2"/>
    </row>
    <row r="142" spans="1:19" x14ac:dyDescent="0.2">
      <c r="J142" s="2"/>
      <c r="K142" s="2"/>
      <c r="L142" s="2"/>
      <c r="O142" s="2"/>
      <c r="P142" s="2"/>
    </row>
    <row r="143" spans="1:19" x14ac:dyDescent="0.2">
      <c r="J143" s="2"/>
      <c r="K143" s="2"/>
      <c r="L143" s="2"/>
      <c r="O143" s="2"/>
      <c r="P143" s="2"/>
    </row>
    <row r="144" spans="1:19" x14ac:dyDescent="0.2">
      <c r="O144" s="2"/>
      <c r="P144" s="2"/>
    </row>
    <row r="145" spans="7:16" x14ac:dyDescent="0.2">
      <c r="J145" s="2"/>
      <c r="K145" s="2"/>
      <c r="L145" s="2"/>
      <c r="M145" s="2"/>
      <c r="N145" s="2"/>
      <c r="O145" s="2"/>
      <c r="P145" s="2"/>
    </row>
    <row r="146" spans="7:16" x14ac:dyDescent="0.2">
      <c r="O146" s="2"/>
      <c r="P146" s="2"/>
    </row>
    <row r="147" spans="7:16" x14ac:dyDescent="0.2">
      <c r="G147" s="54"/>
      <c r="H147" s="54"/>
      <c r="O147" s="2"/>
      <c r="P147" s="2"/>
    </row>
    <row r="148" spans="7:16" x14ac:dyDescent="0.2">
      <c r="G148" s="54"/>
      <c r="H148" s="54"/>
      <c r="O148" s="2"/>
      <c r="P148" s="2"/>
    </row>
    <row r="149" spans="7:16" x14ac:dyDescent="0.2">
      <c r="G149" s="54"/>
      <c r="H149" s="54"/>
      <c r="O149" s="2"/>
      <c r="P149" s="2"/>
    </row>
    <row r="150" spans="7:16" x14ac:dyDescent="0.2">
      <c r="G150" s="54"/>
      <c r="H150" s="54"/>
      <c r="I150" s="2" t="s">
        <v>396</v>
      </c>
      <c r="O150" s="2"/>
      <c r="P150" s="2"/>
    </row>
    <row r="151" spans="7:16" x14ac:dyDescent="0.2">
      <c r="G151" s="54"/>
      <c r="H151" s="54"/>
      <c r="I151" s="53"/>
      <c r="J151" s="2"/>
      <c r="K151" s="2"/>
      <c r="L151" s="2"/>
      <c r="M151" s="2"/>
      <c r="N151" s="2"/>
      <c r="P151" s="2"/>
    </row>
    <row r="152" spans="7:16" x14ac:dyDescent="0.2">
      <c r="G152" s="54"/>
      <c r="H152" s="54"/>
      <c r="I152" s="53" t="s">
        <v>396</v>
      </c>
      <c r="O152" s="2"/>
      <c r="P152" s="2"/>
    </row>
    <row r="153" spans="7:16" x14ac:dyDescent="0.2">
      <c r="G153" s="54"/>
      <c r="H153" s="54"/>
      <c r="I153" s="53" t="s">
        <v>396</v>
      </c>
      <c r="K153" s="42"/>
      <c r="P153" s="2"/>
    </row>
    <row r="154" spans="7:16" x14ac:dyDescent="0.2">
      <c r="G154" s="54"/>
      <c r="H154" s="54"/>
      <c r="I154" s="53"/>
      <c r="J154" s="101"/>
      <c r="P154" s="2"/>
    </row>
    <row r="155" spans="7:16" x14ac:dyDescent="0.2">
      <c r="G155" s="54"/>
      <c r="H155" s="54"/>
      <c r="I155" s="53"/>
    </row>
    <row r="156" spans="7:16" x14ac:dyDescent="0.2">
      <c r="G156" s="54"/>
      <c r="H156" s="54"/>
      <c r="I156" s="53"/>
      <c r="P156" s="2"/>
    </row>
    <row r="157" spans="7:16" x14ac:dyDescent="0.2">
      <c r="G157" s="54"/>
      <c r="H157" s="54"/>
      <c r="I157" s="53"/>
    </row>
  </sheetData>
  <sheetProtection insertRows="0"/>
  <mergeCells count="8">
    <mergeCell ref="K67:L67"/>
    <mergeCell ref="A74:D74"/>
    <mergeCell ref="C119:F119"/>
    <mergeCell ref="A1:H1"/>
    <mergeCell ref="A3:F3"/>
    <mergeCell ref="A9:F9"/>
    <mergeCell ref="A19:F19"/>
    <mergeCell ref="A28:F28"/>
  </mergeCells>
  <conditionalFormatting sqref="H71:H72">
    <cfRule type="cellIs" dxfId="11" priority="1" operator="lessThan">
      <formula>0</formula>
    </cfRule>
  </conditionalFormatting>
  <conditionalFormatting sqref="C30">
    <cfRule type="duplicateValues" dxfId="10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1-000000000000}">
  <sheetPr codeName="Sheet581">
    <pageSetUpPr fitToPage="1"/>
  </sheetPr>
  <dimension ref="A1:S163"/>
  <sheetViews>
    <sheetView topLeftCell="A34" zoomScaleNormal="100" workbookViewId="0">
      <selection activeCell="E50" sqref="E50"/>
    </sheetView>
  </sheetViews>
  <sheetFormatPr defaultColWidth="9.140625" defaultRowHeight="12.75" x14ac:dyDescent="0.2"/>
  <cols>
    <col min="1" max="1" width="10.28515625" style="24" bestFit="1" customWidth="1"/>
    <col min="2" max="2" width="4.28515625" style="1" customWidth="1"/>
    <col min="3" max="3" width="50.5703125" style="14" bestFit="1" customWidth="1"/>
    <col min="4" max="4" width="19.85546875" style="25" bestFit="1" customWidth="1"/>
    <col min="5" max="5" width="16.28515625" style="2" bestFit="1" customWidth="1"/>
    <col min="6" max="6" width="15.28515625" style="2" bestFit="1" customWidth="1"/>
    <col min="7" max="7" width="13" style="1" bestFit="1" customWidth="1"/>
    <col min="8" max="8" width="12.85546875" style="1" customWidth="1"/>
    <col min="9" max="9" width="25" style="2" bestFit="1" customWidth="1"/>
    <col min="10" max="10" width="21.7109375" style="1" bestFit="1" customWidth="1"/>
    <col min="11" max="11" width="17" style="1" bestFit="1" customWidth="1"/>
    <col min="12" max="12" width="19.7109375" style="1" bestFit="1" customWidth="1"/>
    <col min="13" max="13" width="13.7109375" style="1" bestFit="1" customWidth="1"/>
    <col min="14" max="14" width="17.5703125" style="1" bestFit="1" customWidth="1"/>
    <col min="15" max="15" width="14.7109375" style="1" bestFit="1" customWidth="1"/>
    <col min="16" max="16" width="14.5703125" style="1" bestFit="1" customWidth="1"/>
    <col min="17" max="17" width="9.140625" style="1"/>
    <col min="18" max="18" width="15.5703125" style="1" bestFit="1" customWidth="1"/>
    <col min="19" max="16384" width="9.140625" style="1"/>
  </cols>
  <sheetData>
    <row r="1" spans="1:11" ht="20.25" customHeight="1" x14ac:dyDescent="0.4">
      <c r="A1" s="212" t="s">
        <v>2277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1" ht="12.75" customHeight="1" x14ac:dyDescent="0.4">
      <c r="I2" s="112"/>
      <c r="J2" s="112"/>
    </row>
    <row r="3" spans="1:11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1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1" s="2" customFormat="1" ht="14.25" customHeight="1" x14ac:dyDescent="0.4">
      <c r="A5" s="89">
        <v>45378</v>
      </c>
      <c r="B5" s="9" t="s">
        <v>6</v>
      </c>
      <c r="C5" s="10" t="s">
        <v>7</v>
      </c>
      <c r="D5" s="11"/>
      <c r="E5" s="12">
        <v>98894.84</v>
      </c>
      <c r="F5" s="12"/>
      <c r="G5" s="1"/>
      <c r="H5" s="1"/>
      <c r="I5" s="112"/>
      <c r="J5" s="112"/>
    </row>
    <row r="6" spans="1:11" s="2" customFormat="1" ht="12.75" customHeight="1" x14ac:dyDescent="0.2">
      <c r="D6" s="15" t="s">
        <v>8</v>
      </c>
      <c r="E6" s="16">
        <f>SUM(E5:E5)</f>
        <v>98894.84</v>
      </c>
      <c r="F6" s="16">
        <f>+F5</f>
        <v>0</v>
      </c>
      <c r="G6" s="1"/>
      <c r="H6" s="1"/>
      <c r="I6" s="13" t="s">
        <v>1582</v>
      </c>
      <c r="J6" s="13" t="s">
        <v>1583</v>
      </c>
    </row>
    <row r="7" spans="1:11" s="2" customFormat="1" ht="12.75" customHeight="1" x14ac:dyDescent="0.2">
      <c r="A7" s="17"/>
      <c r="B7" s="18"/>
      <c r="C7" s="19" t="s">
        <v>9</v>
      </c>
      <c r="D7" s="20"/>
      <c r="E7" s="21">
        <f>+E6-F6</f>
        <v>98894.84</v>
      </c>
      <c r="F7" s="22"/>
      <c r="G7" s="23"/>
      <c r="H7" s="23"/>
      <c r="I7" s="2">
        <v>5759575</v>
      </c>
      <c r="J7" s="2">
        <v>0</v>
      </c>
      <c r="K7" s="176">
        <f>I7-J7</f>
        <v>5759575</v>
      </c>
    </row>
    <row r="8" spans="1:11" ht="11.25" customHeight="1" x14ac:dyDescent="0.4">
      <c r="I8" s="112"/>
      <c r="J8" s="112"/>
    </row>
    <row r="9" spans="1:11" ht="18" customHeight="1" x14ac:dyDescent="0.4">
      <c r="A9" s="213" t="s">
        <v>2103</v>
      </c>
      <c r="B9" s="213"/>
      <c r="C9" s="213"/>
      <c r="D9" s="213"/>
      <c r="E9" s="213"/>
      <c r="F9" s="213"/>
      <c r="I9" s="112"/>
      <c r="J9" s="112"/>
    </row>
    <row r="10" spans="1:11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I10" s="112"/>
      <c r="J10" s="112"/>
    </row>
    <row r="11" spans="1:11" ht="15" customHeight="1" x14ac:dyDescent="0.4">
      <c r="A11" s="202">
        <v>45378</v>
      </c>
      <c r="B11" s="199" t="s">
        <v>6</v>
      </c>
      <c r="C11" s="163" t="s">
        <v>7</v>
      </c>
      <c r="D11" s="11"/>
      <c r="E11" s="198">
        <v>4400353.6199999992</v>
      </c>
      <c r="F11" s="200"/>
      <c r="I11" s="112"/>
      <c r="J11" s="112"/>
    </row>
    <row r="12" spans="1:11" ht="15.75" customHeight="1" x14ac:dyDescent="0.4">
      <c r="A12" s="202">
        <v>45378</v>
      </c>
      <c r="B12" s="199" t="s">
        <v>6</v>
      </c>
      <c r="C12" s="163" t="s">
        <v>200</v>
      </c>
      <c r="D12" s="11" t="s">
        <v>13</v>
      </c>
      <c r="E12" s="198">
        <v>19163</v>
      </c>
      <c r="F12" s="164"/>
      <c r="I12" s="112"/>
      <c r="J12" s="112"/>
    </row>
    <row r="13" spans="1:11" ht="15.75" customHeight="1" x14ac:dyDescent="0.4">
      <c r="A13" s="202">
        <v>45378</v>
      </c>
      <c r="B13" s="199" t="s">
        <v>6</v>
      </c>
      <c r="C13" s="163" t="s">
        <v>93</v>
      </c>
      <c r="D13" s="11" t="s">
        <v>13</v>
      </c>
      <c r="E13" s="198">
        <v>1513543</v>
      </c>
      <c r="F13" s="164"/>
      <c r="I13" s="112"/>
      <c r="J13" s="112"/>
    </row>
    <row r="14" spans="1:11" ht="15.75" customHeight="1" x14ac:dyDescent="0.4">
      <c r="A14" s="202">
        <v>45378</v>
      </c>
      <c r="B14" s="199" t="s">
        <v>11</v>
      </c>
      <c r="C14" s="163" t="s">
        <v>1091</v>
      </c>
      <c r="D14" s="11" t="s">
        <v>29</v>
      </c>
      <c r="E14" s="198"/>
      <c r="F14" s="164">
        <v>3540</v>
      </c>
      <c r="I14" s="112"/>
      <c r="J14" s="112"/>
    </row>
    <row r="15" spans="1:11" ht="15.75" customHeight="1" x14ac:dyDescent="0.4">
      <c r="A15" s="202">
        <v>45378</v>
      </c>
      <c r="B15" s="199" t="s">
        <v>11</v>
      </c>
      <c r="C15" s="163" t="s">
        <v>123</v>
      </c>
      <c r="D15" s="11" t="s">
        <v>29</v>
      </c>
      <c r="E15" s="198"/>
      <c r="F15" s="164">
        <v>2462</v>
      </c>
      <c r="I15" s="112"/>
      <c r="J15" s="112"/>
    </row>
    <row r="16" spans="1:11" ht="15.75" customHeight="1" x14ac:dyDescent="0.4">
      <c r="A16" s="202">
        <v>45378</v>
      </c>
      <c r="B16" s="199" t="s">
        <v>11</v>
      </c>
      <c r="C16" s="163" t="s">
        <v>951</v>
      </c>
      <c r="D16" s="11" t="s">
        <v>29</v>
      </c>
      <c r="E16" s="198"/>
      <c r="F16" s="164">
        <v>3796</v>
      </c>
      <c r="I16" s="112"/>
      <c r="J16" s="112"/>
    </row>
    <row r="17" spans="1:12" ht="15.75" customHeight="1" x14ac:dyDescent="0.4">
      <c r="A17" s="202">
        <v>45378</v>
      </c>
      <c r="B17" s="199" t="s">
        <v>11</v>
      </c>
      <c r="C17" s="163" t="s">
        <v>484</v>
      </c>
      <c r="D17" s="11" t="s">
        <v>29</v>
      </c>
      <c r="E17" s="198"/>
      <c r="F17" s="164">
        <v>4254</v>
      </c>
      <c r="I17" s="112"/>
      <c r="J17" s="112"/>
    </row>
    <row r="18" spans="1:12" ht="15.75" customHeight="1" x14ac:dyDescent="0.4">
      <c r="A18" s="202">
        <v>45378</v>
      </c>
      <c r="B18" s="199" t="s">
        <v>11</v>
      </c>
      <c r="C18" s="163" t="s">
        <v>1911</v>
      </c>
      <c r="D18" s="11" t="s">
        <v>29</v>
      </c>
      <c r="E18" s="198"/>
      <c r="F18" s="164">
        <v>13781</v>
      </c>
      <c r="I18" s="112"/>
      <c r="J18" s="112"/>
    </row>
    <row r="19" spans="1:12" ht="15.75" customHeight="1" x14ac:dyDescent="0.4">
      <c r="A19" s="202">
        <v>45378</v>
      </c>
      <c r="B19" s="199" t="s">
        <v>11</v>
      </c>
      <c r="C19" s="163" t="s">
        <v>287</v>
      </c>
      <c r="D19" s="11" t="s">
        <v>29</v>
      </c>
      <c r="E19" s="198"/>
      <c r="F19" s="164">
        <v>8142</v>
      </c>
      <c r="I19" s="112"/>
      <c r="J19" s="112"/>
    </row>
    <row r="20" spans="1:12" ht="15.75" customHeight="1" x14ac:dyDescent="0.4">
      <c r="A20" s="202">
        <v>45378</v>
      </c>
      <c r="B20" s="199" t="s">
        <v>11</v>
      </c>
      <c r="C20" s="163" t="s">
        <v>62</v>
      </c>
      <c r="D20" s="11" t="s">
        <v>29</v>
      </c>
      <c r="E20" s="198"/>
      <c r="F20" s="164">
        <v>70000</v>
      </c>
      <c r="I20" s="112"/>
      <c r="J20" s="112"/>
    </row>
    <row r="21" spans="1:12" ht="15.75" customHeight="1" x14ac:dyDescent="0.4">
      <c r="A21" s="202">
        <v>45378</v>
      </c>
      <c r="B21" s="199" t="s">
        <v>11</v>
      </c>
      <c r="C21" s="163" t="s">
        <v>2082</v>
      </c>
      <c r="D21" s="11" t="s">
        <v>29</v>
      </c>
      <c r="E21" s="198"/>
      <c r="F21" s="164">
        <v>20176</v>
      </c>
      <c r="I21" s="112"/>
      <c r="J21" s="112"/>
    </row>
    <row r="22" spans="1:12" ht="15.75" customHeight="1" x14ac:dyDescent="0.4">
      <c r="A22" s="202">
        <v>45378</v>
      </c>
      <c r="B22" s="199" t="s">
        <v>11</v>
      </c>
      <c r="C22" s="163" t="s">
        <v>937</v>
      </c>
      <c r="D22" s="11" t="s">
        <v>29</v>
      </c>
      <c r="E22" s="198"/>
      <c r="F22" s="164">
        <v>5205</v>
      </c>
      <c r="I22" s="112"/>
      <c r="J22" s="112"/>
    </row>
    <row r="23" spans="1:12" ht="12.75" customHeight="1" x14ac:dyDescent="0.2">
      <c r="A23" s="2"/>
      <c r="B23" s="2"/>
      <c r="C23" s="2"/>
      <c r="D23" s="11" t="s">
        <v>8</v>
      </c>
      <c r="E23" s="16">
        <f>SUM(E11:E22)</f>
        <v>5933059.6199999992</v>
      </c>
      <c r="F23" s="16">
        <f>SUM(F12:F22)</f>
        <v>131356</v>
      </c>
      <c r="I23" s="13" t="s">
        <v>1582</v>
      </c>
      <c r="J23" s="13" t="s">
        <v>1583</v>
      </c>
    </row>
    <row r="24" spans="1:12" x14ac:dyDescent="0.2">
      <c r="A24" s="17"/>
      <c r="B24" s="18"/>
      <c r="C24" s="19" t="s">
        <v>9</v>
      </c>
      <c r="D24" s="20"/>
      <c r="E24" s="21">
        <f>+E23-F23</f>
        <v>5801703.6199999992</v>
      </c>
      <c r="I24" s="2">
        <v>0</v>
      </c>
      <c r="J24" s="2">
        <v>0</v>
      </c>
    </row>
    <row r="25" spans="1:12" ht="18" customHeight="1" x14ac:dyDescent="0.25">
      <c r="A25" s="36"/>
      <c r="B25" s="28"/>
      <c r="C25" s="44"/>
      <c r="D25" s="43"/>
      <c r="E25" s="38"/>
      <c r="F25" s="22"/>
      <c r="J25" s="2"/>
    </row>
    <row r="26" spans="1:12" ht="18" customHeight="1" x14ac:dyDescent="0.4">
      <c r="A26" s="213" t="s">
        <v>2104</v>
      </c>
      <c r="B26" s="213"/>
      <c r="C26" s="213"/>
      <c r="D26" s="213"/>
      <c r="E26" s="213"/>
      <c r="F26" s="213"/>
      <c r="I26" s="112"/>
      <c r="J26" s="169">
        <f>90000000-60000000</f>
        <v>30000000</v>
      </c>
      <c r="K26" s="169" t="s">
        <v>1508</v>
      </c>
    </row>
    <row r="27" spans="1:12" ht="12.75" customHeight="1" x14ac:dyDescent="0.4">
      <c r="A27" s="3" t="s">
        <v>1</v>
      </c>
      <c r="B27" s="4" t="s">
        <v>2</v>
      </c>
      <c r="C27" s="5"/>
      <c r="D27" s="6" t="s">
        <v>3</v>
      </c>
      <c r="E27" s="7" t="s">
        <v>4</v>
      </c>
      <c r="F27" s="7" t="s">
        <v>5</v>
      </c>
      <c r="I27" s="112"/>
      <c r="J27" s="169">
        <v>29984549.039999999</v>
      </c>
      <c r="K27" s="169" t="s">
        <v>1509</v>
      </c>
      <c r="L27" s="124"/>
    </row>
    <row r="28" spans="1:12" s="2" customFormat="1" ht="14.25" customHeight="1" x14ac:dyDescent="0.2">
      <c r="A28" s="127">
        <v>45378</v>
      </c>
      <c r="B28" s="9" t="s">
        <v>6</v>
      </c>
      <c r="C28" s="10" t="s">
        <v>7</v>
      </c>
      <c r="D28" s="11"/>
      <c r="F28" s="12">
        <v>29794553.169999994</v>
      </c>
      <c r="G28" s="1"/>
      <c r="H28" s="1"/>
      <c r="I28" s="130" t="s">
        <v>396</v>
      </c>
      <c r="J28" s="169">
        <f>+J26-J27</f>
        <v>15450.960000000894</v>
      </c>
      <c r="K28" s="169" t="s">
        <v>712</v>
      </c>
      <c r="L28" s="165" t="s">
        <v>1512</v>
      </c>
    </row>
    <row r="29" spans="1:12" s="2" customFormat="1" ht="14.25" customHeight="1" x14ac:dyDescent="0.2">
      <c r="A29" s="127">
        <v>45378</v>
      </c>
      <c r="B29" s="9" t="s">
        <v>6</v>
      </c>
      <c r="C29" s="10" t="s">
        <v>2279</v>
      </c>
      <c r="D29" s="11" t="s">
        <v>13</v>
      </c>
      <c r="E29" s="12">
        <v>10049.129999999999</v>
      </c>
      <c r="F29" s="12"/>
      <c r="G29" s="1"/>
      <c r="H29" s="1"/>
      <c r="I29" s="130"/>
      <c r="J29" s="169"/>
      <c r="K29" s="169"/>
      <c r="L29" s="165"/>
    </row>
    <row r="30" spans="1:12" s="2" customFormat="1" ht="14.25" customHeight="1" x14ac:dyDescent="0.2">
      <c r="A30" s="127">
        <v>45378</v>
      </c>
      <c r="B30" s="9" t="s">
        <v>11</v>
      </c>
      <c r="C30" s="10" t="s">
        <v>156</v>
      </c>
      <c r="D30" s="11" t="s">
        <v>29</v>
      </c>
      <c r="F30" s="12">
        <v>45</v>
      </c>
      <c r="G30" s="1"/>
      <c r="H30" s="1"/>
      <c r="I30" s="130"/>
      <c r="J30" s="169"/>
      <c r="K30" s="169"/>
      <c r="L30" s="165"/>
    </row>
    <row r="31" spans="1:12" s="2" customFormat="1" ht="14.25" customHeight="1" x14ac:dyDescent="0.2">
      <c r="A31" s="127">
        <v>45378</v>
      </c>
      <c r="B31" s="9" t="s">
        <v>11</v>
      </c>
      <c r="C31" s="10" t="s">
        <v>661</v>
      </c>
      <c r="D31" s="11" t="s">
        <v>29</v>
      </c>
      <c r="F31" s="12">
        <v>150000</v>
      </c>
      <c r="G31" s="1"/>
      <c r="H31" s="1"/>
      <c r="I31" s="130"/>
      <c r="J31" s="169"/>
      <c r="K31" s="169"/>
      <c r="L31" s="165"/>
    </row>
    <row r="32" spans="1:12" s="2" customFormat="1" ht="14.25" customHeight="1" x14ac:dyDescent="0.2">
      <c r="A32" s="127">
        <v>45378</v>
      </c>
      <c r="B32" s="9" t="s">
        <v>11</v>
      </c>
      <c r="C32" s="10" t="s">
        <v>702</v>
      </c>
      <c r="D32" s="11" t="s">
        <v>29</v>
      </c>
      <c r="F32" s="12">
        <v>50000</v>
      </c>
      <c r="G32" s="1"/>
      <c r="H32" s="1"/>
      <c r="I32" s="130"/>
      <c r="J32" s="169"/>
      <c r="K32" s="169"/>
      <c r="L32" s="165"/>
    </row>
    <row r="33" spans="1:12" s="2" customFormat="1" ht="14.25" customHeight="1" x14ac:dyDescent="0.4">
      <c r="A33" s="89"/>
      <c r="D33" s="11" t="s">
        <v>8</v>
      </c>
      <c r="E33" s="16">
        <f>SUM(E29:E32)</f>
        <v>10049.129999999999</v>
      </c>
      <c r="F33" s="16">
        <f>SUM(F28:F32)</f>
        <v>29994598.169999994</v>
      </c>
      <c r="G33" s="1"/>
      <c r="H33" s="1"/>
      <c r="J33" s="112"/>
      <c r="K33" s="153" t="s">
        <v>779</v>
      </c>
    </row>
    <row r="34" spans="1:12" s="2" customFormat="1" ht="14.25" customHeight="1" x14ac:dyDescent="0.2">
      <c r="A34" s="17"/>
      <c r="B34" s="18"/>
      <c r="C34" s="96" t="s">
        <v>9</v>
      </c>
      <c r="D34" s="20"/>
      <c r="E34" s="21">
        <f>+F33-E33</f>
        <v>29984549.039999995</v>
      </c>
      <c r="G34" s="1"/>
      <c r="H34" s="1"/>
      <c r="J34" s="40">
        <v>29984549.039999999</v>
      </c>
      <c r="K34" s="154">
        <f>J34-E34</f>
        <v>0</v>
      </c>
    </row>
    <row r="35" spans="1:12" s="2" customFormat="1" ht="14.25" customHeight="1" x14ac:dyDescent="0.2">
      <c r="A35" s="17"/>
      <c r="B35" s="28" t="s">
        <v>66</v>
      </c>
      <c r="C35" s="43" t="s">
        <v>1458</v>
      </c>
      <c r="D35" s="43"/>
      <c r="E35" s="12">
        <f>30000000+60000000</f>
        <v>90000000</v>
      </c>
      <c r="F35" s="22"/>
      <c r="G35" s="1"/>
      <c r="H35" s="1"/>
      <c r="I35" s="13" t="s">
        <v>1582</v>
      </c>
      <c r="J35" s="13" t="s">
        <v>1583</v>
      </c>
    </row>
    <row r="36" spans="1:12" s="2" customFormat="1" ht="14.25" customHeight="1" x14ac:dyDescent="0.25">
      <c r="A36" s="36"/>
      <c r="B36" s="28"/>
      <c r="C36" s="44" t="s">
        <v>1541</v>
      </c>
      <c r="D36" s="43"/>
      <c r="E36" s="7">
        <f>+E34+E35</f>
        <v>119984549.03999999</v>
      </c>
      <c r="F36" s="22"/>
      <c r="G36" s="1"/>
      <c r="H36" s="1"/>
      <c r="I36" s="2">
        <v>670579</v>
      </c>
      <c r="J36" s="2">
        <v>8121406.3499999996</v>
      </c>
      <c r="K36" s="176">
        <f>I36-J36</f>
        <v>-7450827.3499999996</v>
      </c>
    </row>
    <row r="37" spans="1:12" s="2" customFormat="1" ht="14.25" customHeight="1" x14ac:dyDescent="0.25">
      <c r="A37" s="36"/>
      <c r="B37" s="28"/>
      <c r="C37" s="44" t="s">
        <v>1511</v>
      </c>
      <c r="D37" s="43"/>
      <c r="E37" s="38">
        <f>I24-J24+J28</f>
        <v>15450.960000000894</v>
      </c>
      <c r="F37" s="22"/>
      <c r="G37" s="1"/>
      <c r="H37" s="1"/>
      <c r="J37" s="130"/>
      <c r="K37" s="130"/>
    </row>
    <row r="38" spans="1:12" s="2" customFormat="1" x14ac:dyDescent="0.2">
      <c r="A38" s="24"/>
      <c r="B38" s="1"/>
      <c r="C38" s="14"/>
      <c r="D38" s="25"/>
      <c r="G38" s="1"/>
      <c r="H38" s="1"/>
      <c r="I38" s="159"/>
      <c r="J38" s="160">
        <f>100000000</f>
        <v>100000000</v>
      </c>
      <c r="K38" s="160" t="s">
        <v>1506</v>
      </c>
      <c r="L38" s="70"/>
    </row>
    <row r="39" spans="1:12" s="2" customFormat="1" ht="15" x14ac:dyDescent="0.35">
      <c r="A39" s="214" t="s">
        <v>10</v>
      </c>
      <c r="B39" s="214"/>
      <c r="C39" s="214"/>
      <c r="D39" s="214"/>
      <c r="E39" s="214"/>
      <c r="F39" s="214"/>
      <c r="G39" s="1"/>
      <c r="H39" s="1"/>
      <c r="I39" s="159"/>
      <c r="J39" s="179">
        <v>87909084.939999998</v>
      </c>
      <c r="K39" s="160" t="s">
        <v>1507</v>
      </c>
      <c r="L39" s="70" t="s">
        <v>1512</v>
      </c>
    </row>
    <row r="40" spans="1:12" s="2" customFormat="1" x14ac:dyDescent="0.2">
      <c r="A40" s="26" t="s">
        <v>1</v>
      </c>
      <c r="B40" s="27" t="s">
        <v>2</v>
      </c>
      <c r="C40" s="5"/>
      <c r="D40" s="6" t="s">
        <v>3</v>
      </c>
      <c r="E40" s="7" t="s">
        <v>4</v>
      </c>
      <c r="F40" s="7" t="s">
        <v>5</v>
      </c>
      <c r="G40" s="1"/>
      <c r="H40" s="1"/>
      <c r="I40" s="159" t="s">
        <v>1505</v>
      </c>
      <c r="J40" s="160">
        <f>+J38-J39</f>
        <v>12090915.060000002</v>
      </c>
      <c r="K40" s="160"/>
      <c r="L40" s="70"/>
    </row>
    <row r="41" spans="1:12" s="2" customFormat="1" x14ac:dyDescent="0.2">
      <c r="A41" s="89" t="s">
        <v>2278</v>
      </c>
      <c r="B41" s="128" t="s">
        <v>11</v>
      </c>
      <c r="C41" s="29" t="s">
        <v>7</v>
      </c>
      <c r="D41" s="25"/>
      <c r="E41" s="31"/>
      <c r="F41" s="13">
        <v>89767128.129999891</v>
      </c>
      <c r="G41" s="23"/>
      <c r="H41" s="23"/>
      <c r="I41" s="159"/>
      <c r="J41" s="160"/>
      <c r="K41" s="160"/>
      <c r="L41" s="70"/>
    </row>
    <row r="42" spans="1:12" s="2" customFormat="1" x14ac:dyDescent="0.2">
      <c r="A42" s="127" t="s">
        <v>2278</v>
      </c>
      <c r="B42" s="128" t="s">
        <v>6</v>
      </c>
      <c r="C42" s="201" t="s">
        <v>19</v>
      </c>
      <c r="D42" s="11" t="s">
        <v>13</v>
      </c>
      <c r="E42" s="86">
        <v>6137</v>
      </c>
      <c r="F42" s="86"/>
      <c r="G42" s="23"/>
      <c r="H42" s="23"/>
      <c r="I42" s="159"/>
      <c r="J42" s="160"/>
      <c r="K42" s="160"/>
      <c r="L42" s="70"/>
    </row>
    <row r="43" spans="1:12" s="2" customFormat="1" x14ac:dyDescent="0.2">
      <c r="A43" s="127" t="s">
        <v>2278</v>
      </c>
      <c r="B43" s="128" t="s">
        <v>6</v>
      </c>
      <c r="C43" s="201" t="s">
        <v>598</v>
      </c>
      <c r="D43" s="11" t="s">
        <v>13</v>
      </c>
      <c r="E43" s="86">
        <v>349556</v>
      </c>
      <c r="F43" s="86"/>
      <c r="G43" s="197"/>
      <c r="H43" s="23"/>
      <c r="I43" s="159"/>
      <c r="J43" s="160"/>
      <c r="K43" s="160"/>
      <c r="L43" s="70"/>
    </row>
    <row r="44" spans="1:12" s="2" customFormat="1" x14ac:dyDescent="0.2">
      <c r="A44" s="127" t="s">
        <v>2278</v>
      </c>
      <c r="B44" s="128" t="s">
        <v>6</v>
      </c>
      <c r="C44" s="201" t="s">
        <v>15</v>
      </c>
      <c r="D44" s="11" t="s">
        <v>13</v>
      </c>
      <c r="E44" s="86">
        <v>33963.19</v>
      </c>
      <c r="F44" s="86"/>
      <c r="G44" s="23"/>
      <c r="H44" s="23"/>
      <c r="I44" s="159"/>
      <c r="J44" s="160"/>
      <c r="K44" s="160"/>
      <c r="L44" s="70"/>
    </row>
    <row r="45" spans="1:12" s="2" customFormat="1" x14ac:dyDescent="0.2">
      <c r="A45" s="127" t="s">
        <v>2278</v>
      </c>
      <c r="B45" s="128" t="s">
        <v>6</v>
      </c>
      <c r="C45" s="201" t="s">
        <v>200</v>
      </c>
      <c r="D45" s="11" t="s">
        <v>13</v>
      </c>
      <c r="E45" s="86">
        <v>228279</v>
      </c>
      <c r="F45" s="86"/>
      <c r="G45" s="23"/>
      <c r="H45" s="23"/>
      <c r="I45" s="159"/>
      <c r="J45" s="160"/>
      <c r="K45" s="160"/>
      <c r="L45" s="70"/>
    </row>
    <row r="46" spans="1:12" s="2" customFormat="1" x14ac:dyDescent="0.2">
      <c r="A46" s="127" t="s">
        <v>2278</v>
      </c>
      <c r="B46" s="128" t="s">
        <v>6</v>
      </c>
      <c r="C46" s="201" t="s">
        <v>474</v>
      </c>
      <c r="D46" s="11" t="s">
        <v>13</v>
      </c>
      <c r="E46" s="86">
        <v>235599</v>
      </c>
      <c r="F46" s="86"/>
      <c r="G46" s="23"/>
      <c r="H46" s="23"/>
      <c r="I46" s="159"/>
      <c r="J46" s="160"/>
      <c r="K46" s="160"/>
      <c r="L46" s="70"/>
    </row>
    <row r="47" spans="1:12" s="2" customFormat="1" x14ac:dyDescent="0.2">
      <c r="A47" s="127" t="s">
        <v>2278</v>
      </c>
      <c r="B47" s="128" t="s">
        <v>6</v>
      </c>
      <c r="C47" s="201" t="s">
        <v>27</v>
      </c>
      <c r="D47" s="11" t="s">
        <v>13</v>
      </c>
      <c r="E47" s="86">
        <v>468768</v>
      </c>
      <c r="F47" s="86"/>
      <c r="G47" s="23"/>
      <c r="H47" s="23"/>
      <c r="I47" s="159"/>
      <c r="J47" s="160"/>
      <c r="K47" s="160"/>
      <c r="L47" s="70"/>
    </row>
    <row r="48" spans="1:12" s="2" customFormat="1" x14ac:dyDescent="0.2">
      <c r="A48" s="127" t="s">
        <v>2278</v>
      </c>
      <c r="B48" s="128" t="s">
        <v>6</v>
      </c>
      <c r="C48" s="201" t="s">
        <v>332</v>
      </c>
      <c r="D48" s="11" t="s">
        <v>13</v>
      </c>
      <c r="E48" s="86">
        <v>1126491</v>
      </c>
      <c r="F48" s="86"/>
      <c r="G48" s="23"/>
      <c r="H48" s="23"/>
      <c r="I48" s="159"/>
      <c r="J48" s="160"/>
      <c r="K48" s="160"/>
      <c r="L48" s="70"/>
    </row>
    <row r="49" spans="1:16" s="2" customFormat="1" x14ac:dyDescent="0.2">
      <c r="A49" s="127" t="s">
        <v>2278</v>
      </c>
      <c r="B49" s="128" t="s">
        <v>6</v>
      </c>
      <c r="C49" s="201" t="s">
        <v>1390</v>
      </c>
      <c r="D49" s="11" t="s">
        <v>13</v>
      </c>
      <c r="E49" s="86">
        <v>5328</v>
      </c>
      <c r="F49" s="86"/>
      <c r="G49" s="23"/>
      <c r="H49" s="23"/>
      <c r="I49" s="159"/>
      <c r="J49" s="160"/>
      <c r="K49" s="160"/>
      <c r="L49" s="70"/>
    </row>
    <row r="50" spans="1:16" s="2" customFormat="1" x14ac:dyDescent="0.2">
      <c r="A50" s="127" t="s">
        <v>2278</v>
      </c>
      <c r="B50" s="128" t="s">
        <v>6</v>
      </c>
      <c r="C50" s="201" t="s">
        <v>1135</v>
      </c>
      <c r="D50" s="11" t="s">
        <v>13</v>
      </c>
      <c r="E50" s="86">
        <v>33508</v>
      </c>
      <c r="F50" s="86"/>
      <c r="G50" s="23"/>
      <c r="H50" s="23"/>
      <c r="I50" s="159"/>
      <c r="J50" s="160"/>
      <c r="K50" s="160"/>
      <c r="L50" s="70"/>
    </row>
    <row r="51" spans="1:16" s="2" customFormat="1" x14ac:dyDescent="0.2">
      <c r="A51" s="127" t="s">
        <v>2278</v>
      </c>
      <c r="B51" s="128" t="s">
        <v>11</v>
      </c>
      <c r="C51" s="201" t="s">
        <v>1403</v>
      </c>
      <c r="D51" s="11" t="s">
        <v>29</v>
      </c>
      <c r="E51" s="86"/>
      <c r="F51" s="86">
        <v>672652</v>
      </c>
      <c r="G51" s="23"/>
      <c r="H51" s="23"/>
      <c r="I51" s="159"/>
      <c r="J51" s="160"/>
      <c r="K51" s="160"/>
      <c r="L51" s="70"/>
    </row>
    <row r="52" spans="1:16" s="2" customFormat="1" x14ac:dyDescent="0.2">
      <c r="A52" s="127" t="s">
        <v>2278</v>
      </c>
      <c r="B52" s="128" t="s">
        <v>11</v>
      </c>
      <c r="C52" s="201" t="s">
        <v>1734</v>
      </c>
      <c r="D52" s="11" t="s">
        <v>29</v>
      </c>
      <c r="E52" s="86"/>
      <c r="F52" s="86">
        <v>1123539</v>
      </c>
      <c r="G52" s="23"/>
      <c r="H52" s="23"/>
      <c r="I52" s="159"/>
      <c r="J52" s="160"/>
      <c r="K52" s="160"/>
      <c r="L52" s="70"/>
    </row>
    <row r="53" spans="1:16" s="2" customFormat="1" x14ac:dyDescent="0.2">
      <c r="A53" s="127" t="s">
        <v>2278</v>
      </c>
      <c r="B53" s="128" t="s">
        <v>11</v>
      </c>
      <c r="C53" s="201" t="s">
        <v>111</v>
      </c>
      <c r="D53" s="11" t="s">
        <v>29</v>
      </c>
      <c r="E53" s="86"/>
      <c r="F53" s="86">
        <v>3402367.35</v>
      </c>
      <c r="G53" s="23"/>
      <c r="H53" s="23"/>
      <c r="I53" s="159"/>
      <c r="J53" s="160"/>
      <c r="K53" s="160"/>
      <c r="L53" s="70"/>
    </row>
    <row r="54" spans="1:16" s="2" customFormat="1" x14ac:dyDescent="0.2">
      <c r="A54" s="127" t="s">
        <v>2278</v>
      </c>
      <c r="B54" s="128" t="s">
        <v>11</v>
      </c>
      <c r="C54" s="201" t="s">
        <v>284</v>
      </c>
      <c r="D54" s="11" t="s">
        <v>29</v>
      </c>
      <c r="E54" s="86"/>
      <c r="F54" s="86">
        <v>1794064</v>
      </c>
      <c r="G54" s="23"/>
      <c r="H54" s="23"/>
      <c r="I54" s="159"/>
      <c r="J54" s="160"/>
      <c r="K54" s="160"/>
      <c r="L54" s="70"/>
    </row>
    <row r="55" spans="1:16" s="2" customFormat="1" x14ac:dyDescent="0.2">
      <c r="A55" s="127" t="s">
        <v>2278</v>
      </c>
      <c r="B55" s="128" t="s">
        <v>11</v>
      </c>
      <c r="C55" s="201" t="s">
        <v>1746</v>
      </c>
      <c r="D55" s="11" t="s">
        <v>29</v>
      </c>
      <c r="E55" s="86"/>
      <c r="F55" s="86">
        <v>121221</v>
      </c>
      <c r="G55" s="23"/>
      <c r="H55" s="23"/>
      <c r="I55" s="159"/>
      <c r="J55" s="160"/>
      <c r="K55" s="160"/>
      <c r="L55" s="70"/>
    </row>
    <row r="56" spans="1:16" s="2" customFormat="1" x14ac:dyDescent="0.2">
      <c r="A56" s="127" t="s">
        <v>2278</v>
      </c>
      <c r="B56" s="128" t="s">
        <v>11</v>
      </c>
      <c r="C56" s="201" t="s">
        <v>1798</v>
      </c>
      <c r="D56" s="11" t="s">
        <v>29</v>
      </c>
      <c r="E56" s="86"/>
      <c r="F56" s="86">
        <v>966570</v>
      </c>
      <c r="G56" s="23"/>
      <c r="H56" s="23"/>
      <c r="I56" s="159"/>
      <c r="J56" s="160"/>
      <c r="K56" s="160"/>
      <c r="L56" s="70"/>
    </row>
    <row r="57" spans="1:16" s="70" customFormat="1" x14ac:dyDescent="0.2">
      <c r="A57" s="32"/>
      <c r="B57" s="33"/>
      <c r="C57" s="14"/>
      <c r="D57" s="34"/>
      <c r="E57" s="16">
        <f>SUM(E41:E56)</f>
        <v>2487629.19</v>
      </c>
      <c r="F57" s="16">
        <f>SUM(F41:F56)</f>
        <v>97847541.479999885</v>
      </c>
      <c r="G57" s="1"/>
      <c r="H57" s="1"/>
      <c r="I57" s="1"/>
      <c r="J57" s="38">
        <v>95359912.290000007</v>
      </c>
      <c r="K57" s="2"/>
      <c r="L57" s="92">
        <f>+J57-E58</f>
        <v>1.1920928955078125E-7</v>
      </c>
      <c r="M57" s="2"/>
      <c r="N57" s="2"/>
      <c r="O57" s="2">
        <v>10127749.119999999</v>
      </c>
      <c r="P57" s="2">
        <f>+O57-J57</f>
        <v>-85232163.170000002</v>
      </c>
    </row>
    <row r="58" spans="1:16" s="70" customFormat="1" x14ac:dyDescent="0.2">
      <c r="A58" s="36"/>
      <c r="B58" s="28" t="s">
        <v>11</v>
      </c>
      <c r="C58" s="19" t="s">
        <v>65</v>
      </c>
      <c r="D58" s="37"/>
      <c r="E58" s="38">
        <f>F57-E57</f>
        <v>95359912.289999887</v>
      </c>
      <c r="F58" s="22"/>
      <c r="G58" s="1"/>
      <c r="H58" s="1"/>
      <c r="I58" s="1"/>
      <c r="M58" s="2"/>
      <c r="N58" s="2"/>
      <c r="O58" s="1"/>
      <c r="P58" s="2"/>
    </row>
    <row r="59" spans="1:16" s="70" customFormat="1" x14ac:dyDescent="0.2">
      <c r="A59" s="36"/>
      <c r="B59" s="28" t="s">
        <v>66</v>
      </c>
      <c r="C59" s="19" t="s">
        <v>67</v>
      </c>
      <c r="D59" s="37"/>
      <c r="E59" s="38">
        <f>11500000-7200000</f>
        <v>4300000</v>
      </c>
      <c r="F59" s="22"/>
      <c r="G59" s="1"/>
      <c r="H59" s="1"/>
      <c r="M59" s="2"/>
      <c r="N59" s="2"/>
      <c r="O59" s="1"/>
      <c r="P59" s="2"/>
    </row>
    <row r="60" spans="1:16" s="70" customFormat="1" x14ac:dyDescent="0.2">
      <c r="A60" s="36"/>
      <c r="B60" s="28" t="s">
        <v>66</v>
      </c>
      <c r="C60" s="43" t="s">
        <v>1457</v>
      </c>
      <c r="D60" s="43"/>
      <c r="E60" s="12">
        <f>400000000</f>
        <v>400000000</v>
      </c>
      <c r="F60" s="22"/>
      <c r="G60" s="1"/>
      <c r="H60" s="1"/>
      <c r="J60" s="45">
        <v>2634.62</v>
      </c>
      <c r="K60" s="46"/>
      <c r="L60" s="46"/>
      <c r="M60" s="2"/>
      <c r="N60" s="2"/>
      <c r="O60" s="1"/>
      <c r="P60" s="2"/>
    </row>
    <row r="61" spans="1:16" s="70" customFormat="1" ht="15" x14ac:dyDescent="0.25">
      <c r="A61" s="36"/>
      <c r="B61" s="28"/>
      <c r="C61" s="44" t="s">
        <v>1541</v>
      </c>
      <c r="D61" s="43"/>
      <c r="E61" s="7">
        <f>+E60+E58+E59</f>
        <v>499659912.2899999</v>
      </c>
      <c r="F61" s="22"/>
      <c r="G61" s="1"/>
      <c r="H61" s="1"/>
      <c r="I61" s="103" t="s">
        <v>69</v>
      </c>
      <c r="J61" s="45">
        <v>-121.71</v>
      </c>
      <c r="K61" s="46"/>
      <c r="L61" s="46"/>
      <c r="M61" s="2"/>
      <c r="N61" s="2"/>
      <c r="O61" s="1"/>
      <c r="P61" s="2"/>
    </row>
    <row r="62" spans="1:16" s="70" customFormat="1" ht="15" x14ac:dyDescent="0.25">
      <c r="A62" s="24"/>
      <c r="B62" s="1"/>
      <c r="C62" s="44" t="s">
        <v>1510</v>
      </c>
      <c r="D62" s="25"/>
      <c r="E62" s="156">
        <f>+J40-E59+I36-J36</f>
        <v>340087.71000000276</v>
      </c>
      <c r="F62" s="2"/>
      <c r="G62" s="1"/>
      <c r="H62" s="1"/>
      <c r="I62" s="35">
        <v>1</v>
      </c>
      <c r="J62" s="45">
        <v>108.57</v>
      </c>
      <c r="K62" s="46">
        <f>+J63-D65</f>
        <v>0</v>
      </c>
      <c r="L62" s="2"/>
      <c r="M62" s="2"/>
      <c r="N62" s="2"/>
      <c r="O62" s="1"/>
      <c r="P62" s="2"/>
    </row>
    <row r="63" spans="1:16" s="70" customFormat="1" ht="12.75" customHeight="1" x14ac:dyDescent="0.2">
      <c r="A63" s="24"/>
      <c r="B63" s="1"/>
      <c r="C63" s="56"/>
      <c r="D63" s="56"/>
      <c r="E63" s="104"/>
      <c r="F63" s="2"/>
      <c r="G63" s="166"/>
      <c r="H63" s="166"/>
      <c r="J63" s="49">
        <f>SUM(J60:J62)</f>
        <v>2621.48</v>
      </c>
      <c r="K63" s="46"/>
      <c r="L63" s="46"/>
      <c r="M63" s="124"/>
      <c r="N63" s="124"/>
      <c r="O63" s="1"/>
      <c r="P63" s="2"/>
    </row>
    <row r="64" spans="1:16" s="70" customFormat="1" ht="12.75" customHeight="1" x14ac:dyDescent="0.2">
      <c r="A64" s="24"/>
      <c r="B64" s="1"/>
      <c r="C64" s="78" t="s">
        <v>575</v>
      </c>
      <c r="D64" s="48" t="s">
        <v>576</v>
      </c>
      <c r="E64" s="104"/>
      <c r="F64" s="2"/>
      <c r="G64" s="168"/>
      <c r="H64" s="168"/>
      <c r="I64" s="167"/>
      <c r="J64" s="167"/>
      <c r="K64" s="168"/>
      <c r="L64" s="124"/>
      <c r="M64" s="124"/>
      <c r="N64" s="124"/>
      <c r="O64" s="124"/>
      <c r="P64" s="2"/>
    </row>
    <row r="65" spans="1:19" s="70" customFormat="1" ht="12.75" customHeight="1" x14ac:dyDescent="0.2">
      <c r="A65" s="24"/>
      <c r="B65" s="1"/>
      <c r="C65" s="47" t="s">
        <v>570</v>
      </c>
      <c r="D65" s="111">
        <v>2621.48</v>
      </c>
      <c r="E65" s="104"/>
      <c r="F65" s="2"/>
      <c r="G65" s="168"/>
      <c r="H65" s="168"/>
      <c r="I65" s="110" t="s">
        <v>581</v>
      </c>
      <c r="J65" s="167"/>
      <c r="K65" s="168"/>
      <c r="L65" s="124"/>
      <c r="M65" s="124"/>
      <c r="N65" s="124"/>
      <c r="O65" s="124"/>
      <c r="P65" s="124"/>
    </row>
    <row r="66" spans="1:19" s="70" customFormat="1" ht="12.75" customHeight="1" x14ac:dyDescent="0.2">
      <c r="A66" s="24"/>
      <c r="B66" s="1"/>
      <c r="C66" s="47" t="s">
        <v>931</v>
      </c>
      <c r="D66" s="111">
        <v>221.96</v>
      </c>
      <c r="E66" s="104"/>
      <c r="F66" s="2"/>
      <c r="G66" s="168"/>
      <c r="H66" s="168"/>
      <c r="I66" s="110" t="s">
        <v>580</v>
      </c>
      <c r="J66" s="167"/>
      <c r="K66" s="168"/>
      <c r="L66" s="124"/>
      <c r="M66" s="124"/>
      <c r="N66" s="124"/>
      <c r="O66" s="124"/>
      <c r="P66" s="124"/>
    </row>
    <row r="67" spans="1:19" s="70" customFormat="1" ht="12.75" customHeight="1" x14ac:dyDescent="0.2">
      <c r="A67" s="24"/>
      <c r="B67" s="1"/>
      <c r="C67" s="47" t="s">
        <v>572</v>
      </c>
      <c r="D67" s="111">
        <f>+D123/100000</f>
        <v>941.79380939999999</v>
      </c>
      <c r="E67" s="104"/>
      <c r="F67" s="2"/>
      <c r="G67" s="166"/>
      <c r="H67" s="166"/>
      <c r="I67" s="90" t="s">
        <v>587</v>
      </c>
      <c r="J67" s="167"/>
      <c r="K67" s="168"/>
      <c r="L67" s="124"/>
      <c r="M67" s="124"/>
      <c r="N67" s="124"/>
      <c r="O67" s="124"/>
      <c r="P67" s="124"/>
    </row>
    <row r="68" spans="1:19" s="70" customFormat="1" ht="12.75" customHeight="1" x14ac:dyDescent="0.2">
      <c r="A68" s="24"/>
      <c r="B68" s="1"/>
      <c r="C68" s="108" t="s">
        <v>578</v>
      </c>
      <c r="D68" s="48">
        <f>SUM(D65:D67)</f>
        <v>3785.2338094000002</v>
      </c>
      <c r="E68" s="104"/>
      <c r="F68" s="2"/>
      <c r="G68" s="30"/>
      <c r="H68" s="30"/>
      <c r="I68" s="2"/>
      <c r="J68" s="13"/>
      <c r="K68" s="13"/>
      <c r="L68" s="2"/>
      <c r="M68" s="2"/>
      <c r="N68" s="2"/>
      <c r="O68" s="124"/>
      <c r="P68" s="124"/>
    </row>
    <row r="69" spans="1:19" s="70" customFormat="1" ht="12.75" customHeight="1" x14ac:dyDescent="0.2">
      <c r="A69" s="24"/>
      <c r="B69" s="1"/>
      <c r="C69" s="47"/>
      <c r="D69" s="107"/>
      <c r="E69" s="104"/>
      <c r="F69" s="2"/>
      <c r="G69" s="30"/>
      <c r="H69" s="30"/>
      <c r="I69" s="2"/>
      <c r="O69" s="2"/>
      <c r="P69" s="124"/>
    </row>
    <row r="70" spans="1:19" s="70" customFormat="1" ht="12.75" customHeight="1" x14ac:dyDescent="0.2">
      <c r="A70" s="24"/>
      <c r="B70" s="1"/>
      <c r="C70" s="47" t="s">
        <v>932</v>
      </c>
      <c r="D70" s="111">
        <v>681.24</v>
      </c>
      <c r="E70" s="104"/>
      <c r="F70" s="2"/>
      <c r="G70" s="30"/>
      <c r="H70" s="30"/>
      <c r="I70" s="110" t="s">
        <v>581</v>
      </c>
      <c r="P70" s="2"/>
    </row>
    <row r="71" spans="1:19" s="70" customFormat="1" ht="12.75" customHeight="1" x14ac:dyDescent="0.2">
      <c r="A71" s="24"/>
      <c r="B71" s="1"/>
      <c r="C71" s="136" t="s">
        <v>1142</v>
      </c>
      <c r="D71" s="111">
        <v>889.18</v>
      </c>
      <c r="E71" s="104"/>
      <c r="F71" s="2"/>
      <c r="G71" s="30"/>
      <c r="H71" s="30"/>
      <c r="I71" s="110" t="s">
        <v>581</v>
      </c>
    </row>
    <row r="72" spans="1:19" s="70" customFormat="1" ht="12.75" customHeight="1" x14ac:dyDescent="0.2">
      <c r="A72" s="24"/>
      <c r="B72" s="1"/>
      <c r="C72" s="78" t="s">
        <v>579</v>
      </c>
      <c r="D72" s="109">
        <f>D70+D71</f>
        <v>1570.42</v>
      </c>
      <c r="E72" s="104"/>
      <c r="F72" s="2"/>
      <c r="G72" s="30"/>
      <c r="H72" s="30"/>
      <c r="Q72" s="2"/>
      <c r="R72" s="2"/>
      <c r="S72" s="2"/>
    </row>
    <row r="73" spans="1:19" s="2" customFormat="1" x14ac:dyDescent="0.2">
      <c r="A73" s="24"/>
      <c r="B73" s="1"/>
      <c r="C73" s="105"/>
      <c r="D73" s="106"/>
      <c r="E73" s="104"/>
      <c r="G73" s="30"/>
      <c r="H73" s="30"/>
      <c r="I73" s="70"/>
      <c r="K73" s="221" t="str">
        <f>"FROM ( 01-03-2024 to "&amp;TEXT(A5,"dd-mm-yyyy")&amp;" )"</f>
        <v>FROM ( 01-03-2024 to 27-03-2024 )</v>
      </c>
      <c r="L73" s="221"/>
      <c r="O73" s="70"/>
      <c r="P73" s="70"/>
    </row>
    <row r="74" spans="1:19" s="2" customFormat="1" x14ac:dyDescent="0.2">
      <c r="A74" s="24"/>
      <c r="B74" s="1"/>
      <c r="C74" s="78" t="s">
        <v>577</v>
      </c>
      <c r="D74" s="109">
        <f>D65+D72</f>
        <v>4191.8999999999996</v>
      </c>
      <c r="E74" s="104"/>
      <c r="G74" s="30"/>
      <c r="H74" s="30"/>
      <c r="I74" s="70"/>
      <c r="J74" s="113"/>
      <c r="K74" s="113" t="s">
        <v>709</v>
      </c>
      <c r="L74" s="113" t="s">
        <v>710</v>
      </c>
      <c r="M74" s="113" t="s">
        <v>711</v>
      </c>
      <c r="N74" s="113" t="s">
        <v>712</v>
      </c>
      <c r="O74" s="70"/>
      <c r="P74" s="70"/>
    </row>
    <row r="75" spans="1:19" s="2" customFormat="1" x14ac:dyDescent="0.2">
      <c r="A75" s="24"/>
      <c r="B75" s="1"/>
      <c r="C75" s="56"/>
      <c r="D75" s="56"/>
      <c r="E75" s="104"/>
      <c r="G75" s="30"/>
      <c r="H75" s="30"/>
      <c r="I75" s="70"/>
      <c r="J75" s="113" t="s">
        <v>1860</v>
      </c>
      <c r="K75" s="115">
        <v>195.8</v>
      </c>
      <c r="L75" s="115">
        <v>105.74</v>
      </c>
      <c r="M75" s="115">
        <v>59.4</v>
      </c>
      <c r="N75" s="113">
        <f>+K75+M75-L75</f>
        <v>149.46000000000004</v>
      </c>
      <c r="O75" s="70"/>
      <c r="P75" s="70"/>
    </row>
    <row r="76" spans="1:19" s="2" customFormat="1" ht="38.25" x14ac:dyDescent="0.2">
      <c r="A76" s="24"/>
      <c r="B76" s="1"/>
      <c r="C76" s="79" t="str">
        <f>"Particulars ( 01-03-2024 to "&amp;TEXT(A5,"dd-mm-yyyy")&amp;" )"</f>
        <v>Particulars ( 01-03-2024 to 27-03-2024 )</v>
      </c>
      <c r="D76" s="79" t="s">
        <v>7</v>
      </c>
      <c r="E76" s="80" t="s">
        <v>73</v>
      </c>
      <c r="F76" s="80" t="s">
        <v>74</v>
      </c>
      <c r="G76" s="81" t="s">
        <v>75</v>
      </c>
      <c r="H76" s="80" t="s">
        <v>76</v>
      </c>
      <c r="I76" s="70"/>
      <c r="J76" s="113" t="s">
        <v>1861</v>
      </c>
      <c r="K76" s="115">
        <v>1882.55</v>
      </c>
      <c r="L76" s="115">
        <v>943.45</v>
      </c>
      <c r="M76" s="115">
        <v>937.18</v>
      </c>
      <c r="N76" s="113">
        <f>+K76+M76-L76</f>
        <v>1876.28</v>
      </c>
      <c r="O76" s="70"/>
      <c r="P76" s="70"/>
    </row>
    <row r="77" spans="1:19" s="2" customFormat="1" x14ac:dyDescent="0.2">
      <c r="A77" s="24"/>
      <c r="B77" s="1"/>
      <c r="C77" s="50" t="s">
        <v>444</v>
      </c>
      <c r="D77" s="55">
        <f>+K77</f>
        <v>463.26</v>
      </c>
      <c r="E77" s="55">
        <f>+IF(M77=0,0,M77)</f>
        <v>681.24</v>
      </c>
      <c r="F77" s="55">
        <f>+L77</f>
        <v>221.96</v>
      </c>
      <c r="G77" s="55">
        <f>+D77+E77-F77</f>
        <v>922.54</v>
      </c>
      <c r="H77" s="55">
        <f>1500-G77</f>
        <v>577.46</v>
      </c>
      <c r="I77" s="70">
        <f>+IF(M77=0,0,M77)</f>
        <v>681.24</v>
      </c>
      <c r="J77" s="113" t="s">
        <v>707</v>
      </c>
      <c r="K77" s="115">
        <v>463.26</v>
      </c>
      <c r="L77" s="115">
        <v>221.96</v>
      </c>
      <c r="M77" s="115">
        <v>681.24</v>
      </c>
      <c r="N77" s="113">
        <f>+K77+M77-L77</f>
        <v>922.54</v>
      </c>
      <c r="O77" s="70"/>
      <c r="P77" s="70"/>
    </row>
    <row r="78" spans="1:19" s="2" customFormat="1" x14ac:dyDescent="0.2">
      <c r="A78" s="24"/>
      <c r="B78" s="1"/>
      <c r="C78" s="50" t="s">
        <v>71</v>
      </c>
      <c r="D78" s="55">
        <f>+K75+K76</f>
        <v>2078.35</v>
      </c>
      <c r="E78" s="55">
        <f>+M75+M76</f>
        <v>996.57999999999993</v>
      </c>
      <c r="F78" s="55">
        <f>+L75+L76</f>
        <v>1049.19</v>
      </c>
      <c r="G78" s="55">
        <f>+D78+E78-F78</f>
        <v>2025.7399999999998</v>
      </c>
      <c r="H78" s="55">
        <f>1500+700+200-G78</f>
        <v>374.26000000000022</v>
      </c>
      <c r="I78" s="70"/>
      <c r="K78" s="118">
        <f>SUM(K75:K77)</f>
        <v>2541.6099999999997</v>
      </c>
      <c r="L78" s="118">
        <f>SUM(L75:L77)</f>
        <v>1271.1500000000001</v>
      </c>
      <c r="M78" s="118">
        <f>SUM(M75:M77)</f>
        <v>1677.82</v>
      </c>
      <c r="N78" s="118">
        <f>SUM(N75:N77)</f>
        <v>2948.2799999999997</v>
      </c>
      <c r="O78" s="70"/>
      <c r="P78" s="70"/>
    </row>
    <row r="79" spans="1:19" s="2" customFormat="1" x14ac:dyDescent="0.2">
      <c r="A79" s="24"/>
      <c r="B79" s="1"/>
      <c r="C79" s="14"/>
      <c r="D79" s="56"/>
      <c r="E79" s="13"/>
      <c r="G79" s="30"/>
      <c r="H79" s="30"/>
      <c r="I79" s="70"/>
      <c r="J79" s="70"/>
      <c r="K79" s="70"/>
      <c r="L79" s="70"/>
      <c r="M79" s="70"/>
      <c r="N79" s="70"/>
      <c r="O79" s="70"/>
      <c r="P79" s="70"/>
    </row>
    <row r="80" spans="1:19" s="2" customFormat="1" x14ac:dyDescent="0.2">
      <c r="A80" s="215" t="s">
        <v>80</v>
      </c>
      <c r="B80" s="216"/>
      <c r="C80" s="216"/>
      <c r="D80" s="217"/>
      <c r="E80" s="69"/>
      <c r="F80" s="70"/>
      <c r="G80" s="30"/>
      <c r="H80" s="30"/>
      <c r="I80" s="70"/>
      <c r="J80" s="70"/>
      <c r="K80" s="70"/>
      <c r="L80" s="70"/>
      <c r="M80" s="70"/>
      <c r="N80" s="70"/>
      <c r="O80" s="70"/>
      <c r="P80" s="70"/>
    </row>
    <row r="81" spans="1:16" s="2" customFormat="1" x14ac:dyDescent="0.2">
      <c r="A81" s="71" t="s">
        <v>81</v>
      </c>
      <c r="B81" s="71"/>
      <c r="C81" s="72" t="s">
        <v>82</v>
      </c>
      <c r="D81" s="73" t="s">
        <v>83</v>
      </c>
      <c r="E81" s="69"/>
      <c r="F81" s="70"/>
      <c r="G81" s="30"/>
      <c r="H81" s="30"/>
      <c r="I81" s="70"/>
      <c r="J81" s="70"/>
      <c r="K81" s="70"/>
      <c r="L81" s="70"/>
      <c r="M81" s="70"/>
      <c r="N81" s="70"/>
      <c r="O81" s="70"/>
      <c r="P81" s="70"/>
    </row>
    <row r="82" spans="1:16" s="2" customFormat="1" x14ac:dyDescent="0.2">
      <c r="A82" s="87">
        <v>45352</v>
      </c>
      <c r="B82" s="120" t="s">
        <v>6</v>
      </c>
      <c r="C82" s="75" t="s">
        <v>594</v>
      </c>
      <c r="D82" s="88">
        <v>2143144</v>
      </c>
      <c r="G82" s="30"/>
      <c r="H82" s="30"/>
      <c r="P82" s="70"/>
    </row>
    <row r="83" spans="1:16" s="2" customFormat="1" x14ac:dyDescent="0.2">
      <c r="A83" s="87">
        <v>45352</v>
      </c>
      <c r="B83" s="120" t="s">
        <v>6</v>
      </c>
      <c r="C83" s="75" t="s">
        <v>271</v>
      </c>
      <c r="D83" s="88">
        <v>1493463</v>
      </c>
      <c r="G83" s="30"/>
      <c r="H83" s="30"/>
      <c r="P83" s="70"/>
    </row>
    <row r="84" spans="1:16" s="2" customFormat="1" x14ac:dyDescent="0.2">
      <c r="A84" s="87">
        <v>45354</v>
      </c>
      <c r="B84" s="120" t="s">
        <v>6</v>
      </c>
      <c r="C84" s="75" t="s">
        <v>270</v>
      </c>
      <c r="D84" s="88">
        <v>187299</v>
      </c>
      <c r="G84" s="30"/>
      <c r="H84" s="30"/>
      <c r="P84" s="70"/>
    </row>
    <row r="85" spans="1:16" s="2" customFormat="1" x14ac:dyDescent="0.2">
      <c r="A85" s="87">
        <v>45356</v>
      </c>
      <c r="B85" s="120" t="s">
        <v>6</v>
      </c>
      <c r="C85" s="75" t="s">
        <v>84</v>
      </c>
      <c r="D85" s="88">
        <v>3111466</v>
      </c>
      <c r="G85" s="30"/>
      <c r="H85" s="30"/>
      <c r="P85" s="70"/>
    </row>
    <row r="86" spans="1:16" s="2" customFormat="1" x14ac:dyDescent="0.2">
      <c r="A86" s="87">
        <v>45356</v>
      </c>
      <c r="B86" s="120" t="s">
        <v>6</v>
      </c>
      <c r="C86" s="75" t="s">
        <v>271</v>
      </c>
      <c r="D86" s="88">
        <v>1369091</v>
      </c>
      <c r="G86" s="30"/>
      <c r="H86" s="30"/>
      <c r="P86" s="70"/>
    </row>
    <row r="87" spans="1:16" s="2" customFormat="1" x14ac:dyDescent="0.2">
      <c r="A87" s="87">
        <v>45357</v>
      </c>
      <c r="B87" s="120" t="s">
        <v>6</v>
      </c>
      <c r="C87" s="75" t="s">
        <v>271</v>
      </c>
      <c r="D87" s="88">
        <v>1393433</v>
      </c>
      <c r="G87" s="30"/>
      <c r="H87" s="30"/>
      <c r="P87" s="70"/>
    </row>
    <row r="88" spans="1:16" s="2" customFormat="1" x14ac:dyDescent="0.2">
      <c r="A88" s="87">
        <v>45359</v>
      </c>
      <c r="B88" s="120" t="s">
        <v>6</v>
      </c>
      <c r="C88" s="75" t="s">
        <v>271</v>
      </c>
      <c r="D88" s="88">
        <v>730944</v>
      </c>
      <c r="G88" s="30"/>
      <c r="H88" s="30"/>
      <c r="P88" s="70"/>
    </row>
    <row r="89" spans="1:16" s="2" customFormat="1" x14ac:dyDescent="0.2">
      <c r="A89" s="87">
        <v>45359</v>
      </c>
      <c r="B89" s="120" t="s">
        <v>6</v>
      </c>
      <c r="C89" s="75" t="s">
        <v>18</v>
      </c>
      <c r="D89" s="88">
        <v>19228</v>
      </c>
      <c r="G89" s="30"/>
      <c r="H89" s="30"/>
      <c r="P89" s="70"/>
    </row>
    <row r="90" spans="1:16" s="2" customFormat="1" x14ac:dyDescent="0.2">
      <c r="A90" s="87">
        <v>45362</v>
      </c>
      <c r="B90" s="120" t="s">
        <v>6</v>
      </c>
      <c r="C90" s="75" t="s">
        <v>1789</v>
      </c>
      <c r="D90" s="88">
        <v>2568137</v>
      </c>
      <c r="G90" s="30"/>
      <c r="H90" s="30"/>
      <c r="P90" s="70"/>
    </row>
    <row r="91" spans="1:16" s="2" customFormat="1" x14ac:dyDescent="0.2">
      <c r="A91" s="87">
        <v>45362</v>
      </c>
      <c r="B91" s="120" t="s">
        <v>6</v>
      </c>
      <c r="C91" s="75" t="s">
        <v>85</v>
      </c>
      <c r="D91" s="88">
        <v>39949</v>
      </c>
      <c r="G91" s="30"/>
      <c r="H91" s="30"/>
      <c r="P91" s="70"/>
    </row>
    <row r="92" spans="1:16" s="2" customFormat="1" x14ac:dyDescent="0.2">
      <c r="A92" s="87">
        <v>45362</v>
      </c>
      <c r="B92" s="120" t="s">
        <v>6</v>
      </c>
      <c r="C92" s="75" t="s">
        <v>85</v>
      </c>
      <c r="D92" s="88">
        <v>219691</v>
      </c>
      <c r="G92" s="30"/>
      <c r="H92" s="30"/>
      <c r="P92" s="70"/>
    </row>
    <row r="93" spans="1:16" s="2" customFormat="1" x14ac:dyDescent="0.2">
      <c r="A93" s="87">
        <v>45363</v>
      </c>
      <c r="B93" s="120" t="s">
        <v>6</v>
      </c>
      <c r="C93" s="75" t="s">
        <v>271</v>
      </c>
      <c r="D93" s="88">
        <v>952416</v>
      </c>
      <c r="G93" s="30"/>
      <c r="H93" s="30"/>
      <c r="P93" s="70"/>
    </row>
    <row r="94" spans="1:16" s="2" customFormat="1" x14ac:dyDescent="0.2">
      <c r="A94" s="87">
        <v>45363</v>
      </c>
      <c r="B94" s="120" t="s">
        <v>6</v>
      </c>
      <c r="C94" s="75" t="s">
        <v>18</v>
      </c>
      <c r="D94" s="88">
        <v>591483</v>
      </c>
      <c r="G94" s="30"/>
      <c r="H94" s="30"/>
      <c r="P94" s="70"/>
    </row>
    <row r="95" spans="1:16" s="2" customFormat="1" x14ac:dyDescent="0.2">
      <c r="A95" s="87">
        <v>45364</v>
      </c>
      <c r="B95" s="120" t="s">
        <v>6</v>
      </c>
      <c r="C95" s="75" t="s">
        <v>85</v>
      </c>
      <c r="D95" s="88">
        <v>701638</v>
      </c>
      <c r="G95" s="30"/>
      <c r="H95" s="30"/>
      <c r="P95" s="70"/>
    </row>
    <row r="96" spans="1:16" s="2" customFormat="1" x14ac:dyDescent="0.2">
      <c r="A96" s="87">
        <v>45364</v>
      </c>
      <c r="B96" s="120" t="s">
        <v>6</v>
      </c>
      <c r="C96" s="75" t="s">
        <v>86</v>
      </c>
      <c r="D96" s="88">
        <v>1887871</v>
      </c>
      <c r="G96" s="30"/>
      <c r="H96" s="30"/>
      <c r="P96" s="70"/>
    </row>
    <row r="97" spans="1:16" s="2" customFormat="1" x14ac:dyDescent="0.2">
      <c r="A97" s="87">
        <v>45365</v>
      </c>
      <c r="B97" s="120" t="s">
        <v>6</v>
      </c>
      <c r="C97" s="75" t="s">
        <v>18</v>
      </c>
      <c r="D97" s="88">
        <v>1006330</v>
      </c>
      <c r="G97" s="30"/>
      <c r="H97" s="30"/>
      <c r="P97" s="70"/>
    </row>
    <row r="98" spans="1:16" s="2" customFormat="1" x14ac:dyDescent="0.2">
      <c r="A98" s="87">
        <v>45365</v>
      </c>
      <c r="B98" s="120" t="s">
        <v>6</v>
      </c>
      <c r="C98" s="75" t="s">
        <v>18</v>
      </c>
      <c r="D98" s="88">
        <v>5597</v>
      </c>
      <c r="G98" s="30"/>
      <c r="H98" s="30"/>
      <c r="P98" s="70"/>
    </row>
    <row r="99" spans="1:16" s="2" customFormat="1" x14ac:dyDescent="0.2">
      <c r="A99" s="87">
        <v>45366</v>
      </c>
      <c r="B99" s="120" t="s">
        <v>6</v>
      </c>
      <c r="C99" s="75" t="s">
        <v>201</v>
      </c>
      <c r="D99" s="88">
        <v>6161756</v>
      </c>
      <c r="G99" s="30"/>
      <c r="H99" s="30"/>
      <c r="P99" s="70"/>
    </row>
    <row r="100" spans="1:16" s="2" customFormat="1" x14ac:dyDescent="0.2">
      <c r="A100" s="87">
        <v>45366</v>
      </c>
      <c r="B100" s="120" t="s">
        <v>6</v>
      </c>
      <c r="C100" s="75" t="s">
        <v>1789</v>
      </c>
      <c r="D100" s="88">
        <v>7500000</v>
      </c>
      <c r="G100" s="30"/>
      <c r="H100" s="30"/>
      <c r="P100" s="70"/>
    </row>
    <row r="101" spans="1:16" s="2" customFormat="1" x14ac:dyDescent="0.2">
      <c r="A101" s="87">
        <v>45366</v>
      </c>
      <c r="B101" s="120" t="s">
        <v>6</v>
      </c>
      <c r="C101" s="75" t="s">
        <v>85</v>
      </c>
      <c r="D101" s="88">
        <v>306349</v>
      </c>
      <c r="G101" s="30"/>
      <c r="H101" s="30"/>
      <c r="P101" s="70"/>
    </row>
    <row r="102" spans="1:16" s="2" customFormat="1" x14ac:dyDescent="0.2">
      <c r="A102" s="87">
        <v>45366</v>
      </c>
      <c r="B102" s="120" t="s">
        <v>6</v>
      </c>
      <c r="C102" s="75" t="s">
        <v>85</v>
      </c>
      <c r="D102" s="88">
        <v>400000</v>
      </c>
      <c r="G102" s="30"/>
      <c r="H102" s="30"/>
      <c r="P102" s="70"/>
    </row>
    <row r="103" spans="1:16" s="2" customFormat="1" x14ac:dyDescent="0.2">
      <c r="A103" s="87">
        <v>45366</v>
      </c>
      <c r="B103" s="120" t="s">
        <v>6</v>
      </c>
      <c r="C103" s="75" t="s">
        <v>87</v>
      </c>
      <c r="D103" s="88">
        <v>4850915</v>
      </c>
      <c r="G103" s="30"/>
      <c r="H103" s="30"/>
      <c r="P103" s="70"/>
    </row>
    <row r="104" spans="1:16" s="2" customFormat="1" x14ac:dyDescent="0.2">
      <c r="A104" s="87">
        <v>45366</v>
      </c>
      <c r="B104" s="120" t="s">
        <v>6</v>
      </c>
      <c r="C104" s="75" t="s">
        <v>88</v>
      </c>
      <c r="D104" s="88">
        <v>5232207.0599999996</v>
      </c>
      <c r="G104" s="30"/>
      <c r="H104" s="30"/>
      <c r="P104" s="70"/>
    </row>
    <row r="105" spans="1:16" s="2" customFormat="1" x14ac:dyDescent="0.2">
      <c r="A105" s="87">
        <v>45366</v>
      </c>
      <c r="B105" s="120" t="s">
        <v>6</v>
      </c>
      <c r="C105" s="75" t="s">
        <v>201</v>
      </c>
      <c r="D105" s="88">
        <v>9960808.3800000008</v>
      </c>
      <c r="G105" s="30"/>
      <c r="H105" s="30"/>
      <c r="P105" s="70"/>
    </row>
    <row r="106" spans="1:16" s="2" customFormat="1" x14ac:dyDescent="0.2">
      <c r="A106" s="87">
        <v>45366</v>
      </c>
      <c r="B106" s="120" t="s">
        <v>6</v>
      </c>
      <c r="C106" s="75" t="s">
        <v>86</v>
      </c>
      <c r="D106" s="88">
        <v>7162826</v>
      </c>
      <c r="G106" s="30"/>
      <c r="H106" s="30"/>
      <c r="P106" s="70"/>
    </row>
    <row r="107" spans="1:16" s="2" customFormat="1" x14ac:dyDescent="0.2">
      <c r="A107" s="87">
        <v>45366</v>
      </c>
      <c r="B107" s="120" t="s">
        <v>6</v>
      </c>
      <c r="C107" s="75" t="s">
        <v>323</v>
      </c>
      <c r="D107" s="88">
        <v>1044131</v>
      </c>
      <c r="G107" s="30"/>
      <c r="H107" s="30"/>
      <c r="P107" s="70"/>
    </row>
    <row r="108" spans="1:16" s="2" customFormat="1" x14ac:dyDescent="0.2">
      <c r="A108" s="87">
        <v>45366</v>
      </c>
      <c r="B108" s="120" t="s">
        <v>6</v>
      </c>
      <c r="C108" s="75" t="s">
        <v>1789</v>
      </c>
      <c r="D108" s="88">
        <v>39309</v>
      </c>
      <c r="G108" s="30"/>
      <c r="H108" s="30"/>
      <c r="P108" s="70"/>
    </row>
    <row r="109" spans="1:16" s="2" customFormat="1" x14ac:dyDescent="0.2">
      <c r="A109" s="87">
        <v>45366</v>
      </c>
      <c r="B109" s="120" t="s">
        <v>6</v>
      </c>
      <c r="C109" s="75" t="s">
        <v>88</v>
      </c>
      <c r="D109" s="88">
        <v>30421</v>
      </c>
      <c r="G109" s="30"/>
      <c r="H109" s="30"/>
      <c r="P109" s="70"/>
    </row>
    <row r="110" spans="1:16" s="2" customFormat="1" x14ac:dyDescent="0.2">
      <c r="A110" s="87">
        <v>45366</v>
      </c>
      <c r="B110" s="120" t="s">
        <v>6</v>
      </c>
      <c r="C110" s="75" t="s">
        <v>270</v>
      </c>
      <c r="D110" s="88">
        <v>76786</v>
      </c>
      <c r="G110" s="30"/>
      <c r="H110" s="30"/>
      <c r="P110" s="70"/>
    </row>
    <row r="111" spans="1:16" s="2" customFormat="1" x14ac:dyDescent="0.2">
      <c r="A111" s="87">
        <v>45366</v>
      </c>
      <c r="B111" s="120" t="s">
        <v>6</v>
      </c>
      <c r="C111" s="75" t="s">
        <v>270</v>
      </c>
      <c r="D111" s="88">
        <v>30283.5</v>
      </c>
      <c r="G111" s="30"/>
      <c r="H111" s="30"/>
      <c r="P111" s="70"/>
    </row>
    <row r="112" spans="1:16" s="2" customFormat="1" x14ac:dyDescent="0.2">
      <c r="A112" s="87">
        <v>45367</v>
      </c>
      <c r="B112" s="120" t="s">
        <v>6</v>
      </c>
      <c r="C112" s="75" t="s">
        <v>594</v>
      </c>
      <c r="D112" s="88">
        <v>5010276</v>
      </c>
      <c r="G112" s="30"/>
      <c r="H112" s="30"/>
      <c r="P112" s="70"/>
    </row>
    <row r="113" spans="1:16" s="2" customFormat="1" x14ac:dyDescent="0.2">
      <c r="A113" s="87">
        <v>45369</v>
      </c>
      <c r="B113" s="120" t="s">
        <v>6</v>
      </c>
      <c r="C113" s="75" t="s">
        <v>86</v>
      </c>
      <c r="D113" s="88">
        <v>5267306</v>
      </c>
      <c r="G113" s="30"/>
      <c r="H113" s="30"/>
      <c r="P113" s="70"/>
    </row>
    <row r="114" spans="1:16" s="2" customFormat="1" x14ac:dyDescent="0.2">
      <c r="A114" s="87">
        <v>45371</v>
      </c>
      <c r="B114" s="120" t="s">
        <v>6</v>
      </c>
      <c r="C114" s="75" t="s">
        <v>1789</v>
      </c>
      <c r="D114" s="88">
        <v>7500000</v>
      </c>
      <c r="G114" s="30"/>
      <c r="H114" s="30"/>
      <c r="P114" s="70"/>
    </row>
    <row r="115" spans="1:16" s="2" customFormat="1" x14ac:dyDescent="0.2">
      <c r="A115" s="87">
        <v>45371</v>
      </c>
      <c r="B115" s="120" t="s">
        <v>6</v>
      </c>
      <c r="C115" s="75" t="s">
        <v>271</v>
      </c>
      <c r="D115" s="88">
        <v>1203166</v>
      </c>
      <c r="G115" s="30"/>
      <c r="H115" s="30"/>
      <c r="P115" s="70"/>
    </row>
    <row r="116" spans="1:16" s="2" customFormat="1" x14ac:dyDescent="0.2">
      <c r="A116" s="87">
        <v>45372</v>
      </c>
      <c r="B116" s="120" t="s">
        <v>6</v>
      </c>
      <c r="C116" s="75" t="s">
        <v>85</v>
      </c>
      <c r="D116" s="88">
        <v>408027</v>
      </c>
      <c r="G116" s="30"/>
      <c r="H116" s="30"/>
      <c r="P116" s="70"/>
    </row>
    <row r="117" spans="1:16" s="2" customFormat="1" x14ac:dyDescent="0.2">
      <c r="A117" s="87">
        <v>45373</v>
      </c>
      <c r="B117" s="120" t="s">
        <v>6</v>
      </c>
      <c r="C117" s="75" t="s">
        <v>84</v>
      </c>
      <c r="D117" s="88">
        <v>5000000</v>
      </c>
      <c r="G117" s="30"/>
      <c r="H117" s="30"/>
      <c r="P117" s="70"/>
    </row>
    <row r="118" spans="1:16" s="2" customFormat="1" x14ac:dyDescent="0.2">
      <c r="A118" s="87">
        <v>45373</v>
      </c>
      <c r="B118" s="120" t="s">
        <v>6</v>
      </c>
      <c r="C118" s="75" t="s">
        <v>270</v>
      </c>
      <c r="D118" s="88">
        <v>121900</v>
      </c>
      <c r="G118" s="30"/>
      <c r="H118" s="30"/>
      <c r="P118" s="70"/>
    </row>
    <row r="119" spans="1:16" s="2" customFormat="1" x14ac:dyDescent="0.2">
      <c r="A119" s="87">
        <v>45377</v>
      </c>
      <c r="B119" s="120" t="s">
        <v>6</v>
      </c>
      <c r="C119" s="75" t="s">
        <v>85</v>
      </c>
      <c r="D119" s="88">
        <v>132254</v>
      </c>
      <c r="G119" s="30"/>
      <c r="H119" s="30"/>
      <c r="P119" s="70"/>
    </row>
    <row r="120" spans="1:16" s="2" customFormat="1" x14ac:dyDescent="0.2">
      <c r="A120" s="87">
        <v>45377</v>
      </c>
      <c r="B120" s="120" t="s">
        <v>6</v>
      </c>
      <c r="C120" s="75" t="s">
        <v>201</v>
      </c>
      <c r="D120" s="88">
        <v>4334854</v>
      </c>
      <c r="G120" s="30"/>
      <c r="H120" s="30"/>
      <c r="P120" s="70"/>
    </row>
    <row r="121" spans="1:16" s="2" customFormat="1" x14ac:dyDescent="0.2">
      <c r="A121" s="87">
        <v>45377</v>
      </c>
      <c r="B121" s="120" t="s">
        <v>6</v>
      </c>
      <c r="C121" s="75" t="s">
        <v>1789</v>
      </c>
      <c r="D121" s="88">
        <v>1744249</v>
      </c>
      <c r="G121" s="30"/>
      <c r="H121" s="30"/>
      <c r="P121" s="70"/>
    </row>
    <row r="122" spans="1:16" s="2" customFormat="1" x14ac:dyDescent="0.2">
      <c r="A122" s="87">
        <v>45377</v>
      </c>
      <c r="B122" s="120" t="s">
        <v>6</v>
      </c>
      <c r="C122" s="75" t="s">
        <v>87</v>
      </c>
      <c r="D122" s="88">
        <v>2240377</v>
      </c>
      <c r="G122" s="30"/>
      <c r="H122" s="30"/>
      <c r="P122" s="70"/>
    </row>
    <row r="123" spans="1:16" s="2" customFormat="1" x14ac:dyDescent="0.2">
      <c r="A123" s="87"/>
      <c r="B123" s="74"/>
      <c r="C123" s="183" t="s">
        <v>2141</v>
      </c>
      <c r="D123" s="51">
        <f>SUM(D82:D122)</f>
        <v>94179380.939999998</v>
      </c>
      <c r="F123" s="2" t="s">
        <v>396</v>
      </c>
      <c r="G123" s="1"/>
      <c r="H123" s="1"/>
      <c r="P123" s="70"/>
    </row>
    <row r="124" spans="1:16" s="2" customFormat="1" x14ac:dyDescent="0.2">
      <c r="A124" s="24"/>
      <c r="B124" s="1"/>
      <c r="C124" s="14"/>
      <c r="D124" s="56"/>
      <c r="E124" s="13"/>
      <c r="G124" s="1"/>
      <c r="H124" s="1"/>
      <c r="I124" s="2" t="s">
        <v>396</v>
      </c>
    </row>
    <row r="125" spans="1:16" s="2" customFormat="1" x14ac:dyDescent="0.2">
      <c r="A125" s="24"/>
      <c r="B125" s="1"/>
      <c r="C125" s="218" t="s">
        <v>77</v>
      </c>
      <c r="D125" s="219"/>
      <c r="E125" s="219"/>
      <c r="F125" s="220"/>
      <c r="I125" s="2" t="s">
        <v>396</v>
      </c>
    </row>
    <row r="126" spans="1:16" s="2" customFormat="1" x14ac:dyDescent="0.2">
      <c r="A126" s="24"/>
      <c r="B126" s="1"/>
      <c r="C126" s="50"/>
      <c r="D126" s="57" t="s">
        <v>78</v>
      </c>
      <c r="E126" s="58" t="s">
        <v>79</v>
      </c>
      <c r="F126" s="57" t="s">
        <v>72</v>
      </c>
    </row>
    <row r="127" spans="1:16" s="2" customFormat="1" x14ac:dyDescent="0.2">
      <c r="A127" s="24"/>
      <c r="B127" s="1"/>
      <c r="C127" s="59" t="str">
        <f>"01-03-2024 to "&amp;TEXT(A5-2,"dd-mm-yyyy")</f>
        <v>01-03-2024 to 25-03-2024</v>
      </c>
      <c r="D127" s="60">
        <v>4053.98</v>
      </c>
      <c r="E127" s="60">
        <v>553.26</v>
      </c>
      <c r="F127" s="61">
        <f>SUM(D127:E127)</f>
        <v>4607.24</v>
      </c>
      <c r="I127" s="53"/>
    </row>
    <row r="128" spans="1:16" s="2" customFormat="1" x14ac:dyDescent="0.2">
      <c r="A128" s="24"/>
      <c r="B128" s="1"/>
      <c r="C128" s="62" t="str">
        <f>TEXT(A5-1,"dd-mm-yyyy")</f>
        <v>26-03-2024</v>
      </c>
      <c r="D128" s="60">
        <v>55.12</v>
      </c>
      <c r="E128" s="60">
        <v>14.14</v>
      </c>
      <c r="F128" s="61">
        <f>SUM(D128:E128)</f>
        <v>69.259999999999991</v>
      </c>
      <c r="G128" s="1"/>
      <c r="H128" s="1"/>
      <c r="I128" s="53"/>
    </row>
    <row r="129" spans="1:19" s="2" customFormat="1" ht="13.5" thickBot="1" x14ac:dyDescent="0.25">
      <c r="A129" s="24"/>
      <c r="B129" s="1"/>
      <c r="C129" s="63" t="str">
        <f>"01-03-2024 to "&amp;TEXT(A5-1,"dd-mm-yyyy")</f>
        <v>01-03-2024 to 26-03-2024</v>
      </c>
      <c r="D129" s="64">
        <f>SUM(D127:D128)</f>
        <v>4109.1000000000004</v>
      </c>
      <c r="E129" s="64">
        <f>SUM(E127:E128)</f>
        <v>567.4</v>
      </c>
      <c r="F129" s="64">
        <f>SUM(F127:F128)</f>
        <v>4676.5</v>
      </c>
      <c r="G129" s="1"/>
      <c r="H129" s="1"/>
      <c r="M129" s="1"/>
      <c r="N129" s="1"/>
    </row>
    <row r="130" spans="1:19" s="2" customFormat="1" ht="13.5" thickTop="1" x14ac:dyDescent="0.2">
      <c r="A130" s="24"/>
      <c r="B130" s="1"/>
      <c r="C130" s="62"/>
      <c r="D130" s="65"/>
      <c r="E130" s="66"/>
      <c r="F130" s="67"/>
      <c r="M130" s="1"/>
      <c r="N130" s="1"/>
    </row>
    <row r="131" spans="1:19" s="2" customFormat="1" x14ac:dyDescent="0.2">
      <c r="A131" s="24"/>
      <c r="B131" s="1"/>
      <c r="C131" s="62" t="str">
        <f>"01-04-2023 to " &amp;C128</f>
        <v>01-04-2023 to 26-03-2024</v>
      </c>
      <c r="D131" s="68">
        <f>+D129+41127.88</f>
        <v>45236.979999999996</v>
      </c>
      <c r="E131" s="68">
        <f>+E129+5179.64</f>
        <v>5747.04</v>
      </c>
      <c r="F131" s="68">
        <f>+F129+46316.49</f>
        <v>50992.99</v>
      </c>
      <c r="G131" s="1"/>
      <c r="H131" s="1"/>
      <c r="M131" s="1"/>
      <c r="N131" s="1"/>
    </row>
    <row r="132" spans="1:19" s="2" customFormat="1" x14ac:dyDescent="0.2">
      <c r="A132" s="24"/>
      <c r="B132" s="1"/>
      <c r="C132" s="52"/>
      <c r="D132" s="85"/>
      <c r="E132" s="53"/>
      <c r="F132" s="53"/>
      <c r="G132" s="1"/>
      <c r="H132" s="1"/>
      <c r="M132" s="1"/>
      <c r="N132" s="1"/>
    </row>
    <row r="133" spans="1:19" s="2" customFormat="1" x14ac:dyDescent="0.2">
      <c r="A133" s="24"/>
      <c r="B133" s="1"/>
      <c r="C133" s="52"/>
      <c r="D133" s="85"/>
      <c r="E133" s="53"/>
      <c r="F133" s="53"/>
      <c r="G133" s="1"/>
      <c r="H133" s="1"/>
      <c r="M133" s="1"/>
      <c r="N133" s="1"/>
    </row>
    <row r="134" spans="1:19" s="2" customFormat="1" x14ac:dyDescent="0.2">
      <c r="A134" s="24"/>
      <c r="B134" s="1"/>
      <c r="C134" s="52"/>
      <c r="D134" s="85"/>
      <c r="E134" s="53"/>
      <c r="F134" s="53"/>
      <c r="G134" s="1"/>
      <c r="H134" s="1"/>
      <c r="M134" s="1"/>
      <c r="N134" s="1"/>
    </row>
    <row r="135" spans="1:19" s="2" customFormat="1" x14ac:dyDescent="0.2">
      <c r="A135" s="24"/>
      <c r="B135" s="1"/>
      <c r="C135" s="52"/>
      <c r="D135" s="85"/>
      <c r="E135" s="53"/>
      <c r="F135" s="53"/>
      <c r="G135" s="1"/>
      <c r="H135" s="1"/>
      <c r="M135" s="1"/>
      <c r="N135" s="1"/>
    </row>
    <row r="136" spans="1:19" s="2" customFormat="1" x14ac:dyDescent="0.2">
      <c r="A136" s="24"/>
      <c r="B136" s="1"/>
      <c r="C136" s="14"/>
      <c r="D136" s="25">
        <f>SUM(D133:D135)</f>
        <v>0</v>
      </c>
      <c r="E136" s="2">
        <f>SUM(E133:E135)</f>
        <v>0</v>
      </c>
      <c r="G136" s="1"/>
      <c r="H136" s="1"/>
      <c r="M136" s="1"/>
      <c r="N136" s="1"/>
    </row>
    <row r="137" spans="1:19" s="2" customFormat="1" x14ac:dyDescent="0.2">
      <c r="A137" s="24"/>
      <c r="B137" s="1"/>
      <c r="C137" s="14"/>
      <c r="D137" s="25"/>
      <c r="G137" s="1"/>
      <c r="H137" s="1"/>
      <c r="M137" s="1"/>
      <c r="N137" s="1"/>
    </row>
    <row r="138" spans="1:19" s="2" customFormat="1" x14ac:dyDescent="0.2">
      <c r="A138" s="24"/>
      <c r="B138" s="1"/>
      <c r="C138" s="14"/>
      <c r="D138" s="25"/>
      <c r="G138" s="1"/>
      <c r="H138" s="1"/>
      <c r="M138" s="1"/>
      <c r="N138" s="1"/>
    </row>
    <row r="139" spans="1:19" s="2" customFormat="1" x14ac:dyDescent="0.2">
      <c r="A139" s="24"/>
      <c r="B139" s="1"/>
      <c r="C139" s="14"/>
      <c r="D139" s="25"/>
      <c r="G139" s="1"/>
      <c r="H139" s="1"/>
      <c r="M139" s="1"/>
      <c r="N139" s="1"/>
    </row>
    <row r="140" spans="1:19" s="2" customFormat="1" x14ac:dyDescent="0.2">
      <c r="A140" s="24"/>
      <c r="B140" s="1"/>
      <c r="C140" s="14"/>
      <c r="D140" s="25"/>
      <c r="G140" s="1"/>
      <c r="H140" s="1"/>
      <c r="M140" s="1"/>
      <c r="N140" s="1"/>
    </row>
    <row r="141" spans="1:19" s="2" customFormat="1" x14ac:dyDescent="0.2">
      <c r="A141" s="24"/>
      <c r="B141" s="1"/>
      <c r="C141" s="14"/>
      <c r="D141" s="25"/>
      <c r="G141" s="1"/>
      <c r="H141" s="1"/>
      <c r="M141" s="1"/>
      <c r="N141" s="1"/>
    </row>
    <row r="142" spans="1:19" s="2" customFormat="1" x14ac:dyDescent="0.2">
      <c r="A142" s="24"/>
      <c r="B142" s="1"/>
      <c r="C142" s="14"/>
      <c r="D142" s="25"/>
      <c r="G142" s="1"/>
      <c r="H142" s="1"/>
      <c r="M142" s="1"/>
      <c r="N142" s="1"/>
    </row>
    <row r="143" spans="1:19" s="2" customFormat="1" x14ac:dyDescent="0.2">
      <c r="A143" s="24"/>
      <c r="B143" s="1"/>
      <c r="C143" s="14"/>
      <c r="D143" s="25"/>
      <c r="G143" s="1"/>
      <c r="H143" s="1"/>
      <c r="M143" s="1"/>
      <c r="N143" s="1"/>
      <c r="Q143" s="1"/>
      <c r="R143" s="1"/>
      <c r="S143" s="1"/>
    </row>
    <row r="144" spans="1:19" x14ac:dyDescent="0.2">
      <c r="J144" s="2"/>
      <c r="K144" s="2"/>
      <c r="L144" s="2"/>
      <c r="O144" s="2"/>
      <c r="P144" s="2"/>
      <c r="Q144" s="2"/>
      <c r="R144" s="2"/>
      <c r="S144" s="2"/>
    </row>
    <row r="145" spans="1:19" s="2" customFormat="1" x14ac:dyDescent="0.2">
      <c r="A145" s="24"/>
      <c r="B145" s="1"/>
      <c r="C145" s="14"/>
      <c r="D145" s="25"/>
      <c r="G145" s="1"/>
      <c r="H145" s="1"/>
      <c r="M145" s="1"/>
      <c r="N145" s="1"/>
      <c r="Q145" s="1"/>
      <c r="R145" s="1"/>
      <c r="S145" s="1"/>
    </row>
    <row r="146" spans="1:19" x14ac:dyDescent="0.2">
      <c r="J146" s="2"/>
      <c r="K146" s="2"/>
      <c r="L146" s="2"/>
      <c r="O146" s="2"/>
      <c r="P146" s="2"/>
    </row>
    <row r="147" spans="1:19" x14ac:dyDescent="0.2">
      <c r="J147" s="2"/>
      <c r="K147" s="2"/>
      <c r="L147" s="2"/>
      <c r="O147" s="2"/>
      <c r="P147" s="2"/>
    </row>
    <row r="148" spans="1:19" x14ac:dyDescent="0.2">
      <c r="J148" s="2"/>
      <c r="K148" s="2"/>
      <c r="L148" s="2"/>
      <c r="O148" s="2"/>
      <c r="P148" s="2"/>
    </row>
    <row r="149" spans="1:19" x14ac:dyDescent="0.2">
      <c r="J149" s="2"/>
      <c r="K149" s="2"/>
      <c r="L149" s="2"/>
      <c r="O149" s="2"/>
      <c r="P149" s="2"/>
    </row>
    <row r="150" spans="1:19" x14ac:dyDescent="0.2">
      <c r="O150" s="2"/>
      <c r="P150" s="2"/>
    </row>
    <row r="151" spans="1:19" x14ac:dyDescent="0.2">
      <c r="J151" s="2"/>
      <c r="K151" s="2"/>
      <c r="L151" s="2"/>
      <c r="M151" s="2"/>
      <c r="N151" s="2"/>
      <c r="O151" s="2"/>
      <c r="P151" s="2"/>
    </row>
    <row r="152" spans="1:19" x14ac:dyDescent="0.2">
      <c r="O152" s="2"/>
      <c r="P152" s="2"/>
    </row>
    <row r="153" spans="1:19" x14ac:dyDescent="0.2">
      <c r="G153" s="54"/>
      <c r="H153" s="54"/>
      <c r="O153" s="2"/>
      <c r="P153" s="2"/>
    </row>
    <row r="154" spans="1:19" x14ac:dyDescent="0.2">
      <c r="G154" s="54"/>
      <c r="H154" s="54"/>
      <c r="O154" s="2"/>
      <c r="P154" s="2"/>
    </row>
    <row r="155" spans="1:19" x14ac:dyDescent="0.2">
      <c r="G155" s="54"/>
      <c r="H155" s="54"/>
      <c r="O155" s="2"/>
      <c r="P155" s="2"/>
    </row>
    <row r="156" spans="1:19" x14ac:dyDescent="0.2">
      <c r="G156" s="54"/>
      <c r="H156" s="54"/>
      <c r="I156" s="2" t="s">
        <v>396</v>
      </c>
      <c r="O156" s="2"/>
      <c r="P156" s="2"/>
    </row>
    <row r="157" spans="1:19" x14ac:dyDescent="0.2">
      <c r="G157" s="54"/>
      <c r="H157" s="54"/>
      <c r="I157" s="53"/>
      <c r="J157" s="2"/>
      <c r="K157" s="2"/>
      <c r="L157" s="2"/>
      <c r="M157" s="2"/>
      <c r="N157" s="2"/>
      <c r="P157" s="2"/>
    </row>
    <row r="158" spans="1:19" x14ac:dyDescent="0.2">
      <c r="G158" s="54"/>
      <c r="H158" s="54"/>
      <c r="I158" s="53" t="s">
        <v>396</v>
      </c>
      <c r="O158" s="2"/>
      <c r="P158" s="2"/>
    </row>
    <row r="159" spans="1:19" x14ac:dyDescent="0.2">
      <c r="G159" s="54"/>
      <c r="H159" s="54"/>
      <c r="I159" s="53" t="s">
        <v>396</v>
      </c>
      <c r="K159" s="42"/>
      <c r="P159" s="2"/>
    </row>
    <row r="160" spans="1:19" x14ac:dyDescent="0.2">
      <c r="G160" s="54"/>
      <c r="H160" s="54"/>
      <c r="I160" s="53"/>
      <c r="J160" s="101"/>
      <c r="P160" s="2"/>
    </row>
    <row r="161" spans="7:16" x14ac:dyDescent="0.2">
      <c r="G161" s="54"/>
      <c r="H161" s="54"/>
      <c r="I161" s="53"/>
    </row>
    <row r="162" spans="7:16" x14ac:dyDescent="0.2">
      <c r="G162" s="54"/>
      <c r="H162" s="54"/>
      <c r="I162" s="53"/>
      <c r="P162" s="2"/>
    </row>
    <row r="163" spans="7:16" x14ac:dyDescent="0.2">
      <c r="G163" s="54"/>
      <c r="H163" s="54"/>
      <c r="I163" s="53"/>
    </row>
  </sheetData>
  <sheetProtection insertRows="0"/>
  <mergeCells count="8">
    <mergeCell ref="K73:L73"/>
    <mergeCell ref="A80:D80"/>
    <mergeCell ref="C125:F125"/>
    <mergeCell ref="A1:H1"/>
    <mergeCell ref="A3:F3"/>
    <mergeCell ref="A9:F9"/>
    <mergeCell ref="A26:F26"/>
    <mergeCell ref="A39:F39"/>
  </mergeCells>
  <conditionalFormatting sqref="H77:H78">
    <cfRule type="cellIs" dxfId="9" priority="1" operator="lessThan">
      <formula>0</formula>
    </cfRule>
  </conditionalFormatting>
  <conditionalFormatting sqref="C41">
    <cfRule type="duplicateValues" dxfId="8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1-000000000000}">
  <sheetPr codeName="Sheet582">
    <pageSetUpPr fitToPage="1"/>
  </sheetPr>
  <dimension ref="A1:S195"/>
  <sheetViews>
    <sheetView topLeftCell="A67" zoomScaleNormal="100" workbookViewId="0">
      <selection activeCell="E76" sqref="E76"/>
    </sheetView>
  </sheetViews>
  <sheetFormatPr defaultColWidth="9.140625" defaultRowHeight="12.75" x14ac:dyDescent="0.2"/>
  <cols>
    <col min="1" max="1" width="10.28515625" style="24" bestFit="1" customWidth="1"/>
    <col min="2" max="2" width="4.28515625" style="1" customWidth="1"/>
    <col min="3" max="3" width="50.5703125" style="14" bestFit="1" customWidth="1"/>
    <col min="4" max="4" width="19.85546875" style="25" bestFit="1" customWidth="1"/>
    <col min="5" max="5" width="16.28515625" style="2" bestFit="1" customWidth="1"/>
    <col min="6" max="6" width="15.28515625" style="2" bestFit="1" customWidth="1"/>
    <col min="7" max="7" width="13" style="1" bestFit="1" customWidth="1"/>
    <col min="8" max="8" width="12.85546875" style="1" customWidth="1"/>
    <col min="9" max="9" width="25" style="2" bestFit="1" customWidth="1"/>
    <col min="10" max="10" width="21.7109375" style="1" bestFit="1" customWidth="1"/>
    <col min="11" max="11" width="17" style="1" bestFit="1" customWidth="1"/>
    <col min="12" max="12" width="19.7109375" style="1" bestFit="1" customWidth="1"/>
    <col min="13" max="13" width="13.7109375" style="1" bestFit="1" customWidth="1"/>
    <col min="14" max="14" width="17.5703125" style="1" bestFit="1" customWidth="1"/>
    <col min="15" max="15" width="14.7109375" style="1" bestFit="1" customWidth="1"/>
    <col min="16" max="16" width="14.5703125" style="1" bestFit="1" customWidth="1"/>
    <col min="17" max="17" width="9.140625" style="1"/>
    <col min="18" max="18" width="15.5703125" style="1" bestFit="1" customWidth="1"/>
    <col min="19" max="16384" width="9.140625" style="1"/>
  </cols>
  <sheetData>
    <row r="1" spans="1:11" ht="20.25" customHeight="1" x14ac:dyDescent="0.4">
      <c r="A1" s="212" t="s">
        <v>2280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1" ht="12.75" customHeight="1" x14ac:dyDescent="0.4">
      <c r="I2" s="112"/>
      <c r="J2" s="112"/>
    </row>
    <row r="3" spans="1:11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1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1" s="2" customFormat="1" ht="14.25" customHeight="1" x14ac:dyDescent="0.4">
      <c r="A5" s="89">
        <v>45379</v>
      </c>
      <c r="B5" s="9" t="s">
        <v>6</v>
      </c>
      <c r="C5" s="10" t="s">
        <v>7</v>
      </c>
      <c r="D5" s="11"/>
      <c r="E5" s="12">
        <v>98894.84</v>
      </c>
      <c r="F5" s="12"/>
      <c r="G5" s="1"/>
      <c r="H5" s="1"/>
      <c r="I5" s="112"/>
      <c r="J5" s="112"/>
    </row>
    <row r="6" spans="1:11" s="2" customFormat="1" ht="12.75" customHeight="1" x14ac:dyDescent="0.2">
      <c r="D6" s="15" t="s">
        <v>8</v>
      </c>
      <c r="E6" s="16">
        <f>SUM(E5:E5)</f>
        <v>98894.84</v>
      </c>
      <c r="F6" s="16">
        <f>+F5</f>
        <v>0</v>
      </c>
      <c r="G6" s="1"/>
      <c r="H6" s="1"/>
      <c r="I6" s="13" t="s">
        <v>1582</v>
      </c>
      <c r="J6" s="13" t="s">
        <v>1583</v>
      </c>
    </row>
    <row r="7" spans="1:11" s="2" customFormat="1" ht="12.75" customHeight="1" x14ac:dyDescent="0.2">
      <c r="A7" s="17"/>
      <c r="B7" s="18"/>
      <c r="C7" s="19" t="s">
        <v>9</v>
      </c>
      <c r="D7" s="20"/>
      <c r="E7" s="21">
        <f>+E6-F6</f>
        <v>98894.84</v>
      </c>
      <c r="F7" s="22"/>
      <c r="G7" s="23"/>
      <c r="H7" s="23"/>
      <c r="I7" s="2">
        <v>1513543</v>
      </c>
      <c r="J7" s="2">
        <v>0</v>
      </c>
      <c r="K7" s="176">
        <f>I7-J7</f>
        <v>1513543</v>
      </c>
    </row>
    <row r="8" spans="1:11" ht="11.25" customHeight="1" x14ac:dyDescent="0.4">
      <c r="I8" s="112"/>
      <c r="J8" s="112"/>
    </row>
    <row r="9" spans="1:11" ht="18" customHeight="1" x14ac:dyDescent="0.4">
      <c r="A9" s="213" t="s">
        <v>2103</v>
      </c>
      <c r="B9" s="213"/>
      <c r="C9" s="213"/>
      <c r="D9" s="213"/>
      <c r="E9" s="213"/>
      <c r="F9" s="213"/>
      <c r="I9" s="112"/>
      <c r="J9" s="112"/>
    </row>
    <row r="10" spans="1:11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I10" s="112"/>
      <c r="J10" s="112"/>
    </row>
    <row r="11" spans="1:11" ht="15" customHeight="1" x14ac:dyDescent="0.4">
      <c r="A11" s="204">
        <v>45379</v>
      </c>
      <c r="B11" s="205" t="s">
        <v>6</v>
      </c>
      <c r="C11" s="206" t="s">
        <v>7</v>
      </c>
      <c r="D11" s="122"/>
      <c r="E11" s="203">
        <v>5801703.6199999992</v>
      </c>
      <c r="F11" s="200"/>
      <c r="I11" s="112"/>
      <c r="J11" s="112"/>
    </row>
    <row r="12" spans="1:11" ht="15.75" customHeight="1" x14ac:dyDescent="0.4">
      <c r="A12" s="202">
        <v>45379</v>
      </c>
      <c r="B12" s="199" t="s">
        <v>6</v>
      </c>
      <c r="C12" s="163" t="s">
        <v>2143</v>
      </c>
      <c r="D12" s="11" t="s">
        <v>13</v>
      </c>
      <c r="E12" s="198">
        <v>4243871.2</v>
      </c>
      <c r="F12" s="164"/>
      <c r="I12" s="112"/>
      <c r="J12" s="112"/>
    </row>
    <row r="13" spans="1:11" ht="15.75" customHeight="1" x14ac:dyDescent="0.4">
      <c r="A13" s="202">
        <v>45379</v>
      </c>
      <c r="B13" s="199" t="s">
        <v>11</v>
      </c>
      <c r="C13" s="163" t="s">
        <v>1091</v>
      </c>
      <c r="D13" s="11" t="s">
        <v>29</v>
      </c>
      <c r="E13" s="198"/>
      <c r="F13" s="164">
        <v>2360</v>
      </c>
      <c r="I13" s="112"/>
      <c r="J13" s="112"/>
    </row>
    <row r="14" spans="1:11" ht="15.75" customHeight="1" x14ac:dyDescent="0.4">
      <c r="A14" s="202">
        <v>45379</v>
      </c>
      <c r="B14" s="199" t="s">
        <v>11</v>
      </c>
      <c r="C14" s="163" t="s">
        <v>1492</v>
      </c>
      <c r="D14" s="11" t="s">
        <v>29</v>
      </c>
      <c r="E14" s="198"/>
      <c r="F14" s="164">
        <v>18801</v>
      </c>
      <c r="I14" s="112"/>
      <c r="J14" s="112"/>
    </row>
    <row r="15" spans="1:11" ht="15.75" customHeight="1" x14ac:dyDescent="0.4">
      <c r="A15" s="202">
        <v>45379</v>
      </c>
      <c r="B15" s="199" t="s">
        <v>11</v>
      </c>
      <c r="C15" s="163" t="s">
        <v>2190</v>
      </c>
      <c r="D15" s="11" t="s">
        <v>29</v>
      </c>
      <c r="E15" s="198"/>
      <c r="F15" s="164">
        <v>130950</v>
      </c>
      <c r="I15" s="112"/>
      <c r="J15" s="112"/>
    </row>
    <row r="16" spans="1:11" ht="15.75" customHeight="1" x14ac:dyDescent="0.4">
      <c r="A16" s="202">
        <v>45379</v>
      </c>
      <c r="B16" s="199" t="s">
        <v>11</v>
      </c>
      <c r="C16" s="163" t="s">
        <v>2137</v>
      </c>
      <c r="D16" s="11" t="s">
        <v>29</v>
      </c>
      <c r="E16" s="198"/>
      <c r="F16" s="164">
        <v>29400</v>
      </c>
      <c r="I16" s="112"/>
      <c r="J16" s="112"/>
    </row>
    <row r="17" spans="1:10" ht="15.75" customHeight="1" x14ac:dyDescent="0.4">
      <c r="A17" s="202">
        <v>45379</v>
      </c>
      <c r="B17" s="199" t="s">
        <v>11</v>
      </c>
      <c r="C17" s="163" t="s">
        <v>1174</v>
      </c>
      <c r="D17" s="11" t="s">
        <v>29</v>
      </c>
      <c r="E17" s="198"/>
      <c r="F17" s="164">
        <v>106625.60000000001</v>
      </c>
      <c r="I17" s="112"/>
      <c r="J17" s="112"/>
    </row>
    <row r="18" spans="1:10" ht="15.75" customHeight="1" x14ac:dyDescent="0.4">
      <c r="A18" s="202">
        <v>45379</v>
      </c>
      <c r="B18" s="199" t="s">
        <v>11</v>
      </c>
      <c r="C18" s="163" t="s">
        <v>836</v>
      </c>
      <c r="D18" s="11" t="s">
        <v>29</v>
      </c>
      <c r="E18" s="198"/>
      <c r="F18" s="164">
        <v>995662.38</v>
      </c>
      <c r="I18" s="112"/>
      <c r="J18" s="112"/>
    </row>
    <row r="19" spans="1:10" ht="15.75" customHeight="1" x14ac:dyDescent="0.4">
      <c r="A19" s="202">
        <v>45379</v>
      </c>
      <c r="B19" s="199" t="s">
        <v>11</v>
      </c>
      <c r="C19" s="163" t="s">
        <v>34</v>
      </c>
      <c r="D19" s="11" t="s">
        <v>29</v>
      </c>
      <c r="E19" s="198"/>
      <c r="F19" s="164">
        <v>125000</v>
      </c>
      <c r="I19" s="112"/>
      <c r="J19" s="112"/>
    </row>
    <row r="20" spans="1:10" ht="15.75" customHeight="1" x14ac:dyDescent="0.4">
      <c r="A20" s="202">
        <v>45379</v>
      </c>
      <c r="B20" s="199" t="s">
        <v>11</v>
      </c>
      <c r="C20" s="163" t="s">
        <v>2281</v>
      </c>
      <c r="D20" s="11" t="s">
        <v>29</v>
      </c>
      <c r="E20" s="198"/>
      <c r="F20" s="164">
        <v>135000</v>
      </c>
      <c r="I20" s="112"/>
      <c r="J20" s="112"/>
    </row>
    <row r="21" spans="1:10" ht="15.75" customHeight="1" x14ac:dyDescent="0.4">
      <c r="A21" s="202">
        <v>45379</v>
      </c>
      <c r="B21" s="199" t="s">
        <v>11</v>
      </c>
      <c r="C21" s="163" t="s">
        <v>98</v>
      </c>
      <c r="D21" s="11" t="s">
        <v>29</v>
      </c>
      <c r="E21" s="198"/>
      <c r="F21" s="164">
        <v>5570</v>
      </c>
      <c r="I21" s="112"/>
      <c r="J21" s="112"/>
    </row>
    <row r="22" spans="1:10" ht="15.75" customHeight="1" x14ac:dyDescent="0.4">
      <c r="A22" s="202">
        <v>45379</v>
      </c>
      <c r="B22" s="199" t="s">
        <v>11</v>
      </c>
      <c r="C22" s="163" t="s">
        <v>171</v>
      </c>
      <c r="D22" s="11" t="s">
        <v>29</v>
      </c>
      <c r="E22" s="198"/>
      <c r="F22" s="164">
        <v>5427</v>
      </c>
      <c r="I22" s="112"/>
      <c r="J22" s="112"/>
    </row>
    <row r="23" spans="1:10" ht="15.75" customHeight="1" x14ac:dyDescent="0.4">
      <c r="A23" s="202">
        <v>45379</v>
      </c>
      <c r="B23" s="199" t="s">
        <v>11</v>
      </c>
      <c r="C23" s="163" t="s">
        <v>1547</v>
      </c>
      <c r="D23" s="11" t="s">
        <v>29</v>
      </c>
      <c r="E23" s="198"/>
      <c r="F23" s="164">
        <v>308925</v>
      </c>
      <c r="I23" s="112"/>
      <c r="J23" s="112"/>
    </row>
    <row r="24" spans="1:10" ht="15.75" customHeight="1" x14ac:dyDescent="0.4">
      <c r="A24" s="202">
        <v>45379</v>
      </c>
      <c r="B24" s="199" t="s">
        <v>11</v>
      </c>
      <c r="C24" s="163" t="s">
        <v>243</v>
      </c>
      <c r="D24" s="11" t="s">
        <v>29</v>
      </c>
      <c r="E24" s="198"/>
      <c r="F24" s="164">
        <v>3770.1</v>
      </c>
      <c r="I24" s="112"/>
      <c r="J24" s="112"/>
    </row>
    <row r="25" spans="1:10" ht="15.75" customHeight="1" x14ac:dyDescent="0.4">
      <c r="A25" s="202">
        <v>45379</v>
      </c>
      <c r="B25" s="199" t="s">
        <v>11</v>
      </c>
      <c r="C25" s="163" t="s">
        <v>629</v>
      </c>
      <c r="D25" s="11" t="s">
        <v>29</v>
      </c>
      <c r="E25" s="198"/>
      <c r="F25" s="164">
        <v>227150</v>
      </c>
      <c r="I25" s="112"/>
      <c r="J25" s="112"/>
    </row>
    <row r="26" spans="1:10" ht="15.75" customHeight="1" x14ac:dyDescent="0.4">
      <c r="A26" s="202">
        <v>45379</v>
      </c>
      <c r="B26" s="199" t="s">
        <v>11</v>
      </c>
      <c r="C26" s="163" t="s">
        <v>472</v>
      </c>
      <c r="D26" s="11" t="s">
        <v>29</v>
      </c>
      <c r="E26" s="198"/>
      <c r="F26" s="164">
        <v>41890</v>
      </c>
      <c r="I26" s="112"/>
      <c r="J26" s="112"/>
    </row>
    <row r="27" spans="1:10" ht="15.75" customHeight="1" x14ac:dyDescent="0.4">
      <c r="A27" s="202">
        <v>45379</v>
      </c>
      <c r="B27" s="199" t="s">
        <v>11</v>
      </c>
      <c r="C27" s="163" t="s">
        <v>2273</v>
      </c>
      <c r="D27" s="11" t="s">
        <v>29</v>
      </c>
      <c r="E27" s="198"/>
      <c r="F27" s="164">
        <v>200000</v>
      </c>
      <c r="I27" s="112"/>
      <c r="J27" s="112"/>
    </row>
    <row r="28" spans="1:10" ht="15.75" customHeight="1" x14ac:dyDescent="0.4">
      <c r="A28" s="202">
        <v>45379</v>
      </c>
      <c r="B28" s="199" t="s">
        <v>11</v>
      </c>
      <c r="C28" s="163" t="s">
        <v>944</v>
      </c>
      <c r="D28" s="11" t="s">
        <v>29</v>
      </c>
      <c r="E28" s="198"/>
      <c r="F28" s="164">
        <v>4500000</v>
      </c>
      <c r="I28" s="112"/>
      <c r="J28" s="112"/>
    </row>
    <row r="29" spans="1:10" ht="15.75" customHeight="1" x14ac:dyDescent="0.4">
      <c r="A29" s="202">
        <v>45379</v>
      </c>
      <c r="B29" s="199" t="s">
        <v>11</v>
      </c>
      <c r="C29" s="163" t="s">
        <v>1348</v>
      </c>
      <c r="D29" s="11" t="s">
        <v>29</v>
      </c>
      <c r="E29" s="198"/>
      <c r="F29" s="164">
        <v>300000</v>
      </c>
      <c r="I29" s="112"/>
      <c r="J29" s="112"/>
    </row>
    <row r="30" spans="1:10" ht="15.75" customHeight="1" x14ac:dyDescent="0.4">
      <c r="A30" s="202">
        <v>45379</v>
      </c>
      <c r="B30" s="199" t="s">
        <v>11</v>
      </c>
      <c r="C30" s="163" t="s">
        <v>124</v>
      </c>
      <c r="D30" s="11" t="s">
        <v>29</v>
      </c>
      <c r="E30" s="198"/>
      <c r="F30" s="164">
        <v>139500</v>
      </c>
      <c r="I30" s="112"/>
      <c r="J30" s="112"/>
    </row>
    <row r="31" spans="1:10" ht="15.75" customHeight="1" x14ac:dyDescent="0.4">
      <c r="A31" s="202">
        <v>45379</v>
      </c>
      <c r="B31" s="199" t="s">
        <v>11</v>
      </c>
      <c r="C31" s="163" t="s">
        <v>314</v>
      </c>
      <c r="D31" s="11" t="s">
        <v>29</v>
      </c>
      <c r="E31" s="198"/>
      <c r="F31" s="164">
        <v>47385</v>
      </c>
      <c r="I31" s="112"/>
      <c r="J31" s="112"/>
    </row>
    <row r="32" spans="1:10" ht="15.75" customHeight="1" x14ac:dyDescent="0.4">
      <c r="A32" s="202">
        <v>45379</v>
      </c>
      <c r="B32" s="199" t="s">
        <v>11</v>
      </c>
      <c r="C32" s="163" t="s">
        <v>345</v>
      </c>
      <c r="D32" s="11" t="s">
        <v>29</v>
      </c>
      <c r="E32" s="198"/>
      <c r="F32" s="164">
        <v>5167</v>
      </c>
      <c r="I32" s="112"/>
      <c r="J32" s="112"/>
    </row>
    <row r="33" spans="1:12" ht="12.75" customHeight="1" x14ac:dyDescent="0.2">
      <c r="A33" s="2"/>
      <c r="B33" s="2"/>
      <c r="C33" s="2"/>
      <c r="D33" s="11" t="s">
        <v>8</v>
      </c>
      <c r="E33" s="16">
        <f>SUM(E11:E32)</f>
        <v>10045574.82</v>
      </c>
      <c r="F33" s="16">
        <f>SUM(F12:F32)</f>
        <v>7328583.0800000001</v>
      </c>
      <c r="I33" s="13" t="s">
        <v>1582</v>
      </c>
      <c r="J33" s="13" t="s">
        <v>1583</v>
      </c>
    </row>
    <row r="34" spans="1:12" x14ac:dyDescent="0.2">
      <c r="A34" s="17"/>
      <c r="B34" s="18"/>
      <c r="C34" s="19" t="s">
        <v>9</v>
      </c>
      <c r="D34" s="20"/>
      <c r="E34" s="21">
        <f>+E33-F33</f>
        <v>2716991.74</v>
      </c>
      <c r="I34" s="2">
        <v>0</v>
      </c>
      <c r="J34" s="2">
        <v>0</v>
      </c>
    </row>
    <row r="35" spans="1:12" ht="18" customHeight="1" x14ac:dyDescent="0.25">
      <c r="A35" s="36"/>
      <c r="B35" s="28"/>
      <c r="C35" s="44"/>
      <c r="D35" s="43"/>
      <c r="E35" s="38"/>
      <c r="F35" s="22"/>
      <c r="J35" s="2"/>
    </row>
    <row r="36" spans="1:12" ht="18" customHeight="1" x14ac:dyDescent="0.4">
      <c r="A36" s="213" t="s">
        <v>2104</v>
      </c>
      <c r="B36" s="213"/>
      <c r="C36" s="213"/>
      <c r="D36" s="213"/>
      <c r="E36" s="213"/>
      <c r="F36" s="213"/>
      <c r="I36" s="112"/>
      <c r="J36" s="169">
        <f>90000000-60000000</f>
        <v>30000000</v>
      </c>
      <c r="K36" s="169" t="s">
        <v>1508</v>
      </c>
    </row>
    <row r="37" spans="1:12" ht="12.75" customHeight="1" x14ac:dyDescent="0.4">
      <c r="A37" s="3" t="s">
        <v>1</v>
      </c>
      <c r="B37" s="4" t="s">
        <v>2</v>
      </c>
      <c r="C37" s="5"/>
      <c r="D37" s="6" t="s">
        <v>3</v>
      </c>
      <c r="E37" s="7" t="s">
        <v>4</v>
      </c>
      <c r="F37" s="7" t="s">
        <v>5</v>
      </c>
      <c r="I37" s="112"/>
      <c r="J37" s="169">
        <v>21609075.780000001</v>
      </c>
      <c r="K37" s="169" t="s">
        <v>1509</v>
      </c>
      <c r="L37" s="124"/>
    </row>
    <row r="38" spans="1:12" s="2" customFormat="1" ht="14.25" customHeight="1" x14ac:dyDescent="0.2">
      <c r="A38" s="131">
        <v>45379</v>
      </c>
      <c r="B38" s="98" t="s">
        <v>6</v>
      </c>
      <c r="C38" s="121" t="s">
        <v>7</v>
      </c>
      <c r="D38" s="122"/>
      <c r="E38" s="13"/>
      <c r="F38" s="38">
        <v>29984549.039999995</v>
      </c>
      <c r="G38" s="1"/>
      <c r="H38" s="1"/>
      <c r="I38" s="130" t="s">
        <v>396</v>
      </c>
      <c r="J38" s="169">
        <f>+J36-J37</f>
        <v>8390924.2199999988</v>
      </c>
      <c r="K38" s="169" t="s">
        <v>712</v>
      </c>
      <c r="L38" s="165" t="s">
        <v>1512</v>
      </c>
    </row>
    <row r="39" spans="1:12" s="2" customFormat="1" ht="14.25" customHeight="1" x14ac:dyDescent="0.2">
      <c r="A39" s="127">
        <v>45378</v>
      </c>
      <c r="B39" s="9" t="s">
        <v>6</v>
      </c>
      <c r="C39" s="10" t="s">
        <v>1025</v>
      </c>
      <c r="D39" s="11" t="s">
        <v>13</v>
      </c>
      <c r="E39" s="12">
        <v>4500000</v>
      </c>
      <c r="F39" s="12"/>
      <c r="G39" s="1"/>
      <c r="H39" s="1"/>
      <c r="I39" s="130"/>
      <c r="J39" s="169"/>
      <c r="K39" s="169"/>
      <c r="L39" s="165"/>
    </row>
    <row r="40" spans="1:12" s="2" customFormat="1" ht="14.25" customHeight="1" x14ac:dyDescent="0.2">
      <c r="A40" s="127">
        <v>45378</v>
      </c>
      <c r="B40" s="9" t="s">
        <v>6</v>
      </c>
      <c r="C40" s="10" t="s">
        <v>1002</v>
      </c>
      <c r="D40" s="11" t="s">
        <v>13</v>
      </c>
      <c r="E40" s="2">
        <v>3886383.8200000003</v>
      </c>
      <c r="F40" s="12"/>
      <c r="G40" s="1"/>
      <c r="H40" s="1"/>
      <c r="I40" s="130"/>
      <c r="J40" s="169"/>
      <c r="K40" s="169"/>
      <c r="L40" s="165"/>
    </row>
    <row r="41" spans="1:12" s="2" customFormat="1" ht="14.25" customHeight="1" x14ac:dyDescent="0.2">
      <c r="A41" s="127">
        <v>45378</v>
      </c>
      <c r="B41" s="9" t="s">
        <v>11</v>
      </c>
      <c r="C41" s="10" t="s">
        <v>1091</v>
      </c>
      <c r="D41" s="11" t="s">
        <v>29</v>
      </c>
      <c r="F41" s="12">
        <v>7788</v>
      </c>
      <c r="G41" s="1"/>
      <c r="H41" s="1"/>
      <c r="I41" s="130"/>
      <c r="J41" s="169"/>
      <c r="K41" s="169"/>
      <c r="L41" s="165"/>
    </row>
    <row r="42" spans="1:12" s="2" customFormat="1" ht="14.25" customHeight="1" x14ac:dyDescent="0.2">
      <c r="A42" s="127">
        <v>45378</v>
      </c>
      <c r="B42" s="9" t="s">
        <v>11</v>
      </c>
      <c r="C42" s="10" t="s">
        <v>156</v>
      </c>
      <c r="D42" s="11" t="s">
        <v>29</v>
      </c>
      <c r="F42" s="12">
        <v>3122.5600000000004</v>
      </c>
      <c r="G42" s="1"/>
      <c r="H42" s="1"/>
      <c r="I42" s="130"/>
      <c r="J42" s="169"/>
      <c r="K42" s="169"/>
      <c r="L42" s="165"/>
    </row>
    <row r="43" spans="1:12" s="2" customFormat="1" ht="14.25" customHeight="1" x14ac:dyDescent="0.4">
      <c r="A43" s="89"/>
      <c r="D43" s="11" t="s">
        <v>8</v>
      </c>
      <c r="E43" s="16">
        <f>SUM(E39:E42)</f>
        <v>8386383.8200000003</v>
      </c>
      <c r="F43" s="16">
        <f>SUM(F38:F42)</f>
        <v>29995459.599999994</v>
      </c>
      <c r="G43" s="1"/>
      <c r="H43" s="1"/>
      <c r="J43" s="112"/>
      <c r="K43" s="153" t="s">
        <v>779</v>
      </c>
    </row>
    <row r="44" spans="1:12" s="2" customFormat="1" ht="14.25" customHeight="1" x14ac:dyDescent="0.2">
      <c r="A44" s="17"/>
      <c r="B44" s="18"/>
      <c r="C44" s="96" t="s">
        <v>9</v>
      </c>
      <c r="D44" s="20"/>
      <c r="E44" s="21">
        <f>+F43-E43</f>
        <v>21609075.779999994</v>
      </c>
      <c r="G44" s="1"/>
      <c r="H44" s="1"/>
      <c r="J44" s="40">
        <v>29984549.039999999</v>
      </c>
      <c r="K44" s="154">
        <f>J44-E44</f>
        <v>8375473.2600000054</v>
      </c>
    </row>
    <row r="45" spans="1:12" s="2" customFormat="1" ht="14.25" customHeight="1" x14ac:dyDescent="0.2">
      <c r="A45" s="17"/>
      <c r="B45" s="28" t="s">
        <v>66</v>
      </c>
      <c r="C45" s="43" t="s">
        <v>1458</v>
      </c>
      <c r="D45" s="43"/>
      <c r="E45" s="12">
        <f>30000000+60000000</f>
        <v>90000000</v>
      </c>
      <c r="F45" s="22"/>
      <c r="G45" s="1"/>
      <c r="H45" s="1"/>
      <c r="I45" s="13" t="s">
        <v>1582</v>
      </c>
      <c r="J45" s="13" t="s">
        <v>1583</v>
      </c>
    </row>
    <row r="46" spans="1:12" s="2" customFormat="1" ht="14.25" customHeight="1" x14ac:dyDescent="0.25">
      <c r="A46" s="36"/>
      <c r="B46" s="28"/>
      <c r="C46" s="44" t="s">
        <v>1541</v>
      </c>
      <c r="D46" s="43"/>
      <c r="E46" s="7">
        <f>+E44+E45</f>
        <v>111609075.78</v>
      </c>
      <c r="F46" s="22"/>
      <c r="G46" s="1"/>
      <c r="H46" s="1"/>
      <c r="I46" s="2">
        <v>99700</v>
      </c>
      <c r="J46" s="2">
        <f>5857034-1798865</f>
        <v>4058169</v>
      </c>
      <c r="K46" s="176">
        <f>I46-J46</f>
        <v>-3958469</v>
      </c>
    </row>
    <row r="47" spans="1:12" s="2" customFormat="1" ht="14.25" customHeight="1" x14ac:dyDescent="0.25">
      <c r="A47" s="36"/>
      <c r="B47" s="28"/>
      <c r="C47" s="44" t="s">
        <v>1511</v>
      </c>
      <c r="D47" s="43"/>
      <c r="E47" s="38">
        <f>I34-J34+J38</f>
        <v>8390924.2199999988</v>
      </c>
      <c r="F47" s="22"/>
      <c r="G47" s="1"/>
      <c r="H47" s="1"/>
      <c r="J47" s="130"/>
      <c r="K47" s="130"/>
    </row>
    <row r="48" spans="1:12" s="2" customFormat="1" x14ac:dyDescent="0.2">
      <c r="A48" s="24"/>
      <c r="B48" s="1"/>
      <c r="C48" s="14"/>
      <c r="D48" s="25"/>
      <c r="G48" s="1"/>
      <c r="H48" s="1"/>
      <c r="I48" s="159"/>
      <c r="J48" s="160">
        <f>100000000+300000000</f>
        <v>400000000</v>
      </c>
      <c r="K48" s="160" t="s">
        <v>1506</v>
      </c>
      <c r="L48" s="70"/>
    </row>
    <row r="49" spans="1:12" s="2" customFormat="1" ht="15" x14ac:dyDescent="0.35">
      <c r="A49" s="214" t="s">
        <v>10</v>
      </c>
      <c r="B49" s="214"/>
      <c r="C49" s="214"/>
      <c r="D49" s="214"/>
      <c r="E49" s="214"/>
      <c r="F49" s="214"/>
      <c r="G49" s="1"/>
      <c r="H49" s="1"/>
      <c r="I49" s="159"/>
      <c r="J49" s="179">
        <v>391233052.44999999</v>
      </c>
      <c r="K49" s="160" t="s">
        <v>1507</v>
      </c>
      <c r="L49" s="70" t="s">
        <v>1512</v>
      </c>
    </row>
    <row r="50" spans="1:12" s="2" customFormat="1" x14ac:dyDescent="0.2">
      <c r="A50" s="26" t="s">
        <v>1</v>
      </c>
      <c r="B50" s="27" t="s">
        <v>2</v>
      </c>
      <c r="C50" s="5"/>
      <c r="D50" s="6" t="s">
        <v>3</v>
      </c>
      <c r="E50" s="7" t="s">
        <v>4</v>
      </c>
      <c r="F50" s="7" t="s">
        <v>5</v>
      </c>
      <c r="G50" s="1"/>
      <c r="H50" s="1"/>
      <c r="I50" s="159" t="s">
        <v>1505</v>
      </c>
      <c r="J50" s="160">
        <f>+J48-J49</f>
        <v>8766947.5500000119</v>
      </c>
      <c r="K50" s="160"/>
      <c r="L50" s="70"/>
    </row>
    <row r="51" spans="1:12" s="13" customFormat="1" x14ac:dyDescent="0.2">
      <c r="A51" s="97" t="s">
        <v>2282</v>
      </c>
      <c r="B51" s="132" t="s">
        <v>11</v>
      </c>
      <c r="C51" s="207" t="s">
        <v>7</v>
      </c>
      <c r="D51" s="99"/>
      <c r="E51" s="95"/>
      <c r="F51" s="13">
        <v>95359912.289999887</v>
      </c>
      <c r="G51" s="23"/>
      <c r="H51" s="23"/>
      <c r="I51" s="160"/>
      <c r="J51" s="160"/>
      <c r="K51" s="160"/>
      <c r="L51" s="69"/>
    </row>
    <row r="52" spans="1:12" s="2" customFormat="1" x14ac:dyDescent="0.2">
      <c r="A52" s="89" t="s">
        <v>2282</v>
      </c>
      <c r="B52" s="128" t="s">
        <v>6</v>
      </c>
      <c r="C52" s="201" t="s">
        <v>149</v>
      </c>
      <c r="D52" s="11" t="s">
        <v>13</v>
      </c>
      <c r="E52" s="86">
        <v>1263</v>
      </c>
      <c r="F52" s="86"/>
      <c r="G52" s="23"/>
      <c r="H52" s="23"/>
      <c r="I52" s="159"/>
      <c r="J52" s="160"/>
      <c r="K52" s="160"/>
      <c r="L52" s="70"/>
    </row>
    <row r="53" spans="1:12" s="2" customFormat="1" x14ac:dyDescent="0.2">
      <c r="A53" s="89" t="s">
        <v>2282</v>
      </c>
      <c r="B53" s="128" t="s">
        <v>6</v>
      </c>
      <c r="C53" s="201" t="s">
        <v>27</v>
      </c>
      <c r="D53" s="11" t="s">
        <v>13</v>
      </c>
      <c r="E53" s="86">
        <v>20634600.900000002</v>
      </c>
      <c r="F53" s="86"/>
      <c r="G53" s="23"/>
      <c r="H53" s="23"/>
      <c r="I53" s="159"/>
      <c r="J53" s="160"/>
      <c r="K53" s="160"/>
      <c r="L53" s="70"/>
    </row>
    <row r="54" spans="1:12" s="2" customFormat="1" x14ac:dyDescent="0.2">
      <c r="A54" s="89" t="s">
        <v>2282</v>
      </c>
      <c r="B54" s="128" t="s">
        <v>6</v>
      </c>
      <c r="C54" s="201" t="s">
        <v>2085</v>
      </c>
      <c r="D54" s="11" t="s">
        <v>13</v>
      </c>
      <c r="E54" s="86">
        <v>300000</v>
      </c>
      <c r="F54" s="86"/>
      <c r="G54" s="23"/>
      <c r="H54" s="23"/>
      <c r="I54" s="159"/>
      <c r="J54" s="160"/>
      <c r="K54" s="160"/>
      <c r="L54" s="70"/>
    </row>
    <row r="55" spans="1:12" s="2" customFormat="1" x14ac:dyDescent="0.2">
      <c r="A55" s="89" t="s">
        <v>2282</v>
      </c>
      <c r="B55" s="128" t="s">
        <v>6</v>
      </c>
      <c r="C55" s="201" t="s">
        <v>351</v>
      </c>
      <c r="D55" s="11" t="s">
        <v>13</v>
      </c>
      <c r="E55" s="86">
        <v>900000</v>
      </c>
      <c r="F55" s="86"/>
      <c r="G55" s="23"/>
      <c r="H55" s="23"/>
      <c r="I55" s="159"/>
      <c r="J55" s="160"/>
      <c r="K55" s="160"/>
      <c r="L55" s="70"/>
    </row>
    <row r="56" spans="1:12" s="2" customFormat="1" x14ac:dyDescent="0.2">
      <c r="A56" s="89" t="s">
        <v>2282</v>
      </c>
      <c r="B56" s="128" t="s">
        <v>6</v>
      </c>
      <c r="C56" s="201" t="s">
        <v>903</v>
      </c>
      <c r="D56" s="11" t="s">
        <v>13</v>
      </c>
      <c r="E56" s="86">
        <v>538187</v>
      </c>
      <c r="F56" s="86"/>
      <c r="G56" s="23"/>
      <c r="H56" s="23"/>
      <c r="I56" s="159"/>
      <c r="J56" s="160"/>
      <c r="K56" s="160"/>
      <c r="L56" s="70"/>
    </row>
    <row r="57" spans="1:12" s="2" customFormat="1" x14ac:dyDescent="0.2">
      <c r="A57" s="89" t="s">
        <v>2282</v>
      </c>
      <c r="B57" s="128" t="s">
        <v>6</v>
      </c>
      <c r="C57" s="201" t="s">
        <v>376</v>
      </c>
      <c r="D57" s="11" t="s">
        <v>13</v>
      </c>
      <c r="E57" s="86">
        <v>14648</v>
      </c>
      <c r="F57" s="86"/>
      <c r="G57" s="23"/>
      <c r="H57" s="23"/>
      <c r="I57" s="159"/>
      <c r="J57" s="160"/>
      <c r="K57" s="160"/>
      <c r="L57" s="70"/>
    </row>
    <row r="58" spans="1:12" s="2" customFormat="1" x14ac:dyDescent="0.2">
      <c r="A58" s="89" t="s">
        <v>2282</v>
      </c>
      <c r="B58" s="128" t="s">
        <v>6</v>
      </c>
      <c r="C58" s="201" t="s">
        <v>200</v>
      </c>
      <c r="D58" s="11" t="s">
        <v>13</v>
      </c>
      <c r="E58" s="86">
        <v>158976</v>
      </c>
      <c r="F58" s="86"/>
      <c r="G58" s="23"/>
      <c r="H58" s="23"/>
      <c r="I58" s="159"/>
      <c r="J58" s="160"/>
      <c r="K58" s="160"/>
      <c r="L58" s="70"/>
    </row>
    <row r="59" spans="1:12" s="2" customFormat="1" x14ac:dyDescent="0.2">
      <c r="A59" s="89" t="s">
        <v>2282</v>
      </c>
      <c r="B59" s="128" t="s">
        <v>6</v>
      </c>
      <c r="C59" s="201" t="s">
        <v>1625</v>
      </c>
      <c r="D59" s="11" t="s">
        <v>13</v>
      </c>
      <c r="E59" s="86">
        <v>788</v>
      </c>
      <c r="F59" s="86"/>
      <c r="G59" s="23"/>
      <c r="H59" s="23"/>
      <c r="I59" s="159"/>
      <c r="J59" s="160"/>
      <c r="K59" s="160"/>
      <c r="L59" s="70"/>
    </row>
    <row r="60" spans="1:12" s="2" customFormat="1" x14ac:dyDescent="0.2">
      <c r="A60" s="89" t="s">
        <v>2282</v>
      </c>
      <c r="B60" s="128" t="s">
        <v>6</v>
      </c>
      <c r="C60" s="201" t="s">
        <v>332</v>
      </c>
      <c r="D60" s="11" t="s">
        <v>13</v>
      </c>
      <c r="E60" s="86">
        <v>5486</v>
      </c>
      <c r="F60" s="86"/>
      <c r="G60" s="23"/>
      <c r="H60" s="23"/>
      <c r="I60" s="159"/>
      <c r="J60" s="160"/>
      <c r="K60" s="160"/>
      <c r="L60" s="70"/>
    </row>
    <row r="61" spans="1:12" s="2" customFormat="1" x14ac:dyDescent="0.2">
      <c r="A61" s="89" t="s">
        <v>2282</v>
      </c>
      <c r="B61" s="128" t="s">
        <v>6</v>
      </c>
      <c r="C61" s="201" t="s">
        <v>15</v>
      </c>
      <c r="D61" s="11" t="s">
        <v>13</v>
      </c>
      <c r="E61" s="86">
        <v>792.56</v>
      </c>
      <c r="F61" s="86"/>
      <c r="G61" s="23"/>
      <c r="H61" s="23"/>
      <c r="I61" s="159"/>
      <c r="J61" s="160"/>
      <c r="K61" s="160"/>
      <c r="L61" s="70"/>
    </row>
    <row r="62" spans="1:12" s="2" customFormat="1" x14ac:dyDescent="0.2">
      <c r="A62" s="89" t="s">
        <v>2282</v>
      </c>
      <c r="B62" s="128" t="s">
        <v>6</v>
      </c>
      <c r="C62" s="201" t="s">
        <v>133</v>
      </c>
      <c r="D62" s="11" t="s">
        <v>13</v>
      </c>
      <c r="E62" s="86">
        <v>60864</v>
      </c>
      <c r="F62" s="86"/>
      <c r="G62" s="23"/>
      <c r="H62" s="23"/>
      <c r="I62" s="159"/>
      <c r="J62" s="160"/>
      <c r="K62" s="160"/>
      <c r="L62" s="70"/>
    </row>
    <row r="63" spans="1:12" s="2" customFormat="1" x14ac:dyDescent="0.2">
      <c r="A63" s="89" t="s">
        <v>2282</v>
      </c>
      <c r="B63" s="128" t="s">
        <v>6</v>
      </c>
      <c r="C63" s="201" t="s">
        <v>111</v>
      </c>
      <c r="D63" s="11" t="s">
        <v>13</v>
      </c>
      <c r="E63" s="86">
        <v>3402367.35</v>
      </c>
      <c r="F63" s="86"/>
      <c r="G63" s="23"/>
      <c r="H63" s="23"/>
      <c r="I63" s="159"/>
      <c r="J63" s="160"/>
      <c r="K63" s="160"/>
      <c r="L63" s="70"/>
    </row>
    <row r="64" spans="1:12" s="2" customFormat="1" x14ac:dyDescent="0.2">
      <c r="A64" s="89" t="s">
        <v>2282</v>
      </c>
      <c r="B64" s="128" t="s">
        <v>6</v>
      </c>
      <c r="C64" s="201" t="s">
        <v>788</v>
      </c>
      <c r="D64" s="11" t="s">
        <v>13</v>
      </c>
      <c r="E64" s="86">
        <v>9</v>
      </c>
      <c r="F64" s="86"/>
      <c r="G64" s="23"/>
      <c r="H64" s="23"/>
      <c r="I64" s="159"/>
      <c r="J64" s="160"/>
      <c r="K64" s="160"/>
      <c r="L64" s="70"/>
    </row>
    <row r="65" spans="1:12" s="2" customFormat="1" x14ac:dyDescent="0.2">
      <c r="A65" s="89" t="s">
        <v>2282</v>
      </c>
      <c r="B65" s="128" t="s">
        <v>6</v>
      </c>
      <c r="C65" s="201" t="s">
        <v>433</v>
      </c>
      <c r="D65" s="11" t="s">
        <v>13</v>
      </c>
      <c r="E65" s="86">
        <v>1710706.3</v>
      </c>
      <c r="F65" s="86"/>
      <c r="G65" s="23"/>
      <c r="H65" s="23"/>
      <c r="I65" s="159"/>
      <c r="J65" s="160"/>
      <c r="K65" s="160"/>
      <c r="L65" s="70"/>
    </row>
    <row r="66" spans="1:12" s="2" customFormat="1" x14ac:dyDescent="0.2">
      <c r="A66" s="89" t="s">
        <v>2282</v>
      </c>
      <c r="B66" s="128" t="s">
        <v>6</v>
      </c>
      <c r="C66" s="201" t="s">
        <v>389</v>
      </c>
      <c r="D66" s="11" t="s">
        <v>13</v>
      </c>
      <c r="E66" s="86">
        <v>457653.36</v>
      </c>
      <c r="F66" s="86"/>
      <c r="G66" s="23"/>
      <c r="H66" s="23"/>
      <c r="I66" s="159"/>
      <c r="J66" s="160"/>
      <c r="K66" s="160"/>
      <c r="L66" s="70"/>
    </row>
    <row r="67" spans="1:12" s="2" customFormat="1" x14ac:dyDescent="0.2">
      <c r="A67" s="89" t="s">
        <v>2282</v>
      </c>
      <c r="B67" s="128" t="s">
        <v>6</v>
      </c>
      <c r="C67" s="201" t="s">
        <v>670</v>
      </c>
      <c r="D67" s="11" t="s">
        <v>13</v>
      </c>
      <c r="E67" s="86">
        <v>432366</v>
      </c>
      <c r="F67" s="86"/>
      <c r="G67" s="23"/>
      <c r="H67" s="23"/>
      <c r="I67" s="159"/>
      <c r="J67" s="160"/>
      <c r="K67" s="160"/>
      <c r="L67" s="70"/>
    </row>
    <row r="68" spans="1:12" s="2" customFormat="1" x14ac:dyDescent="0.2">
      <c r="A68" s="89" t="s">
        <v>2282</v>
      </c>
      <c r="B68" s="128" t="s">
        <v>6</v>
      </c>
      <c r="C68" s="201" t="s">
        <v>1627</v>
      </c>
      <c r="D68" s="11" t="s">
        <v>13</v>
      </c>
      <c r="E68" s="86">
        <v>5195420.03</v>
      </c>
      <c r="F68" s="86"/>
      <c r="G68" s="23"/>
      <c r="H68" s="23"/>
      <c r="I68" s="159"/>
      <c r="J68" s="160"/>
      <c r="K68" s="160"/>
      <c r="L68" s="70"/>
    </row>
    <row r="69" spans="1:12" s="2" customFormat="1" x14ac:dyDescent="0.2">
      <c r="A69" s="89" t="s">
        <v>2282</v>
      </c>
      <c r="B69" s="128" t="s">
        <v>6</v>
      </c>
      <c r="C69" s="201" t="s">
        <v>830</v>
      </c>
      <c r="D69" s="11" t="s">
        <v>13</v>
      </c>
      <c r="E69" s="86">
        <v>2760483.2</v>
      </c>
      <c r="F69" s="86"/>
      <c r="G69" s="23"/>
      <c r="H69" s="23"/>
      <c r="I69" s="159"/>
      <c r="J69" s="160"/>
      <c r="K69" s="160"/>
      <c r="L69" s="70"/>
    </row>
    <row r="70" spans="1:12" s="2" customFormat="1" x14ac:dyDescent="0.2">
      <c r="A70" s="89" t="s">
        <v>2282</v>
      </c>
      <c r="B70" s="128" t="s">
        <v>6</v>
      </c>
      <c r="C70" s="201" t="s">
        <v>317</v>
      </c>
      <c r="D70" s="11" t="s">
        <v>13</v>
      </c>
      <c r="E70" s="86">
        <v>304763</v>
      </c>
      <c r="F70" s="86"/>
      <c r="G70" s="23"/>
      <c r="H70" s="23"/>
      <c r="I70" s="159"/>
      <c r="J70" s="160"/>
      <c r="K70" s="160"/>
      <c r="L70" s="70"/>
    </row>
    <row r="71" spans="1:12" s="2" customFormat="1" x14ac:dyDescent="0.2">
      <c r="A71" s="89" t="s">
        <v>2282</v>
      </c>
      <c r="B71" s="128" t="s">
        <v>6</v>
      </c>
      <c r="C71" s="201" t="s">
        <v>560</v>
      </c>
      <c r="D71" s="11" t="s">
        <v>13</v>
      </c>
      <c r="E71" s="86">
        <v>280948.32</v>
      </c>
      <c r="F71" s="86"/>
      <c r="G71" s="23"/>
      <c r="H71" s="23"/>
      <c r="I71" s="159"/>
      <c r="J71" s="160"/>
      <c r="K71" s="160"/>
      <c r="L71" s="70"/>
    </row>
    <row r="72" spans="1:12" s="2" customFormat="1" x14ac:dyDescent="0.2">
      <c r="A72" s="89" t="s">
        <v>2282</v>
      </c>
      <c r="B72" s="128" t="s">
        <v>6</v>
      </c>
      <c r="C72" s="201" t="s">
        <v>121</v>
      </c>
      <c r="D72" s="11" t="s">
        <v>13</v>
      </c>
      <c r="E72" s="86">
        <v>500000</v>
      </c>
      <c r="F72" s="86"/>
      <c r="G72" s="23"/>
      <c r="H72" s="23"/>
      <c r="I72" s="159"/>
      <c r="J72" s="160"/>
      <c r="K72" s="160"/>
      <c r="L72" s="70"/>
    </row>
    <row r="73" spans="1:12" s="2" customFormat="1" x14ac:dyDescent="0.2">
      <c r="A73" s="89" t="s">
        <v>2282</v>
      </c>
      <c r="B73" s="128" t="s">
        <v>6</v>
      </c>
      <c r="C73" s="201" t="s">
        <v>177</v>
      </c>
      <c r="D73" s="11" t="s">
        <v>13</v>
      </c>
      <c r="E73" s="86">
        <v>336473</v>
      </c>
      <c r="F73" s="86"/>
      <c r="G73" s="23"/>
      <c r="H73" s="23"/>
      <c r="I73" s="159"/>
      <c r="J73" s="160"/>
      <c r="K73" s="160"/>
      <c r="L73" s="70"/>
    </row>
    <row r="74" spans="1:12" s="2" customFormat="1" x14ac:dyDescent="0.2">
      <c r="A74" s="89" t="s">
        <v>2282</v>
      </c>
      <c r="B74" s="128" t="s">
        <v>6</v>
      </c>
      <c r="C74" s="201" t="s">
        <v>2081</v>
      </c>
      <c r="D74" s="11" t="s">
        <v>13</v>
      </c>
      <c r="E74" s="86">
        <v>40000</v>
      </c>
      <c r="F74" s="86"/>
      <c r="G74" s="23"/>
      <c r="H74" s="23"/>
      <c r="I74" s="159"/>
      <c r="J74" s="160"/>
      <c r="K74" s="160"/>
      <c r="L74" s="70"/>
    </row>
    <row r="75" spans="1:12" s="2" customFormat="1" x14ac:dyDescent="0.2">
      <c r="A75" s="89" t="s">
        <v>2282</v>
      </c>
      <c r="B75" s="128" t="s">
        <v>6</v>
      </c>
      <c r="C75" s="201" t="s">
        <v>457</v>
      </c>
      <c r="D75" s="11" t="s">
        <v>13</v>
      </c>
      <c r="E75" s="86">
        <v>29400</v>
      </c>
      <c r="F75" s="86"/>
      <c r="G75" s="23"/>
      <c r="H75" s="23"/>
      <c r="I75" s="159"/>
      <c r="J75" s="160"/>
      <c r="K75" s="160"/>
      <c r="L75" s="70"/>
    </row>
    <row r="76" spans="1:12" s="2" customFormat="1" x14ac:dyDescent="0.2">
      <c r="A76" s="89" t="s">
        <v>2282</v>
      </c>
      <c r="B76" s="128" t="s">
        <v>6</v>
      </c>
      <c r="C76" s="201" t="s">
        <v>16</v>
      </c>
      <c r="D76" s="11" t="s">
        <v>13</v>
      </c>
      <c r="E76" s="86">
        <v>15196.8</v>
      </c>
      <c r="F76" s="86"/>
      <c r="G76" s="23"/>
      <c r="H76" s="23"/>
      <c r="I76" s="159"/>
      <c r="J76" s="160"/>
      <c r="K76" s="160"/>
      <c r="L76" s="70"/>
    </row>
    <row r="77" spans="1:12" s="2" customFormat="1" x14ac:dyDescent="0.2">
      <c r="A77" s="89" t="s">
        <v>2282</v>
      </c>
      <c r="B77" s="128" t="s">
        <v>11</v>
      </c>
      <c r="C77" s="201" t="s">
        <v>64</v>
      </c>
      <c r="D77" s="11" t="s">
        <v>29</v>
      </c>
      <c r="E77" s="86"/>
      <c r="F77" s="86">
        <v>39014.469999999994</v>
      </c>
      <c r="G77" s="23"/>
      <c r="H77" s="23"/>
      <c r="I77" s="159"/>
      <c r="J77" s="160"/>
      <c r="K77" s="160"/>
      <c r="L77" s="70"/>
    </row>
    <row r="78" spans="1:12" s="2" customFormat="1" x14ac:dyDescent="0.2">
      <c r="A78" s="89" t="s">
        <v>2282</v>
      </c>
      <c r="B78" s="128" t="s">
        <v>11</v>
      </c>
      <c r="C78" s="201" t="s">
        <v>1798</v>
      </c>
      <c r="D78" s="11" t="s">
        <v>29</v>
      </c>
      <c r="E78" s="86"/>
      <c r="F78" s="86">
        <v>767176</v>
      </c>
      <c r="G78" s="23"/>
      <c r="H78" s="23"/>
      <c r="I78" s="159"/>
      <c r="J78" s="160"/>
      <c r="K78" s="160"/>
      <c r="L78" s="70"/>
    </row>
    <row r="79" spans="1:12" s="2" customFormat="1" x14ac:dyDescent="0.2">
      <c r="A79" s="89" t="s">
        <v>2282</v>
      </c>
      <c r="B79" s="128" t="s">
        <v>11</v>
      </c>
      <c r="C79" s="201" t="s">
        <v>204</v>
      </c>
      <c r="D79" s="11" t="s">
        <v>29</v>
      </c>
      <c r="E79" s="86"/>
      <c r="F79" s="86">
        <v>1450000</v>
      </c>
      <c r="G79" s="23"/>
      <c r="H79" s="23"/>
      <c r="I79" s="159"/>
      <c r="J79" s="160"/>
      <c r="K79" s="160"/>
      <c r="L79" s="70"/>
    </row>
    <row r="80" spans="1:12" s="2" customFormat="1" x14ac:dyDescent="0.2">
      <c r="A80" s="89" t="s">
        <v>2282</v>
      </c>
      <c r="B80" s="128" t="s">
        <v>11</v>
      </c>
      <c r="C80" s="201" t="s">
        <v>460</v>
      </c>
      <c r="D80" s="11" t="s">
        <v>29</v>
      </c>
      <c r="E80" s="86"/>
      <c r="F80" s="86">
        <v>1000000</v>
      </c>
      <c r="G80" s="23"/>
      <c r="H80" s="23"/>
      <c r="I80" s="159"/>
      <c r="J80" s="160"/>
      <c r="K80" s="160"/>
      <c r="L80" s="70"/>
    </row>
    <row r="81" spans="1:16" s="2" customFormat="1" x14ac:dyDescent="0.2">
      <c r="A81" s="89" t="s">
        <v>2282</v>
      </c>
      <c r="B81" s="128" t="s">
        <v>11</v>
      </c>
      <c r="C81" s="201" t="s">
        <v>126</v>
      </c>
      <c r="D81" s="11" t="s">
        <v>29</v>
      </c>
      <c r="E81" s="86"/>
      <c r="F81" s="86">
        <v>800000</v>
      </c>
      <c r="G81" s="23"/>
      <c r="H81" s="23"/>
      <c r="I81" s="159"/>
      <c r="J81" s="160"/>
      <c r="K81" s="160"/>
      <c r="L81" s="70"/>
    </row>
    <row r="82" spans="1:16" s="2" customFormat="1" x14ac:dyDescent="0.2">
      <c r="A82" s="89" t="s">
        <v>2282</v>
      </c>
      <c r="B82" s="128" t="s">
        <v>11</v>
      </c>
      <c r="C82" s="201" t="s">
        <v>1155</v>
      </c>
      <c r="D82" s="11" t="s">
        <v>29</v>
      </c>
      <c r="E82" s="86"/>
      <c r="F82" s="86">
        <v>329961710.51999998</v>
      </c>
      <c r="G82" s="23"/>
      <c r="H82" s="23"/>
      <c r="I82" s="159"/>
      <c r="J82" s="160"/>
      <c r="K82" s="160"/>
      <c r="L82" s="70"/>
    </row>
    <row r="83" spans="1:16" s="2" customFormat="1" x14ac:dyDescent="0.2">
      <c r="A83" s="89" t="s">
        <v>2282</v>
      </c>
      <c r="B83" s="128" t="s">
        <v>11</v>
      </c>
      <c r="C83" s="201" t="s">
        <v>2281</v>
      </c>
      <c r="D83" s="11" t="s">
        <v>29</v>
      </c>
      <c r="E83" s="86"/>
      <c r="F83" s="86">
        <v>535917</v>
      </c>
      <c r="G83" s="23"/>
      <c r="H83" s="23"/>
      <c r="I83" s="159"/>
      <c r="J83" s="160"/>
      <c r="K83" s="160"/>
      <c r="L83" s="70"/>
    </row>
    <row r="84" spans="1:16" s="2" customFormat="1" x14ac:dyDescent="0.2">
      <c r="A84" s="89" t="s">
        <v>2282</v>
      </c>
      <c r="B84" s="128" t="s">
        <v>11</v>
      </c>
      <c r="C84" s="201" t="s">
        <v>1363</v>
      </c>
      <c r="D84" s="11" t="s">
        <v>29</v>
      </c>
      <c r="E84" s="86"/>
      <c r="F84" s="86">
        <v>2389325</v>
      </c>
      <c r="G84" s="23"/>
      <c r="H84" s="23"/>
      <c r="I84" s="159"/>
      <c r="J84" s="160"/>
      <c r="K84" s="160"/>
      <c r="L84" s="70"/>
    </row>
    <row r="85" spans="1:16" s="2" customFormat="1" x14ac:dyDescent="0.2">
      <c r="A85" s="89" t="s">
        <v>2282</v>
      </c>
      <c r="B85" s="128" t="s">
        <v>11</v>
      </c>
      <c r="C85" s="201" t="s">
        <v>1734</v>
      </c>
      <c r="D85" s="11" t="s">
        <v>29</v>
      </c>
      <c r="E85" s="86"/>
      <c r="F85" s="86">
        <v>671556</v>
      </c>
      <c r="G85" s="23"/>
      <c r="H85" s="23"/>
      <c r="I85" s="159"/>
      <c r="J85" s="160"/>
      <c r="K85" s="160"/>
      <c r="L85" s="70"/>
    </row>
    <row r="86" spans="1:16" s="2" customFormat="1" x14ac:dyDescent="0.2">
      <c r="A86" s="89" t="s">
        <v>2282</v>
      </c>
      <c r="B86" s="128" t="s">
        <v>11</v>
      </c>
      <c r="C86" s="201" t="s">
        <v>1379</v>
      </c>
      <c r="D86" s="11" t="s">
        <v>29</v>
      </c>
      <c r="E86" s="86"/>
      <c r="F86" s="86">
        <v>72000</v>
      </c>
      <c r="G86" s="23"/>
      <c r="H86" s="23"/>
      <c r="I86" s="159"/>
      <c r="J86" s="160"/>
      <c r="K86" s="160"/>
      <c r="L86" s="70"/>
    </row>
    <row r="87" spans="1:16" s="2" customFormat="1" x14ac:dyDescent="0.2">
      <c r="A87" s="89" t="s">
        <v>2282</v>
      </c>
      <c r="B87" s="128" t="s">
        <v>11</v>
      </c>
      <c r="C87" s="201" t="s">
        <v>1380</v>
      </c>
      <c r="D87" s="11" t="s">
        <v>29</v>
      </c>
      <c r="E87" s="86"/>
      <c r="F87" s="86">
        <v>64800</v>
      </c>
      <c r="G87" s="23"/>
      <c r="H87" s="23"/>
      <c r="I87" s="159"/>
      <c r="J87" s="160"/>
      <c r="K87" s="160"/>
      <c r="L87" s="70"/>
    </row>
    <row r="88" spans="1:16" s="2" customFormat="1" x14ac:dyDescent="0.2">
      <c r="A88" s="89" t="s">
        <v>2282</v>
      </c>
      <c r="B88" s="128" t="s">
        <v>11</v>
      </c>
      <c r="C88" s="201" t="s">
        <v>1979</v>
      </c>
      <c r="D88" s="11" t="s">
        <v>29</v>
      </c>
      <c r="E88" s="86"/>
      <c r="F88" s="86">
        <v>161501.99</v>
      </c>
      <c r="G88" s="23"/>
      <c r="H88" s="23"/>
      <c r="I88" s="159"/>
      <c r="J88" s="160"/>
      <c r="K88" s="160"/>
      <c r="L88" s="70"/>
    </row>
    <row r="89" spans="1:16" s="70" customFormat="1" x14ac:dyDescent="0.2">
      <c r="A89" s="32"/>
      <c r="B89" s="33"/>
      <c r="C89" s="14"/>
      <c r="D89" s="34"/>
      <c r="E89" s="16">
        <f>SUM(E51:E88)</f>
        <v>38081391.82</v>
      </c>
      <c r="F89" s="16">
        <f>SUM(F51:F88)</f>
        <v>433272913.26999986</v>
      </c>
      <c r="G89" s="1"/>
      <c r="H89" s="1"/>
      <c r="I89" s="1"/>
      <c r="J89" s="38">
        <v>396990386.44999999</v>
      </c>
      <c r="K89" s="2"/>
      <c r="L89" s="92">
        <f>+J89-E90</f>
        <v>1798865.0000001192</v>
      </c>
      <c r="M89" s="2"/>
      <c r="N89" s="2"/>
      <c r="O89" s="2">
        <v>10127749.119999999</v>
      </c>
      <c r="P89" s="2">
        <f>+O89-J89</f>
        <v>-386862637.32999998</v>
      </c>
    </row>
    <row r="90" spans="1:16" s="70" customFormat="1" x14ac:dyDescent="0.2">
      <c r="A90" s="36"/>
      <c r="B90" s="28" t="s">
        <v>11</v>
      </c>
      <c r="C90" s="19" t="s">
        <v>65</v>
      </c>
      <c r="D90" s="37"/>
      <c r="E90" s="38">
        <f>F89-E89</f>
        <v>395191521.44999987</v>
      </c>
      <c r="F90" s="22"/>
      <c r="G90" s="1"/>
      <c r="H90" s="1"/>
      <c r="I90" s="1"/>
      <c r="M90" s="2"/>
      <c r="N90" s="2"/>
      <c r="O90" s="1"/>
      <c r="P90" s="2"/>
    </row>
    <row r="91" spans="1:16" s="70" customFormat="1" x14ac:dyDescent="0.2">
      <c r="A91" s="36"/>
      <c r="B91" s="28" t="s">
        <v>66</v>
      </c>
      <c r="C91" s="19" t="s">
        <v>67</v>
      </c>
      <c r="D91" s="37"/>
      <c r="E91" s="38">
        <f>11500000-7200000</f>
        <v>4300000</v>
      </c>
      <c r="F91" s="22"/>
      <c r="G91" s="1"/>
      <c r="H91" s="1"/>
      <c r="M91" s="2"/>
      <c r="N91" s="2"/>
      <c r="O91" s="1"/>
      <c r="P91" s="2"/>
    </row>
    <row r="92" spans="1:16" s="70" customFormat="1" x14ac:dyDescent="0.2">
      <c r="A92" s="36"/>
      <c r="B92" s="28" t="s">
        <v>66</v>
      </c>
      <c r="C92" s="43" t="s">
        <v>1457</v>
      </c>
      <c r="D92" s="43"/>
      <c r="E92" s="12">
        <f>400000000-300000000</f>
        <v>100000000</v>
      </c>
      <c r="F92" s="22"/>
      <c r="G92" s="1"/>
      <c r="H92" s="1"/>
      <c r="J92" s="45">
        <v>2813.62</v>
      </c>
      <c r="K92" s="46"/>
      <c r="L92" s="46"/>
      <c r="M92" s="2"/>
      <c r="N92" s="2"/>
      <c r="O92" s="1"/>
      <c r="P92" s="2"/>
    </row>
    <row r="93" spans="1:16" s="70" customFormat="1" ht="15" x14ac:dyDescent="0.25">
      <c r="A93" s="36"/>
      <c r="B93" s="28"/>
      <c r="C93" s="44" t="s">
        <v>1541</v>
      </c>
      <c r="D93" s="43"/>
      <c r="E93" s="7">
        <f>+E92+E90+E91</f>
        <v>499491521.44999987</v>
      </c>
      <c r="F93" s="22"/>
      <c r="G93" s="1"/>
      <c r="H93" s="1"/>
      <c r="I93" s="103" t="s">
        <v>69</v>
      </c>
      <c r="J93" s="45">
        <v>-123.32</v>
      </c>
      <c r="K93" s="46"/>
      <c r="L93" s="46"/>
      <c r="M93" s="2"/>
      <c r="N93" s="2"/>
      <c r="O93" s="1"/>
      <c r="P93" s="2"/>
    </row>
    <row r="94" spans="1:16" s="70" customFormat="1" ht="15" x14ac:dyDescent="0.25">
      <c r="A94" s="24"/>
      <c r="B94" s="1"/>
      <c r="C94" s="44" t="s">
        <v>1510</v>
      </c>
      <c r="D94" s="25"/>
      <c r="E94" s="156">
        <f>+J50-E91+I46-J46</f>
        <v>508478.55000001192</v>
      </c>
      <c r="F94" s="2"/>
      <c r="G94" s="1"/>
      <c r="H94" s="1"/>
      <c r="I94" s="35">
        <v>1</v>
      </c>
      <c r="J94" s="45">
        <v>108.57</v>
      </c>
      <c r="K94" s="46">
        <f>+J95-D97</f>
        <v>0</v>
      </c>
      <c r="L94" s="2"/>
      <c r="M94" s="2"/>
      <c r="N94" s="2"/>
      <c r="O94" s="1"/>
      <c r="P94" s="2"/>
    </row>
    <row r="95" spans="1:16" s="70" customFormat="1" ht="12.75" customHeight="1" x14ac:dyDescent="0.2">
      <c r="A95" s="24"/>
      <c r="B95" s="1"/>
      <c r="C95" s="56"/>
      <c r="D95" s="56"/>
      <c r="E95" s="104"/>
      <c r="F95" s="2"/>
      <c r="G95" s="166"/>
      <c r="H95" s="166"/>
      <c r="J95" s="49">
        <f>SUM(J92:J94)</f>
        <v>2798.87</v>
      </c>
      <c r="K95" s="46"/>
      <c r="L95" s="46"/>
      <c r="M95" s="124"/>
      <c r="N95" s="124"/>
      <c r="O95" s="1"/>
      <c r="P95" s="2"/>
    </row>
    <row r="96" spans="1:16" s="70" customFormat="1" ht="12.75" customHeight="1" x14ac:dyDescent="0.2">
      <c r="A96" s="24"/>
      <c r="B96" s="1"/>
      <c r="C96" s="78" t="s">
        <v>575</v>
      </c>
      <c r="D96" s="48" t="s">
        <v>576</v>
      </c>
      <c r="E96" s="104"/>
      <c r="F96" s="2"/>
      <c r="G96" s="168"/>
      <c r="H96" s="168"/>
      <c r="I96" s="167"/>
      <c r="J96" s="167"/>
      <c r="K96" s="168"/>
      <c r="L96" s="124"/>
      <c r="M96" s="124"/>
      <c r="N96" s="124"/>
      <c r="O96" s="124"/>
      <c r="P96" s="2"/>
    </row>
    <row r="97" spans="1:19" s="70" customFormat="1" ht="12.75" customHeight="1" x14ac:dyDescent="0.2">
      <c r="A97" s="24"/>
      <c r="B97" s="1"/>
      <c r="C97" s="47" t="s">
        <v>570</v>
      </c>
      <c r="D97" s="111">
        <v>2798.87</v>
      </c>
      <c r="E97" s="104"/>
      <c r="F97" s="2"/>
      <c r="G97" s="168"/>
      <c r="H97" s="168"/>
      <c r="I97" s="110" t="s">
        <v>581</v>
      </c>
      <c r="J97" s="167"/>
      <c r="K97" s="168"/>
      <c r="L97" s="124"/>
      <c r="M97" s="124"/>
      <c r="N97" s="124"/>
      <c r="O97" s="124"/>
      <c r="P97" s="124"/>
    </row>
    <row r="98" spans="1:19" s="70" customFormat="1" ht="12.75" customHeight="1" x14ac:dyDescent="0.2">
      <c r="A98" s="24"/>
      <c r="B98" s="1"/>
      <c r="C98" s="47" t="s">
        <v>931</v>
      </c>
      <c r="D98" s="111">
        <v>235.13</v>
      </c>
      <c r="E98" s="104"/>
      <c r="F98" s="2"/>
      <c r="G98" s="168"/>
      <c r="H98" s="168"/>
      <c r="I98" s="110" t="s">
        <v>580</v>
      </c>
      <c r="J98" s="167"/>
      <c r="K98" s="168"/>
      <c r="L98" s="124"/>
      <c r="M98" s="124"/>
      <c r="N98" s="124"/>
      <c r="O98" s="124"/>
      <c r="P98" s="124"/>
    </row>
    <row r="99" spans="1:19" s="70" customFormat="1" ht="12.75" customHeight="1" x14ac:dyDescent="0.2">
      <c r="A99" s="24"/>
      <c r="B99" s="1"/>
      <c r="C99" s="47" t="s">
        <v>572</v>
      </c>
      <c r="D99" s="111">
        <f>+D155/100000</f>
        <v>941.79380939999999</v>
      </c>
      <c r="E99" s="104"/>
      <c r="F99" s="2"/>
      <c r="G99" s="166"/>
      <c r="H99" s="166"/>
      <c r="I99" s="90" t="s">
        <v>587</v>
      </c>
      <c r="J99" s="167"/>
      <c r="K99" s="168"/>
      <c r="L99" s="124"/>
      <c r="M99" s="124"/>
      <c r="N99" s="124"/>
      <c r="O99" s="124"/>
      <c r="P99" s="124"/>
    </row>
    <row r="100" spans="1:19" s="70" customFormat="1" ht="12.75" customHeight="1" x14ac:dyDescent="0.2">
      <c r="A100" s="24"/>
      <c r="B100" s="1"/>
      <c r="C100" s="108" t="s">
        <v>578</v>
      </c>
      <c r="D100" s="48">
        <f>SUM(D97:D99)</f>
        <v>3975.7938094000001</v>
      </c>
      <c r="E100" s="104"/>
      <c r="F100" s="2"/>
      <c r="G100" s="30"/>
      <c r="H100" s="30"/>
      <c r="I100" s="2"/>
      <c r="J100" s="13"/>
      <c r="K100" s="13"/>
      <c r="L100" s="2"/>
      <c r="M100" s="2"/>
      <c r="N100" s="2"/>
      <c r="O100" s="124"/>
      <c r="P100" s="124"/>
    </row>
    <row r="101" spans="1:19" s="70" customFormat="1" ht="12.75" customHeight="1" x14ac:dyDescent="0.2">
      <c r="A101" s="24"/>
      <c r="B101" s="1"/>
      <c r="C101" s="47"/>
      <c r="D101" s="107"/>
      <c r="E101" s="104"/>
      <c r="F101" s="2"/>
      <c r="G101" s="30"/>
      <c r="H101" s="30"/>
      <c r="I101" s="2"/>
      <c r="O101" s="2"/>
      <c r="P101" s="124"/>
    </row>
    <row r="102" spans="1:19" s="70" customFormat="1" ht="12.75" customHeight="1" x14ac:dyDescent="0.2">
      <c r="A102" s="24"/>
      <c r="B102" s="1"/>
      <c r="C102" s="47" t="s">
        <v>932</v>
      </c>
      <c r="D102" s="111">
        <v>681.24</v>
      </c>
      <c r="E102" s="104"/>
      <c r="F102" s="2"/>
      <c r="G102" s="30"/>
      <c r="H102" s="30"/>
      <c r="I102" s="110" t="s">
        <v>581</v>
      </c>
      <c r="P102" s="2"/>
    </row>
    <row r="103" spans="1:19" s="70" customFormat="1" ht="12.75" customHeight="1" x14ac:dyDescent="0.2">
      <c r="A103" s="24"/>
      <c r="B103" s="1"/>
      <c r="C103" s="136" t="s">
        <v>1142</v>
      </c>
      <c r="D103" s="111">
        <v>1142.31</v>
      </c>
      <c r="E103" s="104"/>
      <c r="F103" s="2"/>
      <c r="G103" s="30"/>
      <c r="H103" s="30"/>
      <c r="I103" s="110" t="s">
        <v>581</v>
      </c>
    </row>
    <row r="104" spans="1:19" s="70" customFormat="1" ht="12.75" customHeight="1" x14ac:dyDescent="0.2">
      <c r="A104" s="24"/>
      <c r="B104" s="1"/>
      <c r="C104" s="78" t="s">
        <v>579</v>
      </c>
      <c r="D104" s="109">
        <f>D102+D103</f>
        <v>1823.55</v>
      </c>
      <c r="E104" s="104"/>
      <c r="F104" s="2"/>
      <c r="G104" s="30"/>
      <c r="H104" s="30"/>
      <c r="Q104" s="2"/>
      <c r="R104" s="2"/>
      <c r="S104" s="2"/>
    </row>
    <row r="105" spans="1:19" s="2" customFormat="1" x14ac:dyDescent="0.2">
      <c r="A105" s="24"/>
      <c r="B105" s="1"/>
      <c r="C105" s="105"/>
      <c r="D105" s="106"/>
      <c r="E105" s="104"/>
      <c r="G105" s="30"/>
      <c r="H105" s="30"/>
      <c r="I105" s="70"/>
      <c r="K105" s="221" t="str">
        <f>"FROM ( 01-03-2024 to "&amp;TEXT(A5,"dd-mm-yyyy")&amp;" )"</f>
        <v>FROM ( 01-03-2024 to 28-03-2024 )</v>
      </c>
      <c r="L105" s="221"/>
      <c r="O105" s="70"/>
      <c r="P105" s="70"/>
    </row>
    <row r="106" spans="1:19" s="2" customFormat="1" x14ac:dyDescent="0.2">
      <c r="A106" s="24"/>
      <c r="B106" s="1"/>
      <c r="C106" s="78" t="s">
        <v>577</v>
      </c>
      <c r="D106" s="109">
        <f>D97+D104</f>
        <v>4622.42</v>
      </c>
      <c r="E106" s="104"/>
      <c r="G106" s="30"/>
      <c r="H106" s="30"/>
      <c r="I106" s="70"/>
      <c r="J106" s="113"/>
      <c r="K106" s="113" t="s">
        <v>709</v>
      </c>
      <c r="L106" s="113" t="s">
        <v>710</v>
      </c>
      <c r="M106" s="113" t="s">
        <v>711</v>
      </c>
      <c r="N106" s="113" t="s">
        <v>712</v>
      </c>
      <c r="O106" s="70"/>
      <c r="P106" s="70"/>
    </row>
    <row r="107" spans="1:19" s="2" customFormat="1" x14ac:dyDescent="0.2">
      <c r="A107" s="24"/>
      <c r="B107" s="1"/>
      <c r="C107" s="56"/>
      <c r="D107" s="56"/>
      <c r="E107" s="104"/>
      <c r="G107" s="30"/>
      <c r="H107" s="30"/>
      <c r="I107" s="70"/>
      <c r="J107" s="113" t="s">
        <v>1860</v>
      </c>
      <c r="K107" s="115">
        <v>195.8</v>
      </c>
      <c r="L107" s="115">
        <v>105.74</v>
      </c>
      <c r="M107" s="115">
        <v>102.79</v>
      </c>
      <c r="N107" s="113">
        <f>+K107+M107-L107</f>
        <v>192.85000000000002</v>
      </c>
      <c r="O107" s="70"/>
      <c r="P107" s="70"/>
    </row>
    <row r="108" spans="1:19" s="2" customFormat="1" ht="38.25" x14ac:dyDescent="0.2">
      <c r="A108" s="24"/>
      <c r="B108" s="1"/>
      <c r="C108" s="79" t="str">
        <f>"Particulars ( 01-03-2024 to "&amp;TEXT(A5,"dd-mm-yyyy")&amp;" )"</f>
        <v>Particulars ( 01-03-2024 to 28-03-2024 )</v>
      </c>
      <c r="D108" s="79" t="s">
        <v>7</v>
      </c>
      <c r="E108" s="80" t="s">
        <v>73</v>
      </c>
      <c r="F108" s="80" t="s">
        <v>74</v>
      </c>
      <c r="G108" s="81" t="s">
        <v>75</v>
      </c>
      <c r="H108" s="80" t="s">
        <v>76</v>
      </c>
      <c r="I108" s="70"/>
      <c r="J108" s="113" t="s">
        <v>1861</v>
      </c>
      <c r="K108" s="115">
        <v>1882.55</v>
      </c>
      <c r="L108" s="115">
        <v>943.45</v>
      </c>
      <c r="M108" s="115">
        <v>1143.52</v>
      </c>
      <c r="N108" s="113">
        <f>+K108+M108-L108</f>
        <v>2082.62</v>
      </c>
      <c r="O108" s="70"/>
      <c r="P108" s="70"/>
    </row>
    <row r="109" spans="1:19" s="2" customFormat="1" x14ac:dyDescent="0.2">
      <c r="A109" s="24"/>
      <c r="B109" s="1"/>
      <c r="C109" s="50" t="s">
        <v>444</v>
      </c>
      <c r="D109" s="55">
        <f>+K109</f>
        <v>463.26</v>
      </c>
      <c r="E109" s="55">
        <f>+IF(M109=0,0,M109)</f>
        <v>681.24</v>
      </c>
      <c r="F109" s="55">
        <f>+L109</f>
        <v>235.13</v>
      </c>
      <c r="G109" s="55">
        <f>+D109+E109-F109</f>
        <v>909.37</v>
      </c>
      <c r="H109" s="55">
        <f>1500-G109</f>
        <v>590.63</v>
      </c>
      <c r="I109" s="70">
        <f>+IF(M109=0,0,M109)</f>
        <v>681.24</v>
      </c>
      <c r="J109" s="113" t="s">
        <v>707</v>
      </c>
      <c r="K109" s="115">
        <v>463.26</v>
      </c>
      <c r="L109" s="115">
        <v>235.13</v>
      </c>
      <c r="M109" s="115">
        <v>681.24</v>
      </c>
      <c r="N109" s="113">
        <f>+K109+M109-L109</f>
        <v>909.37</v>
      </c>
      <c r="O109" s="70"/>
      <c r="P109" s="70"/>
    </row>
    <row r="110" spans="1:19" s="2" customFormat="1" x14ac:dyDescent="0.2">
      <c r="A110" s="24"/>
      <c r="B110" s="1"/>
      <c r="C110" s="50" t="s">
        <v>71</v>
      </c>
      <c r="D110" s="55">
        <f>+K107+K108</f>
        <v>2078.35</v>
      </c>
      <c r="E110" s="55">
        <f>+M107+M108</f>
        <v>1246.31</v>
      </c>
      <c r="F110" s="55">
        <f>+L107+L108</f>
        <v>1049.19</v>
      </c>
      <c r="G110" s="55">
        <f>+D110+E110-F110</f>
        <v>2275.4699999999998</v>
      </c>
      <c r="H110" s="55">
        <f>1500+700+200-G110</f>
        <v>124.5300000000002</v>
      </c>
      <c r="I110" s="70"/>
      <c r="K110" s="118">
        <f>SUM(K107:K109)</f>
        <v>2541.6099999999997</v>
      </c>
      <c r="L110" s="118">
        <f>SUM(L107:L109)</f>
        <v>1284.3200000000002</v>
      </c>
      <c r="M110" s="118">
        <f>SUM(M107:M109)</f>
        <v>1927.55</v>
      </c>
      <c r="N110" s="118">
        <f>SUM(N107:N109)</f>
        <v>3184.8399999999997</v>
      </c>
      <c r="O110" s="70"/>
      <c r="P110" s="70"/>
    </row>
    <row r="111" spans="1:19" s="2" customFormat="1" x14ac:dyDescent="0.2">
      <c r="A111" s="24"/>
      <c r="B111" s="1"/>
      <c r="C111" s="14"/>
      <c r="D111" s="56"/>
      <c r="E111" s="13"/>
      <c r="G111" s="30"/>
      <c r="H111" s="30"/>
      <c r="I111" s="70"/>
      <c r="J111" s="70"/>
      <c r="K111" s="70"/>
      <c r="L111" s="70"/>
      <c r="M111" s="70"/>
      <c r="N111" s="70"/>
      <c r="O111" s="70"/>
      <c r="P111" s="70"/>
    </row>
    <row r="112" spans="1:19" s="2" customFormat="1" x14ac:dyDescent="0.2">
      <c r="A112" s="215" t="s">
        <v>80</v>
      </c>
      <c r="B112" s="216"/>
      <c r="C112" s="216"/>
      <c r="D112" s="217"/>
      <c r="E112" s="69"/>
      <c r="F112" s="70"/>
      <c r="G112" s="30"/>
      <c r="H112" s="30"/>
      <c r="I112" s="70"/>
      <c r="J112" s="70"/>
      <c r="K112" s="70"/>
      <c r="L112" s="70"/>
      <c r="M112" s="70"/>
      <c r="N112" s="70"/>
      <c r="O112" s="70"/>
      <c r="P112" s="70"/>
    </row>
    <row r="113" spans="1:16" s="2" customFormat="1" x14ac:dyDescent="0.2">
      <c r="A113" s="71" t="s">
        <v>81</v>
      </c>
      <c r="B113" s="71"/>
      <c r="C113" s="72" t="s">
        <v>82</v>
      </c>
      <c r="D113" s="73" t="s">
        <v>83</v>
      </c>
      <c r="E113" s="69"/>
      <c r="F113" s="70"/>
      <c r="G113" s="30"/>
      <c r="H113" s="30"/>
      <c r="I113" s="70"/>
      <c r="J113" s="70"/>
      <c r="K113" s="70"/>
      <c r="L113" s="70"/>
      <c r="M113" s="70"/>
      <c r="N113" s="70"/>
      <c r="O113" s="70"/>
      <c r="P113" s="70"/>
    </row>
    <row r="114" spans="1:16" s="2" customFormat="1" x14ac:dyDescent="0.2">
      <c r="A114" s="87">
        <v>45352</v>
      </c>
      <c r="B114" s="120" t="s">
        <v>6</v>
      </c>
      <c r="C114" s="75" t="s">
        <v>594</v>
      </c>
      <c r="D114" s="88">
        <v>2143144</v>
      </c>
      <c r="G114" s="30"/>
      <c r="H114" s="30"/>
      <c r="P114" s="70"/>
    </row>
    <row r="115" spans="1:16" s="2" customFormat="1" x14ac:dyDescent="0.2">
      <c r="A115" s="87">
        <v>45352</v>
      </c>
      <c r="B115" s="120" t="s">
        <v>6</v>
      </c>
      <c r="C115" s="75" t="s">
        <v>271</v>
      </c>
      <c r="D115" s="88">
        <v>1493463</v>
      </c>
      <c r="G115" s="30"/>
      <c r="H115" s="30"/>
      <c r="P115" s="70"/>
    </row>
    <row r="116" spans="1:16" s="2" customFormat="1" x14ac:dyDescent="0.2">
      <c r="A116" s="87">
        <v>45354</v>
      </c>
      <c r="B116" s="120" t="s">
        <v>6</v>
      </c>
      <c r="C116" s="75" t="s">
        <v>270</v>
      </c>
      <c r="D116" s="88">
        <v>187299</v>
      </c>
      <c r="G116" s="30"/>
      <c r="H116" s="30"/>
      <c r="P116" s="70"/>
    </row>
    <row r="117" spans="1:16" s="2" customFormat="1" x14ac:dyDescent="0.2">
      <c r="A117" s="87">
        <v>45356</v>
      </c>
      <c r="B117" s="120" t="s">
        <v>6</v>
      </c>
      <c r="C117" s="75" t="s">
        <v>84</v>
      </c>
      <c r="D117" s="88">
        <v>3111466</v>
      </c>
      <c r="G117" s="30"/>
      <c r="H117" s="30"/>
      <c r="P117" s="70"/>
    </row>
    <row r="118" spans="1:16" s="2" customFormat="1" x14ac:dyDescent="0.2">
      <c r="A118" s="87">
        <v>45356</v>
      </c>
      <c r="B118" s="120" t="s">
        <v>6</v>
      </c>
      <c r="C118" s="75" t="s">
        <v>271</v>
      </c>
      <c r="D118" s="88">
        <v>1369091</v>
      </c>
      <c r="G118" s="30"/>
      <c r="H118" s="30"/>
      <c r="P118" s="70"/>
    </row>
    <row r="119" spans="1:16" s="2" customFormat="1" x14ac:dyDescent="0.2">
      <c r="A119" s="87">
        <v>45357</v>
      </c>
      <c r="B119" s="120" t="s">
        <v>6</v>
      </c>
      <c r="C119" s="75" t="s">
        <v>271</v>
      </c>
      <c r="D119" s="88">
        <v>1393433</v>
      </c>
      <c r="G119" s="30"/>
      <c r="H119" s="30"/>
      <c r="P119" s="70"/>
    </row>
    <row r="120" spans="1:16" s="2" customFormat="1" x14ac:dyDescent="0.2">
      <c r="A120" s="87">
        <v>45359</v>
      </c>
      <c r="B120" s="120" t="s">
        <v>6</v>
      </c>
      <c r="C120" s="75" t="s">
        <v>271</v>
      </c>
      <c r="D120" s="88">
        <v>730944</v>
      </c>
      <c r="G120" s="30"/>
      <c r="H120" s="30"/>
      <c r="P120" s="70"/>
    </row>
    <row r="121" spans="1:16" s="2" customFormat="1" x14ac:dyDescent="0.2">
      <c r="A121" s="87">
        <v>45359</v>
      </c>
      <c r="B121" s="120" t="s">
        <v>6</v>
      </c>
      <c r="C121" s="75" t="s">
        <v>18</v>
      </c>
      <c r="D121" s="88">
        <v>19228</v>
      </c>
      <c r="G121" s="30"/>
      <c r="H121" s="30"/>
      <c r="P121" s="70"/>
    </row>
    <row r="122" spans="1:16" s="2" customFormat="1" x14ac:dyDescent="0.2">
      <c r="A122" s="87">
        <v>45362</v>
      </c>
      <c r="B122" s="120" t="s">
        <v>6</v>
      </c>
      <c r="C122" s="75" t="s">
        <v>1789</v>
      </c>
      <c r="D122" s="88">
        <v>2568137</v>
      </c>
      <c r="G122" s="30"/>
      <c r="H122" s="30"/>
      <c r="P122" s="70"/>
    </row>
    <row r="123" spans="1:16" s="2" customFormat="1" x14ac:dyDescent="0.2">
      <c r="A123" s="87">
        <v>45362</v>
      </c>
      <c r="B123" s="120" t="s">
        <v>6</v>
      </c>
      <c r="C123" s="75" t="s">
        <v>85</v>
      </c>
      <c r="D123" s="88">
        <v>39949</v>
      </c>
      <c r="G123" s="30"/>
      <c r="H123" s="30"/>
      <c r="P123" s="70"/>
    </row>
    <row r="124" spans="1:16" s="2" customFormat="1" x14ac:dyDescent="0.2">
      <c r="A124" s="87">
        <v>45362</v>
      </c>
      <c r="B124" s="120" t="s">
        <v>6</v>
      </c>
      <c r="C124" s="75" t="s">
        <v>85</v>
      </c>
      <c r="D124" s="88">
        <v>219691</v>
      </c>
      <c r="G124" s="30"/>
      <c r="H124" s="30"/>
      <c r="P124" s="70"/>
    </row>
    <row r="125" spans="1:16" s="2" customFormat="1" x14ac:dyDescent="0.2">
      <c r="A125" s="87">
        <v>45363</v>
      </c>
      <c r="B125" s="120" t="s">
        <v>6</v>
      </c>
      <c r="C125" s="75" t="s">
        <v>271</v>
      </c>
      <c r="D125" s="88">
        <v>952416</v>
      </c>
      <c r="G125" s="30"/>
      <c r="H125" s="30"/>
      <c r="P125" s="70"/>
    </row>
    <row r="126" spans="1:16" s="2" customFormat="1" x14ac:dyDescent="0.2">
      <c r="A126" s="87">
        <v>45363</v>
      </c>
      <c r="B126" s="120" t="s">
        <v>6</v>
      </c>
      <c r="C126" s="75" t="s">
        <v>18</v>
      </c>
      <c r="D126" s="88">
        <v>591483</v>
      </c>
      <c r="G126" s="30"/>
      <c r="H126" s="30"/>
      <c r="P126" s="70"/>
    </row>
    <row r="127" spans="1:16" s="2" customFormat="1" x14ac:dyDescent="0.2">
      <c r="A127" s="87">
        <v>45364</v>
      </c>
      <c r="B127" s="120" t="s">
        <v>6</v>
      </c>
      <c r="C127" s="75" t="s">
        <v>85</v>
      </c>
      <c r="D127" s="88">
        <v>701638</v>
      </c>
      <c r="G127" s="30"/>
      <c r="H127" s="30"/>
      <c r="P127" s="70"/>
    </row>
    <row r="128" spans="1:16" s="2" customFormat="1" x14ac:dyDescent="0.2">
      <c r="A128" s="87">
        <v>45364</v>
      </c>
      <c r="B128" s="120" t="s">
        <v>6</v>
      </c>
      <c r="C128" s="75" t="s">
        <v>86</v>
      </c>
      <c r="D128" s="88">
        <v>1887871</v>
      </c>
      <c r="G128" s="30"/>
      <c r="H128" s="30"/>
      <c r="P128" s="70"/>
    </row>
    <row r="129" spans="1:16" s="2" customFormat="1" x14ac:dyDescent="0.2">
      <c r="A129" s="87">
        <v>45365</v>
      </c>
      <c r="B129" s="120" t="s">
        <v>6</v>
      </c>
      <c r="C129" s="75" t="s">
        <v>18</v>
      </c>
      <c r="D129" s="88">
        <v>1006330</v>
      </c>
      <c r="G129" s="30"/>
      <c r="H129" s="30"/>
      <c r="P129" s="70"/>
    </row>
    <row r="130" spans="1:16" s="2" customFormat="1" x14ac:dyDescent="0.2">
      <c r="A130" s="87">
        <v>45365</v>
      </c>
      <c r="B130" s="120" t="s">
        <v>6</v>
      </c>
      <c r="C130" s="75" t="s">
        <v>18</v>
      </c>
      <c r="D130" s="88">
        <v>5597</v>
      </c>
      <c r="G130" s="30"/>
      <c r="H130" s="30"/>
      <c r="P130" s="70"/>
    </row>
    <row r="131" spans="1:16" s="2" customFormat="1" x14ac:dyDescent="0.2">
      <c r="A131" s="87">
        <v>45366</v>
      </c>
      <c r="B131" s="120" t="s">
        <v>6</v>
      </c>
      <c r="C131" s="75" t="s">
        <v>201</v>
      </c>
      <c r="D131" s="88">
        <v>6161756</v>
      </c>
      <c r="G131" s="30"/>
      <c r="H131" s="30"/>
      <c r="P131" s="70"/>
    </row>
    <row r="132" spans="1:16" s="2" customFormat="1" x14ac:dyDescent="0.2">
      <c r="A132" s="87">
        <v>45366</v>
      </c>
      <c r="B132" s="120" t="s">
        <v>6</v>
      </c>
      <c r="C132" s="75" t="s">
        <v>1789</v>
      </c>
      <c r="D132" s="88">
        <v>7500000</v>
      </c>
      <c r="G132" s="30"/>
      <c r="H132" s="30"/>
      <c r="P132" s="70"/>
    </row>
    <row r="133" spans="1:16" s="2" customFormat="1" x14ac:dyDescent="0.2">
      <c r="A133" s="87">
        <v>45366</v>
      </c>
      <c r="B133" s="120" t="s">
        <v>6</v>
      </c>
      <c r="C133" s="75" t="s">
        <v>85</v>
      </c>
      <c r="D133" s="88">
        <v>306349</v>
      </c>
      <c r="G133" s="30"/>
      <c r="H133" s="30"/>
      <c r="P133" s="70"/>
    </row>
    <row r="134" spans="1:16" s="2" customFormat="1" x14ac:dyDescent="0.2">
      <c r="A134" s="87">
        <v>45366</v>
      </c>
      <c r="B134" s="120" t="s">
        <v>6</v>
      </c>
      <c r="C134" s="75" t="s">
        <v>85</v>
      </c>
      <c r="D134" s="88">
        <v>400000</v>
      </c>
      <c r="G134" s="30"/>
      <c r="H134" s="30"/>
      <c r="P134" s="70"/>
    </row>
    <row r="135" spans="1:16" s="2" customFormat="1" x14ac:dyDescent="0.2">
      <c r="A135" s="87">
        <v>45366</v>
      </c>
      <c r="B135" s="120" t="s">
        <v>6</v>
      </c>
      <c r="C135" s="75" t="s">
        <v>87</v>
      </c>
      <c r="D135" s="88">
        <v>4850915</v>
      </c>
      <c r="G135" s="30"/>
      <c r="H135" s="30"/>
      <c r="P135" s="70"/>
    </row>
    <row r="136" spans="1:16" s="2" customFormat="1" x14ac:dyDescent="0.2">
      <c r="A136" s="87">
        <v>45366</v>
      </c>
      <c r="B136" s="120" t="s">
        <v>6</v>
      </c>
      <c r="C136" s="75" t="s">
        <v>88</v>
      </c>
      <c r="D136" s="88">
        <v>5232207.0599999996</v>
      </c>
      <c r="G136" s="30"/>
      <c r="H136" s="30"/>
      <c r="P136" s="70"/>
    </row>
    <row r="137" spans="1:16" s="2" customFormat="1" x14ac:dyDescent="0.2">
      <c r="A137" s="87">
        <v>45366</v>
      </c>
      <c r="B137" s="120" t="s">
        <v>6</v>
      </c>
      <c r="C137" s="75" t="s">
        <v>201</v>
      </c>
      <c r="D137" s="88">
        <v>9960808.3800000008</v>
      </c>
      <c r="G137" s="30"/>
      <c r="H137" s="30"/>
      <c r="P137" s="70"/>
    </row>
    <row r="138" spans="1:16" s="2" customFormat="1" x14ac:dyDescent="0.2">
      <c r="A138" s="87">
        <v>45366</v>
      </c>
      <c r="B138" s="120" t="s">
        <v>6</v>
      </c>
      <c r="C138" s="75" t="s">
        <v>86</v>
      </c>
      <c r="D138" s="88">
        <v>7162826</v>
      </c>
      <c r="G138" s="30"/>
      <c r="H138" s="30"/>
      <c r="P138" s="70"/>
    </row>
    <row r="139" spans="1:16" s="2" customFormat="1" x14ac:dyDescent="0.2">
      <c r="A139" s="87">
        <v>45366</v>
      </c>
      <c r="B139" s="120" t="s">
        <v>6</v>
      </c>
      <c r="C139" s="75" t="s">
        <v>323</v>
      </c>
      <c r="D139" s="88">
        <v>1044131</v>
      </c>
      <c r="G139" s="30"/>
      <c r="H139" s="30"/>
      <c r="P139" s="70"/>
    </row>
    <row r="140" spans="1:16" s="2" customFormat="1" x14ac:dyDescent="0.2">
      <c r="A140" s="87">
        <v>45366</v>
      </c>
      <c r="B140" s="120" t="s">
        <v>6</v>
      </c>
      <c r="C140" s="75" t="s">
        <v>1789</v>
      </c>
      <c r="D140" s="88">
        <v>39309</v>
      </c>
      <c r="G140" s="30"/>
      <c r="H140" s="30"/>
      <c r="P140" s="70"/>
    </row>
    <row r="141" spans="1:16" s="2" customFormat="1" x14ac:dyDescent="0.2">
      <c r="A141" s="87">
        <v>45366</v>
      </c>
      <c r="B141" s="120" t="s">
        <v>6</v>
      </c>
      <c r="C141" s="75" t="s">
        <v>88</v>
      </c>
      <c r="D141" s="88">
        <v>30421</v>
      </c>
      <c r="G141" s="30"/>
      <c r="H141" s="30"/>
      <c r="P141" s="70"/>
    </row>
    <row r="142" spans="1:16" s="2" customFormat="1" x14ac:dyDescent="0.2">
      <c r="A142" s="87">
        <v>45366</v>
      </c>
      <c r="B142" s="120" t="s">
        <v>6</v>
      </c>
      <c r="C142" s="75" t="s">
        <v>270</v>
      </c>
      <c r="D142" s="88">
        <v>76786</v>
      </c>
      <c r="G142" s="30"/>
      <c r="H142" s="30"/>
      <c r="P142" s="70"/>
    </row>
    <row r="143" spans="1:16" s="2" customFormat="1" x14ac:dyDescent="0.2">
      <c r="A143" s="87">
        <v>45366</v>
      </c>
      <c r="B143" s="120" t="s">
        <v>6</v>
      </c>
      <c r="C143" s="75" t="s">
        <v>270</v>
      </c>
      <c r="D143" s="88">
        <v>30283.5</v>
      </c>
      <c r="G143" s="30"/>
      <c r="H143" s="30"/>
      <c r="P143" s="70"/>
    </row>
    <row r="144" spans="1:16" s="2" customFormat="1" x14ac:dyDescent="0.2">
      <c r="A144" s="87">
        <v>45367</v>
      </c>
      <c r="B144" s="120" t="s">
        <v>6</v>
      </c>
      <c r="C144" s="75" t="s">
        <v>594</v>
      </c>
      <c r="D144" s="88">
        <v>5010276</v>
      </c>
      <c r="G144" s="30"/>
      <c r="H144" s="30"/>
      <c r="P144" s="70"/>
    </row>
    <row r="145" spans="1:16" s="2" customFormat="1" x14ac:dyDescent="0.2">
      <c r="A145" s="87">
        <v>45369</v>
      </c>
      <c r="B145" s="120" t="s">
        <v>6</v>
      </c>
      <c r="C145" s="75" t="s">
        <v>86</v>
      </c>
      <c r="D145" s="88">
        <v>5267306</v>
      </c>
      <c r="G145" s="30"/>
      <c r="H145" s="30"/>
      <c r="P145" s="70"/>
    </row>
    <row r="146" spans="1:16" s="2" customFormat="1" x14ac:dyDescent="0.2">
      <c r="A146" s="87">
        <v>45371</v>
      </c>
      <c r="B146" s="120" t="s">
        <v>6</v>
      </c>
      <c r="C146" s="75" t="s">
        <v>1789</v>
      </c>
      <c r="D146" s="88">
        <v>7500000</v>
      </c>
      <c r="G146" s="30"/>
      <c r="H146" s="30"/>
      <c r="P146" s="70"/>
    </row>
    <row r="147" spans="1:16" s="2" customFormat="1" x14ac:dyDescent="0.2">
      <c r="A147" s="87">
        <v>45371</v>
      </c>
      <c r="B147" s="120" t="s">
        <v>6</v>
      </c>
      <c r="C147" s="75" t="s">
        <v>271</v>
      </c>
      <c r="D147" s="88">
        <v>1203166</v>
      </c>
      <c r="G147" s="30"/>
      <c r="H147" s="30"/>
      <c r="P147" s="70"/>
    </row>
    <row r="148" spans="1:16" s="2" customFormat="1" x14ac:dyDescent="0.2">
      <c r="A148" s="87">
        <v>45372</v>
      </c>
      <c r="B148" s="120" t="s">
        <v>6</v>
      </c>
      <c r="C148" s="75" t="s">
        <v>85</v>
      </c>
      <c r="D148" s="88">
        <v>408027</v>
      </c>
      <c r="G148" s="30"/>
      <c r="H148" s="30"/>
      <c r="P148" s="70"/>
    </row>
    <row r="149" spans="1:16" s="2" customFormat="1" x14ac:dyDescent="0.2">
      <c r="A149" s="87">
        <v>45373</v>
      </c>
      <c r="B149" s="120" t="s">
        <v>6</v>
      </c>
      <c r="C149" s="75" t="s">
        <v>84</v>
      </c>
      <c r="D149" s="88">
        <v>5000000</v>
      </c>
      <c r="G149" s="30"/>
      <c r="H149" s="30"/>
      <c r="P149" s="70"/>
    </row>
    <row r="150" spans="1:16" s="2" customFormat="1" x14ac:dyDescent="0.2">
      <c r="A150" s="87">
        <v>45373</v>
      </c>
      <c r="B150" s="120" t="s">
        <v>6</v>
      </c>
      <c r="C150" s="75" t="s">
        <v>270</v>
      </c>
      <c r="D150" s="88">
        <v>121900</v>
      </c>
      <c r="G150" s="30"/>
      <c r="H150" s="30"/>
      <c r="P150" s="70"/>
    </row>
    <row r="151" spans="1:16" s="2" customFormat="1" x14ac:dyDescent="0.2">
      <c r="A151" s="87">
        <v>45377</v>
      </c>
      <c r="B151" s="120" t="s">
        <v>6</v>
      </c>
      <c r="C151" s="75" t="s">
        <v>85</v>
      </c>
      <c r="D151" s="88">
        <v>132254</v>
      </c>
      <c r="G151" s="30"/>
      <c r="H151" s="30"/>
      <c r="P151" s="70"/>
    </row>
    <row r="152" spans="1:16" s="2" customFormat="1" x14ac:dyDescent="0.2">
      <c r="A152" s="87">
        <v>45377</v>
      </c>
      <c r="B152" s="120" t="s">
        <v>6</v>
      </c>
      <c r="C152" s="75" t="s">
        <v>201</v>
      </c>
      <c r="D152" s="88">
        <v>4334854</v>
      </c>
      <c r="G152" s="30"/>
      <c r="H152" s="30"/>
      <c r="P152" s="70"/>
    </row>
    <row r="153" spans="1:16" s="2" customFormat="1" x14ac:dyDescent="0.2">
      <c r="A153" s="87">
        <v>45377</v>
      </c>
      <c r="B153" s="120" t="s">
        <v>6</v>
      </c>
      <c r="C153" s="75" t="s">
        <v>1789</v>
      </c>
      <c r="D153" s="88">
        <v>1744249</v>
      </c>
      <c r="G153" s="30"/>
      <c r="H153" s="30"/>
      <c r="P153" s="70"/>
    </row>
    <row r="154" spans="1:16" s="2" customFormat="1" x14ac:dyDescent="0.2">
      <c r="A154" s="87">
        <v>45377</v>
      </c>
      <c r="B154" s="120" t="s">
        <v>6</v>
      </c>
      <c r="C154" s="75" t="s">
        <v>87</v>
      </c>
      <c r="D154" s="88">
        <v>2240377</v>
      </c>
      <c r="G154" s="30"/>
      <c r="H154" s="30"/>
      <c r="P154" s="70"/>
    </row>
    <row r="155" spans="1:16" s="2" customFormat="1" x14ac:dyDescent="0.2">
      <c r="A155" s="87"/>
      <c r="B155" s="74"/>
      <c r="C155" s="183" t="s">
        <v>2141</v>
      </c>
      <c r="D155" s="51">
        <f>SUM(D114:D154)</f>
        <v>94179380.939999998</v>
      </c>
      <c r="F155" s="2" t="s">
        <v>396</v>
      </c>
      <c r="G155" s="1"/>
      <c r="H155" s="1"/>
      <c r="P155" s="70"/>
    </row>
    <row r="156" spans="1:16" s="2" customFormat="1" x14ac:dyDescent="0.2">
      <c r="A156" s="24"/>
      <c r="B156" s="1"/>
      <c r="C156" s="14"/>
      <c r="D156" s="56"/>
      <c r="E156" s="13"/>
      <c r="G156" s="1"/>
      <c r="H156" s="1"/>
      <c r="I156" s="2" t="s">
        <v>396</v>
      </c>
    </row>
    <row r="157" spans="1:16" s="2" customFormat="1" x14ac:dyDescent="0.2">
      <c r="A157" s="24"/>
      <c r="B157" s="1"/>
      <c r="C157" s="218" t="s">
        <v>77</v>
      </c>
      <c r="D157" s="219"/>
      <c r="E157" s="219"/>
      <c r="F157" s="220"/>
      <c r="I157" s="2" t="s">
        <v>396</v>
      </c>
    </row>
    <row r="158" spans="1:16" s="2" customFormat="1" x14ac:dyDescent="0.2">
      <c r="A158" s="24"/>
      <c r="B158" s="1"/>
      <c r="C158" s="50"/>
      <c r="D158" s="57" t="s">
        <v>78</v>
      </c>
      <c r="E158" s="58" t="s">
        <v>79</v>
      </c>
      <c r="F158" s="57" t="s">
        <v>72</v>
      </c>
    </row>
    <row r="159" spans="1:16" s="2" customFormat="1" x14ac:dyDescent="0.2">
      <c r="A159" s="24"/>
      <c r="B159" s="1"/>
      <c r="C159" s="59" t="str">
        <f>"01-03-2024 to "&amp;TEXT(A5-2,"dd-mm-yyyy")</f>
        <v>01-03-2024 to 26-03-2024</v>
      </c>
      <c r="D159" s="60">
        <v>4109.1099999999997</v>
      </c>
      <c r="E159" s="60">
        <v>567.4</v>
      </c>
      <c r="F159" s="61">
        <f>SUM(D159:E159)</f>
        <v>4676.5099999999993</v>
      </c>
      <c r="I159" s="53"/>
    </row>
    <row r="160" spans="1:16" s="2" customFormat="1" x14ac:dyDescent="0.2">
      <c r="A160" s="24"/>
      <c r="B160" s="1"/>
      <c r="C160" s="62" t="str">
        <f>TEXT(A5-1,"dd-mm-yyyy")</f>
        <v>27-03-2024</v>
      </c>
      <c r="D160" s="60">
        <v>141.36000000000001</v>
      </c>
      <c r="E160" s="60">
        <v>9.5</v>
      </c>
      <c r="F160" s="61">
        <f>SUM(D160:E160)</f>
        <v>150.86000000000001</v>
      </c>
      <c r="G160" s="1"/>
      <c r="H160" s="1"/>
      <c r="I160" s="53"/>
    </row>
    <row r="161" spans="1:19" s="2" customFormat="1" ht="13.5" thickBot="1" x14ac:dyDescent="0.25">
      <c r="A161" s="24"/>
      <c r="B161" s="1"/>
      <c r="C161" s="63" t="str">
        <f>"01-03-2024 to "&amp;TEXT(A5-1,"dd-mm-yyyy")</f>
        <v>01-03-2024 to 27-03-2024</v>
      </c>
      <c r="D161" s="64">
        <f>SUM(D159:D160)</f>
        <v>4250.4699999999993</v>
      </c>
      <c r="E161" s="64">
        <f>SUM(E159:E160)</f>
        <v>576.9</v>
      </c>
      <c r="F161" s="64">
        <f>SUM(F159:F160)</f>
        <v>4827.369999999999</v>
      </c>
      <c r="G161" s="1"/>
      <c r="H161" s="1"/>
      <c r="M161" s="1"/>
      <c r="N161" s="1"/>
    </row>
    <row r="162" spans="1:19" s="2" customFormat="1" ht="13.5" thickTop="1" x14ac:dyDescent="0.2">
      <c r="A162" s="24"/>
      <c r="B162" s="1"/>
      <c r="C162" s="62"/>
      <c r="D162" s="65"/>
      <c r="E162" s="66"/>
      <c r="F162" s="67"/>
      <c r="M162" s="1"/>
      <c r="N162" s="1"/>
    </row>
    <row r="163" spans="1:19" s="2" customFormat="1" x14ac:dyDescent="0.2">
      <c r="A163" s="24"/>
      <c r="B163" s="1"/>
      <c r="C163" s="62" t="str">
        <f>"01-04-2023 to " &amp;C160</f>
        <v>01-04-2023 to 27-03-2024</v>
      </c>
      <c r="D163" s="68">
        <f>+D161+41127.88</f>
        <v>45378.35</v>
      </c>
      <c r="E163" s="68">
        <f>+E161+5179.64</f>
        <v>5756.54</v>
      </c>
      <c r="F163" s="68">
        <f>+F161+46316.49</f>
        <v>51143.86</v>
      </c>
      <c r="G163" s="1"/>
      <c r="H163" s="1"/>
      <c r="M163" s="1"/>
      <c r="N163" s="1"/>
    </row>
    <row r="164" spans="1:19" s="2" customFormat="1" x14ac:dyDescent="0.2">
      <c r="A164" s="24"/>
      <c r="B164" s="1"/>
      <c r="C164" s="52"/>
      <c r="D164" s="85"/>
      <c r="E164" s="53"/>
      <c r="F164" s="53"/>
      <c r="G164" s="1"/>
      <c r="H164" s="1"/>
      <c r="M164" s="1"/>
      <c r="N164" s="1"/>
    </row>
    <row r="165" spans="1:19" s="2" customFormat="1" x14ac:dyDescent="0.2">
      <c r="A165" s="24"/>
      <c r="B165" s="1"/>
      <c r="C165" s="52"/>
      <c r="D165" s="85"/>
      <c r="E165" s="53"/>
      <c r="F165" s="53"/>
      <c r="G165" s="1"/>
      <c r="H165" s="1"/>
      <c r="M165" s="1"/>
      <c r="N165" s="1"/>
    </row>
    <row r="166" spans="1:19" s="2" customFormat="1" x14ac:dyDescent="0.2">
      <c r="A166" s="24"/>
      <c r="B166" s="1"/>
      <c r="C166" s="52"/>
      <c r="D166" s="85"/>
      <c r="E166" s="53"/>
      <c r="F166" s="53"/>
      <c r="G166" s="1"/>
      <c r="H166" s="1"/>
      <c r="M166" s="1"/>
      <c r="N166" s="1"/>
    </row>
    <row r="167" spans="1:19" s="2" customFormat="1" x14ac:dyDescent="0.2">
      <c r="A167" s="24"/>
      <c r="B167" s="1"/>
      <c r="C167" s="52"/>
      <c r="D167" s="85"/>
      <c r="E167" s="53"/>
      <c r="F167" s="53"/>
      <c r="G167" s="1"/>
      <c r="H167" s="1"/>
      <c r="M167" s="1"/>
      <c r="N167" s="1"/>
    </row>
    <row r="168" spans="1:19" s="2" customFormat="1" x14ac:dyDescent="0.2">
      <c r="A168" s="24"/>
      <c r="B168" s="1"/>
      <c r="C168" s="14"/>
      <c r="D168" s="25">
        <f>SUM(D165:D167)</f>
        <v>0</v>
      </c>
      <c r="E168" s="2">
        <f>SUM(E165:E167)</f>
        <v>0</v>
      </c>
      <c r="G168" s="1"/>
      <c r="H168" s="1"/>
      <c r="M168" s="1"/>
      <c r="N168" s="1"/>
    </row>
    <row r="169" spans="1:19" s="2" customFormat="1" x14ac:dyDescent="0.2">
      <c r="A169" s="24"/>
      <c r="B169" s="1"/>
      <c r="C169" s="14"/>
      <c r="D169" s="25"/>
      <c r="G169" s="1"/>
      <c r="H169" s="1"/>
      <c r="M169" s="1"/>
      <c r="N169" s="1"/>
    </row>
    <row r="170" spans="1:19" s="2" customFormat="1" x14ac:dyDescent="0.2">
      <c r="A170" s="24"/>
      <c r="B170" s="1"/>
      <c r="C170" s="14"/>
      <c r="D170" s="25"/>
      <c r="G170" s="1"/>
      <c r="H170" s="1"/>
      <c r="M170" s="1"/>
      <c r="N170" s="1"/>
    </row>
    <row r="171" spans="1:19" s="2" customFormat="1" x14ac:dyDescent="0.2">
      <c r="A171" s="24"/>
      <c r="B171" s="1"/>
      <c r="C171" s="14"/>
      <c r="D171" s="25"/>
      <c r="G171" s="1"/>
      <c r="H171" s="1"/>
      <c r="M171" s="1"/>
      <c r="N171" s="1"/>
    </row>
    <row r="172" spans="1:19" s="2" customFormat="1" x14ac:dyDescent="0.2">
      <c r="A172" s="24"/>
      <c r="B172" s="1"/>
      <c r="C172" s="14"/>
      <c r="D172" s="25"/>
      <c r="G172" s="1"/>
      <c r="H172" s="1"/>
      <c r="M172" s="1"/>
      <c r="N172" s="1"/>
    </row>
    <row r="173" spans="1:19" s="2" customFormat="1" x14ac:dyDescent="0.2">
      <c r="A173" s="24"/>
      <c r="B173" s="1"/>
      <c r="C173" s="14"/>
      <c r="D173" s="25"/>
      <c r="G173" s="1"/>
      <c r="H173" s="1"/>
      <c r="M173" s="1"/>
      <c r="N173" s="1"/>
    </row>
    <row r="174" spans="1:19" s="2" customFormat="1" x14ac:dyDescent="0.2">
      <c r="A174" s="24"/>
      <c r="B174" s="1"/>
      <c r="C174" s="14"/>
      <c r="D174" s="25"/>
      <c r="G174" s="1"/>
      <c r="H174" s="1"/>
      <c r="M174" s="1"/>
      <c r="N174" s="1"/>
    </row>
    <row r="175" spans="1:19" s="2" customFormat="1" x14ac:dyDescent="0.2">
      <c r="A175" s="24"/>
      <c r="B175" s="1"/>
      <c r="C175" s="14"/>
      <c r="D175" s="25"/>
      <c r="G175" s="1"/>
      <c r="H175" s="1"/>
      <c r="M175" s="1"/>
      <c r="N175" s="1"/>
      <c r="Q175" s="1"/>
      <c r="R175" s="1"/>
      <c r="S175" s="1"/>
    </row>
    <row r="176" spans="1:19" x14ac:dyDescent="0.2">
      <c r="J176" s="2"/>
      <c r="K176" s="2"/>
      <c r="L176" s="2"/>
      <c r="O176" s="2"/>
      <c r="P176" s="2"/>
      <c r="Q176" s="2"/>
      <c r="R176" s="2"/>
      <c r="S176" s="2"/>
    </row>
    <row r="177" spans="1:19" s="2" customFormat="1" x14ac:dyDescent="0.2">
      <c r="A177" s="24"/>
      <c r="B177" s="1"/>
      <c r="C177" s="14"/>
      <c r="D177" s="25"/>
      <c r="G177" s="1"/>
      <c r="H177" s="1"/>
      <c r="M177" s="1"/>
      <c r="N177" s="1"/>
      <c r="Q177" s="1"/>
      <c r="R177" s="1"/>
      <c r="S177" s="1"/>
    </row>
    <row r="178" spans="1:19" x14ac:dyDescent="0.2">
      <c r="J178" s="2"/>
      <c r="K178" s="2"/>
      <c r="L178" s="2"/>
      <c r="O178" s="2"/>
      <c r="P178" s="2"/>
    </row>
    <row r="179" spans="1:19" x14ac:dyDescent="0.2">
      <c r="J179" s="2"/>
      <c r="K179" s="2"/>
      <c r="L179" s="2"/>
      <c r="O179" s="2"/>
      <c r="P179" s="2"/>
    </row>
    <row r="180" spans="1:19" x14ac:dyDescent="0.2">
      <c r="J180" s="2"/>
      <c r="K180" s="2"/>
      <c r="L180" s="2"/>
      <c r="O180" s="2"/>
      <c r="P180" s="2"/>
    </row>
    <row r="181" spans="1:19" x14ac:dyDescent="0.2">
      <c r="J181" s="2"/>
      <c r="K181" s="2"/>
      <c r="L181" s="2"/>
      <c r="O181" s="2"/>
      <c r="P181" s="2"/>
    </row>
    <row r="182" spans="1:19" x14ac:dyDescent="0.2">
      <c r="O182" s="2"/>
      <c r="P182" s="2"/>
    </row>
    <row r="183" spans="1:19" x14ac:dyDescent="0.2">
      <c r="J183" s="2"/>
      <c r="K183" s="2"/>
      <c r="L183" s="2"/>
      <c r="M183" s="2"/>
      <c r="N183" s="2"/>
      <c r="O183" s="2"/>
      <c r="P183" s="2"/>
    </row>
    <row r="184" spans="1:19" x14ac:dyDescent="0.2">
      <c r="O184" s="2"/>
      <c r="P184" s="2"/>
    </row>
    <row r="185" spans="1:19" x14ac:dyDescent="0.2">
      <c r="G185" s="54"/>
      <c r="H185" s="54"/>
      <c r="O185" s="2"/>
      <c r="P185" s="2"/>
    </row>
    <row r="186" spans="1:19" x14ac:dyDescent="0.2">
      <c r="G186" s="54"/>
      <c r="H186" s="54"/>
      <c r="O186" s="2"/>
      <c r="P186" s="2"/>
    </row>
    <row r="187" spans="1:19" x14ac:dyDescent="0.2">
      <c r="G187" s="54"/>
      <c r="H187" s="54"/>
      <c r="O187" s="2"/>
      <c r="P187" s="2"/>
    </row>
    <row r="188" spans="1:19" x14ac:dyDescent="0.2">
      <c r="G188" s="54"/>
      <c r="H188" s="54"/>
      <c r="I188" s="2" t="s">
        <v>396</v>
      </c>
      <c r="O188" s="2"/>
      <c r="P188" s="2"/>
    </row>
    <row r="189" spans="1:19" x14ac:dyDescent="0.2">
      <c r="G189" s="54"/>
      <c r="H189" s="54"/>
      <c r="I189" s="53"/>
      <c r="J189" s="2"/>
      <c r="K189" s="2"/>
      <c r="L189" s="2"/>
      <c r="M189" s="2"/>
      <c r="N189" s="2"/>
      <c r="P189" s="2"/>
    </row>
    <row r="190" spans="1:19" x14ac:dyDescent="0.2">
      <c r="G190" s="54"/>
      <c r="H190" s="54"/>
      <c r="I190" s="53" t="s">
        <v>396</v>
      </c>
      <c r="O190" s="2"/>
      <c r="P190" s="2"/>
    </row>
    <row r="191" spans="1:19" x14ac:dyDescent="0.2">
      <c r="G191" s="54"/>
      <c r="H191" s="54"/>
      <c r="I191" s="53" t="s">
        <v>396</v>
      </c>
      <c r="K191" s="42"/>
      <c r="P191" s="2"/>
    </row>
    <row r="192" spans="1:19" x14ac:dyDescent="0.2">
      <c r="G192" s="54"/>
      <c r="H192" s="54"/>
      <c r="I192" s="53"/>
      <c r="J192" s="101"/>
      <c r="P192" s="2"/>
    </row>
    <row r="193" spans="7:16" x14ac:dyDescent="0.2">
      <c r="G193" s="54"/>
      <c r="H193" s="54"/>
      <c r="I193" s="53"/>
    </row>
    <row r="194" spans="7:16" x14ac:dyDescent="0.2">
      <c r="G194" s="54"/>
      <c r="H194" s="54"/>
      <c r="I194" s="53"/>
      <c r="P194" s="2"/>
    </row>
    <row r="195" spans="7:16" x14ac:dyDescent="0.2">
      <c r="G195" s="54"/>
      <c r="H195" s="54"/>
      <c r="I195" s="53"/>
    </row>
  </sheetData>
  <sheetProtection insertRows="0"/>
  <mergeCells count="8">
    <mergeCell ref="K105:L105"/>
    <mergeCell ref="A112:D112"/>
    <mergeCell ref="C157:F157"/>
    <mergeCell ref="A1:H1"/>
    <mergeCell ref="A3:F3"/>
    <mergeCell ref="A9:F9"/>
    <mergeCell ref="A36:F36"/>
    <mergeCell ref="A49:F49"/>
  </mergeCells>
  <conditionalFormatting sqref="H109:H110">
    <cfRule type="cellIs" dxfId="7" priority="1" operator="lessThan">
      <formula>0</formula>
    </cfRule>
  </conditionalFormatting>
  <conditionalFormatting sqref="C51">
    <cfRule type="duplicateValues" dxfId="6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1-000000000000}">
  <sheetPr codeName="Sheet583">
    <pageSetUpPr fitToPage="1"/>
  </sheetPr>
  <dimension ref="A1:S182"/>
  <sheetViews>
    <sheetView topLeftCell="A55" zoomScaleNormal="100" workbookViewId="0">
      <selection activeCell="G81" sqref="G81"/>
    </sheetView>
  </sheetViews>
  <sheetFormatPr defaultColWidth="9.140625" defaultRowHeight="12.75" x14ac:dyDescent="0.2"/>
  <cols>
    <col min="1" max="1" width="10.28515625" style="24" bestFit="1" customWidth="1"/>
    <col min="2" max="2" width="4.28515625" style="1" customWidth="1"/>
    <col min="3" max="3" width="50.5703125" style="14" bestFit="1" customWidth="1"/>
    <col min="4" max="4" width="19.85546875" style="25" bestFit="1" customWidth="1"/>
    <col min="5" max="5" width="16.28515625" style="2" bestFit="1" customWidth="1"/>
    <col min="6" max="6" width="15.28515625" style="2" bestFit="1" customWidth="1"/>
    <col min="7" max="7" width="13" style="1" bestFit="1" customWidth="1"/>
    <col min="8" max="8" width="12.85546875" style="1" customWidth="1"/>
    <col min="9" max="9" width="25" style="2" bestFit="1" customWidth="1"/>
    <col min="10" max="10" width="21.7109375" style="1" bestFit="1" customWidth="1"/>
    <col min="11" max="11" width="17" style="1" bestFit="1" customWidth="1"/>
    <col min="12" max="12" width="19.7109375" style="1" bestFit="1" customWidth="1"/>
    <col min="13" max="13" width="13.7109375" style="1" bestFit="1" customWidth="1"/>
    <col min="14" max="14" width="17.5703125" style="1" bestFit="1" customWidth="1"/>
    <col min="15" max="15" width="14.7109375" style="1" bestFit="1" customWidth="1"/>
    <col min="16" max="16" width="14.5703125" style="1" bestFit="1" customWidth="1"/>
    <col min="17" max="17" width="9.140625" style="1"/>
    <col min="18" max="18" width="15.5703125" style="1" bestFit="1" customWidth="1"/>
    <col min="19" max="16384" width="9.140625" style="1"/>
  </cols>
  <sheetData>
    <row r="1" spans="1:11" ht="20.25" customHeight="1" x14ac:dyDescent="0.4">
      <c r="A1" s="212" t="s">
        <v>2283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1" ht="12.75" customHeight="1" x14ac:dyDescent="0.4">
      <c r="I2" s="112"/>
      <c r="J2" s="112"/>
    </row>
    <row r="3" spans="1:11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1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1" s="13" customFormat="1" ht="14.25" customHeight="1" x14ac:dyDescent="0.4">
      <c r="A5" s="97">
        <v>45380</v>
      </c>
      <c r="B5" s="98" t="s">
        <v>6</v>
      </c>
      <c r="C5" s="121" t="s">
        <v>7</v>
      </c>
      <c r="D5" s="122"/>
      <c r="E5" s="38">
        <v>98894.84</v>
      </c>
      <c r="F5" s="38"/>
      <c r="G5" s="23"/>
      <c r="H5" s="23"/>
      <c r="I5" s="123"/>
      <c r="J5" s="123"/>
    </row>
    <row r="6" spans="1:11" s="2" customFormat="1" ht="12.75" customHeight="1" x14ac:dyDescent="0.2">
      <c r="D6" s="15" t="s">
        <v>8</v>
      </c>
      <c r="E6" s="16">
        <f>SUM(E5:E5)</f>
        <v>98894.84</v>
      </c>
      <c r="F6" s="16">
        <f>+F5</f>
        <v>0</v>
      </c>
      <c r="G6" s="1"/>
      <c r="H6" s="1"/>
      <c r="I6" s="13" t="s">
        <v>1582</v>
      </c>
      <c r="J6" s="13" t="s">
        <v>1583</v>
      </c>
    </row>
    <row r="7" spans="1:11" s="2" customFormat="1" ht="12.75" customHeight="1" x14ac:dyDescent="0.2">
      <c r="A7" s="17"/>
      <c r="B7" s="18"/>
      <c r="C7" s="19" t="s">
        <v>9</v>
      </c>
      <c r="D7" s="20"/>
      <c r="E7" s="21">
        <f>+E6-F6</f>
        <v>98894.84</v>
      </c>
      <c r="F7" s="22"/>
      <c r="G7" s="23"/>
      <c r="H7" s="23"/>
      <c r="I7" s="2">
        <v>1513543</v>
      </c>
      <c r="J7" s="2">
        <v>0</v>
      </c>
      <c r="K7" s="176">
        <f>I7-J7</f>
        <v>1513543</v>
      </c>
    </row>
    <row r="8" spans="1:11" ht="11.25" customHeight="1" x14ac:dyDescent="0.4">
      <c r="I8" s="112"/>
      <c r="J8" s="112"/>
    </row>
    <row r="9" spans="1:11" ht="18" customHeight="1" x14ac:dyDescent="0.4">
      <c r="A9" s="213" t="s">
        <v>2103</v>
      </c>
      <c r="B9" s="213"/>
      <c r="C9" s="213"/>
      <c r="D9" s="213"/>
      <c r="E9" s="213"/>
      <c r="F9" s="213"/>
      <c r="I9" s="112"/>
      <c r="J9" s="112"/>
    </row>
    <row r="10" spans="1:11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I10" s="112"/>
      <c r="J10" s="112"/>
    </row>
    <row r="11" spans="1:11" ht="15" customHeight="1" x14ac:dyDescent="0.4">
      <c r="A11" s="204">
        <v>45380</v>
      </c>
      <c r="B11" s="205" t="s">
        <v>6</v>
      </c>
      <c r="C11" s="206" t="s">
        <v>7</v>
      </c>
      <c r="D11" s="122"/>
      <c r="E11" s="203">
        <v>2716991.74</v>
      </c>
      <c r="F11" s="200"/>
      <c r="I11" s="112"/>
      <c r="J11" s="112"/>
    </row>
    <row r="12" spans="1:11" ht="15.75" customHeight="1" x14ac:dyDescent="0.4">
      <c r="A12" s="202">
        <v>45380</v>
      </c>
      <c r="B12" s="199" t="s">
        <v>6</v>
      </c>
      <c r="C12" s="163" t="s">
        <v>1091</v>
      </c>
      <c r="D12" s="11" t="s">
        <v>29</v>
      </c>
      <c r="E12" s="198"/>
      <c r="F12" s="164">
        <v>1180</v>
      </c>
      <c r="I12" s="112"/>
      <c r="J12" s="112"/>
    </row>
    <row r="13" spans="1:11" ht="12.75" customHeight="1" x14ac:dyDescent="0.2">
      <c r="A13" s="2"/>
      <c r="B13" s="2"/>
      <c r="C13" s="2"/>
      <c r="D13" s="11" t="s">
        <v>8</v>
      </c>
      <c r="E13" s="16">
        <f>SUM(E11:E12)</f>
        <v>2716991.74</v>
      </c>
      <c r="F13" s="16">
        <f>SUM(F12:F12)</f>
        <v>1180</v>
      </c>
      <c r="I13" s="13" t="s">
        <v>1582</v>
      </c>
      <c r="J13" s="13" t="s">
        <v>1583</v>
      </c>
    </row>
    <row r="14" spans="1:11" x14ac:dyDescent="0.2">
      <c r="A14" s="17"/>
      <c r="B14" s="18"/>
      <c r="C14" s="19" t="s">
        <v>9</v>
      </c>
      <c r="D14" s="20"/>
      <c r="E14" s="21">
        <f>+E13-F13</f>
        <v>2715811.74</v>
      </c>
      <c r="I14" s="2">
        <v>0</v>
      </c>
      <c r="J14" s="2">
        <v>2706045</v>
      </c>
    </row>
    <row r="15" spans="1:11" ht="18" customHeight="1" x14ac:dyDescent="0.25">
      <c r="A15" s="36"/>
      <c r="B15" s="28"/>
      <c r="C15" s="44"/>
      <c r="D15" s="43"/>
      <c r="E15" s="38"/>
      <c r="F15" s="22"/>
      <c r="J15" s="2"/>
    </row>
    <row r="16" spans="1:11" ht="18" customHeight="1" x14ac:dyDescent="0.4">
      <c r="A16" s="213" t="s">
        <v>2104</v>
      </c>
      <c r="B16" s="213"/>
      <c r="C16" s="213"/>
      <c r="D16" s="213"/>
      <c r="E16" s="213"/>
      <c r="F16" s="213"/>
      <c r="I16" s="112"/>
      <c r="J16" s="169">
        <f>90000000-60000000</f>
        <v>30000000</v>
      </c>
      <c r="K16" s="169" t="s">
        <v>1508</v>
      </c>
    </row>
    <row r="17" spans="1:12" ht="12.75" customHeight="1" x14ac:dyDescent="0.4">
      <c r="A17" s="3" t="s">
        <v>1</v>
      </c>
      <c r="B17" s="4" t="s">
        <v>2</v>
      </c>
      <c r="C17" s="5"/>
      <c r="D17" s="6" t="s">
        <v>3</v>
      </c>
      <c r="E17" s="7" t="s">
        <v>4</v>
      </c>
      <c r="F17" s="7" t="s">
        <v>5</v>
      </c>
      <c r="I17" s="112"/>
      <c r="J17" s="169">
        <v>21599076.829999998</v>
      </c>
      <c r="K17" s="169" t="s">
        <v>1509</v>
      </c>
      <c r="L17" s="124"/>
    </row>
    <row r="18" spans="1:12" s="2" customFormat="1" ht="14.25" customHeight="1" x14ac:dyDescent="0.2">
      <c r="A18" s="131">
        <v>45380</v>
      </c>
      <c r="B18" s="98" t="s">
        <v>6</v>
      </c>
      <c r="C18" s="121" t="s">
        <v>7</v>
      </c>
      <c r="D18" s="122"/>
      <c r="E18" s="13"/>
      <c r="F18" s="38">
        <v>21609075.779999994</v>
      </c>
      <c r="G18" s="1"/>
      <c r="H18" s="1"/>
      <c r="I18" s="130" t="s">
        <v>396</v>
      </c>
      <c r="J18" s="169">
        <f>+J16-J17</f>
        <v>8400923.1700000018</v>
      </c>
      <c r="K18" s="169" t="s">
        <v>712</v>
      </c>
      <c r="L18" s="165" t="s">
        <v>1512</v>
      </c>
    </row>
    <row r="19" spans="1:12" s="2" customFormat="1" ht="14.25" customHeight="1" x14ac:dyDescent="0.2">
      <c r="A19" s="127">
        <v>45380</v>
      </c>
      <c r="B19" s="9" t="s">
        <v>6</v>
      </c>
      <c r="C19" s="76" t="s">
        <v>2287</v>
      </c>
      <c r="D19" s="11" t="s">
        <v>13</v>
      </c>
      <c r="E19" s="31">
        <v>10043.950000000001</v>
      </c>
      <c r="F19" s="12"/>
      <c r="G19" s="1"/>
      <c r="H19" s="1"/>
      <c r="I19" s="130"/>
      <c r="J19" s="169"/>
      <c r="K19" s="169"/>
      <c r="L19" s="165"/>
    </row>
    <row r="20" spans="1:12" s="2" customFormat="1" ht="14.25" customHeight="1" x14ac:dyDescent="0.2">
      <c r="A20" s="127">
        <v>45380</v>
      </c>
      <c r="B20" s="9" t="s">
        <v>11</v>
      </c>
      <c r="C20" s="76" t="s">
        <v>156</v>
      </c>
      <c r="D20" s="11" t="s">
        <v>13</v>
      </c>
      <c r="E20" s="31"/>
      <c r="F20" s="31">
        <v>45</v>
      </c>
      <c r="G20" s="1"/>
      <c r="H20" s="1"/>
      <c r="I20" s="130"/>
      <c r="J20" s="169"/>
      <c r="K20" s="169"/>
      <c r="L20" s="165"/>
    </row>
    <row r="21" spans="1:12" s="2" customFormat="1" ht="14.25" customHeight="1" x14ac:dyDescent="0.2">
      <c r="A21" s="127">
        <v>45380</v>
      </c>
      <c r="B21" s="9" t="s">
        <v>11</v>
      </c>
      <c r="C21" s="76" t="s">
        <v>2245</v>
      </c>
      <c r="D21" s="11" t="s">
        <v>13</v>
      </c>
      <c r="E21" s="31"/>
      <c r="F21" s="31">
        <v>2470000</v>
      </c>
      <c r="G21" s="1"/>
      <c r="H21" s="1"/>
      <c r="I21" s="130"/>
      <c r="J21" s="169"/>
      <c r="K21" s="169"/>
      <c r="L21" s="165"/>
    </row>
    <row r="22" spans="1:12" s="2" customFormat="1" ht="14.25" customHeight="1" x14ac:dyDescent="0.2">
      <c r="A22" s="127">
        <v>45380</v>
      </c>
      <c r="B22" s="9" t="s">
        <v>11</v>
      </c>
      <c r="C22" s="76" t="s">
        <v>302</v>
      </c>
      <c r="D22" s="11" t="s">
        <v>13</v>
      </c>
      <c r="E22" s="31"/>
      <c r="F22" s="31">
        <v>10560</v>
      </c>
      <c r="G22" s="1"/>
      <c r="H22" s="1"/>
      <c r="I22" s="130"/>
      <c r="J22" s="169"/>
      <c r="K22" s="169"/>
      <c r="L22" s="165"/>
    </row>
    <row r="23" spans="1:12" s="2" customFormat="1" ht="14.25" customHeight="1" x14ac:dyDescent="0.2">
      <c r="A23" s="127">
        <v>45380</v>
      </c>
      <c r="B23" s="9" t="s">
        <v>11</v>
      </c>
      <c r="C23" s="76" t="s">
        <v>1968</v>
      </c>
      <c r="D23" s="11" t="s">
        <v>13</v>
      </c>
      <c r="E23" s="31"/>
      <c r="F23" s="31">
        <v>22852</v>
      </c>
      <c r="G23" s="1"/>
      <c r="H23" s="1"/>
      <c r="I23" s="130"/>
      <c r="J23" s="169"/>
      <c r="K23" s="169"/>
      <c r="L23" s="165"/>
    </row>
    <row r="24" spans="1:12" s="2" customFormat="1" ht="14.25" customHeight="1" x14ac:dyDescent="0.2">
      <c r="A24" s="127">
        <v>45380</v>
      </c>
      <c r="B24" s="9" t="s">
        <v>11</v>
      </c>
      <c r="C24" s="76" t="s">
        <v>507</v>
      </c>
      <c r="D24" s="11" t="s">
        <v>13</v>
      </c>
      <c r="E24" s="31"/>
      <c r="F24" s="31">
        <v>24233</v>
      </c>
      <c r="G24" s="1"/>
      <c r="H24" s="1"/>
      <c r="I24" s="130"/>
      <c r="J24" s="169"/>
      <c r="K24" s="169"/>
      <c r="L24" s="165"/>
    </row>
    <row r="25" spans="1:12" s="2" customFormat="1" ht="14.25" customHeight="1" x14ac:dyDescent="0.2">
      <c r="A25" s="127">
        <v>45380</v>
      </c>
      <c r="B25" s="9" t="s">
        <v>11</v>
      </c>
      <c r="C25" s="76" t="s">
        <v>437</v>
      </c>
      <c r="D25" s="11" t="s">
        <v>13</v>
      </c>
      <c r="E25" s="31"/>
      <c r="F25" s="31">
        <v>144506</v>
      </c>
      <c r="G25" s="1"/>
      <c r="H25" s="1"/>
      <c r="I25" s="130"/>
      <c r="J25" s="169"/>
      <c r="K25" s="169"/>
      <c r="L25" s="165"/>
    </row>
    <row r="26" spans="1:12" s="2" customFormat="1" ht="14.25" customHeight="1" x14ac:dyDescent="0.2">
      <c r="A26" s="127">
        <v>45380</v>
      </c>
      <c r="B26" s="9" t="s">
        <v>11</v>
      </c>
      <c r="C26" s="76" t="s">
        <v>222</v>
      </c>
      <c r="D26" s="11" t="s">
        <v>13</v>
      </c>
      <c r="E26" s="31"/>
      <c r="F26" s="31">
        <v>971</v>
      </c>
      <c r="G26" s="1"/>
      <c r="H26" s="1"/>
      <c r="I26" s="130"/>
      <c r="J26" s="169"/>
      <c r="K26" s="169"/>
      <c r="L26" s="165"/>
    </row>
    <row r="27" spans="1:12" s="2" customFormat="1" ht="14.25" customHeight="1" x14ac:dyDescent="0.2">
      <c r="A27" s="127">
        <v>45380</v>
      </c>
      <c r="B27" s="9" t="s">
        <v>11</v>
      </c>
      <c r="C27" s="76" t="s">
        <v>2284</v>
      </c>
      <c r="D27" s="11" t="s">
        <v>13</v>
      </c>
      <c r="E27" s="31"/>
      <c r="F27" s="31">
        <v>27000</v>
      </c>
      <c r="G27" s="1"/>
      <c r="H27" s="1"/>
      <c r="I27" s="130"/>
      <c r="J27" s="169"/>
      <c r="K27" s="169"/>
      <c r="L27" s="165"/>
    </row>
    <row r="28" spans="1:12" s="2" customFormat="1" ht="14.25" customHeight="1" x14ac:dyDescent="0.2">
      <c r="A28" s="127">
        <v>45380</v>
      </c>
      <c r="B28" s="9" t="s">
        <v>11</v>
      </c>
      <c r="C28" s="76" t="s">
        <v>235</v>
      </c>
      <c r="D28" s="11" t="s">
        <v>13</v>
      </c>
      <c r="F28" s="31">
        <v>5923</v>
      </c>
      <c r="G28" s="1"/>
      <c r="H28" s="1"/>
      <c r="I28" s="130"/>
      <c r="J28" s="169"/>
      <c r="K28" s="169"/>
      <c r="L28" s="165"/>
    </row>
    <row r="29" spans="1:12" s="2" customFormat="1" ht="14.25" customHeight="1" x14ac:dyDescent="0.4">
      <c r="A29" s="89"/>
      <c r="D29" s="11" t="s">
        <v>8</v>
      </c>
      <c r="E29" s="16">
        <f>SUM(E19:E28)</f>
        <v>10043.950000000001</v>
      </c>
      <c r="F29" s="16">
        <f>SUM(F18:F28)</f>
        <v>24315165.779999994</v>
      </c>
      <c r="G29" s="1"/>
      <c r="H29" s="1"/>
      <c r="J29" s="112"/>
      <c r="K29" s="153" t="s">
        <v>779</v>
      </c>
    </row>
    <row r="30" spans="1:12" s="2" customFormat="1" ht="14.25" customHeight="1" x14ac:dyDescent="0.2">
      <c r="A30" s="17"/>
      <c r="B30" s="18"/>
      <c r="C30" s="96" t="s">
        <v>9</v>
      </c>
      <c r="D30" s="20"/>
      <c r="E30" s="21">
        <f>+F29-E29</f>
        <v>24305121.829999994</v>
      </c>
      <c r="G30" s="1"/>
      <c r="H30" s="1"/>
      <c r="J30" s="40">
        <v>24305121.829999998</v>
      </c>
      <c r="K30" s="154">
        <f>J30-E30</f>
        <v>0</v>
      </c>
    </row>
    <row r="31" spans="1:12" s="2" customFormat="1" ht="14.25" customHeight="1" x14ac:dyDescent="0.2">
      <c r="A31" s="17"/>
      <c r="B31" s="28" t="s">
        <v>66</v>
      </c>
      <c r="C31" s="43" t="s">
        <v>1458</v>
      </c>
      <c r="D31" s="43"/>
      <c r="E31" s="12">
        <f>30000000+60000000</f>
        <v>90000000</v>
      </c>
      <c r="F31" s="22"/>
      <c r="G31" s="1"/>
      <c r="H31" s="1"/>
      <c r="I31" s="13" t="s">
        <v>1582</v>
      </c>
      <c r="J31" s="13" t="s">
        <v>1583</v>
      </c>
    </row>
    <row r="32" spans="1:12" s="2" customFormat="1" ht="14.25" customHeight="1" x14ac:dyDescent="0.25">
      <c r="A32" s="36"/>
      <c r="B32" s="28"/>
      <c r="C32" s="44" t="s">
        <v>1541</v>
      </c>
      <c r="D32" s="43"/>
      <c r="E32" s="7">
        <f>+E30+E31</f>
        <v>114305121.83</v>
      </c>
      <c r="F32" s="22"/>
      <c r="G32" s="1"/>
      <c r="H32" s="1"/>
      <c r="I32" s="2">
        <v>60864</v>
      </c>
      <c r="J32" s="2">
        <v>15415737.75</v>
      </c>
      <c r="K32" s="176">
        <f>I32-J32</f>
        <v>-15354873.75</v>
      </c>
    </row>
    <row r="33" spans="1:12" s="2" customFormat="1" ht="14.25" customHeight="1" x14ac:dyDescent="0.25">
      <c r="A33" s="36"/>
      <c r="B33" s="28"/>
      <c r="C33" s="44" t="s">
        <v>1511</v>
      </c>
      <c r="D33" s="43"/>
      <c r="E33" s="38">
        <f>I14-J14+J18</f>
        <v>5694878.1700000018</v>
      </c>
      <c r="F33" s="22"/>
      <c r="G33" s="1"/>
      <c r="H33" s="1"/>
      <c r="J33" s="130"/>
      <c r="K33" s="130"/>
    </row>
    <row r="34" spans="1:12" s="2" customFormat="1" x14ac:dyDescent="0.2">
      <c r="A34" s="24"/>
      <c r="B34" s="1"/>
      <c r="C34" s="14"/>
      <c r="D34" s="25"/>
      <c r="G34" s="1"/>
      <c r="H34" s="1"/>
      <c r="I34" s="159"/>
      <c r="J34" s="160">
        <f>100000000+300000000</f>
        <v>400000000</v>
      </c>
      <c r="K34" s="160" t="s">
        <v>1506</v>
      </c>
      <c r="L34" s="70"/>
    </row>
    <row r="35" spans="1:12" s="2" customFormat="1" ht="15" x14ac:dyDescent="0.35">
      <c r="A35" s="214" t="s">
        <v>10</v>
      </c>
      <c r="B35" s="214"/>
      <c r="C35" s="214"/>
      <c r="D35" s="214"/>
      <c r="E35" s="214"/>
      <c r="F35" s="214"/>
      <c r="G35" s="1"/>
      <c r="H35" s="1"/>
      <c r="I35" s="159"/>
      <c r="J35" s="179">
        <v>358048852.95999998</v>
      </c>
      <c r="K35" s="160" t="s">
        <v>1507</v>
      </c>
      <c r="L35" s="70" t="s">
        <v>1512</v>
      </c>
    </row>
    <row r="36" spans="1:12" s="2" customFormat="1" x14ac:dyDescent="0.2">
      <c r="A36" s="26" t="s">
        <v>1</v>
      </c>
      <c r="B36" s="27" t="s">
        <v>2</v>
      </c>
      <c r="C36" s="5"/>
      <c r="D36" s="6" t="s">
        <v>3</v>
      </c>
      <c r="E36" s="7" t="s">
        <v>4</v>
      </c>
      <c r="F36" s="7" t="s">
        <v>5</v>
      </c>
      <c r="G36" s="1"/>
      <c r="H36" s="1"/>
      <c r="I36" s="159" t="s">
        <v>1505</v>
      </c>
      <c r="J36" s="160">
        <f>+J34-J35</f>
        <v>41951147.040000021</v>
      </c>
      <c r="K36" s="160"/>
      <c r="L36" s="70"/>
    </row>
    <row r="37" spans="1:12" s="13" customFormat="1" x14ac:dyDescent="0.2">
      <c r="A37" s="97" t="s">
        <v>2285</v>
      </c>
      <c r="B37" s="132" t="s">
        <v>11</v>
      </c>
      <c r="C37" s="207" t="s">
        <v>7</v>
      </c>
      <c r="D37" s="99"/>
      <c r="E37" s="95"/>
      <c r="F37" s="13">
        <v>395191521.44999987</v>
      </c>
      <c r="G37" s="23"/>
      <c r="H37" s="23"/>
      <c r="I37" s="160"/>
      <c r="J37" s="160"/>
      <c r="K37" s="160"/>
      <c r="L37" s="69"/>
    </row>
    <row r="38" spans="1:12" s="2" customFormat="1" x14ac:dyDescent="0.2">
      <c r="A38" s="89" t="s">
        <v>2285</v>
      </c>
      <c r="B38" s="128" t="s">
        <v>6</v>
      </c>
      <c r="C38" s="201" t="s">
        <v>2286</v>
      </c>
      <c r="D38" s="11" t="s">
        <v>13</v>
      </c>
      <c r="E38" s="86">
        <v>50000</v>
      </c>
      <c r="F38" s="86"/>
      <c r="G38" s="23"/>
      <c r="H38" s="23"/>
      <c r="I38" s="159"/>
      <c r="J38" s="160"/>
      <c r="K38" s="160"/>
      <c r="L38" s="70"/>
    </row>
    <row r="39" spans="1:12" s="2" customFormat="1" x14ac:dyDescent="0.2">
      <c r="A39" s="89" t="s">
        <v>2285</v>
      </c>
      <c r="B39" s="128" t="s">
        <v>6</v>
      </c>
      <c r="C39" s="201" t="s">
        <v>1378</v>
      </c>
      <c r="D39" s="11" t="s">
        <v>13</v>
      </c>
      <c r="E39" s="86">
        <v>732942</v>
      </c>
      <c r="F39" s="86"/>
      <c r="G39" s="23"/>
      <c r="H39" s="23"/>
      <c r="I39" s="159"/>
      <c r="J39" s="160"/>
      <c r="K39" s="160"/>
      <c r="L39" s="70"/>
    </row>
    <row r="40" spans="1:12" s="2" customFormat="1" x14ac:dyDescent="0.2">
      <c r="A40" s="89" t="s">
        <v>2285</v>
      </c>
      <c r="B40" s="128" t="s">
        <v>6</v>
      </c>
      <c r="C40" s="201" t="s">
        <v>843</v>
      </c>
      <c r="D40" s="11" t="s">
        <v>13</v>
      </c>
      <c r="E40" s="86">
        <v>35215</v>
      </c>
      <c r="F40" s="86"/>
      <c r="G40" s="23"/>
      <c r="H40" s="23"/>
      <c r="I40" s="159"/>
      <c r="J40" s="160"/>
      <c r="K40" s="160"/>
      <c r="L40" s="70"/>
    </row>
    <row r="41" spans="1:12" s="2" customFormat="1" x14ac:dyDescent="0.2">
      <c r="A41" s="89" t="s">
        <v>2285</v>
      </c>
      <c r="B41" s="128" t="s">
        <v>6</v>
      </c>
      <c r="C41" s="201" t="s">
        <v>120</v>
      </c>
      <c r="D41" s="11" t="s">
        <v>13</v>
      </c>
      <c r="E41" s="86">
        <v>2809768</v>
      </c>
      <c r="F41" s="86"/>
      <c r="G41" s="23"/>
      <c r="H41" s="23"/>
      <c r="I41" s="159"/>
      <c r="J41" s="160"/>
      <c r="K41" s="160"/>
      <c r="L41" s="70"/>
    </row>
    <row r="42" spans="1:12" s="2" customFormat="1" x14ac:dyDescent="0.2">
      <c r="A42" s="89" t="s">
        <v>2285</v>
      </c>
      <c r="B42" s="128" t="s">
        <v>6</v>
      </c>
      <c r="C42" s="201" t="s">
        <v>101</v>
      </c>
      <c r="D42" s="11" t="s">
        <v>13</v>
      </c>
      <c r="E42" s="86">
        <v>145528</v>
      </c>
      <c r="F42" s="86"/>
      <c r="G42" s="23"/>
      <c r="H42" s="23"/>
      <c r="I42" s="159"/>
      <c r="J42" s="160"/>
      <c r="K42" s="160"/>
      <c r="L42" s="70"/>
    </row>
    <row r="43" spans="1:12" s="2" customFormat="1" x14ac:dyDescent="0.2">
      <c r="A43" s="89" t="s">
        <v>2285</v>
      </c>
      <c r="B43" s="128" t="s">
        <v>6</v>
      </c>
      <c r="C43" s="201" t="s">
        <v>148</v>
      </c>
      <c r="D43" s="11" t="s">
        <v>13</v>
      </c>
      <c r="E43" s="86">
        <v>2232826.39</v>
      </c>
      <c r="F43" s="86"/>
      <c r="G43" s="23"/>
      <c r="H43" s="23"/>
      <c r="I43" s="159"/>
      <c r="J43" s="160"/>
      <c r="K43" s="160"/>
      <c r="L43" s="70"/>
    </row>
    <row r="44" spans="1:12" s="2" customFormat="1" x14ac:dyDescent="0.2">
      <c r="A44" s="89" t="s">
        <v>2285</v>
      </c>
      <c r="B44" s="128" t="s">
        <v>6</v>
      </c>
      <c r="C44" s="201" t="s">
        <v>19</v>
      </c>
      <c r="D44" s="11" t="s">
        <v>13</v>
      </c>
      <c r="E44" s="86">
        <v>19406</v>
      </c>
      <c r="F44" s="86"/>
      <c r="G44" s="23"/>
      <c r="H44" s="23"/>
      <c r="I44" s="159"/>
      <c r="J44" s="160"/>
      <c r="K44" s="160"/>
      <c r="L44" s="70"/>
    </row>
    <row r="45" spans="1:12" s="2" customFormat="1" x14ac:dyDescent="0.2">
      <c r="A45" s="89" t="s">
        <v>2285</v>
      </c>
      <c r="B45" s="128" t="s">
        <v>6</v>
      </c>
      <c r="C45" s="201" t="s">
        <v>26</v>
      </c>
      <c r="D45" s="11" t="s">
        <v>13</v>
      </c>
      <c r="E45" s="86">
        <v>5713318.46</v>
      </c>
      <c r="F45" s="86"/>
      <c r="G45" s="23"/>
      <c r="H45" s="23"/>
      <c r="I45" s="159"/>
      <c r="J45" s="160"/>
      <c r="K45" s="160"/>
      <c r="L45" s="70"/>
    </row>
    <row r="46" spans="1:12" s="2" customFormat="1" x14ac:dyDescent="0.2">
      <c r="A46" s="89" t="s">
        <v>2285</v>
      </c>
      <c r="B46" s="128" t="s">
        <v>6</v>
      </c>
      <c r="C46" s="201" t="s">
        <v>785</v>
      </c>
      <c r="D46" s="11" t="s">
        <v>13</v>
      </c>
      <c r="E46" s="86">
        <v>1361641</v>
      </c>
      <c r="F46" s="86"/>
      <c r="G46" s="23"/>
      <c r="H46" s="23"/>
      <c r="I46" s="159"/>
      <c r="J46" s="160"/>
      <c r="K46" s="160"/>
      <c r="L46" s="70"/>
    </row>
    <row r="47" spans="1:12" s="2" customFormat="1" x14ac:dyDescent="0.2">
      <c r="A47" s="89" t="s">
        <v>2285</v>
      </c>
      <c r="B47" s="128" t="s">
        <v>6</v>
      </c>
      <c r="C47" s="201" t="s">
        <v>332</v>
      </c>
      <c r="D47" s="11" t="s">
        <v>13</v>
      </c>
      <c r="E47" s="86">
        <v>1861568</v>
      </c>
      <c r="F47" s="86"/>
      <c r="G47" s="23"/>
      <c r="H47" s="23"/>
      <c r="I47" s="159"/>
      <c r="J47" s="160"/>
      <c r="K47" s="160"/>
      <c r="L47" s="70"/>
    </row>
    <row r="48" spans="1:12" s="2" customFormat="1" x14ac:dyDescent="0.2">
      <c r="A48" s="89" t="s">
        <v>2285</v>
      </c>
      <c r="B48" s="128" t="s">
        <v>6</v>
      </c>
      <c r="C48" s="201" t="s">
        <v>705</v>
      </c>
      <c r="D48" s="11" t="s">
        <v>13</v>
      </c>
      <c r="E48" s="86">
        <v>30000</v>
      </c>
      <c r="F48" s="86"/>
      <c r="G48" s="23"/>
      <c r="H48" s="23"/>
      <c r="I48" s="159"/>
      <c r="J48" s="160"/>
      <c r="K48" s="160"/>
      <c r="L48" s="70"/>
    </row>
    <row r="49" spans="1:12" s="2" customFormat="1" x14ac:dyDescent="0.2">
      <c r="A49" s="89" t="s">
        <v>2285</v>
      </c>
      <c r="B49" s="128" t="s">
        <v>6</v>
      </c>
      <c r="C49" s="201" t="s">
        <v>1477</v>
      </c>
      <c r="D49" s="11" t="s">
        <v>13</v>
      </c>
      <c r="E49" s="86">
        <v>6616</v>
      </c>
      <c r="F49" s="86"/>
      <c r="G49" s="23"/>
      <c r="H49" s="23"/>
      <c r="I49" s="159"/>
      <c r="J49" s="160"/>
      <c r="K49" s="160"/>
      <c r="L49" s="70"/>
    </row>
    <row r="50" spans="1:12" s="2" customFormat="1" x14ac:dyDescent="0.2">
      <c r="A50" s="89" t="s">
        <v>2285</v>
      </c>
      <c r="B50" s="128" t="s">
        <v>6</v>
      </c>
      <c r="C50" s="201" t="s">
        <v>1756</v>
      </c>
      <c r="D50" s="11" t="s">
        <v>13</v>
      </c>
      <c r="E50" s="86">
        <v>264583</v>
      </c>
      <c r="F50" s="86"/>
      <c r="G50" s="23"/>
      <c r="H50" s="23"/>
      <c r="I50" s="159"/>
      <c r="J50" s="160"/>
      <c r="K50" s="160"/>
      <c r="L50" s="70"/>
    </row>
    <row r="51" spans="1:12" s="2" customFormat="1" x14ac:dyDescent="0.2">
      <c r="A51" s="89" t="s">
        <v>2285</v>
      </c>
      <c r="B51" s="128" t="s">
        <v>6</v>
      </c>
      <c r="C51" s="201" t="s">
        <v>1155</v>
      </c>
      <c r="D51" s="11" t="s">
        <v>13</v>
      </c>
      <c r="E51" s="86">
        <v>100000000</v>
      </c>
      <c r="F51" s="86"/>
      <c r="G51" s="23"/>
      <c r="H51" s="23"/>
      <c r="I51" s="159"/>
      <c r="J51" s="160"/>
      <c r="K51" s="160"/>
      <c r="L51" s="70"/>
    </row>
    <row r="52" spans="1:12" s="2" customFormat="1" x14ac:dyDescent="0.2">
      <c r="A52" s="89" t="s">
        <v>2285</v>
      </c>
      <c r="B52" s="128" t="s">
        <v>6</v>
      </c>
      <c r="C52" s="201" t="s">
        <v>15</v>
      </c>
      <c r="D52" s="11" t="s">
        <v>13</v>
      </c>
      <c r="E52" s="86">
        <v>554.87</v>
      </c>
      <c r="F52" s="86"/>
      <c r="G52" s="23"/>
      <c r="H52" s="23"/>
      <c r="I52" s="159"/>
      <c r="J52" s="160"/>
      <c r="K52" s="160"/>
      <c r="L52" s="70"/>
    </row>
    <row r="53" spans="1:12" s="13" customFormat="1" x14ac:dyDescent="0.2">
      <c r="A53" s="97" t="s">
        <v>2285</v>
      </c>
      <c r="B53" s="132" t="s">
        <v>11</v>
      </c>
      <c r="C53" s="208" t="s">
        <v>244</v>
      </c>
      <c r="D53" s="122" t="s">
        <v>258</v>
      </c>
      <c r="E53" s="147"/>
      <c r="F53" s="147">
        <v>503861</v>
      </c>
      <c r="G53" s="23"/>
      <c r="H53" s="23"/>
      <c r="I53" s="160"/>
      <c r="J53" s="160"/>
      <c r="K53" s="160"/>
      <c r="L53" s="69"/>
    </row>
    <row r="54" spans="1:12" s="2" customFormat="1" x14ac:dyDescent="0.2">
      <c r="A54" s="89" t="s">
        <v>2285</v>
      </c>
      <c r="B54" s="128" t="s">
        <v>11</v>
      </c>
      <c r="C54" s="201" t="s">
        <v>1976</v>
      </c>
      <c r="D54" s="11" t="s">
        <v>29</v>
      </c>
      <c r="E54" s="86"/>
      <c r="F54" s="86">
        <v>317283</v>
      </c>
      <c r="G54" s="23"/>
      <c r="H54" s="23"/>
      <c r="I54" s="159"/>
      <c r="J54" s="160"/>
      <c r="K54" s="160"/>
      <c r="L54" s="70"/>
    </row>
    <row r="55" spans="1:12" s="2" customFormat="1" x14ac:dyDescent="0.2">
      <c r="A55" s="89" t="s">
        <v>2285</v>
      </c>
      <c r="B55" s="128" t="s">
        <v>11</v>
      </c>
      <c r="C55" s="201" t="s">
        <v>1155</v>
      </c>
      <c r="D55" s="11" t="s">
        <v>29</v>
      </c>
      <c r="E55" s="86"/>
      <c r="F55" s="86">
        <v>72232790.849999994</v>
      </c>
      <c r="G55" s="23"/>
      <c r="H55" s="23"/>
      <c r="I55" s="159"/>
      <c r="J55" s="160"/>
      <c r="K55" s="160"/>
      <c r="L55" s="70"/>
    </row>
    <row r="56" spans="1:12" s="2" customFormat="1" x14ac:dyDescent="0.2">
      <c r="A56" s="89" t="s">
        <v>2285</v>
      </c>
      <c r="B56" s="128" t="s">
        <v>11</v>
      </c>
      <c r="C56" s="201" t="s">
        <v>284</v>
      </c>
      <c r="D56" s="11" t="s">
        <v>29</v>
      </c>
      <c r="E56" s="86"/>
      <c r="F56" s="86">
        <v>1798865</v>
      </c>
      <c r="G56" s="23"/>
      <c r="H56" s="23"/>
      <c r="I56" s="159"/>
      <c r="J56" s="160"/>
      <c r="K56" s="160"/>
      <c r="L56" s="70"/>
    </row>
    <row r="57" spans="1:12" s="2" customFormat="1" x14ac:dyDescent="0.2">
      <c r="A57" s="89" t="s">
        <v>2285</v>
      </c>
      <c r="B57" s="128" t="s">
        <v>11</v>
      </c>
      <c r="C57" s="201" t="s">
        <v>64</v>
      </c>
      <c r="D57" s="11" t="s">
        <v>29</v>
      </c>
      <c r="E57" s="86"/>
      <c r="F57" s="86">
        <v>30602.380000000005</v>
      </c>
      <c r="G57" s="23"/>
      <c r="H57" s="23"/>
      <c r="I57" s="159"/>
      <c r="J57" s="160"/>
      <c r="K57" s="160"/>
      <c r="L57" s="70"/>
    </row>
    <row r="58" spans="1:12" s="2" customFormat="1" x14ac:dyDescent="0.2">
      <c r="A58" s="89" t="s">
        <v>2285</v>
      </c>
      <c r="B58" s="128" t="s">
        <v>11</v>
      </c>
      <c r="C58" s="201" t="s">
        <v>15</v>
      </c>
      <c r="D58" s="11" t="s">
        <v>29</v>
      </c>
      <c r="E58" s="86"/>
      <c r="F58" s="86">
        <v>18025</v>
      </c>
      <c r="G58" s="23"/>
      <c r="H58" s="23"/>
      <c r="I58" s="159"/>
      <c r="J58" s="160"/>
      <c r="K58" s="160"/>
      <c r="L58" s="70"/>
    </row>
    <row r="59" spans="1:12" s="2" customFormat="1" x14ac:dyDescent="0.2">
      <c r="A59" s="89" t="s">
        <v>2285</v>
      </c>
      <c r="B59" s="128" t="s">
        <v>11</v>
      </c>
      <c r="C59" s="201" t="s">
        <v>111</v>
      </c>
      <c r="D59" s="11" t="s">
        <v>29</v>
      </c>
      <c r="E59" s="86"/>
      <c r="F59" s="86">
        <v>3402367.35</v>
      </c>
      <c r="G59" s="23"/>
      <c r="H59" s="23"/>
      <c r="I59" s="159"/>
      <c r="J59" s="160"/>
      <c r="K59" s="160"/>
      <c r="L59" s="70"/>
    </row>
    <row r="60" spans="1:12" s="2" customFormat="1" x14ac:dyDescent="0.2">
      <c r="A60" s="89" t="s">
        <v>2285</v>
      </c>
      <c r="B60" s="128" t="s">
        <v>11</v>
      </c>
      <c r="C60" s="201" t="s">
        <v>57</v>
      </c>
      <c r="D60" s="11" t="s">
        <v>29</v>
      </c>
      <c r="E60" s="86"/>
      <c r="F60" s="86">
        <v>5000000</v>
      </c>
      <c r="G60" s="23"/>
      <c r="H60" s="23"/>
      <c r="I60" s="159"/>
      <c r="J60" s="160"/>
      <c r="K60" s="160"/>
      <c r="L60" s="70"/>
    </row>
    <row r="61" spans="1:12" s="2" customFormat="1" x14ac:dyDescent="0.2">
      <c r="A61" s="89" t="s">
        <v>2285</v>
      </c>
      <c r="B61" s="128" t="s">
        <v>11</v>
      </c>
      <c r="C61" s="201" t="s">
        <v>139</v>
      </c>
      <c r="D61" s="11" t="s">
        <v>29</v>
      </c>
      <c r="E61" s="86"/>
      <c r="F61" s="86">
        <v>460647</v>
      </c>
      <c r="G61" s="23"/>
      <c r="H61" s="23"/>
      <c r="I61" s="159"/>
      <c r="J61" s="160"/>
      <c r="K61" s="160"/>
      <c r="L61" s="70"/>
    </row>
    <row r="62" spans="1:12" s="2" customFormat="1" x14ac:dyDescent="0.2">
      <c r="A62" s="89" t="s">
        <v>2285</v>
      </c>
      <c r="B62" s="128" t="s">
        <v>11</v>
      </c>
      <c r="C62" s="201" t="s">
        <v>194</v>
      </c>
      <c r="D62" s="11" t="s">
        <v>29</v>
      </c>
      <c r="E62" s="86"/>
      <c r="F62" s="86">
        <v>1428069</v>
      </c>
      <c r="G62" s="23"/>
      <c r="H62" s="23"/>
      <c r="I62" s="159"/>
      <c r="J62" s="160"/>
      <c r="K62" s="160"/>
      <c r="L62" s="70"/>
    </row>
    <row r="63" spans="1:12" s="2" customFormat="1" x14ac:dyDescent="0.2">
      <c r="A63" s="89" t="s">
        <v>2285</v>
      </c>
      <c r="B63" s="128" t="s">
        <v>11</v>
      </c>
      <c r="C63" s="201" t="s">
        <v>814</v>
      </c>
      <c r="D63" s="11" t="s">
        <v>29</v>
      </c>
      <c r="E63" s="86"/>
      <c r="F63" s="86">
        <v>194351</v>
      </c>
      <c r="G63" s="23"/>
      <c r="H63" s="23"/>
      <c r="I63" s="159"/>
      <c r="J63" s="160"/>
      <c r="K63" s="160"/>
      <c r="L63" s="70"/>
    </row>
    <row r="64" spans="1:12" s="2" customFormat="1" x14ac:dyDescent="0.2">
      <c r="A64" s="89" t="s">
        <v>2285</v>
      </c>
      <c r="B64" s="128" t="s">
        <v>11</v>
      </c>
      <c r="C64" s="201" t="s">
        <v>193</v>
      </c>
      <c r="D64" s="11" t="s">
        <v>29</v>
      </c>
      <c r="E64" s="86"/>
      <c r="F64" s="86">
        <v>2986943</v>
      </c>
      <c r="G64" s="23"/>
      <c r="H64" s="23"/>
      <c r="I64" s="159"/>
      <c r="J64" s="160"/>
      <c r="K64" s="160"/>
      <c r="L64" s="70"/>
    </row>
    <row r="65" spans="1:16" s="2" customFormat="1" x14ac:dyDescent="0.2">
      <c r="A65" s="89" t="s">
        <v>2285</v>
      </c>
      <c r="B65" s="128" t="s">
        <v>11</v>
      </c>
      <c r="C65" s="201" t="s">
        <v>56</v>
      </c>
      <c r="D65" s="11" t="s">
        <v>29</v>
      </c>
      <c r="E65" s="86"/>
      <c r="F65" s="86">
        <v>902461</v>
      </c>
      <c r="G65" s="23"/>
      <c r="H65" s="23"/>
      <c r="I65" s="159"/>
      <c r="J65" s="160"/>
      <c r="K65" s="160"/>
      <c r="L65" s="70"/>
    </row>
    <row r="66" spans="1:16" s="2" customFormat="1" x14ac:dyDescent="0.2">
      <c r="A66" s="89" t="s">
        <v>2285</v>
      </c>
      <c r="B66" s="128" t="s">
        <v>11</v>
      </c>
      <c r="C66" s="201" t="s">
        <v>745</v>
      </c>
      <c r="D66" s="11" t="s">
        <v>29</v>
      </c>
      <c r="E66" s="86"/>
      <c r="F66" s="86">
        <v>1027124</v>
      </c>
      <c r="G66" s="23"/>
      <c r="H66" s="23"/>
      <c r="I66" s="159"/>
      <c r="J66" s="160"/>
      <c r="K66" s="160"/>
      <c r="L66" s="70"/>
    </row>
    <row r="67" spans="1:16" s="2" customFormat="1" x14ac:dyDescent="0.2">
      <c r="A67" s="89" t="s">
        <v>2285</v>
      </c>
      <c r="B67" s="128" t="s">
        <v>11</v>
      </c>
      <c r="C67" s="201" t="s">
        <v>849</v>
      </c>
      <c r="D67" s="11" t="s">
        <v>29</v>
      </c>
      <c r="E67" s="86"/>
      <c r="F67" s="86">
        <v>484340</v>
      </c>
      <c r="G67" s="23"/>
      <c r="H67" s="23"/>
      <c r="I67" s="159"/>
      <c r="J67" s="160"/>
      <c r="K67" s="160"/>
      <c r="L67" s="70"/>
    </row>
    <row r="68" spans="1:16" s="2" customFormat="1" x14ac:dyDescent="0.2">
      <c r="A68" s="89" t="s">
        <v>2285</v>
      </c>
      <c r="B68" s="128" t="s">
        <v>11</v>
      </c>
      <c r="C68" s="201" t="s">
        <v>790</v>
      </c>
      <c r="D68" s="11" t="s">
        <v>29</v>
      </c>
      <c r="E68" s="86"/>
      <c r="F68" s="86">
        <v>582762</v>
      </c>
      <c r="G68" s="23"/>
      <c r="H68" s="23"/>
      <c r="I68" s="159"/>
      <c r="J68" s="160"/>
      <c r="K68" s="160"/>
      <c r="L68" s="70"/>
    </row>
    <row r="69" spans="1:16" s="2" customFormat="1" x14ac:dyDescent="0.2">
      <c r="A69" s="89" t="s">
        <v>2285</v>
      </c>
      <c r="B69" s="128" t="s">
        <v>11</v>
      </c>
      <c r="C69" s="201" t="s">
        <v>2098</v>
      </c>
      <c r="D69" s="11" t="s">
        <v>29</v>
      </c>
      <c r="E69" s="86"/>
      <c r="F69" s="86">
        <v>163648.4</v>
      </c>
      <c r="G69" s="23"/>
      <c r="H69" s="23"/>
      <c r="I69" s="159"/>
      <c r="J69" s="160"/>
      <c r="K69" s="160"/>
      <c r="L69" s="70"/>
    </row>
    <row r="70" spans="1:16" s="2" customFormat="1" x14ac:dyDescent="0.2">
      <c r="A70" s="89" t="s">
        <v>2285</v>
      </c>
      <c r="B70" s="128" t="s">
        <v>11</v>
      </c>
      <c r="C70" s="201" t="s">
        <v>300</v>
      </c>
      <c r="D70" s="11" t="s">
        <v>29</v>
      </c>
      <c r="E70" s="86"/>
      <c r="F70" s="86">
        <v>559981</v>
      </c>
      <c r="G70" s="23"/>
      <c r="H70" s="23"/>
      <c r="I70" s="159"/>
      <c r="J70" s="160"/>
      <c r="K70" s="160"/>
      <c r="L70" s="70"/>
    </row>
    <row r="71" spans="1:16" s="2" customFormat="1" x14ac:dyDescent="0.2">
      <c r="A71" s="89" t="s">
        <v>2285</v>
      </c>
      <c r="B71" s="128" t="s">
        <v>11</v>
      </c>
      <c r="C71" s="201" t="s">
        <v>356</v>
      </c>
      <c r="D71" s="11" t="s">
        <v>29</v>
      </c>
      <c r="E71" s="86"/>
      <c r="F71" s="86">
        <v>1123201</v>
      </c>
      <c r="G71" s="23"/>
      <c r="H71" s="23"/>
      <c r="I71" s="159"/>
      <c r="J71" s="160"/>
      <c r="K71" s="160"/>
      <c r="L71" s="70"/>
    </row>
    <row r="72" spans="1:16" s="2" customFormat="1" x14ac:dyDescent="0.2">
      <c r="A72" s="89" t="s">
        <v>2285</v>
      </c>
      <c r="B72" s="128" t="s">
        <v>11</v>
      </c>
      <c r="C72" s="201" t="s">
        <v>626</v>
      </c>
      <c r="D72" s="11" t="s">
        <v>29</v>
      </c>
      <c r="E72" s="86"/>
      <c r="F72" s="86">
        <v>4201</v>
      </c>
      <c r="G72" s="23"/>
      <c r="H72" s="23"/>
      <c r="I72" s="159"/>
      <c r="J72" s="160"/>
      <c r="K72" s="160"/>
      <c r="L72" s="70"/>
    </row>
    <row r="73" spans="1:16" s="2" customFormat="1" x14ac:dyDescent="0.2">
      <c r="A73" s="89" t="s">
        <v>2285</v>
      </c>
      <c r="B73" s="128" t="s">
        <v>11</v>
      </c>
      <c r="C73" s="201" t="s">
        <v>54</v>
      </c>
      <c r="D73" s="11" t="s">
        <v>29</v>
      </c>
      <c r="E73" s="86"/>
      <c r="F73" s="86">
        <v>3926</v>
      </c>
      <c r="G73" s="23"/>
      <c r="H73" s="23"/>
      <c r="I73" s="159"/>
      <c r="J73" s="160"/>
      <c r="K73" s="160"/>
      <c r="L73" s="70"/>
    </row>
    <row r="74" spans="1:16" s="2" customFormat="1" x14ac:dyDescent="0.2">
      <c r="A74" s="89" t="s">
        <v>2285</v>
      </c>
      <c r="B74" s="128" t="s">
        <v>11</v>
      </c>
      <c r="C74" s="201" t="s">
        <v>410</v>
      </c>
      <c r="D74" s="11" t="s">
        <v>29</v>
      </c>
      <c r="E74" s="86"/>
      <c r="F74" s="86">
        <v>181720</v>
      </c>
      <c r="G74" s="23"/>
      <c r="H74" s="23"/>
      <c r="I74" s="159"/>
      <c r="J74" s="160"/>
      <c r="K74" s="160"/>
      <c r="L74" s="70"/>
    </row>
    <row r="75" spans="1:16" s="2" customFormat="1" x14ac:dyDescent="0.2">
      <c r="A75" s="89" t="s">
        <v>2285</v>
      </c>
      <c r="B75" s="128" t="s">
        <v>11</v>
      </c>
      <c r="C75" s="201" t="s">
        <v>352</v>
      </c>
      <c r="D75" s="11" t="s">
        <v>29</v>
      </c>
      <c r="E75" s="86"/>
      <c r="F75" s="86">
        <v>69003</v>
      </c>
      <c r="G75" s="23"/>
      <c r="H75" s="23"/>
      <c r="I75" s="159"/>
      <c r="J75" s="160"/>
      <c r="K75" s="160"/>
      <c r="L75" s="70"/>
    </row>
    <row r="76" spans="1:16" s="70" customFormat="1" x14ac:dyDescent="0.2">
      <c r="A76" s="32"/>
      <c r="B76" s="33"/>
      <c r="C76" s="14"/>
      <c r="D76" s="34"/>
      <c r="E76" s="16">
        <f>SUM(E37:E75)</f>
        <v>115263966.72</v>
      </c>
      <c r="F76" s="16">
        <f>SUM(F37:F75)</f>
        <v>488667693.42999983</v>
      </c>
      <c r="G76" s="1"/>
      <c r="H76" s="1"/>
      <c r="I76" s="1"/>
      <c r="J76" s="38">
        <v>373403726.70999998</v>
      </c>
      <c r="K76" s="2"/>
      <c r="L76" s="92">
        <f>+J76-E77</f>
        <v>0</v>
      </c>
      <c r="M76" s="2"/>
      <c r="N76" s="2"/>
      <c r="O76" s="2">
        <v>10127749.119999999</v>
      </c>
      <c r="P76" s="2">
        <f>+O76-J76</f>
        <v>-363275977.58999997</v>
      </c>
    </row>
    <row r="77" spans="1:16" s="70" customFormat="1" x14ac:dyDescent="0.2">
      <c r="A77" s="36"/>
      <c r="B77" s="28" t="s">
        <v>11</v>
      </c>
      <c r="C77" s="19" t="s">
        <v>65</v>
      </c>
      <c r="D77" s="37"/>
      <c r="E77" s="38">
        <f>F76-E76</f>
        <v>373403726.7099998</v>
      </c>
      <c r="F77" s="22"/>
      <c r="G77" s="1"/>
      <c r="H77" s="1"/>
      <c r="I77" s="1"/>
      <c r="M77" s="2"/>
      <c r="N77" s="2"/>
      <c r="O77" s="1"/>
      <c r="P77" s="2"/>
    </row>
    <row r="78" spans="1:16" s="70" customFormat="1" x14ac:dyDescent="0.2">
      <c r="A78" s="36"/>
      <c r="B78" s="28" t="s">
        <v>66</v>
      </c>
      <c r="C78" s="19" t="s">
        <v>67</v>
      </c>
      <c r="D78" s="37"/>
      <c r="E78" s="38">
        <f>11500000-7200000</f>
        <v>4300000</v>
      </c>
      <c r="F78" s="22"/>
      <c r="G78" s="1"/>
      <c r="H78" s="1"/>
      <c r="M78" s="2"/>
      <c r="N78" s="2"/>
      <c r="O78" s="1"/>
      <c r="P78" s="2"/>
    </row>
    <row r="79" spans="1:16" s="70" customFormat="1" x14ac:dyDescent="0.2">
      <c r="A79" s="36"/>
      <c r="B79" s="28" t="s">
        <v>66</v>
      </c>
      <c r="C79" s="43" t="s">
        <v>1457</v>
      </c>
      <c r="D79" s="43"/>
      <c r="E79" s="12">
        <f>400000000-300000000</f>
        <v>100000000</v>
      </c>
      <c r="F79" s="22"/>
      <c r="G79" s="1"/>
      <c r="H79" s="1"/>
      <c r="J79" s="45">
        <v>2952.57</v>
      </c>
      <c r="K79" s="46"/>
      <c r="L79" s="46"/>
      <c r="M79" s="2"/>
      <c r="N79" s="2"/>
      <c r="O79" s="1"/>
      <c r="P79" s="2"/>
    </row>
    <row r="80" spans="1:16" s="70" customFormat="1" ht="15" x14ac:dyDescent="0.25">
      <c r="A80" s="36"/>
      <c r="B80" s="28"/>
      <c r="C80" s="44" t="s">
        <v>1541</v>
      </c>
      <c r="D80" s="43"/>
      <c r="E80" s="7">
        <f>+E79+E77+E78</f>
        <v>477703726.7099998</v>
      </c>
      <c r="F80" s="22"/>
      <c r="G80" s="1"/>
      <c r="H80" s="1"/>
      <c r="I80" s="103" t="s">
        <v>69</v>
      </c>
      <c r="J80" s="45">
        <v>-128.36000000000001</v>
      </c>
      <c r="K80" s="46"/>
      <c r="L80" s="46"/>
      <c r="M80" s="2"/>
      <c r="N80" s="2"/>
      <c r="O80" s="1"/>
      <c r="P80" s="2"/>
    </row>
    <row r="81" spans="1:19" s="70" customFormat="1" ht="15" x14ac:dyDescent="0.25">
      <c r="A81" s="24"/>
      <c r="B81" s="1"/>
      <c r="C81" s="44" t="s">
        <v>1510</v>
      </c>
      <c r="D81" s="25"/>
      <c r="E81" s="156">
        <f>+J36-E78+I32-J32</f>
        <v>22296273.290000021</v>
      </c>
      <c r="F81" s="2"/>
      <c r="G81" s="1"/>
      <c r="H81" s="1"/>
      <c r="I81" s="35">
        <v>1</v>
      </c>
      <c r="J81" s="45">
        <v>108.57</v>
      </c>
      <c r="K81" s="46">
        <f>+J82-D84</f>
        <v>0</v>
      </c>
      <c r="L81" s="2"/>
      <c r="M81" s="2"/>
      <c r="N81" s="2"/>
      <c r="O81" s="1"/>
      <c r="P81" s="2"/>
    </row>
    <row r="82" spans="1:19" s="70" customFormat="1" ht="12.75" customHeight="1" x14ac:dyDescent="0.2">
      <c r="A82" s="24"/>
      <c r="B82" s="1"/>
      <c r="C82" s="56"/>
      <c r="D82" s="56"/>
      <c r="E82" s="104"/>
      <c r="F82" s="2"/>
      <c r="G82" s="166"/>
      <c r="H82" s="166"/>
      <c r="J82" s="49">
        <f>SUM(J79:J81)</f>
        <v>2932.78</v>
      </c>
      <c r="K82" s="46"/>
      <c r="L82" s="46"/>
      <c r="M82" s="124"/>
      <c r="N82" s="124"/>
      <c r="O82" s="1"/>
      <c r="P82" s="2"/>
    </row>
    <row r="83" spans="1:19" s="70" customFormat="1" ht="12.75" customHeight="1" x14ac:dyDescent="0.2">
      <c r="A83" s="24"/>
      <c r="B83" s="1"/>
      <c r="C83" s="78" t="s">
        <v>575</v>
      </c>
      <c r="D83" s="48" t="s">
        <v>576</v>
      </c>
      <c r="E83" s="104"/>
      <c r="F83" s="2"/>
      <c r="G83" s="168"/>
      <c r="H83" s="168"/>
      <c r="I83" s="167"/>
      <c r="J83" s="167"/>
      <c r="K83" s="168"/>
      <c r="L83" s="124"/>
      <c r="M83" s="124"/>
      <c r="N83" s="124"/>
      <c r="O83" s="124"/>
      <c r="P83" s="2"/>
    </row>
    <row r="84" spans="1:19" s="70" customFormat="1" ht="12.75" customHeight="1" x14ac:dyDescent="0.2">
      <c r="A84" s="24"/>
      <c r="B84" s="1"/>
      <c r="C84" s="47" t="s">
        <v>570</v>
      </c>
      <c r="D84" s="111">
        <v>2932.78</v>
      </c>
      <c r="E84" s="104"/>
      <c r="F84" s="2"/>
      <c r="G84" s="168"/>
      <c r="H84" s="168"/>
      <c r="I84" s="110" t="s">
        <v>581</v>
      </c>
      <c r="J84" s="167"/>
      <c r="K84" s="168"/>
      <c r="L84" s="124"/>
      <c r="M84" s="124"/>
      <c r="N84" s="124"/>
      <c r="O84" s="124"/>
      <c r="P84" s="124"/>
    </row>
    <row r="85" spans="1:19" s="70" customFormat="1" ht="12.75" customHeight="1" x14ac:dyDescent="0.2">
      <c r="A85" s="24"/>
      <c r="B85" s="1"/>
      <c r="C85" s="47" t="s">
        <v>931</v>
      </c>
      <c r="D85" s="111">
        <v>255.29</v>
      </c>
      <c r="E85" s="104"/>
      <c r="F85" s="2"/>
      <c r="G85" s="168"/>
      <c r="H85" s="168"/>
      <c r="I85" s="110" t="s">
        <v>580</v>
      </c>
      <c r="J85" s="167"/>
      <c r="K85" s="168"/>
      <c r="L85" s="124"/>
      <c r="M85" s="124"/>
      <c r="N85" s="124"/>
      <c r="O85" s="124"/>
      <c r="P85" s="124"/>
    </row>
    <row r="86" spans="1:19" s="70" customFormat="1" ht="12.75" customHeight="1" x14ac:dyDescent="0.2">
      <c r="A86" s="24"/>
      <c r="B86" s="1"/>
      <c r="C86" s="47" t="s">
        <v>572</v>
      </c>
      <c r="D86" s="111">
        <f>+D142/100000</f>
        <v>941.79380939999999</v>
      </c>
      <c r="E86" s="104"/>
      <c r="F86" s="2"/>
      <c r="G86" s="166"/>
      <c r="H86" s="166"/>
      <c r="I86" s="90" t="s">
        <v>587</v>
      </c>
      <c r="J86" s="167"/>
      <c r="K86" s="168"/>
      <c r="L86" s="124"/>
      <c r="M86" s="124"/>
      <c r="N86" s="124"/>
      <c r="O86" s="124"/>
      <c r="P86" s="124"/>
    </row>
    <row r="87" spans="1:19" s="70" customFormat="1" ht="12.75" customHeight="1" x14ac:dyDescent="0.2">
      <c r="A87" s="24"/>
      <c r="B87" s="1"/>
      <c r="C87" s="108" t="s">
        <v>578</v>
      </c>
      <c r="D87" s="48">
        <f>SUM(D84:D86)</f>
        <v>4129.8638093999998</v>
      </c>
      <c r="E87" s="104"/>
      <c r="F87" s="2"/>
      <c r="G87" s="30"/>
      <c r="H87" s="30"/>
      <c r="I87" s="2"/>
      <c r="J87" s="13"/>
      <c r="K87" s="13"/>
      <c r="L87" s="2"/>
      <c r="M87" s="2"/>
      <c r="N87" s="2"/>
      <c r="O87" s="124"/>
      <c r="P87" s="124"/>
    </row>
    <row r="88" spans="1:19" s="70" customFormat="1" ht="12.75" customHeight="1" x14ac:dyDescent="0.2">
      <c r="A88" s="24"/>
      <c r="B88" s="1"/>
      <c r="C88" s="47"/>
      <c r="D88" s="107"/>
      <c r="E88" s="104"/>
      <c r="F88" s="2"/>
      <c r="G88" s="30"/>
      <c r="H88" s="30"/>
      <c r="I88" s="2"/>
      <c r="O88" s="2"/>
      <c r="P88" s="124"/>
    </row>
    <row r="89" spans="1:19" s="70" customFormat="1" ht="12.75" customHeight="1" x14ac:dyDescent="0.2">
      <c r="A89" s="24"/>
      <c r="B89" s="1"/>
      <c r="C89" s="47" t="s">
        <v>932</v>
      </c>
      <c r="D89" s="111">
        <v>694.86</v>
      </c>
      <c r="E89" s="104"/>
      <c r="F89" s="2"/>
      <c r="G89" s="30"/>
      <c r="H89" s="30"/>
      <c r="I89" s="110" t="s">
        <v>581</v>
      </c>
      <c r="P89" s="2"/>
    </row>
    <row r="90" spans="1:19" s="70" customFormat="1" ht="12.75" customHeight="1" x14ac:dyDescent="0.2">
      <c r="A90" s="24"/>
      <c r="B90" s="1"/>
      <c r="C90" s="136" t="s">
        <v>1142</v>
      </c>
      <c r="D90" s="111">
        <v>1143.51</v>
      </c>
      <c r="E90" s="104"/>
      <c r="F90" s="2"/>
      <c r="G90" s="30"/>
      <c r="H90" s="30"/>
      <c r="I90" s="110" t="s">
        <v>581</v>
      </c>
    </row>
    <row r="91" spans="1:19" s="70" customFormat="1" ht="12.75" customHeight="1" x14ac:dyDescent="0.2">
      <c r="A91" s="24"/>
      <c r="B91" s="1"/>
      <c r="C91" s="78" t="s">
        <v>579</v>
      </c>
      <c r="D91" s="109">
        <f>D89+D90</f>
        <v>1838.37</v>
      </c>
      <c r="E91" s="104"/>
      <c r="F91" s="2"/>
      <c r="G91" s="30"/>
      <c r="H91" s="30"/>
      <c r="Q91" s="2"/>
      <c r="R91" s="2"/>
      <c r="S91" s="2"/>
    </row>
    <row r="92" spans="1:19" s="2" customFormat="1" x14ac:dyDescent="0.2">
      <c r="A92" s="24"/>
      <c r="B92" s="1"/>
      <c r="C92" s="105"/>
      <c r="D92" s="106"/>
      <c r="E92" s="104"/>
      <c r="G92" s="30"/>
      <c r="H92" s="30"/>
      <c r="I92" s="70"/>
      <c r="K92" s="221" t="str">
        <f>"FROM ( 01-03-2024 to "&amp;TEXT(A5,"dd-mm-yyyy")&amp;" )"</f>
        <v>FROM ( 01-03-2024 to 29-03-2024 )</v>
      </c>
      <c r="L92" s="221"/>
      <c r="O92" s="70"/>
      <c r="P92" s="70"/>
    </row>
    <row r="93" spans="1:19" s="2" customFormat="1" x14ac:dyDescent="0.2">
      <c r="A93" s="24"/>
      <c r="B93" s="1"/>
      <c r="C93" s="78" t="s">
        <v>577</v>
      </c>
      <c r="D93" s="109">
        <f>D84+D91</f>
        <v>4771.1499999999996</v>
      </c>
      <c r="E93" s="104"/>
      <c r="G93" s="30"/>
      <c r="H93" s="30"/>
      <c r="I93" s="70"/>
      <c r="J93" s="113"/>
      <c r="K93" s="113" t="s">
        <v>709</v>
      </c>
      <c r="L93" s="113" t="s">
        <v>710</v>
      </c>
      <c r="M93" s="113" t="s">
        <v>711</v>
      </c>
      <c r="N93" s="113" t="s">
        <v>712</v>
      </c>
      <c r="O93" s="70"/>
      <c r="P93" s="70"/>
    </row>
    <row r="94" spans="1:19" s="2" customFormat="1" x14ac:dyDescent="0.2">
      <c r="A94" s="24"/>
      <c r="B94" s="1"/>
      <c r="C94" s="56"/>
      <c r="D94" s="56"/>
      <c r="E94" s="104"/>
      <c r="G94" s="30"/>
      <c r="H94" s="30"/>
      <c r="I94" s="70"/>
      <c r="J94" s="113" t="s">
        <v>1860</v>
      </c>
      <c r="K94" s="115">
        <v>195.8</v>
      </c>
      <c r="L94" s="115">
        <v>105.74</v>
      </c>
      <c r="M94" s="115">
        <v>102.79</v>
      </c>
      <c r="N94" s="113">
        <f>+K94+M94-L94</f>
        <v>192.85000000000002</v>
      </c>
      <c r="O94" s="70"/>
      <c r="P94" s="70"/>
    </row>
    <row r="95" spans="1:19" s="2" customFormat="1" ht="38.25" x14ac:dyDescent="0.2">
      <c r="A95" s="24"/>
      <c r="B95" s="1"/>
      <c r="C95" s="79" t="str">
        <f>"Particulars ( 01-03-2024 to "&amp;TEXT(A5,"dd-mm-yyyy")&amp;" )"</f>
        <v>Particulars ( 01-03-2024 to 29-03-2024 )</v>
      </c>
      <c r="D95" s="79" t="s">
        <v>7</v>
      </c>
      <c r="E95" s="80" t="s">
        <v>73</v>
      </c>
      <c r="F95" s="80" t="s">
        <v>74</v>
      </c>
      <c r="G95" s="81" t="s">
        <v>75</v>
      </c>
      <c r="H95" s="80" t="s">
        <v>76</v>
      </c>
      <c r="I95" s="70"/>
      <c r="J95" s="113" t="s">
        <v>1861</v>
      </c>
      <c r="K95" s="115">
        <v>1882.55</v>
      </c>
      <c r="L95" s="115">
        <v>943.45</v>
      </c>
      <c r="M95" s="115">
        <v>1148.1199999999999</v>
      </c>
      <c r="N95" s="113">
        <f>+K95+M95-L95</f>
        <v>2087.2200000000003</v>
      </c>
      <c r="O95" s="70"/>
      <c r="P95" s="70"/>
    </row>
    <row r="96" spans="1:19" s="2" customFormat="1" x14ac:dyDescent="0.2">
      <c r="A96" s="24"/>
      <c r="B96" s="1"/>
      <c r="C96" s="50" t="s">
        <v>444</v>
      </c>
      <c r="D96" s="55">
        <f>+K96</f>
        <v>463.26</v>
      </c>
      <c r="E96" s="55">
        <f>+IF(M96=0,0,M96)</f>
        <v>694.86</v>
      </c>
      <c r="F96" s="55">
        <f>+L96</f>
        <v>255.29</v>
      </c>
      <c r="G96" s="55">
        <f>+D96+E96-F96</f>
        <v>902.82999999999993</v>
      </c>
      <c r="H96" s="55">
        <f>1500-G96</f>
        <v>597.17000000000007</v>
      </c>
      <c r="I96" s="70">
        <f>+IF(M96=0,0,M96)</f>
        <v>694.86</v>
      </c>
      <c r="J96" s="113" t="s">
        <v>707</v>
      </c>
      <c r="K96" s="115">
        <v>463.26</v>
      </c>
      <c r="L96" s="115">
        <v>255.29</v>
      </c>
      <c r="M96" s="115">
        <v>694.86</v>
      </c>
      <c r="N96" s="113">
        <f>+K96+M96-L96</f>
        <v>902.82999999999993</v>
      </c>
      <c r="O96" s="70"/>
      <c r="P96" s="70"/>
    </row>
    <row r="97" spans="1:16" s="2" customFormat="1" x14ac:dyDescent="0.2">
      <c r="A97" s="24"/>
      <c r="B97" s="1"/>
      <c r="C97" s="50" t="s">
        <v>71</v>
      </c>
      <c r="D97" s="55">
        <f>+K94+K95</f>
        <v>2078.35</v>
      </c>
      <c r="E97" s="55">
        <f>+M94+M95</f>
        <v>1250.9099999999999</v>
      </c>
      <c r="F97" s="55">
        <f>+L94+L95</f>
        <v>1049.19</v>
      </c>
      <c r="G97" s="55">
        <f>+D97+E97-F97</f>
        <v>2280.0699999999997</v>
      </c>
      <c r="H97" s="55">
        <f>1500+700+200-G97</f>
        <v>119.93000000000029</v>
      </c>
      <c r="I97" s="70"/>
      <c r="K97" s="118">
        <f>SUM(K94:K96)</f>
        <v>2541.6099999999997</v>
      </c>
      <c r="L97" s="118">
        <f>SUM(L94:L96)</f>
        <v>1304.48</v>
      </c>
      <c r="M97" s="118">
        <f>SUM(M94:M96)</f>
        <v>1945.77</v>
      </c>
      <c r="N97" s="118">
        <f>SUM(N94:N96)</f>
        <v>3182.9</v>
      </c>
      <c r="O97" s="70"/>
      <c r="P97" s="70"/>
    </row>
    <row r="98" spans="1:16" s="2" customFormat="1" x14ac:dyDescent="0.2">
      <c r="A98" s="24"/>
      <c r="B98" s="1"/>
      <c r="C98" s="14"/>
      <c r="D98" s="56"/>
      <c r="E98" s="13"/>
      <c r="G98" s="30"/>
      <c r="H98" s="30"/>
      <c r="I98" s="70"/>
      <c r="J98" s="70"/>
      <c r="K98" s="70"/>
      <c r="L98" s="70"/>
      <c r="M98" s="70"/>
      <c r="N98" s="70"/>
      <c r="O98" s="70"/>
      <c r="P98" s="70"/>
    </row>
    <row r="99" spans="1:16" s="2" customFormat="1" x14ac:dyDescent="0.2">
      <c r="A99" s="215" t="s">
        <v>80</v>
      </c>
      <c r="B99" s="216"/>
      <c r="C99" s="216"/>
      <c r="D99" s="217"/>
      <c r="E99" s="69"/>
      <c r="F99" s="70"/>
      <c r="G99" s="30"/>
      <c r="H99" s="30"/>
      <c r="I99" s="70"/>
      <c r="J99" s="70"/>
      <c r="K99" s="70"/>
      <c r="L99" s="70"/>
      <c r="M99" s="70"/>
      <c r="N99" s="70"/>
      <c r="O99" s="70"/>
      <c r="P99" s="70"/>
    </row>
    <row r="100" spans="1:16" s="2" customFormat="1" x14ac:dyDescent="0.2">
      <c r="A100" s="71" t="s">
        <v>81</v>
      </c>
      <c r="B100" s="71"/>
      <c r="C100" s="72" t="s">
        <v>82</v>
      </c>
      <c r="D100" s="73" t="s">
        <v>83</v>
      </c>
      <c r="E100" s="69"/>
      <c r="F100" s="70"/>
      <c r="G100" s="30"/>
      <c r="H100" s="30"/>
      <c r="I100" s="70"/>
      <c r="J100" s="70"/>
      <c r="K100" s="70"/>
      <c r="L100" s="70"/>
      <c r="M100" s="70"/>
      <c r="N100" s="70"/>
      <c r="O100" s="70"/>
      <c r="P100" s="70"/>
    </row>
    <row r="101" spans="1:16" s="2" customFormat="1" x14ac:dyDescent="0.2">
      <c r="A101" s="87">
        <v>45352</v>
      </c>
      <c r="B101" s="120" t="s">
        <v>6</v>
      </c>
      <c r="C101" s="75" t="s">
        <v>594</v>
      </c>
      <c r="D101" s="88">
        <v>2143144</v>
      </c>
      <c r="G101" s="30"/>
      <c r="H101" s="30"/>
      <c r="P101" s="70"/>
    </row>
    <row r="102" spans="1:16" s="2" customFormat="1" x14ac:dyDescent="0.2">
      <c r="A102" s="87">
        <v>45352</v>
      </c>
      <c r="B102" s="120" t="s">
        <v>6</v>
      </c>
      <c r="C102" s="75" t="s">
        <v>271</v>
      </c>
      <c r="D102" s="88">
        <v>1493463</v>
      </c>
      <c r="G102" s="30"/>
      <c r="H102" s="30"/>
      <c r="P102" s="70"/>
    </row>
    <row r="103" spans="1:16" s="2" customFormat="1" x14ac:dyDescent="0.2">
      <c r="A103" s="87">
        <v>45354</v>
      </c>
      <c r="B103" s="120" t="s">
        <v>6</v>
      </c>
      <c r="C103" s="75" t="s">
        <v>270</v>
      </c>
      <c r="D103" s="88">
        <v>187299</v>
      </c>
      <c r="G103" s="30"/>
      <c r="H103" s="30"/>
      <c r="P103" s="70"/>
    </row>
    <row r="104" spans="1:16" s="2" customFormat="1" x14ac:dyDescent="0.2">
      <c r="A104" s="87">
        <v>45356</v>
      </c>
      <c r="B104" s="120" t="s">
        <v>6</v>
      </c>
      <c r="C104" s="75" t="s">
        <v>84</v>
      </c>
      <c r="D104" s="88">
        <v>3111466</v>
      </c>
      <c r="G104" s="30"/>
      <c r="H104" s="30"/>
      <c r="P104" s="70"/>
    </row>
    <row r="105" spans="1:16" s="2" customFormat="1" x14ac:dyDescent="0.2">
      <c r="A105" s="87">
        <v>45356</v>
      </c>
      <c r="B105" s="120" t="s">
        <v>6</v>
      </c>
      <c r="C105" s="75" t="s">
        <v>271</v>
      </c>
      <c r="D105" s="88">
        <v>1369091</v>
      </c>
      <c r="G105" s="30"/>
      <c r="H105" s="30"/>
      <c r="P105" s="70"/>
    </row>
    <row r="106" spans="1:16" s="2" customFormat="1" x14ac:dyDescent="0.2">
      <c r="A106" s="87">
        <v>45357</v>
      </c>
      <c r="B106" s="120" t="s">
        <v>6</v>
      </c>
      <c r="C106" s="75" t="s">
        <v>271</v>
      </c>
      <c r="D106" s="88">
        <v>1393433</v>
      </c>
      <c r="G106" s="30"/>
      <c r="H106" s="30"/>
      <c r="P106" s="70"/>
    </row>
    <row r="107" spans="1:16" s="2" customFormat="1" x14ac:dyDescent="0.2">
      <c r="A107" s="87">
        <v>45359</v>
      </c>
      <c r="B107" s="120" t="s">
        <v>6</v>
      </c>
      <c r="C107" s="75" t="s">
        <v>271</v>
      </c>
      <c r="D107" s="88">
        <v>730944</v>
      </c>
      <c r="G107" s="30"/>
      <c r="H107" s="30"/>
      <c r="P107" s="70"/>
    </row>
    <row r="108" spans="1:16" s="2" customFormat="1" x14ac:dyDescent="0.2">
      <c r="A108" s="87">
        <v>45359</v>
      </c>
      <c r="B108" s="120" t="s">
        <v>6</v>
      </c>
      <c r="C108" s="75" t="s">
        <v>18</v>
      </c>
      <c r="D108" s="88">
        <v>19228</v>
      </c>
      <c r="G108" s="30"/>
      <c r="H108" s="30"/>
      <c r="P108" s="70"/>
    </row>
    <row r="109" spans="1:16" s="2" customFormat="1" x14ac:dyDescent="0.2">
      <c r="A109" s="87">
        <v>45362</v>
      </c>
      <c r="B109" s="120" t="s">
        <v>6</v>
      </c>
      <c r="C109" s="75" t="s">
        <v>1789</v>
      </c>
      <c r="D109" s="88">
        <v>2568137</v>
      </c>
      <c r="G109" s="30"/>
      <c r="H109" s="30"/>
      <c r="P109" s="70"/>
    </row>
    <row r="110" spans="1:16" s="2" customFormat="1" x14ac:dyDescent="0.2">
      <c r="A110" s="87">
        <v>45362</v>
      </c>
      <c r="B110" s="120" t="s">
        <v>6</v>
      </c>
      <c r="C110" s="75" t="s">
        <v>85</v>
      </c>
      <c r="D110" s="88">
        <v>39949</v>
      </c>
      <c r="G110" s="30"/>
      <c r="H110" s="30"/>
      <c r="P110" s="70"/>
    </row>
    <row r="111" spans="1:16" s="2" customFormat="1" x14ac:dyDescent="0.2">
      <c r="A111" s="87">
        <v>45362</v>
      </c>
      <c r="B111" s="120" t="s">
        <v>6</v>
      </c>
      <c r="C111" s="75" t="s">
        <v>85</v>
      </c>
      <c r="D111" s="88">
        <v>219691</v>
      </c>
      <c r="G111" s="30"/>
      <c r="H111" s="30"/>
      <c r="P111" s="70"/>
    </row>
    <row r="112" spans="1:16" s="2" customFormat="1" x14ac:dyDescent="0.2">
      <c r="A112" s="87">
        <v>45363</v>
      </c>
      <c r="B112" s="120" t="s">
        <v>6</v>
      </c>
      <c r="C112" s="75" t="s">
        <v>271</v>
      </c>
      <c r="D112" s="88">
        <v>952416</v>
      </c>
      <c r="G112" s="30"/>
      <c r="H112" s="30"/>
      <c r="P112" s="70"/>
    </row>
    <row r="113" spans="1:16" s="2" customFormat="1" x14ac:dyDescent="0.2">
      <c r="A113" s="87">
        <v>45363</v>
      </c>
      <c r="B113" s="120" t="s">
        <v>6</v>
      </c>
      <c r="C113" s="75" t="s">
        <v>18</v>
      </c>
      <c r="D113" s="88">
        <v>591483</v>
      </c>
      <c r="G113" s="30"/>
      <c r="H113" s="30"/>
      <c r="P113" s="70"/>
    </row>
    <row r="114" spans="1:16" s="2" customFormat="1" x14ac:dyDescent="0.2">
      <c r="A114" s="87">
        <v>45364</v>
      </c>
      <c r="B114" s="120" t="s">
        <v>6</v>
      </c>
      <c r="C114" s="75" t="s">
        <v>85</v>
      </c>
      <c r="D114" s="88">
        <v>701638</v>
      </c>
      <c r="G114" s="30"/>
      <c r="H114" s="30"/>
      <c r="P114" s="70"/>
    </row>
    <row r="115" spans="1:16" s="2" customFormat="1" x14ac:dyDescent="0.2">
      <c r="A115" s="87">
        <v>45364</v>
      </c>
      <c r="B115" s="120" t="s">
        <v>6</v>
      </c>
      <c r="C115" s="75" t="s">
        <v>86</v>
      </c>
      <c r="D115" s="88">
        <v>1887871</v>
      </c>
      <c r="G115" s="30"/>
      <c r="H115" s="30"/>
      <c r="P115" s="70"/>
    </row>
    <row r="116" spans="1:16" s="2" customFormat="1" x14ac:dyDescent="0.2">
      <c r="A116" s="87">
        <v>45365</v>
      </c>
      <c r="B116" s="120" t="s">
        <v>6</v>
      </c>
      <c r="C116" s="75" t="s">
        <v>18</v>
      </c>
      <c r="D116" s="88">
        <v>1006330</v>
      </c>
      <c r="G116" s="30"/>
      <c r="H116" s="30"/>
      <c r="P116" s="70"/>
    </row>
    <row r="117" spans="1:16" s="2" customFormat="1" x14ac:dyDescent="0.2">
      <c r="A117" s="87">
        <v>45365</v>
      </c>
      <c r="B117" s="120" t="s">
        <v>6</v>
      </c>
      <c r="C117" s="75" t="s">
        <v>18</v>
      </c>
      <c r="D117" s="88">
        <v>5597</v>
      </c>
      <c r="G117" s="30"/>
      <c r="H117" s="30"/>
      <c r="P117" s="70"/>
    </row>
    <row r="118" spans="1:16" s="2" customFormat="1" x14ac:dyDescent="0.2">
      <c r="A118" s="87">
        <v>45366</v>
      </c>
      <c r="B118" s="120" t="s">
        <v>6</v>
      </c>
      <c r="C118" s="75" t="s">
        <v>201</v>
      </c>
      <c r="D118" s="88">
        <v>6161756</v>
      </c>
      <c r="G118" s="30"/>
      <c r="H118" s="30"/>
      <c r="P118" s="70"/>
    </row>
    <row r="119" spans="1:16" s="2" customFormat="1" x14ac:dyDescent="0.2">
      <c r="A119" s="87">
        <v>45366</v>
      </c>
      <c r="B119" s="120" t="s">
        <v>6</v>
      </c>
      <c r="C119" s="75" t="s">
        <v>1789</v>
      </c>
      <c r="D119" s="88">
        <v>7500000</v>
      </c>
      <c r="G119" s="30"/>
      <c r="H119" s="30"/>
      <c r="P119" s="70"/>
    </row>
    <row r="120" spans="1:16" s="2" customFormat="1" x14ac:dyDescent="0.2">
      <c r="A120" s="87">
        <v>45366</v>
      </c>
      <c r="B120" s="120" t="s">
        <v>6</v>
      </c>
      <c r="C120" s="75" t="s">
        <v>85</v>
      </c>
      <c r="D120" s="88">
        <v>306349</v>
      </c>
      <c r="G120" s="30"/>
      <c r="H120" s="30"/>
      <c r="P120" s="70"/>
    </row>
    <row r="121" spans="1:16" s="2" customFormat="1" x14ac:dyDescent="0.2">
      <c r="A121" s="87">
        <v>45366</v>
      </c>
      <c r="B121" s="120" t="s">
        <v>6</v>
      </c>
      <c r="C121" s="75" t="s">
        <v>85</v>
      </c>
      <c r="D121" s="88">
        <v>400000</v>
      </c>
      <c r="G121" s="30"/>
      <c r="H121" s="30"/>
      <c r="P121" s="70"/>
    </row>
    <row r="122" spans="1:16" s="2" customFormat="1" x14ac:dyDescent="0.2">
      <c r="A122" s="87">
        <v>45366</v>
      </c>
      <c r="B122" s="120" t="s">
        <v>6</v>
      </c>
      <c r="C122" s="75" t="s">
        <v>87</v>
      </c>
      <c r="D122" s="88">
        <v>4850915</v>
      </c>
      <c r="G122" s="30"/>
      <c r="H122" s="30"/>
      <c r="P122" s="70"/>
    </row>
    <row r="123" spans="1:16" s="2" customFormat="1" x14ac:dyDescent="0.2">
      <c r="A123" s="87">
        <v>45366</v>
      </c>
      <c r="B123" s="120" t="s">
        <v>6</v>
      </c>
      <c r="C123" s="75" t="s">
        <v>88</v>
      </c>
      <c r="D123" s="88">
        <v>5232207.0599999996</v>
      </c>
      <c r="G123" s="30"/>
      <c r="H123" s="30"/>
      <c r="P123" s="70"/>
    </row>
    <row r="124" spans="1:16" s="2" customFormat="1" x14ac:dyDescent="0.2">
      <c r="A124" s="87">
        <v>45366</v>
      </c>
      <c r="B124" s="120" t="s">
        <v>6</v>
      </c>
      <c r="C124" s="75" t="s">
        <v>201</v>
      </c>
      <c r="D124" s="88">
        <v>9960808.3800000008</v>
      </c>
      <c r="G124" s="30"/>
      <c r="H124" s="30"/>
      <c r="P124" s="70"/>
    </row>
    <row r="125" spans="1:16" s="2" customFormat="1" x14ac:dyDescent="0.2">
      <c r="A125" s="87">
        <v>45366</v>
      </c>
      <c r="B125" s="120" t="s">
        <v>6</v>
      </c>
      <c r="C125" s="75" t="s">
        <v>86</v>
      </c>
      <c r="D125" s="88">
        <v>7162826</v>
      </c>
      <c r="G125" s="30"/>
      <c r="H125" s="30"/>
      <c r="P125" s="70"/>
    </row>
    <row r="126" spans="1:16" s="2" customFormat="1" x14ac:dyDescent="0.2">
      <c r="A126" s="87">
        <v>45366</v>
      </c>
      <c r="B126" s="120" t="s">
        <v>6</v>
      </c>
      <c r="C126" s="75" t="s">
        <v>323</v>
      </c>
      <c r="D126" s="88">
        <v>1044131</v>
      </c>
      <c r="G126" s="30"/>
      <c r="H126" s="30"/>
      <c r="P126" s="70"/>
    </row>
    <row r="127" spans="1:16" s="2" customFormat="1" x14ac:dyDescent="0.2">
      <c r="A127" s="87">
        <v>45366</v>
      </c>
      <c r="B127" s="120" t="s">
        <v>6</v>
      </c>
      <c r="C127" s="75" t="s">
        <v>1789</v>
      </c>
      <c r="D127" s="88">
        <v>39309</v>
      </c>
      <c r="G127" s="30"/>
      <c r="H127" s="30"/>
      <c r="P127" s="70"/>
    </row>
    <row r="128" spans="1:16" s="2" customFormat="1" x14ac:dyDescent="0.2">
      <c r="A128" s="87">
        <v>45366</v>
      </c>
      <c r="B128" s="120" t="s">
        <v>6</v>
      </c>
      <c r="C128" s="75" t="s">
        <v>88</v>
      </c>
      <c r="D128" s="88">
        <v>30421</v>
      </c>
      <c r="G128" s="30"/>
      <c r="H128" s="30"/>
      <c r="P128" s="70"/>
    </row>
    <row r="129" spans="1:16" s="2" customFormat="1" x14ac:dyDescent="0.2">
      <c r="A129" s="87">
        <v>45366</v>
      </c>
      <c r="B129" s="120" t="s">
        <v>6</v>
      </c>
      <c r="C129" s="75" t="s">
        <v>270</v>
      </c>
      <c r="D129" s="88">
        <v>76786</v>
      </c>
      <c r="G129" s="30"/>
      <c r="H129" s="30"/>
      <c r="P129" s="70"/>
    </row>
    <row r="130" spans="1:16" s="2" customFormat="1" x14ac:dyDescent="0.2">
      <c r="A130" s="87">
        <v>45366</v>
      </c>
      <c r="B130" s="120" t="s">
        <v>6</v>
      </c>
      <c r="C130" s="75" t="s">
        <v>270</v>
      </c>
      <c r="D130" s="88">
        <v>30283.5</v>
      </c>
      <c r="G130" s="30"/>
      <c r="H130" s="30"/>
      <c r="P130" s="70"/>
    </row>
    <row r="131" spans="1:16" s="2" customFormat="1" x14ac:dyDescent="0.2">
      <c r="A131" s="87">
        <v>45367</v>
      </c>
      <c r="B131" s="120" t="s">
        <v>6</v>
      </c>
      <c r="C131" s="75" t="s">
        <v>594</v>
      </c>
      <c r="D131" s="88">
        <v>5010276</v>
      </c>
      <c r="G131" s="30"/>
      <c r="H131" s="30"/>
      <c r="P131" s="70"/>
    </row>
    <row r="132" spans="1:16" s="2" customFormat="1" x14ac:dyDescent="0.2">
      <c r="A132" s="87">
        <v>45369</v>
      </c>
      <c r="B132" s="120" t="s">
        <v>6</v>
      </c>
      <c r="C132" s="75" t="s">
        <v>86</v>
      </c>
      <c r="D132" s="88">
        <v>5267306</v>
      </c>
      <c r="G132" s="30"/>
      <c r="H132" s="30"/>
      <c r="P132" s="70"/>
    </row>
    <row r="133" spans="1:16" s="2" customFormat="1" x14ac:dyDescent="0.2">
      <c r="A133" s="87">
        <v>45371</v>
      </c>
      <c r="B133" s="120" t="s">
        <v>6</v>
      </c>
      <c r="C133" s="75" t="s">
        <v>1789</v>
      </c>
      <c r="D133" s="88">
        <v>7500000</v>
      </c>
      <c r="G133" s="30"/>
      <c r="H133" s="30"/>
      <c r="P133" s="70"/>
    </row>
    <row r="134" spans="1:16" s="2" customFormat="1" x14ac:dyDescent="0.2">
      <c r="A134" s="87">
        <v>45371</v>
      </c>
      <c r="B134" s="120" t="s">
        <v>6</v>
      </c>
      <c r="C134" s="75" t="s">
        <v>271</v>
      </c>
      <c r="D134" s="88">
        <v>1203166</v>
      </c>
      <c r="G134" s="30"/>
      <c r="H134" s="30"/>
      <c r="P134" s="70"/>
    </row>
    <row r="135" spans="1:16" s="2" customFormat="1" x14ac:dyDescent="0.2">
      <c r="A135" s="87">
        <v>45372</v>
      </c>
      <c r="B135" s="120" t="s">
        <v>6</v>
      </c>
      <c r="C135" s="75" t="s">
        <v>85</v>
      </c>
      <c r="D135" s="88">
        <v>408027</v>
      </c>
      <c r="G135" s="30"/>
      <c r="H135" s="30"/>
      <c r="P135" s="70"/>
    </row>
    <row r="136" spans="1:16" s="2" customFormat="1" x14ac:dyDescent="0.2">
      <c r="A136" s="87">
        <v>45373</v>
      </c>
      <c r="B136" s="120" t="s">
        <v>6</v>
      </c>
      <c r="C136" s="75" t="s">
        <v>84</v>
      </c>
      <c r="D136" s="88">
        <v>5000000</v>
      </c>
      <c r="G136" s="30"/>
      <c r="H136" s="30"/>
      <c r="P136" s="70"/>
    </row>
    <row r="137" spans="1:16" s="2" customFormat="1" x14ac:dyDescent="0.2">
      <c r="A137" s="87">
        <v>45373</v>
      </c>
      <c r="B137" s="120" t="s">
        <v>6</v>
      </c>
      <c r="C137" s="75" t="s">
        <v>270</v>
      </c>
      <c r="D137" s="88">
        <v>121900</v>
      </c>
      <c r="G137" s="30"/>
      <c r="H137" s="30"/>
      <c r="P137" s="70"/>
    </row>
    <row r="138" spans="1:16" s="2" customFormat="1" x14ac:dyDescent="0.2">
      <c r="A138" s="87">
        <v>45377</v>
      </c>
      <c r="B138" s="120" t="s">
        <v>6</v>
      </c>
      <c r="C138" s="75" t="s">
        <v>85</v>
      </c>
      <c r="D138" s="88">
        <v>132254</v>
      </c>
      <c r="G138" s="30"/>
      <c r="H138" s="30"/>
      <c r="P138" s="70"/>
    </row>
    <row r="139" spans="1:16" s="2" customFormat="1" x14ac:dyDescent="0.2">
      <c r="A139" s="87">
        <v>45377</v>
      </c>
      <c r="B139" s="120" t="s">
        <v>6</v>
      </c>
      <c r="C139" s="75" t="s">
        <v>201</v>
      </c>
      <c r="D139" s="88">
        <v>4334854</v>
      </c>
      <c r="G139" s="30"/>
      <c r="H139" s="30"/>
      <c r="P139" s="70"/>
    </row>
    <row r="140" spans="1:16" s="2" customFormat="1" x14ac:dyDescent="0.2">
      <c r="A140" s="87">
        <v>45377</v>
      </c>
      <c r="B140" s="120" t="s">
        <v>6</v>
      </c>
      <c r="C140" s="75" t="s">
        <v>1789</v>
      </c>
      <c r="D140" s="88">
        <v>1744249</v>
      </c>
      <c r="G140" s="30"/>
      <c r="H140" s="30"/>
      <c r="P140" s="70"/>
    </row>
    <row r="141" spans="1:16" s="2" customFormat="1" x14ac:dyDescent="0.2">
      <c r="A141" s="87">
        <v>45377</v>
      </c>
      <c r="B141" s="120" t="s">
        <v>6</v>
      </c>
      <c r="C141" s="75" t="s">
        <v>87</v>
      </c>
      <c r="D141" s="88">
        <v>2240377</v>
      </c>
      <c r="G141" s="30"/>
      <c r="H141" s="30"/>
      <c r="P141" s="70"/>
    </row>
    <row r="142" spans="1:16" s="2" customFormat="1" x14ac:dyDescent="0.2">
      <c r="A142" s="87"/>
      <c r="B142" s="74"/>
      <c r="C142" s="183" t="s">
        <v>2141</v>
      </c>
      <c r="D142" s="51">
        <f>SUM(D101:D141)</f>
        <v>94179380.939999998</v>
      </c>
      <c r="F142" s="2" t="s">
        <v>396</v>
      </c>
      <c r="G142" s="1"/>
      <c r="H142" s="1"/>
      <c r="P142" s="70"/>
    </row>
    <row r="143" spans="1:16" s="2" customFormat="1" x14ac:dyDescent="0.2">
      <c r="A143" s="24"/>
      <c r="B143" s="1"/>
      <c r="C143" s="14"/>
      <c r="D143" s="56"/>
      <c r="E143" s="13"/>
      <c r="G143" s="1"/>
      <c r="H143" s="1"/>
      <c r="I143" s="2" t="s">
        <v>396</v>
      </c>
    </row>
    <row r="144" spans="1:16" s="2" customFormat="1" x14ac:dyDescent="0.2">
      <c r="A144" s="24"/>
      <c r="B144" s="1"/>
      <c r="C144" s="218" t="s">
        <v>77</v>
      </c>
      <c r="D144" s="219"/>
      <c r="E144" s="219"/>
      <c r="F144" s="220"/>
      <c r="I144" s="2" t="s">
        <v>396</v>
      </c>
    </row>
    <row r="145" spans="1:14" s="2" customFormat="1" x14ac:dyDescent="0.2">
      <c r="A145" s="24"/>
      <c r="B145" s="1"/>
      <c r="C145" s="50"/>
      <c r="D145" s="57" t="s">
        <v>78</v>
      </c>
      <c r="E145" s="58" t="s">
        <v>79</v>
      </c>
      <c r="F145" s="57" t="s">
        <v>72</v>
      </c>
    </row>
    <row r="146" spans="1:14" s="2" customFormat="1" x14ac:dyDescent="0.2">
      <c r="A146" s="24"/>
      <c r="B146" s="1"/>
      <c r="C146" s="59" t="str">
        <f>"01-03-2024 to "&amp;TEXT(A5-2,"dd-mm-yyyy")</f>
        <v>01-03-2024 to 27-03-2024</v>
      </c>
      <c r="D146" s="60">
        <v>4250.46</v>
      </c>
      <c r="E146" s="60">
        <v>576.9</v>
      </c>
      <c r="F146" s="61">
        <f>SUM(D146:E146)</f>
        <v>4827.3599999999997</v>
      </c>
      <c r="I146" s="53"/>
    </row>
    <row r="147" spans="1:14" s="2" customFormat="1" x14ac:dyDescent="0.2">
      <c r="A147" s="24"/>
      <c r="B147" s="1"/>
      <c r="C147" s="62" t="str">
        <f>TEXT(A5-1,"dd-mm-yyyy")</f>
        <v>28-03-2024</v>
      </c>
      <c r="D147" s="60">
        <v>93.19</v>
      </c>
      <c r="E147" s="60">
        <v>4.43</v>
      </c>
      <c r="F147" s="61">
        <f>SUM(D147:E147)</f>
        <v>97.62</v>
      </c>
      <c r="G147" s="1"/>
      <c r="H147" s="1"/>
      <c r="I147" s="53"/>
    </row>
    <row r="148" spans="1:14" s="2" customFormat="1" ht="13.5" thickBot="1" x14ac:dyDescent="0.25">
      <c r="A148" s="24"/>
      <c r="B148" s="1"/>
      <c r="C148" s="63" t="str">
        <f>"01-03-2024 to "&amp;TEXT(A5-1,"dd-mm-yyyy")</f>
        <v>01-03-2024 to 28-03-2024</v>
      </c>
      <c r="D148" s="64">
        <f>SUM(D146:D147)</f>
        <v>4343.6499999999996</v>
      </c>
      <c r="E148" s="64">
        <f>SUM(E146:E147)</f>
        <v>581.32999999999993</v>
      </c>
      <c r="F148" s="64">
        <f>SUM(F146:F147)</f>
        <v>4924.9799999999996</v>
      </c>
      <c r="G148" s="1"/>
      <c r="H148" s="1"/>
      <c r="M148" s="1"/>
      <c r="N148" s="1"/>
    </row>
    <row r="149" spans="1:14" s="2" customFormat="1" ht="13.5" thickTop="1" x14ac:dyDescent="0.2">
      <c r="A149" s="24"/>
      <c r="B149" s="1"/>
      <c r="C149" s="62"/>
      <c r="D149" s="65"/>
      <c r="E149" s="66"/>
      <c r="F149" s="67"/>
      <c r="M149" s="1"/>
      <c r="N149" s="1"/>
    </row>
    <row r="150" spans="1:14" s="2" customFormat="1" x14ac:dyDescent="0.2">
      <c r="A150" s="24"/>
      <c r="B150" s="1"/>
      <c r="C150" s="62" t="str">
        <f>"01-04-2023 to " &amp;C147</f>
        <v>01-04-2023 to 28-03-2024</v>
      </c>
      <c r="D150" s="68">
        <f>+D148+41127.88</f>
        <v>45471.53</v>
      </c>
      <c r="E150" s="68">
        <f>+E148+5179.64</f>
        <v>5760.97</v>
      </c>
      <c r="F150" s="68">
        <f>+F148+46316.49</f>
        <v>51241.47</v>
      </c>
      <c r="G150" s="1"/>
      <c r="H150" s="1"/>
      <c r="M150" s="1"/>
      <c r="N150" s="1"/>
    </row>
    <row r="151" spans="1:14" s="2" customFormat="1" x14ac:dyDescent="0.2">
      <c r="A151" s="24"/>
      <c r="B151" s="1"/>
      <c r="C151" s="52"/>
      <c r="D151" s="85"/>
      <c r="E151" s="53"/>
      <c r="F151" s="53"/>
      <c r="G151" s="1"/>
      <c r="H151" s="1"/>
      <c r="M151" s="1"/>
      <c r="N151" s="1"/>
    </row>
    <row r="152" spans="1:14" s="2" customFormat="1" x14ac:dyDescent="0.2">
      <c r="A152" s="24"/>
      <c r="B152" s="1"/>
      <c r="C152" s="52"/>
      <c r="D152" s="85"/>
      <c r="E152" s="53"/>
      <c r="F152" s="53"/>
      <c r="G152" s="1"/>
      <c r="H152" s="1"/>
      <c r="M152" s="1"/>
      <c r="N152" s="1"/>
    </row>
    <row r="153" spans="1:14" s="2" customFormat="1" x14ac:dyDescent="0.2">
      <c r="A153" s="24"/>
      <c r="B153" s="1"/>
      <c r="C153" s="52"/>
      <c r="D153" s="85"/>
      <c r="E153" s="53"/>
      <c r="F153" s="53"/>
      <c r="G153" s="1"/>
      <c r="H153" s="1"/>
      <c r="M153" s="1"/>
      <c r="N153" s="1"/>
    </row>
    <row r="154" spans="1:14" s="2" customFormat="1" x14ac:dyDescent="0.2">
      <c r="A154" s="24"/>
      <c r="B154" s="1"/>
      <c r="C154" s="52"/>
      <c r="D154" s="85"/>
      <c r="E154" s="53"/>
      <c r="F154" s="53"/>
      <c r="G154" s="1"/>
      <c r="H154" s="1"/>
      <c r="M154" s="1"/>
      <c r="N154" s="1"/>
    </row>
    <row r="155" spans="1:14" s="2" customFormat="1" x14ac:dyDescent="0.2">
      <c r="A155" s="24"/>
      <c r="B155" s="1"/>
      <c r="C155" s="14"/>
      <c r="D155" s="25">
        <f>SUM(D152:D154)</f>
        <v>0</v>
      </c>
      <c r="E155" s="2">
        <f>SUM(E152:E154)</f>
        <v>0</v>
      </c>
      <c r="G155" s="1"/>
      <c r="H155" s="1"/>
      <c r="M155" s="1"/>
      <c r="N155" s="1"/>
    </row>
    <row r="156" spans="1:14" s="2" customFormat="1" x14ac:dyDescent="0.2">
      <c r="A156" s="24"/>
      <c r="B156" s="1"/>
      <c r="C156" s="14"/>
      <c r="D156" s="25"/>
      <c r="G156" s="1"/>
      <c r="H156" s="1"/>
      <c r="M156" s="1"/>
      <c r="N156" s="1"/>
    </row>
    <row r="157" spans="1:14" s="2" customFormat="1" x14ac:dyDescent="0.2">
      <c r="A157" s="24"/>
      <c r="B157" s="1"/>
      <c r="C157" s="14"/>
      <c r="D157" s="25"/>
      <c r="G157" s="1"/>
      <c r="H157" s="1"/>
      <c r="M157" s="1"/>
      <c r="N157" s="1"/>
    </row>
    <row r="158" spans="1:14" s="2" customFormat="1" x14ac:dyDescent="0.2">
      <c r="A158" s="24"/>
      <c r="B158" s="1"/>
      <c r="C158" s="14"/>
      <c r="D158" s="25"/>
      <c r="G158" s="1"/>
      <c r="H158" s="1"/>
      <c r="M158" s="1"/>
      <c r="N158" s="1"/>
    </row>
    <row r="159" spans="1:14" s="2" customFormat="1" x14ac:dyDescent="0.2">
      <c r="A159" s="24"/>
      <c r="B159" s="1"/>
      <c r="C159" s="14"/>
      <c r="D159" s="25"/>
      <c r="G159" s="1"/>
      <c r="H159" s="1"/>
      <c r="M159" s="1"/>
      <c r="N159" s="1"/>
    </row>
    <row r="160" spans="1:14" s="2" customFormat="1" x14ac:dyDescent="0.2">
      <c r="A160" s="24"/>
      <c r="B160" s="1"/>
      <c r="C160" s="14"/>
      <c r="D160" s="25"/>
      <c r="G160" s="1"/>
      <c r="H160" s="1"/>
      <c r="M160" s="1"/>
      <c r="N160" s="1"/>
    </row>
    <row r="161" spans="1:19" s="2" customFormat="1" x14ac:dyDescent="0.2">
      <c r="A161" s="24"/>
      <c r="B161" s="1"/>
      <c r="C161" s="14"/>
      <c r="D161" s="25"/>
      <c r="G161" s="1"/>
      <c r="H161" s="1"/>
      <c r="M161" s="1"/>
      <c r="N161" s="1"/>
    </row>
    <row r="162" spans="1:19" s="2" customFormat="1" x14ac:dyDescent="0.2">
      <c r="A162" s="24"/>
      <c r="B162" s="1"/>
      <c r="C162" s="14"/>
      <c r="D162" s="25"/>
      <c r="G162" s="1"/>
      <c r="H162" s="1"/>
      <c r="M162" s="1"/>
      <c r="N162" s="1"/>
      <c r="Q162" s="1"/>
      <c r="R162" s="1"/>
      <c r="S162" s="1"/>
    </row>
    <row r="163" spans="1:19" x14ac:dyDescent="0.2">
      <c r="J163" s="2"/>
      <c r="K163" s="2"/>
      <c r="L163" s="2"/>
      <c r="O163" s="2"/>
      <c r="P163" s="2"/>
      <c r="Q163" s="2"/>
      <c r="R163" s="2"/>
      <c r="S163" s="2"/>
    </row>
    <row r="164" spans="1:19" s="2" customFormat="1" x14ac:dyDescent="0.2">
      <c r="A164" s="24"/>
      <c r="B164" s="1"/>
      <c r="C164" s="14"/>
      <c r="D164" s="25"/>
      <c r="G164" s="1"/>
      <c r="H164" s="1"/>
      <c r="M164" s="1"/>
      <c r="N164" s="1"/>
      <c r="Q164" s="1"/>
      <c r="R164" s="1"/>
      <c r="S164" s="1"/>
    </row>
    <row r="165" spans="1:19" x14ac:dyDescent="0.2">
      <c r="J165" s="2"/>
      <c r="K165" s="2"/>
      <c r="L165" s="2"/>
      <c r="O165" s="2"/>
      <c r="P165" s="2"/>
    </row>
    <row r="166" spans="1:19" x14ac:dyDescent="0.2">
      <c r="J166" s="2"/>
      <c r="K166" s="2"/>
      <c r="L166" s="2"/>
      <c r="O166" s="2"/>
      <c r="P166" s="2"/>
    </row>
    <row r="167" spans="1:19" x14ac:dyDescent="0.2">
      <c r="J167" s="2"/>
      <c r="K167" s="2"/>
      <c r="L167" s="2"/>
      <c r="O167" s="2"/>
      <c r="P167" s="2"/>
    </row>
    <row r="168" spans="1:19" x14ac:dyDescent="0.2">
      <c r="J168" s="2"/>
      <c r="K168" s="2"/>
      <c r="L168" s="2"/>
      <c r="O168" s="2"/>
      <c r="P168" s="2"/>
    </row>
    <row r="169" spans="1:19" x14ac:dyDescent="0.2">
      <c r="O169" s="2"/>
      <c r="P169" s="2"/>
    </row>
    <row r="170" spans="1:19" x14ac:dyDescent="0.2">
      <c r="J170" s="2"/>
      <c r="K170" s="2"/>
      <c r="L170" s="2"/>
      <c r="M170" s="2"/>
      <c r="N170" s="2"/>
      <c r="O170" s="2"/>
      <c r="P170" s="2"/>
    </row>
    <row r="171" spans="1:19" x14ac:dyDescent="0.2">
      <c r="O171" s="2"/>
      <c r="P171" s="2"/>
    </row>
    <row r="172" spans="1:19" x14ac:dyDescent="0.2">
      <c r="G172" s="54"/>
      <c r="H172" s="54"/>
      <c r="O172" s="2"/>
      <c r="P172" s="2"/>
    </row>
    <row r="173" spans="1:19" x14ac:dyDescent="0.2">
      <c r="G173" s="54"/>
      <c r="H173" s="54"/>
      <c r="O173" s="2"/>
      <c r="P173" s="2"/>
    </row>
    <row r="174" spans="1:19" x14ac:dyDescent="0.2">
      <c r="G174" s="54"/>
      <c r="H174" s="54"/>
      <c r="O174" s="2"/>
      <c r="P174" s="2"/>
    </row>
    <row r="175" spans="1:19" x14ac:dyDescent="0.2">
      <c r="G175" s="54"/>
      <c r="H175" s="54"/>
      <c r="I175" s="2" t="s">
        <v>396</v>
      </c>
      <c r="O175" s="2"/>
      <c r="P175" s="2"/>
    </row>
    <row r="176" spans="1:19" x14ac:dyDescent="0.2">
      <c r="G176" s="54"/>
      <c r="H176" s="54"/>
      <c r="I176" s="53"/>
      <c r="J176" s="2"/>
      <c r="K176" s="2"/>
      <c r="L176" s="2"/>
      <c r="M176" s="2"/>
      <c r="N176" s="2"/>
      <c r="P176" s="2"/>
    </row>
    <row r="177" spans="7:16" x14ac:dyDescent="0.2">
      <c r="G177" s="54"/>
      <c r="H177" s="54"/>
      <c r="I177" s="53" t="s">
        <v>396</v>
      </c>
      <c r="O177" s="2"/>
      <c r="P177" s="2"/>
    </row>
    <row r="178" spans="7:16" x14ac:dyDescent="0.2">
      <c r="G178" s="54"/>
      <c r="H178" s="54"/>
      <c r="I178" s="53" t="s">
        <v>396</v>
      </c>
      <c r="K178" s="42"/>
      <c r="P178" s="2"/>
    </row>
    <row r="179" spans="7:16" x14ac:dyDescent="0.2">
      <c r="G179" s="54"/>
      <c r="H179" s="54"/>
      <c r="I179" s="53"/>
      <c r="J179" s="101"/>
      <c r="P179" s="2"/>
    </row>
    <row r="180" spans="7:16" x14ac:dyDescent="0.2">
      <c r="G180" s="54"/>
      <c r="H180" s="54"/>
      <c r="I180" s="53"/>
    </row>
    <row r="181" spans="7:16" x14ac:dyDescent="0.2">
      <c r="G181" s="54"/>
      <c r="H181" s="54"/>
      <c r="I181" s="53"/>
      <c r="P181" s="2"/>
    </row>
    <row r="182" spans="7:16" x14ac:dyDescent="0.2">
      <c r="G182" s="54"/>
      <c r="H182" s="54"/>
      <c r="I182" s="53"/>
    </row>
  </sheetData>
  <sheetProtection insertRows="0"/>
  <mergeCells count="8">
    <mergeCell ref="K92:L92"/>
    <mergeCell ref="A99:D99"/>
    <mergeCell ref="C144:F144"/>
    <mergeCell ref="A1:H1"/>
    <mergeCell ref="A3:F3"/>
    <mergeCell ref="A9:F9"/>
    <mergeCell ref="A16:F16"/>
    <mergeCell ref="A35:F35"/>
  </mergeCells>
  <conditionalFormatting sqref="H96:H97">
    <cfRule type="cellIs" dxfId="5" priority="1" operator="lessThan">
      <formula>0</formula>
    </cfRule>
  </conditionalFormatting>
  <conditionalFormatting sqref="C37">
    <cfRule type="duplicateValues" dxfId="4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1-000000000000}">
  <sheetPr codeName="Sheet584">
    <pageSetUpPr fitToPage="1"/>
  </sheetPr>
  <dimension ref="A1:S196"/>
  <sheetViews>
    <sheetView topLeftCell="A70" zoomScaleNormal="100" workbookViewId="0">
      <selection activeCell="F68" sqref="F68"/>
    </sheetView>
  </sheetViews>
  <sheetFormatPr defaultColWidth="9.140625" defaultRowHeight="12.75" x14ac:dyDescent="0.2"/>
  <cols>
    <col min="1" max="1" width="10.28515625" style="24" bestFit="1" customWidth="1"/>
    <col min="2" max="2" width="4.28515625" style="1" customWidth="1"/>
    <col min="3" max="3" width="50.5703125" style="14" bestFit="1" customWidth="1"/>
    <col min="4" max="4" width="19.85546875" style="25" bestFit="1" customWidth="1"/>
    <col min="5" max="5" width="16.28515625" style="2" bestFit="1" customWidth="1"/>
    <col min="6" max="6" width="15.28515625" style="2" bestFit="1" customWidth="1"/>
    <col min="7" max="7" width="13" style="1" bestFit="1" customWidth="1"/>
    <col min="8" max="8" width="12.85546875" style="1" customWidth="1"/>
    <col min="9" max="9" width="25" style="2" bestFit="1" customWidth="1"/>
    <col min="10" max="10" width="21.7109375" style="1" bestFit="1" customWidth="1"/>
    <col min="11" max="11" width="17" style="1" bestFit="1" customWidth="1"/>
    <col min="12" max="12" width="19.7109375" style="1" bestFit="1" customWidth="1"/>
    <col min="13" max="13" width="13.7109375" style="1" bestFit="1" customWidth="1"/>
    <col min="14" max="14" width="17.5703125" style="1" bestFit="1" customWidth="1"/>
    <col min="15" max="15" width="14.7109375" style="1" bestFit="1" customWidth="1"/>
    <col min="16" max="16" width="14.5703125" style="1" bestFit="1" customWidth="1"/>
    <col min="17" max="17" width="9.140625" style="1"/>
    <col min="18" max="18" width="15.5703125" style="1" bestFit="1" customWidth="1"/>
    <col min="19" max="16384" width="9.140625" style="1"/>
  </cols>
  <sheetData>
    <row r="1" spans="1:11" ht="20.25" customHeight="1" x14ac:dyDescent="0.4">
      <c r="A1" s="212" t="s">
        <v>2288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1" ht="12.75" customHeight="1" x14ac:dyDescent="0.4">
      <c r="I2" s="112"/>
      <c r="J2" s="112"/>
    </row>
    <row r="3" spans="1:11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1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1" s="13" customFormat="1" ht="14.25" customHeight="1" x14ac:dyDescent="0.4">
      <c r="A5" s="97">
        <v>45381</v>
      </c>
      <c r="B5" s="98" t="s">
        <v>6</v>
      </c>
      <c r="C5" s="121" t="s">
        <v>7</v>
      </c>
      <c r="D5" s="122"/>
      <c r="E5" s="38">
        <v>98894.84</v>
      </c>
      <c r="F5" s="38"/>
      <c r="G5" s="23"/>
      <c r="H5" s="23"/>
      <c r="I5" s="123"/>
      <c r="J5" s="123"/>
    </row>
    <row r="6" spans="1:11" s="2" customFormat="1" ht="12.75" customHeight="1" x14ac:dyDescent="0.2">
      <c r="D6" s="15" t="s">
        <v>8</v>
      </c>
      <c r="E6" s="16">
        <f>SUM(E5:E5)</f>
        <v>98894.84</v>
      </c>
      <c r="F6" s="16">
        <f>+F5</f>
        <v>0</v>
      </c>
      <c r="G6" s="1"/>
      <c r="H6" s="1"/>
      <c r="I6" s="13" t="s">
        <v>1582</v>
      </c>
      <c r="J6" s="13" t="s">
        <v>1583</v>
      </c>
    </row>
    <row r="7" spans="1:11" s="2" customFormat="1" ht="12.75" customHeight="1" x14ac:dyDescent="0.2">
      <c r="A7" s="17"/>
      <c r="B7" s="18"/>
      <c r="C7" s="19" t="s">
        <v>9</v>
      </c>
      <c r="D7" s="20"/>
      <c r="E7" s="21">
        <f>+E6-F6</f>
        <v>98894.84</v>
      </c>
      <c r="F7" s="22"/>
      <c r="G7" s="23"/>
      <c r="H7" s="23"/>
      <c r="I7" s="2">
        <v>1085851.28</v>
      </c>
      <c r="J7" s="2">
        <v>0</v>
      </c>
      <c r="K7" s="176">
        <f>I7-J7</f>
        <v>1085851.28</v>
      </c>
    </row>
    <row r="8" spans="1:11" ht="11.25" customHeight="1" x14ac:dyDescent="0.4">
      <c r="I8" s="112"/>
      <c r="J8" s="112"/>
    </row>
    <row r="9" spans="1:11" ht="18" customHeight="1" x14ac:dyDescent="0.4">
      <c r="A9" s="213" t="s">
        <v>2103</v>
      </c>
      <c r="B9" s="213"/>
      <c r="C9" s="213"/>
      <c r="D9" s="213"/>
      <c r="E9" s="213"/>
      <c r="F9" s="213"/>
      <c r="I9" s="112"/>
      <c r="J9" s="112"/>
    </row>
    <row r="10" spans="1:11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I10" s="112"/>
      <c r="J10" s="112"/>
    </row>
    <row r="11" spans="1:11" ht="15" customHeight="1" x14ac:dyDescent="0.4">
      <c r="A11" s="204">
        <v>45380</v>
      </c>
      <c r="B11" s="205" t="s">
        <v>6</v>
      </c>
      <c r="C11" s="206" t="s">
        <v>7</v>
      </c>
      <c r="D11" s="122"/>
      <c r="E11" s="203">
        <v>2715811.74</v>
      </c>
      <c r="F11" s="200"/>
      <c r="I11" s="112"/>
      <c r="J11" s="112"/>
    </row>
    <row r="12" spans="1:11" ht="15" customHeight="1" x14ac:dyDescent="0.4">
      <c r="A12" s="202">
        <v>45380</v>
      </c>
      <c r="B12" s="199" t="s">
        <v>6</v>
      </c>
      <c r="C12" s="76" t="s">
        <v>105</v>
      </c>
      <c r="D12" s="11" t="s">
        <v>13</v>
      </c>
      <c r="E12" s="198">
        <v>1085851.28</v>
      </c>
      <c r="F12" s="200"/>
      <c r="I12" s="112"/>
      <c r="J12" s="112"/>
    </row>
    <row r="13" spans="1:11" ht="15" customHeight="1" x14ac:dyDescent="0.4">
      <c r="A13" s="202">
        <v>45380</v>
      </c>
      <c r="B13" s="199" t="s">
        <v>11</v>
      </c>
      <c r="C13" s="76" t="s">
        <v>354</v>
      </c>
      <c r="D13" s="11" t="s">
        <v>29</v>
      </c>
      <c r="E13" s="198"/>
      <c r="F13" s="209">
        <v>506662.43</v>
      </c>
      <c r="I13" s="112"/>
      <c r="J13" s="112"/>
    </row>
    <row r="14" spans="1:11" ht="15" customHeight="1" x14ac:dyDescent="0.4">
      <c r="A14" s="202">
        <v>45380</v>
      </c>
      <c r="B14" s="199" t="s">
        <v>11</v>
      </c>
      <c r="C14" s="76" t="s">
        <v>339</v>
      </c>
      <c r="D14" s="11" t="s">
        <v>29</v>
      </c>
      <c r="E14" s="198"/>
      <c r="F14" s="209">
        <v>500000</v>
      </c>
      <c r="I14" s="112"/>
      <c r="J14" s="112"/>
    </row>
    <row r="15" spans="1:11" ht="15.75" customHeight="1" x14ac:dyDescent="0.4">
      <c r="A15" s="202">
        <v>45380</v>
      </c>
      <c r="B15" s="199" t="s">
        <v>11</v>
      </c>
      <c r="C15" s="76" t="s">
        <v>1634</v>
      </c>
      <c r="D15" s="11" t="s">
        <v>29</v>
      </c>
      <c r="E15" s="198"/>
      <c r="F15" s="209">
        <v>1551185</v>
      </c>
      <c r="I15" s="112"/>
      <c r="J15" s="112"/>
    </row>
    <row r="16" spans="1:11" ht="12.75" customHeight="1" x14ac:dyDescent="0.2">
      <c r="A16" s="2"/>
      <c r="B16" s="2"/>
      <c r="C16" s="2"/>
      <c r="D16" s="11" t="s">
        <v>8</v>
      </c>
      <c r="E16" s="16">
        <f>SUM(E11:E15)</f>
        <v>3801663.0200000005</v>
      </c>
      <c r="F16" s="16">
        <f>SUM(F13:F15)</f>
        <v>2557847.4299999997</v>
      </c>
      <c r="I16" s="13" t="s">
        <v>1582</v>
      </c>
      <c r="J16" s="13" t="s">
        <v>1583</v>
      </c>
    </row>
    <row r="17" spans="1:12" x14ac:dyDescent="0.2">
      <c r="A17" s="17"/>
      <c r="B17" s="18"/>
      <c r="C17" s="19" t="s">
        <v>9</v>
      </c>
      <c r="D17" s="20"/>
      <c r="E17" s="21">
        <f>+E16-F16</f>
        <v>1243815.5900000008</v>
      </c>
      <c r="I17" s="2">
        <v>0</v>
      </c>
      <c r="J17" s="2">
        <v>0</v>
      </c>
    </row>
    <row r="18" spans="1:12" ht="18" customHeight="1" x14ac:dyDescent="0.25">
      <c r="A18" s="36"/>
      <c r="B18" s="28"/>
      <c r="C18" s="44"/>
      <c r="D18" s="43"/>
      <c r="E18" s="38"/>
      <c r="F18" s="22"/>
      <c r="J18" s="2"/>
    </row>
    <row r="19" spans="1:12" ht="18" customHeight="1" x14ac:dyDescent="0.4">
      <c r="A19" s="213" t="s">
        <v>2104</v>
      </c>
      <c r="B19" s="213"/>
      <c r="C19" s="213"/>
      <c r="D19" s="213"/>
      <c r="E19" s="213"/>
      <c r="F19" s="213"/>
      <c r="I19" s="112"/>
      <c r="J19" s="169">
        <f>90000000-60000000</f>
        <v>30000000</v>
      </c>
      <c r="K19" s="169" t="s">
        <v>1508</v>
      </c>
    </row>
    <row r="20" spans="1:12" ht="12.75" customHeight="1" x14ac:dyDescent="0.4">
      <c r="A20" s="3" t="s">
        <v>1</v>
      </c>
      <c r="B20" s="4" t="s">
        <v>2</v>
      </c>
      <c r="C20" s="5"/>
      <c r="D20" s="6" t="s">
        <v>3</v>
      </c>
      <c r="E20" s="7" t="s">
        <v>4</v>
      </c>
      <c r="F20" s="7" t="s">
        <v>5</v>
      </c>
      <c r="I20" s="112"/>
      <c r="J20" s="169">
        <v>25350961.18</v>
      </c>
      <c r="K20" s="169" t="s">
        <v>1509</v>
      </c>
      <c r="L20" s="124"/>
    </row>
    <row r="21" spans="1:12" s="2" customFormat="1" ht="14.25" customHeight="1" x14ac:dyDescent="0.2">
      <c r="A21" s="131">
        <v>45381</v>
      </c>
      <c r="B21" s="98" t="s">
        <v>6</v>
      </c>
      <c r="C21" s="121" t="s">
        <v>7</v>
      </c>
      <c r="D21" s="122"/>
      <c r="E21" s="13"/>
      <c r="F21" s="38">
        <v>24305121.829999994</v>
      </c>
      <c r="G21" s="1"/>
      <c r="H21" s="1"/>
      <c r="I21" s="130" t="s">
        <v>396</v>
      </c>
      <c r="J21" s="169">
        <f>+J19-J20</f>
        <v>4649038.82</v>
      </c>
      <c r="K21" s="169" t="s">
        <v>712</v>
      </c>
      <c r="L21" s="165" t="s">
        <v>1512</v>
      </c>
    </row>
    <row r="22" spans="1:12" s="2" customFormat="1" ht="14.25" customHeight="1" x14ac:dyDescent="0.2">
      <c r="A22" s="127">
        <v>45381</v>
      </c>
      <c r="B22" s="9" t="s">
        <v>11</v>
      </c>
      <c r="C22" s="76" t="s">
        <v>2146</v>
      </c>
      <c r="D22" s="11" t="s">
        <v>29</v>
      </c>
      <c r="E22" s="31"/>
      <c r="F22" s="31">
        <v>23229</v>
      </c>
      <c r="G22" s="1"/>
      <c r="H22" s="1"/>
      <c r="I22" s="130"/>
      <c r="J22" s="169"/>
      <c r="K22" s="169"/>
      <c r="L22" s="165"/>
    </row>
    <row r="23" spans="1:12" s="2" customFormat="1" ht="14.25" customHeight="1" x14ac:dyDescent="0.2">
      <c r="A23" s="127">
        <v>45381</v>
      </c>
      <c r="B23" s="9" t="s">
        <v>11</v>
      </c>
      <c r="C23" s="76" t="s">
        <v>1408</v>
      </c>
      <c r="D23" s="11" t="s">
        <v>29</v>
      </c>
      <c r="E23" s="31"/>
      <c r="F23" s="31">
        <v>78402</v>
      </c>
      <c r="G23" s="1"/>
      <c r="H23" s="1"/>
      <c r="I23" s="130"/>
      <c r="J23" s="169"/>
      <c r="K23" s="169"/>
      <c r="L23" s="165"/>
    </row>
    <row r="24" spans="1:12" s="2" customFormat="1" ht="14.25" customHeight="1" x14ac:dyDescent="0.2">
      <c r="A24" s="127">
        <v>45381</v>
      </c>
      <c r="B24" s="9" t="s">
        <v>11</v>
      </c>
      <c r="C24" s="76" t="s">
        <v>1164</v>
      </c>
      <c r="D24" s="11" t="s">
        <v>29</v>
      </c>
      <c r="E24" s="31"/>
      <c r="F24" s="31">
        <v>86654</v>
      </c>
      <c r="G24" s="1"/>
      <c r="H24" s="1"/>
      <c r="I24" s="130"/>
      <c r="J24" s="169"/>
      <c r="K24" s="169"/>
      <c r="L24" s="165"/>
    </row>
    <row r="25" spans="1:12" s="2" customFormat="1" ht="14.25" customHeight="1" x14ac:dyDescent="0.2">
      <c r="A25" s="127">
        <v>45381</v>
      </c>
      <c r="B25" s="9" t="s">
        <v>11</v>
      </c>
      <c r="C25" s="76" t="s">
        <v>1790</v>
      </c>
      <c r="D25" s="11" t="s">
        <v>29</v>
      </c>
      <c r="E25" s="31"/>
      <c r="F25" s="31">
        <v>27540</v>
      </c>
      <c r="G25" s="1"/>
      <c r="H25" s="1"/>
      <c r="I25" s="130"/>
      <c r="J25" s="169"/>
      <c r="K25" s="169"/>
      <c r="L25" s="165"/>
    </row>
    <row r="26" spans="1:12" s="2" customFormat="1" ht="14.25" customHeight="1" x14ac:dyDescent="0.2">
      <c r="A26" s="127">
        <v>45381</v>
      </c>
      <c r="B26" s="9" t="s">
        <v>11</v>
      </c>
      <c r="C26" s="76" t="s">
        <v>43</v>
      </c>
      <c r="D26" s="11" t="s">
        <v>29</v>
      </c>
      <c r="E26" s="31"/>
      <c r="F26" s="31">
        <v>15000</v>
      </c>
      <c r="G26" s="1"/>
      <c r="H26" s="1"/>
      <c r="I26" s="130"/>
      <c r="J26" s="169"/>
      <c r="K26" s="169"/>
      <c r="L26" s="165"/>
    </row>
    <row r="27" spans="1:12" s="2" customFormat="1" ht="14.25" customHeight="1" x14ac:dyDescent="0.2">
      <c r="A27" s="127">
        <v>45381</v>
      </c>
      <c r="B27" s="9" t="s">
        <v>11</v>
      </c>
      <c r="C27" s="76" t="s">
        <v>37</v>
      </c>
      <c r="D27" s="11" t="s">
        <v>29</v>
      </c>
      <c r="E27" s="31"/>
      <c r="F27" s="31">
        <v>14561</v>
      </c>
      <c r="G27" s="1"/>
      <c r="H27" s="1"/>
      <c r="I27" s="130"/>
      <c r="J27" s="169"/>
      <c r="K27" s="169"/>
      <c r="L27" s="165"/>
    </row>
    <row r="28" spans="1:12" s="2" customFormat="1" ht="14.25" customHeight="1" x14ac:dyDescent="0.2">
      <c r="A28" s="127">
        <v>45381</v>
      </c>
      <c r="B28" s="9" t="s">
        <v>11</v>
      </c>
      <c r="C28" s="76" t="s">
        <v>2089</v>
      </c>
      <c r="D28" s="11" t="s">
        <v>29</v>
      </c>
      <c r="E28" s="31"/>
      <c r="F28" s="31">
        <v>135918</v>
      </c>
      <c r="G28" s="1"/>
      <c r="H28" s="1"/>
      <c r="I28" s="130"/>
      <c r="J28" s="169"/>
      <c r="K28" s="169"/>
      <c r="L28" s="165"/>
    </row>
    <row r="29" spans="1:12" s="2" customFormat="1" ht="14.25" customHeight="1" x14ac:dyDescent="0.2">
      <c r="A29" s="127">
        <v>45381</v>
      </c>
      <c r="B29" s="9" t="s">
        <v>11</v>
      </c>
      <c r="C29" s="76" t="s">
        <v>940</v>
      </c>
      <c r="D29" s="11" t="s">
        <v>29</v>
      </c>
      <c r="E29" s="31"/>
      <c r="F29" s="31">
        <v>11170</v>
      </c>
      <c r="G29" s="1"/>
      <c r="H29" s="1"/>
      <c r="I29" s="130"/>
      <c r="J29" s="169"/>
      <c r="K29" s="169"/>
      <c r="L29" s="165"/>
    </row>
    <row r="30" spans="1:12" s="2" customFormat="1" ht="14.25" customHeight="1" x14ac:dyDescent="0.2">
      <c r="A30" s="127">
        <v>45381</v>
      </c>
      <c r="B30" s="9" t="s">
        <v>11</v>
      </c>
      <c r="C30" s="76" t="s">
        <v>129</v>
      </c>
      <c r="D30" s="11" t="s">
        <v>29</v>
      </c>
      <c r="E30" s="31"/>
      <c r="F30" s="31">
        <v>143462.79999999999</v>
      </c>
      <c r="G30" s="1"/>
      <c r="H30" s="1"/>
      <c r="I30" s="130"/>
      <c r="J30" s="169"/>
      <c r="K30" s="169"/>
      <c r="L30" s="165"/>
    </row>
    <row r="31" spans="1:12" s="2" customFormat="1" ht="14.25" customHeight="1" x14ac:dyDescent="0.2">
      <c r="A31" s="127">
        <v>45381</v>
      </c>
      <c r="B31" s="9" t="s">
        <v>11</v>
      </c>
      <c r="C31" s="76" t="s">
        <v>602</v>
      </c>
      <c r="D31" s="11" t="s">
        <v>29</v>
      </c>
      <c r="E31" s="31"/>
      <c r="F31" s="31">
        <v>3175</v>
      </c>
      <c r="G31" s="1"/>
      <c r="H31" s="1"/>
      <c r="I31" s="130"/>
      <c r="J31" s="169"/>
      <c r="K31" s="169"/>
      <c r="L31" s="165"/>
    </row>
    <row r="32" spans="1:12" s="2" customFormat="1" ht="14.25" customHeight="1" x14ac:dyDescent="0.2">
      <c r="A32" s="127">
        <v>45381</v>
      </c>
      <c r="B32" s="9" t="s">
        <v>11</v>
      </c>
      <c r="C32" s="76" t="s">
        <v>436</v>
      </c>
      <c r="D32" s="11" t="s">
        <v>29</v>
      </c>
      <c r="E32" s="31"/>
      <c r="F32" s="31">
        <v>26680</v>
      </c>
      <c r="G32" s="1"/>
      <c r="H32" s="1"/>
      <c r="I32" s="130"/>
      <c r="J32" s="169"/>
      <c r="K32" s="169"/>
      <c r="L32" s="165"/>
    </row>
    <row r="33" spans="1:12" s="2" customFormat="1" ht="14.25" customHeight="1" x14ac:dyDescent="0.2">
      <c r="A33" s="127">
        <v>45381</v>
      </c>
      <c r="B33" s="9" t="s">
        <v>11</v>
      </c>
      <c r="C33" s="76" t="s">
        <v>2289</v>
      </c>
      <c r="D33" s="11" t="s">
        <v>29</v>
      </c>
      <c r="E33" s="31"/>
      <c r="F33" s="31">
        <v>22591</v>
      </c>
      <c r="G33" s="1"/>
      <c r="H33" s="1"/>
      <c r="I33" s="130"/>
      <c r="J33" s="169"/>
      <c r="K33" s="169"/>
      <c r="L33" s="165"/>
    </row>
    <row r="34" spans="1:12" s="2" customFormat="1" ht="14.25" customHeight="1" x14ac:dyDescent="0.2">
      <c r="A34" s="127">
        <v>45381</v>
      </c>
      <c r="B34" s="9" t="s">
        <v>11</v>
      </c>
      <c r="C34" s="76" t="s">
        <v>2052</v>
      </c>
      <c r="D34" s="11" t="s">
        <v>29</v>
      </c>
      <c r="E34" s="31"/>
      <c r="F34" s="31">
        <v>98000</v>
      </c>
      <c r="G34" s="1"/>
      <c r="H34" s="1"/>
      <c r="I34" s="130"/>
      <c r="J34" s="169"/>
      <c r="K34" s="169"/>
      <c r="L34" s="165"/>
    </row>
    <row r="35" spans="1:12" s="2" customFormat="1" ht="14.25" customHeight="1" x14ac:dyDescent="0.2">
      <c r="A35" s="127">
        <v>45381</v>
      </c>
      <c r="B35" s="9" t="s">
        <v>11</v>
      </c>
      <c r="C35" s="76" t="s">
        <v>2290</v>
      </c>
      <c r="D35" s="11" t="s">
        <v>29</v>
      </c>
      <c r="E35" s="31"/>
      <c r="F35" s="31">
        <v>19670.400000000001</v>
      </c>
      <c r="G35" s="1"/>
      <c r="H35" s="1"/>
      <c r="I35" s="130"/>
      <c r="J35" s="169"/>
      <c r="K35" s="169"/>
      <c r="L35" s="165"/>
    </row>
    <row r="36" spans="1:12" s="2" customFormat="1" ht="14.25" customHeight="1" x14ac:dyDescent="0.2">
      <c r="A36" s="127">
        <v>45381</v>
      </c>
      <c r="B36" s="9" t="s">
        <v>11</v>
      </c>
      <c r="C36" s="76" t="s">
        <v>658</v>
      </c>
      <c r="D36" s="11" t="s">
        <v>29</v>
      </c>
      <c r="E36" s="31"/>
      <c r="F36" s="31">
        <v>2360</v>
      </c>
      <c r="G36" s="1"/>
      <c r="H36" s="1"/>
      <c r="I36" s="130"/>
      <c r="J36" s="169"/>
      <c r="K36" s="169"/>
      <c r="L36" s="165"/>
    </row>
    <row r="37" spans="1:12" s="2" customFormat="1" ht="14.25" customHeight="1" x14ac:dyDescent="0.2">
      <c r="A37" s="127">
        <v>45381</v>
      </c>
      <c r="B37" s="9" t="s">
        <v>11</v>
      </c>
      <c r="C37" s="76" t="s">
        <v>1209</v>
      </c>
      <c r="D37" s="11" t="s">
        <v>29</v>
      </c>
      <c r="E37" s="31"/>
      <c r="F37" s="31">
        <v>150265</v>
      </c>
      <c r="G37" s="1"/>
      <c r="H37" s="1"/>
      <c r="I37" s="130"/>
      <c r="J37" s="169"/>
      <c r="K37" s="169"/>
      <c r="L37" s="165"/>
    </row>
    <row r="38" spans="1:12" s="2" customFormat="1" ht="14.25" customHeight="1" x14ac:dyDescent="0.2">
      <c r="A38" s="127">
        <v>45381</v>
      </c>
      <c r="B38" s="9" t="s">
        <v>11</v>
      </c>
      <c r="C38" s="76" t="s">
        <v>1703</v>
      </c>
      <c r="D38" s="11" t="s">
        <v>29</v>
      </c>
      <c r="E38" s="31"/>
      <c r="F38" s="31">
        <v>30659</v>
      </c>
      <c r="G38" s="1"/>
      <c r="H38" s="1"/>
      <c r="I38" s="130"/>
      <c r="J38" s="169"/>
      <c r="K38" s="169"/>
      <c r="L38" s="165"/>
    </row>
    <row r="39" spans="1:12" s="2" customFormat="1" ht="14.25" customHeight="1" x14ac:dyDescent="0.2">
      <c r="A39" s="127">
        <v>45381</v>
      </c>
      <c r="B39" s="9" t="s">
        <v>11</v>
      </c>
      <c r="C39" s="76" t="s">
        <v>609</v>
      </c>
      <c r="D39" s="11" t="s">
        <v>29</v>
      </c>
      <c r="E39" s="31"/>
      <c r="F39" s="31">
        <v>2065</v>
      </c>
      <c r="G39" s="1"/>
      <c r="H39" s="1"/>
      <c r="I39" s="130"/>
      <c r="J39" s="169"/>
      <c r="K39" s="169"/>
      <c r="L39" s="165"/>
    </row>
    <row r="40" spans="1:12" s="2" customFormat="1" ht="14.25" customHeight="1" x14ac:dyDescent="0.2">
      <c r="A40" s="127">
        <v>45381</v>
      </c>
      <c r="B40" s="9" t="s">
        <v>11</v>
      </c>
      <c r="C40" s="76" t="s">
        <v>339</v>
      </c>
      <c r="D40" s="11" t="s">
        <v>29</v>
      </c>
      <c r="E40" s="31"/>
      <c r="F40" s="31">
        <v>3475.65</v>
      </c>
      <c r="G40" s="1"/>
      <c r="H40" s="1"/>
      <c r="I40" s="130"/>
      <c r="J40" s="169"/>
      <c r="K40" s="169"/>
      <c r="L40" s="165"/>
    </row>
    <row r="41" spans="1:12" s="2" customFormat="1" ht="14.25" customHeight="1" x14ac:dyDescent="0.2">
      <c r="A41" s="127">
        <v>45381</v>
      </c>
      <c r="B41" s="9" t="s">
        <v>11</v>
      </c>
      <c r="C41" s="76" t="s">
        <v>1124</v>
      </c>
      <c r="D41" s="11" t="s">
        <v>29</v>
      </c>
      <c r="E41" s="31"/>
      <c r="F41" s="31">
        <v>3716.5</v>
      </c>
      <c r="G41" s="1"/>
      <c r="H41" s="1"/>
      <c r="I41" s="130"/>
      <c r="J41" s="169"/>
      <c r="K41" s="169"/>
      <c r="L41" s="165"/>
    </row>
    <row r="42" spans="1:12" s="2" customFormat="1" ht="14.25" customHeight="1" x14ac:dyDescent="0.2">
      <c r="A42" s="127">
        <v>45381</v>
      </c>
      <c r="B42" s="9" t="s">
        <v>11</v>
      </c>
      <c r="C42" s="76" t="s">
        <v>1312</v>
      </c>
      <c r="D42" s="11" t="s">
        <v>29</v>
      </c>
      <c r="E42" s="31"/>
      <c r="F42" s="31">
        <v>12245</v>
      </c>
      <c r="G42" s="1"/>
      <c r="H42" s="1"/>
      <c r="I42" s="130"/>
      <c r="J42" s="169"/>
      <c r="K42" s="169"/>
      <c r="L42" s="165"/>
    </row>
    <row r="43" spans="1:12" s="2" customFormat="1" ht="14.25" customHeight="1" x14ac:dyDescent="0.2">
      <c r="A43" s="127">
        <v>45381</v>
      </c>
      <c r="B43" s="9" t="s">
        <v>11</v>
      </c>
      <c r="C43" s="76" t="s">
        <v>62</v>
      </c>
      <c r="D43" s="11" t="s">
        <v>29</v>
      </c>
      <c r="E43" s="31"/>
      <c r="F43" s="31">
        <v>135000</v>
      </c>
      <c r="G43" s="1"/>
      <c r="H43" s="1"/>
      <c r="I43" s="130"/>
      <c r="J43" s="169"/>
      <c r="K43" s="169"/>
      <c r="L43" s="165"/>
    </row>
    <row r="44" spans="1:12" s="2" customFormat="1" ht="14.25" customHeight="1" x14ac:dyDescent="0.4">
      <c r="A44" s="89"/>
      <c r="D44" s="11" t="s">
        <v>8</v>
      </c>
      <c r="E44" s="16">
        <f>SUM(E22:E43)</f>
        <v>0</v>
      </c>
      <c r="F44" s="16">
        <f>SUM(F21:F43)</f>
        <v>25350961.179999992</v>
      </c>
      <c r="G44" s="1"/>
      <c r="H44" s="1"/>
      <c r="J44" s="112"/>
      <c r="K44" s="153" t="s">
        <v>779</v>
      </c>
    </row>
    <row r="45" spans="1:12" s="2" customFormat="1" ht="14.25" customHeight="1" x14ac:dyDescent="0.2">
      <c r="A45" s="17"/>
      <c r="B45" s="18"/>
      <c r="C45" s="96" t="s">
        <v>9</v>
      </c>
      <c r="D45" s="20"/>
      <c r="E45" s="21">
        <f>+F44-E44</f>
        <v>25350961.179999992</v>
      </c>
      <c r="G45" s="1"/>
      <c r="H45" s="1"/>
      <c r="J45" s="40">
        <v>25350961.18</v>
      </c>
      <c r="K45" s="154">
        <f>J45-E45</f>
        <v>0</v>
      </c>
    </row>
    <row r="46" spans="1:12" s="2" customFormat="1" ht="14.25" customHeight="1" x14ac:dyDescent="0.2">
      <c r="A46" s="17"/>
      <c r="B46" s="28" t="s">
        <v>66</v>
      </c>
      <c r="C46" s="43" t="s">
        <v>1458</v>
      </c>
      <c r="D46" s="43"/>
      <c r="E46" s="12">
        <f>30000000+60000000</f>
        <v>90000000</v>
      </c>
      <c r="F46" s="22"/>
      <c r="G46" s="1"/>
      <c r="H46" s="1"/>
      <c r="I46" s="13" t="s">
        <v>1582</v>
      </c>
      <c r="J46" s="13" t="s">
        <v>1583</v>
      </c>
    </row>
    <row r="47" spans="1:12" s="2" customFormat="1" ht="14.25" customHeight="1" x14ac:dyDescent="0.25">
      <c r="A47" s="36"/>
      <c r="B47" s="28"/>
      <c r="C47" s="44" t="s">
        <v>1541</v>
      </c>
      <c r="D47" s="43"/>
      <c r="E47" s="7">
        <f>+E45+E46</f>
        <v>115350961.17999999</v>
      </c>
      <c r="F47" s="22"/>
      <c r="G47" s="1"/>
      <c r="H47" s="1"/>
      <c r="I47" s="2">
        <v>4257095</v>
      </c>
      <c r="J47" s="2">
        <v>40993</v>
      </c>
      <c r="K47" s="176">
        <f>I47-J47</f>
        <v>4216102</v>
      </c>
    </row>
    <row r="48" spans="1:12" s="2" customFormat="1" ht="14.25" customHeight="1" x14ac:dyDescent="0.25">
      <c r="A48" s="36"/>
      <c r="B48" s="28"/>
      <c r="C48" s="44" t="s">
        <v>1511</v>
      </c>
      <c r="D48" s="43"/>
      <c r="E48" s="38">
        <f>I17-J17+J21</f>
        <v>4649038.82</v>
      </c>
      <c r="F48" s="22"/>
      <c r="G48" s="1"/>
      <c r="H48" s="1"/>
      <c r="J48" s="130"/>
      <c r="K48" s="130"/>
    </row>
    <row r="49" spans="1:12" s="2" customFormat="1" x14ac:dyDescent="0.2">
      <c r="A49" s="24"/>
      <c r="B49" s="1"/>
      <c r="C49" s="14"/>
      <c r="D49" s="25"/>
      <c r="G49" s="1"/>
      <c r="H49" s="1"/>
      <c r="I49" s="159"/>
      <c r="J49" s="160">
        <f>100000000+300000000</f>
        <v>400000000</v>
      </c>
      <c r="K49" s="160" t="s">
        <v>1506</v>
      </c>
      <c r="L49" s="70"/>
    </row>
    <row r="50" spans="1:12" s="2" customFormat="1" ht="15" x14ac:dyDescent="0.35">
      <c r="A50" s="214" t="s">
        <v>10</v>
      </c>
      <c r="B50" s="214"/>
      <c r="C50" s="214"/>
      <c r="D50" s="214"/>
      <c r="E50" s="214"/>
      <c r="F50" s="214"/>
      <c r="G50" s="1"/>
      <c r="H50" s="1"/>
      <c r="I50" s="159"/>
      <c r="J50" s="179">
        <v>374151859.97000003</v>
      </c>
      <c r="K50" s="160" t="s">
        <v>1507</v>
      </c>
      <c r="L50" s="70" t="s">
        <v>1512</v>
      </c>
    </row>
    <row r="51" spans="1:12" s="2" customFormat="1" x14ac:dyDescent="0.2">
      <c r="A51" s="26" t="s">
        <v>1</v>
      </c>
      <c r="B51" s="27" t="s">
        <v>2</v>
      </c>
      <c r="C51" s="5"/>
      <c r="D51" s="6" t="s">
        <v>3</v>
      </c>
      <c r="E51" s="7" t="s">
        <v>4</v>
      </c>
      <c r="F51" s="7" t="s">
        <v>5</v>
      </c>
      <c r="G51" s="1"/>
      <c r="H51" s="1"/>
      <c r="I51" s="159" t="s">
        <v>1505</v>
      </c>
      <c r="J51" s="160">
        <f>+J49-J50</f>
        <v>25848140.029999971</v>
      </c>
      <c r="K51" s="160"/>
      <c r="L51" s="70"/>
    </row>
    <row r="52" spans="1:12" s="13" customFormat="1" x14ac:dyDescent="0.2">
      <c r="A52" s="97" t="s">
        <v>2291</v>
      </c>
      <c r="B52" s="132" t="s">
        <v>11</v>
      </c>
      <c r="C52" s="207" t="s">
        <v>7</v>
      </c>
      <c r="D52" s="99"/>
      <c r="E52" s="95"/>
      <c r="F52" s="13">
        <v>373403726.7099998</v>
      </c>
      <c r="G52" s="23"/>
      <c r="H52" s="23"/>
      <c r="I52" s="160"/>
      <c r="J52" s="160"/>
      <c r="K52" s="160"/>
      <c r="L52" s="69"/>
    </row>
    <row r="53" spans="1:12" s="2" customFormat="1" x14ac:dyDescent="0.2">
      <c r="A53" s="89" t="s">
        <v>2291</v>
      </c>
      <c r="B53" s="128" t="s">
        <v>6</v>
      </c>
      <c r="C53" s="201" t="s">
        <v>209</v>
      </c>
      <c r="D53" s="11" t="s">
        <v>13</v>
      </c>
      <c r="E53" s="86">
        <v>50000</v>
      </c>
      <c r="F53" s="86"/>
      <c r="G53" s="23"/>
      <c r="H53" s="23"/>
      <c r="I53" s="159"/>
      <c r="J53" s="160"/>
      <c r="K53" s="160"/>
      <c r="L53" s="70"/>
    </row>
    <row r="54" spans="1:12" s="2" customFormat="1" x14ac:dyDescent="0.2">
      <c r="A54" s="89" t="s">
        <v>2291</v>
      </c>
      <c r="B54" s="128" t="s">
        <v>6</v>
      </c>
      <c r="C54" s="201" t="s">
        <v>25</v>
      </c>
      <c r="D54" s="11" t="s">
        <v>13</v>
      </c>
      <c r="E54" s="86">
        <v>165200.4</v>
      </c>
      <c r="F54" s="86"/>
      <c r="G54" s="23"/>
      <c r="H54" s="23"/>
      <c r="I54" s="159"/>
      <c r="J54" s="160"/>
      <c r="K54" s="160"/>
      <c r="L54" s="70"/>
    </row>
    <row r="55" spans="1:12" s="2" customFormat="1" x14ac:dyDescent="0.2">
      <c r="A55" s="89" t="s">
        <v>2291</v>
      </c>
      <c r="B55" s="128" t="s">
        <v>6</v>
      </c>
      <c r="C55" s="201" t="s">
        <v>2130</v>
      </c>
      <c r="D55" s="11" t="s">
        <v>13</v>
      </c>
      <c r="E55" s="86">
        <v>581038</v>
      </c>
      <c r="F55" s="86"/>
      <c r="G55" s="23"/>
      <c r="H55" s="23"/>
      <c r="I55" s="159"/>
      <c r="J55" s="160"/>
      <c r="K55" s="160"/>
      <c r="L55" s="70"/>
    </row>
    <row r="56" spans="1:12" s="2" customFormat="1" x14ac:dyDescent="0.2">
      <c r="A56" s="89" t="s">
        <v>2291</v>
      </c>
      <c r="B56" s="128" t="s">
        <v>6</v>
      </c>
      <c r="C56" s="201" t="s">
        <v>318</v>
      </c>
      <c r="D56" s="11" t="s">
        <v>13</v>
      </c>
      <c r="E56" s="86">
        <v>746384</v>
      </c>
      <c r="F56" s="86"/>
      <c r="G56" s="23"/>
      <c r="H56" s="23"/>
      <c r="I56" s="159"/>
      <c r="J56" s="160"/>
      <c r="K56" s="160"/>
      <c r="L56" s="70"/>
    </row>
    <row r="57" spans="1:12" s="2" customFormat="1" x14ac:dyDescent="0.2">
      <c r="A57" s="89" t="s">
        <v>2291</v>
      </c>
      <c r="B57" s="128" t="s">
        <v>6</v>
      </c>
      <c r="C57" s="201" t="s">
        <v>265</v>
      </c>
      <c r="D57" s="11" t="s">
        <v>13</v>
      </c>
      <c r="E57" s="86">
        <v>44100</v>
      </c>
      <c r="F57" s="86"/>
      <c r="G57" s="23"/>
      <c r="H57" s="23"/>
      <c r="I57" s="159"/>
      <c r="J57" s="160"/>
      <c r="K57" s="160"/>
      <c r="L57" s="70"/>
    </row>
    <row r="58" spans="1:12" s="2" customFormat="1" x14ac:dyDescent="0.2">
      <c r="A58" s="89" t="s">
        <v>2291</v>
      </c>
      <c r="B58" s="128" t="s">
        <v>6</v>
      </c>
      <c r="C58" s="201" t="s">
        <v>385</v>
      </c>
      <c r="D58" s="11" t="s">
        <v>13</v>
      </c>
      <c r="E58" s="86">
        <v>2658590</v>
      </c>
      <c r="F58" s="86"/>
      <c r="G58" s="23"/>
      <c r="H58" s="23"/>
      <c r="I58" s="159"/>
      <c r="J58" s="160"/>
      <c r="K58" s="160"/>
      <c r="L58" s="70"/>
    </row>
    <row r="59" spans="1:12" s="2" customFormat="1" x14ac:dyDescent="0.2">
      <c r="A59" s="89" t="s">
        <v>2291</v>
      </c>
      <c r="B59" s="128" t="s">
        <v>6</v>
      </c>
      <c r="C59" s="201" t="s">
        <v>106</v>
      </c>
      <c r="D59" s="11" t="s">
        <v>13</v>
      </c>
      <c r="E59" s="86">
        <v>1300000</v>
      </c>
      <c r="F59" s="86"/>
      <c r="G59" s="23"/>
      <c r="H59" s="23"/>
      <c r="I59" s="159"/>
      <c r="J59" s="160"/>
      <c r="K59" s="160"/>
      <c r="L59" s="70"/>
    </row>
    <row r="60" spans="1:12" s="2" customFormat="1" x14ac:dyDescent="0.2">
      <c r="A60" s="89" t="s">
        <v>2291</v>
      </c>
      <c r="B60" s="128" t="s">
        <v>6</v>
      </c>
      <c r="C60" s="201" t="s">
        <v>413</v>
      </c>
      <c r="D60" s="11" t="s">
        <v>13</v>
      </c>
      <c r="E60" s="86">
        <v>237641</v>
      </c>
      <c r="F60" s="86"/>
      <c r="G60" s="23"/>
      <c r="H60" s="23"/>
      <c r="I60" s="159"/>
      <c r="J60" s="160"/>
      <c r="K60" s="160"/>
      <c r="L60" s="70"/>
    </row>
    <row r="61" spans="1:12" s="2" customFormat="1" x14ac:dyDescent="0.2">
      <c r="A61" s="89" t="s">
        <v>2291</v>
      </c>
      <c r="B61" s="128" t="s">
        <v>6</v>
      </c>
      <c r="C61" s="201" t="s">
        <v>266</v>
      </c>
      <c r="D61" s="11" t="s">
        <v>13</v>
      </c>
      <c r="E61" s="86">
        <v>184764</v>
      </c>
      <c r="F61" s="86"/>
      <c r="G61" s="23"/>
      <c r="H61" s="23"/>
      <c r="I61" s="159"/>
      <c r="J61" s="160"/>
      <c r="K61" s="160"/>
      <c r="L61" s="70"/>
    </row>
    <row r="62" spans="1:12" s="2" customFormat="1" x14ac:dyDescent="0.2">
      <c r="A62" s="89" t="s">
        <v>2291</v>
      </c>
      <c r="B62" s="128" t="s">
        <v>6</v>
      </c>
      <c r="C62" s="201" t="s">
        <v>1954</v>
      </c>
      <c r="D62" s="11" t="s">
        <v>13</v>
      </c>
      <c r="E62" s="86">
        <v>50000</v>
      </c>
      <c r="F62" s="86"/>
      <c r="G62" s="23"/>
      <c r="H62" s="23"/>
      <c r="I62" s="159"/>
      <c r="J62" s="160"/>
      <c r="K62" s="160"/>
      <c r="L62" s="70"/>
    </row>
    <row r="63" spans="1:12" s="2" customFormat="1" x14ac:dyDescent="0.2">
      <c r="A63" s="89" t="s">
        <v>2291</v>
      </c>
      <c r="B63" s="128" t="s">
        <v>6</v>
      </c>
      <c r="C63" s="201" t="s">
        <v>103</v>
      </c>
      <c r="D63" s="11" t="s">
        <v>13</v>
      </c>
      <c r="E63" s="86">
        <v>28849</v>
      </c>
      <c r="F63" s="86"/>
      <c r="G63" s="23"/>
      <c r="H63" s="23"/>
      <c r="I63" s="159"/>
      <c r="J63" s="160"/>
      <c r="K63" s="160"/>
      <c r="L63" s="70"/>
    </row>
    <row r="64" spans="1:12" s="2" customFormat="1" x14ac:dyDescent="0.2">
      <c r="A64" s="89" t="s">
        <v>2291</v>
      </c>
      <c r="B64" s="128" t="s">
        <v>6</v>
      </c>
      <c r="C64" s="201" t="s">
        <v>298</v>
      </c>
      <c r="D64" s="11" t="s">
        <v>13</v>
      </c>
      <c r="E64" s="86">
        <v>24104</v>
      </c>
      <c r="F64" s="86"/>
      <c r="G64" s="23"/>
      <c r="H64" s="23"/>
      <c r="I64" s="159"/>
      <c r="J64" s="160"/>
      <c r="K64" s="160"/>
      <c r="L64" s="70"/>
    </row>
    <row r="65" spans="1:12" s="2" customFormat="1" x14ac:dyDescent="0.2">
      <c r="A65" s="89" t="s">
        <v>2291</v>
      </c>
      <c r="B65" s="128" t="s">
        <v>6</v>
      </c>
      <c r="C65" s="201" t="s">
        <v>1621</v>
      </c>
      <c r="D65" s="11" t="s">
        <v>13</v>
      </c>
      <c r="E65" s="86">
        <v>71737</v>
      </c>
      <c r="F65" s="86"/>
      <c r="G65" s="23"/>
      <c r="H65" s="23"/>
      <c r="I65" s="159"/>
      <c r="J65" s="160"/>
      <c r="K65" s="160"/>
      <c r="L65" s="70"/>
    </row>
    <row r="66" spans="1:12" s="2" customFormat="1" x14ac:dyDescent="0.2">
      <c r="A66" s="89" t="s">
        <v>2291</v>
      </c>
      <c r="B66" s="128" t="s">
        <v>6</v>
      </c>
      <c r="C66" s="201" t="s">
        <v>122</v>
      </c>
      <c r="D66" s="11" t="s">
        <v>13</v>
      </c>
      <c r="E66" s="86">
        <v>160829</v>
      </c>
      <c r="F66" s="86"/>
      <c r="G66" s="23"/>
      <c r="H66" s="23"/>
      <c r="I66" s="159"/>
      <c r="J66" s="160"/>
      <c r="K66" s="160"/>
      <c r="L66" s="70"/>
    </row>
    <row r="67" spans="1:12" s="2" customFormat="1" x14ac:dyDescent="0.2">
      <c r="A67" s="89" t="s">
        <v>2291</v>
      </c>
      <c r="B67" s="128" t="s">
        <v>6</v>
      </c>
      <c r="C67" s="201" t="s">
        <v>200</v>
      </c>
      <c r="D67" s="11" t="s">
        <v>13</v>
      </c>
      <c r="E67" s="86">
        <v>149056</v>
      </c>
      <c r="F67" s="86"/>
      <c r="G67" s="23"/>
      <c r="H67" s="23"/>
      <c r="I67" s="159"/>
      <c r="J67" s="160"/>
      <c r="K67" s="160"/>
      <c r="L67" s="70"/>
    </row>
    <row r="68" spans="1:12" s="2" customFormat="1" x14ac:dyDescent="0.2">
      <c r="A68" s="89" t="s">
        <v>2291</v>
      </c>
      <c r="B68" s="128" t="s">
        <v>11</v>
      </c>
      <c r="C68" s="201" t="s">
        <v>64</v>
      </c>
      <c r="D68" s="11" t="s">
        <v>29</v>
      </c>
      <c r="E68" s="86"/>
      <c r="F68" s="86">
        <v>3558.88</v>
      </c>
      <c r="G68" s="1"/>
      <c r="H68" s="1"/>
      <c r="I68" s="159"/>
      <c r="J68" s="159"/>
      <c r="K68" s="159"/>
      <c r="L68" s="70"/>
    </row>
    <row r="69" spans="1:12" s="2" customFormat="1" x14ac:dyDescent="0.2">
      <c r="A69" s="89" t="s">
        <v>2291</v>
      </c>
      <c r="B69" s="128" t="s">
        <v>11</v>
      </c>
      <c r="C69" s="201" t="s">
        <v>137</v>
      </c>
      <c r="D69" s="11" t="s">
        <v>29</v>
      </c>
      <c r="E69" s="86"/>
      <c r="F69" s="86">
        <v>408517</v>
      </c>
      <c r="G69" s="23"/>
      <c r="H69" s="23"/>
      <c r="I69" s="159"/>
      <c r="J69" s="160"/>
      <c r="K69" s="160"/>
      <c r="L69" s="70"/>
    </row>
    <row r="70" spans="1:12" s="2" customFormat="1" x14ac:dyDescent="0.2">
      <c r="A70" s="89" t="s">
        <v>2291</v>
      </c>
      <c r="B70" s="128" t="s">
        <v>11</v>
      </c>
      <c r="C70" s="201" t="s">
        <v>925</v>
      </c>
      <c r="D70" s="11" t="s">
        <v>29</v>
      </c>
      <c r="E70" s="86"/>
      <c r="F70" s="86">
        <v>344107.8</v>
      </c>
      <c r="G70" s="23"/>
      <c r="H70" s="23"/>
      <c r="I70" s="159"/>
      <c r="J70" s="160"/>
      <c r="K70" s="160"/>
      <c r="L70" s="70"/>
    </row>
    <row r="71" spans="1:12" s="2" customFormat="1" x14ac:dyDescent="0.2">
      <c r="A71" s="89" t="s">
        <v>2291</v>
      </c>
      <c r="B71" s="128" t="s">
        <v>11</v>
      </c>
      <c r="C71" s="201" t="s">
        <v>268</v>
      </c>
      <c r="D71" s="11" t="s">
        <v>29</v>
      </c>
      <c r="E71" s="86"/>
      <c r="F71" s="86">
        <v>368369</v>
      </c>
      <c r="G71" s="23"/>
      <c r="H71" s="23"/>
      <c r="I71" s="159"/>
      <c r="J71" s="160"/>
      <c r="K71" s="160"/>
      <c r="L71" s="70"/>
    </row>
    <row r="72" spans="1:12" s="2" customFormat="1" x14ac:dyDescent="0.2">
      <c r="A72" s="89" t="s">
        <v>2291</v>
      </c>
      <c r="B72" s="128" t="s">
        <v>11</v>
      </c>
      <c r="C72" s="201" t="s">
        <v>224</v>
      </c>
      <c r="D72" s="11" t="s">
        <v>29</v>
      </c>
      <c r="E72" s="86"/>
      <c r="F72" s="86">
        <v>437147</v>
      </c>
      <c r="G72" s="23"/>
      <c r="H72" s="23"/>
      <c r="I72" s="159"/>
      <c r="J72" s="160"/>
      <c r="K72" s="160"/>
      <c r="L72" s="70"/>
    </row>
    <row r="73" spans="1:12" s="2" customFormat="1" x14ac:dyDescent="0.2">
      <c r="A73" s="89" t="s">
        <v>2291</v>
      </c>
      <c r="B73" s="128" t="s">
        <v>11</v>
      </c>
      <c r="C73" s="201" t="s">
        <v>1403</v>
      </c>
      <c r="D73" s="11" t="s">
        <v>29</v>
      </c>
      <c r="E73" s="86"/>
      <c r="F73" s="86">
        <v>124640</v>
      </c>
      <c r="G73" s="23"/>
      <c r="H73" s="23"/>
      <c r="I73" s="159"/>
      <c r="J73" s="160"/>
      <c r="K73" s="160"/>
      <c r="L73" s="70"/>
    </row>
    <row r="74" spans="1:12" s="2" customFormat="1" x14ac:dyDescent="0.2">
      <c r="A74" s="89" t="s">
        <v>2291</v>
      </c>
      <c r="B74" s="128" t="s">
        <v>11</v>
      </c>
      <c r="C74" s="201" t="s">
        <v>303</v>
      </c>
      <c r="D74" s="11" t="s">
        <v>29</v>
      </c>
      <c r="E74" s="86"/>
      <c r="F74" s="86">
        <v>3162</v>
      </c>
      <c r="G74" s="23"/>
      <c r="H74" s="23"/>
      <c r="I74" s="159"/>
      <c r="J74" s="160"/>
      <c r="K74" s="160"/>
      <c r="L74" s="70"/>
    </row>
    <row r="75" spans="1:12" s="2" customFormat="1" x14ac:dyDescent="0.2">
      <c r="A75" s="89" t="s">
        <v>2291</v>
      </c>
      <c r="B75" s="128" t="s">
        <v>11</v>
      </c>
      <c r="C75" s="201" t="s">
        <v>181</v>
      </c>
      <c r="D75" s="11" t="s">
        <v>29</v>
      </c>
      <c r="E75" s="86"/>
      <c r="F75" s="86">
        <v>97200</v>
      </c>
      <c r="G75" s="23"/>
      <c r="H75" s="23"/>
      <c r="I75" s="159"/>
      <c r="J75" s="160"/>
      <c r="K75" s="160"/>
      <c r="L75" s="70"/>
    </row>
    <row r="76" spans="1:12" s="2" customFormat="1" x14ac:dyDescent="0.2">
      <c r="A76" s="89" t="s">
        <v>2291</v>
      </c>
      <c r="B76" s="128" t="s">
        <v>11</v>
      </c>
      <c r="C76" s="201" t="s">
        <v>630</v>
      </c>
      <c r="D76" s="11" t="s">
        <v>29</v>
      </c>
      <c r="E76" s="86"/>
      <c r="F76" s="86">
        <v>77625</v>
      </c>
      <c r="G76" s="23"/>
      <c r="H76" s="23"/>
      <c r="I76" s="159"/>
      <c r="J76" s="160"/>
      <c r="K76" s="160"/>
      <c r="L76" s="70"/>
    </row>
    <row r="77" spans="1:12" s="2" customFormat="1" x14ac:dyDescent="0.2">
      <c r="A77" s="89" t="s">
        <v>2291</v>
      </c>
      <c r="B77" s="128" t="s">
        <v>11</v>
      </c>
      <c r="C77" s="201" t="s">
        <v>561</v>
      </c>
      <c r="D77" s="11" t="s">
        <v>29</v>
      </c>
      <c r="E77" s="86"/>
      <c r="F77" s="86">
        <v>166293</v>
      </c>
      <c r="G77" s="23"/>
      <c r="H77" s="23"/>
      <c r="I77" s="159"/>
      <c r="J77" s="160"/>
      <c r="K77" s="160"/>
      <c r="L77" s="70"/>
    </row>
    <row r="78" spans="1:12" s="2" customFormat="1" x14ac:dyDescent="0.2">
      <c r="A78" s="89" t="s">
        <v>2291</v>
      </c>
      <c r="B78" s="128" t="s">
        <v>11</v>
      </c>
      <c r="C78" s="201" t="s">
        <v>197</v>
      </c>
      <c r="D78" s="11" t="s">
        <v>29</v>
      </c>
      <c r="E78" s="86"/>
      <c r="F78" s="86">
        <v>29028</v>
      </c>
      <c r="G78" s="23"/>
      <c r="H78" s="23"/>
      <c r="I78" s="159"/>
      <c r="J78" s="160"/>
      <c r="K78" s="160"/>
      <c r="L78" s="70"/>
    </row>
    <row r="79" spans="1:12" s="2" customFormat="1" x14ac:dyDescent="0.2">
      <c r="A79" s="89" t="s">
        <v>2291</v>
      </c>
      <c r="B79" s="128" t="s">
        <v>11</v>
      </c>
      <c r="C79" s="201" t="s">
        <v>242</v>
      </c>
      <c r="D79" s="11" t="s">
        <v>29</v>
      </c>
      <c r="E79" s="86"/>
      <c r="F79" s="86">
        <v>123660.89</v>
      </c>
      <c r="G79" s="23"/>
      <c r="H79" s="23"/>
      <c r="I79" s="159"/>
      <c r="J79" s="160"/>
      <c r="K79" s="160"/>
      <c r="L79" s="70"/>
    </row>
    <row r="80" spans="1:12" s="2" customFormat="1" x14ac:dyDescent="0.2">
      <c r="A80" s="89" t="s">
        <v>2291</v>
      </c>
      <c r="B80" s="128" t="s">
        <v>11</v>
      </c>
      <c r="C80" s="201" t="s">
        <v>208</v>
      </c>
      <c r="D80" s="11" t="s">
        <v>29</v>
      </c>
      <c r="E80" s="86"/>
      <c r="F80" s="86">
        <v>17302</v>
      </c>
      <c r="G80" s="23"/>
      <c r="H80" s="23"/>
      <c r="I80" s="159"/>
      <c r="J80" s="160"/>
      <c r="K80" s="160"/>
      <c r="L80" s="70"/>
    </row>
    <row r="81" spans="1:16" s="2" customFormat="1" x14ac:dyDescent="0.2">
      <c r="A81" s="89" t="s">
        <v>2291</v>
      </c>
      <c r="B81" s="128" t="s">
        <v>11</v>
      </c>
      <c r="C81" s="201" t="s">
        <v>113</v>
      </c>
      <c r="D81" s="11" t="s">
        <v>29</v>
      </c>
      <c r="E81" s="86"/>
      <c r="F81" s="86">
        <v>36443</v>
      </c>
      <c r="G81" s="23"/>
      <c r="H81" s="23"/>
      <c r="I81" s="159"/>
      <c r="J81" s="160"/>
      <c r="K81" s="160"/>
      <c r="L81" s="70"/>
    </row>
    <row r="82" spans="1:16" s="2" customFormat="1" x14ac:dyDescent="0.2">
      <c r="A82" s="89" t="s">
        <v>2291</v>
      </c>
      <c r="B82" s="128" t="s">
        <v>11</v>
      </c>
      <c r="C82" s="201" t="s">
        <v>91</v>
      </c>
      <c r="D82" s="11" t="s">
        <v>29</v>
      </c>
      <c r="E82" s="86"/>
      <c r="F82" s="86">
        <v>508830</v>
      </c>
      <c r="G82" s="23"/>
      <c r="H82" s="23"/>
      <c r="I82" s="159"/>
      <c r="J82" s="160"/>
      <c r="K82" s="160"/>
      <c r="L82" s="70"/>
    </row>
    <row r="83" spans="1:16" s="2" customFormat="1" x14ac:dyDescent="0.2">
      <c r="A83" s="89" t="s">
        <v>2291</v>
      </c>
      <c r="B83" s="128" t="s">
        <v>11</v>
      </c>
      <c r="C83" s="201" t="s">
        <v>156</v>
      </c>
      <c r="D83" s="11" t="s">
        <v>29</v>
      </c>
      <c r="E83" s="86"/>
      <c r="F83" s="86">
        <v>6.52</v>
      </c>
      <c r="G83" s="23"/>
      <c r="H83" s="23"/>
      <c r="I83" s="159"/>
      <c r="J83" s="160"/>
      <c r="K83" s="160"/>
      <c r="L83" s="70"/>
    </row>
    <row r="84" spans="1:16" s="2" customFormat="1" x14ac:dyDescent="0.2">
      <c r="A84" s="89" t="s">
        <v>2291</v>
      </c>
      <c r="B84" s="128" t="s">
        <v>11</v>
      </c>
      <c r="C84" s="201" t="s">
        <v>1979</v>
      </c>
      <c r="D84" s="11" t="s">
        <v>29</v>
      </c>
      <c r="E84" s="86"/>
      <c r="F84" s="86">
        <v>238433.57</v>
      </c>
      <c r="G84" s="23"/>
      <c r="H84" s="23"/>
      <c r="I84" s="159"/>
      <c r="J84" s="160"/>
      <c r="K84" s="160"/>
      <c r="L84" s="70"/>
    </row>
    <row r="85" spans="1:16" s="70" customFormat="1" x14ac:dyDescent="0.2">
      <c r="A85" s="32"/>
      <c r="B85" s="33"/>
      <c r="C85" s="14"/>
      <c r="D85" s="34"/>
      <c r="E85" s="16">
        <f>SUM(E52:E84)</f>
        <v>6452292.4000000004</v>
      </c>
      <c r="F85" s="16">
        <f>SUM(F52:F84)</f>
        <v>376388050.36999977</v>
      </c>
      <c r="G85" s="1"/>
      <c r="H85" s="1"/>
      <c r="I85" s="1"/>
      <c r="J85" s="38">
        <v>369935757.97000003</v>
      </c>
      <c r="K85" s="2"/>
      <c r="L85" s="92">
        <f>+J85-E86</f>
        <v>0</v>
      </c>
      <c r="M85" s="2"/>
      <c r="N85" s="2"/>
      <c r="O85" s="2">
        <v>10127749.119999999</v>
      </c>
      <c r="P85" s="2">
        <f>+O85-J85</f>
        <v>-359808008.85000002</v>
      </c>
    </row>
    <row r="86" spans="1:16" s="70" customFormat="1" x14ac:dyDescent="0.2">
      <c r="A86" s="36"/>
      <c r="B86" s="28" t="s">
        <v>11</v>
      </c>
      <c r="C86" s="19" t="s">
        <v>65</v>
      </c>
      <c r="D86" s="37"/>
      <c r="E86" s="38">
        <f>F85-E85</f>
        <v>369935757.96999979</v>
      </c>
      <c r="F86" s="22"/>
      <c r="G86" s="1"/>
      <c r="H86" s="1"/>
      <c r="I86" s="1"/>
      <c r="M86" s="2"/>
      <c r="N86" s="2"/>
      <c r="O86" s="1"/>
      <c r="P86" s="2"/>
    </row>
    <row r="87" spans="1:16" s="70" customFormat="1" x14ac:dyDescent="0.2">
      <c r="A87" s="36"/>
      <c r="B87" s="28" t="s">
        <v>66</v>
      </c>
      <c r="C87" s="19" t="s">
        <v>67</v>
      </c>
      <c r="D87" s="37"/>
      <c r="E87" s="38">
        <f>11500000-7200000</f>
        <v>4300000</v>
      </c>
      <c r="F87" s="22"/>
      <c r="G87" s="1"/>
      <c r="H87" s="1"/>
      <c r="M87" s="2"/>
      <c r="N87" s="2"/>
      <c r="O87" s="1"/>
      <c r="P87" s="2"/>
    </row>
    <row r="88" spans="1:16" s="70" customFormat="1" x14ac:dyDescent="0.2">
      <c r="A88" s="36"/>
      <c r="B88" s="28" t="s">
        <v>66</v>
      </c>
      <c r="C88" s="43" t="s">
        <v>1457</v>
      </c>
      <c r="D88" s="43"/>
      <c r="E88" s="12">
        <f>400000000-300000000</f>
        <v>100000000</v>
      </c>
      <c r="F88" s="22"/>
      <c r="G88" s="1"/>
      <c r="H88" s="1"/>
      <c r="J88" s="45">
        <v>3034.09</v>
      </c>
      <c r="K88" s="46"/>
      <c r="L88" s="46"/>
      <c r="M88" s="2"/>
      <c r="N88" s="2"/>
      <c r="O88" s="1"/>
      <c r="P88" s="2"/>
    </row>
    <row r="89" spans="1:16" s="70" customFormat="1" ht="15" x14ac:dyDescent="0.25">
      <c r="A89" s="36"/>
      <c r="B89" s="28"/>
      <c r="C89" s="44" t="s">
        <v>1541</v>
      </c>
      <c r="D89" s="43"/>
      <c r="E89" s="7">
        <f>+E88+E86+E87</f>
        <v>474235757.96999979</v>
      </c>
      <c r="F89" s="22"/>
      <c r="G89" s="1"/>
      <c r="H89" s="1"/>
      <c r="I89" s="103" t="s">
        <v>69</v>
      </c>
      <c r="J89" s="45">
        <v>-130.75</v>
      </c>
      <c r="K89" s="46"/>
      <c r="L89" s="46"/>
      <c r="M89" s="2"/>
      <c r="N89" s="2"/>
      <c r="O89" s="1"/>
      <c r="P89" s="2"/>
    </row>
    <row r="90" spans="1:16" s="70" customFormat="1" ht="15" x14ac:dyDescent="0.25">
      <c r="A90" s="24"/>
      <c r="B90" s="1"/>
      <c r="C90" s="44" t="s">
        <v>1510</v>
      </c>
      <c r="D90" s="25"/>
      <c r="E90" s="156">
        <f>+J51-E87+I47-J47</f>
        <v>25764242.029999971</v>
      </c>
      <c r="F90" s="2"/>
      <c r="G90" s="1"/>
      <c r="H90" s="1"/>
      <c r="I90" s="35">
        <v>1</v>
      </c>
      <c r="J90" s="45">
        <v>108.57</v>
      </c>
      <c r="K90" s="46">
        <f>+J91-D93</f>
        <v>0</v>
      </c>
      <c r="L90" s="2"/>
      <c r="M90" s="2"/>
      <c r="N90" s="2"/>
      <c r="O90" s="1"/>
      <c r="P90" s="2"/>
    </row>
    <row r="91" spans="1:16" s="70" customFormat="1" ht="12.75" customHeight="1" x14ac:dyDescent="0.2">
      <c r="A91" s="24"/>
      <c r="B91" s="1"/>
      <c r="C91" s="56"/>
      <c r="D91" s="56"/>
      <c r="E91" s="104"/>
      <c r="F91" s="2"/>
      <c r="G91" s="166"/>
      <c r="H91" s="166"/>
      <c r="J91" s="49">
        <f>SUM(J88:J90)</f>
        <v>3011.9100000000003</v>
      </c>
      <c r="K91" s="46"/>
      <c r="L91" s="46"/>
      <c r="M91" s="124"/>
      <c r="N91" s="124"/>
      <c r="O91" s="1"/>
      <c r="P91" s="2"/>
    </row>
    <row r="92" spans="1:16" s="70" customFormat="1" ht="12.75" customHeight="1" x14ac:dyDescent="0.2">
      <c r="A92" s="24"/>
      <c r="B92" s="1"/>
      <c r="C92" s="78" t="s">
        <v>575</v>
      </c>
      <c r="D92" s="48" t="s">
        <v>576</v>
      </c>
      <c r="E92" s="104"/>
      <c r="F92" s="2"/>
      <c r="G92" s="168"/>
      <c r="H92" s="168"/>
      <c r="I92" s="167"/>
      <c r="J92" s="167"/>
      <c r="K92" s="168"/>
      <c r="L92" s="124"/>
      <c r="M92" s="124"/>
      <c r="N92" s="124"/>
      <c r="O92" s="124"/>
      <c r="P92" s="2"/>
    </row>
    <row r="93" spans="1:16" s="70" customFormat="1" ht="12.75" customHeight="1" x14ac:dyDescent="0.2">
      <c r="A93" s="24"/>
      <c r="B93" s="1"/>
      <c r="C93" s="47" t="s">
        <v>570</v>
      </c>
      <c r="D93" s="111">
        <v>3011.91</v>
      </c>
      <c r="E93" s="104"/>
      <c r="F93" s="2"/>
      <c r="G93" s="168"/>
      <c r="H93" s="168"/>
      <c r="I93" s="110" t="s">
        <v>581</v>
      </c>
      <c r="J93" s="167"/>
      <c r="K93" s="168"/>
      <c r="L93" s="124"/>
      <c r="M93" s="124"/>
      <c r="N93" s="124"/>
      <c r="O93" s="124"/>
      <c r="P93" s="124"/>
    </row>
    <row r="94" spans="1:16" s="70" customFormat="1" ht="12.75" customHeight="1" x14ac:dyDescent="0.2">
      <c r="A94" s="24"/>
      <c r="B94" s="1"/>
      <c r="C94" s="47" t="s">
        <v>931</v>
      </c>
      <c r="D94" s="111">
        <v>255.29</v>
      </c>
      <c r="E94" s="104"/>
      <c r="F94" s="2"/>
      <c r="G94" s="168"/>
      <c r="H94" s="168"/>
      <c r="I94" s="110" t="s">
        <v>580</v>
      </c>
      <c r="J94" s="167"/>
      <c r="K94" s="168"/>
      <c r="L94" s="124"/>
      <c r="M94" s="124"/>
      <c r="N94" s="124"/>
      <c r="O94" s="124"/>
      <c r="P94" s="124"/>
    </row>
    <row r="95" spans="1:16" s="70" customFormat="1" ht="12.75" customHeight="1" x14ac:dyDescent="0.2">
      <c r="A95" s="24"/>
      <c r="B95" s="1"/>
      <c r="C95" s="47" t="s">
        <v>572</v>
      </c>
      <c r="D95" s="111">
        <f>+D156/100000</f>
        <v>1198.7486290000002</v>
      </c>
      <c r="E95" s="104"/>
      <c r="F95" s="2"/>
      <c r="G95" s="166"/>
      <c r="H95" s="166"/>
      <c r="I95" s="90" t="s">
        <v>587</v>
      </c>
      <c r="J95" s="167"/>
      <c r="K95" s="168"/>
      <c r="L95" s="124"/>
      <c r="M95" s="124"/>
      <c r="N95" s="124"/>
      <c r="O95" s="124"/>
      <c r="P95" s="124"/>
    </row>
    <row r="96" spans="1:16" s="70" customFormat="1" ht="12.75" customHeight="1" x14ac:dyDescent="0.2">
      <c r="A96" s="24"/>
      <c r="B96" s="1"/>
      <c r="C96" s="108" t="s">
        <v>578</v>
      </c>
      <c r="D96" s="48">
        <f>SUM(D93:D95)</f>
        <v>4465.9486290000004</v>
      </c>
      <c r="E96" s="104"/>
      <c r="F96" s="2"/>
      <c r="G96" s="30"/>
      <c r="H96" s="30"/>
      <c r="I96" s="2"/>
      <c r="J96" s="13"/>
      <c r="K96" s="13"/>
      <c r="L96" s="2"/>
      <c r="M96" s="2"/>
      <c r="N96" s="2"/>
      <c r="O96" s="124"/>
      <c r="P96" s="124"/>
    </row>
    <row r="97" spans="1:19" s="70" customFormat="1" ht="12.75" customHeight="1" x14ac:dyDescent="0.2">
      <c r="A97" s="24"/>
      <c r="B97" s="1"/>
      <c r="C97" s="47"/>
      <c r="D97" s="107"/>
      <c r="E97" s="104"/>
      <c r="F97" s="2"/>
      <c r="G97" s="30"/>
      <c r="H97" s="30"/>
      <c r="I97" s="2"/>
      <c r="O97" s="2"/>
      <c r="P97" s="124"/>
    </row>
    <row r="98" spans="1:19" s="70" customFormat="1" ht="12.75" customHeight="1" x14ac:dyDescent="0.2">
      <c r="A98" s="24"/>
      <c r="B98" s="1"/>
      <c r="C98" s="47" t="s">
        <v>932</v>
      </c>
      <c r="D98" s="111">
        <v>694.86</v>
      </c>
      <c r="E98" s="104"/>
      <c r="F98" s="2"/>
      <c r="G98" s="30"/>
      <c r="H98" s="30"/>
      <c r="I98" s="110" t="s">
        <v>581</v>
      </c>
      <c r="P98" s="2"/>
    </row>
    <row r="99" spans="1:19" s="70" customFormat="1" ht="12.75" customHeight="1" x14ac:dyDescent="0.2">
      <c r="A99" s="24"/>
      <c r="B99" s="1"/>
      <c r="C99" s="136" t="s">
        <v>1142</v>
      </c>
      <c r="D99" s="111">
        <v>1143.51</v>
      </c>
      <c r="E99" s="104"/>
      <c r="F99" s="2"/>
      <c r="G99" s="30"/>
      <c r="H99" s="30"/>
      <c r="I99" s="110" t="s">
        <v>581</v>
      </c>
    </row>
    <row r="100" spans="1:19" s="70" customFormat="1" ht="12.75" customHeight="1" x14ac:dyDescent="0.2">
      <c r="A100" s="24"/>
      <c r="B100" s="1"/>
      <c r="C100" s="78" t="s">
        <v>579</v>
      </c>
      <c r="D100" s="109">
        <f>D98+D99</f>
        <v>1838.37</v>
      </c>
      <c r="E100" s="104"/>
      <c r="F100" s="2"/>
      <c r="G100" s="30"/>
      <c r="H100" s="30"/>
      <c r="Q100" s="2"/>
      <c r="R100" s="2"/>
      <c r="S100" s="2"/>
    </row>
    <row r="101" spans="1:19" s="2" customFormat="1" x14ac:dyDescent="0.2">
      <c r="A101" s="24"/>
      <c r="B101" s="1"/>
      <c r="C101" s="105"/>
      <c r="D101" s="106"/>
      <c r="E101" s="104"/>
      <c r="G101" s="30"/>
      <c r="H101" s="30"/>
      <c r="I101" s="70"/>
      <c r="K101" s="221" t="str">
        <f>"FROM ( 01-03-2024 to "&amp;TEXT(A5,"dd-mm-yyyy")&amp;" )"</f>
        <v>FROM ( 01-03-2024 to 30-03-2024 )</v>
      </c>
      <c r="L101" s="221"/>
      <c r="O101" s="70"/>
      <c r="P101" s="70"/>
    </row>
    <row r="102" spans="1:19" s="2" customFormat="1" x14ac:dyDescent="0.2">
      <c r="A102" s="24"/>
      <c r="B102" s="1"/>
      <c r="C102" s="78" t="s">
        <v>577</v>
      </c>
      <c r="D102" s="109">
        <f>D93+D100</f>
        <v>4850.28</v>
      </c>
      <c r="E102" s="104"/>
      <c r="G102" s="30"/>
      <c r="H102" s="30"/>
      <c r="I102" s="70"/>
      <c r="J102" s="113"/>
      <c r="K102" s="113" t="s">
        <v>709</v>
      </c>
      <c r="L102" s="113" t="s">
        <v>710</v>
      </c>
      <c r="M102" s="113" t="s">
        <v>711</v>
      </c>
      <c r="N102" s="113" t="s">
        <v>712</v>
      </c>
      <c r="O102" s="70"/>
      <c r="P102" s="70"/>
    </row>
    <row r="103" spans="1:19" s="2" customFormat="1" x14ac:dyDescent="0.2">
      <c r="A103" s="24"/>
      <c r="B103" s="1"/>
      <c r="C103" s="56"/>
      <c r="D103" s="56"/>
      <c r="E103" s="104"/>
      <c r="G103" s="30"/>
      <c r="H103" s="30"/>
      <c r="I103" s="70"/>
      <c r="J103" s="113" t="s">
        <v>1860</v>
      </c>
      <c r="K103" s="115">
        <v>195.8</v>
      </c>
      <c r="L103" s="115">
        <v>105.74</v>
      </c>
      <c r="M103" s="115">
        <v>102.79</v>
      </c>
      <c r="N103" s="113">
        <f>+K103+M103-L103</f>
        <v>192.85000000000002</v>
      </c>
      <c r="O103" s="70"/>
      <c r="P103" s="70"/>
    </row>
    <row r="104" spans="1:19" s="2" customFormat="1" ht="38.25" x14ac:dyDescent="0.2">
      <c r="A104" s="24"/>
      <c r="B104" s="1"/>
      <c r="C104" s="79" t="str">
        <f>"Particulars ( 01-03-2024 to "&amp;TEXT(A5,"dd-mm-yyyy")&amp;" )"</f>
        <v>Particulars ( 01-03-2024 to 30-03-2024 )</v>
      </c>
      <c r="D104" s="79" t="s">
        <v>7</v>
      </c>
      <c r="E104" s="80" t="s">
        <v>73</v>
      </c>
      <c r="F104" s="80" t="s">
        <v>74</v>
      </c>
      <c r="G104" s="81" t="s">
        <v>75</v>
      </c>
      <c r="H104" s="80" t="s">
        <v>76</v>
      </c>
      <c r="I104" s="70"/>
      <c r="J104" s="113" t="s">
        <v>1861</v>
      </c>
      <c r="K104" s="115">
        <v>1882.55</v>
      </c>
      <c r="L104" s="115">
        <v>1200.4100000000001</v>
      </c>
      <c r="M104" s="115">
        <v>1148.1199999999999</v>
      </c>
      <c r="N104" s="113">
        <f>+K104+M104-L104</f>
        <v>1830.26</v>
      </c>
      <c r="O104" s="70"/>
      <c r="P104" s="70"/>
    </row>
    <row r="105" spans="1:19" s="2" customFormat="1" x14ac:dyDescent="0.2">
      <c r="A105" s="24"/>
      <c r="B105" s="1"/>
      <c r="C105" s="50" t="s">
        <v>444</v>
      </c>
      <c r="D105" s="55">
        <f>+K105</f>
        <v>463.26</v>
      </c>
      <c r="E105" s="55">
        <f>+IF(M105=0,0,M105)</f>
        <v>694.86</v>
      </c>
      <c r="F105" s="55">
        <f>+L105</f>
        <v>255.29</v>
      </c>
      <c r="G105" s="55">
        <f>+D105+E105-F105</f>
        <v>902.82999999999993</v>
      </c>
      <c r="H105" s="55">
        <f>1500-G105</f>
        <v>597.17000000000007</v>
      </c>
      <c r="I105" s="70">
        <f>+IF(M105=0,0,M105)</f>
        <v>694.86</v>
      </c>
      <c r="J105" s="113" t="s">
        <v>707</v>
      </c>
      <c r="K105" s="115">
        <v>463.26</v>
      </c>
      <c r="L105" s="115">
        <v>255.29</v>
      </c>
      <c r="M105" s="115">
        <v>694.86</v>
      </c>
      <c r="N105" s="113">
        <f>+K105+M105-L105</f>
        <v>902.82999999999993</v>
      </c>
      <c r="O105" s="70"/>
      <c r="P105" s="70"/>
    </row>
    <row r="106" spans="1:19" s="2" customFormat="1" x14ac:dyDescent="0.2">
      <c r="A106" s="24"/>
      <c r="B106" s="1"/>
      <c r="C106" s="50" t="s">
        <v>71</v>
      </c>
      <c r="D106" s="55">
        <f>+K103+K104</f>
        <v>2078.35</v>
      </c>
      <c r="E106" s="55">
        <f>+M103+M104</f>
        <v>1250.9099999999999</v>
      </c>
      <c r="F106" s="55">
        <f>+L103+L104</f>
        <v>1306.1500000000001</v>
      </c>
      <c r="G106" s="55">
        <f>+D106+E106-F106</f>
        <v>2023.1099999999997</v>
      </c>
      <c r="H106" s="55">
        <f>1500+700+200-G106</f>
        <v>376.89000000000033</v>
      </c>
      <c r="I106" s="70"/>
      <c r="K106" s="118">
        <f>SUM(K103:K105)</f>
        <v>2541.6099999999997</v>
      </c>
      <c r="L106" s="118">
        <f>SUM(L103:L105)</f>
        <v>1561.44</v>
      </c>
      <c r="M106" s="118">
        <f>SUM(M103:M105)</f>
        <v>1945.77</v>
      </c>
      <c r="N106" s="118">
        <f>SUM(N103:N105)</f>
        <v>2925.94</v>
      </c>
      <c r="O106" s="70"/>
      <c r="P106" s="70"/>
    </row>
    <row r="107" spans="1:19" s="2" customFormat="1" x14ac:dyDescent="0.2">
      <c r="A107" s="24"/>
      <c r="B107" s="1"/>
      <c r="C107" s="14"/>
      <c r="D107" s="56"/>
      <c r="E107" s="13"/>
      <c r="G107" s="30"/>
      <c r="H107" s="30"/>
      <c r="I107" s="70"/>
      <c r="J107" s="70"/>
      <c r="K107" s="70"/>
      <c r="L107" s="70"/>
      <c r="M107" s="70"/>
      <c r="N107" s="70"/>
      <c r="O107" s="70"/>
      <c r="P107" s="70"/>
    </row>
    <row r="108" spans="1:19" s="2" customFormat="1" x14ac:dyDescent="0.2">
      <c r="A108" s="215" t="s">
        <v>80</v>
      </c>
      <c r="B108" s="216"/>
      <c r="C108" s="216"/>
      <c r="D108" s="217"/>
      <c r="E108" s="69"/>
      <c r="F108" s="70"/>
      <c r="G108" s="30"/>
      <c r="H108" s="30"/>
      <c r="I108" s="70"/>
      <c r="J108" s="70"/>
      <c r="K108" s="70"/>
      <c r="L108" s="70"/>
      <c r="M108" s="70"/>
      <c r="N108" s="70"/>
      <c r="O108" s="70"/>
      <c r="P108" s="70"/>
    </row>
    <row r="109" spans="1:19" s="2" customFormat="1" x14ac:dyDescent="0.2">
      <c r="A109" s="71" t="s">
        <v>81</v>
      </c>
      <c r="B109" s="71"/>
      <c r="C109" s="72" t="s">
        <v>82</v>
      </c>
      <c r="D109" s="73" t="s">
        <v>83</v>
      </c>
      <c r="E109" s="69"/>
      <c r="F109" s="70"/>
      <c r="G109" s="30"/>
      <c r="H109" s="30"/>
      <c r="I109" s="70"/>
      <c r="J109" s="70"/>
      <c r="K109" s="70"/>
      <c r="L109" s="70"/>
      <c r="M109" s="70"/>
      <c r="N109" s="70"/>
      <c r="O109" s="70"/>
      <c r="P109" s="70"/>
    </row>
    <row r="110" spans="1:19" s="2" customFormat="1" x14ac:dyDescent="0.2">
      <c r="A110" s="87">
        <v>45352</v>
      </c>
      <c r="B110" s="120" t="s">
        <v>6</v>
      </c>
      <c r="C110" s="75" t="s">
        <v>594</v>
      </c>
      <c r="D110" s="88">
        <v>2143144</v>
      </c>
      <c r="G110" s="30"/>
      <c r="H110" s="30"/>
      <c r="P110" s="70"/>
    </row>
    <row r="111" spans="1:19" s="2" customFormat="1" x14ac:dyDescent="0.2">
      <c r="A111" s="87">
        <v>45352</v>
      </c>
      <c r="B111" s="120" t="s">
        <v>6</v>
      </c>
      <c r="C111" s="75" t="s">
        <v>271</v>
      </c>
      <c r="D111" s="88">
        <v>1493463</v>
      </c>
      <c r="G111" s="30"/>
      <c r="H111" s="30"/>
      <c r="P111" s="70"/>
    </row>
    <row r="112" spans="1:19" s="2" customFormat="1" x14ac:dyDescent="0.2">
      <c r="A112" s="87">
        <v>45354</v>
      </c>
      <c r="B112" s="120" t="s">
        <v>6</v>
      </c>
      <c r="C112" s="75" t="s">
        <v>270</v>
      </c>
      <c r="D112" s="88">
        <v>187299</v>
      </c>
      <c r="G112" s="30"/>
      <c r="H112" s="30"/>
      <c r="P112" s="70"/>
    </row>
    <row r="113" spans="1:16" s="2" customFormat="1" x14ac:dyDescent="0.2">
      <c r="A113" s="87">
        <v>45356</v>
      </c>
      <c r="B113" s="120" t="s">
        <v>6</v>
      </c>
      <c r="C113" s="75" t="s">
        <v>84</v>
      </c>
      <c r="D113" s="88">
        <v>3111466</v>
      </c>
      <c r="G113" s="30"/>
      <c r="H113" s="30"/>
      <c r="P113" s="70"/>
    </row>
    <row r="114" spans="1:16" s="2" customFormat="1" x14ac:dyDescent="0.2">
      <c r="A114" s="87">
        <v>45356</v>
      </c>
      <c r="B114" s="120" t="s">
        <v>6</v>
      </c>
      <c r="C114" s="75" t="s">
        <v>271</v>
      </c>
      <c r="D114" s="88">
        <v>1369091</v>
      </c>
      <c r="G114" s="30"/>
      <c r="H114" s="30"/>
      <c r="P114" s="70"/>
    </row>
    <row r="115" spans="1:16" s="2" customFormat="1" x14ac:dyDescent="0.2">
      <c r="A115" s="87">
        <v>45357</v>
      </c>
      <c r="B115" s="120" t="s">
        <v>6</v>
      </c>
      <c r="C115" s="75" t="s">
        <v>271</v>
      </c>
      <c r="D115" s="88">
        <v>1393433</v>
      </c>
      <c r="G115" s="30"/>
      <c r="H115" s="30"/>
      <c r="P115" s="70"/>
    </row>
    <row r="116" spans="1:16" s="2" customFormat="1" x14ac:dyDescent="0.2">
      <c r="A116" s="87">
        <v>45359</v>
      </c>
      <c r="B116" s="120" t="s">
        <v>6</v>
      </c>
      <c r="C116" s="75" t="s">
        <v>271</v>
      </c>
      <c r="D116" s="88">
        <v>730944</v>
      </c>
      <c r="G116" s="30"/>
      <c r="H116" s="30"/>
      <c r="P116" s="70"/>
    </row>
    <row r="117" spans="1:16" s="2" customFormat="1" x14ac:dyDescent="0.2">
      <c r="A117" s="87">
        <v>45359</v>
      </c>
      <c r="B117" s="120" t="s">
        <v>6</v>
      </c>
      <c r="C117" s="75" t="s">
        <v>18</v>
      </c>
      <c r="D117" s="88">
        <v>19228</v>
      </c>
      <c r="G117" s="30"/>
      <c r="H117" s="30"/>
      <c r="P117" s="70"/>
    </row>
    <row r="118" spans="1:16" s="2" customFormat="1" x14ac:dyDescent="0.2">
      <c r="A118" s="87">
        <v>45362</v>
      </c>
      <c r="B118" s="120" t="s">
        <v>6</v>
      </c>
      <c r="C118" s="75" t="s">
        <v>1789</v>
      </c>
      <c r="D118" s="88">
        <v>2568137</v>
      </c>
      <c r="G118" s="30"/>
      <c r="H118" s="30"/>
      <c r="P118" s="70"/>
    </row>
    <row r="119" spans="1:16" s="2" customFormat="1" x14ac:dyDescent="0.2">
      <c r="A119" s="87">
        <v>45362</v>
      </c>
      <c r="B119" s="120" t="s">
        <v>6</v>
      </c>
      <c r="C119" s="75" t="s">
        <v>85</v>
      </c>
      <c r="D119" s="88">
        <v>39949</v>
      </c>
      <c r="G119" s="30"/>
      <c r="H119" s="30"/>
      <c r="P119" s="70"/>
    </row>
    <row r="120" spans="1:16" s="2" customFormat="1" x14ac:dyDescent="0.2">
      <c r="A120" s="87">
        <v>45362</v>
      </c>
      <c r="B120" s="120" t="s">
        <v>6</v>
      </c>
      <c r="C120" s="75" t="s">
        <v>85</v>
      </c>
      <c r="D120" s="88">
        <v>219691</v>
      </c>
      <c r="G120" s="30"/>
      <c r="H120" s="30"/>
      <c r="P120" s="70"/>
    </row>
    <row r="121" spans="1:16" s="2" customFormat="1" x14ac:dyDescent="0.2">
      <c r="A121" s="87">
        <v>45363</v>
      </c>
      <c r="B121" s="120" t="s">
        <v>6</v>
      </c>
      <c r="C121" s="75" t="s">
        <v>271</v>
      </c>
      <c r="D121" s="88">
        <v>952416</v>
      </c>
      <c r="G121" s="30"/>
      <c r="H121" s="30"/>
      <c r="P121" s="70"/>
    </row>
    <row r="122" spans="1:16" s="2" customFormat="1" x14ac:dyDescent="0.2">
      <c r="A122" s="87">
        <v>45363</v>
      </c>
      <c r="B122" s="120" t="s">
        <v>6</v>
      </c>
      <c r="C122" s="75" t="s">
        <v>18</v>
      </c>
      <c r="D122" s="88">
        <v>591483</v>
      </c>
      <c r="G122" s="30"/>
      <c r="H122" s="30"/>
      <c r="P122" s="70"/>
    </row>
    <row r="123" spans="1:16" s="2" customFormat="1" x14ac:dyDescent="0.2">
      <c r="A123" s="87">
        <v>45364</v>
      </c>
      <c r="B123" s="120" t="s">
        <v>6</v>
      </c>
      <c r="C123" s="75" t="s">
        <v>85</v>
      </c>
      <c r="D123" s="88">
        <v>701638</v>
      </c>
      <c r="G123" s="30"/>
      <c r="H123" s="30"/>
      <c r="P123" s="70"/>
    </row>
    <row r="124" spans="1:16" s="2" customFormat="1" x14ac:dyDescent="0.2">
      <c r="A124" s="87">
        <v>45364</v>
      </c>
      <c r="B124" s="120" t="s">
        <v>6</v>
      </c>
      <c r="C124" s="75" t="s">
        <v>86</v>
      </c>
      <c r="D124" s="88">
        <v>1887871</v>
      </c>
      <c r="G124" s="30"/>
      <c r="H124" s="30"/>
      <c r="P124" s="70"/>
    </row>
    <row r="125" spans="1:16" s="2" customFormat="1" x14ac:dyDescent="0.2">
      <c r="A125" s="87">
        <v>45365</v>
      </c>
      <c r="B125" s="120" t="s">
        <v>6</v>
      </c>
      <c r="C125" s="75" t="s">
        <v>18</v>
      </c>
      <c r="D125" s="88">
        <v>1006330</v>
      </c>
      <c r="G125" s="30"/>
      <c r="H125" s="30"/>
      <c r="P125" s="70"/>
    </row>
    <row r="126" spans="1:16" s="2" customFormat="1" x14ac:dyDescent="0.2">
      <c r="A126" s="87">
        <v>45365</v>
      </c>
      <c r="B126" s="120" t="s">
        <v>6</v>
      </c>
      <c r="C126" s="75" t="s">
        <v>18</v>
      </c>
      <c r="D126" s="88">
        <v>5597</v>
      </c>
      <c r="G126" s="30"/>
      <c r="H126" s="30"/>
      <c r="P126" s="70"/>
    </row>
    <row r="127" spans="1:16" s="2" customFormat="1" x14ac:dyDescent="0.2">
      <c r="A127" s="87">
        <v>45366</v>
      </c>
      <c r="B127" s="120" t="s">
        <v>6</v>
      </c>
      <c r="C127" s="75" t="s">
        <v>201</v>
      </c>
      <c r="D127" s="88">
        <v>6161756</v>
      </c>
      <c r="G127" s="30"/>
      <c r="H127" s="30"/>
      <c r="P127" s="70"/>
    </row>
    <row r="128" spans="1:16" s="2" customFormat="1" x14ac:dyDescent="0.2">
      <c r="A128" s="87">
        <v>45366</v>
      </c>
      <c r="B128" s="120" t="s">
        <v>6</v>
      </c>
      <c r="C128" s="75" t="s">
        <v>1789</v>
      </c>
      <c r="D128" s="88">
        <v>7500000</v>
      </c>
      <c r="G128" s="30"/>
      <c r="H128" s="30"/>
      <c r="P128" s="70"/>
    </row>
    <row r="129" spans="1:16" s="2" customFormat="1" x14ac:dyDescent="0.2">
      <c r="A129" s="87">
        <v>45366</v>
      </c>
      <c r="B129" s="120" t="s">
        <v>6</v>
      </c>
      <c r="C129" s="75" t="s">
        <v>85</v>
      </c>
      <c r="D129" s="88">
        <v>306349</v>
      </c>
      <c r="G129" s="30"/>
      <c r="H129" s="30"/>
      <c r="P129" s="70"/>
    </row>
    <row r="130" spans="1:16" s="2" customFormat="1" x14ac:dyDescent="0.2">
      <c r="A130" s="87">
        <v>45366</v>
      </c>
      <c r="B130" s="120" t="s">
        <v>6</v>
      </c>
      <c r="C130" s="75" t="s">
        <v>85</v>
      </c>
      <c r="D130" s="88">
        <v>400000</v>
      </c>
      <c r="G130" s="30"/>
      <c r="H130" s="30"/>
      <c r="P130" s="70"/>
    </row>
    <row r="131" spans="1:16" s="2" customFormat="1" x14ac:dyDescent="0.2">
      <c r="A131" s="87">
        <v>45366</v>
      </c>
      <c r="B131" s="120" t="s">
        <v>6</v>
      </c>
      <c r="C131" s="75" t="s">
        <v>87</v>
      </c>
      <c r="D131" s="88">
        <v>4850915</v>
      </c>
      <c r="G131" s="30"/>
      <c r="H131" s="30"/>
      <c r="P131" s="70"/>
    </row>
    <row r="132" spans="1:16" s="2" customFormat="1" x14ac:dyDescent="0.2">
      <c r="A132" s="87">
        <v>45366</v>
      </c>
      <c r="B132" s="120" t="s">
        <v>6</v>
      </c>
      <c r="C132" s="75" t="s">
        <v>88</v>
      </c>
      <c r="D132" s="88">
        <v>5232207.0599999996</v>
      </c>
      <c r="G132" s="30"/>
      <c r="H132" s="30"/>
      <c r="P132" s="70"/>
    </row>
    <row r="133" spans="1:16" s="2" customFormat="1" x14ac:dyDescent="0.2">
      <c r="A133" s="87">
        <v>45366</v>
      </c>
      <c r="B133" s="120" t="s">
        <v>6</v>
      </c>
      <c r="C133" s="75" t="s">
        <v>201</v>
      </c>
      <c r="D133" s="88">
        <v>9960808.3800000008</v>
      </c>
      <c r="G133" s="30"/>
      <c r="H133" s="30"/>
      <c r="P133" s="70"/>
    </row>
    <row r="134" spans="1:16" s="2" customFormat="1" x14ac:dyDescent="0.2">
      <c r="A134" s="87">
        <v>45366</v>
      </c>
      <c r="B134" s="120" t="s">
        <v>6</v>
      </c>
      <c r="C134" s="75" t="s">
        <v>86</v>
      </c>
      <c r="D134" s="88">
        <v>7162826</v>
      </c>
      <c r="G134" s="30"/>
      <c r="H134" s="30"/>
      <c r="P134" s="70"/>
    </row>
    <row r="135" spans="1:16" s="2" customFormat="1" x14ac:dyDescent="0.2">
      <c r="A135" s="87">
        <v>45366</v>
      </c>
      <c r="B135" s="120" t="s">
        <v>6</v>
      </c>
      <c r="C135" s="75" t="s">
        <v>323</v>
      </c>
      <c r="D135" s="88">
        <v>1044131</v>
      </c>
      <c r="G135" s="30"/>
      <c r="H135" s="30"/>
      <c r="P135" s="70"/>
    </row>
    <row r="136" spans="1:16" s="2" customFormat="1" x14ac:dyDescent="0.2">
      <c r="A136" s="87">
        <v>45366</v>
      </c>
      <c r="B136" s="120" t="s">
        <v>6</v>
      </c>
      <c r="C136" s="75" t="s">
        <v>1789</v>
      </c>
      <c r="D136" s="88">
        <v>39309</v>
      </c>
      <c r="G136" s="30"/>
      <c r="H136" s="30"/>
      <c r="P136" s="70"/>
    </row>
    <row r="137" spans="1:16" s="2" customFormat="1" x14ac:dyDescent="0.2">
      <c r="A137" s="87">
        <v>45366</v>
      </c>
      <c r="B137" s="120" t="s">
        <v>6</v>
      </c>
      <c r="C137" s="75" t="s">
        <v>88</v>
      </c>
      <c r="D137" s="88">
        <v>30421</v>
      </c>
      <c r="G137" s="30"/>
      <c r="H137" s="30"/>
      <c r="P137" s="70"/>
    </row>
    <row r="138" spans="1:16" s="2" customFormat="1" x14ac:dyDescent="0.2">
      <c r="A138" s="87">
        <v>45366</v>
      </c>
      <c r="B138" s="120" t="s">
        <v>6</v>
      </c>
      <c r="C138" s="75" t="s">
        <v>270</v>
      </c>
      <c r="D138" s="88">
        <v>76786</v>
      </c>
      <c r="G138" s="30"/>
      <c r="H138" s="30"/>
      <c r="P138" s="70"/>
    </row>
    <row r="139" spans="1:16" s="2" customFormat="1" x14ac:dyDescent="0.2">
      <c r="A139" s="87">
        <v>45366</v>
      </c>
      <c r="B139" s="120" t="s">
        <v>6</v>
      </c>
      <c r="C139" s="75" t="s">
        <v>270</v>
      </c>
      <c r="D139" s="88">
        <v>30283.5</v>
      </c>
      <c r="G139" s="30"/>
      <c r="H139" s="30"/>
      <c r="P139" s="70"/>
    </row>
    <row r="140" spans="1:16" s="2" customFormat="1" x14ac:dyDescent="0.2">
      <c r="A140" s="87">
        <v>45367</v>
      </c>
      <c r="B140" s="120" t="s">
        <v>6</v>
      </c>
      <c r="C140" s="75" t="s">
        <v>594</v>
      </c>
      <c r="D140" s="88">
        <v>5010276</v>
      </c>
      <c r="G140" s="30"/>
      <c r="H140" s="30"/>
      <c r="P140" s="70"/>
    </row>
    <row r="141" spans="1:16" s="2" customFormat="1" x14ac:dyDescent="0.2">
      <c r="A141" s="87">
        <v>45369</v>
      </c>
      <c r="B141" s="120" t="s">
        <v>6</v>
      </c>
      <c r="C141" s="75" t="s">
        <v>86</v>
      </c>
      <c r="D141" s="88">
        <v>5267306</v>
      </c>
      <c r="G141" s="30"/>
      <c r="H141" s="30"/>
      <c r="P141" s="70"/>
    </row>
    <row r="142" spans="1:16" s="2" customFormat="1" x14ac:dyDescent="0.2">
      <c r="A142" s="87">
        <v>45371</v>
      </c>
      <c r="B142" s="120" t="s">
        <v>6</v>
      </c>
      <c r="C142" s="75" t="s">
        <v>1789</v>
      </c>
      <c r="D142" s="88">
        <v>7500000</v>
      </c>
      <c r="G142" s="30"/>
      <c r="H142" s="30"/>
      <c r="P142" s="70"/>
    </row>
    <row r="143" spans="1:16" s="2" customFormat="1" x14ac:dyDescent="0.2">
      <c r="A143" s="87">
        <v>45371</v>
      </c>
      <c r="B143" s="120" t="s">
        <v>6</v>
      </c>
      <c r="C143" s="75" t="s">
        <v>271</v>
      </c>
      <c r="D143" s="88">
        <v>1203166</v>
      </c>
      <c r="G143" s="30"/>
      <c r="H143" s="30"/>
      <c r="P143" s="70"/>
    </row>
    <row r="144" spans="1:16" s="2" customFormat="1" x14ac:dyDescent="0.2">
      <c r="A144" s="87">
        <v>45372</v>
      </c>
      <c r="B144" s="120" t="s">
        <v>6</v>
      </c>
      <c r="C144" s="75" t="s">
        <v>85</v>
      </c>
      <c r="D144" s="88">
        <v>408027</v>
      </c>
      <c r="G144" s="30"/>
      <c r="H144" s="30"/>
      <c r="P144" s="70"/>
    </row>
    <row r="145" spans="1:16" s="2" customFormat="1" x14ac:dyDescent="0.2">
      <c r="A145" s="87">
        <v>45373</v>
      </c>
      <c r="B145" s="120" t="s">
        <v>6</v>
      </c>
      <c r="C145" s="75" t="s">
        <v>84</v>
      </c>
      <c r="D145" s="88">
        <v>5000000</v>
      </c>
      <c r="G145" s="30"/>
      <c r="H145" s="30"/>
      <c r="P145" s="70"/>
    </row>
    <row r="146" spans="1:16" s="2" customFormat="1" x14ac:dyDescent="0.2">
      <c r="A146" s="87">
        <v>45373</v>
      </c>
      <c r="B146" s="120" t="s">
        <v>6</v>
      </c>
      <c r="C146" s="75" t="s">
        <v>270</v>
      </c>
      <c r="D146" s="88">
        <v>121900</v>
      </c>
      <c r="G146" s="30"/>
      <c r="H146" s="30"/>
      <c r="P146" s="70"/>
    </row>
    <row r="147" spans="1:16" s="2" customFormat="1" x14ac:dyDescent="0.2">
      <c r="A147" s="87">
        <v>45377</v>
      </c>
      <c r="B147" s="120" t="s">
        <v>6</v>
      </c>
      <c r="C147" s="75" t="s">
        <v>85</v>
      </c>
      <c r="D147" s="88">
        <v>132254</v>
      </c>
      <c r="G147" s="30"/>
      <c r="H147" s="30"/>
      <c r="P147" s="70"/>
    </row>
    <row r="148" spans="1:16" s="2" customFormat="1" x14ac:dyDescent="0.2">
      <c r="A148" s="87">
        <v>45377</v>
      </c>
      <c r="B148" s="120" t="s">
        <v>6</v>
      </c>
      <c r="C148" s="75" t="s">
        <v>201</v>
      </c>
      <c r="D148" s="88">
        <v>4334854</v>
      </c>
      <c r="G148" s="30"/>
      <c r="H148" s="30"/>
      <c r="P148" s="70"/>
    </row>
    <row r="149" spans="1:16" s="2" customFormat="1" x14ac:dyDescent="0.2">
      <c r="A149" s="87">
        <v>45377</v>
      </c>
      <c r="B149" s="120" t="s">
        <v>6</v>
      </c>
      <c r="C149" s="75" t="s">
        <v>1789</v>
      </c>
      <c r="D149" s="88">
        <v>1744249</v>
      </c>
      <c r="G149" s="30"/>
      <c r="H149" s="30"/>
      <c r="P149" s="70"/>
    </row>
    <row r="150" spans="1:16" s="2" customFormat="1" x14ac:dyDescent="0.2">
      <c r="A150" s="87">
        <v>45377</v>
      </c>
      <c r="B150" s="120" t="s">
        <v>6</v>
      </c>
      <c r="C150" s="75" t="s">
        <v>87</v>
      </c>
      <c r="D150" s="88">
        <v>2240377</v>
      </c>
      <c r="G150" s="30"/>
      <c r="H150" s="30"/>
      <c r="P150" s="70"/>
    </row>
    <row r="151" spans="1:16" s="2" customFormat="1" x14ac:dyDescent="0.2">
      <c r="A151" s="87">
        <v>45380</v>
      </c>
      <c r="B151" s="120" t="s">
        <v>6</v>
      </c>
      <c r="C151" s="75" t="s">
        <v>201</v>
      </c>
      <c r="D151" s="88">
        <v>11070092.4</v>
      </c>
      <c r="G151" s="30"/>
      <c r="H151" s="30"/>
      <c r="P151" s="70"/>
    </row>
    <row r="152" spans="1:16" s="2" customFormat="1" x14ac:dyDescent="0.2">
      <c r="A152" s="87">
        <v>45380</v>
      </c>
      <c r="B152" s="120" t="s">
        <v>6</v>
      </c>
      <c r="C152" s="75" t="s">
        <v>88</v>
      </c>
      <c r="D152" s="88">
        <v>6185915.5599999996</v>
      </c>
      <c r="G152" s="30"/>
      <c r="H152" s="30"/>
      <c r="P152" s="70"/>
    </row>
    <row r="153" spans="1:16" s="2" customFormat="1" x14ac:dyDescent="0.2">
      <c r="A153" s="87">
        <v>45381</v>
      </c>
      <c r="B153" s="120" t="s">
        <v>6</v>
      </c>
      <c r="C153" s="75" t="s">
        <v>270</v>
      </c>
      <c r="D153" s="88">
        <v>1362042</v>
      </c>
      <c r="G153" s="30"/>
      <c r="H153" s="30"/>
      <c r="P153" s="70"/>
    </row>
    <row r="154" spans="1:16" s="2" customFormat="1" x14ac:dyDescent="0.2">
      <c r="A154" s="87">
        <v>45381</v>
      </c>
      <c r="B154" s="120" t="s">
        <v>6</v>
      </c>
      <c r="C154" s="75" t="s">
        <v>1789</v>
      </c>
      <c r="D154" s="88">
        <v>6966761</v>
      </c>
      <c r="G154" s="30"/>
      <c r="H154" s="30"/>
      <c r="P154" s="70"/>
    </row>
    <row r="155" spans="1:16" s="2" customFormat="1" x14ac:dyDescent="0.2">
      <c r="A155" s="87">
        <v>45381</v>
      </c>
      <c r="B155" s="120" t="s">
        <v>6</v>
      </c>
      <c r="C155" s="75" t="s">
        <v>270</v>
      </c>
      <c r="D155" s="88">
        <v>110671</v>
      </c>
      <c r="G155" s="30"/>
      <c r="H155" s="30"/>
      <c r="P155" s="70"/>
    </row>
    <row r="156" spans="1:16" s="2" customFormat="1" x14ac:dyDescent="0.2">
      <c r="A156" s="87"/>
      <c r="B156" s="74"/>
      <c r="C156" s="183" t="s">
        <v>2141</v>
      </c>
      <c r="D156" s="51">
        <f>SUM(D110:D155)</f>
        <v>119874862.90000001</v>
      </c>
      <c r="F156" s="2" t="s">
        <v>396</v>
      </c>
      <c r="G156" s="1"/>
      <c r="H156" s="1"/>
      <c r="P156" s="70"/>
    </row>
    <row r="157" spans="1:16" s="2" customFormat="1" x14ac:dyDescent="0.2">
      <c r="A157" s="24"/>
      <c r="B157" s="1"/>
      <c r="C157" s="14"/>
      <c r="D157" s="56"/>
      <c r="E157" s="13"/>
      <c r="G157" s="1"/>
      <c r="H157" s="1"/>
      <c r="I157" s="2" t="s">
        <v>396</v>
      </c>
    </row>
    <row r="158" spans="1:16" s="2" customFormat="1" x14ac:dyDescent="0.2">
      <c r="A158" s="24"/>
      <c r="B158" s="1"/>
      <c r="C158" s="218" t="s">
        <v>77</v>
      </c>
      <c r="D158" s="219"/>
      <c r="E158" s="219"/>
      <c r="F158" s="220"/>
      <c r="I158" s="2" t="s">
        <v>396</v>
      </c>
    </row>
    <row r="159" spans="1:16" s="2" customFormat="1" x14ac:dyDescent="0.2">
      <c r="A159" s="24"/>
      <c r="B159" s="1"/>
      <c r="C159" s="50"/>
      <c r="D159" s="57" t="s">
        <v>78</v>
      </c>
      <c r="E159" s="58" t="s">
        <v>79</v>
      </c>
      <c r="F159" s="57" t="s">
        <v>72</v>
      </c>
    </row>
    <row r="160" spans="1:16" s="2" customFormat="1" x14ac:dyDescent="0.2">
      <c r="A160" s="24"/>
      <c r="B160" s="1"/>
      <c r="C160" s="59" t="str">
        <f>"01-03-2024 to "&amp;TEXT(A5-2,"dd-mm-yyyy")</f>
        <v>01-03-2024 to 28-03-2024</v>
      </c>
      <c r="D160" s="60">
        <v>4343.6499999999996</v>
      </c>
      <c r="E160" s="60">
        <v>582.48</v>
      </c>
      <c r="F160" s="61">
        <f>SUM(D160:E160)</f>
        <v>4926.1299999999992</v>
      </c>
      <c r="I160" s="53"/>
    </row>
    <row r="161" spans="1:19" s="2" customFormat="1" x14ac:dyDescent="0.2">
      <c r="A161" s="24"/>
      <c r="B161" s="1"/>
      <c r="C161" s="62" t="str">
        <f>TEXT(A5-1,"dd-mm-yyyy")</f>
        <v>29-03-2024</v>
      </c>
      <c r="D161" s="60">
        <v>210.51</v>
      </c>
      <c r="E161" s="60">
        <v>12.81</v>
      </c>
      <c r="F161" s="61">
        <f>SUM(D161:E161)</f>
        <v>223.32</v>
      </c>
      <c r="G161" s="1"/>
      <c r="H161" s="1"/>
      <c r="I161" s="53"/>
    </row>
    <row r="162" spans="1:19" s="2" customFormat="1" ht="13.5" thickBot="1" x14ac:dyDescent="0.25">
      <c r="A162" s="24"/>
      <c r="B162" s="1"/>
      <c r="C162" s="63" t="str">
        <f>"01-03-2024 to "&amp;TEXT(A5-1,"dd-mm-yyyy")</f>
        <v>01-03-2024 to 29-03-2024</v>
      </c>
      <c r="D162" s="64">
        <f>SUM(D160:D161)</f>
        <v>4554.16</v>
      </c>
      <c r="E162" s="64">
        <f>SUM(E160:E161)</f>
        <v>595.29</v>
      </c>
      <c r="F162" s="64">
        <f>SUM(F160:F161)</f>
        <v>5149.4499999999989</v>
      </c>
      <c r="G162" s="1"/>
      <c r="H162" s="1"/>
      <c r="M162" s="1"/>
      <c r="N162" s="1"/>
    </row>
    <row r="163" spans="1:19" s="2" customFormat="1" ht="13.5" thickTop="1" x14ac:dyDescent="0.2">
      <c r="A163" s="24"/>
      <c r="B163" s="1"/>
      <c r="C163" s="62"/>
      <c r="D163" s="65"/>
      <c r="E163" s="66"/>
      <c r="F163" s="67"/>
      <c r="M163" s="1"/>
      <c r="N163" s="1"/>
    </row>
    <row r="164" spans="1:19" s="2" customFormat="1" x14ac:dyDescent="0.2">
      <c r="A164" s="24"/>
      <c r="B164" s="1"/>
      <c r="C164" s="62" t="str">
        <f>"01-04-2023 to " &amp;C161</f>
        <v>01-04-2023 to 29-03-2024</v>
      </c>
      <c r="D164" s="68">
        <f>+D162+41127.88</f>
        <v>45682.039999999994</v>
      </c>
      <c r="E164" s="68">
        <f>+E162+5179.64</f>
        <v>5774.93</v>
      </c>
      <c r="F164" s="68">
        <f>+F162+46316.49</f>
        <v>51465.939999999995</v>
      </c>
      <c r="G164" s="1"/>
      <c r="H164" s="1"/>
      <c r="M164" s="1"/>
      <c r="N164" s="1"/>
    </row>
    <row r="165" spans="1:19" s="2" customFormat="1" x14ac:dyDescent="0.2">
      <c r="A165" s="24"/>
      <c r="B165" s="1"/>
      <c r="C165" s="52"/>
      <c r="D165" s="85"/>
      <c r="E165" s="53"/>
      <c r="F165" s="53"/>
      <c r="G165" s="1"/>
      <c r="H165" s="1"/>
      <c r="M165" s="1"/>
      <c r="N165" s="1"/>
    </row>
    <row r="166" spans="1:19" s="2" customFormat="1" x14ac:dyDescent="0.2">
      <c r="A166" s="24"/>
      <c r="B166" s="1"/>
      <c r="C166" s="52"/>
      <c r="D166" s="85"/>
      <c r="E166" s="53"/>
      <c r="F166" s="53"/>
      <c r="G166" s="1"/>
      <c r="H166" s="1"/>
      <c r="M166" s="1"/>
      <c r="N166" s="1"/>
    </row>
    <row r="167" spans="1:19" s="2" customFormat="1" x14ac:dyDescent="0.2">
      <c r="A167" s="24"/>
      <c r="B167" s="1"/>
      <c r="C167" s="52"/>
      <c r="D167" s="85"/>
      <c r="E167" s="53"/>
      <c r="F167" s="53"/>
      <c r="G167" s="1"/>
      <c r="H167" s="1"/>
      <c r="M167" s="1"/>
      <c r="N167" s="1"/>
    </row>
    <row r="168" spans="1:19" s="2" customFormat="1" x14ac:dyDescent="0.2">
      <c r="A168" s="24"/>
      <c r="B168" s="1"/>
      <c r="C168" s="52"/>
      <c r="D168" s="85"/>
      <c r="E168" s="53"/>
      <c r="F168" s="53"/>
      <c r="G168" s="1"/>
      <c r="H168" s="1"/>
      <c r="M168" s="1"/>
      <c r="N168" s="1"/>
    </row>
    <row r="169" spans="1:19" s="2" customFormat="1" x14ac:dyDescent="0.2">
      <c r="A169" s="24"/>
      <c r="B169" s="1"/>
      <c r="C169" s="14"/>
      <c r="D169" s="25">
        <f>SUM(D166:D168)</f>
        <v>0</v>
      </c>
      <c r="E169" s="2">
        <f>SUM(E166:E168)</f>
        <v>0</v>
      </c>
      <c r="G169" s="1"/>
      <c r="H169" s="1"/>
      <c r="M169" s="1"/>
      <c r="N169" s="1"/>
    </row>
    <row r="170" spans="1:19" s="2" customFormat="1" x14ac:dyDescent="0.2">
      <c r="A170" s="24"/>
      <c r="B170" s="1"/>
      <c r="C170" s="14"/>
      <c r="D170" s="25"/>
      <c r="G170" s="1"/>
      <c r="H170" s="1"/>
      <c r="M170" s="1"/>
      <c r="N170" s="1"/>
    </row>
    <row r="171" spans="1:19" s="2" customFormat="1" x14ac:dyDescent="0.2">
      <c r="A171" s="24"/>
      <c r="B171" s="1"/>
      <c r="C171" s="14"/>
      <c r="D171" s="25"/>
      <c r="G171" s="1"/>
      <c r="H171" s="1"/>
      <c r="M171" s="1"/>
      <c r="N171" s="1"/>
    </row>
    <row r="172" spans="1:19" s="2" customFormat="1" x14ac:dyDescent="0.2">
      <c r="A172" s="24"/>
      <c r="B172" s="1"/>
      <c r="C172" s="14"/>
      <c r="D172" s="25"/>
      <c r="G172" s="1"/>
      <c r="H172" s="1"/>
      <c r="M172" s="1"/>
      <c r="N172" s="1"/>
    </row>
    <row r="173" spans="1:19" s="2" customFormat="1" x14ac:dyDescent="0.2">
      <c r="A173" s="24"/>
      <c r="B173" s="1"/>
      <c r="C173" s="14"/>
      <c r="D173" s="25"/>
      <c r="G173" s="1"/>
      <c r="H173" s="1"/>
      <c r="M173" s="1"/>
      <c r="N173" s="1"/>
    </row>
    <row r="174" spans="1:19" s="2" customFormat="1" x14ac:dyDescent="0.2">
      <c r="A174" s="24"/>
      <c r="B174" s="1"/>
      <c r="C174" s="14"/>
      <c r="D174" s="25"/>
      <c r="G174" s="1"/>
      <c r="H174" s="1"/>
      <c r="M174" s="1"/>
      <c r="N174" s="1"/>
    </row>
    <row r="175" spans="1:19" s="2" customFormat="1" x14ac:dyDescent="0.2">
      <c r="A175" s="24"/>
      <c r="B175" s="1"/>
      <c r="C175" s="14"/>
      <c r="D175" s="25"/>
      <c r="G175" s="1"/>
      <c r="H175" s="1"/>
      <c r="M175" s="1"/>
      <c r="N175" s="1"/>
    </row>
    <row r="176" spans="1:19" s="2" customFormat="1" x14ac:dyDescent="0.2">
      <c r="A176" s="24"/>
      <c r="B176" s="1"/>
      <c r="C176" s="14"/>
      <c r="D176" s="25"/>
      <c r="G176" s="1"/>
      <c r="H176" s="1"/>
      <c r="M176" s="1"/>
      <c r="N176" s="1"/>
      <c r="Q176" s="1"/>
      <c r="R176" s="1"/>
      <c r="S176" s="1"/>
    </row>
    <row r="177" spans="1:19" x14ac:dyDescent="0.2">
      <c r="J177" s="2"/>
      <c r="K177" s="2"/>
      <c r="L177" s="2"/>
      <c r="O177" s="2"/>
      <c r="P177" s="2"/>
      <c r="Q177" s="2"/>
      <c r="R177" s="2"/>
      <c r="S177" s="2"/>
    </row>
    <row r="178" spans="1:19" s="2" customFormat="1" x14ac:dyDescent="0.2">
      <c r="A178" s="24"/>
      <c r="B178" s="1"/>
      <c r="C178" s="14"/>
      <c r="D178" s="25"/>
      <c r="G178" s="1"/>
      <c r="H178" s="1"/>
      <c r="M178" s="1"/>
      <c r="N178" s="1"/>
      <c r="Q178" s="1"/>
      <c r="R178" s="1"/>
      <c r="S178" s="1"/>
    </row>
    <row r="179" spans="1:19" x14ac:dyDescent="0.2">
      <c r="J179" s="2"/>
      <c r="K179" s="2"/>
      <c r="L179" s="2"/>
      <c r="O179" s="2"/>
      <c r="P179" s="2"/>
    </row>
    <row r="180" spans="1:19" x14ac:dyDescent="0.2">
      <c r="J180" s="2"/>
      <c r="K180" s="2"/>
      <c r="L180" s="2"/>
      <c r="O180" s="2"/>
      <c r="P180" s="2"/>
    </row>
    <row r="181" spans="1:19" x14ac:dyDescent="0.2">
      <c r="J181" s="2"/>
      <c r="K181" s="2"/>
      <c r="L181" s="2"/>
      <c r="O181" s="2"/>
      <c r="P181" s="2"/>
    </row>
    <row r="182" spans="1:19" x14ac:dyDescent="0.2">
      <c r="J182" s="2"/>
      <c r="K182" s="2"/>
      <c r="L182" s="2"/>
      <c r="O182" s="2"/>
      <c r="P182" s="2"/>
    </row>
    <row r="183" spans="1:19" x14ac:dyDescent="0.2">
      <c r="O183" s="2"/>
      <c r="P183" s="2"/>
    </row>
    <row r="184" spans="1:19" x14ac:dyDescent="0.2">
      <c r="J184" s="2"/>
      <c r="K184" s="2"/>
      <c r="L184" s="2"/>
      <c r="M184" s="2"/>
      <c r="N184" s="2"/>
      <c r="O184" s="2"/>
      <c r="P184" s="2"/>
    </row>
    <row r="185" spans="1:19" x14ac:dyDescent="0.2">
      <c r="O185" s="2"/>
      <c r="P185" s="2"/>
    </row>
    <row r="186" spans="1:19" x14ac:dyDescent="0.2">
      <c r="G186" s="54"/>
      <c r="H186" s="54"/>
      <c r="O186" s="2"/>
      <c r="P186" s="2"/>
    </row>
    <row r="187" spans="1:19" x14ac:dyDescent="0.2">
      <c r="G187" s="54"/>
      <c r="H187" s="54"/>
      <c r="O187" s="2"/>
      <c r="P187" s="2"/>
    </row>
    <row r="188" spans="1:19" x14ac:dyDescent="0.2">
      <c r="G188" s="54"/>
      <c r="H188" s="54"/>
      <c r="O188" s="2"/>
      <c r="P188" s="2"/>
    </row>
    <row r="189" spans="1:19" x14ac:dyDescent="0.2">
      <c r="G189" s="54"/>
      <c r="H189" s="54"/>
      <c r="I189" s="2" t="s">
        <v>396</v>
      </c>
      <c r="O189" s="2"/>
      <c r="P189" s="2"/>
    </row>
    <row r="190" spans="1:19" x14ac:dyDescent="0.2">
      <c r="G190" s="54"/>
      <c r="H190" s="54"/>
      <c r="I190" s="53"/>
      <c r="J190" s="2"/>
      <c r="K190" s="2"/>
      <c r="L190" s="2"/>
      <c r="M190" s="2"/>
      <c r="N190" s="2"/>
      <c r="P190" s="2"/>
    </row>
    <row r="191" spans="1:19" x14ac:dyDescent="0.2">
      <c r="G191" s="54"/>
      <c r="H191" s="54"/>
      <c r="I191" s="53" t="s">
        <v>396</v>
      </c>
      <c r="O191" s="2"/>
      <c r="P191" s="2"/>
    </row>
    <row r="192" spans="1:19" x14ac:dyDescent="0.2">
      <c r="G192" s="54"/>
      <c r="H192" s="54"/>
      <c r="I192" s="53" t="s">
        <v>396</v>
      </c>
      <c r="K192" s="42"/>
      <c r="P192" s="2"/>
    </row>
    <row r="193" spans="7:16" x14ac:dyDescent="0.2">
      <c r="G193" s="54"/>
      <c r="H193" s="54"/>
      <c r="I193" s="53"/>
      <c r="J193" s="101"/>
      <c r="P193" s="2"/>
    </row>
    <row r="194" spans="7:16" x14ac:dyDescent="0.2">
      <c r="G194" s="54"/>
      <c r="H194" s="54"/>
      <c r="I194" s="53"/>
    </row>
    <row r="195" spans="7:16" x14ac:dyDescent="0.2">
      <c r="G195" s="54"/>
      <c r="H195" s="54"/>
      <c r="I195" s="53"/>
      <c r="P195" s="2"/>
    </row>
    <row r="196" spans="7:16" x14ac:dyDescent="0.2">
      <c r="G196" s="54"/>
      <c r="H196" s="54"/>
      <c r="I196" s="53"/>
    </row>
  </sheetData>
  <sheetProtection insertRows="0"/>
  <mergeCells count="8">
    <mergeCell ref="K101:L101"/>
    <mergeCell ref="A108:D108"/>
    <mergeCell ref="C158:F158"/>
    <mergeCell ref="A1:H1"/>
    <mergeCell ref="A3:F3"/>
    <mergeCell ref="A9:F9"/>
    <mergeCell ref="A19:F19"/>
    <mergeCell ref="A50:F50"/>
  </mergeCells>
  <conditionalFormatting sqref="H105:H106">
    <cfRule type="cellIs" dxfId="3" priority="1" operator="lessThan">
      <formula>0</formula>
    </cfRule>
  </conditionalFormatting>
  <conditionalFormatting sqref="C52">
    <cfRule type="duplicateValues" dxfId="2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1-000000000000}">
  <sheetPr codeName="Sheet585">
    <pageSetUpPr fitToPage="1"/>
  </sheetPr>
  <dimension ref="A1:S189"/>
  <sheetViews>
    <sheetView tabSelected="1" topLeftCell="A85" zoomScaleNormal="100" workbookViewId="0">
      <selection activeCell="G91" sqref="G91"/>
    </sheetView>
  </sheetViews>
  <sheetFormatPr defaultColWidth="9.140625" defaultRowHeight="12.75" x14ac:dyDescent="0.2"/>
  <cols>
    <col min="1" max="1" width="10.28515625" style="24" bestFit="1" customWidth="1"/>
    <col min="2" max="2" width="4.28515625" style="1" customWidth="1"/>
    <col min="3" max="3" width="50.5703125" style="14" bestFit="1" customWidth="1"/>
    <col min="4" max="4" width="21.7109375" style="25" bestFit="1" customWidth="1"/>
    <col min="5" max="5" width="16.28515625" style="2" bestFit="1" customWidth="1"/>
    <col min="6" max="6" width="15.28515625" style="2" bestFit="1" customWidth="1"/>
    <col min="7" max="7" width="13" style="1" bestFit="1" customWidth="1"/>
    <col min="8" max="8" width="12.85546875" style="1" customWidth="1"/>
    <col min="9" max="9" width="25" style="2" bestFit="1" customWidth="1"/>
    <col min="10" max="10" width="21.7109375" style="1" bestFit="1" customWidth="1"/>
    <col min="11" max="11" width="17" style="1" bestFit="1" customWidth="1"/>
    <col min="12" max="12" width="19.7109375" style="1" bestFit="1" customWidth="1"/>
    <col min="13" max="13" width="13.7109375" style="1" bestFit="1" customWidth="1"/>
    <col min="14" max="14" width="17.5703125" style="1" bestFit="1" customWidth="1"/>
    <col min="15" max="15" width="14.7109375" style="1" bestFit="1" customWidth="1"/>
    <col min="16" max="16" width="14.5703125" style="1" bestFit="1" customWidth="1"/>
    <col min="17" max="17" width="9.140625" style="1"/>
    <col min="18" max="18" width="15.5703125" style="1" bestFit="1" customWidth="1"/>
    <col min="19" max="16384" width="9.140625" style="1"/>
  </cols>
  <sheetData>
    <row r="1" spans="1:11" ht="20.25" customHeight="1" x14ac:dyDescent="0.4">
      <c r="A1" s="212" t="s">
        <v>2292</v>
      </c>
      <c r="B1" s="212"/>
      <c r="C1" s="212"/>
      <c r="D1" s="212"/>
      <c r="E1" s="212"/>
      <c r="F1" s="212"/>
      <c r="G1" s="212"/>
      <c r="H1" s="212"/>
      <c r="I1" s="112"/>
      <c r="J1" s="112"/>
    </row>
    <row r="2" spans="1:11" ht="12.75" customHeight="1" x14ac:dyDescent="0.4">
      <c r="I2" s="112"/>
      <c r="J2" s="112"/>
    </row>
    <row r="3" spans="1:11" ht="18" customHeight="1" x14ac:dyDescent="0.4">
      <c r="A3" s="213" t="s">
        <v>0</v>
      </c>
      <c r="B3" s="213"/>
      <c r="C3" s="213"/>
      <c r="D3" s="213"/>
      <c r="E3" s="213"/>
      <c r="F3" s="213"/>
      <c r="I3" s="112"/>
      <c r="J3" s="112"/>
    </row>
    <row r="4" spans="1:11" ht="12.75" customHeight="1" x14ac:dyDescent="0.4">
      <c r="A4" s="3" t="s">
        <v>1</v>
      </c>
      <c r="B4" s="4" t="s">
        <v>2</v>
      </c>
      <c r="C4" s="5"/>
      <c r="D4" s="6" t="s">
        <v>3</v>
      </c>
      <c r="E4" s="7" t="s">
        <v>4</v>
      </c>
      <c r="F4" s="7" t="s">
        <v>5</v>
      </c>
      <c r="I4" s="112"/>
      <c r="J4" s="112"/>
    </row>
    <row r="5" spans="1:11" s="13" customFormat="1" ht="14.25" customHeight="1" x14ac:dyDescent="0.4">
      <c r="A5" s="97">
        <v>45383</v>
      </c>
      <c r="B5" s="98" t="s">
        <v>6</v>
      </c>
      <c r="C5" s="121" t="s">
        <v>7</v>
      </c>
      <c r="D5" s="122"/>
      <c r="E5" s="38">
        <v>98838.02</v>
      </c>
      <c r="F5" s="38"/>
      <c r="G5" s="23"/>
      <c r="H5" s="23"/>
      <c r="I5" s="123"/>
      <c r="J5" s="123"/>
    </row>
    <row r="6" spans="1:11" s="2" customFormat="1" ht="12.75" customHeight="1" x14ac:dyDescent="0.2">
      <c r="D6" s="15" t="s">
        <v>8</v>
      </c>
      <c r="E6" s="16">
        <f>SUM(E5:E5)</f>
        <v>98838.02</v>
      </c>
      <c r="F6" s="16">
        <f>+F5</f>
        <v>0</v>
      </c>
      <c r="G6" s="1"/>
      <c r="H6" s="1"/>
      <c r="I6" s="13" t="s">
        <v>1582</v>
      </c>
      <c r="J6" s="13" t="s">
        <v>1583</v>
      </c>
    </row>
    <row r="7" spans="1:11" s="2" customFormat="1" ht="12.75" customHeight="1" x14ac:dyDescent="0.2">
      <c r="A7" s="17"/>
      <c r="B7" s="18"/>
      <c r="C7" s="19" t="s">
        <v>9</v>
      </c>
      <c r="D7" s="20"/>
      <c r="E7" s="21">
        <f>+E6-F6</f>
        <v>98838.02</v>
      </c>
      <c r="F7" s="22"/>
      <c r="G7" s="23"/>
      <c r="H7" s="23"/>
      <c r="I7" s="2">
        <v>1085851.28</v>
      </c>
      <c r="J7" s="2">
        <v>0</v>
      </c>
      <c r="K7" s="176">
        <f>I7-J7</f>
        <v>1085851.28</v>
      </c>
    </row>
    <row r="8" spans="1:11" ht="11.25" customHeight="1" x14ac:dyDescent="0.4">
      <c r="I8" s="112"/>
      <c r="J8" s="112"/>
    </row>
    <row r="9" spans="1:11" ht="18" customHeight="1" x14ac:dyDescent="0.4">
      <c r="A9" s="213" t="s">
        <v>2103</v>
      </c>
      <c r="B9" s="213"/>
      <c r="C9" s="213"/>
      <c r="D9" s="213"/>
      <c r="E9" s="213"/>
      <c r="F9" s="213"/>
      <c r="I9" s="112"/>
      <c r="J9" s="112"/>
    </row>
    <row r="10" spans="1:11" ht="12.75" customHeight="1" x14ac:dyDescent="0.4">
      <c r="A10" s="3" t="s">
        <v>1</v>
      </c>
      <c r="B10" s="4" t="s">
        <v>2</v>
      </c>
      <c r="C10" s="5"/>
      <c r="D10" s="6" t="s">
        <v>3</v>
      </c>
      <c r="E10" s="7" t="s">
        <v>4</v>
      </c>
      <c r="F10" s="7" t="s">
        <v>5</v>
      </c>
      <c r="I10" s="112"/>
      <c r="J10" s="112"/>
    </row>
    <row r="11" spans="1:11" ht="15" customHeight="1" x14ac:dyDescent="0.4">
      <c r="A11" s="204">
        <v>45383</v>
      </c>
      <c r="B11" s="205" t="s">
        <v>6</v>
      </c>
      <c r="C11" s="206" t="s">
        <v>7</v>
      </c>
      <c r="D11" s="122"/>
      <c r="E11" s="203">
        <v>1243815.5900000001</v>
      </c>
      <c r="F11" s="200"/>
      <c r="I11" s="112"/>
      <c r="J11" s="112"/>
    </row>
    <row r="12" spans="1:11" ht="15" customHeight="1" x14ac:dyDescent="0.4">
      <c r="A12" s="8">
        <v>45383</v>
      </c>
      <c r="B12" s="199" t="s">
        <v>6</v>
      </c>
      <c r="C12" s="76" t="s">
        <v>2135</v>
      </c>
      <c r="D12" s="210" t="s">
        <v>2299</v>
      </c>
      <c r="E12" s="209">
        <v>8138</v>
      </c>
      <c r="F12" s="200"/>
      <c r="I12" s="112"/>
      <c r="J12" s="112"/>
    </row>
    <row r="13" spans="1:11" ht="15" customHeight="1" x14ac:dyDescent="0.4">
      <c r="A13" s="8">
        <v>45383</v>
      </c>
      <c r="B13" s="199" t="s">
        <v>6</v>
      </c>
      <c r="C13" s="76" t="s">
        <v>2135</v>
      </c>
      <c r="D13" s="210" t="s">
        <v>2299</v>
      </c>
      <c r="E13" s="209">
        <v>8348</v>
      </c>
      <c r="F13" s="200"/>
      <c r="I13" s="112"/>
      <c r="J13" s="112"/>
    </row>
    <row r="14" spans="1:11" ht="15" customHeight="1" x14ac:dyDescent="0.4">
      <c r="A14" s="8">
        <v>45383</v>
      </c>
      <c r="B14" s="199" t="s">
        <v>6</v>
      </c>
      <c r="C14" s="76" t="s">
        <v>2293</v>
      </c>
      <c r="D14" s="210" t="s">
        <v>2299</v>
      </c>
      <c r="E14" s="209">
        <v>3006042</v>
      </c>
      <c r="F14" s="200"/>
      <c r="I14" s="112"/>
      <c r="J14" s="112"/>
    </row>
    <row r="15" spans="1:11" ht="15" customHeight="1" x14ac:dyDescent="0.4">
      <c r="A15" s="8">
        <v>45383</v>
      </c>
      <c r="B15" s="199" t="s">
        <v>6</v>
      </c>
      <c r="C15" s="76" t="s">
        <v>105</v>
      </c>
      <c r="D15" s="210" t="s">
        <v>2299</v>
      </c>
      <c r="E15" s="209">
        <v>996014.25</v>
      </c>
      <c r="F15" s="209"/>
      <c r="I15" s="112"/>
      <c r="J15" s="112"/>
    </row>
    <row r="16" spans="1:11" ht="15" customHeight="1" x14ac:dyDescent="0.4">
      <c r="A16" s="8">
        <v>45383</v>
      </c>
      <c r="B16" s="199" t="s">
        <v>6</v>
      </c>
      <c r="C16" s="76" t="s">
        <v>105</v>
      </c>
      <c r="D16" s="210" t="s">
        <v>2299</v>
      </c>
      <c r="E16" s="209">
        <v>224435</v>
      </c>
      <c r="F16" s="209"/>
      <c r="I16" s="112"/>
      <c r="J16" s="112"/>
    </row>
    <row r="17" spans="1:12" ht="15.75" customHeight="1" x14ac:dyDescent="0.4">
      <c r="A17" s="8">
        <v>45383</v>
      </c>
      <c r="B17" s="199" t="s">
        <v>6</v>
      </c>
      <c r="C17" s="76" t="s">
        <v>105</v>
      </c>
      <c r="D17" s="210" t="s">
        <v>2299</v>
      </c>
      <c r="E17" s="209">
        <v>223684</v>
      </c>
      <c r="F17" s="209"/>
      <c r="I17" s="112"/>
      <c r="J17" s="112"/>
    </row>
    <row r="18" spans="1:12" ht="15.75" customHeight="1" x14ac:dyDescent="0.4">
      <c r="A18" s="8">
        <v>45383</v>
      </c>
      <c r="B18" s="199" t="s">
        <v>6</v>
      </c>
      <c r="C18" s="76" t="s">
        <v>1170</v>
      </c>
      <c r="D18" s="210" t="s">
        <v>2299</v>
      </c>
      <c r="E18" s="209">
        <v>6000000</v>
      </c>
      <c r="F18" s="209"/>
      <c r="I18" s="112"/>
      <c r="J18" s="112"/>
    </row>
    <row r="19" spans="1:12" ht="12.75" customHeight="1" x14ac:dyDescent="0.2">
      <c r="A19" s="2"/>
      <c r="B19" s="2"/>
      <c r="C19" s="2"/>
      <c r="D19" s="11" t="s">
        <v>8</v>
      </c>
      <c r="E19" s="16">
        <f>SUM(E11:E18)</f>
        <v>11710476.84</v>
      </c>
      <c r="F19" s="16">
        <f>SUM(F15:F17)</f>
        <v>0</v>
      </c>
      <c r="I19" s="13" t="s">
        <v>1582</v>
      </c>
      <c r="J19" s="13" t="s">
        <v>1583</v>
      </c>
    </row>
    <row r="20" spans="1:12" x14ac:dyDescent="0.2">
      <c r="A20" s="17"/>
      <c r="B20" s="18"/>
      <c r="C20" s="19" t="s">
        <v>9</v>
      </c>
      <c r="D20" s="20"/>
      <c r="E20" s="21">
        <f>+E19-F19</f>
        <v>11710476.84</v>
      </c>
      <c r="I20" s="2">
        <v>0</v>
      </c>
      <c r="J20" s="2">
        <v>0</v>
      </c>
    </row>
    <row r="21" spans="1:12" ht="18" customHeight="1" x14ac:dyDescent="0.25">
      <c r="A21" s="36"/>
      <c r="B21" s="28"/>
      <c r="C21" s="44"/>
      <c r="D21" s="43"/>
      <c r="E21" s="38"/>
      <c r="F21" s="22"/>
      <c r="J21" s="2"/>
    </row>
    <row r="22" spans="1:12" ht="18" customHeight="1" x14ac:dyDescent="0.4">
      <c r="A22" s="213" t="s">
        <v>2104</v>
      </c>
      <c r="B22" s="213"/>
      <c r="C22" s="213"/>
      <c r="D22" s="213"/>
      <c r="E22" s="213"/>
      <c r="F22" s="213"/>
      <c r="I22" s="112"/>
      <c r="J22" s="169">
        <f>90000000-60000000</f>
        <v>30000000</v>
      </c>
      <c r="K22" s="169" t="s">
        <v>1508</v>
      </c>
    </row>
    <row r="23" spans="1:12" ht="12.75" customHeight="1" x14ac:dyDescent="0.4">
      <c r="A23" s="3" t="s">
        <v>1</v>
      </c>
      <c r="B23" s="4" t="s">
        <v>2</v>
      </c>
      <c r="C23" s="5"/>
      <c r="D23" s="6" t="s">
        <v>3</v>
      </c>
      <c r="E23" s="7" t="s">
        <v>4</v>
      </c>
      <c r="F23" s="7" t="s">
        <v>5</v>
      </c>
      <c r="I23" s="112"/>
      <c r="J23" s="169">
        <v>26196213.489999998</v>
      </c>
      <c r="K23" s="169" t="s">
        <v>1509</v>
      </c>
      <c r="L23" s="124"/>
    </row>
    <row r="24" spans="1:12" s="2" customFormat="1" ht="14.25" customHeight="1" x14ac:dyDescent="0.2">
      <c r="A24" s="131">
        <v>45383</v>
      </c>
      <c r="B24" s="98" t="s">
        <v>6</v>
      </c>
      <c r="C24" s="121" t="s">
        <v>7</v>
      </c>
      <c r="D24" s="122"/>
      <c r="E24" s="13"/>
      <c r="F24" s="38">
        <v>25350961.18</v>
      </c>
      <c r="G24" s="1"/>
      <c r="H24" s="1"/>
      <c r="I24" s="130" t="s">
        <v>396</v>
      </c>
      <c r="J24" s="169">
        <f>+J22-J23</f>
        <v>3803786.5100000016</v>
      </c>
      <c r="K24" s="169" t="s">
        <v>712</v>
      </c>
      <c r="L24" s="165" t="s">
        <v>1512</v>
      </c>
    </row>
    <row r="25" spans="1:12" s="2" customFormat="1" ht="14.25" customHeight="1" x14ac:dyDescent="0.2">
      <c r="A25" s="8">
        <v>45383</v>
      </c>
      <c r="B25" s="9" t="s">
        <v>11</v>
      </c>
      <c r="C25" s="76" t="s">
        <v>1210</v>
      </c>
      <c r="D25" s="210" t="s">
        <v>2298</v>
      </c>
      <c r="E25" s="31"/>
      <c r="F25" s="31">
        <v>32400</v>
      </c>
      <c r="G25" s="1"/>
      <c r="H25" s="1"/>
      <c r="I25" s="130"/>
      <c r="J25" s="169"/>
      <c r="K25" s="169"/>
      <c r="L25" s="165"/>
    </row>
    <row r="26" spans="1:12" s="2" customFormat="1" ht="14.25" customHeight="1" x14ac:dyDescent="0.2">
      <c r="A26" s="8">
        <v>45383</v>
      </c>
      <c r="B26" s="9" t="s">
        <v>11</v>
      </c>
      <c r="C26" s="210" t="s">
        <v>1091</v>
      </c>
      <c r="D26" s="210" t="s">
        <v>2298</v>
      </c>
      <c r="E26" s="31"/>
      <c r="F26" s="31">
        <v>17700</v>
      </c>
      <c r="G26" s="1"/>
      <c r="H26" s="1"/>
      <c r="I26" s="130"/>
      <c r="J26" s="169"/>
      <c r="K26" s="169"/>
      <c r="L26" s="165"/>
    </row>
    <row r="27" spans="1:12" s="2" customFormat="1" ht="14.25" customHeight="1" x14ac:dyDescent="0.2">
      <c r="A27" s="8">
        <v>45383</v>
      </c>
      <c r="B27" s="9" t="s">
        <v>11</v>
      </c>
      <c r="C27" s="76" t="s">
        <v>1681</v>
      </c>
      <c r="D27" s="210" t="s">
        <v>2298</v>
      </c>
      <c r="E27" s="31"/>
      <c r="F27" s="209">
        <v>226767</v>
      </c>
      <c r="G27" s="1"/>
      <c r="H27" s="1"/>
      <c r="I27" s="130"/>
      <c r="J27" s="169"/>
      <c r="K27" s="169"/>
      <c r="L27" s="165"/>
    </row>
    <row r="28" spans="1:12" s="2" customFormat="1" ht="14.25" customHeight="1" x14ac:dyDescent="0.2">
      <c r="A28" s="8">
        <v>45383</v>
      </c>
      <c r="B28" s="9" t="s">
        <v>11</v>
      </c>
      <c r="C28" s="76" t="s">
        <v>1681</v>
      </c>
      <c r="D28" s="210" t="s">
        <v>2298</v>
      </c>
      <c r="E28" s="31"/>
      <c r="F28" s="209">
        <v>453534</v>
      </c>
      <c r="G28" s="1"/>
      <c r="H28" s="1"/>
      <c r="I28" s="130"/>
      <c r="J28" s="169"/>
      <c r="K28" s="169"/>
      <c r="L28" s="165"/>
    </row>
    <row r="29" spans="1:12" s="2" customFormat="1" ht="14.25" customHeight="1" x14ac:dyDescent="0.2">
      <c r="A29" s="8">
        <v>45383</v>
      </c>
      <c r="B29" s="9" t="s">
        <v>11</v>
      </c>
      <c r="C29" s="76" t="s">
        <v>102</v>
      </c>
      <c r="D29" s="210" t="s">
        <v>2298</v>
      </c>
      <c r="E29" s="31"/>
      <c r="F29" s="209">
        <v>114851.31</v>
      </c>
      <c r="G29" s="1"/>
      <c r="H29" s="1"/>
      <c r="I29" s="130"/>
      <c r="J29" s="169"/>
      <c r="K29" s="169"/>
      <c r="L29" s="165"/>
    </row>
    <row r="30" spans="1:12" s="2" customFormat="1" ht="14.25" customHeight="1" x14ac:dyDescent="0.4">
      <c r="A30" s="89"/>
      <c r="D30" s="11" t="s">
        <v>8</v>
      </c>
      <c r="E30" s="16">
        <f>SUM(E25:E29)</f>
        <v>0</v>
      </c>
      <c r="F30" s="16">
        <f>SUM(F24:F29)</f>
        <v>26196213.489999998</v>
      </c>
      <c r="G30" s="1"/>
      <c r="H30" s="1"/>
      <c r="J30" s="112"/>
      <c r="K30" s="153" t="s">
        <v>779</v>
      </c>
    </row>
    <row r="31" spans="1:12" s="2" customFormat="1" ht="14.25" customHeight="1" x14ac:dyDescent="0.2">
      <c r="A31" s="17"/>
      <c r="B31" s="18"/>
      <c r="C31" s="96" t="s">
        <v>9</v>
      </c>
      <c r="D31" s="20"/>
      <c r="E31" s="21">
        <f>+F30-E30</f>
        <v>26196213.489999998</v>
      </c>
      <c r="G31" s="1"/>
      <c r="H31" s="1"/>
      <c r="J31" s="40">
        <v>26196213.489999998</v>
      </c>
      <c r="K31" s="154">
        <f>J31-E31</f>
        <v>0</v>
      </c>
    </row>
    <row r="32" spans="1:12" s="2" customFormat="1" ht="14.25" customHeight="1" x14ac:dyDescent="0.2">
      <c r="A32" s="17"/>
      <c r="B32" s="28" t="s">
        <v>66</v>
      </c>
      <c r="C32" s="43" t="s">
        <v>1458</v>
      </c>
      <c r="D32" s="43"/>
      <c r="E32" s="12">
        <f>30000000+60000000</f>
        <v>90000000</v>
      </c>
      <c r="F32" s="22"/>
      <c r="G32" s="1"/>
      <c r="H32" s="1"/>
      <c r="I32" s="13" t="s">
        <v>1582</v>
      </c>
      <c r="J32" s="13" t="s">
        <v>1583</v>
      </c>
    </row>
    <row r="33" spans="1:12" s="2" customFormat="1" ht="14.25" customHeight="1" x14ac:dyDescent="0.25">
      <c r="A33" s="36"/>
      <c r="B33" s="28"/>
      <c r="C33" s="44" t="s">
        <v>1541</v>
      </c>
      <c r="D33" s="43"/>
      <c r="E33" s="7">
        <f>+E31+E32</f>
        <v>116196213.48999999</v>
      </c>
      <c r="F33" s="22"/>
      <c r="G33" s="1"/>
      <c r="H33" s="1"/>
      <c r="I33" s="2">
        <v>4596933</v>
      </c>
      <c r="J33" s="2">
        <v>11417596.779999999</v>
      </c>
      <c r="K33" s="176">
        <f>I33-J33</f>
        <v>-6820663.7799999993</v>
      </c>
    </row>
    <row r="34" spans="1:12" s="2" customFormat="1" ht="14.25" customHeight="1" x14ac:dyDescent="0.25">
      <c r="A34" s="36"/>
      <c r="B34" s="28"/>
      <c r="C34" s="44" t="s">
        <v>1511</v>
      </c>
      <c r="D34" s="43"/>
      <c r="E34" s="38">
        <f>I20-J20+J24</f>
        <v>3803786.5100000016</v>
      </c>
      <c r="F34" s="22"/>
      <c r="G34" s="1"/>
      <c r="H34" s="1"/>
      <c r="J34" s="130"/>
      <c r="K34" s="130"/>
    </row>
    <row r="35" spans="1:12" s="2" customFormat="1" x14ac:dyDescent="0.2">
      <c r="A35" s="24"/>
      <c r="B35" s="1"/>
      <c r="C35" s="14"/>
      <c r="D35" s="25"/>
      <c r="G35" s="1"/>
      <c r="H35" s="1"/>
      <c r="I35" s="159"/>
      <c r="J35" s="160">
        <f>100000000+300000000</f>
        <v>400000000</v>
      </c>
      <c r="K35" s="160" t="s">
        <v>1506</v>
      </c>
      <c r="L35" s="70"/>
    </row>
    <row r="36" spans="1:12" s="2" customFormat="1" ht="15" x14ac:dyDescent="0.35">
      <c r="A36" s="214" t="s">
        <v>10</v>
      </c>
      <c r="B36" s="214"/>
      <c r="C36" s="214"/>
      <c r="D36" s="214"/>
      <c r="E36" s="214"/>
      <c r="F36" s="214"/>
      <c r="G36" s="1"/>
      <c r="H36" s="1"/>
      <c r="I36" s="159"/>
      <c r="J36" s="179">
        <v>367738591.38</v>
      </c>
      <c r="K36" s="160" t="s">
        <v>1507</v>
      </c>
      <c r="L36" s="70" t="s">
        <v>1512</v>
      </c>
    </row>
    <row r="37" spans="1:12" s="2" customFormat="1" x14ac:dyDescent="0.2">
      <c r="A37" s="26" t="s">
        <v>1</v>
      </c>
      <c r="B37" s="27" t="s">
        <v>2</v>
      </c>
      <c r="C37" s="5"/>
      <c r="D37" s="6" t="s">
        <v>3</v>
      </c>
      <c r="E37" s="7" t="s">
        <v>4</v>
      </c>
      <c r="F37" s="7" t="s">
        <v>5</v>
      </c>
      <c r="G37" s="1"/>
      <c r="H37" s="1"/>
      <c r="I37" s="159" t="s">
        <v>1505</v>
      </c>
      <c r="J37" s="160">
        <f>+J35-J36</f>
        <v>32261408.620000005</v>
      </c>
      <c r="K37" s="160"/>
      <c r="L37" s="70"/>
    </row>
    <row r="38" spans="1:12" s="13" customFormat="1" x14ac:dyDescent="0.2">
      <c r="A38" s="97">
        <v>45383</v>
      </c>
      <c r="B38" s="132" t="s">
        <v>11</v>
      </c>
      <c r="C38" s="207" t="s">
        <v>7</v>
      </c>
      <c r="D38" s="99"/>
      <c r="E38" s="95"/>
      <c r="F38" s="13">
        <v>369935757.97000003</v>
      </c>
      <c r="G38" s="23"/>
      <c r="H38" s="23"/>
      <c r="I38" s="160"/>
      <c r="J38" s="160"/>
      <c r="K38" s="160"/>
      <c r="L38" s="69"/>
    </row>
    <row r="39" spans="1:12" s="2" customFormat="1" x14ac:dyDescent="0.2">
      <c r="A39" s="8">
        <v>45383</v>
      </c>
      <c r="B39" s="128" t="s">
        <v>6</v>
      </c>
      <c r="C39" s="76" t="s">
        <v>219</v>
      </c>
      <c r="D39" s="210" t="s">
        <v>2294</v>
      </c>
      <c r="E39" s="209">
        <v>828774</v>
      </c>
      <c r="F39" s="86"/>
      <c r="G39" s="23"/>
      <c r="H39" s="23"/>
      <c r="I39" s="159"/>
      <c r="J39" s="160"/>
      <c r="K39" s="160"/>
      <c r="L39" s="70"/>
    </row>
    <row r="40" spans="1:12" s="2" customFormat="1" x14ac:dyDescent="0.2">
      <c r="A40" s="8">
        <v>45383</v>
      </c>
      <c r="B40" s="128" t="s">
        <v>6</v>
      </c>
      <c r="C40" s="76" t="s">
        <v>1338</v>
      </c>
      <c r="D40" s="210" t="s">
        <v>2294</v>
      </c>
      <c r="E40" s="209">
        <v>11540</v>
      </c>
      <c r="F40" s="86"/>
      <c r="G40" s="23"/>
      <c r="H40" s="23"/>
      <c r="I40" s="159"/>
      <c r="J40" s="160"/>
      <c r="K40" s="160"/>
      <c r="L40" s="70"/>
    </row>
    <row r="41" spans="1:12" s="2" customFormat="1" x14ac:dyDescent="0.2">
      <c r="A41" s="8">
        <v>45383</v>
      </c>
      <c r="B41" s="128" t="s">
        <v>6</v>
      </c>
      <c r="C41" s="76" t="s">
        <v>358</v>
      </c>
      <c r="D41" s="210" t="s">
        <v>2295</v>
      </c>
      <c r="E41" s="209">
        <v>33600</v>
      </c>
      <c r="F41" s="86"/>
      <c r="G41" s="23"/>
      <c r="H41" s="23"/>
      <c r="I41" s="159"/>
      <c r="J41" s="160"/>
      <c r="K41" s="160"/>
      <c r="L41" s="70"/>
    </row>
    <row r="42" spans="1:12" s="2" customFormat="1" x14ac:dyDescent="0.2">
      <c r="A42" s="8">
        <v>45383</v>
      </c>
      <c r="B42" s="128" t="s">
        <v>6</v>
      </c>
      <c r="C42" s="76" t="s">
        <v>421</v>
      </c>
      <c r="D42" s="210" t="s">
        <v>2294</v>
      </c>
      <c r="E42" s="209">
        <v>299672</v>
      </c>
      <c r="F42" s="86"/>
      <c r="G42" s="23"/>
      <c r="H42" s="23"/>
      <c r="I42" s="159"/>
      <c r="J42" s="160"/>
      <c r="K42" s="160"/>
      <c r="L42" s="70"/>
    </row>
    <row r="43" spans="1:12" s="2" customFormat="1" x14ac:dyDescent="0.2">
      <c r="A43" s="8">
        <v>45383</v>
      </c>
      <c r="B43" s="128" t="s">
        <v>6</v>
      </c>
      <c r="C43" s="76" t="s">
        <v>487</v>
      </c>
      <c r="D43" s="210" t="s">
        <v>2294</v>
      </c>
      <c r="E43" s="209">
        <v>8750498</v>
      </c>
      <c r="F43" s="86"/>
      <c r="G43" s="23"/>
      <c r="H43" s="23"/>
      <c r="I43" s="159"/>
      <c r="J43" s="160"/>
      <c r="K43" s="160"/>
      <c r="L43" s="70"/>
    </row>
    <row r="44" spans="1:12" s="2" customFormat="1" x14ac:dyDescent="0.2">
      <c r="A44" s="8">
        <v>45383</v>
      </c>
      <c r="B44" s="128" t="s">
        <v>6</v>
      </c>
      <c r="C44" s="76" t="s">
        <v>209</v>
      </c>
      <c r="D44" s="210" t="s">
        <v>2294</v>
      </c>
      <c r="E44" s="209">
        <v>22721</v>
      </c>
      <c r="F44" s="86"/>
      <c r="G44" s="23"/>
      <c r="H44" s="23"/>
      <c r="I44" s="159"/>
      <c r="J44" s="160"/>
      <c r="K44" s="160"/>
      <c r="L44" s="70"/>
    </row>
    <row r="45" spans="1:12" s="2" customFormat="1" x14ac:dyDescent="0.2">
      <c r="A45" s="8">
        <v>45383</v>
      </c>
      <c r="B45" s="128" t="s">
        <v>6</v>
      </c>
      <c r="C45" s="76" t="s">
        <v>15</v>
      </c>
      <c r="D45" s="210" t="s">
        <v>2294</v>
      </c>
      <c r="E45" s="209">
        <v>169.17</v>
      </c>
      <c r="F45" s="86"/>
      <c r="G45" s="23"/>
      <c r="H45" s="23"/>
      <c r="I45" s="159"/>
      <c r="J45" s="160"/>
      <c r="K45" s="160"/>
      <c r="L45" s="70"/>
    </row>
    <row r="46" spans="1:12" x14ac:dyDescent="0.2">
      <c r="A46" s="8">
        <v>45383</v>
      </c>
      <c r="B46" s="128" t="s">
        <v>6</v>
      </c>
      <c r="C46" s="76" t="s">
        <v>487</v>
      </c>
      <c r="D46" s="210" t="s">
        <v>2294</v>
      </c>
      <c r="E46" s="209">
        <v>1803690</v>
      </c>
    </row>
    <row r="47" spans="1:12" s="2" customFormat="1" x14ac:dyDescent="0.2">
      <c r="A47" s="8">
        <v>45383</v>
      </c>
      <c r="B47" s="128" t="s">
        <v>6</v>
      </c>
      <c r="C47" s="76" t="s">
        <v>2297</v>
      </c>
      <c r="D47" s="210" t="s">
        <v>2295</v>
      </c>
      <c r="E47" s="209">
        <v>332253</v>
      </c>
      <c r="F47" s="86"/>
      <c r="G47" s="23"/>
      <c r="H47" s="23"/>
      <c r="I47" s="159"/>
      <c r="J47" s="160"/>
      <c r="K47" s="160"/>
      <c r="L47" s="70"/>
    </row>
    <row r="48" spans="1:12" s="2" customFormat="1" x14ac:dyDescent="0.2">
      <c r="A48" s="8">
        <v>45383</v>
      </c>
      <c r="B48" s="128" t="s">
        <v>6</v>
      </c>
      <c r="C48" s="76" t="s">
        <v>366</v>
      </c>
      <c r="D48" s="210" t="s">
        <v>2294</v>
      </c>
      <c r="E48" s="209">
        <v>2585417</v>
      </c>
      <c r="F48" s="86"/>
      <c r="G48" s="23"/>
      <c r="H48" s="23"/>
      <c r="I48" s="159"/>
      <c r="J48" s="160"/>
      <c r="K48" s="160"/>
      <c r="L48" s="70"/>
    </row>
    <row r="49" spans="1:12" s="2" customFormat="1" x14ac:dyDescent="0.2">
      <c r="A49" s="8">
        <v>45383</v>
      </c>
      <c r="B49" s="128" t="s">
        <v>6</v>
      </c>
      <c r="C49" s="76" t="s">
        <v>1378</v>
      </c>
      <c r="D49" s="210" t="s">
        <v>2295</v>
      </c>
      <c r="E49" s="209">
        <v>10500</v>
      </c>
      <c r="F49" s="86"/>
      <c r="G49" s="23"/>
      <c r="H49" s="23"/>
      <c r="I49" s="159"/>
      <c r="J49" s="160"/>
      <c r="K49" s="160"/>
      <c r="L49" s="70"/>
    </row>
    <row r="50" spans="1:12" s="2" customFormat="1" x14ac:dyDescent="0.2">
      <c r="A50" s="8">
        <v>45383</v>
      </c>
      <c r="B50" s="128" t="s">
        <v>6</v>
      </c>
      <c r="C50" s="76" t="s">
        <v>1031</v>
      </c>
      <c r="D50" s="210" t="s">
        <v>2294</v>
      </c>
      <c r="E50" s="86">
        <v>13579.23</v>
      </c>
      <c r="F50" s="86"/>
      <c r="G50" s="1"/>
      <c r="H50" s="1"/>
      <c r="I50" s="159"/>
      <c r="J50" s="159"/>
      <c r="K50" s="159"/>
      <c r="L50" s="70"/>
    </row>
    <row r="51" spans="1:12" s="2" customFormat="1" x14ac:dyDescent="0.2">
      <c r="A51" s="8">
        <v>45383</v>
      </c>
      <c r="B51" s="128" t="s">
        <v>6</v>
      </c>
      <c r="C51" s="76" t="s">
        <v>1382</v>
      </c>
      <c r="D51" s="210" t="s">
        <v>2294</v>
      </c>
      <c r="E51" s="209">
        <v>180788</v>
      </c>
      <c r="F51" s="86"/>
      <c r="G51" s="23"/>
      <c r="H51" s="23"/>
      <c r="I51" s="159"/>
      <c r="J51" s="160"/>
      <c r="K51" s="160"/>
      <c r="L51" s="70"/>
    </row>
    <row r="52" spans="1:12" s="2" customFormat="1" x14ac:dyDescent="0.2">
      <c r="A52" s="8">
        <v>45383</v>
      </c>
      <c r="B52" s="128" t="s">
        <v>6</v>
      </c>
      <c r="C52" s="76" t="s">
        <v>1534</v>
      </c>
      <c r="D52" s="210" t="s">
        <v>2295</v>
      </c>
      <c r="E52" s="209">
        <v>1890</v>
      </c>
      <c r="F52" s="86"/>
      <c r="G52" s="23"/>
      <c r="H52" s="23"/>
      <c r="I52" s="159"/>
      <c r="J52" s="160"/>
      <c r="K52" s="160"/>
      <c r="L52" s="70"/>
    </row>
    <row r="53" spans="1:12" s="2" customFormat="1" x14ac:dyDescent="0.2">
      <c r="A53" s="8">
        <v>45383</v>
      </c>
      <c r="B53" s="128" t="s">
        <v>6</v>
      </c>
      <c r="C53" s="76" t="s">
        <v>969</v>
      </c>
      <c r="D53" s="210" t="s">
        <v>2294</v>
      </c>
      <c r="E53" s="209">
        <v>146870</v>
      </c>
      <c r="F53" s="86"/>
      <c r="G53" s="23"/>
      <c r="H53" s="23"/>
      <c r="I53" s="159"/>
      <c r="J53" s="160"/>
      <c r="K53" s="160"/>
      <c r="L53" s="70"/>
    </row>
    <row r="54" spans="1:12" s="2" customFormat="1" x14ac:dyDescent="0.2">
      <c r="A54" s="8">
        <v>45383</v>
      </c>
      <c r="B54" s="128" t="s">
        <v>6</v>
      </c>
      <c r="C54" s="76" t="s">
        <v>969</v>
      </c>
      <c r="D54" s="210" t="s">
        <v>2295</v>
      </c>
      <c r="E54" s="209">
        <v>10290</v>
      </c>
      <c r="F54" s="86"/>
      <c r="G54" s="23"/>
      <c r="H54" s="23"/>
      <c r="I54" s="159"/>
      <c r="J54" s="160"/>
      <c r="K54" s="160"/>
      <c r="L54" s="70"/>
    </row>
    <row r="55" spans="1:12" s="2" customFormat="1" x14ac:dyDescent="0.2">
      <c r="A55" s="8">
        <v>45383</v>
      </c>
      <c r="B55" s="128" t="s">
        <v>11</v>
      </c>
      <c r="C55" s="94" t="s">
        <v>733</v>
      </c>
      <c r="D55" s="211" t="s">
        <v>2296</v>
      </c>
      <c r="E55" s="86"/>
      <c r="F55" s="182">
        <v>2071852</v>
      </c>
      <c r="G55" s="23"/>
      <c r="H55" s="23"/>
      <c r="I55" s="159"/>
      <c r="J55" s="160"/>
      <c r="K55" s="160"/>
      <c r="L55" s="70"/>
    </row>
    <row r="56" spans="1:12" s="2" customFormat="1" x14ac:dyDescent="0.2">
      <c r="A56" s="8">
        <v>45383</v>
      </c>
      <c r="B56" s="128" t="s">
        <v>11</v>
      </c>
      <c r="C56" s="94" t="s">
        <v>732</v>
      </c>
      <c r="D56" s="211" t="s">
        <v>2296</v>
      </c>
      <c r="E56" s="86"/>
      <c r="F56" s="182">
        <v>3107778</v>
      </c>
      <c r="G56" s="23"/>
      <c r="H56" s="23"/>
      <c r="I56" s="159"/>
      <c r="J56" s="160"/>
      <c r="K56" s="160"/>
      <c r="L56" s="70"/>
    </row>
    <row r="57" spans="1:12" s="2" customFormat="1" x14ac:dyDescent="0.2">
      <c r="A57" s="8">
        <v>45383</v>
      </c>
      <c r="B57" s="128" t="s">
        <v>11</v>
      </c>
      <c r="C57" s="94" t="s">
        <v>732</v>
      </c>
      <c r="D57" s="211" t="s">
        <v>2296</v>
      </c>
      <c r="E57" s="86"/>
      <c r="F57" s="182">
        <v>321041</v>
      </c>
      <c r="G57" s="23"/>
      <c r="H57" s="23"/>
      <c r="I57" s="159"/>
      <c r="J57" s="160"/>
      <c r="K57" s="160"/>
      <c r="L57" s="70"/>
    </row>
    <row r="58" spans="1:12" s="2" customFormat="1" x14ac:dyDescent="0.2">
      <c r="A58" s="8">
        <v>45383</v>
      </c>
      <c r="B58" s="128" t="s">
        <v>11</v>
      </c>
      <c r="C58" s="94" t="s">
        <v>733</v>
      </c>
      <c r="D58" s="211" t="s">
        <v>2296</v>
      </c>
      <c r="E58" s="86"/>
      <c r="F58" s="182">
        <v>214027</v>
      </c>
      <c r="G58" s="23"/>
      <c r="H58" s="23"/>
      <c r="I58" s="159"/>
      <c r="J58" s="160"/>
      <c r="K58" s="160"/>
      <c r="L58" s="70"/>
    </row>
    <row r="59" spans="1:12" s="2" customFormat="1" x14ac:dyDescent="0.2">
      <c r="A59" s="8">
        <v>45383</v>
      </c>
      <c r="B59" s="128" t="s">
        <v>11</v>
      </c>
      <c r="C59" s="94" t="s">
        <v>1838</v>
      </c>
      <c r="D59" s="211" t="s">
        <v>2296</v>
      </c>
      <c r="E59" s="86"/>
      <c r="F59" s="182">
        <v>107014</v>
      </c>
      <c r="G59" s="23"/>
      <c r="H59" s="23"/>
      <c r="I59" s="159"/>
      <c r="J59" s="160"/>
      <c r="K59" s="160"/>
      <c r="L59" s="70"/>
    </row>
    <row r="60" spans="1:12" s="2" customFormat="1" x14ac:dyDescent="0.2">
      <c r="A60" s="8">
        <v>45383</v>
      </c>
      <c r="B60" s="128" t="s">
        <v>11</v>
      </c>
      <c r="C60" s="94" t="s">
        <v>111</v>
      </c>
      <c r="D60" s="211" t="s">
        <v>2296</v>
      </c>
      <c r="E60" s="86"/>
      <c r="F60" s="182">
        <v>2175051.7799999998</v>
      </c>
      <c r="G60" s="23"/>
      <c r="H60" s="23"/>
      <c r="I60" s="159"/>
      <c r="J60" s="160"/>
      <c r="K60" s="160"/>
      <c r="L60" s="70"/>
    </row>
    <row r="61" spans="1:12" s="2" customFormat="1" x14ac:dyDescent="0.2">
      <c r="A61" s="8">
        <v>45383</v>
      </c>
      <c r="B61" s="128" t="s">
        <v>11</v>
      </c>
      <c r="C61" s="94" t="s">
        <v>1798</v>
      </c>
      <c r="D61" s="211" t="s">
        <v>2296</v>
      </c>
      <c r="E61" s="86"/>
      <c r="F61" s="182">
        <v>1490373</v>
      </c>
      <c r="G61" s="23"/>
      <c r="H61" s="23"/>
      <c r="I61" s="159"/>
      <c r="J61" s="160"/>
      <c r="K61" s="160"/>
      <c r="L61" s="70"/>
    </row>
    <row r="62" spans="1:12" s="2" customFormat="1" x14ac:dyDescent="0.2">
      <c r="A62" s="8">
        <v>45383</v>
      </c>
      <c r="B62" s="128" t="s">
        <v>11</v>
      </c>
      <c r="C62" s="94" t="s">
        <v>1031</v>
      </c>
      <c r="D62" s="211" t="s">
        <v>2296</v>
      </c>
      <c r="E62" s="86"/>
      <c r="F62" s="182">
        <v>36039.339999999997</v>
      </c>
      <c r="G62" s="23"/>
      <c r="H62" s="23"/>
      <c r="I62" s="159"/>
      <c r="J62" s="160"/>
      <c r="K62" s="160"/>
      <c r="L62" s="70"/>
    </row>
    <row r="63" spans="1:12" s="2" customFormat="1" x14ac:dyDescent="0.2">
      <c r="A63" s="8">
        <v>45383</v>
      </c>
      <c r="B63" s="128" t="s">
        <v>11</v>
      </c>
      <c r="C63" s="94" t="s">
        <v>1031</v>
      </c>
      <c r="D63" s="211" t="s">
        <v>2296</v>
      </c>
      <c r="E63" s="86"/>
      <c r="F63" s="182">
        <v>31868.17</v>
      </c>
      <c r="G63" s="23"/>
      <c r="H63" s="23"/>
      <c r="I63" s="159"/>
      <c r="J63" s="160"/>
      <c r="K63" s="160"/>
      <c r="L63" s="70"/>
    </row>
    <row r="64" spans="1:12" s="2" customFormat="1" x14ac:dyDescent="0.2">
      <c r="A64" s="8">
        <v>45383</v>
      </c>
      <c r="B64" s="128" t="s">
        <v>11</v>
      </c>
      <c r="C64" s="94" t="s">
        <v>1031</v>
      </c>
      <c r="D64" s="211" t="s">
        <v>2296</v>
      </c>
      <c r="E64" s="86"/>
      <c r="F64" s="182">
        <v>21210.06</v>
      </c>
      <c r="G64" s="23"/>
      <c r="H64" s="23"/>
      <c r="I64" s="159"/>
      <c r="J64" s="160"/>
      <c r="K64" s="160"/>
      <c r="L64" s="70"/>
    </row>
    <row r="65" spans="1:16" s="2" customFormat="1" x14ac:dyDescent="0.2">
      <c r="A65" s="8">
        <v>45383</v>
      </c>
      <c r="B65" s="128" t="s">
        <v>11</v>
      </c>
      <c r="C65" s="94" t="s">
        <v>64</v>
      </c>
      <c r="D65" s="211" t="s">
        <v>2296</v>
      </c>
      <c r="E65" s="86"/>
      <c r="F65" s="182">
        <v>4.72</v>
      </c>
      <c r="G65" s="23"/>
      <c r="H65" s="23"/>
      <c r="I65" s="159"/>
      <c r="J65" s="160"/>
      <c r="K65" s="160"/>
      <c r="L65" s="70"/>
    </row>
    <row r="66" spans="1:16" s="2" customFormat="1" x14ac:dyDescent="0.2">
      <c r="A66" s="8">
        <v>45383</v>
      </c>
      <c r="B66" s="128" t="s">
        <v>11</v>
      </c>
      <c r="C66" s="94" t="s">
        <v>64</v>
      </c>
      <c r="D66" s="211" t="s">
        <v>2296</v>
      </c>
      <c r="E66" s="86"/>
      <c r="F66" s="182">
        <v>16.52</v>
      </c>
      <c r="G66" s="23"/>
      <c r="H66" s="23"/>
      <c r="I66" s="159"/>
      <c r="J66" s="160"/>
      <c r="K66" s="160"/>
      <c r="L66" s="70"/>
    </row>
    <row r="67" spans="1:16" s="2" customFormat="1" x14ac:dyDescent="0.2">
      <c r="A67" s="8">
        <v>45383</v>
      </c>
      <c r="B67" s="128" t="s">
        <v>11</v>
      </c>
      <c r="C67" s="94" t="s">
        <v>1734</v>
      </c>
      <c r="D67" s="211" t="s">
        <v>2296</v>
      </c>
      <c r="E67" s="86"/>
      <c r="F67" s="182">
        <v>1889467</v>
      </c>
      <c r="G67" s="23"/>
      <c r="H67" s="23"/>
      <c r="I67" s="159"/>
      <c r="J67" s="160"/>
      <c r="K67" s="160"/>
      <c r="L67" s="70"/>
    </row>
    <row r="68" spans="1:16" s="2" customFormat="1" x14ac:dyDescent="0.2">
      <c r="A68" s="8">
        <v>45383</v>
      </c>
      <c r="B68" s="128" t="s">
        <v>11</v>
      </c>
      <c r="C68" s="94" t="s">
        <v>1893</v>
      </c>
      <c r="D68" s="211" t="s">
        <v>2296</v>
      </c>
      <c r="E68" s="86"/>
      <c r="F68" s="182">
        <v>1279804</v>
      </c>
      <c r="G68" s="23"/>
      <c r="H68" s="23"/>
      <c r="I68" s="159"/>
      <c r="J68" s="160"/>
      <c r="K68" s="160"/>
      <c r="L68" s="70"/>
    </row>
    <row r="69" spans="1:16" s="2" customFormat="1" x14ac:dyDescent="0.2">
      <c r="A69" s="8">
        <v>45383</v>
      </c>
      <c r="B69" s="128"/>
      <c r="C69" s="94" t="s">
        <v>64</v>
      </c>
      <c r="D69" s="211" t="s">
        <v>2296</v>
      </c>
      <c r="E69" s="86"/>
      <c r="F69" s="182">
        <v>5900</v>
      </c>
      <c r="G69" s="23"/>
      <c r="H69" s="23"/>
      <c r="I69" s="159"/>
      <c r="J69" s="160"/>
      <c r="K69" s="160"/>
      <c r="L69" s="70"/>
    </row>
    <row r="70" spans="1:16" s="2" customFormat="1" x14ac:dyDescent="0.2">
      <c r="A70" s="8">
        <v>45383</v>
      </c>
      <c r="B70" s="128"/>
      <c r="C70" s="94" t="s">
        <v>92</v>
      </c>
      <c r="D70" s="211" t="s">
        <v>2296</v>
      </c>
      <c r="E70" s="86"/>
      <c r="F70" s="182">
        <v>16615</v>
      </c>
      <c r="G70" s="23"/>
      <c r="H70" s="23"/>
      <c r="I70" s="159"/>
      <c r="J70" s="160"/>
      <c r="K70" s="160"/>
      <c r="L70" s="70"/>
    </row>
    <row r="71" spans="1:16" s="2" customFormat="1" x14ac:dyDescent="0.2">
      <c r="A71" s="8">
        <v>45383</v>
      </c>
      <c r="B71" s="128"/>
      <c r="C71" s="94" t="s">
        <v>1025</v>
      </c>
      <c r="D71" s="211" t="s">
        <v>2296</v>
      </c>
      <c r="E71" s="86"/>
      <c r="F71" s="182">
        <v>6000000</v>
      </c>
      <c r="G71" s="23"/>
      <c r="H71" s="23"/>
      <c r="I71" s="159"/>
      <c r="J71" s="160"/>
      <c r="K71" s="160"/>
      <c r="L71" s="70"/>
    </row>
    <row r="72" spans="1:16" s="2" customFormat="1" x14ac:dyDescent="0.2">
      <c r="A72" s="8">
        <v>45383</v>
      </c>
      <c r="B72" s="128"/>
      <c r="C72" s="94" t="s">
        <v>1503</v>
      </c>
      <c r="D72" s="211" t="s">
        <v>2296</v>
      </c>
      <c r="E72" s="86"/>
      <c r="F72" s="182">
        <v>114657</v>
      </c>
      <c r="G72" s="23"/>
      <c r="H72" s="23"/>
      <c r="I72" s="159"/>
      <c r="J72" s="160"/>
      <c r="K72" s="160"/>
      <c r="L72" s="70"/>
    </row>
    <row r="73" spans="1:16" s="2" customFormat="1" x14ac:dyDescent="0.2">
      <c r="A73" s="8">
        <v>45383</v>
      </c>
      <c r="B73" s="128"/>
      <c r="C73" s="94" t="s">
        <v>2086</v>
      </c>
      <c r="D73" s="211" t="s">
        <v>2296</v>
      </c>
      <c r="E73" s="86"/>
      <c r="F73" s="182">
        <v>458630</v>
      </c>
      <c r="G73" s="23"/>
      <c r="H73" s="23"/>
      <c r="I73" s="159"/>
      <c r="J73" s="160"/>
      <c r="K73" s="160"/>
      <c r="L73" s="70"/>
    </row>
    <row r="74" spans="1:16" s="2" customFormat="1" x14ac:dyDescent="0.2">
      <c r="A74" s="8">
        <v>45383</v>
      </c>
      <c r="B74" s="128"/>
      <c r="C74" s="94" t="s">
        <v>25</v>
      </c>
      <c r="D74" s="211" t="s">
        <v>2296</v>
      </c>
      <c r="E74" s="86"/>
      <c r="F74" s="182">
        <v>200000</v>
      </c>
      <c r="G74" s="23"/>
      <c r="H74" s="23"/>
      <c r="I74" s="159"/>
      <c r="J74" s="160"/>
      <c r="K74" s="160"/>
      <c r="L74" s="70"/>
    </row>
    <row r="75" spans="1:16" s="2" customFormat="1" x14ac:dyDescent="0.2">
      <c r="A75" s="8">
        <v>45383</v>
      </c>
      <c r="B75" s="128"/>
      <c r="C75" s="94" t="s">
        <v>209</v>
      </c>
      <c r="D75" s="211" t="s">
        <v>2296</v>
      </c>
      <c r="E75" s="86"/>
      <c r="F75" s="182">
        <v>50000</v>
      </c>
      <c r="G75" s="23"/>
      <c r="H75" s="23"/>
      <c r="I75" s="159"/>
      <c r="J75" s="160"/>
      <c r="K75" s="160"/>
      <c r="L75" s="70"/>
    </row>
    <row r="76" spans="1:16" s="2" customFormat="1" x14ac:dyDescent="0.2">
      <c r="A76" s="8">
        <v>45383</v>
      </c>
      <c r="B76" s="128"/>
      <c r="C76" s="94" t="s">
        <v>518</v>
      </c>
      <c r="D76" s="211" t="s">
        <v>2296</v>
      </c>
      <c r="E76" s="86"/>
      <c r="F76" s="182">
        <v>20302</v>
      </c>
      <c r="G76" s="23"/>
      <c r="H76" s="23"/>
      <c r="I76" s="159"/>
      <c r="J76" s="160"/>
      <c r="K76" s="160"/>
      <c r="L76" s="70"/>
    </row>
    <row r="77" spans="1:16" s="2" customFormat="1" x14ac:dyDescent="0.2">
      <c r="A77" s="8">
        <v>45383</v>
      </c>
      <c r="B77" s="128"/>
      <c r="C77" s="94" t="s">
        <v>740</v>
      </c>
      <c r="D77" s="211" t="s">
        <v>2296</v>
      </c>
      <c r="E77" s="86"/>
      <c r="F77" s="182">
        <v>44098</v>
      </c>
      <c r="G77" s="23"/>
      <c r="H77" s="23"/>
      <c r="I77" s="159"/>
      <c r="J77" s="160"/>
      <c r="K77" s="160"/>
      <c r="L77" s="70"/>
    </row>
    <row r="78" spans="1:16" s="70" customFormat="1" x14ac:dyDescent="0.2">
      <c r="A78" s="32"/>
      <c r="B78" s="33"/>
      <c r="C78" s="14"/>
      <c r="D78" s="34"/>
      <c r="E78" s="16">
        <f>SUM(E38:E77)</f>
        <v>15032251.4</v>
      </c>
      <c r="F78" s="16">
        <f>SUM(F38:F77)</f>
        <v>389591506.56</v>
      </c>
      <c r="G78" s="1"/>
      <c r="H78" s="1"/>
      <c r="I78" s="1"/>
      <c r="J78" s="38">
        <v>369935757.97000003</v>
      </c>
      <c r="K78" s="2"/>
      <c r="L78" s="92">
        <f>+J78-E79</f>
        <v>-4623497.1899999976</v>
      </c>
      <c r="M78" s="2"/>
      <c r="N78" s="2"/>
      <c r="O78" s="2">
        <v>10127749.119999999</v>
      </c>
      <c r="P78" s="2">
        <f>+O78-J78</f>
        <v>-359808008.85000002</v>
      </c>
    </row>
    <row r="79" spans="1:16" s="70" customFormat="1" x14ac:dyDescent="0.2">
      <c r="A79" s="36"/>
      <c r="B79" s="28" t="s">
        <v>11</v>
      </c>
      <c r="C79" s="19" t="s">
        <v>65</v>
      </c>
      <c r="D79" s="37"/>
      <c r="E79" s="38">
        <f>F78-E78</f>
        <v>374559255.16000003</v>
      </c>
      <c r="F79" s="22"/>
      <c r="G79" s="1"/>
      <c r="H79" s="1"/>
      <c r="I79" s="1"/>
      <c r="M79" s="2"/>
      <c r="N79" s="2"/>
      <c r="O79" s="1"/>
      <c r="P79" s="2"/>
    </row>
    <row r="80" spans="1:16" s="70" customFormat="1" x14ac:dyDescent="0.2">
      <c r="A80" s="36"/>
      <c r="B80" s="28" t="s">
        <v>66</v>
      </c>
      <c r="C80" s="19" t="s">
        <v>67</v>
      </c>
      <c r="D80" s="37"/>
      <c r="E80" s="38">
        <f>11500000-7200000</f>
        <v>4300000</v>
      </c>
      <c r="F80" s="22"/>
      <c r="G80" s="1"/>
      <c r="H80" s="1"/>
      <c r="M80" s="2"/>
      <c r="N80" s="2"/>
      <c r="O80" s="1"/>
      <c r="P80" s="2"/>
    </row>
    <row r="81" spans="1:19" s="70" customFormat="1" x14ac:dyDescent="0.2">
      <c r="A81" s="36"/>
      <c r="B81" s="28" t="s">
        <v>66</v>
      </c>
      <c r="C81" s="43" t="s">
        <v>1457</v>
      </c>
      <c r="D81" s="43"/>
      <c r="E81" s="12">
        <f>400000000-300000000</f>
        <v>100000000</v>
      </c>
      <c r="F81" s="22"/>
      <c r="G81" s="1"/>
      <c r="H81" s="1"/>
      <c r="J81" s="45">
        <v>3034.09</v>
      </c>
      <c r="K81" s="46"/>
      <c r="L81" s="46"/>
      <c r="M81" s="2"/>
      <c r="N81" s="2"/>
      <c r="O81" s="1"/>
      <c r="P81" s="2"/>
    </row>
    <row r="82" spans="1:19" s="70" customFormat="1" ht="15" x14ac:dyDescent="0.25">
      <c r="A82" s="36"/>
      <c r="B82" s="28"/>
      <c r="C82" s="44" t="s">
        <v>1541</v>
      </c>
      <c r="D82" s="43"/>
      <c r="E82" s="7">
        <f>+E81+E79+E80</f>
        <v>478859255.16000003</v>
      </c>
      <c r="F82" s="22"/>
      <c r="G82" s="1"/>
      <c r="H82" s="1"/>
      <c r="I82" s="103" t="s">
        <v>69</v>
      </c>
      <c r="J82" s="45">
        <v>-130.75</v>
      </c>
      <c r="K82" s="46"/>
      <c r="L82" s="46"/>
      <c r="M82" s="2"/>
      <c r="N82" s="2"/>
      <c r="O82" s="1"/>
      <c r="P82" s="2"/>
    </row>
    <row r="83" spans="1:19" s="70" customFormat="1" ht="15" x14ac:dyDescent="0.25">
      <c r="A83" s="24"/>
      <c r="B83" s="1"/>
      <c r="C83" s="44" t="s">
        <v>1510</v>
      </c>
      <c r="D83" s="25"/>
      <c r="E83" s="156">
        <f>+J37-E80+I33-J33</f>
        <v>21140744.840000004</v>
      </c>
      <c r="F83" s="2"/>
      <c r="G83" s="1"/>
      <c r="H83" s="1"/>
      <c r="I83" s="35">
        <v>1</v>
      </c>
      <c r="J83" s="45">
        <v>108.57</v>
      </c>
      <c r="K83" s="46">
        <f>+J84-D86</f>
        <v>0</v>
      </c>
      <c r="L83" s="2"/>
      <c r="M83" s="2"/>
      <c r="N83" s="2"/>
      <c r="O83" s="1"/>
      <c r="P83" s="2"/>
    </row>
    <row r="84" spans="1:19" s="70" customFormat="1" ht="12.75" customHeight="1" x14ac:dyDescent="0.2">
      <c r="A84" s="24"/>
      <c r="B84" s="1"/>
      <c r="C84" s="56"/>
      <c r="D84" s="56"/>
      <c r="E84" s="104"/>
      <c r="F84" s="2"/>
      <c r="G84" s="166"/>
      <c r="H84" s="166"/>
      <c r="J84" s="49">
        <f>SUM(J81:J83)</f>
        <v>3011.9100000000003</v>
      </c>
      <c r="K84" s="46"/>
      <c r="L84" s="46"/>
      <c r="M84" s="124"/>
      <c r="N84" s="124"/>
      <c r="O84" s="1"/>
      <c r="P84" s="2"/>
    </row>
    <row r="85" spans="1:19" s="70" customFormat="1" ht="12.75" customHeight="1" x14ac:dyDescent="0.2">
      <c r="A85" s="24"/>
      <c r="B85" s="1"/>
      <c r="C85" s="78" t="s">
        <v>575</v>
      </c>
      <c r="D85" s="48" t="s">
        <v>576</v>
      </c>
      <c r="E85" s="104"/>
      <c r="F85" s="2"/>
      <c r="G85" s="168"/>
      <c r="H85" s="168"/>
      <c r="I85" s="167"/>
      <c r="J85" s="167"/>
      <c r="K85" s="168"/>
      <c r="L85" s="124"/>
      <c r="M85" s="124"/>
      <c r="N85" s="124"/>
      <c r="O85" s="124"/>
      <c r="P85" s="2"/>
    </row>
    <row r="86" spans="1:19" s="70" customFormat="1" ht="12.75" customHeight="1" x14ac:dyDescent="0.2">
      <c r="A86" s="24"/>
      <c r="B86" s="1"/>
      <c r="C86" s="47" t="s">
        <v>570</v>
      </c>
      <c r="D86" s="111">
        <v>3011.91</v>
      </c>
      <c r="E86" s="104"/>
      <c r="F86" s="2"/>
      <c r="G86" s="168"/>
      <c r="H86" s="168"/>
      <c r="I86" s="110" t="s">
        <v>581</v>
      </c>
      <c r="J86" s="167"/>
      <c r="K86" s="168"/>
      <c r="L86" s="124"/>
      <c r="M86" s="124"/>
      <c r="N86" s="124"/>
      <c r="O86" s="124"/>
      <c r="P86" s="124"/>
    </row>
    <row r="87" spans="1:19" s="70" customFormat="1" ht="12.75" customHeight="1" x14ac:dyDescent="0.2">
      <c r="A87" s="24"/>
      <c r="B87" s="1"/>
      <c r="C87" s="47" t="s">
        <v>931</v>
      </c>
      <c r="D87" s="111">
        <v>255.29</v>
      </c>
      <c r="E87" s="104"/>
      <c r="F87" s="2"/>
      <c r="G87" s="168"/>
      <c r="H87" s="168"/>
      <c r="I87" s="110" t="s">
        <v>580</v>
      </c>
      <c r="J87" s="167"/>
      <c r="K87" s="168"/>
      <c r="L87" s="124"/>
      <c r="M87" s="124"/>
      <c r="N87" s="124"/>
      <c r="O87" s="124"/>
      <c r="P87" s="124"/>
    </row>
    <row r="88" spans="1:19" s="70" customFormat="1" ht="12.75" customHeight="1" x14ac:dyDescent="0.2">
      <c r="A88" s="24"/>
      <c r="B88" s="1"/>
      <c r="C88" s="47" t="s">
        <v>572</v>
      </c>
      <c r="D88" s="111">
        <f>+D149/100000</f>
        <v>1198.7486290000002</v>
      </c>
      <c r="E88" s="104"/>
      <c r="F88" s="2"/>
      <c r="G88" s="166"/>
      <c r="H88" s="166"/>
      <c r="I88" s="90" t="s">
        <v>587</v>
      </c>
      <c r="J88" s="167"/>
      <c r="K88" s="168"/>
      <c r="L88" s="124"/>
      <c r="M88" s="124"/>
      <c r="N88" s="124"/>
      <c r="O88" s="124"/>
      <c r="P88" s="124"/>
    </row>
    <row r="89" spans="1:19" s="70" customFormat="1" ht="12.75" customHeight="1" x14ac:dyDescent="0.2">
      <c r="A89" s="24"/>
      <c r="B89" s="1"/>
      <c r="C89" s="108" t="s">
        <v>578</v>
      </c>
      <c r="D89" s="48">
        <f>SUM(D86:D88)</f>
        <v>4465.9486290000004</v>
      </c>
      <c r="E89" s="104"/>
      <c r="F89" s="2"/>
      <c r="G89" s="30"/>
      <c r="H89" s="30"/>
      <c r="I89" s="2"/>
      <c r="J89" s="13"/>
      <c r="K89" s="13"/>
      <c r="L89" s="2"/>
      <c r="M89" s="2"/>
      <c r="N89" s="2"/>
      <c r="O89" s="124"/>
      <c r="P89" s="124"/>
    </row>
    <row r="90" spans="1:19" s="70" customFormat="1" ht="12.75" customHeight="1" x14ac:dyDescent="0.2">
      <c r="A90" s="24"/>
      <c r="B90" s="1"/>
      <c r="C90" s="47"/>
      <c r="D90" s="107"/>
      <c r="E90" s="104"/>
      <c r="F90" s="2"/>
      <c r="G90" s="30"/>
      <c r="H90" s="30"/>
      <c r="I90" s="2"/>
      <c r="O90" s="2"/>
      <c r="P90" s="124"/>
    </row>
    <row r="91" spans="1:19" s="70" customFormat="1" ht="12.75" customHeight="1" x14ac:dyDescent="0.2">
      <c r="A91" s="24"/>
      <c r="B91" s="1"/>
      <c r="C91" s="47" t="s">
        <v>932</v>
      </c>
      <c r="D91" s="111">
        <v>694.86</v>
      </c>
      <c r="E91" s="104"/>
      <c r="F91" s="2"/>
      <c r="G91" s="30"/>
      <c r="H91" s="30"/>
      <c r="I91" s="110" t="s">
        <v>581</v>
      </c>
      <c r="P91" s="2"/>
    </row>
    <row r="92" spans="1:19" s="70" customFormat="1" ht="12.75" customHeight="1" x14ac:dyDescent="0.2">
      <c r="A92" s="24"/>
      <c r="B92" s="1"/>
      <c r="C92" s="136" t="s">
        <v>1142</v>
      </c>
      <c r="D92" s="111">
        <v>1143.51</v>
      </c>
      <c r="E92" s="104"/>
      <c r="F92" s="2"/>
      <c r="G92" s="30"/>
      <c r="H92" s="30"/>
      <c r="I92" s="110" t="s">
        <v>581</v>
      </c>
    </row>
    <row r="93" spans="1:19" s="70" customFormat="1" ht="12.75" customHeight="1" x14ac:dyDescent="0.2">
      <c r="A93" s="24"/>
      <c r="B93" s="1"/>
      <c r="C93" s="78" t="s">
        <v>579</v>
      </c>
      <c r="D93" s="109">
        <f>D91+D92</f>
        <v>1838.37</v>
      </c>
      <c r="E93" s="104"/>
      <c r="F93" s="2"/>
      <c r="G93" s="30"/>
      <c r="H93" s="30"/>
      <c r="Q93" s="2"/>
      <c r="R93" s="2"/>
      <c r="S93" s="2"/>
    </row>
    <row r="94" spans="1:19" s="2" customFormat="1" x14ac:dyDescent="0.2">
      <c r="A94" s="24"/>
      <c r="B94" s="1"/>
      <c r="C94" s="105"/>
      <c r="D94" s="106"/>
      <c r="E94" s="104"/>
      <c r="G94" s="30"/>
      <c r="H94" s="30"/>
      <c r="I94" s="70"/>
      <c r="K94" s="221" t="str">
        <f>"FROM ( 01-03-2024 to "&amp;TEXT(A5,"dd-mm-yyyy")&amp;" )"</f>
        <v>FROM ( 01-03-2024 to 01-04-2024 )</v>
      </c>
      <c r="L94" s="221"/>
      <c r="O94" s="70"/>
      <c r="P94" s="70"/>
    </row>
    <row r="95" spans="1:19" s="2" customFormat="1" x14ac:dyDescent="0.2">
      <c r="A95" s="24"/>
      <c r="B95" s="1"/>
      <c r="C95" s="78" t="s">
        <v>577</v>
      </c>
      <c r="D95" s="109">
        <f>D86+D93</f>
        <v>4850.28</v>
      </c>
      <c r="E95" s="104"/>
      <c r="G95" s="30"/>
      <c r="H95" s="30"/>
      <c r="I95" s="70"/>
      <c r="J95" s="113"/>
      <c r="K95" s="113" t="s">
        <v>709</v>
      </c>
      <c r="L95" s="113" t="s">
        <v>710</v>
      </c>
      <c r="M95" s="113" t="s">
        <v>711</v>
      </c>
      <c r="N95" s="113" t="s">
        <v>712</v>
      </c>
      <c r="O95" s="70"/>
      <c r="P95" s="70"/>
    </row>
    <row r="96" spans="1:19" s="2" customFormat="1" x14ac:dyDescent="0.2">
      <c r="A96" s="24"/>
      <c r="B96" s="1"/>
      <c r="C96" s="56"/>
      <c r="D96" s="56"/>
      <c r="E96" s="104"/>
      <c r="G96" s="30"/>
      <c r="H96" s="30"/>
      <c r="I96" s="70"/>
      <c r="J96" s="113" t="s">
        <v>1860</v>
      </c>
      <c r="K96" s="115">
        <v>195.8</v>
      </c>
      <c r="L96" s="115">
        <v>105.74</v>
      </c>
      <c r="M96" s="115">
        <v>102.79</v>
      </c>
      <c r="N96" s="113">
        <f>+K96+M96-L96</f>
        <v>192.85000000000002</v>
      </c>
      <c r="O96" s="70"/>
      <c r="P96" s="70"/>
    </row>
    <row r="97" spans="1:16" s="2" customFormat="1" ht="38.25" x14ac:dyDescent="0.2">
      <c r="A97" s="24"/>
      <c r="B97" s="1"/>
      <c r="C97" s="79" t="str">
        <f>"Particulars ( 01-03-2024 to "&amp;TEXT(A5,"dd-mm-yyyy")&amp;" )"</f>
        <v>Particulars ( 01-03-2024 to 01-04-2024 )</v>
      </c>
      <c r="D97" s="79" t="s">
        <v>7</v>
      </c>
      <c r="E97" s="80" t="s">
        <v>73</v>
      </c>
      <c r="F97" s="80" t="s">
        <v>74</v>
      </c>
      <c r="G97" s="81" t="s">
        <v>75</v>
      </c>
      <c r="H97" s="80" t="s">
        <v>76</v>
      </c>
      <c r="I97" s="70"/>
      <c r="J97" s="113" t="s">
        <v>1861</v>
      </c>
      <c r="K97" s="115">
        <v>1882.55</v>
      </c>
      <c r="L97" s="115">
        <v>1200.4100000000001</v>
      </c>
      <c r="M97" s="115">
        <v>1148.1199999999999</v>
      </c>
      <c r="N97" s="113">
        <f>+K97+M97-L97</f>
        <v>1830.26</v>
      </c>
      <c r="O97" s="70"/>
      <c r="P97" s="70"/>
    </row>
    <row r="98" spans="1:16" s="2" customFormat="1" x14ac:dyDescent="0.2">
      <c r="A98" s="24"/>
      <c r="B98" s="1"/>
      <c r="C98" s="50" t="s">
        <v>444</v>
      </c>
      <c r="D98" s="55">
        <f>+K98</f>
        <v>463.26</v>
      </c>
      <c r="E98" s="55">
        <f>+IF(M98=0,0,M98)</f>
        <v>694.86</v>
      </c>
      <c r="F98" s="55">
        <f>+L98</f>
        <v>255.29</v>
      </c>
      <c r="G98" s="55">
        <f>+D98+E98-F98</f>
        <v>902.82999999999993</v>
      </c>
      <c r="H98" s="55">
        <f>1500-G98</f>
        <v>597.17000000000007</v>
      </c>
      <c r="I98" s="70">
        <f>+IF(M98=0,0,M98)</f>
        <v>694.86</v>
      </c>
      <c r="J98" s="113" t="s">
        <v>707</v>
      </c>
      <c r="K98" s="115">
        <v>463.26</v>
      </c>
      <c r="L98" s="115">
        <v>255.29</v>
      </c>
      <c r="M98" s="115">
        <v>694.86</v>
      </c>
      <c r="N98" s="113">
        <f>+K98+M98-L98</f>
        <v>902.82999999999993</v>
      </c>
      <c r="O98" s="70"/>
      <c r="P98" s="70"/>
    </row>
    <row r="99" spans="1:16" s="2" customFormat="1" x14ac:dyDescent="0.2">
      <c r="A99" s="24"/>
      <c r="B99" s="1"/>
      <c r="C99" s="50" t="s">
        <v>71</v>
      </c>
      <c r="D99" s="55">
        <f>+K96+K97</f>
        <v>2078.35</v>
      </c>
      <c r="E99" s="55">
        <f>+M96+M97</f>
        <v>1250.9099999999999</v>
      </c>
      <c r="F99" s="55">
        <f>+L96+L97</f>
        <v>1306.1500000000001</v>
      </c>
      <c r="G99" s="55">
        <f>+D99+E99-F99</f>
        <v>2023.1099999999997</v>
      </c>
      <c r="H99" s="55">
        <f>1500+700+200-G99</f>
        <v>376.89000000000033</v>
      </c>
      <c r="I99" s="70"/>
      <c r="K99" s="118">
        <f>SUM(K96:K98)</f>
        <v>2541.6099999999997</v>
      </c>
      <c r="L99" s="118">
        <f>SUM(L96:L98)</f>
        <v>1561.44</v>
      </c>
      <c r="M99" s="118">
        <f>SUM(M96:M98)</f>
        <v>1945.77</v>
      </c>
      <c r="N99" s="118">
        <f>SUM(N96:N98)</f>
        <v>2925.94</v>
      </c>
      <c r="O99" s="70"/>
      <c r="P99" s="70"/>
    </row>
    <row r="100" spans="1:16" s="2" customFormat="1" x14ac:dyDescent="0.2">
      <c r="A100" s="24"/>
      <c r="B100" s="1"/>
      <c r="C100" s="14"/>
      <c r="D100" s="56"/>
      <c r="E100" s="13"/>
      <c r="G100" s="30"/>
      <c r="H100" s="30"/>
      <c r="I100" s="70"/>
      <c r="J100" s="70"/>
      <c r="K100" s="70"/>
      <c r="L100" s="70"/>
      <c r="M100" s="70"/>
      <c r="N100" s="70"/>
      <c r="O100" s="70"/>
      <c r="P100" s="70"/>
    </row>
    <row r="101" spans="1:16" s="2" customFormat="1" x14ac:dyDescent="0.2">
      <c r="A101" s="215" t="s">
        <v>80</v>
      </c>
      <c r="B101" s="216"/>
      <c r="C101" s="216"/>
      <c r="D101" s="217"/>
      <c r="E101" s="69"/>
      <c r="F101" s="70"/>
      <c r="G101" s="30"/>
      <c r="H101" s="30"/>
      <c r="I101" s="70"/>
      <c r="J101" s="70"/>
      <c r="K101" s="70"/>
      <c r="L101" s="70"/>
      <c r="M101" s="70"/>
      <c r="N101" s="70"/>
      <c r="O101" s="70"/>
      <c r="P101" s="70"/>
    </row>
    <row r="102" spans="1:16" s="2" customFormat="1" x14ac:dyDescent="0.2">
      <c r="A102" s="71" t="s">
        <v>81</v>
      </c>
      <c r="B102" s="71"/>
      <c r="C102" s="72" t="s">
        <v>82</v>
      </c>
      <c r="D102" s="73" t="s">
        <v>83</v>
      </c>
      <c r="E102" s="69"/>
      <c r="F102" s="70"/>
      <c r="G102" s="30"/>
      <c r="H102" s="30"/>
      <c r="I102" s="70"/>
      <c r="J102" s="70"/>
      <c r="K102" s="70"/>
      <c r="L102" s="70"/>
      <c r="M102" s="70"/>
      <c r="N102" s="70"/>
      <c r="O102" s="70"/>
      <c r="P102" s="70"/>
    </row>
    <row r="103" spans="1:16" s="2" customFormat="1" x14ac:dyDescent="0.2">
      <c r="A103" s="87">
        <v>45352</v>
      </c>
      <c r="B103" s="120" t="s">
        <v>6</v>
      </c>
      <c r="C103" s="75" t="s">
        <v>594</v>
      </c>
      <c r="D103" s="88">
        <v>2143144</v>
      </c>
      <c r="G103" s="30"/>
      <c r="H103" s="30"/>
      <c r="P103" s="70"/>
    </row>
    <row r="104" spans="1:16" s="2" customFormat="1" x14ac:dyDescent="0.2">
      <c r="A104" s="87">
        <v>45352</v>
      </c>
      <c r="B104" s="120" t="s">
        <v>6</v>
      </c>
      <c r="C104" s="75" t="s">
        <v>271</v>
      </c>
      <c r="D104" s="88">
        <v>1493463</v>
      </c>
      <c r="G104" s="30"/>
      <c r="H104" s="30"/>
      <c r="P104" s="70"/>
    </row>
    <row r="105" spans="1:16" s="2" customFormat="1" x14ac:dyDescent="0.2">
      <c r="A105" s="87">
        <v>45354</v>
      </c>
      <c r="B105" s="120" t="s">
        <v>6</v>
      </c>
      <c r="C105" s="75" t="s">
        <v>270</v>
      </c>
      <c r="D105" s="88">
        <v>187299</v>
      </c>
      <c r="G105" s="30"/>
      <c r="H105" s="30"/>
      <c r="P105" s="70"/>
    </row>
    <row r="106" spans="1:16" s="2" customFormat="1" x14ac:dyDescent="0.2">
      <c r="A106" s="87">
        <v>45356</v>
      </c>
      <c r="B106" s="120" t="s">
        <v>6</v>
      </c>
      <c r="C106" s="75" t="s">
        <v>84</v>
      </c>
      <c r="D106" s="88">
        <v>3111466</v>
      </c>
      <c r="G106" s="30"/>
      <c r="H106" s="30"/>
      <c r="P106" s="70"/>
    </row>
    <row r="107" spans="1:16" s="2" customFormat="1" x14ac:dyDescent="0.2">
      <c r="A107" s="87">
        <v>45356</v>
      </c>
      <c r="B107" s="120" t="s">
        <v>6</v>
      </c>
      <c r="C107" s="75" t="s">
        <v>271</v>
      </c>
      <c r="D107" s="88">
        <v>1369091</v>
      </c>
      <c r="G107" s="30"/>
      <c r="H107" s="30"/>
      <c r="P107" s="70"/>
    </row>
    <row r="108" spans="1:16" s="2" customFormat="1" x14ac:dyDescent="0.2">
      <c r="A108" s="87">
        <v>45357</v>
      </c>
      <c r="B108" s="120" t="s">
        <v>6</v>
      </c>
      <c r="C108" s="75" t="s">
        <v>271</v>
      </c>
      <c r="D108" s="88">
        <v>1393433</v>
      </c>
      <c r="G108" s="30"/>
      <c r="H108" s="30"/>
      <c r="P108" s="70"/>
    </row>
    <row r="109" spans="1:16" s="2" customFormat="1" x14ac:dyDescent="0.2">
      <c r="A109" s="87">
        <v>45359</v>
      </c>
      <c r="B109" s="120" t="s">
        <v>6</v>
      </c>
      <c r="C109" s="75" t="s">
        <v>271</v>
      </c>
      <c r="D109" s="88">
        <v>730944</v>
      </c>
      <c r="G109" s="30"/>
      <c r="H109" s="30"/>
      <c r="P109" s="70"/>
    </row>
    <row r="110" spans="1:16" s="2" customFormat="1" x14ac:dyDescent="0.2">
      <c r="A110" s="87">
        <v>45359</v>
      </c>
      <c r="B110" s="120" t="s">
        <v>6</v>
      </c>
      <c r="C110" s="75" t="s">
        <v>18</v>
      </c>
      <c r="D110" s="88">
        <v>19228</v>
      </c>
      <c r="G110" s="30"/>
      <c r="H110" s="30"/>
      <c r="P110" s="70"/>
    </row>
    <row r="111" spans="1:16" s="2" customFormat="1" x14ac:dyDescent="0.2">
      <c r="A111" s="87">
        <v>45362</v>
      </c>
      <c r="B111" s="120" t="s">
        <v>6</v>
      </c>
      <c r="C111" s="75" t="s">
        <v>1789</v>
      </c>
      <c r="D111" s="88">
        <v>2568137</v>
      </c>
      <c r="G111" s="30"/>
      <c r="H111" s="30"/>
      <c r="P111" s="70"/>
    </row>
    <row r="112" spans="1:16" s="2" customFormat="1" x14ac:dyDescent="0.2">
      <c r="A112" s="87">
        <v>45362</v>
      </c>
      <c r="B112" s="120" t="s">
        <v>6</v>
      </c>
      <c r="C112" s="75" t="s">
        <v>85</v>
      </c>
      <c r="D112" s="88">
        <v>39949</v>
      </c>
      <c r="G112" s="30"/>
      <c r="H112" s="30"/>
      <c r="P112" s="70"/>
    </row>
    <row r="113" spans="1:16" s="2" customFormat="1" x14ac:dyDescent="0.2">
      <c r="A113" s="87">
        <v>45362</v>
      </c>
      <c r="B113" s="120" t="s">
        <v>6</v>
      </c>
      <c r="C113" s="75" t="s">
        <v>85</v>
      </c>
      <c r="D113" s="88">
        <v>219691</v>
      </c>
      <c r="G113" s="30"/>
      <c r="H113" s="30"/>
      <c r="P113" s="70"/>
    </row>
    <row r="114" spans="1:16" s="2" customFormat="1" x14ac:dyDescent="0.2">
      <c r="A114" s="87">
        <v>45363</v>
      </c>
      <c r="B114" s="120" t="s">
        <v>6</v>
      </c>
      <c r="C114" s="75" t="s">
        <v>271</v>
      </c>
      <c r="D114" s="88">
        <v>952416</v>
      </c>
      <c r="G114" s="30"/>
      <c r="H114" s="30"/>
      <c r="P114" s="70"/>
    </row>
    <row r="115" spans="1:16" s="2" customFormat="1" x14ac:dyDescent="0.2">
      <c r="A115" s="87">
        <v>45363</v>
      </c>
      <c r="B115" s="120" t="s">
        <v>6</v>
      </c>
      <c r="C115" s="75" t="s">
        <v>18</v>
      </c>
      <c r="D115" s="88">
        <v>591483</v>
      </c>
      <c r="G115" s="30"/>
      <c r="H115" s="30"/>
      <c r="P115" s="70"/>
    </row>
    <row r="116" spans="1:16" s="2" customFormat="1" x14ac:dyDescent="0.2">
      <c r="A116" s="87">
        <v>45364</v>
      </c>
      <c r="B116" s="120" t="s">
        <v>6</v>
      </c>
      <c r="C116" s="75" t="s">
        <v>85</v>
      </c>
      <c r="D116" s="88">
        <v>701638</v>
      </c>
      <c r="G116" s="30"/>
      <c r="H116" s="30"/>
      <c r="P116" s="70"/>
    </row>
    <row r="117" spans="1:16" s="2" customFormat="1" x14ac:dyDescent="0.2">
      <c r="A117" s="87">
        <v>45364</v>
      </c>
      <c r="B117" s="120" t="s">
        <v>6</v>
      </c>
      <c r="C117" s="75" t="s">
        <v>86</v>
      </c>
      <c r="D117" s="88">
        <v>1887871</v>
      </c>
      <c r="G117" s="30"/>
      <c r="H117" s="30"/>
      <c r="P117" s="70"/>
    </row>
    <row r="118" spans="1:16" s="2" customFormat="1" x14ac:dyDescent="0.2">
      <c r="A118" s="87">
        <v>45365</v>
      </c>
      <c r="B118" s="120" t="s">
        <v>6</v>
      </c>
      <c r="C118" s="75" t="s">
        <v>18</v>
      </c>
      <c r="D118" s="88">
        <v>1006330</v>
      </c>
      <c r="G118" s="30"/>
      <c r="H118" s="30"/>
      <c r="P118" s="70"/>
    </row>
    <row r="119" spans="1:16" s="2" customFormat="1" x14ac:dyDescent="0.2">
      <c r="A119" s="87">
        <v>45365</v>
      </c>
      <c r="B119" s="120" t="s">
        <v>6</v>
      </c>
      <c r="C119" s="75" t="s">
        <v>18</v>
      </c>
      <c r="D119" s="88">
        <v>5597</v>
      </c>
      <c r="G119" s="30"/>
      <c r="H119" s="30"/>
      <c r="P119" s="70"/>
    </row>
    <row r="120" spans="1:16" s="2" customFormat="1" x14ac:dyDescent="0.2">
      <c r="A120" s="87">
        <v>45366</v>
      </c>
      <c r="B120" s="120" t="s">
        <v>6</v>
      </c>
      <c r="C120" s="75" t="s">
        <v>201</v>
      </c>
      <c r="D120" s="88">
        <v>6161756</v>
      </c>
      <c r="G120" s="30"/>
      <c r="H120" s="30"/>
      <c r="P120" s="70"/>
    </row>
    <row r="121" spans="1:16" s="2" customFormat="1" x14ac:dyDescent="0.2">
      <c r="A121" s="87">
        <v>45366</v>
      </c>
      <c r="B121" s="120" t="s">
        <v>6</v>
      </c>
      <c r="C121" s="75" t="s">
        <v>1789</v>
      </c>
      <c r="D121" s="88">
        <v>7500000</v>
      </c>
      <c r="G121" s="30"/>
      <c r="H121" s="30"/>
      <c r="P121" s="70"/>
    </row>
    <row r="122" spans="1:16" s="2" customFormat="1" x14ac:dyDescent="0.2">
      <c r="A122" s="87">
        <v>45366</v>
      </c>
      <c r="B122" s="120" t="s">
        <v>6</v>
      </c>
      <c r="C122" s="75" t="s">
        <v>85</v>
      </c>
      <c r="D122" s="88">
        <v>306349</v>
      </c>
      <c r="G122" s="30"/>
      <c r="H122" s="30"/>
      <c r="P122" s="70"/>
    </row>
    <row r="123" spans="1:16" s="2" customFormat="1" x14ac:dyDescent="0.2">
      <c r="A123" s="87">
        <v>45366</v>
      </c>
      <c r="B123" s="120" t="s">
        <v>6</v>
      </c>
      <c r="C123" s="75" t="s">
        <v>85</v>
      </c>
      <c r="D123" s="88">
        <v>400000</v>
      </c>
      <c r="G123" s="30"/>
      <c r="H123" s="30"/>
      <c r="P123" s="70"/>
    </row>
    <row r="124" spans="1:16" s="2" customFormat="1" x14ac:dyDescent="0.2">
      <c r="A124" s="87">
        <v>45366</v>
      </c>
      <c r="B124" s="120" t="s">
        <v>6</v>
      </c>
      <c r="C124" s="75" t="s">
        <v>87</v>
      </c>
      <c r="D124" s="88">
        <v>4850915</v>
      </c>
      <c r="G124" s="30"/>
      <c r="H124" s="30"/>
      <c r="P124" s="70"/>
    </row>
    <row r="125" spans="1:16" s="2" customFormat="1" x14ac:dyDescent="0.2">
      <c r="A125" s="87">
        <v>45366</v>
      </c>
      <c r="B125" s="120" t="s">
        <v>6</v>
      </c>
      <c r="C125" s="75" t="s">
        <v>88</v>
      </c>
      <c r="D125" s="88">
        <v>5232207.0599999996</v>
      </c>
      <c r="G125" s="30"/>
      <c r="H125" s="30"/>
      <c r="P125" s="70"/>
    </row>
    <row r="126" spans="1:16" s="2" customFormat="1" x14ac:dyDescent="0.2">
      <c r="A126" s="87">
        <v>45366</v>
      </c>
      <c r="B126" s="120" t="s">
        <v>6</v>
      </c>
      <c r="C126" s="75" t="s">
        <v>201</v>
      </c>
      <c r="D126" s="88">
        <v>9960808.3800000008</v>
      </c>
      <c r="G126" s="30"/>
      <c r="H126" s="30"/>
      <c r="P126" s="70"/>
    </row>
    <row r="127" spans="1:16" s="2" customFormat="1" x14ac:dyDescent="0.2">
      <c r="A127" s="87">
        <v>45366</v>
      </c>
      <c r="B127" s="120" t="s">
        <v>6</v>
      </c>
      <c r="C127" s="75" t="s">
        <v>86</v>
      </c>
      <c r="D127" s="88">
        <v>7162826</v>
      </c>
      <c r="G127" s="30"/>
      <c r="H127" s="30"/>
      <c r="P127" s="70"/>
    </row>
    <row r="128" spans="1:16" s="2" customFormat="1" x14ac:dyDescent="0.2">
      <c r="A128" s="87">
        <v>45366</v>
      </c>
      <c r="B128" s="120" t="s">
        <v>6</v>
      </c>
      <c r="C128" s="75" t="s">
        <v>323</v>
      </c>
      <c r="D128" s="88">
        <v>1044131</v>
      </c>
      <c r="G128" s="30"/>
      <c r="H128" s="30"/>
      <c r="P128" s="70"/>
    </row>
    <row r="129" spans="1:16" s="2" customFormat="1" x14ac:dyDescent="0.2">
      <c r="A129" s="87">
        <v>45366</v>
      </c>
      <c r="B129" s="120" t="s">
        <v>6</v>
      </c>
      <c r="C129" s="75" t="s">
        <v>1789</v>
      </c>
      <c r="D129" s="88">
        <v>39309</v>
      </c>
      <c r="G129" s="30"/>
      <c r="H129" s="30"/>
      <c r="P129" s="70"/>
    </row>
    <row r="130" spans="1:16" s="2" customFormat="1" x14ac:dyDescent="0.2">
      <c r="A130" s="87">
        <v>45366</v>
      </c>
      <c r="B130" s="120" t="s">
        <v>6</v>
      </c>
      <c r="C130" s="75" t="s">
        <v>88</v>
      </c>
      <c r="D130" s="88">
        <v>30421</v>
      </c>
      <c r="G130" s="30"/>
      <c r="H130" s="30"/>
      <c r="P130" s="70"/>
    </row>
    <row r="131" spans="1:16" s="2" customFormat="1" x14ac:dyDescent="0.2">
      <c r="A131" s="87">
        <v>45366</v>
      </c>
      <c r="B131" s="120" t="s">
        <v>6</v>
      </c>
      <c r="C131" s="75" t="s">
        <v>270</v>
      </c>
      <c r="D131" s="88">
        <v>76786</v>
      </c>
      <c r="G131" s="30"/>
      <c r="H131" s="30"/>
      <c r="P131" s="70"/>
    </row>
    <row r="132" spans="1:16" s="2" customFormat="1" x14ac:dyDescent="0.2">
      <c r="A132" s="87">
        <v>45366</v>
      </c>
      <c r="B132" s="120" t="s">
        <v>6</v>
      </c>
      <c r="C132" s="75" t="s">
        <v>270</v>
      </c>
      <c r="D132" s="88">
        <v>30283.5</v>
      </c>
      <c r="G132" s="30"/>
      <c r="H132" s="30"/>
      <c r="P132" s="70"/>
    </row>
    <row r="133" spans="1:16" s="2" customFormat="1" x14ac:dyDescent="0.2">
      <c r="A133" s="87">
        <v>45367</v>
      </c>
      <c r="B133" s="120" t="s">
        <v>6</v>
      </c>
      <c r="C133" s="75" t="s">
        <v>594</v>
      </c>
      <c r="D133" s="88">
        <v>5010276</v>
      </c>
      <c r="G133" s="30"/>
      <c r="H133" s="30"/>
      <c r="P133" s="70"/>
    </row>
    <row r="134" spans="1:16" s="2" customFormat="1" x14ac:dyDescent="0.2">
      <c r="A134" s="87">
        <v>45369</v>
      </c>
      <c r="B134" s="120" t="s">
        <v>6</v>
      </c>
      <c r="C134" s="75" t="s">
        <v>86</v>
      </c>
      <c r="D134" s="88">
        <v>5267306</v>
      </c>
      <c r="G134" s="30"/>
      <c r="H134" s="30"/>
      <c r="P134" s="70"/>
    </row>
    <row r="135" spans="1:16" s="2" customFormat="1" x14ac:dyDescent="0.2">
      <c r="A135" s="87">
        <v>45371</v>
      </c>
      <c r="B135" s="120" t="s">
        <v>6</v>
      </c>
      <c r="C135" s="75" t="s">
        <v>1789</v>
      </c>
      <c r="D135" s="88">
        <v>7500000</v>
      </c>
      <c r="G135" s="30"/>
      <c r="H135" s="30"/>
      <c r="P135" s="70"/>
    </row>
    <row r="136" spans="1:16" s="2" customFormat="1" x14ac:dyDescent="0.2">
      <c r="A136" s="87">
        <v>45371</v>
      </c>
      <c r="B136" s="120" t="s">
        <v>6</v>
      </c>
      <c r="C136" s="75" t="s">
        <v>271</v>
      </c>
      <c r="D136" s="88">
        <v>1203166</v>
      </c>
      <c r="G136" s="30"/>
      <c r="H136" s="30"/>
      <c r="P136" s="70"/>
    </row>
    <row r="137" spans="1:16" s="2" customFormat="1" x14ac:dyDescent="0.2">
      <c r="A137" s="87">
        <v>45372</v>
      </c>
      <c r="B137" s="120" t="s">
        <v>6</v>
      </c>
      <c r="C137" s="75" t="s">
        <v>85</v>
      </c>
      <c r="D137" s="88">
        <v>408027</v>
      </c>
      <c r="G137" s="30"/>
      <c r="H137" s="30"/>
      <c r="P137" s="70"/>
    </row>
    <row r="138" spans="1:16" s="2" customFormat="1" x14ac:dyDescent="0.2">
      <c r="A138" s="87">
        <v>45373</v>
      </c>
      <c r="B138" s="120" t="s">
        <v>6</v>
      </c>
      <c r="C138" s="75" t="s">
        <v>84</v>
      </c>
      <c r="D138" s="88">
        <v>5000000</v>
      </c>
      <c r="G138" s="30"/>
      <c r="H138" s="30"/>
      <c r="P138" s="70"/>
    </row>
    <row r="139" spans="1:16" s="2" customFormat="1" x14ac:dyDescent="0.2">
      <c r="A139" s="87">
        <v>45373</v>
      </c>
      <c r="B139" s="120" t="s">
        <v>6</v>
      </c>
      <c r="C139" s="75" t="s">
        <v>270</v>
      </c>
      <c r="D139" s="88">
        <v>121900</v>
      </c>
      <c r="G139" s="30"/>
      <c r="H139" s="30"/>
      <c r="P139" s="70"/>
    </row>
    <row r="140" spans="1:16" s="2" customFormat="1" x14ac:dyDescent="0.2">
      <c r="A140" s="87">
        <v>45377</v>
      </c>
      <c r="B140" s="120" t="s">
        <v>6</v>
      </c>
      <c r="C140" s="75" t="s">
        <v>85</v>
      </c>
      <c r="D140" s="88">
        <v>132254</v>
      </c>
      <c r="G140" s="30"/>
      <c r="H140" s="30"/>
      <c r="P140" s="70"/>
    </row>
    <row r="141" spans="1:16" s="2" customFormat="1" x14ac:dyDescent="0.2">
      <c r="A141" s="87">
        <v>45377</v>
      </c>
      <c r="B141" s="120" t="s">
        <v>6</v>
      </c>
      <c r="C141" s="75" t="s">
        <v>201</v>
      </c>
      <c r="D141" s="88">
        <v>4334854</v>
      </c>
      <c r="G141" s="30"/>
      <c r="H141" s="30"/>
      <c r="P141" s="70"/>
    </row>
    <row r="142" spans="1:16" s="2" customFormat="1" x14ac:dyDescent="0.2">
      <c r="A142" s="87">
        <v>45377</v>
      </c>
      <c r="B142" s="120" t="s">
        <v>6</v>
      </c>
      <c r="C142" s="75" t="s">
        <v>1789</v>
      </c>
      <c r="D142" s="88">
        <v>1744249</v>
      </c>
      <c r="G142" s="30"/>
      <c r="H142" s="30"/>
      <c r="P142" s="70"/>
    </row>
    <row r="143" spans="1:16" s="2" customFormat="1" x14ac:dyDescent="0.2">
      <c r="A143" s="87">
        <v>45377</v>
      </c>
      <c r="B143" s="120" t="s">
        <v>6</v>
      </c>
      <c r="C143" s="75" t="s">
        <v>87</v>
      </c>
      <c r="D143" s="88">
        <v>2240377</v>
      </c>
      <c r="G143" s="30"/>
      <c r="H143" s="30"/>
      <c r="P143" s="70"/>
    </row>
    <row r="144" spans="1:16" s="2" customFormat="1" x14ac:dyDescent="0.2">
      <c r="A144" s="87">
        <v>45380</v>
      </c>
      <c r="B144" s="120" t="s">
        <v>6</v>
      </c>
      <c r="C144" s="75" t="s">
        <v>201</v>
      </c>
      <c r="D144" s="88">
        <v>11070092.4</v>
      </c>
      <c r="G144" s="30"/>
      <c r="H144" s="30"/>
      <c r="P144" s="70"/>
    </row>
    <row r="145" spans="1:16" s="2" customFormat="1" x14ac:dyDescent="0.2">
      <c r="A145" s="87">
        <v>45380</v>
      </c>
      <c r="B145" s="120" t="s">
        <v>6</v>
      </c>
      <c r="C145" s="75" t="s">
        <v>88</v>
      </c>
      <c r="D145" s="88">
        <v>6185915.5599999996</v>
      </c>
      <c r="G145" s="30"/>
      <c r="H145" s="30"/>
      <c r="P145" s="70"/>
    </row>
    <row r="146" spans="1:16" s="2" customFormat="1" x14ac:dyDescent="0.2">
      <c r="A146" s="87">
        <v>45381</v>
      </c>
      <c r="B146" s="120" t="s">
        <v>6</v>
      </c>
      <c r="C146" s="75" t="s">
        <v>270</v>
      </c>
      <c r="D146" s="88">
        <v>1362042</v>
      </c>
      <c r="G146" s="30"/>
      <c r="H146" s="30"/>
      <c r="P146" s="70"/>
    </row>
    <row r="147" spans="1:16" s="2" customFormat="1" x14ac:dyDescent="0.2">
      <c r="A147" s="87">
        <v>45381</v>
      </c>
      <c r="B147" s="120" t="s">
        <v>6</v>
      </c>
      <c r="C147" s="75" t="s">
        <v>1789</v>
      </c>
      <c r="D147" s="88">
        <v>6966761</v>
      </c>
      <c r="G147" s="30"/>
      <c r="H147" s="30"/>
      <c r="P147" s="70"/>
    </row>
    <row r="148" spans="1:16" s="2" customFormat="1" x14ac:dyDescent="0.2">
      <c r="A148" s="87">
        <v>45381</v>
      </c>
      <c r="B148" s="120" t="s">
        <v>6</v>
      </c>
      <c r="C148" s="75" t="s">
        <v>270</v>
      </c>
      <c r="D148" s="88">
        <v>110671</v>
      </c>
      <c r="G148" s="30"/>
      <c r="H148" s="30"/>
      <c r="P148" s="70"/>
    </row>
    <row r="149" spans="1:16" s="2" customFormat="1" x14ac:dyDescent="0.2">
      <c r="A149" s="87"/>
      <c r="B149" s="74"/>
      <c r="C149" s="183" t="s">
        <v>2141</v>
      </c>
      <c r="D149" s="51">
        <f>SUM(D103:D148)</f>
        <v>119874862.90000001</v>
      </c>
      <c r="F149" s="2" t="s">
        <v>396</v>
      </c>
      <c r="G149" s="1"/>
      <c r="H149" s="1"/>
      <c r="P149" s="70"/>
    </row>
    <row r="150" spans="1:16" s="2" customFormat="1" x14ac:dyDescent="0.2">
      <c r="A150" s="24"/>
      <c r="B150" s="1"/>
      <c r="C150" s="14"/>
      <c r="D150" s="56"/>
      <c r="E150" s="13"/>
      <c r="G150" s="1"/>
      <c r="H150" s="1"/>
      <c r="I150" s="2" t="s">
        <v>396</v>
      </c>
    </row>
    <row r="151" spans="1:16" s="2" customFormat="1" x14ac:dyDescent="0.2">
      <c r="A151" s="24"/>
      <c r="B151" s="1"/>
      <c r="C151" s="218" t="s">
        <v>77</v>
      </c>
      <c r="D151" s="219"/>
      <c r="E151" s="219"/>
      <c r="F151" s="220"/>
      <c r="I151" s="2" t="s">
        <v>396</v>
      </c>
    </row>
    <row r="152" spans="1:16" s="2" customFormat="1" x14ac:dyDescent="0.2">
      <c r="A152" s="24"/>
      <c r="B152" s="1"/>
      <c r="C152" s="50"/>
      <c r="D152" s="57" t="s">
        <v>78</v>
      </c>
      <c r="E152" s="58" t="s">
        <v>79</v>
      </c>
      <c r="F152" s="57" t="s">
        <v>72</v>
      </c>
    </row>
    <row r="153" spans="1:16" s="2" customFormat="1" x14ac:dyDescent="0.2">
      <c r="A153" s="24"/>
      <c r="B153" s="1"/>
      <c r="C153" s="59" t="str">
        <f>"01-03-2024 to "&amp;TEXT(A5-2,"dd-mm-yyyy")</f>
        <v>01-03-2024 to 30-03-2024</v>
      </c>
      <c r="D153" s="60">
        <v>4343.6499999999996</v>
      </c>
      <c r="E153" s="60">
        <v>582.48</v>
      </c>
      <c r="F153" s="61">
        <f>SUM(D153:E153)</f>
        <v>4926.1299999999992</v>
      </c>
      <c r="I153" s="53"/>
    </row>
    <row r="154" spans="1:16" s="2" customFormat="1" x14ac:dyDescent="0.2">
      <c r="A154" s="24"/>
      <c r="B154" s="1"/>
      <c r="C154" s="62" t="str">
        <f>TEXT(A5-1,"dd-mm-yyyy")</f>
        <v>31-03-2024</v>
      </c>
      <c r="D154" s="60">
        <v>210.51</v>
      </c>
      <c r="E154" s="60">
        <v>12.81</v>
      </c>
      <c r="F154" s="61">
        <f>SUM(D154:E154)</f>
        <v>223.32</v>
      </c>
      <c r="G154" s="1"/>
      <c r="H154" s="1"/>
      <c r="I154" s="53"/>
    </row>
    <row r="155" spans="1:16" s="2" customFormat="1" ht="13.5" thickBot="1" x14ac:dyDescent="0.25">
      <c r="A155" s="24"/>
      <c r="B155" s="1"/>
      <c r="C155" s="63" t="str">
        <f>"01-03-2024 to "&amp;TEXT(A5-1,"dd-mm-yyyy")</f>
        <v>01-03-2024 to 31-03-2024</v>
      </c>
      <c r="D155" s="64">
        <f>SUM(D153:D154)</f>
        <v>4554.16</v>
      </c>
      <c r="E155" s="64">
        <f>SUM(E153:E154)</f>
        <v>595.29</v>
      </c>
      <c r="F155" s="64">
        <f>SUM(F153:F154)</f>
        <v>5149.4499999999989</v>
      </c>
      <c r="G155" s="1"/>
      <c r="H155" s="1"/>
      <c r="M155" s="1"/>
      <c r="N155" s="1"/>
    </row>
    <row r="156" spans="1:16" s="2" customFormat="1" ht="13.5" thickTop="1" x14ac:dyDescent="0.2">
      <c r="A156" s="24"/>
      <c r="B156" s="1"/>
      <c r="C156" s="62"/>
      <c r="D156" s="65"/>
      <c r="E156" s="66"/>
      <c r="F156" s="67"/>
      <c r="M156" s="1"/>
      <c r="N156" s="1"/>
    </row>
    <row r="157" spans="1:16" s="2" customFormat="1" x14ac:dyDescent="0.2">
      <c r="A157" s="24"/>
      <c r="B157" s="1"/>
      <c r="C157" s="62" t="str">
        <f>"01-04-2023 to " &amp;C154</f>
        <v>01-04-2023 to 31-03-2024</v>
      </c>
      <c r="D157" s="68">
        <f>+D155+41127.88</f>
        <v>45682.039999999994</v>
      </c>
      <c r="E157" s="68">
        <f>+E155+5179.64</f>
        <v>5774.93</v>
      </c>
      <c r="F157" s="68">
        <f>+F155+46316.49</f>
        <v>51465.939999999995</v>
      </c>
      <c r="G157" s="1"/>
      <c r="H157" s="1"/>
      <c r="M157" s="1"/>
      <c r="N157" s="1"/>
    </row>
    <row r="158" spans="1:16" s="2" customFormat="1" x14ac:dyDescent="0.2">
      <c r="A158" s="24"/>
      <c r="B158" s="1"/>
      <c r="C158" s="52"/>
      <c r="D158" s="85"/>
      <c r="E158" s="53"/>
      <c r="F158" s="53"/>
      <c r="G158" s="1"/>
      <c r="H158" s="1"/>
      <c r="M158" s="1"/>
      <c r="N158" s="1"/>
    </row>
    <row r="159" spans="1:16" s="2" customFormat="1" x14ac:dyDescent="0.2">
      <c r="A159" s="24"/>
      <c r="B159" s="1"/>
      <c r="C159" s="52"/>
      <c r="D159" s="85"/>
      <c r="E159" s="53"/>
      <c r="F159" s="53"/>
      <c r="G159" s="1"/>
      <c r="H159" s="1"/>
      <c r="M159" s="1"/>
      <c r="N159" s="1"/>
    </row>
    <row r="160" spans="1:16" s="2" customFormat="1" x14ac:dyDescent="0.2">
      <c r="A160" s="24"/>
      <c r="B160" s="1"/>
      <c r="C160" s="52"/>
      <c r="D160" s="85"/>
      <c r="E160" s="53"/>
      <c r="F160" s="53"/>
      <c r="G160" s="1"/>
      <c r="H160" s="1"/>
      <c r="M160" s="1"/>
      <c r="N160" s="1"/>
    </row>
    <row r="161" spans="1:19" s="2" customFormat="1" x14ac:dyDescent="0.2">
      <c r="A161" s="24"/>
      <c r="B161" s="1"/>
      <c r="C161" s="52"/>
      <c r="D161" s="85"/>
      <c r="E161" s="53"/>
      <c r="F161" s="53"/>
      <c r="G161" s="1"/>
      <c r="H161" s="1"/>
      <c r="M161" s="1"/>
      <c r="N161" s="1"/>
    </row>
    <row r="162" spans="1:19" s="2" customFormat="1" x14ac:dyDescent="0.2">
      <c r="A162" s="24"/>
      <c r="B162" s="1"/>
      <c r="C162" s="14"/>
      <c r="D162" s="25">
        <f>SUM(D159:D161)</f>
        <v>0</v>
      </c>
      <c r="E162" s="2">
        <f>SUM(E159:E161)</f>
        <v>0</v>
      </c>
      <c r="G162" s="1"/>
      <c r="H162" s="1"/>
      <c r="M162" s="1"/>
      <c r="N162" s="1"/>
    </row>
    <row r="163" spans="1:19" s="2" customFormat="1" x14ac:dyDescent="0.2">
      <c r="A163" s="24"/>
      <c r="B163" s="1"/>
      <c r="C163" s="14"/>
      <c r="D163" s="25"/>
      <c r="G163" s="1"/>
      <c r="H163" s="1"/>
      <c r="M163" s="1"/>
      <c r="N163" s="1"/>
    </row>
    <row r="164" spans="1:19" s="2" customFormat="1" x14ac:dyDescent="0.2">
      <c r="A164" s="24"/>
      <c r="B164" s="1"/>
      <c r="C164" s="14"/>
      <c r="D164" s="25"/>
      <c r="G164" s="1"/>
      <c r="H164" s="1"/>
      <c r="M164" s="1"/>
      <c r="N164" s="1"/>
    </row>
    <row r="165" spans="1:19" s="2" customFormat="1" x14ac:dyDescent="0.2">
      <c r="A165" s="24"/>
      <c r="B165" s="1"/>
      <c r="C165" s="14"/>
      <c r="D165" s="25"/>
      <c r="G165" s="1"/>
      <c r="H165" s="1"/>
      <c r="M165" s="1"/>
      <c r="N165" s="1"/>
    </row>
    <row r="166" spans="1:19" s="2" customFormat="1" x14ac:dyDescent="0.2">
      <c r="A166" s="24"/>
      <c r="B166" s="1"/>
      <c r="C166" s="14"/>
      <c r="D166" s="25"/>
      <c r="G166" s="1"/>
      <c r="H166" s="1"/>
      <c r="M166" s="1"/>
      <c r="N166" s="1"/>
    </row>
    <row r="167" spans="1:19" s="2" customFormat="1" x14ac:dyDescent="0.2">
      <c r="A167" s="24"/>
      <c r="B167" s="1"/>
      <c r="C167" s="14"/>
      <c r="D167" s="25"/>
      <c r="G167" s="1"/>
      <c r="H167" s="1"/>
      <c r="M167" s="1"/>
      <c r="N167" s="1"/>
    </row>
    <row r="168" spans="1:19" s="2" customFormat="1" x14ac:dyDescent="0.2">
      <c r="A168" s="24"/>
      <c r="B168" s="1"/>
      <c r="C168" s="14"/>
      <c r="D168" s="25"/>
      <c r="G168" s="1"/>
      <c r="H168" s="1"/>
      <c r="M168" s="1"/>
      <c r="N168" s="1"/>
    </row>
    <row r="169" spans="1:19" s="2" customFormat="1" x14ac:dyDescent="0.2">
      <c r="A169" s="24"/>
      <c r="B169" s="1"/>
      <c r="C169" s="14"/>
      <c r="D169" s="25"/>
      <c r="G169" s="1"/>
      <c r="H169" s="1"/>
      <c r="M169" s="1"/>
      <c r="N169" s="1"/>
      <c r="Q169" s="1"/>
      <c r="R169" s="1"/>
      <c r="S169" s="1"/>
    </row>
    <row r="170" spans="1:19" x14ac:dyDescent="0.2">
      <c r="J170" s="2"/>
      <c r="K170" s="2"/>
      <c r="L170" s="2"/>
      <c r="O170" s="2"/>
      <c r="P170" s="2"/>
      <c r="Q170" s="2"/>
      <c r="R170" s="2"/>
      <c r="S170" s="2"/>
    </row>
    <row r="171" spans="1:19" s="2" customFormat="1" x14ac:dyDescent="0.2">
      <c r="A171" s="24"/>
      <c r="B171" s="1"/>
      <c r="C171" s="14"/>
      <c r="D171" s="25"/>
      <c r="G171" s="1"/>
      <c r="H171" s="1"/>
      <c r="M171" s="1"/>
      <c r="N171" s="1"/>
      <c r="Q171" s="1"/>
      <c r="R171" s="1"/>
      <c r="S171" s="1"/>
    </row>
    <row r="172" spans="1:19" x14ac:dyDescent="0.2">
      <c r="J172" s="2"/>
      <c r="K172" s="2"/>
      <c r="L172" s="2"/>
      <c r="O172" s="2"/>
      <c r="P172" s="2"/>
    </row>
    <row r="173" spans="1:19" x14ac:dyDescent="0.2">
      <c r="J173" s="2"/>
      <c r="K173" s="2"/>
      <c r="L173" s="2"/>
      <c r="O173" s="2"/>
      <c r="P173" s="2"/>
    </row>
    <row r="174" spans="1:19" x14ac:dyDescent="0.2">
      <c r="J174" s="2"/>
      <c r="K174" s="2"/>
      <c r="L174" s="2"/>
      <c r="O174" s="2"/>
      <c r="P174" s="2"/>
    </row>
    <row r="175" spans="1:19" x14ac:dyDescent="0.2">
      <c r="J175" s="2"/>
      <c r="K175" s="2"/>
      <c r="L175" s="2"/>
      <c r="O175" s="2"/>
      <c r="P175" s="2"/>
    </row>
    <row r="176" spans="1:19" x14ac:dyDescent="0.2">
      <c r="O176" s="2"/>
      <c r="P176" s="2"/>
    </row>
    <row r="177" spans="7:16" x14ac:dyDescent="0.2">
      <c r="J177" s="2"/>
      <c r="K177" s="2"/>
      <c r="L177" s="2"/>
      <c r="M177" s="2"/>
      <c r="N177" s="2"/>
      <c r="O177" s="2"/>
      <c r="P177" s="2"/>
    </row>
    <row r="178" spans="7:16" x14ac:dyDescent="0.2">
      <c r="O178" s="2"/>
      <c r="P178" s="2"/>
    </row>
    <row r="179" spans="7:16" x14ac:dyDescent="0.2">
      <c r="G179" s="54"/>
      <c r="H179" s="54"/>
      <c r="O179" s="2"/>
      <c r="P179" s="2"/>
    </row>
    <row r="180" spans="7:16" x14ac:dyDescent="0.2">
      <c r="G180" s="54"/>
      <c r="H180" s="54"/>
      <c r="O180" s="2"/>
      <c r="P180" s="2"/>
    </row>
    <row r="181" spans="7:16" x14ac:dyDescent="0.2">
      <c r="G181" s="54"/>
      <c r="H181" s="54"/>
      <c r="O181" s="2"/>
      <c r="P181" s="2"/>
    </row>
    <row r="182" spans="7:16" x14ac:dyDescent="0.2">
      <c r="G182" s="54"/>
      <c r="H182" s="54"/>
      <c r="I182" s="2" t="s">
        <v>396</v>
      </c>
      <c r="O182" s="2"/>
      <c r="P182" s="2"/>
    </row>
    <row r="183" spans="7:16" x14ac:dyDescent="0.2">
      <c r="G183" s="54"/>
      <c r="H183" s="54"/>
      <c r="I183" s="53"/>
      <c r="J183" s="2"/>
      <c r="K183" s="2"/>
      <c r="L183" s="2"/>
      <c r="M183" s="2"/>
      <c r="N183" s="2"/>
      <c r="P183" s="2"/>
    </row>
    <row r="184" spans="7:16" x14ac:dyDescent="0.2">
      <c r="G184" s="54"/>
      <c r="H184" s="54"/>
      <c r="I184" s="53" t="s">
        <v>396</v>
      </c>
      <c r="O184" s="2"/>
      <c r="P184" s="2"/>
    </row>
    <row r="185" spans="7:16" x14ac:dyDescent="0.2">
      <c r="G185" s="54"/>
      <c r="H185" s="54"/>
      <c r="I185" s="53" t="s">
        <v>396</v>
      </c>
      <c r="K185" s="42"/>
      <c r="P185" s="2"/>
    </row>
    <row r="186" spans="7:16" x14ac:dyDescent="0.2">
      <c r="G186" s="54"/>
      <c r="H186" s="54"/>
      <c r="I186" s="53"/>
      <c r="J186" s="101"/>
      <c r="P186" s="2"/>
    </row>
    <row r="187" spans="7:16" x14ac:dyDescent="0.2">
      <c r="G187" s="54"/>
      <c r="H187" s="54"/>
      <c r="I187" s="53"/>
    </row>
    <row r="188" spans="7:16" x14ac:dyDescent="0.2">
      <c r="G188" s="54"/>
      <c r="H188" s="54"/>
      <c r="I188" s="53"/>
      <c r="P188" s="2"/>
    </row>
    <row r="189" spans="7:16" x14ac:dyDescent="0.2">
      <c r="G189" s="54"/>
      <c r="H189" s="54"/>
      <c r="I189" s="53"/>
    </row>
  </sheetData>
  <sheetProtection insertRows="0"/>
  <mergeCells count="8">
    <mergeCell ref="K94:L94"/>
    <mergeCell ref="A101:D101"/>
    <mergeCell ref="C151:F151"/>
    <mergeCell ref="A1:H1"/>
    <mergeCell ref="A3:F3"/>
    <mergeCell ref="A9:F9"/>
    <mergeCell ref="A22:F22"/>
    <mergeCell ref="A36:F36"/>
  </mergeCells>
  <conditionalFormatting sqref="H98:H99">
    <cfRule type="cellIs" dxfId="1" priority="1" operator="lessThan">
      <formula>0</formula>
    </cfRule>
  </conditionalFormatting>
  <conditionalFormatting sqref="C38">
    <cfRule type="duplicateValues" dxfId="0" priority="2"/>
  </conditionalFormatting>
  <pageMargins left="0.70866141732283472" right="0.70866141732283472" top="0.74803149606299213" bottom="0.74803149606299213" header="0.31496062992125984" footer="0.31496062992125984"/>
  <pageSetup scale="37" fitToHeight="2" orientation="portrait" r:id="rId1"/>
</worksheet>
</file>

<file path=xl/worksheets/sheet29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1-000000000000}">
  <sheetPr codeName="Sheet1" filterMode="1"/>
  <dimension ref="A1:N1000"/>
  <sheetViews>
    <sheetView topLeftCell="B1" workbookViewId="0">
      <selection activeCell="I1" sqref="I1"/>
    </sheetView>
  </sheetViews>
  <sheetFormatPr defaultRowHeight="15" x14ac:dyDescent="0.25"/>
  <cols>
    <col min="1" max="1" width="48.42578125" bestFit="1" customWidth="1"/>
    <col min="2" max="2" width="12.85546875" bestFit="1" customWidth="1"/>
    <col min="3" max="3" width="11.28515625" bestFit="1" customWidth="1"/>
    <col min="6" max="6" width="39.42578125" bestFit="1" customWidth="1"/>
    <col min="7" max="7" width="12" bestFit="1" customWidth="1"/>
    <col min="9" max="9" width="48.28515625" bestFit="1" customWidth="1"/>
    <col min="10" max="10" width="19" bestFit="1" customWidth="1"/>
    <col min="11" max="11" width="15.7109375" style="39" bestFit="1" customWidth="1"/>
    <col min="12" max="12" width="15.5703125" style="39" bestFit="1" customWidth="1"/>
  </cols>
  <sheetData>
    <row r="1" spans="1:14" ht="42.75" customHeight="1" x14ac:dyDescent="0.25">
      <c r="A1" s="77" t="s">
        <v>82</v>
      </c>
      <c r="B1" s="77" t="s">
        <v>89</v>
      </c>
      <c r="C1" s="77" t="s">
        <v>90</v>
      </c>
      <c r="G1" s="82"/>
      <c r="H1" s="82"/>
      <c r="I1" s="83" t="s">
        <v>2</v>
      </c>
      <c r="J1" s="83" t="s">
        <v>100</v>
      </c>
      <c r="K1" s="83" t="s">
        <v>4</v>
      </c>
      <c r="L1" s="83" t="s">
        <v>5</v>
      </c>
    </row>
    <row r="2" spans="1:14" hidden="1" x14ac:dyDescent="0.25">
      <c r="A2" s="188" t="s">
        <v>1331</v>
      </c>
      <c r="B2" s="190">
        <v>95905</v>
      </c>
      <c r="C2" s="191"/>
      <c r="I2" s="195" t="s">
        <v>1331</v>
      </c>
      <c r="J2" s="177" t="str">
        <f t="shared" ref="J2:J33" si="0">+IF(K3&gt;0,"Bank Receipts","Bank Payment")</f>
        <v>Bank Receipts</v>
      </c>
      <c r="K2" s="86">
        <f t="shared" ref="K2:K33" si="1">+SUMIFS($B$2:$B$1000,$A$2:$A$1000,I2)</f>
        <v>95905</v>
      </c>
      <c r="L2" s="86">
        <f t="shared" ref="L2:L33" si="2">+SUMIFS($C$2:$C$1000,$A$2:$A$1000,I2)</f>
        <v>0</v>
      </c>
    </row>
    <row r="3" spans="1:14" hidden="1" x14ac:dyDescent="0.25">
      <c r="A3" s="189" t="s">
        <v>727</v>
      </c>
      <c r="B3" s="192">
        <v>197663</v>
      </c>
      <c r="C3" s="193"/>
      <c r="I3" s="196" t="s">
        <v>727</v>
      </c>
      <c r="J3" s="177" t="str">
        <f t="shared" si="0"/>
        <v>Bank Receipts</v>
      </c>
      <c r="K3" s="86">
        <f t="shared" si="1"/>
        <v>197663</v>
      </c>
      <c r="L3" s="86">
        <f t="shared" si="2"/>
        <v>0</v>
      </c>
    </row>
    <row r="4" spans="1:14" hidden="1" x14ac:dyDescent="0.25">
      <c r="A4" s="189" t="s">
        <v>15</v>
      </c>
      <c r="B4" s="192">
        <v>12759.16</v>
      </c>
      <c r="C4" s="193"/>
      <c r="I4" s="196" t="s">
        <v>15</v>
      </c>
      <c r="J4" s="177" t="str">
        <f t="shared" si="0"/>
        <v>Bank Receipts</v>
      </c>
      <c r="K4" s="86">
        <f t="shared" si="1"/>
        <v>12759.16</v>
      </c>
      <c r="L4" s="86">
        <f t="shared" si="2"/>
        <v>163053.48000000001</v>
      </c>
    </row>
    <row r="5" spans="1:14" hidden="1" x14ac:dyDescent="0.25">
      <c r="A5" s="189" t="s">
        <v>24</v>
      </c>
      <c r="B5" s="192">
        <v>875244</v>
      </c>
      <c r="C5" s="193"/>
      <c r="I5" s="196" t="s">
        <v>24</v>
      </c>
      <c r="J5" s="177" t="str">
        <f t="shared" si="0"/>
        <v>Bank Receipts</v>
      </c>
      <c r="K5" s="86">
        <f t="shared" si="1"/>
        <v>1397115</v>
      </c>
      <c r="L5" s="86">
        <f t="shared" si="2"/>
        <v>0</v>
      </c>
    </row>
    <row r="6" spans="1:14" hidden="1" x14ac:dyDescent="0.25">
      <c r="A6" s="189" t="s">
        <v>1786</v>
      </c>
      <c r="B6" s="192">
        <v>1229564</v>
      </c>
      <c r="C6" s="193"/>
      <c r="I6" s="196" t="s">
        <v>1786</v>
      </c>
      <c r="J6" s="177" t="str">
        <f t="shared" si="0"/>
        <v>Bank Receipts</v>
      </c>
      <c r="K6" s="86">
        <f t="shared" si="1"/>
        <v>1229564</v>
      </c>
      <c r="L6" s="86">
        <f t="shared" si="2"/>
        <v>0</v>
      </c>
    </row>
    <row r="7" spans="1:14" hidden="1" x14ac:dyDescent="0.25">
      <c r="A7" s="189" t="s">
        <v>146</v>
      </c>
      <c r="B7" s="192">
        <v>1435419.9</v>
      </c>
      <c r="C7" s="193"/>
      <c r="I7" s="196" t="s">
        <v>146</v>
      </c>
      <c r="J7" s="177" t="str">
        <f t="shared" si="0"/>
        <v>Bank Receipts</v>
      </c>
      <c r="K7" s="86">
        <f t="shared" si="1"/>
        <v>1784601.7999999998</v>
      </c>
      <c r="L7" s="86">
        <f t="shared" si="2"/>
        <v>0</v>
      </c>
      <c r="N7">
        <f>3695.83-1632.06</f>
        <v>2063.77</v>
      </c>
    </row>
    <row r="8" spans="1:14" x14ac:dyDescent="0.25">
      <c r="A8" s="189" t="s">
        <v>24</v>
      </c>
      <c r="B8" s="192">
        <v>306817</v>
      </c>
      <c r="C8" s="193"/>
      <c r="I8" s="196" t="s">
        <v>19</v>
      </c>
      <c r="J8" s="177" t="str">
        <f t="shared" si="0"/>
        <v>Bank Payment</v>
      </c>
      <c r="K8" s="86">
        <f t="shared" si="1"/>
        <v>11329</v>
      </c>
      <c r="L8" s="86">
        <f t="shared" si="2"/>
        <v>0</v>
      </c>
    </row>
    <row r="9" spans="1:14" hidden="1" x14ac:dyDescent="0.25">
      <c r="A9" s="189" t="s">
        <v>19</v>
      </c>
      <c r="B9" s="192">
        <v>11329</v>
      </c>
      <c r="C9" s="193"/>
      <c r="I9" s="196" t="s">
        <v>64</v>
      </c>
      <c r="J9" s="177" t="str">
        <f t="shared" si="0"/>
        <v>Bank Receipts</v>
      </c>
      <c r="K9" s="86">
        <f t="shared" si="1"/>
        <v>0</v>
      </c>
      <c r="L9" s="86">
        <f t="shared" si="2"/>
        <v>35582.050000000003</v>
      </c>
    </row>
    <row r="10" spans="1:14" x14ac:dyDescent="0.25">
      <c r="A10" s="189" t="s">
        <v>146</v>
      </c>
      <c r="B10" s="192">
        <v>6300</v>
      </c>
      <c r="C10" s="193"/>
      <c r="I10" s="196" t="s">
        <v>785</v>
      </c>
      <c r="J10" s="177" t="str">
        <f t="shared" si="0"/>
        <v>Bank Payment</v>
      </c>
      <c r="K10" s="86">
        <f t="shared" si="1"/>
        <v>6722846</v>
      </c>
      <c r="L10" s="86">
        <f t="shared" si="2"/>
        <v>0</v>
      </c>
    </row>
    <row r="11" spans="1:14" hidden="1" x14ac:dyDescent="0.25">
      <c r="A11" s="189" t="s">
        <v>120</v>
      </c>
      <c r="B11" s="192">
        <v>14161</v>
      </c>
      <c r="C11" s="193"/>
      <c r="I11" s="196" t="s">
        <v>156</v>
      </c>
      <c r="J11" s="177" t="str">
        <f t="shared" si="0"/>
        <v>Bank Receipts</v>
      </c>
      <c r="K11" s="86">
        <f t="shared" si="1"/>
        <v>0</v>
      </c>
      <c r="L11" s="86">
        <f t="shared" si="2"/>
        <v>14</v>
      </c>
    </row>
    <row r="12" spans="1:14" x14ac:dyDescent="0.25">
      <c r="A12" s="189" t="s">
        <v>24</v>
      </c>
      <c r="B12" s="192">
        <v>69804</v>
      </c>
      <c r="C12" s="193"/>
      <c r="I12" s="196" t="s">
        <v>656</v>
      </c>
      <c r="J12" s="177" t="str">
        <f t="shared" si="0"/>
        <v>Bank Payment</v>
      </c>
      <c r="K12" s="86">
        <f t="shared" si="1"/>
        <v>351238</v>
      </c>
      <c r="L12" s="86">
        <f t="shared" si="2"/>
        <v>0</v>
      </c>
    </row>
    <row r="13" spans="1:14" x14ac:dyDescent="0.25">
      <c r="A13" s="189" t="s">
        <v>24</v>
      </c>
      <c r="B13" s="192">
        <v>72866</v>
      </c>
      <c r="C13" s="193"/>
      <c r="I13" s="196" t="s">
        <v>1798</v>
      </c>
      <c r="J13" s="177" t="str">
        <f t="shared" si="0"/>
        <v>Bank Payment</v>
      </c>
      <c r="K13" s="86">
        <f t="shared" si="1"/>
        <v>0</v>
      </c>
      <c r="L13" s="86">
        <f t="shared" si="2"/>
        <v>3016302</v>
      </c>
    </row>
    <row r="14" spans="1:14" x14ac:dyDescent="0.25">
      <c r="A14" s="189" t="s">
        <v>15</v>
      </c>
      <c r="B14" s="193"/>
      <c r="C14" s="192">
        <v>42399.97</v>
      </c>
      <c r="I14" s="196" t="s">
        <v>127</v>
      </c>
      <c r="J14" s="177" t="str">
        <f t="shared" si="0"/>
        <v>Bank Payment</v>
      </c>
      <c r="K14" s="86">
        <f t="shared" si="1"/>
        <v>0</v>
      </c>
      <c r="L14" s="86">
        <f t="shared" si="2"/>
        <v>1004739</v>
      </c>
      <c r="N14">
        <v>50441145</v>
      </c>
    </row>
    <row r="15" spans="1:14" x14ac:dyDescent="0.25">
      <c r="A15" s="189" t="s">
        <v>64</v>
      </c>
      <c r="B15" s="193"/>
      <c r="C15" s="192">
        <v>1180</v>
      </c>
      <c r="I15" s="196" t="s">
        <v>102</v>
      </c>
      <c r="J15" s="177" t="str">
        <f t="shared" si="0"/>
        <v>Bank Payment</v>
      </c>
      <c r="K15" s="86">
        <f t="shared" si="1"/>
        <v>0</v>
      </c>
      <c r="L15" s="86">
        <f t="shared" si="2"/>
        <v>576639.34</v>
      </c>
      <c r="N15">
        <f>+N14-18831.48</f>
        <v>50422313.520000003</v>
      </c>
    </row>
    <row r="16" spans="1:14" hidden="1" x14ac:dyDescent="0.25">
      <c r="A16" s="189" t="s">
        <v>785</v>
      </c>
      <c r="B16" s="192">
        <v>2282116</v>
      </c>
      <c r="C16" s="193"/>
      <c r="I16" s="196" t="s">
        <v>16</v>
      </c>
      <c r="J16" s="177" t="str">
        <f t="shared" si="0"/>
        <v>Bank Receipts</v>
      </c>
      <c r="K16" s="86">
        <f t="shared" si="1"/>
        <v>0</v>
      </c>
      <c r="L16" s="86">
        <f t="shared" si="2"/>
        <v>186959.44</v>
      </c>
    </row>
    <row r="17" spans="1:12" hidden="1" x14ac:dyDescent="0.25">
      <c r="A17" s="189" t="s">
        <v>15</v>
      </c>
      <c r="B17" s="193"/>
      <c r="C17" s="192">
        <v>10572.29</v>
      </c>
      <c r="I17" s="196" t="s">
        <v>1627</v>
      </c>
      <c r="J17" s="177" t="str">
        <f t="shared" si="0"/>
        <v>Bank Receipts</v>
      </c>
      <c r="K17" s="86">
        <f t="shared" si="1"/>
        <v>7790056.6500000004</v>
      </c>
      <c r="L17" s="86">
        <f t="shared" si="2"/>
        <v>0</v>
      </c>
    </row>
    <row r="18" spans="1:12" hidden="1" x14ac:dyDescent="0.25">
      <c r="A18" s="189" t="s">
        <v>64</v>
      </c>
      <c r="B18" s="193"/>
      <c r="C18" s="192">
        <v>1180</v>
      </c>
      <c r="I18" s="196" t="s">
        <v>149</v>
      </c>
      <c r="J18" s="177" t="str">
        <f t="shared" si="0"/>
        <v>Bank Receipts</v>
      </c>
      <c r="K18" s="86">
        <f t="shared" si="1"/>
        <v>4259</v>
      </c>
      <c r="L18" s="86">
        <f t="shared" si="2"/>
        <v>0</v>
      </c>
    </row>
    <row r="19" spans="1:12" hidden="1" x14ac:dyDescent="0.25">
      <c r="A19" s="189" t="s">
        <v>785</v>
      </c>
      <c r="B19" s="192">
        <v>576241</v>
      </c>
      <c r="C19" s="193"/>
      <c r="I19" s="196" t="s">
        <v>750</v>
      </c>
      <c r="J19" s="177" t="str">
        <f t="shared" si="0"/>
        <v>Bank Receipts</v>
      </c>
      <c r="K19" s="86">
        <f t="shared" si="1"/>
        <v>1203166</v>
      </c>
      <c r="L19" s="86">
        <f t="shared" si="2"/>
        <v>0</v>
      </c>
    </row>
    <row r="20" spans="1:12" hidden="1" x14ac:dyDescent="0.25">
      <c r="A20" s="189" t="s">
        <v>15</v>
      </c>
      <c r="B20" s="193"/>
      <c r="C20" s="192">
        <v>19950.95</v>
      </c>
      <c r="I20" s="196" t="s">
        <v>389</v>
      </c>
      <c r="J20" s="177" t="str">
        <f t="shared" si="0"/>
        <v>Bank Receipts</v>
      </c>
      <c r="K20" s="86">
        <f t="shared" si="1"/>
        <v>8165127.9299999997</v>
      </c>
      <c r="L20" s="86">
        <f t="shared" si="2"/>
        <v>0</v>
      </c>
    </row>
    <row r="21" spans="1:12" hidden="1" x14ac:dyDescent="0.25">
      <c r="A21" s="189" t="s">
        <v>64</v>
      </c>
      <c r="B21" s="193"/>
      <c r="C21" s="192">
        <v>1180</v>
      </c>
      <c r="I21" s="196" t="s">
        <v>487</v>
      </c>
      <c r="J21" s="177" t="str">
        <f t="shared" si="0"/>
        <v>Bank Receipts</v>
      </c>
      <c r="K21" s="86">
        <f t="shared" si="1"/>
        <v>7506316</v>
      </c>
      <c r="L21" s="86">
        <f t="shared" si="2"/>
        <v>0</v>
      </c>
    </row>
    <row r="22" spans="1:12" hidden="1" x14ac:dyDescent="0.25">
      <c r="A22" s="189" t="s">
        <v>785</v>
      </c>
      <c r="B22" s="192">
        <v>1193145</v>
      </c>
      <c r="C22" s="193"/>
      <c r="I22" s="196" t="s">
        <v>164</v>
      </c>
      <c r="J22" s="177" t="str">
        <f t="shared" si="0"/>
        <v>Bank Receipts</v>
      </c>
      <c r="K22" s="86">
        <f t="shared" si="1"/>
        <v>800000</v>
      </c>
      <c r="L22" s="86">
        <f t="shared" si="2"/>
        <v>0</v>
      </c>
    </row>
    <row r="23" spans="1:12" hidden="1" x14ac:dyDescent="0.25">
      <c r="A23" s="189" t="s">
        <v>1477</v>
      </c>
      <c r="B23" s="192">
        <v>49245</v>
      </c>
      <c r="C23" s="193"/>
      <c r="I23" s="196" t="s">
        <v>2085</v>
      </c>
      <c r="J23" s="177" t="str">
        <f t="shared" si="0"/>
        <v>Bank Receipts</v>
      </c>
      <c r="K23" s="86">
        <f t="shared" si="1"/>
        <v>300000</v>
      </c>
      <c r="L23" s="86">
        <f t="shared" si="2"/>
        <v>0</v>
      </c>
    </row>
    <row r="24" spans="1:12" hidden="1" x14ac:dyDescent="0.25">
      <c r="A24" s="189" t="s">
        <v>15</v>
      </c>
      <c r="B24" s="193"/>
      <c r="C24" s="192">
        <v>50251.92</v>
      </c>
      <c r="I24" s="196" t="s">
        <v>332</v>
      </c>
      <c r="J24" s="177" t="str">
        <f t="shared" si="0"/>
        <v>Bank Receipts</v>
      </c>
      <c r="K24" s="86">
        <f t="shared" si="1"/>
        <v>1299834</v>
      </c>
      <c r="L24" s="86">
        <f t="shared" si="2"/>
        <v>0</v>
      </c>
    </row>
    <row r="25" spans="1:12" hidden="1" x14ac:dyDescent="0.25">
      <c r="A25" s="189" t="s">
        <v>64</v>
      </c>
      <c r="B25" s="193"/>
      <c r="C25" s="192">
        <v>1180</v>
      </c>
      <c r="I25" s="196" t="s">
        <v>310</v>
      </c>
      <c r="J25" s="177" t="str">
        <f t="shared" si="0"/>
        <v>Bank Receipts</v>
      </c>
      <c r="K25" s="86">
        <f t="shared" si="1"/>
        <v>54233</v>
      </c>
      <c r="L25" s="86">
        <f t="shared" si="2"/>
        <v>0</v>
      </c>
    </row>
    <row r="26" spans="1:12" hidden="1" x14ac:dyDescent="0.25">
      <c r="A26" s="189" t="s">
        <v>785</v>
      </c>
      <c r="B26" s="192">
        <v>2671344</v>
      </c>
      <c r="C26" s="193"/>
      <c r="I26" s="196" t="s">
        <v>761</v>
      </c>
      <c r="J26" s="177" t="str">
        <f t="shared" si="0"/>
        <v>Bank Receipts</v>
      </c>
      <c r="K26" s="86">
        <f t="shared" si="1"/>
        <v>562428</v>
      </c>
      <c r="L26" s="86">
        <f t="shared" si="2"/>
        <v>0</v>
      </c>
    </row>
    <row r="27" spans="1:12" hidden="1" x14ac:dyDescent="0.25">
      <c r="A27" s="189" t="s">
        <v>120</v>
      </c>
      <c r="B27" s="192">
        <v>16512</v>
      </c>
      <c r="C27" s="193"/>
      <c r="I27" s="196" t="s">
        <v>1814</v>
      </c>
      <c r="J27" s="177" t="str">
        <f t="shared" si="0"/>
        <v>Bank Receipts</v>
      </c>
      <c r="K27" s="86">
        <f t="shared" si="1"/>
        <v>20247.64</v>
      </c>
      <c r="L27" s="86">
        <f t="shared" si="2"/>
        <v>0</v>
      </c>
    </row>
    <row r="28" spans="1:12" hidden="1" x14ac:dyDescent="0.25">
      <c r="A28" s="189" t="s">
        <v>64</v>
      </c>
      <c r="B28" s="193"/>
      <c r="C28" s="192">
        <v>22.42</v>
      </c>
      <c r="I28" s="196" t="s">
        <v>120</v>
      </c>
      <c r="J28" s="177" t="str">
        <f t="shared" si="0"/>
        <v>Bank Receipts</v>
      </c>
      <c r="K28" s="86">
        <f t="shared" si="1"/>
        <v>30673</v>
      </c>
      <c r="L28" s="86">
        <f t="shared" si="2"/>
        <v>0</v>
      </c>
    </row>
    <row r="29" spans="1:12" hidden="1" x14ac:dyDescent="0.25">
      <c r="A29" s="189" t="s">
        <v>156</v>
      </c>
      <c r="B29" s="193"/>
      <c r="C29" s="192">
        <v>14</v>
      </c>
      <c r="I29" s="196" t="s">
        <v>1477</v>
      </c>
      <c r="J29" s="177" t="str">
        <f t="shared" si="0"/>
        <v>Bank Receipts</v>
      </c>
      <c r="K29" s="86">
        <f t="shared" si="1"/>
        <v>49245</v>
      </c>
      <c r="L29" s="86">
        <f t="shared" si="2"/>
        <v>0</v>
      </c>
    </row>
    <row r="30" spans="1:12" hidden="1" x14ac:dyDescent="0.25">
      <c r="A30" s="189" t="s">
        <v>656</v>
      </c>
      <c r="B30" s="192">
        <v>351238</v>
      </c>
      <c r="C30" s="193"/>
      <c r="I30" s="196" t="s">
        <v>244</v>
      </c>
      <c r="J30" s="177" t="str">
        <f t="shared" si="0"/>
        <v>Bank Receipts</v>
      </c>
      <c r="K30" s="86">
        <f t="shared" si="1"/>
        <v>533610</v>
      </c>
      <c r="L30" s="86">
        <f t="shared" si="2"/>
        <v>0</v>
      </c>
    </row>
    <row r="31" spans="1:12" x14ac:dyDescent="0.25">
      <c r="A31" s="189" t="s">
        <v>24</v>
      </c>
      <c r="B31" s="192">
        <v>72384</v>
      </c>
      <c r="C31" s="193"/>
      <c r="I31" s="196" t="s">
        <v>418</v>
      </c>
      <c r="J31" s="177" t="str">
        <f t="shared" si="0"/>
        <v>Bank Payment</v>
      </c>
      <c r="K31" s="86">
        <f t="shared" si="1"/>
        <v>22464</v>
      </c>
      <c r="L31" s="86">
        <f t="shared" si="2"/>
        <v>0</v>
      </c>
    </row>
    <row r="32" spans="1:12" hidden="1" x14ac:dyDescent="0.25">
      <c r="A32" s="189" t="s">
        <v>244</v>
      </c>
      <c r="B32" s="192">
        <v>313075</v>
      </c>
      <c r="C32" s="193"/>
      <c r="I32" s="196" t="s">
        <v>84</v>
      </c>
      <c r="J32" s="177" t="str">
        <f t="shared" si="0"/>
        <v>Bank Receipts</v>
      </c>
      <c r="K32" s="86">
        <f t="shared" si="1"/>
        <v>0</v>
      </c>
      <c r="L32" s="86">
        <f t="shared" si="2"/>
        <v>5000000</v>
      </c>
    </row>
    <row r="33" spans="1:12" x14ac:dyDescent="0.25">
      <c r="A33" s="189" t="s">
        <v>1798</v>
      </c>
      <c r="B33" s="193"/>
      <c r="C33" s="192">
        <v>888115</v>
      </c>
      <c r="I33" s="196" t="s">
        <v>123</v>
      </c>
      <c r="J33" s="177" t="str">
        <f t="shared" si="0"/>
        <v>Bank Payment</v>
      </c>
      <c r="K33" s="86">
        <f t="shared" si="1"/>
        <v>856</v>
      </c>
      <c r="L33" s="86">
        <f t="shared" si="2"/>
        <v>440280</v>
      </c>
    </row>
    <row r="34" spans="1:12" hidden="1" x14ac:dyDescent="0.25">
      <c r="A34" s="189" t="s">
        <v>1798</v>
      </c>
      <c r="B34" s="193"/>
      <c r="C34" s="192">
        <v>1134241</v>
      </c>
      <c r="I34" s="196" t="s">
        <v>1797</v>
      </c>
      <c r="J34" s="177" t="str">
        <f t="shared" ref="J34:J65" si="3">+IF(K35&gt;0,"Bank Receipts","Bank Payment")</f>
        <v>Bank Receipts</v>
      </c>
      <c r="K34" s="86">
        <f t="shared" ref="K34:K65" si="4">+SUMIFS($B$2:$B$1000,$A$2:$A$1000,I34)</f>
        <v>0</v>
      </c>
      <c r="L34" s="86">
        <f t="shared" ref="L34:L65" si="5">+SUMIFS($C$2:$C$1000,$A$2:$A$1000,I34)</f>
        <v>100000000</v>
      </c>
    </row>
    <row r="35" spans="1:12" x14ac:dyDescent="0.25">
      <c r="A35" s="189" t="s">
        <v>244</v>
      </c>
      <c r="B35" s="192">
        <v>220535</v>
      </c>
      <c r="C35" s="193"/>
      <c r="I35" s="196" t="s">
        <v>905</v>
      </c>
      <c r="J35" s="177" t="str">
        <f t="shared" si="3"/>
        <v>Bank Payment</v>
      </c>
      <c r="K35" s="86">
        <f t="shared" si="4"/>
        <v>3366891.5</v>
      </c>
      <c r="L35" s="86">
        <f t="shared" si="5"/>
        <v>0</v>
      </c>
    </row>
    <row r="36" spans="1:12" x14ac:dyDescent="0.25">
      <c r="A36" s="189" t="s">
        <v>418</v>
      </c>
      <c r="B36" s="192">
        <v>22464</v>
      </c>
      <c r="C36" s="193"/>
      <c r="I36" s="196" t="s">
        <v>57</v>
      </c>
      <c r="J36" s="177" t="str">
        <f t="shared" si="3"/>
        <v>Bank Payment</v>
      </c>
      <c r="K36" s="86">
        <f t="shared" si="4"/>
        <v>0</v>
      </c>
      <c r="L36" s="86">
        <f t="shared" si="5"/>
        <v>4500000</v>
      </c>
    </row>
    <row r="37" spans="1:12" x14ac:dyDescent="0.25">
      <c r="A37" s="189" t="s">
        <v>84</v>
      </c>
      <c r="B37" s="193"/>
      <c r="C37" s="192">
        <v>5000000</v>
      </c>
      <c r="I37" s="196" t="s">
        <v>306</v>
      </c>
      <c r="J37" s="177" t="str">
        <f t="shared" si="3"/>
        <v>Bank Payment</v>
      </c>
      <c r="K37" s="86">
        <f t="shared" si="4"/>
        <v>0</v>
      </c>
      <c r="L37" s="86">
        <f t="shared" si="5"/>
        <v>2419006</v>
      </c>
    </row>
    <row r="38" spans="1:12" x14ac:dyDescent="0.25">
      <c r="A38" s="189" t="s">
        <v>127</v>
      </c>
      <c r="B38" s="193"/>
      <c r="C38" s="192">
        <v>185438</v>
      </c>
      <c r="I38" s="196" t="s">
        <v>63</v>
      </c>
      <c r="J38" s="177" t="str">
        <f t="shared" si="3"/>
        <v>Bank Payment</v>
      </c>
      <c r="K38" s="86">
        <f t="shared" si="4"/>
        <v>0</v>
      </c>
      <c r="L38" s="86">
        <f t="shared" si="5"/>
        <v>8500000</v>
      </c>
    </row>
    <row r="39" spans="1:12" x14ac:dyDescent="0.25">
      <c r="A39" s="189" t="s">
        <v>127</v>
      </c>
      <c r="B39" s="193"/>
      <c r="C39" s="192">
        <v>237734</v>
      </c>
      <c r="I39" s="196" t="s">
        <v>118</v>
      </c>
      <c r="J39" s="177" t="str">
        <f t="shared" si="3"/>
        <v>Bank Payment</v>
      </c>
      <c r="K39" s="86">
        <f t="shared" si="4"/>
        <v>0</v>
      </c>
      <c r="L39" s="86">
        <f t="shared" si="5"/>
        <v>400000</v>
      </c>
    </row>
    <row r="40" spans="1:12" x14ac:dyDescent="0.25">
      <c r="A40" s="189" t="s">
        <v>127</v>
      </c>
      <c r="B40" s="193"/>
      <c r="C40" s="192">
        <v>200700</v>
      </c>
      <c r="I40" s="196" t="s">
        <v>2065</v>
      </c>
      <c r="J40" s="177" t="str">
        <f t="shared" si="3"/>
        <v>Bank Payment</v>
      </c>
      <c r="K40" s="86">
        <f t="shared" si="4"/>
        <v>0</v>
      </c>
      <c r="L40" s="86">
        <f t="shared" si="5"/>
        <v>147500</v>
      </c>
    </row>
    <row r="41" spans="1:12" hidden="1" x14ac:dyDescent="0.25">
      <c r="A41" s="189" t="s">
        <v>127</v>
      </c>
      <c r="B41" s="193"/>
      <c r="C41" s="192">
        <v>179562</v>
      </c>
      <c r="I41" s="196" t="s">
        <v>525</v>
      </c>
      <c r="J41" s="177" t="str">
        <f t="shared" si="3"/>
        <v>Bank Receipts</v>
      </c>
      <c r="K41" s="86">
        <f t="shared" si="4"/>
        <v>0</v>
      </c>
      <c r="L41" s="86">
        <f t="shared" si="5"/>
        <v>1000000</v>
      </c>
    </row>
    <row r="42" spans="1:12" x14ac:dyDescent="0.25">
      <c r="A42" s="189" t="s">
        <v>127</v>
      </c>
      <c r="B42" s="193"/>
      <c r="C42" s="192">
        <v>166306</v>
      </c>
      <c r="I42" s="196" t="s">
        <v>461</v>
      </c>
      <c r="J42" s="177" t="str">
        <f t="shared" si="3"/>
        <v>Bank Payment</v>
      </c>
      <c r="K42" s="86">
        <f t="shared" si="4"/>
        <v>1305</v>
      </c>
      <c r="L42" s="86">
        <f t="shared" si="5"/>
        <v>0</v>
      </c>
    </row>
    <row r="43" spans="1:12" x14ac:dyDescent="0.25">
      <c r="A43" s="189" t="s">
        <v>127</v>
      </c>
      <c r="B43" s="193"/>
      <c r="C43" s="192">
        <v>34999</v>
      </c>
      <c r="I43" s="196" t="s">
        <v>1403</v>
      </c>
      <c r="J43" s="177" t="str">
        <f t="shared" si="3"/>
        <v>Bank Payment</v>
      </c>
      <c r="K43" s="86">
        <f t="shared" si="4"/>
        <v>0</v>
      </c>
      <c r="L43" s="86">
        <f t="shared" si="5"/>
        <v>1214871</v>
      </c>
    </row>
    <row r="44" spans="1:12" x14ac:dyDescent="0.25">
      <c r="A44" s="189" t="s">
        <v>123</v>
      </c>
      <c r="B44" s="193"/>
      <c r="C44" s="192">
        <v>77421</v>
      </c>
      <c r="I44" s="196" t="s">
        <v>111</v>
      </c>
      <c r="J44" s="177" t="str">
        <f t="shared" si="3"/>
        <v>Bank Payment</v>
      </c>
      <c r="K44" s="86">
        <f t="shared" si="4"/>
        <v>0</v>
      </c>
      <c r="L44" s="86">
        <f t="shared" si="5"/>
        <v>2173932.25</v>
      </c>
    </row>
    <row r="45" spans="1:12" x14ac:dyDescent="0.25">
      <c r="A45" s="189" t="s">
        <v>123</v>
      </c>
      <c r="B45" s="193"/>
      <c r="C45" s="192">
        <v>25646</v>
      </c>
      <c r="I45" s="196" t="s">
        <v>37</v>
      </c>
      <c r="J45" s="177" t="str">
        <f t="shared" si="3"/>
        <v>Bank Payment</v>
      </c>
      <c r="K45" s="86">
        <f t="shared" si="4"/>
        <v>0</v>
      </c>
      <c r="L45" s="86">
        <f t="shared" si="5"/>
        <v>5428</v>
      </c>
    </row>
    <row r="46" spans="1:12" x14ac:dyDescent="0.25">
      <c r="A46" s="189" t="s">
        <v>123</v>
      </c>
      <c r="B46" s="193"/>
      <c r="C46" s="192">
        <v>97524</v>
      </c>
      <c r="I46" s="196" t="s">
        <v>1472</v>
      </c>
      <c r="J46" s="177" t="str">
        <f t="shared" si="3"/>
        <v>Bank Payment</v>
      </c>
      <c r="K46" s="86">
        <f t="shared" si="4"/>
        <v>0</v>
      </c>
      <c r="L46" s="86">
        <f t="shared" si="5"/>
        <v>977928</v>
      </c>
    </row>
    <row r="47" spans="1:12" x14ac:dyDescent="0.25">
      <c r="A47" s="189" t="s">
        <v>123</v>
      </c>
      <c r="B47" s="193"/>
      <c r="C47" s="192">
        <v>110555</v>
      </c>
      <c r="I47" s="196" t="s">
        <v>60</v>
      </c>
      <c r="J47" s="177" t="str">
        <f t="shared" si="3"/>
        <v>Bank Payment</v>
      </c>
      <c r="K47" s="86">
        <f t="shared" si="4"/>
        <v>0</v>
      </c>
      <c r="L47" s="86">
        <f t="shared" si="5"/>
        <v>2340</v>
      </c>
    </row>
    <row r="48" spans="1:12" x14ac:dyDescent="0.25">
      <c r="A48" s="189" t="s">
        <v>123</v>
      </c>
      <c r="B48" s="193"/>
      <c r="C48" s="192">
        <v>107611</v>
      </c>
      <c r="I48" s="196" t="s">
        <v>349</v>
      </c>
      <c r="J48" s="177" t="str">
        <f t="shared" si="3"/>
        <v>Bank Payment</v>
      </c>
      <c r="K48" s="86">
        <f t="shared" si="4"/>
        <v>0</v>
      </c>
      <c r="L48" s="86">
        <f t="shared" si="5"/>
        <v>6955</v>
      </c>
    </row>
    <row r="49" spans="1:12" x14ac:dyDescent="0.25">
      <c r="A49" s="189" t="s">
        <v>123</v>
      </c>
      <c r="B49" s="193"/>
      <c r="C49" s="192">
        <v>21523</v>
      </c>
      <c r="I49" s="196" t="s">
        <v>38</v>
      </c>
      <c r="J49" s="177" t="str">
        <f t="shared" si="3"/>
        <v>Bank Payment</v>
      </c>
      <c r="K49" s="86">
        <f t="shared" si="4"/>
        <v>0</v>
      </c>
      <c r="L49" s="86">
        <f t="shared" si="5"/>
        <v>14157</v>
      </c>
    </row>
    <row r="50" spans="1:12" x14ac:dyDescent="0.25">
      <c r="A50" s="189" t="s">
        <v>1797</v>
      </c>
      <c r="B50" s="193"/>
      <c r="C50" s="192">
        <v>100000000</v>
      </c>
      <c r="I50" s="196" t="s">
        <v>439</v>
      </c>
      <c r="J50" s="177" t="str">
        <f t="shared" si="3"/>
        <v>Bank Payment</v>
      </c>
      <c r="K50" s="86">
        <f t="shared" si="4"/>
        <v>0</v>
      </c>
      <c r="L50" s="86">
        <f t="shared" si="5"/>
        <v>1829</v>
      </c>
    </row>
    <row r="51" spans="1:12" x14ac:dyDescent="0.25">
      <c r="A51" s="189" t="s">
        <v>102</v>
      </c>
      <c r="B51" s="193"/>
      <c r="C51" s="192">
        <v>576639.34</v>
      </c>
      <c r="I51" s="196" t="s">
        <v>43</v>
      </c>
      <c r="J51" s="177" t="str">
        <f t="shared" si="3"/>
        <v>Bank Payment</v>
      </c>
      <c r="K51" s="86">
        <f t="shared" si="4"/>
        <v>0</v>
      </c>
      <c r="L51" s="86">
        <f t="shared" si="5"/>
        <v>17121.8</v>
      </c>
    </row>
    <row r="52" spans="1:12" x14ac:dyDescent="0.25">
      <c r="A52" s="189" t="s">
        <v>15</v>
      </c>
      <c r="B52" s="193"/>
      <c r="C52" s="192">
        <v>39878.35</v>
      </c>
      <c r="I52" s="196" t="s">
        <v>493</v>
      </c>
      <c r="J52" s="177" t="str">
        <f t="shared" si="3"/>
        <v>Bank Payment</v>
      </c>
      <c r="K52" s="86">
        <f t="shared" si="4"/>
        <v>0</v>
      </c>
      <c r="L52" s="86">
        <f t="shared" si="5"/>
        <v>6480</v>
      </c>
    </row>
    <row r="53" spans="1:12" x14ac:dyDescent="0.25">
      <c r="A53" s="189" t="s">
        <v>64</v>
      </c>
      <c r="B53" s="193"/>
      <c r="C53" s="192">
        <v>1180</v>
      </c>
      <c r="I53" s="196" t="s">
        <v>293</v>
      </c>
      <c r="J53" s="177" t="str">
        <f t="shared" si="3"/>
        <v>Bank Payment</v>
      </c>
      <c r="K53" s="86">
        <f t="shared" si="4"/>
        <v>0</v>
      </c>
      <c r="L53" s="86">
        <f t="shared" si="5"/>
        <v>31640</v>
      </c>
    </row>
    <row r="54" spans="1:12" x14ac:dyDescent="0.25">
      <c r="A54" s="189" t="s">
        <v>905</v>
      </c>
      <c r="B54" s="192">
        <v>3366891.5</v>
      </c>
      <c r="C54" s="193"/>
      <c r="I54" s="196" t="s">
        <v>347</v>
      </c>
      <c r="J54" s="177" t="str">
        <f t="shared" si="3"/>
        <v>Bank Payment</v>
      </c>
      <c r="K54" s="86">
        <f t="shared" si="4"/>
        <v>0</v>
      </c>
      <c r="L54" s="86">
        <f t="shared" si="5"/>
        <v>21952</v>
      </c>
    </row>
    <row r="55" spans="1:12" x14ac:dyDescent="0.25">
      <c r="A55" s="189" t="s">
        <v>57</v>
      </c>
      <c r="B55" s="193"/>
      <c r="C55" s="192">
        <v>4500000</v>
      </c>
      <c r="I55" s="196" t="s">
        <v>437</v>
      </c>
      <c r="J55" s="177" t="str">
        <f t="shared" si="3"/>
        <v>Bank Payment</v>
      </c>
      <c r="K55" s="86">
        <f t="shared" si="4"/>
        <v>0</v>
      </c>
      <c r="L55" s="86">
        <f t="shared" si="5"/>
        <v>3500</v>
      </c>
    </row>
    <row r="56" spans="1:12" x14ac:dyDescent="0.25">
      <c r="A56" s="189" t="s">
        <v>306</v>
      </c>
      <c r="B56" s="193"/>
      <c r="C56" s="192">
        <v>2419006</v>
      </c>
      <c r="I56" s="196" t="s">
        <v>415</v>
      </c>
      <c r="J56" s="177" t="str">
        <f t="shared" si="3"/>
        <v>Bank Payment</v>
      </c>
      <c r="K56" s="86">
        <f t="shared" si="4"/>
        <v>0</v>
      </c>
      <c r="L56" s="86">
        <f t="shared" si="5"/>
        <v>9251</v>
      </c>
    </row>
    <row r="57" spans="1:12" x14ac:dyDescent="0.25">
      <c r="A57" s="189" t="s">
        <v>63</v>
      </c>
      <c r="B57" s="193"/>
      <c r="C57" s="192">
        <v>500000</v>
      </c>
      <c r="I57" s="196" t="s">
        <v>438</v>
      </c>
      <c r="J57" s="177" t="str">
        <f t="shared" si="3"/>
        <v>Bank Payment</v>
      </c>
      <c r="K57" s="86">
        <f t="shared" si="4"/>
        <v>0</v>
      </c>
      <c r="L57" s="86">
        <f t="shared" si="5"/>
        <v>43790</v>
      </c>
    </row>
    <row r="58" spans="1:12" x14ac:dyDescent="0.25">
      <c r="A58" s="189" t="s">
        <v>118</v>
      </c>
      <c r="B58" s="193"/>
      <c r="C58" s="192">
        <v>400000</v>
      </c>
      <c r="I58" s="196" t="s">
        <v>787</v>
      </c>
      <c r="J58" s="177" t="str">
        <f t="shared" si="3"/>
        <v>Bank Payment</v>
      </c>
      <c r="K58" s="86">
        <f t="shared" si="4"/>
        <v>0</v>
      </c>
      <c r="L58" s="86">
        <f t="shared" si="5"/>
        <v>4602</v>
      </c>
    </row>
    <row r="59" spans="1:12" x14ac:dyDescent="0.25">
      <c r="A59" s="189" t="s">
        <v>2065</v>
      </c>
      <c r="B59" s="193"/>
      <c r="C59" s="192">
        <v>147500</v>
      </c>
      <c r="I59" s="196" t="s">
        <v>290</v>
      </c>
      <c r="J59" s="177" t="str">
        <f t="shared" si="3"/>
        <v>Bank Payment</v>
      </c>
      <c r="K59" s="86">
        <f t="shared" si="4"/>
        <v>0</v>
      </c>
      <c r="L59" s="86">
        <f t="shared" si="5"/>
        <v>10197</v>
      </c>
    </row>
    <row r="60" spans="1:12" x14ac:dyDescent="0.25">
      <c r="A60" s="189" t="s">
        <v>525</v>
      </c>
      <c r="B60" s="193"/>
      <c r="C60" s="192">
        <v>1000000</v>
      </c>
      <c r="I60" s="196" t="s">
        <v>476</v>
      </c>
      <c r="J60" s="177" t="str">
        <f t="shared" si="3"/>
        <v>Bank Payment</v>
      </c>
      <c r="K60" s="86">
        <f t="shared" si="4"/>
        <v>0</v>
      </c>
      <c r="L60" s="86">
        <f t="shared" si="5"/>
        <v>43778</v>
      </c>
    </row>
    <row r="61" spans="1:12" x14ac:dyDescent="0.25">
      <c r="A61" s="189" t="s">
        <v>16</v>
      </c>
      <c r="B61" s="193"/>
      <c r="C61" s="192">
        <v>45300.27</v>
      </c>
      <c r="I61" s="196" t="s">
        <v>409</v>
      </c>
      <c r="J61" s="177" t="str">
        <f t="shared" si="3"/>
        <v>Bank Payment</v>
      </c>
      <c r="K61" s="86">
        <f t="shared" si="4"/>
        <v>0</v>
      </c>
      <c r="L61" s="86">
        <f t="shared" si="5"/>
        <v>9298</v>
      </c>
    </row>
    <row r="62" spans="1:12" x14ac:dyDescent="0.25">
      <c r="A62" s="189" t="s">
        <v>16</v>
      </c>
      <c r="B62" s="193"/>
      <c r="C62" s="192">
        <v>141659.17000000001</v>
      </c>
      <c r="I62" s="196" t="s">
        <v>42</v>
      </c>
      <c r="J62" s="177" t="str">
        <f t="shared" si="3"/>
        <v>Bank Payment</v>
      </c>
      <c r="K62" s="86">
        <f t="shared" si="4"/>
        <v>0</v>
      </c>
      <c r="L62" s="86">
        <f t="shared" si="5"/>
        <v>24335</v>
      </c>
    </row>
    <row r="63" spans="1:12" x14ac:dyDescent="0.25">
      <c r="A63" s="189" t="s">
        <v>64</v>
      </c>
      <c r="B63" s="193"/>
      <c r="C63" s="192">
        <v>14487.78</v>
      </c>
      <c r="I63" s="196" t="s">
        <v>268</v>
      </c>
      <c r="J63" s="177" t="str">
        <f t="shared" si="3"/>
        <v>Bank Payment</v>
      </c>
      <c r="K63" s="86">
        <f t="shared" si="4"/>
        <v>0</v>
      </c>
      <c r="L63" s="86">
        <f t="shared" si="5"/>
        <v>44840</v>
      </c>
    </row>
    <row r="64" spans="1:12" x14ac:dyDescent="0.25">
      <c r="A64" s="189" t="s">
        <v>1627</v>
      </c>
      <c r="B64" s="192">
        <v>7790056.6500000004</v>
      </c>
      <c r="C64" s="193"/>
      <c r="I64" s="196" t="s">
        <v>61</v>
      </c>
      <c r="J64" s="177" t="str">
        <f t="shared" si="3"/>
        <v>Bank Payment</v>
      </c>
      <c r="K64" s="86">
        <f t="shared" si="4"/>
        <v>0</v>
      </c>
      <c r="L64" s="86">
        <f t="shared" si="5"/>
        <v>75732.399999999994</v>
      </c>
    </row>
    <row r="65" spans="1:12" x14ac:dyDescent="0.25">
      <c r="A65" s="189" t="s">
        <v>149</v>
      </c>
      <c r="B65" s="192">
        <v>4259</v>
      </c>
      <c r="C65" s="193"/>
      <c r="I65" s="196" t="s">
        <v>224</v>
      </c>
      <c r="J65" s="177" t="str">
        <f t="shared" si="3"/>
        <v>Bank Payment</v>
      </c>
      <c r="K65" s="86">
        <f t="shared" si="4"/>
        <v>0</v>
      </c>
      <c r="L65" s="86">
        <f t="shared" si="5"/>
        <v>25508</v>
      </c>
    </row>
    <row r="66" spans="1:12" x14ac:dyDescent="0.25">
      <c r="A66" s="189" t="s">
        <v>750</v>
      </c>
      <c r="B66" s="192">
        <v>1203166</v>
      </c>
      <c r="C66" s="193"/>
      <c r="I66" s="196" t="s">
        <v>46</v>
      </c>
      <c r="J66" s="177" t="str">
        <f t="shared" ref="J66:J74" si="6">+IF(K67&gt;0,"Bank Receipts","Bank Payment")</f>
        <v>Bank Payment</v>
      </c>
      <c r="K66" s="86">
        <f t="shared" ref="K66:K74" si="7">+SUMIFS($B$2:$B$1000,$A$2:$A$1000,I66)</f>
        <v>0</v>
      </c>
      <c r="L66" s="86">
        <f t="shared" ref="L66:L74" si="8">+SUMIFS($C$2:$C$1000,$A$2:$A$1000,I66)</f>
        <v>140045</v>
      </c>
    </row>
    <row r="67" spans="1:12" x14ac:dyDescent="0.25">
      <c r="A67" s="189" t="s">
        <v>64</v>
      </c>
      <c r="B67" s="193"/>
      <c r="C67" s="192">
        <v>14929.95</v>
      </c>
      <c r="I67" s="196" t="s">
        <v>116</v>
      </c>
      <c r="J67" s="177" t="str">
        <f t="shared" si="6"/>
        <v>Bank Payment</v>
      </c>
      <c r="K67" s="86">
        <f t="shared" si="7"/>
        <v>0</v>
      </c>
      <c r="L67" s="86">
        <f t="shared" si="8"/>
        <v>125288</v>
      </c>
    </row>
    <row r="68" spans="1:12" x14ac:dyDescent="0.25">
      <c r="A68" s="189" t="s">
        <v>389</v>
      </c>
      <c r="B68" s="192">
        <v>8165127.9299999997</v>
      </c>
      <c r="C68" s="193"/>
      <c r="I68" s="196" t="s">
        <v>228</v>
      </c>
      <c r="J68" s="177" t="str">
        <f t="shared" si="6"/>
        <v>Bank Payment</v>
      </c>
      <c r="K68" s="86">
        <f t="shared" si="7"/>
        <v>0</v>
      </c>
      <c r="L68" s="86">
        <f t="shared" si="8"/>
        <v>71149</v>
      </c>
    </row>
    <row r="69" spans="1:12" x14ac:dyDescent="0.25">
      <c r="A69" s="189" t="s">
        <v>487</v>
      </c>
      <c r="B69" s="192">
        <v>7506316</v>
      </c>
      <c r="C69" s="193"/>
      <c r="I69" s="196" t="s">
        <v>242</v>
      </c>
      <c r="J69" s="177" t="str">
        <f t="shared" si="6"/>
        <v>Bank Payment</v>
      </c>
      <c r="K69" s="86">
        <f t="shared" si="7"/>
        <v>0</v>
      </c>
      <c r="L69" s="86">
        <f t="shared" si="8"/>
        <v>45304</v>
      </c>
    </row>
    <row r="70" spans="1:12" x14ac:dyDescent="0.25">
      <c r="A70" s="189" t="s">
        <v>164</v>
      </c>
      <c r="B70" s="192">
        <v>800000</v>
      </c>
      <c r="C70" s="193"/>
      <c r="I70" s="196" t="s">
        <v>792</v>
      </c>
      <c r="J70" s="177" t="str">
        <f t="shared" si="6"/>
        <v>Bank Payment</v>
      </c>
      <c r="K70" s="86">
        <f t="shared" si="7"/>
        <v>0</v>
      </c>
      <c r="L70" s="86">
        <f t="shared" si="8"/>
        <v>179061</v>
      </c>
    </row>
    <row r="71" spans="1:12" x14ac:dyDescent="0.25">
      <c r="A71" s="189" t="s">
        <v>63</v>
      </c>
      <c r="B71" s="193"/>
      <c r="C71" s="192">
        <v>8000000</v>
      </c>
      <c r="I71" s="196" t="s">
        <v>342</v>
      </c>
      <c r="J71" s="177" t="str">
        <f t="shared" si="6"/>
        <v>Bank Payment</v>
      </c>
      <c r="K71" s="86">
        <f t="shared" si="7"/>
        <v>0</v>
      </c>
      <c r="L71" s="86">
        <f t="shared" si="8"/>
        <v>4699.7</v>
      </c>
    </row>
    <row r="72" spans="1:12" x14ac:dyDescent="0.25">
      <c r="A72" s="189" t="s">
        <v>123</v>
      </c>
      <c r="B72" s="192">
        <v>856</v>
      </c>
      <c r="C72" s="193"/>
      <c r="I72" s="196" t="s">
        <v>370</v>
      </c>
      <c r="J72" s="177" t="str">
        <f t="shared" si="6"/>
        <v>Bank Payment</v>
      </c>
      <c r="K72" s="86">
        <f t="shared" si="7"/>
        <v>0</v>
      </c>
      <c r="L72" s="86">
        <f t="shared" si="8"/>
        <v>4940</v>
      </c>
    </row>
    <row r="73" spans="1:12" x14ac:dyDescent="0.25">
      <c r="A73" s="189" t="s">
        <v>2085</v>
      </c>
      <c r="B73" s="192">
        <v>300000</v>
      </c>
      <c r="C73" s="193"/>
      <c r="I73" s="196" t="s">
        <v>427</v>
      </c>
      <c r="J73" s="177" t="str">
        <f t="shared" si="6"/>
        <v>Bank Payment</v>
      </c>
      <c r="K73" s="86">
        <f t="shared" si="7"/>
        <v>0</v>
      </c>
      <c r="L73" s="86">
        <f t="shared" si="8"/>
        <v>153095.01999999999</v>
      </c>
    </row>
    <row r="74" spans="1:12" x14ac:dyDescent="0.25">
      <c r="A74" s="189" t="s">
        <v>332</v>
      </c>
      <c r="B74" s="192">
        <v>1299834</v>
      </c>
      <c r="C74" s="193"/>
      <c r="I74" s="196" t="s">
        <v>604</v>
      </c>
      <c r="J74" s="177" t="str">
        <f t="shared" si="6"/>
        <v>Bank Payment</v>
      </c>
      <c r="K74" s="86">
        <f t="shared" si="7"/>
        <v>0</v>
      </c>
      <c r="L74" s="86">
        <f t="shared" si="8"/>
        <v>201591.2</v>
      </c>
    </row>
    <row r="75" spans="1:12" x14ac:dyDescent="0.25">
      <c r="A75" s="189" t="s">
        <v>310</v>
      </c>
      <c r="B75" s="192">
        <v>50243</v>
      </c>
      <c r="C75" s="193"/>
      <c r="I75" s="194"/>
      <c r="K75"/>
      <c r="L75"/>
    </row>
    <row r="76" spans="1:12" x14ac:dyDescent="0.25">
      <c r="A76" s="189" t="s">
        <v>310</v>
      </c>
      <c r="B76" s="192">
        <v>3990</v>
      </c>
      <c r="C76" s="193"/>
      <c r="K76"/>
      <c r="L76"/>
    </row>
    <row r="77" spans="1:12" x14ac:dyDescent="0.25">
      <c r="A77" s="189" t="s">
        <v>761</v>
      </c>
      <c r="B77" s="192">
        <v>562428</v>
      </c>
      <c r="C77" s="193"/>
      <c r="K77"/>
      <c r="L77"/>
    </row>
    <row r="78" spans="1:12" x14ac:dyDescent="0.25">
      <c r="A78" s="189" t="s">
        <v>146</v>
      </c>
      <c r="B78" s="192">
        <v>342881.9</v>
      </c>
      <c r="C78" s="193"/>
      <c r="K78"/>
      <c r="L78"/>
    </row>
    <row r="79" spans="1:12" x14ac:dyDescent="0.25">
      <c r="A79" s="189" t="s">
        <v>1814</v>
      </c>
      <c r="B79" s="192">
        <v>20247.64</v>
      </c>
      <c r="C79" s="193"/>
      <c r="K79"/>
      <c r="L79"/>
    </row>
    <row r="80" spans="1:12" x14ac:dyDescent="0.25">
      <c r="A80" s="189" t="s">
        <v>461</v>
      </c>
      <c r="B80" s="192">
        <v>1305</v>
      </c>
      <c r="C80" s="193"/>
      <c r="K80"/>
      <c r="L80"/>
    </row>
    <row r="81" spans="1:12" x14ac:dyDescent="0.25">
      <c r="A81" s="189" t="s">
        <v>64</v>
      </c>
      <c r="B81" s="193"/>
      <c r="C81" s="192">
        <v>234.82</v>
      </c>
      <c r="K81"/>
      <c r="L81"/>
    </row>
    <row r="82" spans="1:12" x14ac:dyDescent="0.25">
      <c r="A82" s="189" t="s">
        <v>1403</v>
      </c>
      <c r="B82" s="193"/>
      <c r="C82" s="192">
        <v>1214871</v>
      </c>
      <c r="K82"/>
      <c r="L82"/>
    </row>
    <row r="83" spans="1:12" x14ac:dyDescent="0.25">
      <c r="A83" s="189" t="s">
        <v>111</v>
      </c>
      <c r="B83" s="193"/>
      <c r="C83" s="192">
        <v>2173932.25</v>
      </c>
      <c r="K83"/>
      <c r="L83"/>
    </row>
    <row r="84" spans="1:12" x14ac:dyDescent="0.25">
      <c r="A84" s="189" t="s">
        <v>1798</v>
      </c>
      <c r="B84" s="193"/>
      <c r="C84" s="192">
        <v>993946</v>
      </c>
      <c r="K84"/>
      <c r="L84"/>
    </row>
    <row r="85" spans="1:12" x14ac:dyDescent="0.25">
      <c r="A85" s="189" t="s">
        <v>64</v>
      </c>
      <c r="B85" s="193"/>
      <c r="C85" s="192">
        <v>1.18</v>
      </c>
      <c r="K85"/>
      <c r="L85"/>
    </row>
    <row r="86" spans="1:12" x14ac:dyDescent="0.25">
      <c r="A86" s="189" t="s">
        <v>64</v>
      </c>
      <c r="B86" s="193"/>
      <c r="C86" s="192">
        <v>5.9</v>
      </c>
      <c r="K86"/>
      <c r="L86"/>
    </row>
    <row r="87" spans="1:12" x14ac:dyDescent="0.25">
      <c r="A87" s="189" t="s">
        <v>37</v>
      </c>
      <c r="B87" s="193"/>
      <c r="C87" s="192">
        <v>5428</v>
      </c>
      <c r="K87"/>
      <c r="L87"/>
    </row>
    <row r="88" spans="1:12" x14ac:dyDescent="0.25">
      <c r="A88" s="189" t="s">
        <v>1472</v>
      </c>
      <c r="B88" s="193"/>
      <c r="C88" s="192">
        <v>977928</v>
      </c>
      <c r="K88"/>
      <c r="L88"/>
    </row>
    <row r="89" spans="1:12" x14ac:dyDescent="0.25">
      <c r="A89" s="189" t="s">
        <v>60</v>
      </c>
      <c r="B89" s="193"/>
      <c r="C89" s="192">
        <v>2340</v>
      </c>
      <c r="K89"/>
      <c r="L89"/>
    </row>
    <row r="90" spans="1:12" x14ac:dyDescent="0.25">
      <c r="A90" s="189" t="s">
        <v>349</v>
      </c>
      <c r="B90" s="193"/>
      <c r="C90" s="192">
        <v>6955</v>
      </c>
      <c r="K90"/>
      <c r="L90"/>
    </row>
    <row r="91" spans="1:12" x14ac:dyDescent="0.25">
      <c r="A91" s="189" t="s">
        <v>38</v>
      </c>
      <c r="B91" s="193"/>
      <c r="C91" s="192">
        <v>14157</v>
      </c>
      <c r="K91"/>
      <c r="L91"/>
    </row>
    <row r="92" spans="1:12" x14ac:dyDescent="0.25">
      <c r="A92" s="189" t="s">
        <v>439</v>
      </c>
      <c r="B92" s="193"/>
      <c r="C92" s="192">
        <v>1829</v>
      </c>
      <c r="K92"/>
      <c r="L92"/>
    </row>
    <row r="93" spans="1:12" x14ac:dyDescent="0.25">
      <c r="A93" s="189" t="s">
        <v>43</v>
      </c>
      <c r="B93" s="193"/>
      <c r="C93" s="192">
        <v>17121.8</v>
      </c>
      <c r="K93"/>
      <c r="L93"/>
    </row>
    <row r="94" spans="1:12" x14ac:dyDescent="0.25">
      <c r="A94" s="189" t="s">
        <v>493</v>
      </c>
      <c r="B94" s="193"/>
      <c r="C94" s="192">
        <v>6480</v>
      </c>
      <c r="K94"/>
      <c r="L94"/>
    </row>
    <row r="95" spans="1:12" x14ac:dyDescent="0.25">
      <c r="A95" s="189" t="s">
        <v>293</v>
      </c>
      <c r="B95" s="193"/>
      <c r="C95" s="192">
        <v>31640</v>
      </c>
      <c r="K95"/>
      <c r="L95"/>
    </row>
    <row r="96" spans="1:12" x14ac:dyDescent="0.25">
      <c r="A96" s="189" t="s">
        <v>347</v>
      </c>
      <c r="B96" s="193"/>
      <c r="C96" s="192">
        <v>21952</v>
      </c>
      <c r="K96"/>
      <c r="L96"/>
    </row>
    <row r="97" spans="1:12" x14ac:dyDescent="0.25">
      <c r="A97" s="189" t="s">
        <v>437</v>
      </c>
      <c r="B97" s="193"/>
      <c r="C97" s="192">
        <v>3500</v>
      </c>
      <c r="K97"/>
      <c r="L97"/>
    </row>
    <row r="98" spans="1:12" x14ac:dyDescent="0.25">
      <c r="A98" s="189" t="s">
        <v>415</v>
      </c>
      <c r="B98" s="193"/>
      <c r="C98" s="192">
        <v>9251</v>
      </c>
      <c r="K98"/>
      <c r="L98"/>
    </row>
    <row r="99" spans="1:12" x14ac:dyDescent="0.25">
      <c r="A99" s="189" t="s">
        <v>438</v>
      </c>
      <c r="B99" s="193"/>
      <c r="C99" s="192">
        <v>43790</v>
      </c>
      <c r="K99"/>
      <c r="L99"/>
    </row>
    <row r="100" spans="1:12" x14ac:dyDescent="0.25">
      <c r="A100" s="189" t="s">
        <v>787</v>
      </c>
      <c r="B100" s="193"/>
      <c r="C100" s="192">
        <v>4602</v>
      </c>
      <c r="K100"/>
      <c r="L100"/>
    </row>
    <row r="101" spans="1:12" x14ac:dyDescent="0.25">
      <c r="A101" s="189" t="s">
        <v>290</v>
      </c>
      <c r="B101" s="193"/>
      <c r="C101" s="192">
        <v>10197</v>
      </c>
      <c r="K101"/>
      <c r="L101"/>
    </row>
    <row r="102" spans="1:12" x14ac:dyDescent="0.25">
      <c r="A102" s="189" t="s">
        <v>476</v>
      </c>
      <c r="B102" s="193"/>
      <c r="C102" s="192">
        <v>43778</v>
      </c>
      <c r="K102"/>
      <c r="L102"/>
    </row>
    <row r="103" spans="1:12" x14ac:dyDescent="0.25">
      <c r="A103" s="189" t="s">
        <v>409</v>
      </c>
      <c r="B103" s="193"/>
      <c r="C103" s="192">
        <v>9298</v>
      </c>
      <c r="K103"/>
      <c r="L103"/>
    </row>
    <row r="104" spans="1:12" x14ac:dyDescent="0.25">
      <c r="A104" s="189" t="s">
        <v>42</v>
      </c>
      <c r="B104" s="193"/>
      <c r="C104" s="192">
        <v>24335</v>
      </c>
      <c r="K104"/>
      <c r="L104"/>
    </row>
    <row r="105" spans="1:12" x14ac:dyDescent="0.25">
      <c r="A105" s="189" t="s">
        <v>268</v>
      </c>
      <c r="B105" s="193"/>
      <c r="C105" s="192">
        <v>44840</v>
      </c>
      <c r="K105"/>
      <c r="L105"/>
    </row>
    <row r="106" spans="1:12" x14ac:dyDescent="0.25">
      <c r="A106" s="189" t="s">
        <v>61</v>
      </c>
      <c r="B106" s="193"/>
      <c r="C106" s="192">
        <v>75732.399999999994</v>
      </c>
      <c r="K106"/>
      <c r="L106"/>
    </row>
    <row r="107" spans="1:12" x14ac:dyDescent="0.25">
      <c r="A107" s="189" t="s">
        <v>224</v>
      </c>
      <c r="B107" s="193"/>
      <c r="C107" s="192">
        <v>25508</v>
      </c>
      <c r="K107"/>
      <c r="L107"/>
    </row>
    <row r="108" spans="1:12" x14ac:dyDescent="0.25">
      <c r="A108" s="189" t="s">
        <v>46</v>
      </c>
      <c r="B108" s="193"/>
      <c r="C108" s="192">
        <v>140045</v>
      </c>
      <c r="K108"/>
      <c r="L108"/>
    </row>
    <row r="109" spans="1:12" x14ac:dyDescent="0.25">
      <c r="A109" s="189" t="s">
        <v>116</v>
      </c>
      <c r="B109" s="193"/>
      <c r="C109" s="192">
        <v>125288</v>
      </c>
      <c r="K109"/>
      <c r="L109"/>
    </row>
    <row r="110" spans="1:12" x14ac:dyDescent="0.25">
      <c r="A110" s="189" t="s">
        <v>228</v>
      </c>
      <c r="B110" s="193"/>
      <c r="C110" s="192">
        <v>71149</v>
      </c>
      <c r="K110"/>
      <c r="L110"/>
    </row>
    <row r="111" spans="1:12" x14ac:dyDescent="0.25">
      <c r="A111" s="189" t="s">
        <v>242</v>
      </c>
      <c r="B111" s="193"/>
      <c r="C111" s="192">
        <v>45304</v>
      </c>
      <c r="K111"/>
      <c r="L111"/>
    </row>
    <row r="112" spans="1:12" x14ac:dyDescent="0.25">
      <c r="A112" s="189" t="s">
        <v>792</v>
      </c>
      <c r="B112" s="193"/>
      <c r="C112" s="192">
        <v>179061</v>
      </c>
      <c r="K112"/>
      <c r="L112"/>
    </row>
    <row r="113" spans="1:12" x14ac:dyDescent="0.25">
      <c r="A113" s="189" t="s">
        <v>342</v>
      </c>
      <c r="B113" s="193"/>
      <c r="C113" s="192">
        <v>4699.7</v>
      </c>
      <c r="K113"/>
      <c r="L113"/>
    </row>
    <row r="114" spans="1:12" x14ac:dyDescent="0.25">
      <c r="A114" s="189" t="s">
        <v>370</v>
      </c>
      <c r="B114" s="193"/>
      <c r="C114" s="192">
        <v>4940</v>
      </c>
      <c r="K114"/>
      <c r="L114"/>
    </row>
    <row r="115" spans="1:12" x14ac:dyDescent="0.25">
      <c r="A115" s="189" t="s">
        <v>427</v>
      </c>
      <c r="B115" s="193"/>
      <c r="C115" s="192">
        <v>153095.01999999999</v>
      </c>
      <c r="K115"/>
      <c r="L115"/>
    </row>
    <row r="116" spans="1:12" x14ac:dyDescent="0.25">
      <c r="A116" s="189" t="s">
        <v>604</v>
      </c>
      <c r="B116" s="193"/>
      <c r="C116" s="192">
        <v>201591.2</v>
      </c>
      <c r="K116"/>
      <c r="L116"/>
    </row>
    <row r="117" spans="1:12" x14ac:dyDescent="0.25">
      <c r="K117"/>
      <c r="L117"/>
    </row>
    <row r="118" spans="1:12" x14ac:dyDescent="0.25">
      <c r="K118"/>
      <c r="L118"/>
    </row>
    <row r="119" spans="1:12" x14ac:dyDescent="0.25">
      <c r="K119"/>
      <c r="L119"/>
    </row>
    <row r="120" spans="1:12" x14ac:dyDescent="0.25">
      <c r="K120"/>
      <c r="L120"/>
    </row>
    <row r="121" spans="1:12" x14ac:dyDescent="0.25">
      <c r="K121"/>
      <c r="L121"/>
    </row>
    <row r="122" spans="1:12" x14ac:dyDescent="0.25">
      <c r="K122"/>
      <c r="L122"/>
    </row>
    <row r="123" spans="1:12" x14ac:dyDescent="0.25">
      <c r="K123"/>
      <c r="L123"/>
    </row>
    <row r="124" spans="1:12" x14ac:dyDescent="0.25">
      <c r="K124"/>
      <c r="L124"/>
    </row>
    <row r="125" spans="1:12" x14ac:dyDescent="0.25">
      <c r="K125"/>
      <c r="L125"/>
    </row>
    <row r="126" spans="1:12" x14ac:dyDescent="0.25">
      <c r="K126"/>
      <c r="L126"/>
    </row>
    <row r="127" spans="1:12" x14ac:dyDescent="0.25">
      <c r="K127"/>
      <c r="L127"/>
    </row>
    <row r="128" spans="1:12" x14ac:dyDescent="0.25">
      <c r="K128"/>
      <c r="L128"/>
    </row>
    <row r="129" spans="11:12" x14ac:dyDescent="0.25">
      <c r="K129"/>
      <c r="L129"/>
    </row>
    <row r="130" spans="11:12" x14ac:dyDescent="0.25">
      <c r="K130"/>
      <c r="L130"/>
    </row>
    <row r="131" spans="11:12" x14ac:dyDescent="0.25">
      <c r="K131"/>
      <c r="L131"/>
    </row>
    <row r="132" spans="11:12" x14ac:dyDescent="0.25">
      <c r="K132"/>
      <c r="L132"/>
    </row>
    <row r="133" spans="11:12" x14ac:dyDescent="0.25">
      <c r="K133"/>
      <c r="L133"/>
    </row>
    <row r="134" spans="11:12" x14ac:dyDescent="0.25">
      <c r="K134"/>
      <c r="L134"/>
    </row>
    <row r="135" spans="11:12" x14ac:dyDescent="0.25">
      <c r="K135"/>
      <c r="L135"/>
    </row>
    <row r="136" spans="11:12" x14ac:dyDescent="0.25">
      <c r="K136"/>
      <c r="L136"/>
    </row>
    <row r="137" spans="11:12" x14ac:dyDescent="0.25">
      <c r="K137"/>
      <c r="L137"/>
    </row>
    <row r="138" spans="11:12" x14ac:dyDescent="0.25">
      <c r="K138"/>
      <c r="L138"/>
    </row>
    <row r="139" spans="11:12" x14ac:dyDescent="0.25">
      <c r="K139"/>
      <c r="L139"/>
    </row>
    <row r="140" spans="11:12" x14ac:dyDescent="0.25">
      <c r="K140"/>
      <c r="L140"/>
    </row>
    <row r="141" spans="11:12" x14ac:dyDescent="0.25">
      <c r="K141"/>
      <c r="L141"/>
    </row>
    <row r="142" spans="11:12" x14ac:dyDescent="0.25">
      <c r="K142"/>
      <c r="L142"/>
    </row>
    <row r="143" spans="11:12" x14ac:dyDescent="0.25">
      <c r="K143"/>
      <c r="L143"/>
    </row>
    <row r="144" spans="11:12" x14ac:dyDescent="0.25">
      <c r="K144"/>
      <c r="L144"/>
    </row>
    <row r="145" spans="11:12" x14ac:dyDescent="0.25">
      <c r="K145"/>
      <c r="L145"/>
    </row>
    <row r="146" spans="11:12" x14ac:dyDescent="0.25">
      <c r="K146"/>
      <c r="L146"/>
    </row>
    <row r="147" spans="11:12" x14ac:dyDescent="0.25">
      <c r="K147"/>
      <c r="L147"/>
    </row>
    <row r="148" spans="11:12" x14ac:dyDescent="0.25">
      <c r="K148"/>
      <c r="L148"/>
    </row>
    <row r="149" spans="11:12" x14ac:dyDescent="0.25">
      <c r="K149"/>
      <c r="L149"/>
    </row>
    <row r="150" spans="11:12" x14ac:dyDescent="0.25">
      <c r="K150"/>
      <c r="L150"/>
    </row>
    <row r="151" spans="11:12" x14ac:dyDescent="0.25">
      <c r="K151"/>
      <c r="L151"/>
    </row>
    <row r="152" spans="11:12" x14ac:dyDescent="0.25">
      <c r="K152"/>
      <c r="L152"/>
    </row>
    <row r="153" spans="11:12" x14ac:dyDescent="0.25">
      <c r="K153"/>
      <c r="L153"/>
    </row>
    <row r="154" spans="11:12" x14ac:dyDescent="0.25">
      <c r="K154"/>
      <c r="L154"/>
    </row>
    <row r="155" spans="11:12" x14ac:dyDescent="0.25">
      <c r="K155"/>
      <c r="L155"/>
    </row>
    <row r="156" spans="11:12" x14ac:dyDescent="0.25">
      <c r="K156"/>
      <c r="L156"/>
    </row>
    <row r="157" spans="11:12" x14ac:dyDescent="0.25">
      <c r="K157"/>
      <c r="L157"/>
    </row>
    <row r="158" spans="11:12" x14ac:dyDescent="0.25">
      <c r="K158"/>
      <c r="L158"/>
    </row>
    <row r="159" spans="11:12" x14ac:dyDescent="0.25">
      <c r="K159"/>
      <c r="L159"/>
    </row>
    <row r="160" spans="11:12" x14ac:dyDescent="0.25">
      <c r="K160"/>
      <c r="L160"/>
    </row>
    <row r="161" spans="11:12" x14ac:dyDescent="0.25">
      <c r="K161"/>
      <c r="L161"/>
    </row>
    <row r="162" spans="11:12" x14ac:dyDescent="0.25">
      <c r="K162"/>
      <c r="L162"/>
    </row>
    <row r="163" spans="11:12" x14ac:dyDescent="0.25">
      <c r="K163"/>
      <c r="L163"/>
    </row>
    <row r="164" spans="11:12" x14ac:dyDescent="0.25">
      <c r="K164"/>
      <c r="L164"/>
    </row>
    <row r="165" spans="11:12" x14ac:dyDescent="0.25">
      <c r="K165"/>
      <c r="L165"/>
    </row>
    <row r="166" spans="11:12" x14ac:dyDescent="0.25">
      <c r="K166"/>
      <c r="L166"/>
    </row>
    <row r="167" spans="11:12" x14ac:dyDescent="0.25">
      <c r="K167"/>
      <c r="L167"/>
    </row>
    <row r="168" spans="11:12" x14ac:dyDescent="0.25">
      <c r="K168"/>
      <c r="L168"/>
    </row>
    <row r="169" spans="11:12" x14ac:dyDescent="0.25">
      <c r="K169"/>
      <c r="L169"/>
    </row>
    <row r="170" spans="11:12" x14ac:dyDescent="0.25">
      <c r="K170"/>
      <c r="L170"/>
    </row>
    <row r="171" spans="11:12" x14ac:dyDescent="0.25">
      <c r="K171"/>
      <c r="L171"/>
    </row>
    <row r="172" spans="11:12" x14ac:dyDescent="0.25">
      <c r="K172"/>
      <c r="L172"/>
    </row>
    <row r="173" spans="11:12" x14ac:dyDescent="0.25">
      <c r="K173"/>
      <c r="L173"/>
    </row>
    <row r="174" spans="11:12" x14ac:dyDescent="0.25">
      <c r="K174"/>
      <c r="L174"/>
    </row>
    <row r="175" spans="11:12" x14ac:dyDescent="0.25">
      <c r="K175"/>
      <c r="L175"/>
    </row>
    <row r="176" spans="11:12" x14ac:dyDescent="0.25">
      <c r="K176"/>
      <c r="L176"/>
    </row>
    <row r="177" spans="11:12" x14ac:dyDescent="0.25">
      <c r="K177"/>
      <c r="L177"/>
    </row>
    <row r="178" spans="11:12" x14ac:dyDescent="0.25">
      <c r="K178"/>
      <c r="L178"/>
    </row>
    <row r="179" spans="11:12" x14ac:dyDescent="0.25">
      <c r="K179"/>
      <c r="L179"/>
    </row>
    <row r="180" spans="11:12" x14ac:dyDescent="0.25">
      <c r="K180"/>
      <c r="L180"/>
    </row>
    <row r="181" spans="11:12" x14ac:dyDescent="0.25">
      <c r="K181"/>
      <c r="L181"/>
    </row>
    <row r="182" spans="11:12" x14ac:dyDescent="0.25">
      <c r="K182"/>
      <c r="L182"/>
    </row>
    <row r="183" spans="11:12" x14ac:dyDescent="0.25">
      <c r="K183"/>
      <c r="L183"/>
    </row>
    <row r="184" spans="11:12" x14ac:dyDescent="0.25">
      <c r="K184"/>
      <c r="L184"/>
    </row>
    <row r="185" spans="11:12" x14ac:dyDescent="0.25">
      <c r="K185"/>
      <c r="L185"/>
    </row>
    <row r="186" spans="11:12" x14ac:dyDescent="0.25">
      <c r="K186"/>
      <c r="L186"/>
    </row>
    <row r="187" spans="11:12" x14ac:dyDescent="0.25">
      <c r="K187"/>
      <c r="L187"/>
    </row>
    <row r="188" spans="11:12" x14ac:dyDescent="0.25">
      <c r="K188"/>
      <c r="L188"/>
    </row>
    <row r="189" spans="11:12" x14ac:dyDescent="0.25">
      <c r="K189"/>
      <c r="L189"/>
    </row>
    <row r="190" spans="11:12" x14ac:dyDescent="0.25">
      <c r="K190"/>
      <c r="L190"/>
    </row>
    <row r="191" spans="11:12" x14ac:dyDescent="0.25">
      <c r="K191"/>
      <c r="L191"/>
    </row>
    <row r="192" spans="11:12" x14ac:dyDescent="0.25">
      <c r="K192"/>
      <c r="L192"/>
    </row>
    <row r="193" spans="11:12" x14ac:dyDescent="0.25">
      <c r="K193"/>
      <c r="L193"/>
    </row>
    <row r="194" spans="11:12" x14ac:dyDescent="0.25">
      <c r="K194"/>
      <c r="L194"/>
    </row>
    <row r="195" spans="11:12" x14ac:dyDescent="0.25">
      <c r="K195"/>
      <c r="L195"/>
    </row>
    <row r="196" spans="11:12" x14ac:dyDescent="0.25">
      <c r="K196"/>
      <c r="L196"/>
    </row>
    <row r="197" spans="11:12" x14ac:dyDescent="0.25">
      <c r="K197"/>
      <c r="L197"/>
    </row>
    <row r="198" spans="11:12" x14ac:dyDescent="0.25">
      <c r="K198"/>
      <c r="L198"/>
    </row>
    <row r="199" spans="11:12" x14ac:dyDescent="0.25">
      <c r="K199"/>
      <c r="L199"/>
    </row>
    <row r="200" spans="11:12" x14ac:dyDescent="0.25">
      <c r="K200"/>
      <c r="L200"/>
    </row>
    <row r="201" spans="11:12" x14ac:dyDescent="0.25">
      <c r="K201"/>
      <c r="L201"/>
    </row>
    <row r="202" spans="11:12" x14ac:dyDescent="0.25">
      <c r="K202"/>
      <c r="L202"/>
    </row>
    <row r="203" spans="11:12" x14ac:dyDescent="0.25">
      <c r="K203"/>
      <c r="L203"/>
    </row>
    <row r="204" spans="11:12" x14ac:dyDescent="0.25">
      <c r="K204"/>
      <c r="L204"/>
    </row>
    <row r="205" spans="11:12" x14ac:dyDescent="0.25">
      <c r="K205"/>
      <c r="L205"/>
    </row>
    <row r="206" spans="11:12" x14ac:dyDescent="0.25">
      <c r="K206"/>
      <c r="L206"/>
    </row>
    <row r="207" spans="11:12" x14ac:dyDescent="0.25">
      <c r="K207"/>
      <c r="L207"/>
    </row>
    <row r="208" spans="11:12" x14ac:dyDescent="0.25">
      <c r="K208"/>
      <c r="L208"/>
    </row>
    <row r="209" spans="11:12" x14ac:dyDescent="0.25">
      <c r="K209"/>
      <c r="L209"/>
    </row>
    <row r="210" spans="11:12" x14ac:dyDescent="0.25">
      <c r="K210"/>
      <c r="L210"/>
    </row>
    <row r="211" spans="11:12" x14ac:dyDescent="0.25">
      <c r="K211"/>
      <c r="L211"/>
    </row>
    <row r="212" spans="11:12" x14ac:dyDescent="0.25">
      <c r="K212"/>
      <c r="L212"/>
    </row>
    <row r="213" spans="11:12" x14ac:dyDescent="0.25">
      <c r="K213"/>
      <c r="L213"/>
    </row>
    <row r="214" spans="11:12" x14ac:dyDescent="0.25">
      <c r="K214"/>
      <c r="L214"/>
    </row>
    <row r="215" spans="11:12" x14ac:dyDescent="0.25">
      <c r="K215"/>
      <c r="L215"/>
    </row>
    <row r="216" spans="11:12" x14ac:dyDescent="0.25">
      <c r="K216"/>
      <c r="L216"/>
    </row>
    <row r="217" spans="11:12" x14ac:dyDescent="0.25">
      <c r="K217"/>
      <c r="L217"/>
    </row>
    <row r="218" spans="11:12" x14ac:dyDescent="0.25">
      <c r="K218"/>
      <c r="L218"/>
    </row>
    <row r="219" spans="11:12" x14ac:dyDescent="0.25">
      <c r="K219"/>
      <c r="L219"/>
    </row>
    <row r="220" spans="11:12" x14ac:dyDescent="0.25">
      <c r="K220"/>
      <c r="L220"/>
    </row>
    <row r="221" spans="11:12" x14ac:dyDescent="0.25">
      <c r="K221"/>
      <c r="L221"/>
    </row>
    <row r="222" spans="11:12" x14ac:dyDescent="0.25">
      <c r="K222"/>
      <c r="L222"/>
    </row>
    <row r="223" spans="11:12" x14ac:dyDescent="0.25">
      <c r="K223"/>
      <c r="L223"/>
    </row>
    <row r="224" spans="11:12" x14ac:dyDescent="0.25">
      <c r="K224"/>
      <c r="L224"/>
    </row>
    <row r="225" spans="11:12" x14ac:dyDescent="0.25">
      <c r="K225"/>
      <c r="L225"/>
    </row>
    <row r="226" spans="11:12" x14ac:dyDescent="0.25">
      <c r="K226"/>
      <c r="L226"/>
    </row>
    <row r="227" spans="11:12" x14ac:dyDescent="0.25">
      <c r="K227"/>
      <c r="L227"/>
    </row>
    <row r="228" spans="11:12" x14ac:dyDescent="0.25">
      <c r="K228"/>
      <c r="L228"/>
    </row>
    <row r="229" spans="11:12" x14ac:dyDescent="0.25">
      <c r="K229"/>
      <c r="L229"/>
    </row>
    <row r="230" spans="11:12" x14ac:dyDescent="0.25">
      <c r="K230"/>
      <c r="L230"/>
    </row>
    <row r="231" spans="11:12" x14ac:dyDescent="0.25">
      <c r="K231"/>
      <c r="L231"/>
    </row>
    <row r="232" spans="11:12" x14ac:dyDescent="0.25">
      <c r="K232"/>
      <c r="L232"/>
    </row>
    <row r="233" spans="11:12" x14ac:dyDescent="0.25">
      <c r="K233"/>
      <c r="L233"/>
    </row>
    <row r="234" spans="11:12" x14ac:dyDescent="0.25">
      <c r="K234"/>
      <c r="L234"/>
    </row>
    <row r="235" spans="11:12" x14ac:dyDescent="0.25">
      <c r="K235"/>
      <c r="L235"/>
    </row>
    <row r="236" spans="11:12" x14ac:dyDescent="0.25">
      <c r="K236"/>
      <c r="L236"/>
    </row>
    <row r="237" spans="11:12" x14ac:dyDescent="0.25">
      <c r="K237"/>
      <c r="L237"/>
    </row>
    <row r="238" spans="11:12" x14ac:dyDescent="0.25">
      <c r="K238"/>
      <c r="L238"/>
    </row>
    <row r="239" spans="11:12" x14ac:dyDescent="0.25">
      <c r="K239"/>
      <c r="L239"/>
    </row>
    <row r="240" spans="11:12" x14ac:dyDescent="0.25">
      <c r="K240"/>
      <c r="L240"/>
    </row>
    <row r="241" spans="11:12" x14ac:dyDescent="0.25">
      <c r="K241"/>
      <c r="L241"/>
    </row>
    <row r="242" spans="11:12" x14ac:dyDescent="0.25">
      <c r="K242"/>
      <c r="L242"/>
    </row>
    <row r="243" spans="11:12" x14ac:dyDescent="0.25">
      <c r="K243"/>
      <c r="L243"/>
    </row>
    <row r="244" spans="11:12" x14ac:dyDescent="0.25">
      <c r="K244"/>
      <c r="L244"/>
    </row>
    <row r="245" spans="11:12" x14ac:dyDescent="0.25">
      <c r="K245"/>
      <c r="L245"/>
    </row>
    <row r="246" spans="11:12" x14ac:dyDescent="0.25">
      <c r="K246"/>
      <c r="L246"/>
    </row>
    <row r="247" spans="11:12" x14ac:dyDescent="0.25">
      <c r="K247"/>
      <c r="L247"/>
    </row>
    <row r="248" spans="11:12" x14ac:dyDescent="0.25">
      <c r="K248"/>
      <c r="L248"/>
    </row>
    <row r="249" spans="11:12" x14ac:dyDescent="0.25">
      <c r="K249"/>
      <c r="L249"/>
    </row>
    <row r="250" spans="11:12" x14ac:dyDescent="0.25">
      <c r="K250"/>
      <c r="L250"/>
    </row>
    <row r="251" spans="11:12" x14ac:dyDescent="0.25">
      <c r="K251"/>
      <c r="L251"/>
    </row>
    <row r="252" spans="11:12" x14ac:dyDescent="0.25">
      <c r="K252"/>
      <c r="L252"/>
    </row>
    <row r="253" spans="11:12" x14ac:dyDescent="0.25">
      <c r="K253"/>
      <c r="L253"/>
    </row>
    <row r="254" spans="11:12" x14ac:dyDescent="0.25">
      <c r="K254"/>
      <c r="L254"/>
    </row>
    <row r="255" spans="11:12" x14ac:dyDescent="0.25">
      <c r="K255"/>
      <c r="L255"/>
    </row>
    <row r="256" spans="11:12" x14ac:dyDescent="0.25">
      <c r="K256"/>
      <c r="L256"/>
    </row>
    <row r="257" spans="11:12" x14ac:dyDescent="0.25">
      <c r="K257"/>
      <c r="L257"/>
    </row>
    <row r="258" spans="11:12" x14ac:dyDescent="0.25">
      <c r="K258"/>
      <c r="L258"/>
    </row>
    <row r="259" spans="11:12" x14ac:dyDescent="0.25">
      <c r="K259"/>
      <c r="L259"/>
    </row>
    <row r="260" spans="11:12" x14ac:dyDescent="0.25">
      <c r="K260"/>
      <c r="L260"/>
    </row>
    <row r="261" spans="11:12" x14ac:dyDescent="0.25">
      <c r="K261"/>
      <c r="L261"/>
    </row>
    <row r="262" spans="11:12" x14ac:dyDescent="0.25">
      <c r="K262"/>
      <c r="L262"/>
    </row>
    <row r="263" spans="11:12" x14ac:dyDescent="0.25">
      <c r="K263"/>
      <c r="L263"/>
    </row>
    <row r="264" spans="11:12" x14ac:dyDescent="0.25">
      <c r="K264"/>
      <c r="L264"/>
    </row>
    <row r="265" spans="11:12" x14ac:dyDescent="0.25">
      <c r="K265"/>
      <c r="L265"/>
    </row>
    <row r="266" spans="11:12" x14ac:dyDescent="0.25">
      <c r="K266"/>
      <c r="L266"/>
    </row>
    <row r="267" spans="11:12" x14ac:dyDescent="0.25">
      <c r="K267"/>
      <c r="L267"/>
    </row>
    <row r="268" spans="11:12" x14ac:dyDescent="0.25">
      <c r="K268"/>
      <c r="L268"/>
    </row>
    <row r="269" spans="11:12" x14ac:dyDescent="0.25">
      <c r="K269"/>
      <c r="L269"/>
    </row>
    <row r="270" spans="11:12" x14ac:dyDescent="0.25">
      <c r="K270"/>
      <c r="L270"/>
    </row>
    <row r="271" spans="11:12" x14ac:dyDescent="0.25">
      <c r="K271"/>
      <c r="L271"/>
    </row>
    <row r="272" spans="11:12" x14ac:dyDescent="0.25">
      <c r="K272"/>
      <c r="L272"/>
    </row>
    <row r="273" spans="11:12" x14ac:dyDescent="0.25">
      <c r="K273"/>
      <c r="L273"/>
    </row>
    <row r="274" spans="11:12" x14ac:dyDescent="0.25">
      <c r="K274"/>
      <c r="L274"/>
    </row>
    <row r="275" spans="11:12" x14ac:dyDescent="0.25">
      <c r="K275"/>
      <c r="L275"/>
    </row>
    <row r="276" spans="11:12" x14ac:dyDescent="0.25">
      <c r="K276"/>
      <c r="L276"/>
    </row>
    <row r="277" spans="11:12" x14ac:dyDescent="0.25">
      <c r="K277"/>
      <c r="L277"/>
    </row>
    <row r="278" spans="11:12" x14ac:dyDescent="0.25">
      <c r="K278"/>
      <c r="L278"/>
    </row>
    <row r="279" spans="11:12" x14ac:dyDescent="0.25">
      <c r="K279"/>
      <c r="L279"/>
    </row>
    <row r="280" spans="11:12" x14ac:dyDescent="0.25">
      <c r="K280"/>
      <c r="L280"/>
    </row>
    <row r="281" spans="11:12" x14ac:dyDescent="0.25">
      <c r="K281"/>
      <c r="L281"/>
    </row>
    <row r="282" spans="11:12" x14ac:dyDescent="0.25">
      <c r="K282"/>
      <c r="L282"/>
    </row>
    <row r="283" spans="11:12" x14ac:dyDescent="0.25">
      <c r="K283"/>
      <c r="L283"/>
    </row>
    <row r="284" spans="11:12" x14ac:dyDescent="0.25">
      <c r="K284"/>
      <c r="L284"/>
    </row>
    <row r="285" spans="11:12" x14ac:dyDescent="0.25">
      <c r="K285"/>
      <c r="L285"/>
    </row>
    <row r="286" spans="11:12" x14ac:dyDescent="0.25">
      <c r="K286"/>
      <c r="L286"/>
    </row>
    <row r="287" spans="11:12" x14ac:dyDescent="0.25">
      <c r="K287"/>
      <c r="L287"/>
    </row>
    <row r="288" spans="11:12" x14ac:dyDescent="0.25">
      <c r="K288"/>
      <c r="L288"/>
    </row>
    <row r="289" spans="11:12" x14ac:dyDescent="0.25">
      <c r="K289"/>
      <c r="L289"/>
    </row>
    <row r="290" spans="11:12" x14ac:dyDescent="0.25">
      <c r="K290"/>
      <c r="L290"/>
    </row>
    <row r="291" spans="11:12" x14ac:dyDescent="0.25">
      <c r="K291"/>
      <c r="L291"/>
    </row>
    <row r="292" spans="11:12" x14ac:dyDescent="0.25">
      <c r="K292"/>
      <c r="L292"/>
    </row>
    <row r="293" spans="11:12" x14ac:dyDescent="0.25">
      <c r="K293"/>
      <c r="L293"/>
    </row>
    <row r="294" spans="11:12" x14ac:dyDescent="0.25">
      <c r="K294"/>
      <c r="L294"/>
    </row>
    <row r="295" spans="11:12" x14ac:dyDescent="0.25">
      <c r="K295"/>
      <c r="L295"/>
    </row>
    <row r="296" spans="11:12" x14ac:dyDescent="0.25">
      <c r="K296"/>
      <c r="L296"/>
    </row>
    <row r="297" spans="11:12" x14ac:dyDescent="0.25">
      <c r="K297"/>
      <c r="L297"/>
    </row>
    <row r="298" spans="11:12" x14ac:dyDescent="0.25">
      <c r="K298"/>
      <c r="L298"/>
    </row>
    <row r="299" spans="11:12" x14ac:dyDescent="0.25">
      <c r="K299"/>
      <c r="L299"/>
    </row>
    <row r="300" spans="11:12" x14ac:dyDescent="0.25">
      <c r="K300"/>
      <c r="L300"/>
    </row>
    <row r="301" spans="11:12" x14ac:dyDescent="0.25">
      <c r="K301"/>
      <c r="L301"/>
    </row>
    <row r="302" spans="11:12" x14ac:dyDescent="0.25">
      <c r="K302"/>
      <c r="L302"/>
    </row>
    <row r="303" spans="11:12" x14ac:dyDescent="0.25">
      <c r="K303"/>
      <c r="L303"/>
    </row>
    <row r="304" spans="11:12" x14ac:dyDescent="0.25">
      <c r="K304"/>
      <c r="L304"/>
    </row>
    <row r="305" spans="11:12" x14ac:dyDescent="0.25">
      <c r="K305"/>
      <c r="L305"/>
    </row>
    <row r="306" spans="11:12" x14ac:dyDescent="0.25">
      <c r="K306"/>
      <c r="L306"/>
    </row>
    <row r="307" spans="11:12" x14ac:dyDescent="0.25">
      <c r="K307"/>
      <c r="L307"/>
    </row>
    <row r="308" spans="11:12" x14ac:dyDescent="0.25">
      <c r="K308"/>
      <c r="L308"/>
    </row>
    <row r="309" spans="11:12" x14ac:dyDescent="0.25">
      <c r="K309"/>
      <c r="L309"/>
    </row>
    <row r="310" spans="11:12" x14ac:dyDescent="0.25">
      <c r="K310"/>
      <c r="L310"/>
    </row>
    <row r="311" spans="11:12" x14ac:dyDescent="0.25">
      <c r="K311"/>
      <c r="L311"/>
    </row>
    <row r="312" spans="11:12" x14ac:dyDescent="0.25">
      <c r="K312"/>
      <c r="L312"/>
    </row>
    <row r="313" spans="11:12" x14ac:dyDescent="0.25">
      <c r="K313"/>
      <c r="L313"/>
    </row>
    <row r="314" spans="11:12" x14ac:dyDescent="0.25">
      <c r="K314"/>
      <c r="L314"/>
    </row>
    <row r="315" spans="11:12" x14ac:dyDescent="0.25">
      <c r="K315"/>
      <c r="L315"/>
    </row>
    <row r="316" spans="11:12" x14ac:dyDescent="0.25">
      <c r="K316"/>
      <c r="L316"/>
    </row>
    <row r="317" spans="11:12" x14ac:dyDescent="0.25">
      <c r="K317"/>
      <c r="L317"/>
    </row>
    <row r="318" spans="11:12" x14ac:dyDescent="0.25">
      <c r="K318"/>
      <c r="L318"/>
    </row>
    <row r="319" spans="11:12" x14ac:dyDescent="0.25">
      <c r="K319"/>
      <c r="L319"/>
    </row>
    <row r="320" spans="11:12" x14ac:dyDescent="0.25">
      <c r="K320"/>
      <c r="L320"/>
    </row>
    <row r="321" spans="11:12" x14ac:dyDescent="0.25">
      <c r="K321"/>
      <c r="L321"/>
    </row>
    <row r="322" spans="11:12" x14ac:dyDescent="0.25">
      <c r="K322"/>
      <c r="L322"/>
    </row>
    <row r="323" spans="11:12" x14ac:dyDescent="0.25">
      <c r="K323"/>
      <c r="L323"/>
    </row>
    <row r="324" spans="11:12" x14ac:dyDescent="0.25">
      <c r="K324"/>
      <c r="L324"/>
    </row>
    <row r="325" spans="11:12" x14ac:dyDescent="0.25">
      <c r="K325"/>
      <c r="L325"/>
    </row>
    <row r="326" spans="11:12" x14ac:dyDescent="0.25">
      <c r="K326"/>
      <c r="L326"/>
    </row>
    <row r="327" spans="11:12" x14ac:dyDescent="0.25">
      <c r="K327"/>
      <c r="L327"/>
    </row>
    <row r="328" spans="11:12" x14ac:dyDescent="0.25">
      <c r="K328"/>
      <c r="L328"/>
    </row>
    <row r="329" spans="11:12" x14ac:dyDescent="0.25">
      <c r="K329"/>
      <c r="L329"/>
    </row>
    <row r="330" spans="11:12" x14ac:dyDescent="0.25">
      <c r="K330"/>
      <c r="L330"/>
    </row>
    <row r="331" spans="11:12" x14ac:dyDescent="0.25">
      <c r="K331"/>
      <c r="L331"/>
    </row>
    <row r="332" spans="11:12" x14ac:dyDescent="0.25">
      <c r="K332"/>
      <c r="L332"/>
    </row>
    <row r="333" spans="11:12" x14ac:dyDescent="0.25">
      <c r="K333"/>
      <c r="L333"/>
    </row>
    <row r="334" spans="11:12" x14ac:dyDescent="0.25">
      <c r="K334"/>
      <c r="L334"/>
    </row>
    <row r="335" spans="11:12" x14ac:dyDescent="0.25">
      <c r="K335"/>
      <c r="L335"/>
    </row>
    <row r="336" spans="11:12" x14ac:dyDescent="0.25">
      <c r="K336"/>
      <c r="L336"/>
    </row>
    <row r="337" spans="11:12" x14ac:dyDescent="0.25">
      <c r="K337"/>
      <c r="L337"/>
    </row>
    <row r="338" spans="11:12" x14ac:dyDescent="0.25">
      <c r="K338"/>
      <c r="L338"/>
    </row>
    <row r="339" spans="11:12" x14ac:dyDescent="0.25">
      <c r="K339"/>
      <c r="L339"/>
    </row>
    <row r="340" spans="11:12" x14ac:dyDescent="0.25">
      <c r="K340"/>
      <c r="L340"/>
    </row>
    <row r="341" spans="11:12" x14ac:dyDescent="0.25">
      <c r="K341"/>
      <c r="L341"/>
    </row>
    <row r="342" spans="11:12" x14ac:dyDescent="0.25">
      <c r="K342"/>
      <c r="L342"/>
    </row>
    <row r="343" spans="11:12" x14ac:dyDescent="0.25">
      <c r="K343"/>
      <c r="L343"/>
    </row>
    <row r="344" spans="11:12" x14ac:dyDescent="0.25">
      <c r="K344"/>
      <c r="L344"/>
    </row>
    <row r="345" spans="11:12" x14ac:dyDescent="0.25">
      <c r="K345"/>
      <c r="L345"/>
    </row>
    <row r="346" spans="11:12" x14ac:dyDescent="0.25">
      <c r="K346"/>
      <c r="L346"/>
    </row>
    <row r="347" spans="11:12" x14ac:dyDescent="0.25">
      <c r="K347"/>
      <c r="L347"/>
    </row>
    <row r="348" spans="11:12" x14ac:dyDescent="0.25">
      <c r="K348"/>
      <c r="L348"/>
    </row>
    <row r="349" spans="11:12" x14ac:dyDescent="0.25">
      <c r="K349"/>
      <c r="L349"/>
    </row>
    <row r="350" spans="11:12" x14ac:dyDescent="0.25">
      <c r="K350"/>
      <c r="L350"/>
    </row>
    <row r="351" spans="11:12" x14ac:dyDescent="0.25">
      <c r="K351"/>
      <c r="L351"/>
    </row>
    <row r="352" spans="11:12" x14ac:dyDescent="0.25">
      <c r="K352"/>
      <c r="L352"/>
    </row>
    <row r="353" spans="11:12" x14ac:dyDescent="0.25">
      <c r="K353"/>
      <c r="L353"/>
    </row>
    <row r="354" spans="11:12" x14ac:dyDescent="0.25">
      <c r="K354"/>
      <c r="L354"/>
    </row>
    <row r="355" spans="11:12" x14ac:dyDescent="0.25">
      <c r="K355"/>
      <c r="L355"/>
    </row>
    <row r="356" spans="11:12" x14ac:dyDescent="0.25">
      <c r="K356"/>
      <c r="L356"/>
    </row>
    <row r="357" spans="11:12" x14ac:dyDescent="0.25">
      <c r="K357"/>
      <c r="L357"/>
    </row>
    <row r="358" spans="11:12" x14ac:dyDescent="0.25">
      <c r="K358"/>
      <c r="L358"/>
    </row>
    <row r="359" spans="11:12" x14ac:dyDescent="0.25">
      <c r="K359"/>
      <c r="L359"/>
    </row>
    <row r="360" spans="11:12" x14ac:dyDescent="0.25">
      <c r="K360"/>
      <c r="L360"/>
    </row>
    <row r="361" spans="11:12" x14ac:dyDescent="0.25">
      <c r="K361"/>
      <c r="L361"/>
    </row>
    <row r="362" spans="11:12" x14ac:dyDescent="0.25">
      <c r="K362"/>
      <c r="L362"/>
    </row>
    <row r="363" spans="11:12" x14ac:dyDescent="0.25">
      <c r="K363"/>
      <c r="L363"/>
    </row>
    <row r="364" spans="11:12" x14ac:dyDescent="0.25">
      <c r="K364"/>
      <c r="L364"/>
    </row>
    <row r="365" spans="11:12" x14ac:dyDescent="0.25">
      <c r="K365"/>
      <c r="L365"/>
    </row>
    <row r="366" spans="11:12" x14ac:dyDescent="0.25">
      <c r="K366"/>
      <c r="L366"/>
    </row>
    <row r="367" spans="11:12" x14ac:dyDescent="0.25">
      <c r="K367"/>
      <c r="L367"/>
    </row>
    <row r="368" spans="11:12" x14ac:dyDescent="0.25">
      <c r="K368"/>
      <c r="L368"/>
    </row>
    <row r="369" spans="11:12" x14ac:dyDescent="0.25">
      <c r="K369"/>
      <c r="L369"/>
    </row>
    <row r="370" spans="11:12" x14ac:dyDescent="0.25">
      <c r="K370"/>
      <c r="L370"/>
    </row>
    <row r="371" spans="11:12" x14ac:dyDescent="0.25">
      <c r="K371"/>
      <c r="L371"/>
    </row>
    <row r="372" spans="11:12" x14ac:dyDescent="0.25">
      <c r="K372"/>
      <c r="L372"/>
    </row>
    <row r="373" spans="11:12" x14ac:dyDescent="0.25">
      <c r="K373"/>
      <c r="L373"/>
    </row>
    <row r="374" spans="11:12" x14ac:dyDescent="0.25">
      <c r="K374"/>
      <c r="L374"/>
    </row>
    <row r="375" spans="11:12" x14ac:dyDescent="0.25">
      <c r="K375"/>
      <c r="L375"/>
    </row>
    <row r="376" spans="11:12" x14ac:dyDescent="0.25">
      <c r="K376"/>
      <c r="L376"/>
    </row>
    <row r="377" spans="11:12" x14ac:dyDescent="0.25">
      <c r="K377"/>
      <c r="L377"/>
    </row>
    <row r="378" spans="11:12" x14ac:dyDescent="0.25">
      <c r="K378"/>
      <c r="L378"/>
    </row>
    <row r="379" spans="11:12" x14ac:dyDescent="0.25">
      <c r="K379"/>
      <c r="L379"/>
    </row>
    <row r="380" spans="11:12" x14ac:dyDescent="0.25">
      <c r="K380"/>
      <c r="L380"/>
    </row>
    <row r="381" spans="11:12" x14ac:dyDescent="0.25">
      <c r="K381"/>
      <c r="L381"/>
    </row>
    <row r="382" spans="11:12" x14ac:dyDescent="0.25">
      <c r="K382"/>
      <c r="L382"/>
    </row>
    <row r="383" spans="11:12" x14ac:dyDescent="0.25">
      <c r="K383"/>
      <c r="L383"/>
    </row>
    <row r="384" spans="11:12" x14ac:dyDescent="0.25">
      <c r="K384"/>
      <c r="L384"/>
    </row>
    <row r="385" spans="11:12" x14ac:dyDescent="0.25">
      <c r="K385"/>
      <c r="L385"/>
    </row>
    <row r="386" spans="11:12" x14ac:dyDescent="0.25">
      <c r="K386"/>
      <c r="L386"/>
    </row>
    <row r="387" spans="11:12" x14ac:dyDescent="0.25">
      <c r="K387"/>
      <c r="L387"/>
    </row>
    <row r="388" spans="11:12" x14ac:dyDescent="0.25">
      <c r="K388"/>
      <c r="L388"/>
    </row>
    <row r="389" spans="11:12" x14ac:dyDescent="0.25">
      <c r="K389"/>
      <c r="L389"/>
    </row>
    <row r="390" spans="11:12" x14ac:dyDescent="0.25">
      <c r="K390"/>
      <c r="L390"/>
    </row>
    <row r="391" spans="11:12" x14ac:dyDescent="0.25">
      <c r="K391"/>
      <c r="L391"/>
    </row>
    <row r="392" spans="11:12" x14ac:dyDescent="0.25">
      <c r="K392"/>
      <c r="L392"/>
    </row>
    <row r="393" spans="11:12" x14ac:dyDescent="0.25">
      <c r="K393"/>
      <c r="L393"/>
    </row>
    <row r="394" spans="11:12" x14ac:dyDescent="0.25">
      <c r="K394"/>
      <c r="L394"/>
    </row>
    <row r="395" spans="11:12" x14ac:dyDescent="0.25">
      <c r="K395"/>
      <c r="L395"/>
    </row>
    <row r="396" spans="11:12" x14ac:dyDescent="0.25">
      <c r="K396"/>
      <c r="L396"/>
    </row>
    <row r="397" spans="11:12" x14ac:dyDescent="0.25">
      <c r="K397"/>
      <c r="L397"/>
    </row>
    <row r="398" spans="11:12" x14ac:dyDescent="0.25">
      <c r="K398"/>
      <c r="L398"/>
    </row>
    <row r="399" spans="11:12" x14ac:dyDescent="0.25">
      <c r="K399"/>
      <c r="L399"/>
    </row>
    <row r="400" spans="11:12" x14ac:dyDescent="0.25">
      <c r="K400"/>
      <c r="L400"/>
    </row>
    <row r="401" spans="11:12" x14ac:dyDescent="0.25">
      <c r="K401"/>
      <c r="L401"/>
    </row>
    <row r="402" spans="11:12" x14ac:dyDescent="0.25">
      <c r="K402"/>
      <c r="L402"/>
    </row>
    <row r="403" spans="11:12" x14ac:dyDescent="0.25">
      <c r="K403"/>
      <c r="L403"/>
    </row>
    <row r="404" spans="11:12" x14ac:dyDescent="0.25">
      <c r="K404"/>
      <c r="L404"/>
    </row>
    <row r="405" spans="11:12" x14ac:dyDescent="0.25">
      <c r="K405"/>
      <c r="L405"/>
    </row>
    <row r="406" spans="11:12" x14ac:dyDescent="0.25">
      <c r="K406"/>
      <c r="L406"/>
    </row>
    <row r="407" spans="11:12" x14ac:dyDescent="0.25">
      <c r="K407"/>
      <c r="L407"/>
    </row>
    <row r="408" spans="11:12" x14ac:dyDescent="0.25">
      <c r="K408"/>
      <c r="L408"/>
    </row>
    <row r="409" spans="11:12" x14ac:dyDescent="0.25">
      <c r="K409"/>
      <c r="L409"/>
    </row>
    <row r="410" spans="11:12" x14ac:dyDescent="0.25">
      <c r="K410"/>
      <c r="L410"/>
    </row>
    <row r="411" spans="11:12" x14ac:dyDescent="0.25">
      <c r="K411"/>
      <c r="L411"/>
    </row>
    <row r="412" spans="11:12" x14ac:dyDescent="0.25">
      <c r="K412"/>
      <c r="L412"/>
    </row>
    <row r="413" spans="11:12" x14ac:dyDescent="0.25">
      <c r="K413"/>
      <c r="L413"/>
    </row>
    <row r="414" spans="11:12" x14ac:dyDescent="0.25">
      <c r="K414"/>
      <c r="L414"/>
    </row>
    <row r="415" spans="11:12" x14ac:dyDescent="0.25">
      <c r="K415"/>
      <c r="L415"/>
    </row>
    <row r="416" spans="11:12" x14ac:dyDescent="0.25">
      <c r="K416"/>
      <c r="L416"/>
    </row>
    <row r="417" spans="11:12" x14ac:dyDescent="0.25">
      <c r="K417"/>
      <c r="L417"/>
    </row>
    <row r="418" spans="11:12" x14ac:dyDescent="0.25">
      <c r="K418"/>
      <c r="L418"/>
    </row>
    <row r="419" spans="11:12" x14ac:dyDescent="0.25">
      <c r="K419"/>
      <c r="L419"/>
    </row>
    <row r="420" spans="11:12" x14ac:dyDescent="0.25">
      <c r="K420"/>
      <c r="L420"/>
    </row>
    <row r="421" spans="11:12" x14ac:dyDescent="0.25">
      <c r="K421"/>
      <c r="L421"/>
    </row>
    <row r="422" spans="11:12" x14ac:dyDescent="0.25">
      <c r="K422"/>
      <c r="L422"/>
    </row>
    <row r="423" spans="11:12" x14ac:dyDescent="0.25">
      <c r="K423"/>
      <c r="L423"/>
    </row>
    <row r="424" spans="11:12" x14ac:dyDescent="0.25">
      <c r="K424"/>
      <c r="L424"/>
    </row>
    <row r="425" spans="11:12" x14ac:dyDescent="0.25">
      <c r="K425"/>
      <c r="L425"/>
    </row>
    <row r="426" spans="11:12" x14ac:dyDescent="0.25">
      <c r="K426"/>
      <c r="L426"/>
    </row>
    <row r="427" spans="11:12" x14ac:dyDescent="0.25">
      <c r="K427"/>
      <c r="L427"/>
    </row>
    <row r="428" spans="11:12" x14ac:dyDescent="0.25">
      <c r="K428"/>
      <c r="L428"/>
    </row>
    <row r="429" spans="11:12" x14ac:dyDescent="0.25">
      <c r="K429"/>
      <c r="L429"/>
    </row>
    <row r="430" spans="11:12" x14ac:dyDescent="0.25">
      <c r="K430"/>
      <c r="L430"/>
    </row>
    <row r="431" spans="11:12" x14ac:dyDescent="0.25">
      <c r="K431"/>
      <c r="L431"/>
    </row>
    <row r="432" spans="11:12" x14ac:dyDescent="0.25">
      <c r="K432"/>
      <c r="L432"/>
    </row>
    <row r="433" spans="11:12" x14ac:dyDescent="0.25">
      <c r="K433"/>
      <c r="L433"/>
    </row>
    <row r="434" spans="11:12" x14ac:dyDescent="0.25">
      <c r="K434"/>
      <c r="L434"/>
    </row>
    <row r="435" spans="11:12" x14ac:dyDescent="0.25">
      <c r="K435"/>
      <c r="L435"/>
    </row>
    <row r="436" spans="11:12" x14ac:dyDescent="0.25">
      <c r="K436"/>
      <c r="L436"/>
    </row>
    <row r="437" spans="11:12" x14ac:dyDescent="0.25">
      <c r="K437"/>
      <c r="L437"/>
    </row>
    <row r="438" spans="11:12" x14ac:dyDescent="0.25">
      <c r="K438"/>
      <c r="L438"/>
    </row>
    <row r="439" spans="11:12" x14ac:dyDescent="0.25">
      <c r="K439"/>
      <c r="L439"/>
    </row>
    <row r="440" spans="11:12" x14ac:dyDescent="0.25">
      <c r="K440"/>
      <c r="L440"/>
    </row>
    <row r="441" spans="11:12" x14ac:dyDescent="0.25">
      <c r="K441"/>
      <c r="L441"/>
    </row>
    <row r="442" spans="11:12" x14ac:dyDescent="0.25">
      <c r="K442"/>
      <c r="L442"/>
    </row>
    <row r="443" spans="11:12" x14ac:dyDescent="0.25">
      <c r="K443"/>
      <c r="L443"/>
    </row>
    <row r="444" spans="11:12" x14ac:dyDescent="0.25">
      <c r="K444"/>
      <c r="L444"/>
    </row>
    <row r="445" spans="11:12" x14ac:dyDescent="0.25">
      <c r="K445"/>
      <c r="L445"/>
    </row>
    <row r="446" spans="11:12" x14ac:dyDescent="0.25">
      <c r="K446"/>
      <c r="L446"/>
    </row>
    <row r="447" spans="11:12" x14ac:dyDescent="0.25">
      <c r="K447"/>
      <c r="L447"/>
    </row>
    <row r="448" spans="11:12" x14ac:dyDescent="0.25">
      <c r="K448"/>
      <c r="L448"/>
    </row>
    <row r="449" spans="11:12" x14ac:dyDescent="0.25">
      <c r="K449"/>
      <c r="L449"/>
    </row>
    <row r="450" spans="11:12" x14ac:dyDescent="0.25">
      <c r="K450"/>
      <c r="L450"/>
    </row>
    <row r="451" spans="11:12" x14ac:dyDescent="0.25">
      <c r="K451"/>
      <c r="L451"/>
    </row>
    <row r="452" spans="11:12" x14ac:dyDescent="0.25">
      <c r="K452"/>
      <c r="L452"/>
    </row>
    <row r="453" spans="11:12" x14ac:dyDescent="0.25">
      <c r="K453"/>
      <c r="L453"/>
    </row>
    <row r="454" spans="11:12" x14ac:dyDescent="0.25">
      <c r="K454"/>
      <c r="L454"/>
    </row>
    <row r="455" spans="11:12" x14ac:dyDescent="0.25">
      <c r="K455"/>
      <c r="L455"/>
    </row>
    <row r="456" spans="11:12" x14ac:dyDescent="0.25">
      <c r="K456"/>
      <c r="L456"/>
    </row>
    <row r="457" spans="11:12" x14ac:dyDescent="0.25">
      <c r="K457"/>
      <c r="L457"/>
    </row>
    <row r="458" spans="11:12" x14ac:dyDescent="0.25">
      <c r="K458"/>
      <c r="L458"/>
    </row>
    <row r="459" spans="11:12" x14ac:dyDescent="0.25">
      <c r="K459"/>
      <c r="L459"/>
    </row>
    <row r="460" spans="11:12" x14ac:dyDescent="0.25">
      <c r="K460"/>
      <c r="L460"/>
    </row>
    <row r="461" spans="11:12" x14ac:dyDescent="0.25">
      <c r="K461"/>
      <c r="L461"/>
    </row>
    <row r="462" spans="11:12" x14ac:dyDescent="0.25">
      <c r="K462"/>
      <c r="L462"/>
    </row>
    <row r="463" spans="11:12" x14ac:dyDescent="0.25">
      <c r="K463"/>
      <c r="L463"/>
    </row>
    <row r="464" spans="11:12" x14ac:dyDescent="0.25">
      <c r="K464"/>
      <c r="L464"/>
    </row>
    <row r="465" spans="11:12" x14ac:dyDescent="0.25">
      <c r="K465"/>
      <c r="L465"/>
    </row>
    <row r="466" spans="11:12" x14ac:dyDescent="0.25">
      <c r="K466"/>
      <c r="L466"/>
    </row>
    <row r="467" spans="11:12" x14ac:dyDescent="0.25">
      <c r="K467"/>
      <c r="L467"/>
    </row>
    <row r="468" spans="11:12" x14ac:dyDescent="0.25">
      <c r="K468"/>
      <c r="L468"/>
    </row>
    <row r="469" spans="11:12" x14ac:dyDescent="0.25">
      <c r="K469"/>
      <c r="L469"/>
    </row>
    <row r="470" spans="11:12" x14ac:dyDescent="0.25">
      <c r="K470"/>
      <c r="L470"/>
    </row>
    <row r="471" spans="11:12" x14ac:dyDescent="0.25">
      <c r="K471"/>
      <c r="L471"/>
    </row>
    <row r="472" spans="11:12" x14ac:dyDescent="0.25">
      <c r="K472"/>
      <c r="L472"/>
    </row>
    <row r="473" spans="11:12" x14ac:dyDescent="0.25">
      <c r="K473"/>
      <c r="L473"/>
    </row>
    <row r="474" spans="11:12" x14ac:dyDescent="0.25">
      <c r="K474"/>
      <c r="L474"/>
    </row>
    <row r="475" spans="11:12" x14ac:dyDescent="0.25">
      <c r="K475"/>
      <c r="L475"/>
    </row>
    <row r="476" spans="11:12" x14ac:dyDescent="0.25">
      <c r="K476"/>
      <c r="L476"/>
    </row>
    <row r="477" spans="11:12" x14ac:dyDescent="0.25">
      <c r="K477"/>
      <c r="L477"/>
    </row>
    <row r="478" spans="11:12" x14ac:dyDescent="0.25">
      <c r="K478"/>
      <c r="L478"/>
    </row>
    <row r="479" spans="11:12" x14ac:dyDescent="0.25">
      <c r="K479"/>
      <c r="L479"/>
    </row>
    <row r="480" spans="11:12" x14ac:dyDescent="0.25">
      <c r="K480"/>
      <c r="L480"/>
    </row>
    <row r="481" spans="11:12" x14ac:dyDescent="0.25">
      <c r="K481"/>
      <c r="L481"/>
    </row>
    <row r="482" spans="11:12" x14ac:dyDescent="0.25">
      <c r="K482"/>
      <c r="L482"/>
    </row>
    <row r="483" spans="11:12" x14ac:dyDescent="0.25">
      <c r="K483"/>
      <c r="L483"/>
    </row>
    <row r="484" spans="11:12" x14ac:dyDescent="0.25">
      <c r="K484"/>
      <c r="L484"/>
    </row>
    <row r="485" spans="11:12" x14ac:dyDescent="0.25">
      <c r="K485"/>
      <c r="L485"/>
    </row>
    <row r="486" spans="11:12" x14ac:dyDescent="0.25">
      <c r="K486"/>
      <c r="L486"/>
    </row>
    <row r="487" spans="11:12" x14ac:dyDescent="0.25">
      <c r="K487"/>
      <c r="L487"/>
    </row>
    <row r="488" spans="11:12" x14ac:dyDescent="0.25">
      <c r="K488"/>
      <c r="L488"/>
    </row>
    <row r="489" spans="11:12" x14ac:dyDescent="0.25">
      <c r="K489"/>
      <c r="L489"/>
    </row>
    <row r="490" spans="11:12" x14ac:dyDescent="0.25">
      <c r="K490"/>
      <c r="L490"/>
    </row>
    <row r="491" spans="11:12" x14ac:dyDescent="0.25">
      <c r="K491"/>
      <c r="L491"/>
    </row>
    <row r="492" spans="11:12" x14ac:dyDescent="0.25">
      <c r="K492"/>
      <c r="L492"/>
    </row>
    <row r="493" spans="11:12" x14ac:dyDescent="0.25">
      <c r="K493"/>
      <c r="L493"/>
    </row>
    <row r="494" spans="11:12" x14ac:dyDescent="0.25">
      <c r="K494"/>
      <c r="L494"/>
    </row>
    <row r="495" spans="11:12" x14ac:dyDescent="0.25">
      <c r="K495"/>
      <c r="L495"/>
    </row>
    <row r="496" spans="11:12" x14ac:dyDescent="0.25">
      <c r="K496"/>
      <c r="L496"/>
    </row>
    <row r="497" spans="11:12" x14ac:dyDescent="0.25">
      <c r="K497"/>
      <c r="L497"/>
    </row>
    <row r="498" spans="11:12" x14ac:dyDescent="0.25">
      <c r="K498"/>
      <c r="L498"/>
    </row>
    <row r="499" spans="11:12" x14ac:dyDescent="0.25">
      <c r="K499"/>
      <c r="L499"/>
    </row>
    <row r="500" spans="11:12" x14ac:dyDescent="0.25">
      <c r="K500"/>
      <c r="L500"/>
    </row>
    <row r="501" spans="11:12" x14ac:dyDescent="0.25">
      <c r="K501"/>
      <c r="L501"/>
    </row>
    <row r="502" spans="11:12" x14ac:dyDescent="0.25">
      <c r="K502"/>
      <c r="L502"/>
    </row>
    <row r="503" spans="11:12" x14ac:dyDescent="0.25">
      <c r="K503"/>
      <c r="L503"/>
    </row>
    <row r="504" spans="11:12" x14ac:dyDescent="0.25">
      <c r="K504"/>
      <c r="L504"/>
    </row>
    <row r="505" spans="11:12" x14ac:dyDescent="0.25">
      <c r="K505"/>
      <c r="L505"/>
    </row>
    <row r="506" spans="11:12" x14ac:dyDescent="0.25">
      <c r="K506"/>
      <c r="L506"/>
    </row>
    <row r="507" spans="11:12" x14ac:dyDescent="0.25">
      <c r="K507"/>
      <c r="L507"/>
    </row>
    <row r="508" spans="11:12" x14ac:dyDescent="0.25">
      <c r="K508"/>
      <c r="L508"/>
    </row>
    <row r="509" spans="11:12" x14ac:dyDescent="0.25">
      <c r="K509"/>
      <c r="L509"/>
    </row>
    <row r="510" spans="11:12" x14ac:dyDescent="0.25">
      <c r="K510"/>
      <c r="L510"/>
    </row>
    <row r="511" spans="11:12" x14ac:dyDescent="0.25">
      <c r="K511"/>
      <c r="L511"/>
    </row>
    <row r="512" spans="11:12" x14ac:dyDescent="0.25">
      <c r="K512"/>
      <c r="L512"/>
    </row>
    <row r="513" spans="11:12" x14ac:dyDescent="0.25">
      <c r="K513"/>
      <c r="L513"/>
    </row>
    <row r="514" spans="11:12" x14ac:dyDescent="0.25">
      <c r="K514"/>
      <c r="L514"/>
    </row>
    <row r="515" spans="11:12" x14ac:dyDescent="0.25">
      <c r="K515"/>
      <c r="L515"/>
    </row>
    <row r="516" spans="11:12" x14ac:dyDescent="0.25">
      <c r="K516"/>
      <c r="L516"/>
    </row>
    <row r="517" spans="11:12" x14ac:dyDescent="0.25">
      <c r="K517"/>
      <c r="L517"/>
    </row>
    <row r="518" spans="11:12" x14ac:dyDescent="0.25">
      <c r="K518"/>
      <c r="L518"/>
    </row>
    <row r="519" spans="11:12" x14ac:dyDescent="0.25">
      <c r="K519"/>
      <c r="L519"/>
    </row>
    <row r="520" spans="11:12" x14ac:dyDescent="0.25">
      <c r="K520"/>
      <c r="L520"/>
    </row>
    <row r="521" spans="11:12" x14ac:dyDescent="0.25">
      <c r="K521"/>
      <c r="L521"/>
    </row>
    <row r="522" spans="11:12" x14ac:dyDescent="0.25">
      <c r="K522"/>
      <c r="L522"/>
    </row>
    <row r="523" spans="11:12" x14ac:dyDescent="0.25">
      <c r="K523"/>
      <c r="L523"/>
    </row>
    <row r="524" spans="11:12" x14ac:dyDescent="0.25">
      <c r="K524"/>
      <c r="L524"/>
    </row>
    <row r="525" spans="11:12" x14ac:dyDescent="0.25">
      <c r="K525"/>
      <c r="L525"/>
    </row>
    <row r="526" spans="11:12" x14ac:dyDescent="0.25">
      <c r="K526"/>
      <c r="L526"/>
    </row>
    <row r="527" spans="11:12" x14ac:dyDescent="0.25">
      <c r="K527"/>
      <c r="L527"/>
    </row>
    <row r="528" spans="11:12" x14ac:dyDescent="0.25">
      <c r="K528"/>
      <c r="L528"/>
    </row>
    <row r="529" spans="11:12" x14ac:dyDescent="0.25">
      <c r="K529"/>
      <c r="L529"/>
    </row>
    <row r="530" spans="11:12" x14ac:dyDescent="0.25">
      <c r="K530"/>
      <c r="L530"/>
    </row>
    <row r="531" spans="11:12" x14ac:dyDescent="0.25">
      <c r="K531"/>
      <c r="L531"/>
    </row>
    <row r="532" spans="11:12" x14ac:dyDescent="0.25">
      <c r="K532"/>
      <c r="L532"/>
    </row>
    <row r="533" spans="11:12" x14ac:dyDescent="0.25">
      <c r="K533"/>
      <c r="L533"/>
    </row>
    <row r="534" spans="11:12" x14ac:dyDescent="0.25">
      <c r="K534"/>
      <c r="L534"/>
    </row>
    <row r="535" spans="11:12" x14ac:dyDescent="0.25">
      <c r="K535"/>
      <c r="L535"/>
    </row>
    <row r="536" spans="11:12" x14ac:dyDescent="0.25">
      <c r="K536"/>
      <c r="L536"/>
    </row>
    <row r="537" spans="11:12" x14ac:dyDescent="0.25">
      <c r="K537"/>
      <c r="L537"/>
    </row>
    <row r="538" spans="11:12" x14ac:dyDescent="0.25">
      <c r="K538"/>
      <c r="L538"/>
    </row>
    <row r="539" spans="11:12" x14ac:dyDescent="0.25">
      <c r="K539"/>
      <c r="L539"/>
    </row>
    <row r="540" spans="11:12" x14ac:dyDescent="0.25">
      <c r="K540"/>
      <c r="L540"/>
    </row>
    <row r="541" spans="11:12" x14ac:dyDescent="0.25">
      <c r="K541"/>
      <c r="L541"/>
    </row>
    <row r="542" spans="11:12" x14ac:dyDescent="0.25">
      <c r="K542"/>
      <c r="L542"/>
    </row>
    <row r="543" spans="11:12" x14ac:dyDescent="0.25">
      <c r="K543"/>
      <c r="L543"/>
    </row>
    <row r="544" spans="11:12" x14ac:dyDescent="0.25">
      <c r="K544"/>
      <c r="L544"/>
    </row>
    <row r="545" spans="11:12" x14ac:dyDescent="0.25">
      <c r="K545"/>
      <c r="L545"/>
    </row>
    <row r="546" spans="11:12" x14ac:dyDescent="0.25">
      <c r="K546"/>
      <c r="L546"/>
    </row>
    <row r="547" spans="11:12" x14ac:dyDescent="0.25">
      <c r="K547"/>
      <c r="L547"/>
    </row>
    <row r="548" spans="11:12" x14ac:dyDescent="0.25">
      <c r="K548"/>
      <c r="L548"/>
    </row>
    <row r="549" spans="11:12" x14ac:dyDescent="0.25">
      <c r="K549"/>
      <c r="L549"/>
    </row>
    <row r="550" spans="11:12" x14ac:dyDescent="0.25">
      <c r="K550"/>
      <c r="L550"/>
    </row>
    <row r="551" spans="11:12" x14ac:dyDescent="0.25">
      <c r="K551"/>
      <c r="L551"/>
    </row>
    <row r="552" spans="11:12" x14ac:dyDescent="0.25">
      <c r="K552"/>
      <c r="L552"/>
    </row>
    <row r="553" spans="11:12" x14ac:dyDescent="0.25">
      <c r="K553"/>
      <c r="L553"/>
    </row>
    <row r="554" spans="11:12" x14ac:dyDescent="0.25">
      <c r="K554"/>
      <c r="L554"/>
    </row>
    <row r="555" spans="11:12" x14ac:dyDescent="0.25">
      <c r="K555"/>
      <c r="L555"/>
    </row>
    <row r="556" spans="11:12" x14ac:dyDescent="0.25">
      <c r="K556"/>
      <c r="L556"/>
    </row>
    <row r="557" spans="11:12" x14ac:dyDescent="0.25">
      <c r="K557"/>
      <c r="L557"/>
    </row>
    <row r="558" spans="11:12" x14ac:dyDescent="0.25">
      <c r="K558"/>
      <c r="L558"/>
    </row>
    <row r="559" spans="11:12" x14ac:dyDescent="0.25">
      <c r="K559"/>
      <c r="L559"/>
    </row>
    <row r="560" spans="11:12" x14ac:dyDescent="0.25">
      <c r="K560"/>
      <c r="L560"/>
    </row>
    <row r="561" spans="11:12" x14ac:dyDescent="0.25">
      <c r="K561"/>
      <c r="L561"/>
    </row>
    <row r="562" spans="11:12" x14ac:dyDescent="0.25">
      <c r="K562"/>
      <c r="L562"/>
    </row>
    <row r="563" spans="11:12" x14ac:dyDescent="0.25">
      <c r="K563"/>
      <c r="L563"/>
    </row>
    <row r="564" spans="11:12" x14ac:dyDescent="0.25">
      <c r="K564"/>
      <c r="L564"/>
    </row>
    <row r="565" spans="11:12" x14ac:dyDescent="0.25">
      <c r="K565"/>
      <c r="L565"/>
    </row>
    <row r="566" spans="11:12" x14ac:dyDescent="0.25">
      <c r="K566"/>
      <c r="L566"/>
    </row>
    <row r="567" spans="11:12" x14ac:dyDescent="0.25">
      <c r="K567"/>
      <c r="L567"/>
    </row>
    <row r="568" spans="11:12" x14ac:dyDescent="0.25">
      <c r="K568"/>
      <c r="L568"/>
    </row>
    <row r="569" spans="11:12" x14ac:dyDescent="0.25">
      <c r="K569"/>
      <c r="L569"/>
    </row>
    <row r="570" spans="11:12" x14ac:dyDescent="0.25">
      <c r="K570"/>
      <c r="L570"/>
    </row>
    <row r="571" spans="11:12" x14ac:dyDescent="0.25">
      <c r="K571"/>
      <c r="L571"/>
    </row>
    <row r="572" spans="11:12" x14ac:dyDescent="0.25">
      <c r="K572"/>
      <c r="L572"/>
    </row>
    <row r="573" spans="11:12" x14ac:dyDescent="0.25">
      <c r="K573"/>
      <c r="L573"/>
    </row>
    <row r="574" spans="11:12" x14ac:dyDescent="0.25">
      <c r="K574"/>
      <c r="L574"/>
    </row>
    <row r="575" spans="11:12" x14ac:dyDescent="0.25">
      <c r="K575"/>
      <c r="L575"/>
    </row>
    <row r="576" spans="11:12" x14ac:dyDescent="0.25">
      <c r="K576"/>
      <c r="L576"/>
    </row>
    <row r="577" spans="11:12" x14ac:dyDescent="0.25">
      <c r="K577"/>
      <c r="L577"/>
    </row>
    <row r="578" spans="11:12" x14ac:dyDescent="0.25">
      <c r="K578"/>
      <c r="L578"/>
    </row>
    <row r="579" spans="11:12" x14ac:dyDescent="0.25">
      <c r="K579"/>
      <c r="L579"/>
    </row>
    <row r="580" spans="11:12" x14ac:dyDescent="0.25">
      <c r="K580"/>
      <c r="L580"/>
    </row>
    <row r="581" spans="11:12" x14ac:dyDescent="0.25">
      <c r="K581"/>
      <c r="L581"/>
    </row>
    <row r="582" spans="11:12" x14ac:dyDescent="0.25">
      <c r="K582"/>
      <c r="L582"/>
    </row>
    <row r="583" spans="11:12" x14ac:dyDescent="0.25">
      <c r="K583"/>
      <c r="L583"/>
    </row>
    <row r="584" spans="11:12" x14ac:dyDescent="0.25">
      <c r="K584"/>
      <c r="L584"/>
    </row>
    <row r="585" spans="11:12" x14ac:dyDescent="0.25">
      <c r="K585"/>
      <c r="L585"/>
    </row>
    <row r="586" spans="11:12" x14ac:dyDescent="0.25">
      <c r="K586"/>
      <c r="L586"/>
    </row>
    <row r="587" spans="11:12" x14ac:dyDescent="0.25">
      <c r="K587"/>
      <c r="L587"/>
    </row>
    <row r="588" spans="11:12" x14ac:dyDescent="0.25">
      <c r="K588"/>
      <c r="L588"/>
    </row>
    <row r="589" spans="11:12" x14ac:dyDescent="0.25">
      <c r="K589"/>
      <c r="L589"/>
    </row>
    <row r="590" spans="11:12" x14ac:dyDescent="0.25">
      <c r="K590"/>
      <c r="L590"/>
    </row>
    <row r="591" spans="11:12" x14ac:dyDescent="0.25">
      <c r="K591"/>
      <c r="L591"/>
    </row>
    <row r="592" spans="11:12" x14ac:dyDescent="0.25">
      <c r="K592"/>
      <c r="L592"/>
    </row>
    <row r="593" spans="11:12" x14ac:dyDescent="0.25">
      <c r="K593"/>
      <c r="L593"/>
    </row>
    <row r="594" spans="11:12" x14ac:dyDescent="0.25">
      <c r="K594"/>
      <c r="L594"/>
    </row>
    <row r="595" spans="11:12" x14ac:dyDescent="0.25">
      <c r="K595"/>
      <c r="L595"/>
    </row>
    <row r="596" spans="11:12" x14ac:dyDescent="0.25">
      <c r="K596"/>
      <c r="L596"/>
    </row>
    <row r="597" spans="11:12" x14ac:dyDescent="0.25">
      <c r="K597"/>
      <c r="L597"/>
    </row>
    <row r="598" spans="11:12" x14ac:dyDescent="0.25">
      <c r="K598"/>
      <c r="L598"/>
    </row>
    <row r="599" spans="11:12" x14ac:dyDescent="0.25">
      <c r="K599"/>
      <c r="L599"/>
    </row>
    <row r="600" spans="11:12" x14ac:dyDescent="0.25">
      <c r="K600"/>
      <c r="L600"/>
    </row>
    <row r="601" spans="11:12" x14ac:dyDescent="0.25">
      <c r="K601"/>
      <c r="L601"/>
    </row>
    <row r="602" spans="11:12" x14ac:dyDescent="0.25">
      <c r="K602"/>
      <c r="L602"/>
    </row>
    <row r="603" spans="11:12" x14ac:dyDescent="0.25">
      <c r="K603"/>
      <c r="L603"/>
    </row>
    <row r="604" spans="11:12" x14ac:dyDescent="0.25">
      <c r="K604"/>
      <c r="L604"/>
    </row>
    <row r="605" spans="11:12" x14ac:dyDescent="0.25">
      <c r="K605"/>
      <c r="L605"/>
    </row>
    <row r="606" spans="11:12" x14ac:dyDescent="0.25">
      <c r="K606"/>
      <c r="L606"/>
    </row>
    <row r="607" spans="11:12" x14ac:dyDescent="0.25">
      <c r="K607"/>
      <c r="L607"/>
    </row>
    <row r="608" spans="11:12" x14ac:dyDescent="0.25">
      <c r="K608"/>
      <c r="L608"/>
    </row>
    <row r="609" spans="11:12" x14ac:dyDescent="0.25">
      <c r="K609"/>
      <c r="L609"/>
    </row>
    <row r="610" spans="11:12" x14ac:dyDescent="0.25">
      <c r="K610"/>
      <c r="L610"/>
    </row>
    <row r="611" spans="11:12" x14ac:dyDescent="0.25">
      <c r="K611"/>
      <c r="L611"/>
    </row>
    <row r="612" spans="11:12" x14ac:dyDescent="0.25">
      <c r="K612"/>
      <c r="L612"/>
    </row>
    <row r="613" spans="11:12" x14ac:dyDescent="0.25">
      <c r="K613"/>
      <c r="L613"/>
    </row>
    <row r="614" spans="11:12" x14ac:dyDescent="0.25">
      <c r="K614"/>
      <c r="L614"/>
    </row>
    <row r="615" spans="11:12" x14ac:dyDescent="0.25">
      <c r="K615"/>
      <c r="L615"/>
    </row>
    <row r="616" spans="11:12" x14ac:dyDescent="0.25">
      <c r="K616"/>
      <c r="L616"/>
    </row>
    <row r="617" spans="11:12" x14ac:dyDescent="0.25">
      <c r="K617"/>
      <c r="L617"/>
    </row>
    <row r="618" spans="11:12" x14ac:dyDescent="0.25">
      <c r="K618"/>
      <c r="L618"/>
    </row>
    <row r="619" spans="11:12" x14ac:dyDescent="0.25">
      <c r="K619"/>
      <c r="L619"/>
    </row>
    <row r="620" spans="11:12" x14ac:dyDescent="0.25">
      <c r="K620"/>
      <c r="L620"/>
    </row>
    <row r="621" spans="11:12" x14ac:dyDescent="0.25">
      <c r="K621"/>
      <c r="L621"/>
    </row>
    <row r="622" spans="11:12" x14ac:dyDescent="0.25">
      <c r="K622"/>
      <c r="L622"/>
    </row>
    <row r="623" spans="11:12" x14ac:dyDescent="0.25">
      <c r="K623"/>
      <c r="L623"/>
    </row>
    <row r="624" spans="11:12" x14ac:dyDescent="0.25">
      <c r="K624"/>
      <c r="L624"/>
    </row>
    <row r="625" spans="11:12" x14ac:dyDescent="0.25">
      <c r="K625"/>
      <c r="L625"/>
    </row>
    <row r="626" spans="11:12" x14ac:dyDescent="0.25">
      <c r="K626"/>
      <c r="L626"/>
    </row>
    <row r="627" spans="11:12" x14ac:dyDescent="0.25">
      <c r="K627"/>
      <c r="L627"/>
    </row>
    <row r="628" spans="11:12" x14ac:dyDescent="0.25">
      <c r="K628"/>
      <c r="L628"/>
    </row>
    <row r="629" spans="11:12" x14ac:dyDescent="0.25">
      <c r="K629"/>
      <c r="L629"/>
    </row>
    <row r="630" spans="11:12" x14ac:dyDescent="0.25">
      <c r="K630"/>
      <c r="L630"/>
    </row>
    <row r="631" spans="11:12" x14ac:dyDescent="0.25">
      <c r="K631"/>
      <c r="L631"/>
    </row>
    <row r="632" spans="11:12" x14ac:dyDescent="0.25">
      <c r="K632"/>
      <c r="L632"/>
    </row>
    <row r="633" spans="11:12" x14ac:dyDescent="0.25">
      <c r="K633"/>
      <c r="L633"/>
    </row>
    <row r="634" spans="11:12" x14ac:dyDescent="0.25">
      <c r="K634"/>
      <c r="L634"/>
    </row>
    <row r="635" spans="11:12" x14ac:dyDescent="0.25">
      <c r="K635"/>
      <c r="L635"/>
    </row>
    <row r="636" spans="11:12" x14ac:dyDescent="0.25">
      <c r="K636"/>
      <c r="L636"/>
    </row>
    <row r="637" spans="11:12" x14ac:dyDescent="0.25">
      <c r="K637"/>
      <c r="L637"/>
    </row>
    <row r="638" spans="11:12" x14ac:dyDescent="0.25">
      <c r="K638"/>
      <c r="L638"/>
    </row>
    <row r="639" spans="11:12" x14ac:dyDescent="0.25">
      <c r="K639"/>
      <c r="L639"/>
    </row>
    <row r="640" spans="11:12" x14ac:dyDescent="0.25">
      <c r="K640"/>
      <c r="L640"/>
    </row>
    <row r="641" spans="11:12" x14ac:dyDescent="0.25">
      <c r="K641"/>
      <c r="L641"/>
    </row>
    <row r="642" spans="11:12" x14ac:dyDescent="0.25">
      <c r="K642"/>
      <c r="L642"/>
    </row>
    <row r="643" spans="11:12" x14ac:dyDescent="0.25">
      <c r="K643"/>
      <c r="L643"/>
    </row>
    <row r="644" spans="11:12" x14ac:dyDescent="0.25">
      <c r="K644"/>
      <c r="L644"/>
    </row>
    <row r="645" spans="11:12" x14ac:dyDescent="0.25">
      <c r="K645"/>
      <c r="L645"/>
    </row>
    <row r="646" spans="11:12" x14ac:dyDescent="0.25">
      <c r="K646"/>
      <c r="L646"/>
    </row>
    <row r="647" spans="11:12" x14ac:dyDescent="0.25">
      <c r="K647"/>
      <c r="L647"/>
    </row>
    <row r="648" spans="11:12" x14ac:dyDescent="0.25">
      <c r="K648"/>
      <c r="L648"/>
    </row>
    <row r="649" spans="11:12" x14ac:dyDescent="0.25">
      <c r="K649"/>
      <c r="L649"/>
    </row>
    <row r="650" spans="11:12" x14ac:dyDescent="0.25">
      <c r="K650"/>
      <c r="L650"/>
    </row>
    <row r="651" spans="11:12" x14ac:dyDescent="0.25">
      <c r="K651"/>
      <c r="L651"/>
    </row>
    <row r="652" spans="11:12" x14ac:dyDescent="0.25">
      <c r="K652"/>
      <c r="L652"/>
    </row>
    <row r="653" spans="11:12" x14ac:dyDescent="0.25">
      <c r="K653"/>
      <c r="L653"/>
    </row>
    <row r="654" spans="11:12" x14ac:dyDescent="0.25">
      <c r="K654"/>
      <c r="L654"/>
    </row>
    <row r="655" spans="11:12" x14ac:dyDescent="0.25">
      <c r="K655"/>
      <c r="L655"/>
    </row>
    <row r="656" spans="11:12" x14ac:dyDescent="0.25">
      <c r="K656"/>
      <c r="L656"/>
    </row>
    <row r="657" spans="11:12" x14ac:dyDescent="0.25">
      <c r="K657"/>
      <c r="L657"/>
    </row>
    <row r="658" spans="11:12" x14ac:dyDescent="0.25">
      <c r="K658"/>
      <c r="L658"/>
    </row>
    <row r="659" spans="11:12" x14ac:dyDescent="0.25">
      <c r="K659"/>
      <c r="L659"/>
    </row>
    <row r="660" spans="11:12" x14ac:dyDescent="0.25">
      <c r="K660"/>
      <c r="L660"/>
    </row>
    <row r="661" spans="11:12" x14ac:dyDescent="0.25">
      <c r="K661"/>
      <c r="L661"/>
    </row>
    <row r="662" spans="11:12" x14ac:dyDescent="0.25">
      <c r="K662"/>
      <c r="L662"/>
    </row>
    <row r="663" spans="11:12" x14ac:dyDescent="0.25">
      <c r="K663"/>
      <c r="L663"/>
    </row>
    <row r="664" spans="11:12" x14ac:dyDescent="0.25">
      <c r="K664"/>
      <c r="L664"/>
    </row>
    <row r="665" spans="11:12" x14ac:dyDescent="0.25">
      <c r="K665"/>
      <c r="L665"/>
    </row>
    <row r="666" spans="11:12" x14ac:dyDescent="0.25">
      <c r="K666"/>
      <c r="L666"/>
    </row>
    <row r="667" spans="11:12" x14ac:dyDescent="0.25">
      <c r="K667"/>
      <c r="L667"/>
    </row>
    <row r="668" spans="11:12" x14ac:dyDescent="0.25">
      <c r="K668"/>
      <c r="L668"/>
    </row>
    <row r="669" spans="11:12" x14ac:dyDescent="0.25">
      <c r="K669"/>
      <c r="L669"/>
    </row>
    <row r="670" spans="11:12" x14ac:dyDescent="0.25">
      <c r="K670"/>
      <c r="L670"/>
    </row>
    <row r="671" spans="11:12" x14ac:dyDescent="0.25">
      <c r="K671"/>
      <c r="L671"/>
    </row>
    <row r="672" spans="11:12" x14ac:dyDescent="0.25">
      <c r="K672"/>
      <c r="L672"/>
    </row>
    <row r="673" spans="11:12" x14ac:dyDescent="0.25">
      <c r="K673"/>
      <c r="L673"/>
    </row>
    <row r="674" spans="11:12" x14ac:dyDescent="0.25">
      <c r="K674"/>
      <c r="L674"/>
    </row>
    <row r="675" spans="11:12" x14ac:dyDescent="0.25">
      <c r="K675"/>
      <c r="L675"/>
    </row>
    <row r="676" spans="11:12" x14ac:dyDescent="0.25">
      <c r="K676"/>
      <c r="L676"/>
    </row>
    <row r="677" spans="11:12" x14ac:dyDescent="0.25">
      <c r="K677"/>
      <c r="L677"/>
    </row>
    <row r="678" spans="11:12" x14ac:dyDescent="0.25">
      <c r="K678"/>
      <c r="L678"/>
    </row>
    <row r="679" spans="11:12" x14ac:dyDescent="0.25">
      <c r="K679"/>
      <c r="L679"/>
    </row>
    <row r="680" spans="11:12" x14ac:dyDescent="0.25">
      <c r="K680"/>
      <c r="L680"/>
    </row>
    <row r="681" spans="11:12" x14ac:dyDescent="0.25">
      <c r="K681"/>
      <c r="L681"/>
    </row>
    <row r="682" spans="11:12" x14ac:dyDescent="0.25">
      <c r="K682"/>
      <c r="L682"/>
    </row>
    <row r="683" spans="11:12" x14ac:dyDescent="0.25">
      <c r="K683"/>
      <c r="L683"/>
    </row>
    <row r="684" spans="11:12" x14ac:dyDescent="0.25">
      <c r="K684"/>
      <c r="L684"/>
    </row>
    <row r="685" spans="11:12" x14ac:dyDescent="0.25">
      <c r="K685"/>
      <c r="L685"/>
    </row>
    <row r="686" spans="11:12" x14ac:dyDescent="0.25">
      <c r="K686"/>
      <c r="L686"/>
    </row>
    <row r="687" spans="11:12" x14ac:dyDescent="0.25">
      <c r="K687"/>
      <c r="L687"/>
    </row>
    <row r="688" spans="11:12" x14ac:dyDescent="0.25">
      <c r="K688"/>
      <c r="L688"/>
    </row>
    <row r="689" spans="11:12" x14ac:dyDescent="0.25">
      <c r="K689"/>
      <c r="L689"/>
    </row>
    <row r="690" spans="11:12" x14ac:dyDescent="0.25">
      <c r="K690"/>
      <c r="L690"/>
    </row>
    <row r="691" spans="11:12" x14ac:dyDescent="0.25">
      <c r="K691"/>
      <c r="L691"/>
    </row>
    <row r="692" spans="11:12" x14ac:dyDescent="0.25">
      <c r="K692"/>
      <c r="L692"/>
    </row>
    <row r="693" spans="11:12" x14ac:dyDescent="0.25">
      <c r="K693"/>
      <c r="L693"/>
    </row>
    <row r="694" spans="11:12" x14ac:dyDescent="0.25">
      <c r="K694"/>
      <c r="L694"/>
    </row>
    <row r="695" spans="11:12" x14ac:dyDescent="0.25">
      <c r="K695"/>
      <c r="L695"/>
    </row>
    <row r="696" spans="11:12" x14ac:dyDescent="0.25">
      <c r="K696"/>
      <c r="L696"/>
    </row>
    <row r="697" spans="11:12" x14ac:dyDescent="0.25">
      <c r="K697"/>
      <c r="L697"/>
    </row>
    <row r="698" spans="11:12" x14ac:dyDescent="0.25">
      <c r="K698"/>
      <c r="L698"/>
    </row>
    <row r="699" spans="11:12" x14ac:dyDescent="0.25">
      <c r="K699"/>
      <c r="L699"/>
    </row>
    <row r="700" spans="11:12" x14ac:dyDescent="0.25">
      <c r="K700"/>
      <c r="L700"/>
    </row>
    <row r="701" spans="11:12" x14ac:dyDescent="0.25">
      <c r="K701"/>
      <c r="L701"/>
    </row>
    <row r="702" spans="11:12" x14ac:dyDescent="0.25">
      <c r="K702"/>
      <c r="L702"/>
    </row>
    <row r="703" spans="11:12" x14ac:dyDescent="0.25">
      <c r="K703"/>
      <c r="L703"/>
    </row>
    <row r="704" spans="11:12" x14ac:dyDescent="0.25">
      <c r="K704"/>
      <c r="L704"/>
    </row>
    <row r="705" spans="11:12" x14ac:dyDescent="0.25">
      <c r="K705"/>
      <c r="L705"/>
    </row>
    <row r="706" spans="11:12" x14ac:dyDescent="0.25">
      <c r="K706"/>
      <c r="L706"/>
    </row>
    <row r="707" spans="11:12" x14ac:dyDescent="0.25">
      <c r="K707"/>
      <c r="L707"/>
    </row>
    <row r="708" spans="11:12" x14ac:dyDescent="0.25">
      <c r="K708"/>
      <c r="L708"/>
    </row>
    <row r="709" spans="11:12" x14ac:dyDescent="0.25">
      <c r="K709"/>
      <c r="L709"/>
    </row>
    <row r="710" spans="11:12" x14ac:dyDescent="0.25">
      <c r="K710"/>
      <c r="L710"/>
    </row>
    <row r="711" spans="11:12" x14ac:dyDescent="0.25">
      <c r="K711"/>
      <c r="L711"/>
    </row>
    <row r="712" spans="11:12" x14ac:dyDescent="0.25">
      <c r="K712"/>
      <c r="L712"/>
    </row>
    <row r="713" spans="11:12" x14ac:dyDescent="0.25">
      <c r="K713"/>
      <c r="L713"/>
    </row>
    <row r="714" spans="11:12" x14ac:dyDescent="0.25">
      <c r="K714"/>
      <c r="L714"/>
    </row>
    <row r="715" spans="11:12" x14ac:dyDescent="0.25">
      <c r="K715"/>
      <c r="L715"/>
    </row>
    <row r="716" spans="11:12" x14ac:dyDescent="0.25">
      <c r="K716"/>
      <c r="L716"/>
    </row>
    <row r="717" spans="11:12" x14ac:dyDescent="0.25">
      <c r="K717"/>
      <c r="L717"/>
    </row>
    <row r="718" spans="11:12" x14ac:dyDescent="0.25">
      <c r="K718"/>
      <c r="L718"/>
    </row>
    <row r="719" spans="11:12" x14ac:dyDescent="0.25">
      <c r="K719"/>
      <c r="L719"/>
    </row>
    <row r="720" spans="11:12" x14ac:dyDescent="0.25">
      <c r="K720"/>
      <c r="L720"/>
    </row>
    <row r="721" spans="11:12" x14ac:dyDescent="0.25">
      <c r="K721"/>
      <c r="L721"/>
    </row>
    <row r="722" spans="11:12" x14ac:dyDescent="0.25">
      <c r="K722"/>
      <c r="L722"/>
    </row>
    <row r="723" spans="11:12" x14ac:dyDescent="0.25">
      <c r="K723"/>
      <c r="L723"/>
    </row>
    <row r="724" spans="11:12" x14ac:dyDescent="0.25">
      <c r="K724"/>
      <c r="L724"/>
    </row>
    <row r="725" spans="11:12" x14ac:dyDescent="0.25">
      <c r="K725"/>
      <c r="L725"/>
    </row>
    <row r="726" spans="11:12" x14ac:dyDescent="0.25">
      <c r="K726"/>
      <c r="L726"/>
    </row>
    <row r="727" spans="11:12" x14ac:dyDescent="0.25">
      <c r="K727"/>
      <c r="L727"/>
    </row>
    <row r="728" spans="11:12" x14ac:dyDescent="0.25">
      <c r="K728"/>
      <c r="L728"/>
    </row>
    <row r="729" spans="11:12" x14ac:dyDescent="0.25">
      <c r="K729"/>
      <c r="L729"/>
    </row>
    <row r="730" spans="11:12" x14ac:dyDescent="0.25">
      <c r="K730"/>
      <c r="L730"/>
    </row>
    <row r="731" spans="11:12" x14ac:dyDescent="0.25">
      <c r="K731"/>
      <c r="L731"/>
    </row>
    <row r="732" spans="11:12" x14ac:dyDescent="0.25">
      <c r="K732"/>
      <c r="L732"/>
    </row>
    <row r="733" spans="11:12" x14ac:dyDescent="0.25">
      <c r="K733"/>
      <c r="L733"/>
    </row>
    <row r="734" spans="11:12" x14ac:dyDescent="0.25">
      <c r="K734"/>
      <c r="L734"/>
    </row>
    <row r="735" spans="11:12" x14ac:dyDescent="0.25">
      <c r="K735"/>
      <c r="L735"/>
    </row>
    <row r="736" spans="11:12" x14ac:dyDescent="0.25">
      <c r="K736"/>
      <c r="L736"/>
    </row>
    <row r="737" spans="11:12" x14ac:dyDescent="0.25">
      <c r="K737"/>
      <c r="L737"/>
    </row>
    <row r="738" spans="11:12" x14ac:dyDescent="0.25">
      <c r="K738"/>
      <c r="L738"/>
    </row>
    <row r="739" spans="11:12" x14ac:dyDescent="0.25">
      <c r="K739"/>
      <c r="L739"/>
    </row>
    <row r="740" spans="11:12" x14ac:dyDescent="0.25">
      <c r="K740"/>
      <c r="L740"/>
    </row>
    <row r="741" spans="11:12" x14ac:dyDescent="0.25">
      <c r="K741"/>
      <c r="L741"/>
    </row>
    <row r="742" spans="11:12" x14ac:dyDescent="0.25">
      <c r="K742"/>
      <c r="L742"/>
    </row>
    <row r="743" spans="11:12" x14ac:dyDescent="0.25">
      <c r="K743"/>
      <c r="L743"/>
    </row>
    <row r="744" spans="11:12" x14ac:dyDescent="0.25">
      <c r="K744"/>
      <c r="L744"/>
    </row>
    <row r="745" spans="11:12" x14ac:dyDescent="0.25">
      <c r="K745"/>
      <c r="L745"/>
    </row>
    <row r="746" spans="11:12" x14ac:dyDescent="0.25">
      <c r="K746"/>
      <c r="L746"/>
    </row>
    <row r="747" spans="11:12" x14ac:dyDescent="0.25">
      <c r="K747"/>
      <c r="L747"/>
    </row>
    <row r="748" spans="11:12" x14ac:dyDescent="0.25">
      <c r="K748"/>
      <c r="L748"/>
    </row>
    <row r="749" spans="11:12" x14ac:dyDescent="0.25">
      <c r="K749"/>
      <c r="L749"/>
    </row>
    <row r="750" spans="11:12" x14ac:dyDescent="0.25">
      <c r="K750"/>
      <c r="L750"/>
    </row>
    <row r="751" spans="11:12" x14ac:dyDescent="0.25">
      <c r="K751"/>
      <c r="L751"/>
    </row>
    <row r="752" spans="11:12" x14ac:dyDescent="0.25">
      <c r="K752"/>
      <c r="L752"/>
    </row>
    <row r="753" spans="11:12" x14ac:dyDescent="0.25">
      <c r="K753"/>
      <c r="L753"/>
    </row>
    <row r="754" spans="11:12" x14ac:dyDescent="0.25">
      <c r="K754"/>
      <c r="L754"/>
    </row>
    <row r="755" spans="11:12" x14ac:dyDescent="0.25">
      <c r="K755"/>
      <c r="L755"/>
    </row>
    <row r="756" spans="11:12" x14ac:dyDescent="0.25">
      <c r="K756"/>
      <c r="L756"/>
    </row>
    <row r="757" spans="11:12" x14ac:dyDescent="0.25">
      <c r="K757"/>
      <c r="L757"/>
    </row>
    <row r="758" spans="11:12" x14ac:dyDescent="0.25">
      <c r="K758"/>
      <c r="L758"/>
    </row>
    <row r="759" spans="11:12" x14ac:dyDescent="0.25">
      <c r="K759"/>
      <c r="L759"/>
    </row>
    <row r="760" spans="11:12" x14ac:dyDescent="0.25">
      <c r="K760"/>
      <c r="L760"/>
    </row>
    <row r="761" spans="11:12" x14ac:dyDescent="0.25">
      <c r="K761"/>
      <c r="L761"/>
    </row>
    <row r="762" spans="11:12" x14ac:dyDescent="0.25">
      <c r="K762"/>
      <c r="L762"/>
    </row>
    <row r="763" spans="11:12" x14ac:dyDescent="0.25">
      <c r="K763"/>
      <c r="L763"/>
    </row>
    <row r="764" spans="11:12" x14ac:dyDescent="0.25">
      <c r="K764"/>
      <c r="L764"/>
    </row>
    <row r="765" spans="11:12" x14ac:dyDescent="0.25">
      <c r="K765"/>
      <c r="L765"/>
    </row>
    <row r="766" spans="11:12" x14ac:dyDescent="0.25">
      <c r="K766"/>
      <c r="L766"/>
    </row>
    <row r="767" spans="11:12" x14ac:dyDescent="0.25">
      <c r="K767"/>
      <c r="L767"/>
    </row>
    <row r="768" spans="11:12" x14ac:dyDescent="0.25">
      <c r="K768"/>
      <c r="L768"/>
    </row>
    <row r="769" spans="11:12" x14ac:dyDescent="0.25">
      <c r="K769"/>
      <c r="L769"/>
    </row>
    <row r="770" spans="11:12" x14ac:dyDescent="0.25">
      <c r="K770"/>
      <c r="L770"/>
    </row>
    <row r="771" spans="11:12" x14ac:dyDescent="0.25">
      <c r="K771"/>
      <c r="L771"/>
    </row>
    <row r="772" spans="11:12" x14ac:dyDescent="0.25">
      <c r="K772"/>
      <c r="L772"/>
    </row>
    <row r="773" spans="11:12" x14ac:dyDescent="0.25">
      <c r="K773"/>
      <c r="L773"/>
    </row>
    <row r="774" spans="11:12" x14ac:dyDescent="0.25">
      <c r="K774"/>
      <c r="L774"/>
    </row>
    <row r="775" spans="11:12" x14ac:dyDescent="0.25">
      <c r="K775"/>
      <c r="L775"/>
    </row>
    <row r="776" spans="11:12" x14ac:dyDescent="0.25">
      <c r="K776"/>
      <c r="L776"/>
    </row>
    <row r="777" spans="11:12" x14ac:dyDescent="0.25">
      <c r="K777"/>
      <c r="L777"/>
    </row>
    <row r="778" spans="11:12" x14ac:dyDescent="0.25">
      <c r="K778"/>
      <c r="L778"/>
    </row>
    <row r="779" spans="11:12" x14ac:dyDescent="0.25">
      <c r="K779"/>
      <c r="L779"/>
    </row>
    <row r="780" spans="11:12" x14ac:dyDescent="0.25">
      <c r="K780"/>
      <c r="L780"/>
    </row>
    <row r="781" spans="11:12" x14ac:dyDescent="0.25">
      <c r="K781"/>
      <c r="L781"/>
    </row>
    <row r="782" spans="11:12" x14ac:dyDescent="0.25">
      <c r="K782"/>
      <c r="L782"/>
    </row>
    <row r="783" spans="11:12" x14ac:dyDescent="0.25">
      <c r="K783"/>
      <c r="L783"/>
    </row>
    <row r="784" spans="11:12" x14ac:dyDescent="0.25">
      <c r="K784"/>
      <c r="L784"/>
    </row>
    <row r="785" spans="11:12" x14ac:dyDescent="0.25">
      <c r="K785"/>
      <c r="L785"/>
    </row>
    <row r="786" spans="11:12" x14ac:dyDescent="0.25">
      <c r="K786"/>
      <c r="L786"/>
    </row>
    <row r="787" spans="11:12" x14ac:dyDescent="0.25">
      <c r="K787"/>
      <c r="L787"/>
    </row>
    <row r="788" spans="11:12" x14ac:dyDescent="0.25">
      <c r="K788"/>
      <c r="L788"/>
    </row>
    <row r="789" spans="11:12" x14ac:dyDescent="0.25">
      <c r="K789"/>
      <c r="L789"/>
    </row>
    <row r="790" spans="11:12" x14ac:dyDescent="0.25">
      <c r="K790"/>
      <c r="L790"/>
    </row>
    <row r="791" spans="11:12" x14ac:dyDescent="0.25">
      <c r="K791"/>
      <c r="L791"/>
    </row>
    <row r="792" spans="11:12" x14ac:dyDescent="0.25">
      <c r="K792"/>
      <c r="L792"/>
    </row>
    <row r="793" spans="11:12" x14ac:dyDescent="0.25">
      <c r="K793"/>
      <c r="L793"/>
    </row>
    <row r="794" spans="11:12" x14ac:dyDescent="0.25">
      <c r="K794"/>
      <c r="L794"/>
    </row>
    <row r="795" spans="11:12" x14ac:dyDescent="0.25">
      <c r="K795"/>
      <c r="L795"/>
    </row>
    <row r="796" spans="11:12" x14ac:dyDescent="0.25">
      <c r="K796"/>
      <c r="L796"/>
    </row>
    <row r="797" spans="11:12" x14ac:dyDescent="0.25">
      <c r="K797"/>
      <c r="L797"/>
    </row>
    <row r="798" spans="11:12" x14ac:dyDescent="0.25">
      <c r="K798"/>
      <c r="L798"/>
    </row>
    <row r="799" spans="11:12" x14ac:dyDescent="0.25">
      <c r="K799"/>
      <c r="L799"/>
    </row>
    <row r="800" spans="11:12" x14ac:dyDescent="0.25">
      <c r="K800"/>
      <c r="L800"/>
    </row>
    <row r="801" spans="11:12" x14ac:dyDescent="0.25">
      <c r="K801"/>
      <c r="L801"/>
    </row>
    <row r="802" spans="11:12" x14ac:dyDescent="0.25">
      <c r="K802"/>
      <c r="L802"/>
    </row>
    <row r="803" spans="11:12" x14ac:dyDescent="0.25">
      <c r="K803"/>
      <c r="L803"/>
    </row>
    <row r="804" spans="11:12" x14ac:dyDescent="0.25">
      <c r="K804"/>
      <c r="L804"/>
    </row>
    <row r="805" spans="11:12" x14ac:dyDescent="0.25">
      <c r="K805"/>
      <c r="L805"/>
    </row>
    <row r="806" spans="11:12" x14ac:dyDescent="0.25">
      <c r="K806"/>
      <c r="L806"/>
    </row>
    <row r="807" spans="11:12" x14ac:dyDescent="0.25">
      <c r="K807"/>
      <c r="L807"/>
    </row>
    <row r="808" spans="11:12" x14ac:dyDescent="0.25">
      <c r="K808"/>
      <c r="L808"/>
    </row>
    <row r="809" spans="11:12" x14ac:dyDescent="0.25">
      <c r="K809"/>
      <c r="L809"/>
    </row>
    <row r="810" spans="11:12" x14ac:dyDescent="0.25">
      <c r="K810"/>
      <c r="L810"/>
    </row>
    <row r="811" spans="11:12" x14ac:dyDescent="0.25">
      <c r="K811"/>
      <c r="L811"/>
    </row>
    <row r="812" spans="11:12" x14ac:dyDescent="0.25">
      <c r="K812"/>
      <c r="L812"/>
    </row>
    <row r="813" spans="11:12" x14ac:dyDescent="0.25">
      <c r="K813"/>
      <c r="L813"/>
    </row>
    <row r="814" spans="11:12" x14ac:dyDescent="0.25">
      <c r="K814"/>
      <c r="L814"/>
    </row>
    <row r="815" spans="11:12" x14ac:dyDescent="0.25">
      <c r="K815"/>
      <c r="L815"/>
    </row>
    <row r="816" spans="11:12" x14ac:dyDescent="0.25">
      <c r="K816"/>
      <c r="L816"/>
    </row>
    <row r="817" spans="11:12" x14ac:dyDescent="0.25">
      <c r="K817"/>
      <c r="L817"/>
    </row>
    <row r="818" spans="11:12" x14ac:dyDescent="0.25">
      <c r="K818"/>
      <c r="L818"/>
    </row>
    <row r="819" spans="11:12" x14ac:dyDescent="0.25">
      <c r="K819"/>
      <c r="L819"/>
    </row>
    <row r="820" spans="11:12" x14ac:dyDescent="0.25">
      <c r="K820"/>
      <c r="L820"/>
    </row>
    <row r="821" spans="11:12" x14ac:dyDescent="0.25">
      <c r="K821"/>
      <c r="L821"/>
    </row>
    <row r="822" spans="11:12" x14ac:dyDescent="0.25">
      <c r="K822"/>
      <c r="L822"/>
    </row>
    <row r="823" spans="11:12" x14ac:dyDescent="0.25">
      <c r="K823"/>
      <c r="L823"/>
    </row>
    <row r="824" spans="11:12" x14ac:dyDescent="0.25">
      <c r="K824"/>
      <c r="L824"/>
    </row>
    <row r="825" spans="11:12" x14ac:dyDescent="0.25">
      <c r="K825"/>
      <c r="L825"/>
    </row>
    <row r="826" spans="11:12" x14ac:dyDescent="0.25">
      <c r="K826"/>
      <c r="L826"/>
    </row>
    <row r="827" spans="11:12" x14ac:dyDescent="0.25">
      <c r="K827"/>
      <c r="L827"/>
    </row>
    <row r="828" spans="11:12" x14ac:dyDescent="0.25">
      <c r="K828"/>
      <c r="L828"/>
    </row>
    <row r="829" spans="11:12" x14ac:dyDescent="0.25">
      <c r="K829"/>
      <c r="L829"/>
    </row>
    <row r="830" spans="11:12" x14ac:dyDescent="0.25">
      <c r="K830"/>
      <c r="L830"/>
    </row>
    <row r="831" spans="11:12" x14ac:dyDescent="0.25">
      <c r="K831"/>
      <c r="L831"/>
    </row>
    <row r="832" spans="11:12" x14ac:dyDescent="0.25">
      <c r="K832"/>
      <c r="L832"/>
    </row>
    <row r="833" spans="11:12" x14ac:dyDescent="0.25">
      <c r="K833"/>
      <c r="L833"/>
    </row>
    <row r="834" spans="11:12" x14ac:dyDescent="0.25">
      <c r="K834"/>
      <c r="L834"/>
    </row>
    <row r="835" spans="11:12" x14ac:dyDescent="0.25">
      <c r="K835"/>
      <c r="L835"/>
    </row>
    <row r="836" spans="11:12" x14ac:dyDescent="0.25">
      <c r="K836"/>
      <c r="L836"/>
    </row>
    <row r="837" spans="11:12" x14ac:dyDescent="0.25">
      <c r="K837"/>
      <c r="L837"/>
    </row>
    <row r="838" spans="11:12" x14ac:dyDescent="0.25">
      <c r="K838"/>
      <c r="L838"/>
    </row>
    <row r="839" spans="11:12" x14ac:dyDescent="0.25">
      <c r="K839"/>
      <c r="L839"/>
    </row>
    <row r="840" spans="11:12" x14ac:dyDescent="0.25">
      <c r="K840"/>
      <c r="L840"/>
    </row>
    <row r="841" spans="11:12" x14ac:dyDescent="0.25">
      <c r="K841"/>
      <c r="L841"/>
    </row>
    <row r="842" spans="11:12" x14ac:dyDescent="0.25">
      <c r="K842"/>
      <c r="L842"/>
    </row>
    <row r="843" spans="11:12" x14ac:dyDescent="0.25">
      <c r="K843"/>
      <c r="L843"/>
    </row>
    <row r="844" spans="11:12" x14ac:dyDescent="0.25">
      <c r="K844"/>
      <c r="L844"/>
    </row>
    <row r="845" spans="11:12" x14ac:dyDescent="0.25">
      <c r="K845"/>
      <c r="L845"/>
    </row>
    <row r="846" spans="11:12" x14ac:dyDescent="0.25">
      <c r="K846"/>
      <c r="L846"/>
    </row>
    <row r="847" spans="11:12" x14ac:dyDescent="0.25">
      <c r="K847"/>
      <c r="L847"/>
    </row>
    <row r="848" spans="11:12" x14ac:dyDescent="0.25">
      <c r="K848"/>
      <c r="L848"/>
    </row>
    <row r="849" spans="11:12" x14ac:dyDescent="0.25">
      <c r="K849"/>
      <c r="L849"/>
    </row>
    <row r="850" spans="11:12" x14ac:dyDescent="0.25">
      <c r="K850"/>
      <c r="L850"/>
    </row>
    <row r="851" spans="11:12" x14ac:dyDescent="0.25">
      <c r="K851"/>
      <c r="L851"/>
    </row>
    <row r="852" spans="11:12" x14ac:dyDescent="0.25">
      <c r="K852"/>
      <c r="L852"/>
    </row>
    <row r="853" spans="11:12" x14ac:dyDescent="0.25">
      <c r="K853"/>
      <c r="L853"/>
    </row>
    <row r="854" spans="11:12" x14ac:dyDescent="0.25">
      <c r="K854"/>
      <c r="L854"/>
    </row>
    <row r="855" spans="11:12" x14ac:dyDescent="0.25">
      <c r="K855"/>
      <c r="L855"/>
    </row>
    <row r="856" spans="11:12" x14ac:dyDescent="0.25">
      <c r="K856"/>
      <c r="L856"/>
    </row>
    <row r="857" spans="11:12" x14ac:dyDescent="0.25">
      <c r="K857"/>
      <c r="L857"/>
    </row>
    <row r="858" spans="11:12" x14ac:dyDescent="0.25">
      <c r="K858"/>
      <c r="L858"/>
    </row>
    <row r="859" spans="11:12" x14ac:dyDescent="0.25">
      <c r="K859"/>
      <c r="L859"/>
    </row>
    <row r="860" spans="11:12" x14ac:dyDescent="0.25">
      <c r="K860"/>
      <c r="L860"/>
    </row>
    <row r="861" spans="11:12" x14ac:dyDescent="0.25">
      <c r="K861"/>
      <c r="L861"/>
    </row>
    <row r="862" spans="11:12" x14ac:dyDescent="0.25">
      <c r="K862"/>
      <c r="L862"/>
    </row>
    <row r="863" spans="11:12" x14ac:dyDescent="0.25">
      <c r="K863"/>
      <c r="L863"/>
    </row>
    <row r="864" spans="11:12" x14ac:dyDescent="0.25">
      <c r="K864"/>
      <c r="L864"/>
    </row>
    <row r="865" spans="11:12" x14ac:dyDescent="0.25">
      <c r="K865"/>
      <c r="L865"/>
    </row>
    <row r="866" spans="11:12" x14ac:dyDescent="0.25">
      <c r="K866"/>
      <c r="L866"/>
    </row>
    <row r="867" spans="11:12" x14ac:dyDescent="0.25">
      <c r="K867"/>
      <c r="L867"/>
    </row>
    <row r="868" spans="11:12" x14ac:dyDescent="0.25">
      <c r="K868"/>
      <c r="L868"/>
    </row>
    <row r="869" spans="11:12" x14ac:dyDescent="0.25">
      <c r="K869"/>
      <c r="L869"/>
    </row>
    <row r="870" spans="11:12" x14ac:dyDescent="0.25">
      <c r="K870"/>
      <c r="L870"/>
    </row>
    <row r="871" spans="11:12" x14ac:dyDescent="0.25">
      <c r="K871"/>
      <c r="L871"/>
    </row>
    <row r="872" spans="11:12" x14ac:dyDescent="0.25">
      <c r="K872"/>
      <c r="L872"/>
    </row>
    <row r="873" spans="11:12" x14ac:dyDescent="0.25">
      <c r="K873"/>
      <c r="L873"/>
    </row>
    <row r="874" spans="11:12" x14ac:dyDescent="0.25">
      <c r="K874"/>
      <c r="L874"/>
    </row>
    <row r="875" spans="11:12" x14ac:dyDescent="0.25">
      <c r="K875"/>
      <c r="L875"/>
    </row>
    <row r="876" spans="11:12" x14ac:dyDescent="0.25">
      <c r="K876"/>
      <c r="L876"/>
    </row>
    <row r="877" spans="11:12" x14ac:dyDescent="0.25">
      <c r="K877"/>
      <c r="L877"/>
    </row>
    <row r="878" spans="11:12" x14ac:dyDescent="0.25">
      <c r="K878"/>
      <c r="L878"/>
    </row>
    <row r="879" spans="11:12" x14ac:dyDescent="0.25">
      <c r="K879"/>
      <c r="L879"/>
    </row>
    <row r="880" spans="11:12" x14ac:dyDescent="0.25">
      <c r="K880"/>
      <c r="L880"/>
    </row>
    <row r="881" spans="11:12" x14ac:dyDescent="0.25">
      <c r="K881"/>
      <c r="L881"/>
    </row>
    <row r="882" spans="11:12" x14ac:dyDescent="0.25">
      <c r="K882"/>
      <c r="L882"/>
    </row>
    <row r="883" spans="11:12" x14ac:dyDescent="0.25">
      <c r="K883"/>
      <c r="L883"/>
    </row>
    <row r="884" spans="11:12" x14ac:dyDescent="0.25">
      <c r="K884"/>
      <c r="L884"/>
    </row>
    <row r="885" spans="11:12" x14ac:dyDescent="0.25">
      <c r="K885"/>
      <c r="L885"/>
    </row>
    <row r="886" spans="11:12" x14ac:dyDescent="0.25">
      <c r="K886"/>
      <c r="L886"/>
    </row>
    <row r="887" spans="11:12" x14ac:dyDescent="0.25">
      <c r="K887"/>
      <c r="L887"/>
    </row>
    <row r="888" spans="11:12" x14ac:dyDescent="0.25">
      <c r="K888"/>
      <c r="L888"/>
    </row>
    <row r="889" spans="11:12" x14ac:dyDescent="0.25">
      <c r="K889"/>
      <c r="L889"/>
    </row>
    <row r="890" spans="11:12" x14ac:dyDescent="0.25">
      <c r="K890"/>
      <c r="L890"/>
    </row>
    <row r="891" spans="11:12" x14ac:dyDescent="0.25">
      <c r="K891"/>
      <c r="L891"/>
    </row>
    <row r="892" spans="11:12" x14ac:dyDescent="0.25">
      <c r="K892"/>
      <c r="L892"/>
    </row>
    <row r="893" spans="11:12" x14ac:dyDescent="0.25">
      <c r="K893"/>
      <c r="L893"/>
    </row>
    <row r="894" spans="11:12" x14ac:dyDescent="0.25">
      <c r="K894"/>
      <c r="L894"/>
    </row>
    <row r="895" spans="11:12" x14ac:dyDescent="0.25">
      <c r="K895"/>
      <c r="L895"/>
    </row>
    <row r="896" spans="11:12" x14ac:dyDescent="0.25">
      <c r="K896"/>
      <c r="L896"/>
    </row>
    <row r="897" spans="11:12" x14ac:dyDescent="0.25">
      <c r="K897"/>
      <c r="L897"/>
    </row>
    <row r="898" spans="11:12" x14ac:dyDescent="0.25">
      <c r="K898"/>
      <c r="L898"/>
    </row>
    <row r="899" spans="11:12" x14ac:dyDescent="0.25">
      <c r="K899"/>
      <c r="L899"/>
    </row>
    <row r="900" spans="11:12" x14ac:dyDescent="0.25">
      <c r="K900"/>
      <c r="L900"/>
    </row>
    <row r="901" spans="11:12" x14ac:dyDescent="0.25">
      <c r="K901"/>
      <c r="L901"/>
    </row>
    <row r="902" spans="11:12" x14ac:dyDescent="0.25">
      <c r="K902"/>
      <c r="L902"/>
    </row>
    <row r="903" spans="11:12" x14ac:dyDescent="0.25">
      <c r="K903"/>
      <c r="L903"/>
    </row>
    <row r="904" spans="11:12" x14ac:dyDescent="0.25">
      <c r="K904"/>
      <c r="L904"/>
    </row>
    <row r="905" spans="11:12" x14ac:dyDescent="0.25">
      <c r="K905"/>
      <c r="L905"/>
    </row>
    <row r="906" spans="11:12" x14ac:dyDescent="0.25">
      <c r="K906"/>
      <c r="L906"/>
    </row>
    <row r="907" spans="11:12" x14ac:dyDescent="0.25">
      <c r="K907"/>
      <c r="L907"/>
    </row>
    <row r="908" spans="11:12" x14ac:dyDescent="0.25">
      <c r="K908"/>
      <c r="L908"/>
    </row>
    <row r="909" spans="11:12" x14ac:dyDescent="0.25">
      <c r="K909"/>
      <c r="L909"/>
    </row>
    <row r="910" spans="11:12" x14ac:dyDescent="0.25">
      <c r="K910"/>
      <c r="L910"/>
    </row>
    <row r="911" spans="11:12" x14ac:dyDescent="0.25">
      <c r="K911"/>
      <c r="L911"/>
    </row>
    <row r="912" spans="11:12" x14ac:dyDescent="0.25">
      <c r="K912"/>
      <c r="L912"/>
    </row>
    <row r="913" spans="11:12" x14ac:dyDescent="0.25">
      <c r="K913"/>
      <c r="L913"/>
    </row>
    <row r="914" spans="11:12" x14ac:dyDescent="0.25">
      <c r="K914"/>
      <c r="L914"/>
    </row>
    <row r="915" spans="11:12" x14ac:dyDescent="0.25">
      <c r="K915"/>
      <c r="L915"/>
    </row>
    <row r="916" spans="11:12" x14ac:dyDescent="0.25">
      <c r="K916"/>
      <c r="L916"/>
    </row>
    <row r="917" spans="11:12" x14ac:dyDescent="0.25">
      <c r="K917"/>
      <c r="L917"/>
    </row>
    <row r="918" spans="11:12" x14ac:dyDescent="0.25">
      <c r="K918"/>
      <c r="L918"/>
    </row>
    <row r="919" spans="11:12" x14ac:dyDescent="0.25">
      <c r="K919"/>
      <c r="L919"/>
    </row>
    <row r="920" spans="11:12" x14ac:dyDescent="0.25">
      <c r="K920"/>
      <c r="L920"/>
    </row>
    <row r="921" spans="11:12" x14ac:dyDescent="0.25">
      <c r="K921"/>
      <c r="L921"/>
    </row>
    <row r="922" spans="11:12" x14ac:dyDescent="0.25">
      <c r="K922"/>
      <c r="L922"/>
    </row>
    <row r="923" spans="11:12" x14ac:dyDescent="0.25">
      <c r="K923"/>
      <c r="L923"/>
    </row>
    <row r="924" spans="11:12" x14ac:dyDescent="0.25">
      <c r="K924"/>
      <c r="L924"/>
    </row>
    <row r="925" spans="11:12" x14ac:dyDescent="0.25">
      <c r="K925"/>
      <c r="L925"/>
    </row>
    <row r="926" spans="11:12" x14ac:dyDescent="0.25">
      <c r="K926"/>
      <c r="L926"/>
    </row>
    <row r="927" spans="11:12" x14ac:dyDescent="0.25">
      <c r="K927"/>
      <c r="L927"/>
    </row>
    <row r="928" spans="11:12" x14ac:dyDescent="0.25">
      <c r="K928"/>
      <c r="L928"/>
    </row>
    <row r="929" spans="11:12" x14ac:dyDescent="0.25">
      <c r="K929"/>
      <c r="L929"/>
    </row>
    <row r="930" spans="11:12" x14ac:dyDescent="0.25">
      <c r="K930"/>
      <c r="L930"/>
    </row>
    <row r="931" spans="11:12" x14ac:dyDescent="0.25">
      <c r="K931"/>
      <c r="L931"/>
    </row>
    <row r="932" spans="11:12" x14ac:dyDescent="0.25">
      <c r="K932"/>
      <c r="L932"/>
    </row>
    <row r="933" spans="11:12" x14ac:dyDescent="0.25">
      <c r="K933"/>
      <c r="L933"/>
    </row>
    <row r="934" spans="11:12" x14ac:dyDescent="0.25">
      <c r="K934"/>
      <c r="L934"/>
    </row>
    <row r="935" spans="11:12" x14ac:dyDescent="0.25">
      <c r="K935"/>
      <c r="L935"/>
    </row>
    <row r="936" spans="11:12" x14ac:dyDescent="0.25">
      <c r="K936"/>
      <c r="L936"/>
    </row>
    <row r="937" spans="11:12" x14ac:dyDescent="0.25">
      <c r="K937"/>
      <c r="L937"/>
    </row>
    <row r="938" spans="11:12" x14ac:dyDescent="0.25">
      <c r="K938"/>
      <c r="L938"/>
    </row>
    <row r="939" spans="11:12" x14ac:dyDescent="0.25">
      <c r="K939"/>
      <c r="L939"/>
    </row>
    <row r="940" spans="11:12" x14ac:dyDescent="0.25">
      <c r="K940"/>
      <c r="L940"/>
    </row>
    <row r="941" spans="11:12" x14ac:dyDescent="0.25">
      <c r="K941"/>
      <c r="L941"/>
    </row>
    <row r="942" spans="11:12" x14ac:dyDescent="0.25">
      <c r="K942"/>
      <c r="L942"/>
    </row>
    <row r="943" spans="11:12" x14ac:dyDescent="0.25">
      <c r="K943"/>
      <c r="L943"/>
    </row>
    <row r="944" spans="11:12" x14ac:dyDescent="0.25">
      <c r="K944"/>
      <c r="L944"/>
    </row>
    <row r="945" spans="11:12" x14ac:dyDescent="0.25">
      <c r="K945"/>
      <c r="L945"/>
    </row>
    <row r="946" spans="11:12" x14ac:dyDescent="0.25">
      <c r="K946"/>
      <c r="L946"/>
    </row>
    <row r="947" spans="11:12" x14ac:dyDescent="0.25">
      <c r="K947"/>
      <c r="L947"/>
    </row>
    <row r="948" spans="11:12" x14ac:dyDescent="0.25">
      <c r="K948"/>
      <c r="L948"/>
    </row>
    <row r="949" spans="11:12" x14ac:dyDescent="0.25">
      <c r="K949"/>
      <c r="L949"/>
    </row>
    <row r="950" spans="11:12" x14ac:dyDescent="0.25">
      <c r="K950"/>
      <c r="L950"/>
    </row>
    <row r="951" spans="11:12" x14ac:dyDescent="0.25">
      <c r="K951"/>
      <c r="L951"/>
    </row>
    <row r="952" spans="11:12" x14ac:dyDescent="0.25">
      <c r="K952"/>
      <c r="L952"/>
    </row>
    <row r="953" spans="11:12" x14ac:dyDescent="0.25">
      <c r="K953"/>
      <c r="L953"/>
    </row>
    <row r="954" spans="11:12" x14ac:dyDescent="0.25">
      <c r="K954"/>
      <c r="L954"/>
    </row>
    <row r="955" spans="11:12" x14ac:dyDescent="0.25">
      <c r="K955"/>
      <c r="L955"/>
    </row>
    <row r="956" spans="11:12" x14ac:dyDescent="0.25">
      <c r="K956"/>
      <c r="L956"/>
    </row>
    <row r="957" spans="11:12" x14ac:dyDescent="0.25">
      <c r="K957"/>
      <c r="L957"/>
    </row>
    <row r="958" spans="11:12" x14ac:dyDescent="0.25">
      <c r="K958"/>
      <c r="L958"/>
    </row>
    <row r="959" spans="11:12" x14ac:dyDescent="0.25">
      <c r="K959"/>
      <c r="L959"/>
    </row>
    <row r="960" spans="11:12" x14ac:dyDescent="0.25">
      <c r="K960"/>
      <c r="L960"/>
    </row>
    <row r="961" spans="11:12" x14ac:dyDescent="0.25">
      <c r="K961"/>
      <c r="L961"/>
    </row>
    <row r="962" spans="11:12" x14ac:dyDescent="0.25">
      <c r="K962"/>
      <c r="L962"/>
    </row>
    <row r="963" spans="11:12" x14ac:dyDescent="0.25">
      <c r="K963"/>
      <c r="L963"/>
    </row>
    <row r="964" spans="11:12" x14ac:dyDescent="0.25">
      <c r="K964"/>
      <c r="L964"/>
    </row>
    <row r="965" spans="11:12" x14ac:dyDescent="0.25">
      <c r="K965"/>
      <c r="L965"/>
    </row>
    <row r="966" spans="11:12" x14ac:dyDescent="0.25">
      <c r="K966"/>
      <c r="L966"/>
    </row>
    <row r="967" spans="11:12" x14ac:dyDescent="0.25">
      <c r="K967"/>
      <c r="L967"/>
    </row>
    <row r="968" spans="11:12" x14ac:dyDescent="0.25">
      <c r="K968"/>
      <c r="L968"/>
    </row>
    <row r="969" spans="11:12" x14ac:dyDescent="0.25">
      <c r="K969"/>
      <c r="L969"/>
    </row>
    <row r="970" spans="11:12" x14ac:dyDescent="0.25">
      <c r="K970"/>
      <c r="L970"/>
    </row>
    <row r="971" spans="11:12" x14ac:dyDescent="0.25">
      <c r="K971"/>
      <c r="L971"/>
    </row>
    <row r="972" spans="11:12" x14ac:dyDescent="0.25">
      <c r="K972"/>
      <c r="L972"/>
    </row>
    <row r="973" spans="11:12" x14ac:dyDescent="0.25">
      <c r="K973"/>
      <c r="L973"/>
    </row>
    <row r="974" spans="11:12" x14ac:dyDescent="0.25">
      <c r="K974"/>
      <c r="L974"/>
    </row>
    <row r="975" spans="11:12" x14ac:dyDescent="0.25">
      <c r="K975"/>
      <c r="L975"/>
    </row>
    <row r="976" spans="11:12" x14ac:dyDescent="0.25">
      <c r="K976"/>
      <c r="L976"/>
    </row>
    <row r="977" spans="11:12" x14ac:dyDescent="0.25">
      <c r="K977"/>
      <c r="L977"/>
    </row>
    <row r="978" spans="11:12" x14ac:dyDescent="0.25">
      <c r="K978"/>
      <c r="L978"/>
    </row>
    <row r="979" spans="11:12" x14ac:dyDescent="0.25">
      <c r="K979"/>
      <c r="L979"/>
    </row>
    <row r="980" spans="11:12" x14ac:dyDescent="0.25">
      <c r="K980"/>
      <c r="L980"/>
    </row>
    <row r="981" spans="11:12" x14ac:dyDescent="0.25">
      <c r="K981"/>
      <c r="L981"/>
    </row>
    <row r="982" spans="11:12" x14ac:dyDescent="0.25">
      <c r="K982"/>
      <c r="L982"/>
    </row>
    <row r="983" spans="11:12" x14ac:dyDescent="0.25">
      <c r="K983"/>
      <c r="L983"/>
    </row>
    <row r="984" spans="11:12" x14ac:dyDescent="0.25">
      <c r="K984"/>
      <c r="L984"/>
    </row>
    <row r="985" spans="11:12" x14ac:dyDescent="0.25">
      <c r="K985"/>
      <c r="L985"/>
    </row>
    <row r="986" spans="11:12" x14ac:dyDescent="0.25">
      <c r="K986"/>
      <c r="L986"/>
    </row>
    <row r="987" spans="11:12" x14ac:dyDescent="0.25">
      <c r="K987"/>
      <c r="L987"/>
    </row>
    <row r="988" spans="11:12" x14ac:dyDescent="0.25">
      <c r="K988"/>
      <c r="L988"/>
    </row>
    <row r="989" spans="11:12" x14ac:dyDescent="0.25">
      <c r="K989"/>
      <c r="L989"/>
    </row>
    <row r="990" spans="11:12" x14ac:dyDescent="0.25">
      <c r="K990"/>
      <c r="L990"/>
    </row>
    <row r="991" spans="11:12" x14ac:dyDescent="0.25">
      <c r="K991"/>
      <c r="L991"/>
    </row>
    <row r="992" spans="11:12" x14ac:dyDescent="0.25">
      <c r="K992"/>
      <c r="L992"/>
    </row>
    <row r="993" spans="11:12" x14ac:dyDescent="0.25">
      <c r="K993"/>
      <c r="L993"/>
    </row>
    <row r="994" spans="11:12" x14ac:dyDescent="0.25">
      <c r="K994"/>
      <c r="L994"/>
    </row>
    <row r="995" spans="11:12" x14ac:dyDescent="0.25">
      <c r="K995"/>
      <c r="L995"/>
    </row>
    <row r="996" spans="11:12" x14ac:dyDescent="0.25">
      <c r="K996"/>
      <c r="L996"/>
    </row>
    <row r="997" spans="11:12" x14ac:dyDescent="0.25">
      <c r="K997"/>
      <c r="L997"/>
    </row>
    <row r="998" spans="11:12" x14ac:dyDescent="0.25">
      <c r="K998"/>
      <c r="L998"/>
    </row>
    <row r="999" spans="11:12" x14ac:dyDescent="0.25">
      <c r="K999"/>
      <c r="L999"/>
    </row>
    <row r="1000" spans="11:12" x14ac:dyDescent="0.25">
      <c r="K1000"/>
      <c r="L1000"/>
    </row>
  </sheetData>
  <autoFilter ref="I1:L74" xr:uid="{00000000-0009-0000-0000-000022010000}">
    <filterColumn colId="1">
      <filters>
        <filter val="Bank Payment"/>
      </filters>
    </filterColumn>
  </autoFilter>
  <sortState xmlns:xlrd2="http://schemas.microsoft.com/office/spreadsheetml/2017/richdata2" ref="I2:L1036">
    <sortCondition descending="1" ref="J2:J1036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2657" r:id="rId4" name="Button 1">
              <controlPr defaultSize="0" print="0" autoFill="0" autoPict="0" macro="[0]!_xludf.Clear">
                <anchor moveWithCells="1" sizeWithCells="1">
                  <from>
                    <xdr:col>3</xdr:col>
                    <xdr:colOff>400050</xdr:colOff>
                    <xdr:row>0</xdr:row>
                    <xdr:rowOff>57150</xdr:rowOff>
                  </from>
                  <to>
                    <xdr:col>5</xdr:col>
                    <xdr:colOff>371475</xdr:colOff>
                    <xdr:row>0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2658" r:id="rId5" name="Button 2">
              <controlPr defaultSize="0" print="0" autoFill="0" autoPict="0" macro="[0]!generate">
                <anchor moveWithCells="1" sizeWithCells="1">
                  <from>
                    <xdr:col>5</xdr:col>
                    <xdr:colOff>600075</xdr:colOff>
                    <xdr:row>0</xdr:row>
                    <xdr:rowOff>57150</xdr:rowOff>
                  </from>
                  <to>
                    <xdr:col>5</xdr:col>
                    <xdr:colOff>1790700</xdr:colOff>
                    <xdr:row>0</xdr:row>
                    <xdr:rowOff>447675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291</vt:i4>
      </vt:variant>
    </vt:vector>
  </HeadingPairs>
  <TitlesOfParts>
    <vt:vector size="291" baseType="lpstr">
      <vt:lpstr>01.04.2023</vt:lpstr>
      <vt:lpstr>03.04.2023</vt:lpstr>
      <vt:lpstr>04.04.2023</vt:lpstr>
      <vt:lpstr>05.04.2023</vt:lpstr>
      <vt:lpstr>06.04.2023</vt:lpstr>
      <vt:lpstr>07.04.2023</vt:lpstr>
      <vt:lpstr>08.04.2023</vt:lpstr>
      <vt:lpstr>10.04.2023</vt:lpstr>
      <vt:lpstr>11.04.2023</vt:lpstr>
      <vt:lpstr>12.04.2023</vt:lpstr>
      <vt:lpstr>13.04.2023</vt:lpstr>
      <vt:lpstr>14.04.2023</vt:lpstr>
      <vt:lpstr>15.04.2023</vt:lpstr>
      <vt:lpstr>17.04.2023</vt:lpstr>
      <vt:lpstr>18.04.2023</vt:lpstr>
      <vt:lpstr>19.04.2023</vt:lpstr>
      <vt:lpstr>20.04.2023</vt:lpstr>
      <vt:lpstr>21.04.2023</vt:lpstr>
      <vt:lpstr>22.04.2023</vt:lpstr>
      <vt:lpstr>24.04.2023</vt:lpstr>
      <vt:lpstr>03.05.2023</vt:lpstr>
      <vt:lpstr>04.05.2023</vt:lpstr>
      <vt:lpstr>05.05.2023</vt:lpstr>
      <vt:lpstr>06.05.2023</vt:lpstr>
      <vt:lpstr>08.05.2023</vt:lpstr>
      <vt:lpstr>09.05.2023</vt:lpstr>
      <vt:lpstr>10.05.2023</vt:lpstr>
      <vt:lpstr>11.05.2023</vt:lpstr>
      <vt:lpstr>12.05.2023</vt:lpstr>
      <vt:lpstr>13.05.2023</vt:lpstr>
      <vt:lpstr>15.05.2023</vt:lpstr>
      <vt:lpstr>16.05.2023</vt:lpstr>
      <vt:lpstr>17.05.2023</vt:lpstr>
      <vt:lpstr>18.05.2023</vt:lpstr>
      <vt:lpstr>19.05.2023</vt:lpstr>
      <vt:lpstr>20.05.2023</vt:lpstr>
      <vt:lpstr>22.05.2023</vt:lpstr>
      <vt:lpstr>23.05.2023</vt:lpstr>
      <vt:lpstr>24.05.2023</vt:lpstr>
      <vt:lpstr>25.05.2023</vt:lpstr>
      <vt:lpstr>26.05.2023</vt:lpstr>
      <vt:lpstr>27.05.2023</vt:lpstr>
      <vt:lpstr>29.05.2023</vt:lpstr>
      <vt:lpstr>30.05.2023</vt:lpstr>
      <vt:lpstr>31.05.2023</vt:lpstr>
      <vt:lpstr>01.06.2023</vt:lpstr>
      <vt:lpstr>02.06.2023</vt:lpstr>
      <vt:lpstr>03.06.2023</vt:lpstr>
      <vt:lpstr>05.06.2023</vt:lpstr>
      <vt:lpstr>06.06.2023</vt:lpstr>
      <vt:lpstr>07.06.2023</vt:lpstr>
      <vt:lpstr>08.06.2023</vt:lpstr>
      <vt:lpstr>09.06.2023</vt:lpstr>
      <vt:lpstr>10.06.2023</vt:lpstr>
      <vt:lpstr>12.06.2023</vt:lpstr>
      <vt:lpstr>13.06.2023</vt:lpstr>
      <vt:lpstr>14.06.2023</vt:lpstr>
      <vt:lpstr>15.06.2023</vt:lpstr>
      <vt:lpstr>16.06.2023</vt:lpstr>
      <vt:lpstr>17.06.2023</vt:lpstr>
      <vt:lpstr>19.06.2023</vt:lpstr>
      <vt:lpstr>20.06.2023</vt:lpstr>
      <vt:lpstr>21.06.2023</vt:lpstr>
      <vt:lpstr>22.06.2023</vt:lpstr>
      <vt:lpstr>23.06.2023</vt:lpstr>
      <vt:lpstr>24.06.2023</vt:lpstr>
      <vt:lpstr>26.06.2023</vt:lpstr>
      <vt:lpstr>27.06.2023</vt:lpstr>
      <vt:lpstr>28.06.2023</vt:lpstr>
      <vt:lpstr>29.06.2023</vt:lpstr>
      <vt:lpstr>30.06.2023</vt:lpstr>
      <vt:lpstr>01.07.2023</vt:lpstr>
      <vt:lpstr>03.07.2023</vt:lpstr>
      <vt:lpstr>04.07.2023</vt:lpstr>
      <vt:lpstr>05.07.2023</vt:lpstr>
      <vt:lpstr>06.07.2023</vt:lpstr>
      <vt:lpstr>07.07.2023</vt:lpstr>
      <vt:lpstr>08.07.2023</vt:lpstr>
      <vt:lpstr>10.07.2023</vt:lpstr>
      <vt:lpstr>11.07.2023</vt:lpstr>
      <vt:lpstr>12.07.2023</vt:lpstr>
      <vt:lpstr>13.07.2023</vt:lpstr>
      <vt:lpstr>14.07.2023</vt:lpstr>
      <vt:lpstr>15.07.2023</vt:lpstr>
      <vt:lpstr>17.07.2023</vt:lpstr>
      <vt:lpstr>18.07.2023</vt:lpstr>
      <vt:lpstr>19.07.2023</vt:lpstr>
      <vt:lpstr>20.07.2023</vt:lpstr>
      <vt:lpstr>21.07.2023</vt:lpstr>
      <vt:lpstr>22.07.2023</vt:lpstr>
      <vt:lpstr>24.07.2023</vt:lpstr>
      <vt:lpstr>25.07.2023</vt:lpstr>
      <vt:lpstr>26.07.2023</vt:lpstr>
      <vt:lpstr>27.07.2023</vt:lpstr>
      <vt:lpstr>28.07.2023</vt:lpstr>
      <vt:lpstr>29.07.2023</vt:lpstr>
      <vt:lpstr>31.07.2023</vt:lpstr>
      <vt:lpstr>01.08.2023</vt:lpstr>
      <vt:lpstr>02.08.2023</vt:lpstr>
      <vt:lpstr>03.08.2023</vt:lpstr>
      <vt:lpstr>04.08.2023</vt:lpstr>
      <vt:lpstr>05.08.2023</vt:lpstr>
      <vt:lpstr>07.08.2023</vt:lpstr>
      <vt:lpstr>08.08.2023</vt:lpstr>
      <vt:lpstr>09.08.2023</vt:lpstr>
      <vt:lpstr>10.08.2023</vt:lpstr>
      <vt:lpstr>11.08.2023</vt:lpstr>
      <vt:lpstr>12.08.2023</vt:lpstr>
      <vt:lpstr>14.08.2023</vt:lpstr>
      <vt:lpstr>16.08.2023</vt:lpstr>
      <vt:lpstr>17.08.2023</vt:lpstr>
      <vt:lpstr>18.08.2023</vt:lpstr>
      <vt:lpstr>19.08.2023</vt:lpstr>
      <vt:lpstr>21.08.2023</vt:lpstr>
      <vt:lpstr>22.08.2023</vt:lpstr>
      <vt:lpstr>23.08.2023</vt:lpstr>
      <vt:lpstr>24.08.2023</vt:lpstr>
      <vt:lpstr>25.08.2023</vt:lpstr>
      <vt:lpstr>26.08.2023</vt:lpstr>
      <vt:lpstr>28.08.2023</vt:lpstr>
      <vt:lpstr>29.08.2023</vt:lpstr>
      <vt:lpstr>31.08-2023</vt:lpstr>
      <vt:lpstr>01.09.2023</vt:lpstr>
      <vt:lpstr>02.09.2023</vt:lpstr>
      <vt:lpstr>04.09.2023</vt:lpstr>
      <vt:lpstr>05.09.2023</vt:lpstr>
      <vt:lpstr>06.09.2023</vt:lpstr>
      <vt:lpstr>08.09.2023</vt:lpstr>
      <vt:lpstr>09.09.2023</vt:lpstr>
      <vt:lpstr>11.09.2023</vt:lpstr>
      <vt:lpstr>12.09.2023</vt:lpstr>
      <vt:lpstr>13.09.2023</vt:lpstr>
      <vt:lpstr>14.09.2023</vt:lpstr>
      <vt:lpstr>15.09.2023</vt:lpstr>
      <vt:lpstr>16.09.2023</vt:lpstr>
      <vt:lpstr>18.09.2023</vt:lpstr>
      <vt:lpstr>19.09.2023</vt:lpstr>
      <vt:lpstr>20.09.2023</vt:lpstr>
      <vt:lpstr>21.09.2023</vt:lpstr>
      <vt:lpstr>23..09.2023</vt:lpstr>
      <vt:lpstr>25.09.2023</vt:lpstr>
      <vt:lpstr>26.09.2023</vt:lpstr>
      <vt:lpstr>27.09.2023</vt:lpstr>
      <vt:lpstr>28.09.2023</vt:lpstr>
      <vt:lpstr>29.09.2023</vt:lpstr>
      <vt:lpstr>30.09.2023</vt:lpstr>
      <vt:lpstr>03.10.2023</vt:lpstr>
      <vt:lpstr>04.10.2023</vt:lpstr>
      <vt:lpstr>05.10.2023</vt:lpstr>
      <vt:lpstr>06.10.2023</vt:lpstr>
      <vt:lpstr>07.10.2023</vt:lpstr>
      <vt:lpstr>09.10.2023</vt:lpstr>
      <vt:lpstr>10.10.2023</vt:lpstr>
      <vt:lpstr>11.10.2023</vt:lpstr>
      <vt:lpstr>12.10.2023</vt:lpstr>
      <vt:lpstr>13.10.2023</vt:lpstr>
      <vt:lpstr>14.10.2023</vt:lpstr>
      <vt:lpstr>16.10.2023</vt:lpstr>
      <vt:lpstr>17.10.2023</vt:lpstr>
      <vt:lpstr>18.10.2023</vt:lpstr>
      <vt:lpstr>19.10.2023</vt:lpstr>
      <vt:lpstr>20.10.2023</vt:lpstr>
      <vt:lpstr>21.10.2023</vt:lpstr>
      <vt:lpstr>23.10.2023</vt:lpstr>
      <vt:lpstr>25.10.2023</vt:lpstr>
      <vt:lpstr>26.10.2023</vt:lpstr>
      <vt:lpstr>27.10.2023</vt:lpstr>
      <vt:lpstr>28.10.2023</vt:lpstr>
      <vt:lpstr>30.10.2023</vt:lpstr>
      <vt:lpstr>31.10.2023</vt:lpstr>
      <vt:lpstr>01.11.2023</vt:lpstr>
      <vt:lpstr>02.11.2023</vt:lpstr>
      <vt:lpstr>03.11.2023</vt:lpstr>
      <vt:lpstr>04.11.2023</vt:lpstr>
      <vt:lpstr>06.11.2023</vt:lpstr>
      <vt:lpstr>08.11.2023</vt:lpstr>
      <vt:lpstr>09.11.2023</vt:lpstr>
      <vt:lpstr>15.11.2023</vt:lpstr>
      <vt:lpstr>16.11.2023</vt:lpstr>
      <vt:lpstr>17.11.2023</vt:lpstr>
      <vt:lpstr>18.11.2023</vt:lpstr>
      <vt:lpstr>20.11.2023</vt:lpstr>
      <vt:lpstr>21.11.2023</vt:lpstr>
      <vt:lpstr>22.11.2023</vt:lpstr>
      <vt:lpstr>23.11.2023</vt:lpstr>
      <vt:lpstr>24.11.2023</vt:lpstr>
      <vt:lpstr>25.11.2023</vt:lpstr>
      <vt:lpstr>27.11.2023</vt:lpstr>
      <vt:lpstr>28.11.2023</vt:lpstr>
      <vt:lpstr>29.11.2023</vt:lpstr>
      <vt:lpstr>30.11.2023</vt:lpstr>
      <vt:lpstr>01.12.2023</vt:lpstr>
      <vt:lpstr>02.12.2023</vt:lpstr>
      <vt:lpstr>04.12.2023</vt:lpstr>
      <vt:lpstr>05.12.2023</vt:lpstr>
      <vt:lpstr>06.12.2023</vt:lpstr>
      <vt:lpstr>07.12.2023</vt:lpstr>
      <vt:lpstr>08.12.2023</vt:lpstr>
      <vt:lpstr>09-12-2023</vt:lpstr>
      <vt:lpstr>11-12-2023</vt:lpstr>
      <vt:lpstr>12.12.2023</vt:lpstr>
      <vt:lpstr>13.12.2023</vt:lpstr>
      <vt:lpstr>14.12.2023</vt:lpstr>
      <vt:lpstr>15.12.2023</vt:lpstr>
      <vt:lpstr>16.12.2023</vt:lpstr>
      <vt:lpstr>19.12.2023</vt:lpstr>
      <vt:lpstr>20.12.2023</vt:lpstr>
      <vt:lpstr>21.12.2023</vt:lpstr>
      <vt:lpstr>22.12.2023</vt:lpstr>
      <vt:lpstr>23.12.2023</vt:lpstr>
      <vt:lpstr>25.12.2023</vt:lpstr>
      <vt:lpstr>26.12.2023</vt:lpstr>
      <vt:lpstr>27.12.2023</vt:lpstr>
      <vt:lpstr>28.12.2023</vt:lpstr>
      <vt:lpstr>29.12.2023</vt:lpstr>
      <vt:lpstr>30.12.2023</vt:lpstr>
      <vt:lpstr>02.01.2024</vt:lpstr>
      <vt:lpstr>03.01.2024</vt:lpstr>
      <vt:lpstr>04.01.2024</vt:lpstr>
      <vt:lpstr>05.01.2024</vt:lpstr>
      <vt:lpstr>06.01.2024</vt:lpstr>
      <vt:lpstr>08.01.2024</vt:lpstr>
      <vt:lpstr>09.01.2024</vt:lpstr>
      <vt:lpstr>10.01.2024</vt:lpstr>
      <vt:lpstr>11.01.2024</vt:lpstr>
      <vt:lpstr>12.01.2024</vt:lpstr>
      <vt:lpstr>13.01.2024</vt:lpstr>
      <vt:lpstr>15.01.2024</vt:lpstr>
      <vt:lpstr>16.01.2024</vt:lpstr>
      <vt:lpstr>17.01.2024</vt:lpstr>
      <vt:lpstr>18.01.2024</vt:lpstr>
      <vt:lpstr>19.01.2024</vt:lpstr>
      <vt:lpstr>20.01.2024</vt:lpstr>
      <vt:lpstr>22.01.2024</vt:lpstr>
      <vt:lpstr>23.01.2024</vt:lpstr>
      <vt:lpstr>24.01.2024</vt:lpstr>
      <vt:lpstr>25.01.2024</vt:lpstr>
      <vt:lpstr>27.01.2024</vt:lpstr>
      <vt:lpstr>29.01.2024</vt:lpstr>
      <vt:lpstr>30.01.2024</vt:lpstr>
      <vt:lpstr>31.01.2024</vt:lpstr>
      <vt:lpstr>01.02.2024</vt:lpstr>
      <vt:lpstr>02.02.2024</vt:lpstr>
      <vt:lpstr>03.02.2024</vt:lpstr>
      <vt:lpstr>05.02.2024</vt:lpstr>
      <vt:lpstr>06.02.2024</vt:lpstr>
      <vt:lpstr>07.02.2024</vt:lpstr>
      <vt:lpstr>08.02.2024</vt:lpstr>
      <vt:lpstr>09.02.2024</vt:lpstr>
      <vt:lpstr>10.02.2024</vt:lpstr>
      <vt:lpstr>12.02.2024</vt:lpstr>
      <vt:lpstr>13.02.2024</vt:lpstr>
      <vt:lpstr>14.02.2024</vt:lpstr>
      <vt:lpstr>15.02.2024</vt:lpstr>
      <vt:lpstr>16.02.2024</vt:lpstr>
      <vt:lpstr>17.02.2024</vt:lpstr>
      <vt:lpstr>19.02.2024</vt:lpstr>
      <vt:lpstr>20.02.2024</vt:lpstr>
      <vt:lpstr>21.02.2024</vt:lpstr>
      <vt:lpstr>22.02.2024</vt:lpstr>
      <vt:lpstr>23.02.2024</vt:lpstr>
      <vt:lpstr>24.02.2024</vt:lpstr>
      <vt:lpstr>26.02.2024</vt:lpstr>
      <vt:lpstr>27.02.2024</vt:lpstr>
      <vt:lpstr>28.02.2024</vt:lpstr>
      <vt:lpstr>29.02.2024</vt:lpstr>
      <vt:lpstr>01.03.2024</vt:lpstr>
      <vt:lpstr>02.03.2024</vt:lpstr>
      <vt:lpstr>04.03.2024</vt:lpstr>
      <vt:lpstr>05.03.2024</vt:lpstr>
      <vt:lpstr>06.03.2024</vt:lpstr>
      <vt:lpstr>07.03.2024</vt:lpstr>
      <vt:lpstr>08.03.2024</vt:lpstr>
      <vt:lpstr>09.03.2024</vt:lpstr>
      <vt:lpstr>11.03.2024</vt:lpstr>
      <vt:lpstr>12.03.2024</vt:lpstr>
      <vt:lpstr>13.03.2024</vt:lpstr>
      <vt:lpstr>14.03.2024</vt:lpstr>
      <vt:lpstr>15.03.2024</vt:lpstr>
      <vt:lpstr>18.03.2024</vt:lpstr>
      <vt:lpstr>19.03.2024</vt:lpstr>
      <vt:lpstr>20.03.2024</vt:lpstr>
      <vt:lpstr>21.03.2024</vt:lpstr>
      <vt:lpstr>23.03.2024</vt:lpstr>
      <vt:lpstr>26.03.2024</vt:lpstr>
      <vt:lpstr>27.03.2024</vt:lpstr>
      <vt:lpstr>28.03.2024</vt:lpstr>
      <vt:lpstr>29.03.2024</vt:lpstr>
      <vt:lpstr>30.03.2024</vt:lpstr>
      <vt:lpstr>01.04.2024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ACC23</dc:creator>
  <cp:lastModifiedBy>Acc4</cp:lastModifiedBy>
  <cp:lastPrinted>2023-10-13T11:00:44Z</cp:lastPrinted>
  <dcterms:created xsi:type="dcterms:W3CDTF">2015-06-05T18:17:20Z</dcterms:created>
  <dcterms:modified xsi:type="dcterms:W3CDTF">2024-04-01T13:30:22Z</dcterms:modified>
</cp:coreProperties>
</file>